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84" firstSheet="0" activeTab="13"/>
  </bookViews>
  <sheets>
    <sheet name="Model" sheetId="1" state="visible" r:id="rId3"/>
    <sheet name="Annual Summary" sheetId="2" state="visible" r:id="rId4"/>
    <sheet name="QTR Summary" sheetId="3" state="visible" r:id="rId5"/>
    <sheet name="Actuals" sheetId="4" state="visible" r:id="rId6"/>
    <sheet name="Variance" sheetId="5" state="visible" r:id="rId7"/>
    <sheet name="BD Commission" sheetId="6" state="visible" r:id="rId8"/>
    <sheet name="Original Budget" sheetId="7" state="hidden" r:id="rId9"/>
    <sheet name="Projects" sheetId="8" state="visible" r:id="rId10"/>
    <sheet name="Personnel" sheetId="9" state="visible" r:id="rId11"/>
    <sheet name="Uplifters" sheetId="10" state="visible" r:id="rId12"/>
    <sheet name="Appendix" sheetId="11" state="hidden" r:id="rId13"/>
    <sheet name="Sensitivity" sheetId="12" state="hidden" r:id="rId14"/>
    <sheet name="Curves" sheetId="13" state="hidden" r:id="rId15"/>
    <sheet name="Assumptions" sheetId="14" state="visible" r:id="rId16"/>
    <sheet name="Escalation" sheetId="15" state="hidden" r:id="rId17"/>
    <sheet name="Helpers" sheetId="16" state="hidden" r:id="rId18"/>
    <sheet name="LIHTC Project P&amp;L" sheetId="17" state="hidden" r:id="rId19"/>
    <sheet name="BD Commission Detail" sheetId="18" state="visible" r:id="rId20"/>
    <sheet name="Retention" sheetId="19" state="visible" r:id="rId21"/>
    <sheet name="APA Assumptions" sheetId="20" state="visible" r:id="rId22"/>
    <sheet name="APA Projection" sheetId="21" state="visible" r:id="rId2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<sst xmlns="http://schemas.openxmlformats.org/spreadsheetml/2006/main" count="2182" uniqueCount="985">
  <si>
    <t xml:space="preserve">Six Peak Capital - Financial Projections</t>
  </si>
  <si>
    <t xml:space="preserve">Month #</t>
  </si>
  <si>
    <t xml:space="preserve">YTD Actuals Snapshot:</t>
  </si>
  <si>
    <t xml:space="preserve">GC Revenue</t>
  </si>
  <si>
    <t xml:space="preserve">Other GC Income</t>
  </si>
  <si>
    <t xml:space="preserve">GC Fee Income</t>
  </si>
  <si>
    <t xml:space="preserve">Trades and Site Cost Billing</t>
  </si>
  <si>
    <t xml:space="preserve">Crenshaw</t>
  </si>
  <si>
    <t xml:space="preserve">Ramsgate</t>
  </si>
  <si>
    <t xml:space="preserve">Califa</t>
  </si>
  <si>
    <t xml:space="preserve">Whipple</t>
  </si>
  <si>
    <t xml:space="preserve">Nelrose</t>
  </si>
  <si>
    <t xml:space="preserve">Francis</t>
  </si>
  <si>
    <t xml:space="preserve">Lexington</t>
  </si>
  <si>
    <t xml:space="preserve">Denny</t>
  </si>
  <si>
    <t xml:space="preserve">Acama</t>
  </si>
  <si>
    <t xml:space="preserve">Klump</t>
  </si>
  <si>
    <t xml:space="preserve">Scott</t>
  </si>
  <si>
    <t xml:space="preserve">Reseda</t>
  </si>
  <si>
    <t xml:space="preserve">3rd St</t>
  </si>
  <si>
    <t xml:space="preserve">BD-01</t>
  </si>
  <si>
    <t xml:space="preserve">BD-02</t>
  </si>
  <si>
    <t xml:space="preserve">BD-03</t>
  </si>
  <si>
    <t xml:space="preserve">BD-04</t>
  </si>
  <si>
    <t xml:space="preserve">BD-05</t>
  </si>
  <si>
    <t xml:space="preserve">BD-06</t>
  </si>
  <si>
    <t xml:space="preserve">BD-07</t>
  </si>
  <si>
    <t xml:space="preserve">BD-08</t>
  </si>
  <si>
    <t xml:space="preserve">BD-09</t>
  </si>
  <si>
    <t xml:space="preserve">BD-10</t>
  </si>
  <si>
    <t xml:space="preserve">BD-11</t>
  </si>
  <si>
    <t xml:space="preserve">BD-12</t>
  </si>
  <si>
    <t xml:space="preserve">BD-13</t>
  </si>
  <si>
    <t xml:space="preserve">BD-14</t>
  </si>
  <si>
    <t xml:space="preserve">BD-15</t>
  </si>
  <si>
    <t xml:space="preserve">BD-16</t>
  </si>
  <si>
    <t xml:space="preserve">BD-17</t>
  </si>
  <si>
    <t xml:space="preserve">BD-18</t>
  </si>
  <si>
    <t xml:space="preserve">BD-19</t>
  </si>
  <si>
    <t xml:space="preserve">BD-20</t>
  </si>
  <si>
    <t xml:space="preserve">BD-21</t>
  </si>
  <si>
    <t xml:space="preserve">BD-22</t>
  </si>
  <si>
    <t xml:space="preserve">BD-23</t>
  </si>
  <si>
    <t xml:space="preserve">BD-24</t>
  </si>
  <si>
    <t xml:space="preserve">BD-25</t>
  </si>
  <si>
    <t xml:space="preserve">BD-26</t>
  </si>
  <si>
    <t xml:space="preserve">BD-27</t>
  </si>
  <si>
    <t xml:space="preserve">BD-28</t>
  </si>
  <si>
    <t xml:space="preserve">BD-29</t>
  </si>
  <si>
    <t xml:space="preserve">BD-30</t>
  </si>
  <si>
    <t xml:space="preserve">Other (non-project)</t>
  </si>
  <si>
    <t xml:space="preserve">Total Trades and Site Cost Billing</t>
  </si>
  <si>
    <t xml:space="preserve">Total Revenues</t>
  </si>
  <si>
    <t xml:space="preserve">COGS - Trade and Site Costs</t>
  </si>
  <si>
    <t xml:space="preserve">Total COGS - Trade and Site Costs</t>
  </si>
  <si>
    <t xml:space="preserve">Bonding Revenue</t>
  </si>
  <si>
    <t xml:space="preserve">Bonding Costs</t>
  </si>
  <si>
    <t xml:space="preserve">Gross Profit</t>
  </si>
  <si>
    <t xml:space="preserve">GC Gross Profit Margin %</t>
  </si>
  <si>
    <t xml:space="preserve">GC Costs</t>
  </si>
  <si>
    <t xml:space="preserve">5000-1000 Payroll</t>
  </si>
  <si>
    <t xml:space="preserve">5000-1001 Payroll Taxes</t>
  </si>
  <si>
    <t xml:space="preserve">SP Allocated to LV</t>
  </si>
  <si>
    <t xml:space="preserve">5000-1002 Employee Benefits</t>
  </si>
  <si>
    <t xml:space="preserve">5000-1003 Workers Comp</t>
  </si>
  <si>
    <t xml:space="preserve">5000-1005 Payroll Servicing Fees</t>
  </si>
  <si>
    <t xml:space="preserve">5000-1007 Payroll - Consultants</t>
  </si>
  <si>
    <t xml:space="preserve">5000-1018 Payroll - Self Performed Trades</t>
  </si>
  <si>
    <t xml:space="preserve">5100-1000 Rent Expense</t>
  </si>
  <si>
    <t xml:space="preserve">5200-1000 Office Supplies and Expenses</t>
  </si>
  <si>
    <t xml:space="preserve">5200-1002 Printing and Reproduction</t>
  </si>
  <si>
    <t xml:space="preserve">5200-1050 Computer and IT Expenses</t>
  </si>
  <si>
    <t xml:space="preserve">5200-1053 IT Software and Subscriptions</t>
  </si>
  <si>
    <t xml:space="preserve">5200-1054 Telephone Expenses</t>
  </si>
  <si>
    <t xml:space="preserve">5300-1050 Meals and Entertainment</t>
  </si>
  <si>
    <t xml:space="preserve">5500-1000 Legal and Professional Fees</t>
  </si>
  <si>
    <t xml:space="preserve">5500-1002 Accounting Consulting and Overhead</t>
  </si>
  <si>
    <t xml:space="preserve">5500-1004 Consultants and Other Professional Expenses</t>
  </si>
  <si>
    <t xml:space="preserve">5500-1050 General Insurance</t>
  </si>
  <si>
    <t xml:space="preserve">5700-1003 Other Utilities</t>
  </si>
  <si>
    <t xml:space="preserve">5800-1003 Consulting Fee</t>
  </si>
  <si>
    <t xml:space="preserve">5900-1000 Security Monitoring</t>
  </si>
  <si>
    <t xml:space="preserve">5900-1002 Repairs and Maintenance</t>
  </si>
  <si>
    <t xml:space="preserve">5900-1003 Janitorial and Cleaning Expenses</t>
  </si>
  <si>
    <t xml:space="preserve">5900-1005 Supplies and Other Job Site Overhead</t>
  </si>
  <si>
    <t xml:space="preserve">5900-1006 Auto and Truck Expense</t>
  </si>
  <si>
    <t xml:space="preserve">5900-1007 Landscaping</t>
  </si>
  <si>
    <t xml:space="preserve">5900-1040 Warranty and Other Job Adjustments</t>
  </si>
  <si>
    <t xml:space="preserve">5900-1075 Miscellaneous Expense</t>
  </si>
  <si>
    <t xml:space="preserve">5900-1080 Bank Service Charges</t>
  </si>
  <si>
    <t xml:space="preserve">5900-3000 Charitable Contribution</t>
  </si>
  <si>
    <t xml:space="preserve">BD Commission</t>
  </si>
  <si>
    <t xml:space="preserve">8200-2000 State Tax and Fees</t>
  </si>
  <si>
    <t xml:space="preserve">Total GC Costs</t>
  </si>
  <si>
    <t xml:space="preserve">GC Net Income</t>
  </si>
  <si>
    <t xml:space="preserve">GC Net Profit Margin %</t>
  </si>
  <si>
    <t xml:space="preserve">Six Peak Revenue</t>
  </si>
  <si>
    <t xml:space="preserve">Edgemont Management Fee</t>
  </si>
  <si>
    <t xml:space="preserve">Ramsgate Dev Fee - Construction</t>
  </si>
  <si>
    <t xml:space="preserve">Ramsgate Dev Fee - 20% Occ</t>
  </si>
  <si>
    <t xml:space="preserve">Ramsgate Dev Fee - 50% Occ</t>
  </si>
  <si>
    <t xml:space="preserve">Ramsgate Dev Fee - 90% Occ</t>
  </si>
  <si>
    <t xml:space="preserve">Crenshaw Development Fee</t>
  </si>
  <si>
    <t xml:space="preserve">12th &amp; Fir Developer Fee</t>
  </si>
  <si>
    <t xml:space="preserve">Klump Accounting Fee</t>
  </si>
  <si>
    <t xml:space="preserve">Klump Developer Fee</t>
  </si>
  <si>
    <t xml:space="preserve">Klump Guarantee Fee</t>
  </si>
  <si>
    <t xml:space="preserve">Scott Accounting Fee</t>
  </si>
  <si>
    <t xml:space="preserve">Scott Developer Fee</t>
  </si>
  <si>
    <t xml:space="preserve">Scott Guarantee Fee</t>
  </si>
  <si>
    <t xml:space="preserve">Francis LIHTC Revenue (SP Share)</t>
  </si>
  <si>
    <t xml:space="preserve">Reseda LIHTC Revenue (SP Share)</t>
  </si>
  <si>
    <t xml:space="preserve">3rd St LIHTC Revenue (SP Share)</t>
  </si>
  <si>
    <t xml:space="preserve">Uplifters Total to SP</t>
  </si>
  <si>
    <t xml:space="preserve">Non-Cash Revenue Items</t>
  </si>
  <si>
    <t xml:space="preserve">APA LLP Net Income (Six Peak 50% share)</t>
  </si>
  <si>
    <t xml:space="preserve">Total Six Peak Revenue</t>
  </si>
  <si>
    <t xml:space="preserve">Six Peak Expenses</t>
  </si>
  <si>
    <t xml:space="preserve">5200-1060 Website Design</t>
  </si>
  <si>
    <t xml:space="preserve">5200-1061 Website Hosting</t>
  </si>
  <si>
    <t xml:space="preserve">5300-1000 Travel and Lodging</t>
  </si>
  <si>
    <t xml:space="preserve">5300-1001 Public Transportation</t>
  </si>
  <si>
    <t xml:space="preserve">5300-1002 Parking</t>
  </si>
  <si>
    <t xml:space="preserve">5500-1007 Dues and Subscriptions</t>
  </si>
  <si>
    <t xml:space="preserve">5500-1009 Entity Filing and Formation Fees</t>
  </si>
  <si>
    <t xml:space="preserve">5500-1010 Investment Management Software</t>
  </si>
  <si>
    <t xml:space="preserve">5500-1053 E&amp;O/D&amp;O Insurance</t>
  </si>
  <si>
    <t xml:space="preserve">Steyn Group Guaranty Fee</t>
  </si>
  <si>
    <t xml:space="preserve">Steyn Liquidity Guarantee Fee</t>
  </si>
  <si>
    <t xml:space="preserve">Francis Steyn Fee + PIK (from LIHTC Revenue)</t>
  </si>
  <si>
    <t xml:space="preserve">Reseda Steyn Fee + PIK (from LIHTC Revenue)</t>
  </si>
  <si>
    <t xml:space="preserve">3rd St Steyn Fee + PIK (from LIHTC Revenue)</t>
  </si>
  <si>
    <t xml:space="preserve">Total Six Peak Expenses</t>
  </si>
  <si>
    <t xml:space="preserve">Six Peak Net Income</t>
  </si>
  <si>
    <t xml:space="preserve">CONSOLIDATED P&amp;L</t>
  </si>
  <si>
    <t xml:space="preserve">Total Revenue</t>
  </si>
  <si>
    <t xml:space="preserve">Total Expenses</t>
  </si>
  <si>
    <t xml:space="preserve">Consolidated Net Income</t>
  </si>
  <si>
    <t xml:space="preserve">Consolidated Margin %</t>
  </si>
  <si>
    <t xml:space="preserve">Consolidated NI — Over/(Under) Budget</t>
  </si>
  <si>
    <t xml:space="preserve">DEBT FACILITY</t>
  </si>
  <si>
    <t xml:space="preserve">Beginning Balance</t>
  </si>
  <si>
    <t xml:space="preserve">Quarterly Interest (15% / 4)</t>
  </si>
  <si>
    <t xml:space="preserve">Monthly Payment</t>
  </si>
  <si>
    <t xml:space="preserve">Ending Balance</t>
  </si>
  <si>
    <t xml:space="preserve">ROW RUN CAPITAL LLC - DEBT FACILITY</t>
  </si>
  <si>
    <t xml:space="preserve">Annual Payment (25% tranche)</t>
  </si>
  <si>
    <t xml:space="preserve">PROJECT INVESTMENT CAPITAL - DEBT FACILITY</t>
  </si>
  <si>
    <t xml:space="preserve">Klump - Beginning Balance</t>
  </si>
  <si>
    <t xml:space="preserve">Klump - Quarterly Interest</t>
  </si>
  <si>
    <t xml:space="preserve">Klump - Deal Distribution</t>
  </si>
  <si>
    <t xml:space="preserve">Klump - PIK Payment (LIHTC)</t>
  </si>
  <si>
    <t xml:space="preserve">Klump - Ending Balance</t>
  </si>
  <si>
    <t xml:space="preserve">Scott - Beginning Balance</t>
  </si>
  <si>
    <t xml:space="preserve">Scott - Quarterly Interest</t>
  </si>
  <si>
    <t xml:space="preserve">Scott - Deal Distribution</t>
  </si>
  <si>
    <t xml:space="preserve">Scott - PIK Payment (LIHTC)</t>
  </si>
  <si>
    <t xml:space="preserve">Scott - Ending Balance</t>
  </si>
  <si>
    <t xml:space="preserve">3rd St - Beginning Balance</t>
  </si>
  <si>
    <t xml:space="preserve">3rd St - Quarterly Interest</t>
  </si>
  <si>
    <t xml:space="preserve">3rd St - Deal Distribution</t>
  </si>
  <si>
    <t xml:space="preserve">3rd St - PIK Payment (LIHTC)</t>
  </si>
  <si>
    <t xml:space="preserve">3rd St - Ending Balance</t>
  </si>
  <si>
    <t xml:space="preserve">Reseda - Beginning Balance</t>
  </si>
  <si>
    <t xml:space="preserve">Reseda - Quarterly Interest</t>
  </si>
  <si>
    <t xml:space="preserve">Reseda - Deal Distribution</t>
  </si>
  <si>
    <t xml:space="preserve">Reseda - PIK Payment (LIHTC)</t>
  </si>
  <si>
    <t xml:space="preserve">Reseda - Ending Balance</t>
  </si>
  <si>
    <t xml:space="preserve">BONDING OUTSTANDING</t>
  </si>
  <si>
    <t xml:space="preserve">Total Bonding Outstanding</t>
  </si>
  <si>
    <t xml:space="preserve">CASH ON HAND</t>
  </si>
  <si>
    <t xml:space="preserve">LV (GC) Cash</t>
  </si>
  <si>
    <t xml:space="preserve">LV Beginning Cash</t>
  </si>
  <si>
    <t xml:space="preserve">LV Net Cash Flow</t>
  </si>
  <si>
    <t xml:space="preserve">LV Receivables</t>
  </si>
  <si>
    <t xml:space="preserve">LV Payables</t>
  </si>
  <si>
    <t xml:space="preserve">LV Gross Profit Collection Lag</t>
  </si>
  <si>
    <t xml:space="preserve">LV to Six Peak Liquidating Distribution</t>
  </si>
  <si>
    <t xml:space="preserve">LV Retention Withheld</t>
  </si>
  <si>
    <t xml:space="preserve">LV Retention Collected</t>
  </si>
  <si>
    <t xml:space="preserve">LV Ending Cash</t>
  </si>
  <si>
    <t xml:space="preserve">Six Peak Cash</t>
  </si>
  <si>
    <t xml:space="preserve">SP Beginning Cash</t>
  </si>
  <si>
    <t xml:space="preserve">SP Net Cash Flow</t>
  </si>
  <si>
    <t xml:space="preserve">Debt Facility Payment</t>
  </si>
  <si>
    <t xml:space="preserve">Row Run Capital Payment</t>
  </si>
  <si>
    <t xml:space="preserve">PIK Repayment (included in SP Expenses above)</t>
  </si>
  <si>
    <t xml:space="preserve">SP Ending Cash</t>
  </si>
  <si>
    <t xml:space="preserve">Consolidated Cash</t>
  </si>
  <si>
    <t xml:space="preserve">Total Beginning Cash</t>
  </si>
  <si>
    <t xml:space="preserve">Tax Distribution (30% Consol NI)</t>
  </si>
  <si>
    <t xml:space="preserve">Total Ending Cash</t>
  </si>
  <si>
    <t xml:space="preserve">Notes:</t>
  </si>
  <si>
    <t xml:space="preserve">Outstanding Steyn Fee Balances Owed (paid from future LIHTC revenue):</t>
  </si>
  <si>
    <t xml:space="preserve">3rd St: $563,546  (1% GMP + 3% liquidity requirement)</t>
  </si>
  <si>
    <t xml:space="preserve">Francis: $579,684 paid quarterly from LIHTC revenue starting Mo 42 (Sep 2029). No PIK capital invested.</t>
  </si>
  <si>
    <t xml:space="preserve">Reseda: $602,668 paid quarterly from LIHTC revenue starting Mo 45 (Dec 2029). Deal distributes $1,450,000 at project start (Mo 13).</t>
  </si>
  <si>
    <t xml:space="preserve">Six Peak Capital - Annual Summary</t>
  </si>
  <si>
    <t xml:space="preserve">GC CONSTRUCTION P&amp;L</t>
  </si>
  <si>
    <t xml:space="preserve">FY 2026</t>
  </si>
  <si>
    <t xml:space="preserve">FY 2027</t>
  </si>
  <si>
    <t xml:space="preserve">FY 2028</t>
  </si>
  <si>
    <t xml:space="preserve">FY 2029</t>
  </si>
  <si>
    <t xml:space="preserve">FY 2030</t>
  </si>
  <si>
    <t xml:space="preserve">FY 2031</t>
  </si>
  <si>
    <t xml:space="preserve">FY 2032</t>
  </si>
  <si>
    <t xml:space="preserve">FY 2033</t>
  </si>
  <si>
    <t xml:space="preserve">FY 2034</t>
  </si>
  <si>
    <t xml:space="preserve">  Other GC Income</t>
  </si>
  <si>
    <t xml:space="preserve">  GC Fee Income</t>
  </si>
  <si>
    <t xml:space="preserve">  Trades and Site Cost Billing</t>
  </si>
  <si>
    <t xml:space="preserve">  Bonding Revenue</t>
  </si>
  <si>
    <t xml:space="preserve">  Bonding Costs</t>
  </si>
  <si>
    <t xml:space="preserve">  GC Personnel</t>
  </si>
  <si>
    <t xml:space="preserve">  GC Expenses</t>
  </si>
  <si>
    <t xml:space="preserve">  SP Allocated to LV</t>
  </si>
  <si>
    <t xml:space="preserve">  BD Commission</t>
  </si>
  <si>
    <t xml:space="preserve">Consolidated Net Income (Projection)</t>
  </si>
  <si>
    <t xml:space="preserve">Steyn Group Fees</t>
  </si>
  <si>
    <t xml:space="preserve">  Completion Guaranty Fee</t>
  </si>
  <si>
    <t xml:space="preserve">  Liquidity Guarantee Fee</t>
  </si>
  <si>
    <t xml:space="preserve">  Francis Steyn Fee + PIK (LIHTC)</t>
  </si>
  <si>
    <t xml:space="preserve">  Reseda Steyn Fee + PIK (LIHTC)</t>
  </si>
  <si>
    <t xml:space="preserve">  3rd St Steyn Fee + PIK (LIHTC)</t>
  </si>
  <si>
    <t xml:space="preserve">Debt Facilities</t>
  </si>
  <si>
    <t xml:space="preserve">  Debt Facility Payment</t>
  </si>
  <si>
    <t xml:space="preserve">  Debt Facility Balance</t>
  </si>
  <si>
    <t xml:space="preserve">  Row Run Capital Payment</t>
  </si>
  <si>
    <t xml:space="preserve">  Row Run Capital Balance</t>
  </si>
  <si>
    <t xml:space="preserve">  PIK Repayment (in Steyn + PIK above)</t>
  </si>
  <si>
    <t xml:space="preserve">  Investment Capital Outstanding</t>
  </si>
  <si>
    <t xml:space="preserve">Bonding Outstanding</t>
  </si>
  <si>
    <t xml:space="preserve">Six Peak Capital - QTR Summary</t>
  </si>
  <si>
    <t xml:space="preserve">Q1 2026</t>
  </si>
  <si>
    <t xml:space="preserve">Q2 2026</t>
  </si>
  <si>
    <t xml:space="preserve">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</si>
  <si>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</si>
  <si>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</si>
  <si>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</si>
  <si>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</si>
  <si>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</si>
  <si>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</si>
  <si>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</si>
  <si>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</si>
  <si>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</si>
  <si>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</si>
  <si>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</si>
  <si>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Q3 2029</t>
  </si>
  <si>
    <t xml:space="preserve">Q4 2029</t>
  </si>
  <si>
    <t xml:space="preserve">Q1 2030</t>
  </si>
  <si>
    <t xml:space="preserve">Q2 2030</t>
  </si>
  <si>
    <t xml:space="preserve">Q3 2030</t>
  </si>
  <si>
    <t xml:space="preserve">Q4 2030</t>
  </si>
  <si>
    <t xml:space="preserve">Q1 2031</t>
  </si>
  <si>
    <t xml:space="preserve">Q2 2031</t>
  </si>
  <si>
    <t xml:space="preserve">Q3 2031</t>
  </si>
  <si>
    <t xml:space="preserve">Q4 2031</t>
  </si>
  <si>
    <t xml:space="preserve">Q1 2032</t>
  </si>
  <si>
    <t xml:space="preserve">Q2 2032</t>
  </si>
  <si>
    <t xml:space="preserve">Q3 2032</t>
  </si>
  <si>
    <t xml:space="preserve">Q4 2032</t>
  </si>
  <si>
    <t xml:space="preserve">Q1 2033</t>
  </si>
  <si>
    <t xml:space="preserve">Q2 2033</t>
  </si>
  <si>
    <t xml:space="preserve">Q3 2033</t>
  </si>
  <si>
    <t xml:space="preserve">Q4 2033</t>
  </si>
  <si>
    <t xml:space="preserve">Q1 2034</t>
  </si>
  <si>
    <t xml:space="preserve">Q2 2034</t>
  </si>
  <si>
    <t xml:space="preserve">Q3 2034</t>
  </si>
  <si>
    <t xml:space="preserve">Q4 2034</t>
  </si>
  <si>
    <t xml:space="preserve">ACTUALS — monthly input area</t>
  </si>
  <si>
    <t xml:space="preserve">Enter close numbers from Yardi here. Blank = no actual yet (Model uses forecast).</t>
  </si>
  <si>
    <t xml:space="preserve">Project Supervision Revenue</t>
  </si>
  <si>
    <t xml:space="preserve">Project Administration Revenue</t>
  </si>
  <si>
    <t xml:space="preserve">COGS — Trades &amp; Site Costs</t>
  </si>
  <si>
    <t xml:space="preserve">Equip. Rental + D&amp;A (P&amp;L true-up)</t>
  </si>
  <si>
    <t xml:space="preserve">Interest, Tax &amp; Amort (P&amp;L true-up)</t>
  </si>
  <si>
    <t xml:space="preserve">VARIANCE — Original Budget vs Actual</t>
  </si>
  <si>
    <t xml:space="preserve">Variance computes for any month with actuals entered.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</si>
  <si>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</si>
  <si>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</si>
  <si>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</si>
  <si>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</si>
  <si>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</si>
  <si>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</si>
  <si>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</si>
  <si>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</si>
  <si>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</si>
  <si>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</si>
  <si>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</si>
  <si>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</si>
  <si>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YTD 2026 (Actuals only)</t>
  </si>
  <si>
    <t xml:space="preserve">Line Item</t>
  </si>
  <si>
    <t xml:space="preserve">Budget</t>
  </si>
  <si>
    <t xml:space="preserve">Actual</t>
  </si>
  <si>
    <t xml:space="preserve">$ Var</t>
  </si>
  <si>
    <t xml:space="preserve">% Var</t>
  </si>
  <si>
    <t xml:space="preserve">YTD Budget</t>
  </si>
  <si>
    <t xml:space="preserve">YTD Actual</t>
  </si>
  <si>
    <t xml:space="preserve">YTD $ Var</t>
  </si>
  <si>
    <t xml:space="preserve">GC Placeholder — Future Cost A</t>
  </si>
  <si>
    <t xml:space="preserve">GC Placeholder — Future Cost C</t>
  </si>
  <si>
    <t xml:space="preserve">TOTAL — sum of all P&amp;L lines</t>
  </si>
  <si>
    <t xml:space="preserve">BD COMMISSION ANALYSIS</t>
  </si>
  <si>
    <t xml:space="preserve">Annual breakdown of BD-sourced billing, gross profit, commission, and Tom's total comp.</t>
  </si>
  <si>
    <t xml:space="preserve">Fiscal Year</t>
  </si>
  <si>
    <t xml:space="preserve">BD Trades &amp; Site Billing</t>
  </si>
  <si>
    <t xml:space="preserve">BD Other GC Income</t>
  </si>
  <si>
    <t xml:space="preserve">BD GC Fee Income</t>
  </si>
  <si>
    <t xml:space="preserve">(folded into Other GC)</t>
  </si>
  <si>
    <t xml:space="preserve">BD Construction Billing (Total)</t>
  </si>
  <si>
    <t xml:space="preserve">GC Gross Profit (FY)</t>
  </si>
  <si>
    <t xml:space="preserve">BD Gross Profit</t>
  </si>
  <si>
    <t xml:space="preserve">BD Commission (10%)</t>
  </si>
  <si>
    <t xml:space="preserve">Tom Base Salary</t>
  </si>
  <si>
    <t xml:space="preserve">Total Comp to Tom</t>
  </si>
  <si>
    <t xml:space="preserve">Commission % of Total Comp</t>
  </si>
  <si>
    <t xml:space="preserve">HVN BD Billing</t>
  </si>
  <si>
    <t xml:space="preserve">Non-HVN BD Billing</t>
  </si>
  <si>
    <t xml:space="preserve">HVN GP</t>
  </si>
  <si>
    <t xml:space="preserve">Non-HVN GP</t>
  </si>
  <si>
    <t xml:space="preserve">HVN Tier Rate</t>
  </si>
  <si>
    <t xml:space="preserve">HVN Commission</t>
  </si>
  <si>
    <t xml:space="preserve">Non-HVN Commission</t>
  </si>
  <si>
    <t xml:space="preserve">TOTAL</t>
  </si>
  <si>
    <t xml:space="preserve">• BD figures pull from Helpers BD memo (rows 96-101)</t>
  </si>
  <si>
    <t xml:space="preserve">• BD fees split: Other GC Income (Supervision+Admin) and GC Fee Income (GC-CM)</t>
  </si>
  <si>
    <t xml:space="preserve">• Commission floors at $0 each month (Model R51 formula)</t>
  </si>
  <si>
    <t xml:space="preserve">• Bonding revenue + costs excluded from BD math</t>
  </si>
  <si>
    <t xml:space="preserve">• Tom Base Salary FROZEN at Personnel!C38 ($222K) — no escalation (CY26 prorated to 9 mo)</t>
  </si>
  <si>
    <t xml:space="preserve">• HVN deals flagged on Projects column M (first 2 BD deals by start month per CY)</t>
  </si>
  <si>
    <t xml:space="preserve">• HVN/Non-HVN billings split via Model row 211 (HVN-only) vs row 200 (total)</t>
  </si>
  <si>
    <t xml:space="preserve">• HVN GP allocated proportionally: GP × (HVN billing / total billing)</t>
  </si>
  <si>
    <t xml:space="preserve">• HVN commission rate tiered annually by non-HVN billings — see Assumptions!A79</t>
  </si>
  <si>
    <t xml:space="preserve">• Total Commission (col I) floored at $0; flows to Model row 51 monthly via I/H × monthly GP</t>
  </si>
  <si>
    <t xml:space="preserve">ORIGINAL BUDGET — frozen v26 forecast snapshot</t>
  </si>
  <si>
    <t xml:space="preserve">Anchor for variance reporting. Do not edit.</t>
  </si>
  <si>
    <t xml:space="preserve">GC-CM Fee Revenue</t>
  </si>
  <si>
    <t xml:space="preserve">Project</t>
  </si>
  <si>
    <t xml:space="preserve">Contract Value</t>
  </si>
  <si>
    <t xml:space="preserve">Start Month</t>
  </si>
  <si>
    <t xml:space="preserve">Duration</t>
  </si>
  <si>
    <t xml:space="preserve">Curve</t>
  </si>
  <si>
    <t xml:space="preserve">Bonded</t>
  </si>
  <si>
    <t xml:space="preserve">Active</t>
  </si>
  <si>
    <t xml:space="preserve">Bond Tier</t>
  </si>
  <si>
    <t xml:space="preserve">Bond Cost Rate</t>
  </si>
  <si>
    <t xml:space="preserve">Steyn Guaranty</t>
  </si>
  <si>
    <t xml:space="preserve">LIHTC</t>
  </si>
  <si>
    <t xml:space="preserve">Type</t>
  </si>
  <si>
    <t xml:space="preserve">Total Supervision</t>
  </si>
  <si>
    <t xml:space="preserve">Total GC-CM Fee</t>
  </si>
  <si>
    <t xml:space="preserve">Total Admin</t>
  </si>
  <si>
    <t xml:space="preserve">Total Fee Revenue</t>
  </si>
  <si>
    <t xml:space="preserve">Last Pay App (5% Retention)</t>
  </si>
  <si>
    <t xml:space="preserve">Last Month Date</t>
  </si>
  <si>
    <t xml:space="preserve">Bond Rev Rate</t>
  </si>
  <si>
    <t xml:space="preserve">No</t>
  </si>
  <si>
    <t xml:space="preserve">Yes</t>
  </si>
  <si>
    <t xml:space="preserve">GC + Developer</t>
  </si>
  <si>
    <t xml:space="preserve">3rd Party GC</t>
  </si>
  <si>
    <t xml:space="preserve">HVN?</t>
  </si>
  <si>
    <t xml:space="preserve">Name</t>
  </si>
  <si>
    <t xml:space="preserve">Role</t>
  </si>
  <si>
    <t xml:space="preserve">Annual Salary</t>
  </si>
  <si>
    <t xml:space="preserve">Monthly Cost</t>
  </si>
  <si>
    <t xml:space="preserve">Consult %</t>
  </si>
  <si>
    <t xml:space="preserve">LV Alloc %</t>
  </si>
  <si>
    <t xml:space="preserve">Category</t>
  </si>
  <si>
    <t xml:space="preserve">End Month</t>
  </si>
  <si>
    <t xml:space="preserve">Kim Moreno</t>
  </si>
  <si>
    <t xml:space="preserve">Project Coordinator/Admin</t>
  </si>
  <si>
    <t xml:space="preserve">GC</t>
  </si>
  <si>
    <t xml:space="preserve">Corporate</t>
  </si>
  <si>
    <t xml:space="preserve">Grady LaKamp (Corporate)</t>
  </si>
  <si>
    <t xml:space="preserve">Executive</t>
  </si>
  <si>
    <t xml:space="preserve">Joe LaKamp (Corporate)</t>
  </si>
  <si>
    <t xml:space="preserve">Pedro Rosalas (Corporate)</t>
  </si>
  <si>
    <t xml:space="preserve">Project Manager</t>
  </si>
  <si>
    <t xml:space="preserve">Greg Smith (Corporate)</t>
  </si>
  <si>
    <t xml:space="preserve">Grady LaKamp (Field)</t>
  </si>
  <si>
    <t xml:space="preserve">Field</t>
  </si>
  <si>
    <t xml:space="preserve">Joe LaKamp (Field)</t>
  </si>
  <si>
    <t xml:space="preserve">Pedro Rosalas (Field)</t>
  </si>
  <si>
    <t xml:space="preserve">Greg Smith (Field)</t>
  </si>
  <si>
    <t xml:space="preserve">Henry Vera</t>
  </si>
  <si>
    <t xml:space="preserve">Asst Project Manager</t>
  </si>
  <si>
    <t xml:space="preserve">Dorian Puentes</t>
  </si>
  <si>
    <t xml:space="preserve">Roy Torries</t>
  </si>
  <si>
    <t xml:space="preserve">Lucy Mohler</t>
  </si>
  <si>
    <t xml:space="preserve">Francis APM</t>
  </si>
  <si>
    <t xml:space="preserve">Brisa Sanchez</t>
  </si>
  <si>
    <t xml:space="preserve">Project Coordinator</t>
  </si>
  <si>
    <t xml:space="preserve">Alina Akopian</t>
  </si>
  <si>
    <t xml:space="preserve">Mike Savaikie</t>
  </si>
  <si>
    <t xml:space="preserve">Senior Superintendent</t>
  </si>
  <si>
    <t xml:space="preserve">Daniel Carrillo</t>
  </si>
  <si>
    <t xml:space="preserve">Alex Gottlieb</t>
  </si>
  <si>
    <t xml:space="preserve">Steve Garcia</t>
  </si>
  <si>
    <t xml:space="preserve">Acama Sr Super</t>
  </si>
  <si>
    <t xml:space="preserve">Reseda Sr Super</t>
  </si>
  <si>
    <t xml:space="preserve">Nick Donald</t>
  </si>
  <si>
    <t xml:space="preserve">Site Superintendent</t>
  </si>
  <si>
    <t xml:space="preserve">Logan Terriquez</t>
  </si>
  <si>
    <t xml:space="preserve">Jesus Castellanos</t>
  </si>
  <si>
    <t xml:space="preserve">Taylor Flores</t>
  </si>
  <si>
    <t xml:space="preserve">Placeholder Asst Super</t>
  </si>
  <si>
    <t xml:space="preserve">Asst Superintendent</t>
  </si>
  <si>
    <t xml:space="preserve">Ivan Delgado</t>
  </si>
  <si>
    <t xml:space="preserve">Field Engineer</t>
  </si>
  <si>
    <t xml:space="preserve">Jonah Dobkin</t>
  </si>
  <si>
    <t xml:space="preserve">Carlos Rocha</t>
  </si>
  <si>
    <t xml:space="preserve">Laborer</t>
  </si>
  <si>
    <t xml:space="preserve">Devis Tejada</t>
  </si>
  <si>
    <t xml:space="preserve">Albert Wolfe</t>
  </si>
  <si>
    <t xml:space="preserve">Six Peak Capital Personnel</t>
  </si>
  <si>
    <t xml:space="preserve">Chris Aiello</t>
  </si>
  <si>
    <t xml:space="preserve">Partner</t>
  </si>
  <si>
    <t xml:space="preserve">SixPeak</t>
  </si>
  <si>
    <t xml:space="preserve">SP</t>
  </si>
  <si>
    <t xml:space="preserve">Bob Kennedy</t>
  </si>
  <si>
    <t xml:space="preserve">Tom Taggart</t>
  </si>
  <si>
    <t xml:space="preserve">Asset Mgmt/Bus Dev</t>
  </si>
  <si>
    <t xml:space="preserve">Schuyler Dietz</t>
  </si>
  <si>
    <t xml:space="preserve">Associate</t>
  </si>
  <si>
    <t xml:space="preserve">Derek Sanders</t>
  </si>
  <si>
    <t xml:space="preserve">Director of Development</t>
  </si>
  <si>
    <t xml:space="preserve">Robert Carrega</t>
  </si>
  <si>
    <t xml:space="preserve">Controller</t>
  </si>
  <si>
    <t xml:space="preserve">Chris Andresen</t>
  </si>
  <si>
    <t xml:space="preserve">CFO</t>
  </si>
  <si>
    <t xml:space="preserve">Uplifters Foundation — Development Fee Program</t>
  </si>
  <si>
    <t xml:space="preserve">PROGRAM OVERVIEW</t>
  </si>
  <si>
    <t xml:space="preserve">Program Name</t>
  </si>
  <si>
    <t xml:space="preserve">Program Duration</t>
  </si>
  <si>
    <t xml:space="preserve">5 Years (Jan 2027 – Dec 2031)</t>
  </si>
  <si>
    <t xml:space="preserve">Total Properties</t>
  </si>
  <si>
    <t xml:space="preserve">Property Type</t>
  </si>
  <si>
    <t xml:space="preserve">Single-Family Residential (no ADUs)</t>
  </si>
  <si>
    <t xml:space="preserve">Avg Lot Price</t>
  </si>
  <si>
    <t xml:space="preserve">Avg Construction Cost</t>
  </si>
  <si>
    <t xml:space="preserve">Avg Sale Price</t>
  </si>
  <si>
    <t xml:space="preserve">ANNUAL P&amp;L SUMMARY</t>
  </si>
  <si>
    <t xml:space="preserve">Total</t>
  </si>
  <si>
    <t xml:space="preserve">Staffing Cost</t>
  </si>
  <si>
    <t xml:space="preserve">Other OpEx</t>
  </si>
  <si>
    <t xml:space="preserve">Net Fee Income</t>
  </si>
  <si>
    <t xml:space="preserve">SP Overhead Fee (to Six Peak)</t>
  </si>
  <si>
    <t xml:space="preserve">Net Before Bonus</t>
  </si>
  <si>
    <t xml:space="preserve">Schuyler Bonus (40/45/50%)</t>
  </si>
  <si>
    <t xml:space="preserve">NI After Bonus (to Six Peak)</t>
  </si>
  <si>
    <t xml:space="preserve">Total to Six Peak</t>
  </si>
  <si>
    <t xml:space="preserve">ACQUISITION SCHEDULE</t>
  </si>
  <si>
    <t xml:space="preserve">Phase</t>
  </si>
  <si>
    <t xml:space="preserve">Properties</t>
  </si>
  <si>
    <t xml:space="preserve">Timing</t>
  </si>
  <si>
    <t xml:space="preserve">Status</t>
  </si>
  <si>
    <t xml:space="preserve">Phase 1 — Initial Acquisitions</t>
  </si>
  <si>
    <t xml:space="preserve">Jan – Jun 2027 (Mo 10-15)</t>
  </si>
  <si>
    <t xml:space="preserve">Acquisition</t>
  </si>
  <si>
    <t xml:space="preserve">Phase 2 — Ramp Up</t>
  </si>
  <si>
    <t xml:space="preserve">Jul 2027 – Jun 2028 (Mo 16-27)</t>
  </si>
  <si>
    <t xml:space="preserve">Acquisition → Development</t>
  </si>
  <si>
    <t xml:space="preserve">Phase 3 — Continued Buying</t>
  </si>
  <si>
    <t xml:space="preserve">Jul 2028 – Jun 2029 (Mo 28-39)</t>
  </si>
  <si>
    <t xml:space="preserve">Development → Leasing</t>
  </si>
  <si>
    <t xml:space="preserve">Phase 4 — Final Batch</t>
  </si>
  <si>
    <t xml:space="preserve">Jul 2029 – Jun 2030 (Mo 40-51)</t>
  </si>
  <si>
    <t xml:space="preserve">Leasing → Exits</t>
  </si>
  <si>
    <t xml:space="preserve">Jan 2027 – Jun 2030</t>
  </si>
  <si>
    <t xml:space="preserve">FEE STRUCTURE</t>
  </si>
  <si>
    <t xml:space="preserve">Fee Category</t>
  </si>
  <si>
    <t xml:space="preserve">Rate</t>
  </si>
  <si>
    <t xml:space="preserve">Basis</t>
  </si>
  <si>
    <t xml:space="preserve">Per Property</t>
  </si>
  <si>
    <t xml:space="preserve">× 60</t>
  </si>
  <si>
    <t xml:space="preserve">Notes</t>
  </si>
  <si>
    <t xml:space="preserve">Acquisition Fee</t>
  </si>
  <si>
    <t xml:space="preserve">1%</t>
  </si>
  <si>
    <t xml:space="preserve">Lot Price ($1,400,000)</t>
  </si>
  <si>
    <t xml:space="preserve">At closing</t>
  </si>
  <si>
    <t xml:space="preserve">Development Mgmt Fee</t>
  </si>
  <si>
    <t xml:space="preserve">6%</t>
  </si>
  <si>
    <t xml:space="preserve">Construction ($1,609,391)</t>
  </si>
  <si>
    <t xml:space="preserve">During renovation</t>
  </si>
  <si>
    <t xml:space="preserve">Leasing Commission</t>
  </si>
  <si>
    <t xml:space="preserve">3%</t>
  </si>
  <si>
    <t xml:space="preserve">Annual Rent ($180,000)</t>
  </si>
  <si>
    <t xml:space="preserve">At lease-up</t>
  </si>
  <si>
    <t xml:space="preserve">Exit / Disposition Fee</t>
  </si>
  <si>
    <t xml:space="preserve">Sale Price ($3,419,763)</t>
  </si>
  <si>
    <t xml:space="preserve">At disposition</t>
  </si>
  <si>
    <t xml:space="preserve">STAFFING &amp; COMPENSATION</t>
  </si>
  <si>
    <t xml:space="preserve">Annual Comp</t>
  </si>
  <si>
    <t xml:space="preserve">Monthly</t>
  </si>
  <si>
    <t xml:space="preserve">Start</t>
  </si>
  <si>
    <t xml:space="preserve">End</t>
  </si>
  <si>
    <t xml:space="preserve">Months</t>
  </si>
  <si>
    <t xml:space="preserve">Total Cost</t>
  </si>
  <si>
    <t xml:space="preserve">Project Manager 1</t>
  </si>
  <si>
    <t xml:space="preserve">Mo 11</t>
  </si>
  <si>
    <t xml:space="preserve">Mo 57</t>
  </si>
  <si>
    <t xml:space="preserve">Mo 14</t>
  </si>
  <si>
    <t xml:space="preserve">Accountant</t>
  </si>
  <si>
    <t xml:space="preserve">Mo 19</t>
  </si>
  <si>
    <t xml:space="preserve">Project Manager 2</t>
  </si>
  <si>
    <t xml:space="preserve">Mo 27</t>
  </si>
  <si>
    <t xml:space="preserve">Total Staffing Cost</t>
  </si>
  <si>
    <t xml:space="preserve">OTHER OPERATING EXPENSES</t>
  </si>
  <si>
    <t xml:space="preserve">Expense</t>
  </si>
  <si>
    <t xml:space="preserve">Annual</t>
  </si>
  <si>
    <t xml:space="preserve">Years</t>
  </si>
  <si>
    <t xml:space="preserve">Accounting / Audit / Tax</t>
  </si>
  <si>
    <t xml:space="preserve">Insurance</t>
  </si>
  <si>
    <t xml:space="preserve">Office Space</t>
  </si>
  <si>
    <t xml:space="preserve">Computer / Internet</t>
  </si>
  <si>
    <t xml:space="preserve">Total Other OpEx</t>
  </si>
  <si>
    <t xml:space="preserve">Note: Legal ($25K/project) is a deal cost in closing, not in P&amp;L</t>
  </si>
  <si>
    <t xml:space="preserve">ECONOMICS SUMMARY (CONFIRMED)</t>
  </si>
  <si>
    <t xml:space="preserve">Total Fee Revenue (60 properties)</t>
  </si>
  <si>
    <t xml:space="preserve">SP Overhead (10% Revenue, max $150K/yr)</t>
  </si>
  <si>
    <t xml:space="preserve">Schuyler Bonus (40/45/50% tiered)</t>
  </si>
  <si>
    <t xml:space="preserve">LEADERSHIP &amp; ORGANIZATION</t>
  </si>
  <si>
    <t xml:space="preserve">Responsibility</t>
  </si>
  <si>
    <t xml:space="preserve">Program Lead</t>
  </si>
  <si>
    <t xml:space="preserve">Day-to-day leadership. Manages acquisitions, development oversight, investor relations. 40% bonus on net income.</t>
  </si>
  <si>
    <t xml:space="preserve">Leadership</t>
  </si>
  <si>
    <t xml:space="preserve">Senior leadership and strategic direction. Works directly with Schuyler on execution.</t>
  </si>
  <si>
    <t xml:space="preserve">PM Advisory</t>
  </si>
  <si>
    <t xml:space="preserve">Advises on PM employees. Guidance on renovation scoping, contractor mgmt, PM development.</t>
  </si>
  <si>
    <t xml:space="preserve">Accounting &amp; Back Office</t>
  </si>
  <si>
    <t xml:space="preserve">Manages accounting, financial reporting, and back office with Robert Carrega.</t>
  </si>
  <si>
    <t xml:space="preserve">Supports accounting and back office processes alongside Chris Andresen.</t>
  </si>
  <si>
    <t xml:space="preserve">Acquisitions &amp; Field</t>
  </si>
  <si>
    <t xml:space="preserve">Assists in acquisitions. Available on-the-ground resource daily for program execution.</t>
  </si>
  <si>
    <t xml:space="preserve">NOTES &amp; ASSUMPTIONS</t>
  </si>
  <si>
    <t xml:space="preserve">1.</t>
  </si>
  <si>
    <t xml:space="preserve">All 60 properties are single-family residential. No ADUs.</t>
  </si>
  <si>
    <t xml:space="preserve">2.</t>
  </si>
  <si>
    <t xml:space="preserve">Avg lot price: $1,400,000. Avg construction: $1,609,391. Avg sale: $3,419,763.</t>
  </si>
  <si>
    <t xml:space="preserve">3.</t>
  </si>
  <si>
    <t xml:space="preserve">Fees: 1% acquisition on lot, 6% development on construction, 3% leasing on rent ($180K/yr), 1% exit on sale.</t>
  </si>
  <si>
    <t xml:space="preserve">4.</t>
  </si>
  <si>
    <t xml:space="preserve">Legal ($25K/project) is a deal cost in closing, not in the Uplifters P&amp;L.</t>
  </si>
  <si>
    <t xml:space="preserve">5.</t>
  </si>
  <si>
    <t xml:space="preserve">SP Overhead is 10% of all fee revenue, capped at $150,000 per year, retained by Six Peak.</t>
  </si>
  <si>
    <t xml:space="preserve">6.</t>
  </si>
  <si>
    <t xml:space="preserve">Schuyler bonus: 40% on first 20 deals (Mo 10-24), 45% on next 20 (Mo 25-37), 50% on final 20 (Mo 38+). Paid on positive months only.</t>
  </si>
  <si>
    <t xml:space="preserve">7.</t>
  </si>
  <si>
    <t xml:space="preserve">Staffing: PM1 ($125K) Mo 11 (3 mo before first construction); PC ($90K) Mo 14 (after 4th acquisition); Accountant ($110K) Mo 19 (after 10th acquisition); PM2 ($125K) Mo 27 (at 24th acquisition).</t>
  </si>
  <si>
    <t xml:space="preserve">8.</t>
  </si>
  <si>
    <t xml:space="preserve">Other OpEx: Acctg/Audit/Tax ($40K/yr), Insurance ($20K/yr), Office ($2,500/mo), Computer ($24K/yr).</t>
  </si>
  <si>
    <t xml:space="preserve">9.</t>
  </si>
  <si>
    <t xml:space="preserve">Six Peak does NOT perform construction. All renovation contracted to third-party builders.</t>
  </si>
  <si>
    <t xml:space="preserve">10.</t>
  </si>
  <si>
    <t xml:space="preserve">Program: Jan 2027 (Mo 10) through Dec 2031. Revenue recognized as fees are earned.</t>
  </si>
  <si>
    <t xml:space="preserve">11.</t>
  </si>
  <si>
    <t xml:space="preserve">No debt will be used in the acquisition or development of the properties. All-equity structure.</t>
  </si>
  <si>
    <t xml:space="preserve">SP INTEGRATION ASSUMPTIONS</t>
  </si>
  <si>
    <t xml:space="preserve">SP Overhead Rate</t>
  </si>
  <si>
    <t xml:space="preserve">SP Overhead Annual Cap</t>
  </si>
  <si>
    <t xml:space="preserve">Schuyler Bonus Rates</t>
  </si>
  <si>
    <t xml:space="preserve">40% (1-20) / 45% (21-40) / 50% (41-60)</t>
  </si>
  <si>
    <t xml:space="preserve">MONTHLY P&amp;L</t>
  </si>
  <si>
    <t xml:space="preserve">Six Peak Capital - GC + Developer Deal Profitability (Net of Steyn Fees)</t>
  </si>
  <si>
    <t xml:space="preserve">  Revenue</t>
  </si>
  <si>
    <t xml:space="preserve">  Net to Six Peak</t>
  </si>
  <si>
    <t xml:space="preserve">  Cumulative Net</t>
  </si>
  <si>
    <t xml:space="preserve">  Steyn Fees</t>
  </si>
  <si>
    <t xml:space="preserve">ALL GC + DEVELOPER DEALS</t>
  </si>
  <si>
    <t xml:space="preserve">Total Net to Six Peak</t>
  </si>
  <si>
    <t xml:space="preserve">Total Cumulative Net</t>
  </si>
  <si>
    <t xml:space="preserve">First Month of Positive Net Income by Deal:</t>
  </si>
  <si>
    <t xml:space="preserve">  Crenshaw:</t>
  </si>
  <si>
    <t xml:space="preserve">  Ramsgate:</t>
  </si>
  <si>
    <t xml:space="preserve">  Klump:</t>
  </si>
  <si>
    <t xml:space="preserve">  Scott:</t>
  </si>
  <si>
    <t xml:space="preserve">  Francis:</t>
  </si>
  <si>
    <t xml:space="preserve">  Reseda:</t>
  </si>
  <si>
    <t xml:space="preserve">  3rd St:</t>
  </si>
  <si>
    <t xml:space="preserve">Beyond model period</t>
  </si>
  <si>
    <t xml:space="preserve">  All Deals Combined:</t>
  </si>
  <si>
    <t xml:space="preserve">Six Peak Capital - Sensitivity Analysis</t>
  </si>
  <si>
    <t xml:space="preserve">KEY ASSUMPTIONS (Change Yellow Cells for Analysis)</t>
  </si>
  <si>
    <t xml:space="preserve">Assumption</t>
  </si>
  <si>
    <t xml:space="preserve">Base Case</t>
  </si>
  <si>
    <t xml:space="preserve">Scenario</t>
  </si>
  <si>
    <t xml:space="preserve">Low</t>
  </si>
  <si>
    <t xml:space="preserve">High</t>
  </si>
  <si>
    <t xml:space="preserve">Unit</t>
  </si>
  <si>
    <t xml:space="preserve">GC Fee Rate (Supervision)</t>
  </si>
  <si>
    <t xml:space="preserve">%</t>
  </si>
  <si>
    <t xml:space="preserve">Each 1% ≈ $1.2M cumulative revenue impact</t>
  </si>
  <si>
    <t xml:space="preserve">GC-CM Fee Rate</t>
  </si>
  <si>
    <t xml:space="preserve">Admin Fee Rate</t>
  </si>
  <si>
    <t xml:space="preserve">Each 1% ≈ $400K cumulative revenue impact</t>
  </si>
  <si>
    <t xml:space="preserve">Annual Escalation Rate</t>
  </si>
  <si>
    <t xml:space="preserve">Impacts personnel costs &amp; revenue over time</t>
  </si>
  <si>
    <t xml:space="preserve">Bonding Revenue Rate</t>
  </si>
  <si>
    <t xml:space="preserve">One-time revenue at project start</t>
  </si>
  <si>
    <t xml:space="preserve">Tier 1 Bond Cost Rate</t>
  </si>
  <si>
    <t xml:space="preserve">Annual cost on bonded projects</t>
  </si>
  <si>
    <t xml:space="preserve">Tier 2 Bond Cost Rate</t>
  </si>
  <si>
    <t xml:space="preserve">Reseda/3rd St bonding costs</t>
  </si>
  <si>
    <t xml:space="preserve">Debt Facility Interest Rate</t>
  </si>
  <si>
    <t xml:space="preserve">PE debt at $1.6M starting balance</t>
  </si>
  <si>
    <t xml:space="preserve">Monthly Debt Payment</t>
  </si>
  <si>
    <t xml:space="preserve">$</t>
  </si>
  <si>
    <t xml:space="preserve">PE debt monthly payment</t>
  </si>
  <si>
    <t xml:space="preserve">PIK Accrual Rate</t>
  </si>
  <si>
    <t xml:space="preserve">Steyn investment capital return</t>
  </si>
  <si>
    <t xml:space="preserve">Steyn Completion Guaranty Rate</t>
  </si>
  <si>
    <t xml:space="preserve">1% of GMP for Steyn projects</t>
  </si>
  <si>
    <t xml:space="preserve">Steyn Liquidity Fee Rate</t>
  </si>
  <si>
    <t xml:space="preserve">3% of liquidity requirement</t>
  </si>
  <si>
    <t xml:space="preserve">GC Headcount Growth (New Hires)</t>
  </si>
  <si>
    <t xml:space="preserve">#</t>
  </si>
  <si>
    <t xml:space="preserve">Number of new hires over model period</t>
  </si>
  <si>
    <t xml:space="preserve">SP Monthly Operating Expenses</t>
  </si>
  <si>
    <t xml:space="preserve">Total SP monthly opex (rent+IT+etc.)</t>
  </si>
  <si>
    <t xml:space="preserve">PROJECT TOGGLE (Change to Yes/No on Projects Tab)</t>
  </si>
  <si>
    <t xml:space="preserve">GMP</t>
  </si>
  <si>
    <t xml:space="preserve">Steyn</t>
  </si>
  <si>
    <t xml:space="preserve">Dev</t>
  </si>
  <si>
    <t xml:space="preserve">8 mo</t>
  </si>
  <si>
    <t xml:space="preserve">16 mo</t>
  </si>
  <si>
    <t xml:space="preserve">3PGC</t>
  </si>
  <si>
    <t xml:space="preserve">15 mo</t>
  </si>
  <si>
    <t xml:space="preserve">19 mo</t>
  </si>
  <si>
    <t xml:space="preserve">24 mo</t>
  </si>
  <si>
    <t xml:space="preserve">30 mo</t>
  </si>
  <si>
    <t xml:space="preserve">ANNUAL RESULTS (Live from Model)</t>
  </si>
  <si>
    <t xml:space="preserve">Metric</t>
  </si>
  <si>
    <t xml:space="preserve">Total GC Revenue</t>
  </si>
  <si>
    <t xml:space="preserve">GC Profit Margin %</t>
  </si>
  <si>
    <t xml:space="preserve">PIK Outstanding</t>
  </si>
  <si>
    <t xml:space="preserve">GC REVENUE SENSITIVITY — Total Fee Revenue by Rate Combination</t>
  </si>
  <si>
    <t xml:space="preserve">Combined GMP: $251,968,791  |  Shows total fee revenue (Sup+GC+Admin) at different rate/overhead combos</t>
  </si>
  <si>
    <t xml:space="preserve">Total Fee Rate ↓  /  Overhead Rate →</t>
  </si>
  <si>
    <t xml:space="preserve">CASH POSITION ANALYSIS</t>
  </si>
  <si>
    <t xml:space="preserve">Entity</t>
  </si>
  <si>
    <t xml:space="preserve">Starting Cash</t>
  </si>
  <si>
    <t xml:space="preserve">FY 2027 Cash</t>
  </si>
  <si>
    <t xml:space="preserve">FY 2029 Cash</t>
  </si>
  <si>
    <t xml:space="preserve">FY 2031 Cash</t>
  </si>
  <si>
    <t xml:space="preserve">FY 2033 Cash</t>
  </si>
  <si>
    <t xml:space="preserve">LV (GC)</t>
  </si>
  <si>
    <t xml:space="preserve">Six Peak</t>
  </si>
  <si>
    <t xml:space="preserve">Consolidated</t>
  </si>
  <si>
    <t xml:space="preserve">STEYN GROUP — INVESTMENT &amp; FEE SUMMARY</t>
  </si>
  <si>
    <t xml:space="preserve">Completion Guaranty</t>
  </si>
  <si>
    <t xml:space="preserve">Liquidity Fee</t>
  </si>
  <si>
    <t xml:space="preserve">PIK Invested</t>
  </si>
  <si>
    <t xml:space="preserve">Total Steyn Fees</t>
  </si>
  <si>
    <t xml:space="preserve">LIHTC Payback</t>
  </si>
  <si>
    <t xml:space="preserve">Non-LIHTC — paid at start</t>
  </si>
  <si>
    <t xml:space="preserve">Quarterly from LIHTC rev</t>
  </si>
  <si>
    <t xml:space="preserve">Pending — no revenue yet</t>
  </si>
  <si>
    <t xml:space="preserve">TIER 2 BONDING SENSITIVITY — Reseda &amp; 3rd St</t>
  </si>
  <si>
    <t xml:space="preserve">Tier 2 Bonded GMP (Reseda + 3rd St)</t>
  </si>
  <si>
    <t xml:space="preserve">Current Tier 2 Rate</t>
  </si>
  <si>
    <t xml:space="preserve">Proposed Tier 2 Rate</t>
  </si>
  <si>
    <t xml:space="preserve">Current Cost (3.25%)</t>
  </si>
  <si>
    <t xml:space="preserve">Reduced Cost (1.50%)</t>
  </si>
  <si>
    <t xml:space="preserve">Annual Savings</t>
  </si>
  <si>
    <t xml:space="preserve">BONDING LIQUIDITY — 2.5% of Outstanding</t>
  </si>
  <si>
    <t xml:space="preserve">Assumes 2.5% liquidity required on total bonding outstanding. Tax distributions estimated at ~5% of GC NI.</t>
  </si>
  <si>
    <t xml:space="preserve">Bonding Outstanding (Year-End)</t>
  </si>
  <si>
    <t xml:space="preserve">2.5% Liquidity Requirement</t>
  </si>
  <si>
    <t xml:space="preserve">Total Ending Cash (Baseline)</t>
  </si>
  <si>
    <t xml:space="preserve">Est. Tax Distributions (~5% of GC NI)</t>
  </si>
  <si>
    <t xml:space="preserve">Cash After Tax Distributions</t>
  </si>
  <si>
    <t xml:space="preserve">Surplus / (Shortfall) vs Requirement</t>
  </si>
  <si>
    <t xml:space="preserve">HVN PIPELINE — ESTIMATED GC REVENUE (3 New Deals)</t>
  </si>
  <si>
    <t xml:space="preserve">Avg GMP (Califa/Whipple/Denny/Lexington/Acama)</t>
  </si>
  <si>
    <t xml:space="preserve">Effective GC Revenue Rate on GMP</t>
  </si>
  <si>
    <t xml:space="preserve">Revenue Per Deal (over project life)</t>
  </si>
  <si>
    <t xml:space="preserve">Number of New Deals (2 R2 + 1 R3)</t>
  </si>
  <si>
    <t xml:space="preserve">Total New Pipeline GMP (3 deals)</t>
  </si>
  <si>
    <t xml:space="preserve">Estimated Revenue Timeline (3 deals):</t>
  </si>
  <si>
    <t xml:space="preserve">2 Round 2 Deals (close ~Q3 FY27)</t>
  </si>
  <si>
    <t xml:space="preserve">1 Round 3 Deal (close ~Q1 FY28)</t>
  </si>
  <si>
    <t xml:space="preserve">Total New HVN Revenue</t>
  </si>
  <si>
    <t xml:space="preserve">FY28 revenue gap to breakeven: 1,225,136 → New pipeline covers 204%</t>
  </si>
  <si>
    <t xml:space="preserve">PREFERRED EQUITY (PIK) — PAYOFF &amp; STEYN RETURNS</t>
  </si>
  <si>
    <t xml:space="preserve">Reseda is the only active PIK investment. Capital accrues at 15%/yr (3.75% quarterly). Repaid from LIHTC revenue after Steyn fees.</t>
  </si>
  <si>
    <t xml:space="preserve">Amount</t>
  </si>
  <si>
    <t xml:space="preserve">Date / Month</t>
  </si>
  <si>
    <t xml:space="preserve">Reseda — Capital Invested</t>
  </si>
  <si>
    <t xml:space="preserve">Apr 2026 (Pre-model)</t>
  </si>
  <si>
    <t xml:space="preserve">Full amount deployed before model start</t>
  </si>
  <si>
    <t xml:space="preserve">Deal Distribution (Reseda)</t>
  </si>
  <si>
    <t xml:space="preserve">Apr 2027 (Mo 13)</t>
  </si>
  <si>
    <t xml:space="preserve">Returned at Reseda project start</t>
  </si>
  <si>
    <t xml:space="preserve">Remaining Balance (after dist)</t>
  </si>
  <si>
    <t xml:space="preserve">Apr 2027</t>
  </si>
  <si>
    <t xml:space="preserve">Reduced balance accrues interest</t>
  </si>
  <si>
    <t xml:space="preserve">PIK Fully Paid Off</t>
  </si>
  <si>
    <t xml:space="preserve">Apr 2030 (Mo 50)</t>
  </si>
  <si>
    <t xml:space="preserve">Repaid from LIHTC revenue after Steyn fees</t>
  </si>
  <si>
    <t xml:space="preserve">Total Interest Earned by Steyn</t>
  </si>
  <si>
    <t xml:space="preserve">Over 50 months</t>
  </si>
  <si>
    <t xml:space="preserve">15% annual accrual on outstanding balance</t>
  </si>
  <si>
    <t xml:space="preserve">Total Returned to Steyn</t>
  </si>
  <si>
    <t xml:space="preserve">By Apr 2030</t>
  </si>
  <si>
    <t xml:space="preserve">Principal + interest = 1.25x return</t>
  </si>
  <si>
    <t xml:space="preserve">Mo 1</t>
  </si>
  <si>
    <t xml:space="preserve">Mo 2</t>
  </si>
  <si>
    <t xml:space="preserve">Mo 3</t>
  </si>
  <si>
    <t xml:space="preserve">Mo 4</t>
  </si>
  <si>
    <t xml:space="preserve">Mo 5</t>
  </si>
  <si>
    <t xml:space="preserve">Mo 6</t>
  </si>
  <si>
    <t xml:space="preserve">Mo 7</t>
  </si>
  <si>
    <t xml:space="preserve">Mo 8</t>
  </si>
  <si>
    <t xml:space="preserve">Mo 9</t>
  </si>
  <si>
    <t xml:space="preserve">Mo 10</t>
  </si>
  <si>
    <t xml:space="preserve">Mo 12</t>
  </si>
  <si>
    <t xml:space="preserve">Mo 13</t>
  </si>
  <si>
    <t xml:space="preserve">Mo 15</t>
  </si>
  <si>
    <t xml:space="preserve">Mo 16</t>
  </si>
  <si>
    <t xml:space="preserve">Mo 17</t>
  </si>
  <si>
    <t xml:space="preserve">Mo 18</t>
  </si>
  <si>
    <t xml:space="preserve">Mo 20</t>
  </si>
  <si>
    <t xml:space="preserve">Mo 21</t>
  </si>
  <si>
    <t xml:space="preserve">Mo 22</t>
  </si>
  <si>
    <t xml:space="preserve">Mo 23</t>
  </si>
  <si>
    <t xml:space="preserve">Mo 24</t>
  </si>
  <si>
    <t xml:space="preserve">Mo 25</t>
  </si>
  <si>
    <t xml:space="preserve">Mo 26</t>
  </si>
  <si>
    <t xml:space="preserve">Mo 28</t>
  </si>
  <si>
    <t xml:space="preserve">Mo 29</t>
  </si>
  <si>
    <t xml:space="preserve">Mo 30</t>
  </si>
  <si>
    <t xml:space="preserve">Mo 31</t>
  </si>
  <si>
    <t xml:space="preserve">Mo 32</t>
  </si>
  <si>
    <t xml:space="preserve">Mo 33</t>
  </si>
  <si>
    <t xml:space="preserve">Mo 34</t>
  </si>
  <si>
    <t xml:space="preserve">Mo 35</t>
  </si>
  <si>
    <t xml:space="preserve">Mo 36</t>
  </si>
  <si>
    <t xml:space="preserve">Mo 37</t>
  </si>
  <si>
    <t xml:space="preserve">Mo 38</t>
  </si>
  <si>
    <t xml:space="preserve">Mo 39</t>
  </si>
  <si>
    <t xml:space="preserve">Mo 40</t>
  </si>
  <si>
    <t xml:space="preserve">Curve 1</t>
  </si>
  <si>
    <t xml:space="preserve">Curve 2</t>
  </si>
  <si>
    <t xml:space="preserve">Curve 3</t>
  </si>
  <si>
    <t xml:space="preserve">Renormalized (In-Place)</t>
  </si>
  <si>
    <t xml:space="preserve">Six Peak Capital - Model Assumptions</t>
  </si>
  <si>
    <t xml:space="preserve">GC Fee Structure</t>
  </si>
  <si>
    <t xml:space="preserve">Field Supervision Rate</t>
  </si>
  <si>
    <t xml:space="preserve">Project Admin Rate</t>
  </si>
  <si>
    <t xml:space="preserve">Total Fee Rate</t>
  </si>
  <si>
    <t xml:space="preserve">Effective Revenue Rate on GMP</t>
  </si>
  <si>
    <t xml:space="preserve">On-GMP rates set directly (overhead gross-up removed)</t>
  </si>
  <si>
    <t xml:space="preserve">Supervision Rate on GMP</t>
  </si>
  <si>
    <t xml:space="preserve">GC-CM Fee Rate on GMP</t>
  </si>
  <si>
    <t xml:space="preserve">Admin Rate on GMP</t>
  </si>
  <si>
    <t xml:space="preserve">Bonding</t>
  </si>
  <si>
    <t xml:space="preserve">Krueger CBI Premium Rate (Riverton actual 7/15/26)</t>
  </si>
  <si>
    <t xml:space="preserve">Cash owed to Justin (Krueger) - paid at Francis bond billing</t>
  </si>
  <si>
    <t xml:space="preserve">Payroll Burden Rates</t>
  </si>
  <si>
    <t xml:space="preserve">Payroll Tax Rate</t>
  </si>
  <si>
    <t xml:space="preserve">Payroll Servicing Rate</t>
  </si>
  <si>
    <t xml:space="preserve">Employee Benefits Rate</t>
  </si>
  <si>
    <t xml:space="preserve">Workers Comp Rate</t>
  </si>
  <si>
    <t xml:space="preserve">Expense Escalation</t>
  </si>
  <si>
    <t xml:space="preserve">Annual Expense Escalation Rate</t>
  </si>
  <si>
    <t xml:space="preserve">Beginning Cash Balances</t>
  </si>
  <si>
    <t xml:space="preserve">LV (GC) Beginning Cash</t>
  </si>
  <si>
    <t xml:space="preserve">Six Peak Beginning Cash</t>
  </si>
  <si>
    <t xml:space="preserve">Debt Facility</t>
  </si>
  <si>
    <t xml:space="preserve">Debt Starting Balance (Apr 2026)</t>
  </si>
  <si>
    <t xml:space="preserve">Interest Rate (Annual)</t>
  </si>
  <si>
    <t xml:space="preserve">Quarterly Rate</t>
  </si>
  <si>
    <t xml:space="preserve">Monthly Payment Amount</t>
  </si>
  <si>
    <t xml:space="preserve">First Payment Month #</t>
  </si>
  <si>
    <t xml:space="preserve">(Month 7 = Oct 2026, paid off Dec 2027)</t>
  </si>
  <si>
    <t xml:space="preserve">Row Run Capital LLC</t>
  </si>
  <si>
    <t xml:space="preserve">Loan Amount</t>
  </si>
  <si>
    <t xml:space="preserve">Tranche Size (25%)</t>
  </si>
  <si>
    <t xml:space="preserve">Net Income Threshold</t>
  </si>
  <si>
    <t xml:space="preserve">(Payable only when annual consolidated NI &gt;= threshold)</t>
  </si>
  <si>
    <t xml:space="preserve">Steyn Group Guaranty</t>
  </si>
  <si>
    <t xml:space="preserve">Completion Guaranty Fee Rate</t>
  </si>
  <si>
    <t xml:space="preserve">Liquidity Guarantee Fee Rate</t>
  </si>
  <si>
    <t xml:space="preserve">Steyn Liquidity Requirements</t>
  </si>
  <si>
    <t xml:space="preserve">Project Investment Capital</t>
  </si>
  <si>
    <t xml:space="preserve">Accrual Rate (Annual)</t>
  </si>
  <si>
    <t xml:space="preserve">Quarterly Accrual Rate</t>
  </si>
  <si>
    <t xml:space="preserve">Klump - Capital Invested</t>
  </si>
  <si>
    <t xml:space="preserve">Scott - Capital Invested</t>
  </si>
  <si>
    <t xml:space="preserve">Reseda - Capital Invested</t>
  </si>
  <si>
    <t xml:space="preserve">3rd St - Capital Invested</t>
  </si>
  <si>
    <t xml:space="preserve">(Capital amounts TBD - enter when available)</t>
  </si>
  <si>
    <t xml:space="preserve">Monthly Fee Amount</t>
  </si>
  <si>
    <t xml:space="preserve">Last Active Month #</t>
  </si>
  <si>
    <t xml:space="preserve">PIK Detail Parameters</t>
  </si>
  <si>
    <t xml:space="preserve">Reseda - Initial PIK Balance</t>
  </si>
  <si>
    <t xml:space="preserve">Reseda - Monthly PIK Ramp</t>
  </si>
  <si>
    <t xml:space="preserve">Reseda - PIK Ramp Until Month</t>
  </si>
  <si>
    <t xml:space="preserve">3rd St - Initial PIK Balance</t>
  </si>
  <si>
    <t xml:space="preserve">3rd St - Monthly PIK Ramp</t>
  </si>
  <si>
    <t xml:space="preserve">HVN Commission Structure</t>
  </si>
  <si>
    <t xml:space="preserve">Number of HVN deals per year (informational)</t>
  </si>
  <si>
    <t xml:space="preserve">Tier</t>
  </si>
  <si>
    <t xml:space="preserve">Non-HVN BD Annual Billing &gt;=</t>
  </si>
  <si>
    <t xml:space="preserve">HVN Commission Rate</t>
  </si>
  <si>
    <t xml:space="preserve">Tier 0 (base)</t>
  </si>
  <si>
    <t xml:space="preserve">Tier 1</t>
  </si>
  <si>
    <t xml:space="preserve">Tier 2</t>
  </si>
  <si>
    <t xml:space="preserve">Tier 3</t>
  </si>
  <si>
    <t xml:space="preserve">(Thresholds measured by non-HVN BD annual billing; rate applied to that year's HVN GP)</t>
  </si>
  <si>
    <t xml:space="preserve">Month</t>
  </si>
  <si>
    <t xml:space="preserve">Factor</t>
  </si>
  <si>
    <t xml:space="preserve">W2 Payroll Basis &amp; Bonding Calculations</t>
  </si>
  <si>
    <t xml:space="preserve">GC W2 Payroll Basis</t>
  </si>
  <si>
    <t xml:space="preserve">SP W2 Payroll Basis</t>
  </si>
  <si>
    <t xml:space="preserve">Bonding Outstanding by Project</t>
  </si>
  <si>
    <t xml:space="preserve">Steyn Fee Balance Tracking</t>
  </si>
  <si>
    <t xml:space="preserve">Francis Steyn - Beginning Balance</t>
  </si>
  <si>
    <t xml:space="preserve">Francis Steyn - Payment</t>
  </si>
  <si>
    <t xml:space="preserve">Francis Steyn - Ending Balance</t>
  </si>
  <si>
    <t xml:space="preserve">Reseda Steyn - Beginning Balance</t>
  </si>
  <si>
    <t xml:space="preserve">Reseda Steyn - Payment</t>
  </si>
  <si>
    <t xml:space="preserve">Reseda Steyn - Ending Balance</t>
  </si>
  <si>
    <t xml:space="preserve">3rd St Steyn</t>
  </si>
  <si>
    <t xml:space="preserve">Beg Balance</t>
  </si>
  <si>
    <t xml:space="preserve">Payment</t>
  </si>
  <si>
    <t xml:space="preserve">End Balance</t>
  </si>
  <si>
    <t xml:space="preserve">POST-MODEL LIHTC PROJECTIONS (10-Year Credit = 40 Quarters)</t>
  </si>
  <si>
    <t xml:space="preserve">Last Quarterly LIHTC Rate</t>
  </si>
  <si>
    <t xml:space="preserve">In-Model Quarterly Payments</t>
  </si>
  <si>
    <t xml:space="preserve">Remaining Quarters (Post-Model)</t>
  </si>
  <si>
    <t xml:space="preserve">Post-Model Total LIHTC Revenue</t>
  </si>
  <si>
    <t xml:space="preserve">3RD ST POST-MODEL PIK AMORTIZATION</t>
  </si>
  <si>
    <t xml:space="preserve">Quarter</t>
  </si>
  <si>
    <t xml:space="preserve">LIHTC Rev</t>
  </si>
  <si>
    <t xml:space="preserve">Steyn Bal</t>
  </si>
  <si>
    <t xml:space="preserve">Steyn Pmt</t>
  </si>
  <si>
    <t xml:space="preserve">PIK Bal</t>
  </si>
  <si>
    <t xml:space="preserve">PIK Interest</t>
  </si>
  <si>
    <t xml:space="preserve">PIK Pmt</t>
  </si>
  <si>
    <t xml:space="preserve">TOTALS</t>
  </si>
  <si>
    <t xml:space="preserve">BD MEMO ROWS  (moved from Model rows 203-207, 214)</t>
  </si>
  <si>
    <t xml:space="preserve">BD Construction Billing (memo)</t>
  </si>
  <si>
    <t xml:space="preserve">BD Revenue — CB + fees (memo)</t>
  </si>
  <si>
    <t xml:space="preserve">BD Share of fees (memo) = BD fees / R17</t>
  </si>
  <si>
    <t xml:space="preserve">GC Gross Profit (memo) = R20 + SUM(R23:R53) + State Tax(55)</t>
  </si>
  <si>
    <t xml:space="preserve">BD Allocated GP (memo)</t>
  </si>
  <si>
    <t xml:space="preserve">HVN BD Construction Billing (memo)</t>
  </si>
  <si>
    <t xml:space="preserve">Project P&amp;L — Development Fee Income</t>
  </si>
  <si>
    <t xml:space="preserve">In-Model</t>
  </si>
  <si>
    <t xml:space="preserve">Post-Model</t>
  </si>
  <si>
    <t xml:space="preserve">Lifetime Total</t>
  </si>
  <si>
    <t xml:space="preserve">LIHTC Revenue</t>
  </si>
  <si>
    <t xml:space="preserve">GMP Fee (1%)</t>
  </si>
  <si>
    <t xml:space="preserve">Liquidity Guarantee Fee (3%)</t>
  </si>
  <si>
    <t xml:space="preserve">Net Income to Six Peak</t>
  </si>
  <si>
    <t xml:space="preserve">3rd Street</t>
  </si>
  <si>
    <t xml:space="preserve">COMBINED</t>
  </si>
  <si>
    <t xml:space="preserve">Total LIHTC Revenue</t>
  </si>
  <si>
    <t xml:space="preserve">Total GMP Fees</t>
  </si>
  <si>
    <t xml:space="preserve">Total Liquidity Fees</t>
  </si>
  <si>
    <t xml:space="preserve">Total PIK Interest</t>
  </si>
  <si>
    <t xml:space="preserve">Combined Net Income to Six Peak</t>
  </si>
  <si>
    <t xml:space="preserve">Interest Carry = Steyn balance accrual (GMP + Liquidity unpaid balance interest)</t>
  </si>
  <si>
    <t xml:space="preserve">PIK Interest = 15% annual (3.75% quarterly) on Project Investment Capital</t>
  </si>
  <si>
    <t xml:space="preserve">3rd St: 36 remaining quarterly LIHTC payments at $73,155; PIK balance of $570K fully repaid post-model</t>
  </si>
  <si>
    <t xml:space="preserve">Reseda: 28 remaining quarterly LIHTC payments at $81,362; PIK and Steyn fully repaid in-model</t>
  </si>
  <si>
    <t xml:space="preserve">Reseda: 28 post-model quarterly LIHTC payments at $81,362; PIK and Steyn fully repaid in-model</t>
  </si>
  <si>
    <t xml:space="preserve">BD COMMISSION — PER-DEAL ENGINE</t>
  </si>
  <si>
    <t xml:space="preserve">Advance rate (x GMP)</t>
  </si>
  <si>
    <t xml:space="preserve">Profit commission rate</t>
  </si>
  <si>
    <t xml:space="preserve">FY</t>
  </si>
  <si>
    <t xml:space="preserve">First m#</t>
  </si>
  <si>
    <t xml:space="preserve">Last m#</t>
  </si>
  <si>
    <t xml:space="preserve">BD Constr Billing</t>
  </si>
  <si>
    <t xml:space="preserve">HVN Billing</t>
  </si>
  <si>
    <t xml:space="preserve">Non-HVN Billing</t>
  </si>
  <si>
    <t xml:space="preserve">Total GC opex (rows23-55, incl BD comm + State Tax, +)</t>
  </si>
  <si>
    <t xml:space="preserve"># under construction</t>
  </si>
  <si>
    <t xml:space="preserve">Alloc cost / project</t>
  </si>
  <si>
    <t xml:space="preserve">Deal</t>
  </si>
  <si>
    <t xml:space="preserve">Dur</t>
  </si>
  <si>
    <t xml:space="preserve">HVN</t>
  </si>
  <si>
    <t xml:space="preserve">Completion</t>
  </si>
  <si>
    <t xml:space="preserve">Adv Month</t>
  </si>
  <si>
    <t xml:space="preserve">Tier Rate</t>
  </si>
  <si>
    <t xml:space="preserve">Life GP</t>
  </si>
  <si>
    <t xml:space="preserve">Life Alloc Cost</t>
  </si>
  <si>
    <t xml:space="preserve">Life NI</t>
  </si>
  <si>
    <t xml:space="preserve">Eff Rate</t>
  </si>
  <si>
    <t xml:space="preserve">Advance</t>
  </si>
  <si>
    <t xml:space="preserve">Earned (E)</t>
  </si>
  <si>
    <t xml:space="preserve">True-Up</t>
  </si>
  <si>
    <t xml:space="preserve">BD commission (positive) / month</t>
  </si>
  <si>
    <t xml:space="preserve">Beginning Retention</t>
  </si>
  <si>
    <t xml:space="preserve">Forecast Fee Revenue</t>
  </si>
  <si>
    <t xml:space="preserve">Retention @ 5%</t>
  </si>
  <si>
    <t xml:space="preserve">Total Retention</t>
  </si>
  <si>
    <t xml:space="preserve">Completion Month #</t>
  </si>
  <si>
    <t xml:space="preserve">Completion Date</t>
  </si>
  <si>
    <t xml:space="preserve">Adam Polk Architect LLP: Projection Assumptions</t>
  </si>
  <si>
    <t xml:space="preserve">Blue cells are inputs; black cells are calculated. Month 1 = Jul 2026.</t>
  </si>
  <si>
    <t xml:space="preserve">REVENUE</t>
  </si>
  <si>
    <t xml:space="preserve">Reseda: Permit/Bid/CD contract (reduced)</t>
  </si>
  <si>
    <t xml:space="preserve">Per Chris 7/3/26; billed evenly through Jan 2027</t>
  </si>
  <si>
    <t xml:space="preserve">Reseda: Permit/Bid/CD start month</t>
  </si>
  <si>
    <t xml:space="preserve">Reseda: Permit/Bid/CD months</t>
  </si>
  <si>
    <t xml:space="preserve">Jul 2026 - Jan 2027</t>
  </si>
  <si>
    <t xml:space="preserve">Reseda: Permit/Bid/CD monthly</t>
  </si>
  <si>
    <t xml:space="preserve">Calculated</t>
  </si>
  <si>
    <t xml:space="preserve">Reseda: Constr. Admin monthly</t>
  </si>
  <si>
    <t xml:space="preserve">Term Sheet 3.1(a)</t>
  </si>
  <si>
    <t xml:space="preserve">Reseda: Constr. Admin start month</t>
  </si>
  <si>
    <t xml:space="preserve">Mar 2027</t>
  </si>
  <si>
    <t xml:space="preserve">Reseda: Constr. Admin months</t>
  </si>
  <si>
    <t xml:space="preserve">Mar 2027 - Aug 2029</t>
  </si>
  <si>
    <t xml:space="preserve">Ramsgate: Constr. Admin monthly</t>
  </si>
  <si>
    <t xml:space="preserve">Term Sheet 3.1(b)</t>
  </si>
  <si>
    <t xml:space="preserve">Ramsgate: start month</t>
  </si>
  <si>
    <t xml:space="preserve">Ramsgate: months</t>
  </si>
  <si>
    <t xml:space="preserve">Aug 2026 - Oct 2027</t>
  </si>
  <si>
    <t xml:space="preserve">Francis: Constr. Admin monthly</t>
  </si>
  <si>
    <t xml:space="preserve">Term Sheet 3.1(c)</t>
  </si>
  <si>
    <t xml:space="preserve">Francis: start month</t>
  </si>
  <si>
    <t xml:space="preserve">Francis: months</t>
  </si>
  <si>
    <t xml:space="preserve">Aug 2026 - Jan 2029</t>
  </si>
  <si>
    <t xml:space="preserve">3rd Street: SD monthly</t>
  </si>
  <si>
    <t xml:space="preserve">Term Sheet 3.1(d); zero out if SD phase not billed</t>
  </si>
  <si>
    <t xml:space="preserve">3rd Street: SD start month</t>
  </si>
  <si>
    <t xml:space="preserve">3rd Street: SD contract cap</t>
  </si>
  <si>
    <t xml:space="preserve">Term Sheet 3.2(d)</t>
  </si>
  <si>
    <t xml:space="preserve">3rd Street: CD/Bid/Permit contract</t>
  </si>
  <si>
    <t xml:space="preserve">Per Chris 7/3/26</t>
  </si>
  <si>
    <t xml:space="preserve">3rd Street: CD/Bid/Permit start month</t>
  </si>
  <si>
    <t xml:space="preserve">Jan 2027</t>
  </si>
  <si>
    <t xml:space="preserve">3rd Street: CD/Bid/Permit months</t>
  </si>
  <si>
    <t xml:space="preserve">Jan 2027 - Dec 2027</t>
  </si>
  <si>
    <t xml:space="preserve">3rd Street: CD/Bid/Permit monthly</t>
  </si>
  <si>
    <t xml:space="preserve">3rd Street: Constr. Admin monthly</t>
  </si>
  <si>
    <t xml:space="preserve">3rd Street: Constr. Admin start month</t>
  </si>
  <si>
    <t xml:space="preserve">Apr 2028</t>
  </si>
  <si>
    <t xml:space="preserve">3rd Street: Constr. Admin months</t>
  </si>
  <si>
    <t xml:space="preserve">Runs past model end (Aug 2029); shown through model horizon only</t>
  </si>
  <si>
    <t xml:space="preserve">EXPENSES</t>
  </si>
  <si>
    <t xml:space="preserve">Partner draw (Adam Polk Architects, Inc.), monthly</t>
  </si>
  <si>
    <t xml:space="preserve">Term Sheet 2.1; paid to APA Inc., Adam's CA S corp</t>
  </si>
  <si>
    <t xml:space="preserve">Partner draw, monthly from increase</t>
  </si>
  <si>
    <t xml:space="preserve">$225,000 per year; adjusts when the 3rd St contract is signed</t>
  </si>
  <si>
    <t xml:space="preserve">Draw increase start month</t>
  </si>
  <si>
    <t xml:space="preserve">Linked to 3rd Street CD/Bid/Permit start (contract signing)</t>
  </si>
  <si>
    <t xml:space="preserve">Software, monthly</t>
  </si>
  <si>
    <t xml:space="preserve">Term Sheet 5.1(a)</t>
  </si>
  <si>
    <t xml:space="preserve">E&amp;O insurance, annual (paid Jul)</t>
  </si>
  <si>
    <t xml:space="preserve">Term Sheet 5.1(b)</t>
  </si>
  <si>
    <t xml:space="preserve">Startup reimbursement: APA Inc.</t>
  </si>
  <si>
    <t xml:space="preserve">Get-started costs, reimbursed Aug 2026</t>
  </si>
  <si>
    <t xml:space="preserve">Startup reimbursement: Six Peak</t>
  </si>
  <si>
    <t xml:space="preserve">Reimbursed Aug 2026</t>
  </si>
  <si>
    <t xml:space="preserve">Startup reimbursement month</t>
  </si>
  <si>
    <t xml:space="preserve">Adam Polk Architect LLP: Cash Flow Projection (Jul 2026 - Aug 2029)</t>
  </si>
  <si>
    <t xml:space="preserve">Reseda: Permit / Bid / CD</t>
  </si>
  <si>
    <t xml:space="preserve">Reseda: Construction Admin</t>
  </si>
  <si>
    <t xml:space="preserve">Ramsgate: Construction Admin</t>
  </si>
  <si>
    <t xml:space="preserve">Francis: Construction Admin</t>
  </si>
  <si>
    <t xml:space="preserve">3rd Street: Schematic Design</t>
  </si>
  <si>
    <t xml:space="preserve">3rd Street: CD / Bid / Permit</t>
  </si>
  <si>
    <t xml:space="preserve">3rd Street: Construction Admin</t>
  </si>
  <si>
    <t xml:space="preserve">Total revenue</t>
  </si>
  <si>
    <t xml:space="preserve">Partner draw (APA Inc.)</t>
  </si>
  <si>
    <t xml:space="preserve">Software subscriptions</t>
  </si>
  <si>
    <t xml:space="preserve">E&amp;O insurance (annual)</t>
  </si>
  <si>
    <t xml:space="preserve">Startup reimbursements (APA + Six Peak)</t>
  </si>
  <si>
    <t xml:space="preserve">Total expenses</t>
  </si>
  <si>
    <t xml:space="preserve">Net cash flow</t>
  </si>
  <si>
    <t xml:space="preserve">Cumulative net cash flow</t>
  </si>
  <si>
    <t xml:space="preserve">SUMMARY (38 MONTHS)</t>
  </si>
  <si>
    <t xml:space="preserve">Net profit</t>
  </si>
  <si>
    <t xml:space="preserve">Six Peak share (50%)</t>
  </si>
  <si>
    <t xml:space="preserve">APA Inc. share (50%)</t>
  </si>
  <si>
    <t xml:space="preserve">APA Inc. total economics (draw + profit share)</t>
  </si>
  <si>
    <t xml:space="preserve">AGA separation payments are excluded from this projection and handled outside the company.</t>
  </si>
  <si>
    <t xml:space="preserve">Startup costs (APA Inc. $5,000; Six Peak $2,500) are reimbursed by the company in Aug 2026.</t>
  </si>
  <si>
    <t xml:space="preserve">Expenses fronted by Six Peak or APA Inc. are reimbursable by the company; profits split 50/50 after expenses.</t>
  </si>
  <si>
    <t xml:space="preserve">The APA Inc. draw adjusts to $225,000 per year ($18,750/mo) when the 3rd Street contract is signed (modeled Jan 2027).</t>
  </si>
  <si>
    <t xml:space="preserve">3rd Street construction admin (30 months from Apr 2028) runs past the model horizon; only months through Aug 2029 are shown.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</si>
</sst>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mmm\-yy"/>
    <numFmt numFmtId="166" formatCode="0"/>
    <numFmt numFmtId="167" formatCode="_(\$* #,##0_);[RED]_(\$* \(#,##0\);_(\$* \-_?_?_);_(@_)"/>
    <numFmt numFmtId="168" formatCode="0.0%;[RED]\(0.0%\);\-"/>
    <numFmt numFmtId="169" formatCode="\$#,##0;&quot;($&quot;#,##0\);\-"/>
    <numFmt numFmtId="170" formatCode="0.0%;\(0.0%\);\-"/>
    <numFmt numFmtId="171" formatCode="_(\$* #,##0_);[RED]_(\$* \(#,##0\);_(\$* \-_);_(@_)"/>
    <numFmt numFmtId="172" formatCode="mmm\ yyyy"/>
    <numFmt numFmtId="173" formatCode="_(\$* #,##0_);_(\$* \(#,##0\);_(\$* \-??_);_(@_)"/>
    <numFmt numFmtId="174" formatCode="_(\$* #,##0.00_);_(\$* \(#,##0.00\);_(\$* \-??_);_(@_)"/>
    <numFmt numFmtId="175" formatCode="_(\$* #,##0_);_(\$* \(#,##0\);_(\$* \-_);_(@_)"/>
    <numFmt numFmtId="176" formatCode="0%"/>
    <numFmt numFmtId="177" formatCode="0.00%"/>
    <numFmt numFmtId="178" formatCode="0.0000%"/>
    <numFmt numFmtId="179" formatCode="\$#,##0"/>
    <numFmt numFmtId="180" formatCode="#,##0"/>
    <numFmt numFmtId="181" formatCode="0.0%"/>
    <numFmt numFmtId="182" formatCode="#,##0.00"/>
    <numFmt numFmtId="183" formatCode="0.0000"/>
    <numFmt numFmtId="184" formatCode="[$$-409]#,##0.00;[RED]\-[$$-409]#,##0.00"/>
  </numFmts>
  <fonts count="5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833"/>
      <name val="Aptos"/>
      <family val="0"/>
      <charset val="1"/>
    </font>
    <font>
      <sz val="10"/>
      <color theme="1"/>
      <name val="Aptos"/>
      <family val="0"/>
      <charset val="1"/>
    </font>
    <font>
      <b val="true"/>
      <sz val="10"/>
      <color rgb="FFF8FAFC"/>
      <name val="Aptos"/>
      <family val="0"/>
      <charset val="1"/>
    </font>
    <font>
      <sz val="10"/>
      <color rgb="FF2C3A51"/>
      <name val="Aptos"/>
      <family val="0"/>
      <charset val="1"/>
    </font>
    <font>
      <sz val="10"/>
      <color rgb="FF000000"/>
      <name val="Aptos"/>
      <family val="0"/>
      <charset val="1"/>
    </font>
    <font>
      <b val="true"/>
      <i val="true"/>
      <sz val="9"/>
      <color rgb="FF2C3A51"/>
      <name val="Cambria"/>
      <family val="0"/>
      <charset val="1"/>
    </font>
    <font>
      <b val="true"/>
      <sz val="10"/>
      <color rgb="FFC4581A"/>
      <name val="Aptos"/>
      <family val="0"/>
      <charset val="1"/>
    </font>
    <font>
      <b val="true"/>
      <sz val="10"/>
      <color rgb="FF000000"/>
      <name val="Aptos"/>
      <family val="0"/>
      <charset val="1"/>
    </font>
    <font>
      <i val="true"/>
      <sz val="10"/>
      <color rgb="FF000000"/>
      <name val="Aptos"/>
      <family val="0"/>
      <charset val="1"/>
    </font>
    <font>
      <b val="true"/>
      <sz val="10"/>
      <color rgb="FFF8FAFC"/>
      <name val="Aptos"/>
      <family val="2"/>
      <charset val="1"/>
    </font>
    <font>
      <i val="true"/>
      <sz val="9"/>
      <color rgb="FFBFC7DA"/>
      <name val="Aptos"/>
      <family val="0"/>
      <charset val="1"/>
    </font>
    <font>
      <sz val="11"/>
      <color rgb="FFF8FAFC"/>
      <name val="Calibri"/>
      <family val="2"/>
      <charset val="1"/>
    </font>
    <font>
      <sz val="10"/>
      <color rgb="FF000000"/>
      <name val="Aptos"/>
      <family val="2"/>
      <charset val="1"/>
    </font>
    <font>
      <sz val="11"/>
      <color rgb="FF000000"/>
      <name val="Aptos"/>
      <family val="2"/>
      <charset val="1"/>
    </font>
    <font>
      <b val="true"/>
      <i val="true"/>
      <sz val="10"/>
      <color rgb="FFF8FAFC"/>
      <name val="Aptos"/>
      <family val="2"/>
      <charset val="1"/>
    </font>
    <font>
      <b val="true"/>
      <sz val="11"/>
      <color rgb="FFF8FAFC"/>
      <name val="Aptos"/>
      <family val="2"/>
      <charset val="1"/>
    </font>
    <font>
      <b val="true"/>
      <i val="true"/>
      <sz val="10"/>
      <color rgb="FFC4581A"/>
      <name val="Aptos"/>
      <family val="0"/>
      <charset val="1"/>
    </font>
    <font>
      <b val="true"/>
      <i val="true"/>
      <sz val="10"/>
      <color rgb="FF000000"/>
      <name val="Aptos"/>
      <family val="0"/>
      <charset val="1"/>
    </font>
    <font>
      <b val="true"/>
      <sz val="10"/>
      <color rgb="FF0B1833"/>
      <name val="Aptos"/>
      <family val="0"/>
      <charset val="1"/>
    </font>
    <font>
      <sz val="10"/>
      <name val="Aptos"/>
      <family val="0"/>
      <charset val="1"/>
    </font>
    <font>
      <b val="true"/>
      <sz val="10"/>
      <name val="Aptos"/>
      <family val="0"/>
      <charset val="1"/>
    </font>
    <font>
      <i val="true"/>
      <sz val="10"/>
      <color rgb="FF475569"/>
      <name val="Aptos"/>
      <family val="0"/>
      <charset val="1"/>
    </font>
    <font>
      <i val="true"/>
      <sz val="9"/>
      <color rgb="FF666666"/>
      <name val="Aptos"/>
      <family val="0"/>
      <charset val="1"/>
    </font>
    <font>
      <sz val="9"/>
      <color rgb="FF666666"/>
      <name val="Aptos"/>
      <family val="0"/>
      <charset val="1"/>
    </font>
    <font>
      <sz val="10"/>
      <color rgb="FF0B1833"/>
      <name val="Aptos"/>
      <family val="0"/>
      <charset val="1"/>
    </font>
    <font>
      <b val="true"/>
      <sz val="10"/>
      <color rgb="FF000000"/>
      <name val="Aptos"/>
      <family val="2"/>
      <charset val="1"/>
    </font>
    <font>
      <b val="true"/>
      <i val="true"/>
      <sz val="10"/>
      <color rgb="FF000000"/>
      <name val="Aptos"/>
      <family val="2"/>
      <charset val="1"/>
    </font>
    <font>
      <b val="true"/>
      <sz val="10"/>
      <color rgb="FFFFFFFF"/>
      <name val="Aptos"/>
      <family val="0"/>
      <charset val="1"/>
    </font>
    <font>
      <b val="true"/>
      <sz val="10"/>
      <color rgb="FFFFFFFF"/>
      <name val="Aptos"/>
      <family val="2"/>
      <charset val="1"/>
    </font>
    <font>
      <b val="true"/>
      <sz val="10"/>
      <color rgb="FFFF0000"/>
      <name val="Aptos"/>
      <family val="2"/>
      <charset val="1"/>
    </font>
    <font>
      <sz val="11"/>
      <name val="Calibri"/>
      <family val="2"/>
      <charset val="1"/>
    </font>
    <font>
      <sz val="10"/>
      <color rgb="FFFF0000"/>
      <name val="Aptos"/>
      <family val="2"/>
      <charset val="1"/>
    </font>
    <font>
      <i val="true"/>
      <sz val="9"/>
      <color rgb="FF475569"/>
      <name val="Aptos"/>
      <family val="0"/>
      <charset val="1"/>
    </font>
    <font>
      <sz val="9"/>
      <color rgb="FF475569"/>
      <name val="Aptos"/>
      <family val="0"/>
      <charset val="1"/>
    </font>
    <font>
      <sz val="10"/>
      <color rgb="FF0000FF"/>
      <name val="Aptos"/>
      <family val="0"/>
      <charset val="1"/>
    </font>
    <font>
      <sz val="10"/>
      <color theme="1"/>
      <name val="Aptos"/>
      <family val="2"/>
      <charset val="1"/>
    </font>
    <font>
      <i val="true"/>
      <sz val="10"/>
      <color rgb="FFC4581A"/>
      <name val="Aptos"/>
      <family val="0"/>
      <charset val="1"/>
    </font>
    <font>
      <sz val="10"/>
      <color rgb="FF008000"/>
      <name val="Aptos"/>
      <family val="0"/>
      <charset val="1"/>
    </font>
    <font>
      <sz val="10"/>
      <color rgb="FF2D2D2D"/>
      <name val="Aptos"/>
      <family val="0"/>
      <charset val="1"/>
    </font>
    <font>
      <b val="true"/>
      <sz val="12"/>
      <name val="Aptos"/>
      <family val="0"/>
      <charset val="1"/>
    </font>
    <font>
      <b val="true"/>
      <sz val="10"/>
      <color rgb="FF1F3864"/>
      <name val="Aptos"/>
      <family val="0"/>
      <charset val="1"/>
    </font>
    <font>
      <i val="true"/>
      <sz val="10"/>
      <name val="Aptos"/>
      <family val="0"/>
      <charset val="1"/>
    </font>
    <font>
      <sz val="9"/>
      <name val="Aptos"/>
      <family val="0"/>
      <charset val="1"/>
    </font>
    <font>
      <sz val="10"/>
      <color rgb="FF717F4B"/>
      <name val="Aptos"/>
      <family val="0"/>
      <charset val="1"/>
    </font>
    <font>
      <sz val="10"/>
      <color rgb="FFEF4444"/>
      <name val="Aptos"/>
      <family val="0"/>
      <charset val="1"/>
    </font>
    <font>
      <i val="true"/>
      <sz val="10"/>
      <color rgb="FF999999"/>
      <name val="Aptos"/>
      <family val="0"/>
      <charset val="1"/>
    </font>
    <font>
      <i val="true"/>
      <sz val="9"/>
      <color rgb="FF999999"/>
      <name val="Aptos"/>
      <family val="0"/>
      <charset val="1"/>
    </font>
    <font>
      <sz val="10"/>
      <color rgb="FF333333"/>
      <name val="Aptos"/>
      <family val="0"/>
      <charset val="1"/>
    </font>
    <font>
      <b val="true"/>
      <sz val="13"/>
      <name val="Aptos"/>
      <family val="0"/>
      <charset val="1"/>
    </font>
    <font>
      <b val="true"/>
      <sz val="9"/>
      <color rgb="FF666666"/>
      <name val="Aptos"/>
      <family val="0"/>
      <charset val="1"/>
    </font>
    <font>
      <sz val="9"/>
      <color rgb="FF888888"/>
      <name val="Aptos"/>
      <family val="0"/>
      <charset val="1"/>
    </font>
    <font>
      <b val="true"/>
      <sz val="10"/>
      <color rgb="FF2D2D2D"/>
      <name val="Aptos"/>
      <family val="0"/>
      <charset val="1"/>
    </font>
  </fonts>
  <fills count="31">
    <fill>
      <patternFill patternType="none"/>
    </fill>
    <fill>
      <patternFill patternType="gray125"/>
    </fill>
    <fill>
      <patternFill patternType="solid">
        <fgColor rgb="FFF8FAFC"/>
        <bgColor rgb="FFF5F5F5"/>
      </patternFill>
    </fill>
    <fill>
      <patternFill patternType="solid">
        <fgColor rgb="FF0B1833"/>
        <bgColor rgb="FF1E2C44"/>
      </patternFill>
    </fill>
    <fill>
      <patternFill patternType="solid">
        <fgColor rgb="FF2C3A51"/>
        <bgColor rgb="FF1F3864"/>
      </patternFill>
    </fill>
    <fill>
      <patternFill patternType="solid">
        <fgColor rgb="FFE8ECF1"/>
        <bgColor rgb="FFEAEDF2"/>
      </patternFill>
    </fill>
    <fill>
      <patternFill patternType="solid">
        <fgColor rgb="FFFBE9E0"/>
        <bgColor rgb="FFFCE4D6"/>
      </patternFill>
    </fill>
    <fill>
      <patternFill patternType="solid">
        <fgColor rgb="FFFFFFFF"/>
        <bgColor rgb="FFF8FAFC"/>
      </patternFill>
    </fill>
    <fill>
      <patternFill patternType="solid">
        <fgColor rgb="FFDDE3ED"/>
        <bgColor rgb="FFDCE6F1"/>
      </patternFill>
    </fill>
    <fill>
      <patternFill patternType="solid">
        <fgColor rgb="FFE3E8F0"/>
        <bgColor rgb="FFE2E7F0"/>
      </patternFill>
    </fill>
    <fill>
      <patternFill patternType="solid">
        <fgColor rgb="FFC4581A"/>
        <bgColor rgb="FFEF4444"/>
      </patternFill>
    </fill>
    <fill>
      <patternFill patternType="solid">
        <fgColor rgb="FFE2E7F0"/>
        <bgColor rgb="FFE3E8F0"/>
      </patternFill>
    </fill>
    <fill>
      <patternFill patternType="solid">
        <fgColor rgb="FFF5F5F5"/>
        <bgColor rgb="FFF2F2F2"/>
      </patternFill>
    </fill>
    <fill>
      <patternFill patternType="solid">
        <fgColor rgb="FFEAEDF2"/>
        <bgColor rgb="FFE8ECF1"/>
      </patternFill>
    </fill>
    <fill>
      <patternFill patternType="solid">
        <fgColor rgb="FF1E2C44"/>
        <bgColor rgb="FF2D2D2D"/>
      </patternFill>
    </fill>
    <fill>
      <patternFill patternType="solid">
        <fgColor rgb="FFD6DCE4"/>
        <bgColor rgb="FFE0E0E0"/>
      </patternFill>
    </fill>
    <fill>
      <patternFill patternType="solid">
        <fgColor rgb="FFDCE6F1"/>
        <bgColor rgb="FFDDE3ED"/>
      </patternFill>
    </fill>
    <fill>
      <patternFill patternType="solid">
        <fgColor rgb="FFFCE4D6"/>
        <bgColor rgb="FFFBE9E0"/>
      </patternFill>
    </fill>
    <fill>
      <patternFill patternType="solid">
        <fgColor rgb="FF4A8B8C"/>
        <bgColor rgb="FF5E7B9B"/>
      </patternFill>
    </fill>
    <fill>
      <patternFill patternType="solid">
        <fgColor rgb="FF7B9464"/>
        <bgColor rgb="FF888888"/>
      </patternFill>
    </fill>
    <fill>
      <patternFill patternType="solid">
        <fgColor rgb="FFE2EFDA"/>
        <bgColor rgb="FFD4EDDA"/>
      </patternFill>
    </fill>
    <fill>
      <patternFill patternType="solid">
        <fgColor rgb="FF5E7B9B"/>
        <bgColor rgb="FF4A8B8C"/>
      </patternFill>
    </fill>
    <fill>
      <patternFill patternType="solid">
        <fgColor rgb="FFF2F2F2"/>
        <bgColor rgb="FFF5F5F5"/>
      </patternFill>
    </fill>
    <fill>
      <patternFill patternType="solid">
        <fgColor rgb="FF8EA3BE"/>
        <bgColor rgb="FF999999"/>
      </patternFill>
    </fill>
    <fill>
      <patternFill patternType="solid">
        <fgColor rgb="FFFDEBD0"/>
        <bgColor rgb="FFFBE9E0"/>
      </patternFill>
    </fill>
    <fill>
      <patternFill patternType="solid">
        <fgColor rgb="FF2E75B6"/>
        <bgColor rgb="FF4A8B8C"/>
      </patternFill>
    </fill>
    <fill>
      <patternFill patternType="solid">
        <fgColor rgb="FFD6E4F0"/>
        <bgColor rgb="FFDCE6F1"/>
      </patternFill>
    </fill>
    <fill>
      <patternFill patternType="solid">
        <fgColor rgb="FFFFF2CC"/>
        <bgColor rgb="FFFDEBD0"/>
      </patternFill>
    </fill>
    <fill>
      <patternFill patternType="solid">
        <fgColor rgb="FF1F3864"/>
        <bgColor rgb="FF17375E"/>
      </patternFill>
    </fill>
    <fill>
      <patternFill patternType="solid">
        <fgColor rgb="FF548235"/>
        <bgColor rgb="FF717F4B"/>
      </patternFill>
    </fill>
    <fill>
      <patternFill patternType="solid">
        <fgColor rgb="FF404040"/>
        <bgColor rgb="FF333333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>
        <color rgb="FF2C3A51"/>
      </top>
      <bottom style="medium">
        <color rgb="FF2C3A51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/>
      <bottom style="medium">
        <color rgb="FF2C3A51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B4C6E7"/>
      </bottom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0B18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4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8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2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2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2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3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41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1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2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7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7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2" fillId="2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10" fillId="2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3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3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FF0000"/>
      </font>
    </dxf>
    <dxf>
      <fill>
        <patternFill>
          <bgColor rgb="FFD4EDDA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F8FAFC"/>
      <rgbColor rgb="FF0000FF"/>
      <rgbColor rgb="FFFBE9E0"/>
      <rgbColor rgb="FFFF00FF"/>
      <rgbColor rgb="FFE8ECF1"/>
      <rgbColor rgb="FF800000"/>
      <rgbColor rgb="FF008000"/>
      <rgbColor rgb="FF1E2C44"/>
      <rgbColor rgb="FF717F4B"/>
      <rgbColor rgb="FF800080"/>
      <rgbColor rgb="FF475569"/>
      <rgbColor rgb="FFBFC7DA"/>
      <rgbColor rgb="FF888888"/>
      <rgbColor rgb="FF8EA3BE"/>
      <rgbColor rgb="FF666666"/>
      <rgbColor rgb="FFFFF2CC"/>
      <rgbColor rgb="FFE2EFDA"/>
      <rgbColor rgb="FF660066"/>
      <rgbColor rgb="FFD6E4F0"/>
      <rgbColor rgb="FF0066CC"/>
      <rgbColor rgb="FFB4C6E7"/>
      <rgbColor rgb="FF2C3A51"/>
      <rgbColor rgb="FFFF00FF"/>
      <rgbColor rgb="FFF2F2F2"/>
      <rgbColor rgb="FFEAEDF2"/>
      <rgbColor rgb="FF800080"/>
      <rgbColor rgb="FF800000"/>
      <rgbColor rgb="FF548235"/>
      <rgbColor rgb="FF0000FF"/>
      <rgbColor rgb="FFF5F5F5"/>
      <rgbColor rgb="FFDCE6F1"/>
      <rgbColor rgb="FFD4EDDA"/>
      <rgbColor rgb="FFFDEBD0"/>
      <rgbColor rgb="FFD6DCE4"/>
      <rgbColor rgb="FFFCE4D6"/>
      <rgbColor rgb="FFE0E0E0"/>
      <rgbColor rgb="FFF8D7DA"/>
      <rgbColor rgb="FF2E75B6"/>
      <rgbColor rgb="FFE2E7F0"/>
      <rgbColor rgb="FF7B9464"/>
      <rgbColor rgb="FFDDE3ED"/>
      <rgbColor rgb="FFE3E8F0"/>
      <rgbColor rgb="FFC4581A"/>
      <rgbColor rgb="FF5E7B9B"/>
      <rgbColor rgb="FF999999"/>
      <rgbColor rgb="FF17375E"/>
      <rgbColor rgb="FF4A8B8C"/>
      <rgbColor rgb="FF0B1833"/>
      <rgbColor rgb="FF2D2D2D"/>
      <rgbColor rgb="FF404040"/>
      <rgbColor rgb="FFEF4444"/>
      <rgbColor rgb="FF1F386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VX3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I282" activeCellId="0" sqref="I282"/>
    </sheetView>
  </sheetViews>
  <sheetFormatPr defaultColWidth="8.71484375" defaultRowHeight="15" zeroHeight="false" outlineLevelRow="1" outlineLevelCol="0"/>
  <cols>
    <col collapsed="false" customWidth="true" hidden="false" outlineLevel="0" max="1" min="1" style="1" width="83.57"/>
    <col collapsed="false" customWidth="true" hidden="false" outlineLevel="0" max="98" min="2" style="1" width="14"/>
    <col collapsed="false" customWidth="true" hidden="false" outlineLevel="0" max="109" min="99" style="1" width="13"/>
    <col collapsed="false" customWidth="true" hidden="false" outlineLevel="0" max="16384" min="16384" style="1" width="11.57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</row>
    <row r="2" customFormat="false" ht="15" hidden="false" customHeight="true" outlineLevel="0" collapsed="false">
      <c r="A2" s="5"/>
      <c r="B2" s="6" t="n">
        <v>46023</v>
      </c>
      <c r="C2" s="6" t="n">
        <v>46054</v>
      </c>
      <c r="D2" s="6" t="n">
        <v>46082</v>
      </c>
      <c r="E2" s="6" t="n">
        <v>46113</v>
      </c>
      <c r="F2" s="6" t="n">
        <v>46143</v>
      </c>
      <c r="G2" s="6" t="n">
        <v>46174</v>
      </c>
      <c r="H2" s="6" t="n">
        <v>46204</v>
      </c>
      <c r="I2" s="6" t="n">
        <v>46235</v>
      </c>
      <c r="J2" s="6" t="n">
        <v>46266</v>
      </c>
      <c r="K2" s="6" t="n">
        <v>46296</v>
      </c>
      <c r="L2" s="6" t="n">
        <v>46327</v>
      </c>
      <c r="M2" s="6" t="n">
        <v>46357</v>
      </c>
      <c r="N2" s="6" t="n">
        <v>46388</v>
      </c>
      <c r="O2" s="6" t="n">
        <v>46419</v>
      </c>
      <c r="P2" s="6" t="n">
        <v>46447</v>
      </c>
      <c r="Q2" s="6" t="n">
        <v>46478</v>
      </c>
      <c r="R2" s="6" t="n">
        <v>46508</v>
      </c>
      <c r="S2" s="6" t="n">
        <v>46539</v>
      </c>
      <c r="T2" s="6" t="n">
        <v>46569</v>
      </c>
      <c r="U2" s="6" t="n">
        <v>46600</v>
      </c>
      <c r="V2" s="6" t="n">
        <v>46631</v>
      </c>
      <c r="W2" s="6" t="n">
        <v>46661</v>
      </c>
      <c r="X2" s="6" t="n">
        <v>46692</v>
      </c>
      <c r="Y2" s="6" t="n">
        <v>46722</v>
      </c>
      <c r="Z2" s="6" t="n">
        <v>46753</v>
      </c>
      <c r="AA2" s="6" t="n">
        <v>46784</v>
      </c>
      <c r="AB2" s="6" t="n">
        <v>46813</v>
      </c>
      <c r="AC2" s="6" t="n">
        <v>46844</v>
      </c>
      <c r="AD2" s="6" t="n">
        <v>46874</v>
      </c>
      <c r="AE2" s="6" t="n">
        <v>46905</v>
      </c>
      <c r="AF2" s="6" t="n">
        <v>46935</v>
      </c>
      <c r="AG2" s="6" t="n">
        <v>46966</v>
      </c>
      <c r="AH2" s="6" t="n">
        <v>46997</v>
      </c>
      <c r="AI2" s="6" t="n">
        <v>47027</v>
      </c>
      <c r="AJ2" s="6" t="n">
        <v>47058</v>
      </c>
      <c r="AK2" s="6" t="n">
        <v>47088</v>
      </c>
      <c r="AL2" s="6" t="n">
        <v>47119</v>
      </c>
      <c r="AM2" s="6" t="n">
        <v>47150</v>
      </c>
      <c r="AN2" s="6" t="n">
        <v>47178</v>
      </c>
      <c r="AO2" s="6" t="n">
        <v>47209</v>
      </c>
      <c r="AP2" s="6" t="n">
        <v>47239</v>
      </c>
      <c r="AQ2" s="6" t="n">
        <v>47270</v>
      </c>
      <c r="AR2" s="6" t="n">
        <v>47300</v>
      </c>
      <c r="AS2" s="6" t="n">
        <v>47331</v>
      </c>
      <c r="AT2" s="6" t="n">
        <v>47362</v>
      </c>
      <c r="AU2" s="6" t="n">
        <v>47392</v>
      </c>
      <c r="AV2" s="6" t="n">
        <v>47423</v>
      </c>
      <c r="AW2" s="6" t="n">
        <v>47453</v>
      </c>
      <c r="AX2" s="6" t="n">
        <v>47484</v>
      </c>
      <c r="AY2" s="6" t="n">
        <v>47515</v>
      </c>
      <c r="AZ2" s="6" t="n">
        <v>47543</v>
      </c>
      <c r="BA2" s="6" t="n">
        <v>47574</v>
      </c>
      <c r="BB2" s="6" t="n">
        <v>47604</v>
      </c>
      <c r="BC2" s="6" t="n">
        <v>47635</v>
      </c>
      <c r="BD2" s="6" t="n">
        <v>47665</v>
      </c>
      <c r="BE2" s="6" t="n">
        <v>47696</v>
      </c>
      <c r="BF2" s="6" t="n">
        <v>47727</v>
      </c>
      <c r="BG2" s="6" t="n">
        <v>47757</v>
      </c>
      <c r="BH2" s="6" t="n">
        <v>47788</v>
      </c>
      <c r="BI2" s="6" t="n">
        <v>47818</v>
      </c>
      <c r="BJ2" s="6" t="n">
        <v>47849</v>
      </c>
      <c r="BK2" s="6" t="n">
        <v>47880</v>
      </c>
      <c r="BL2" s="6" t="n">
        <v>47908</v>
      </c>
      <c r="BM2" s="6" t="n">
        <v>47939</v>
      </c>
      <c r="BN2" s="6" t="n">
        <v>47969</v>
      </c>
      <c r="BO2" s="6" t="n">
        <v>48000</v>
      </c>
      <c r="BP2" s="6" t="n">
        <v>48030</v>
      </c>
      <c r="BQ2" s="6" t="n">
        <v>48061</v>
      </c>
      <c r="BR2" s="6" t="n">
        <v>48092</v>
      </c>
      <c r="BS2" s="6" t="n">
        <v>48122</v>
      </c>
      <c r="BT2" s="6" t="n">
        <v>48153</v>
      </c>
      <c r="BU2" s="6" t="n">
        <v>48183</v>
      </c>
      <c r="BV2" s="6" t="n">
        <v>48214</v>
      </c>
      <c r="BW2" s="6" t="n">
        <v>48245</v>
      </c>
      <c r="BX2" s="6" t="n">
        <v>48274</v>
      </c>
      <c r="BY2" s="6" t="n">
        <v>48305</v>
      </c>
      <c r="BZ2" s="6" t="n">
        <v>48335</v>
      </c>
      <c r="CA2" s="6" t="n">
        <v>48366</v>
      </c>
      <c r="CB2" s="6" t="n">
        <v>48396</v>
      </c>
      <c r="CC2" s="6" t="n">
        <v>48427</v>
      </c>
      <c r="CD2" s="6" t="n">
        <v>48458</v>
      </c>
      <c r="CE2" s="6" t="n">
        <v>48488</v>
      </c>
      <c r="CF2" s="6" t="n">
        <v>48519</v>
      </c>
      <c r="CG2" s="6" t="n">
        <v>48549</v>
      </c>
      <c r="CH2" s="6" t="n">
        <v>48580</v>
      </c>
      <c r="CI2" s="6" t="n">
        <v>48611</v>
      </c>
      <c r="CJ2" s="6" t="n">
        <v>48639</v>
      </c>
      <c r="CK2" s="6" t="n">
        <v>48670</v>
      </c>
      <c r="CL2" s="6" t="n">
        <v>48700</v>
      </c>
      <c r="CM2" s="6" t="n">
        <v>48731</v>
      </c>
      <c r="CN2" s="6" t="n">
        <v>48761</v>
      </c>
      <c r="CO2" s="6" t="n">
        <v>48792</v>
      </c>
      <c r="CP2" s="6" t="n">
        <v>48823</v>
      </c>
      <c r="CQ2" s="6" t="n">
        <v>48853</v>
      </c>
      <c r="CR2" s="6" t="n">
        <v>48884</v>
      </c>
      <c r="CS2" s="6" t="n">
        <v>48914</v>
      </c>
      <c r="CT2" s="6" t="n">
        <v>48945</v>
      </c>
      <c r="CU2" s="6" t="n">
        <v>48976</v>
      </c>
      <c r="CV2" s="6" t="n">
        <v>49004</v>
      </c>
      <c r="CW2" s="6" t="n">
        <v>49035</v>
      </c>
      <c r="CX2" s="6" t="n">
        <v>49065</v>
      </c>
      <c r="CY2" s="6" t="n">
        <v>49096</v>
      </c>
      <c r="CZ2" s="6" t="n">
        <v>49126</v>
      </c>
      <c r="DA2" s="6" t="n">
        <v>49157</v>
      </c>
      <c r="DB2" s="6" t="n">
        <v>49188</v>
      </c>
      <c r="DC2" s="6" t="n">
        <v>49218</v>
      </c>
      <c r="DD2" s="6" t="n">
        <v>49249</v>
      </c>
      <c r="DE2" s="6" t="n">
        <v>49279</v>
      </c>
    </row>
    <row r="3" s="10" customFormat="true" ht="15" hidden="false" customHeight="true" outlineLevel="0" collapsed="false">
      <c r="A3" s="7" t="s">
        <v>1</v>
      </c>
      <c r="B3" s="8" t="n">
        <v>-2</v>
      </c>
      <c r="C3" s="8" t="n">
        <v>-1</v>
      </c>
      <c r="D3" s="8" t="n">
        <v>0</v>
      </c>
      <c r="E3" s="8" t="n">
        <v>1</v>
      </c>
      <c r="F3" s="8" t="n">
        <v>2</v>
      </c>
      <c r="G3" s="8" t="n">
        <v>3</v>
      </c>
      <c r="H3" s="8" t="n">
        <v>4</v>
      </c>
      <c r="I3" s="8" t="n">
        <v>5</v>
      </c>
      <c r="J3" s="8" t="n">
        <v>6</v>
      </c>
      <c r="K3" s="8" t="n">
        <v>7</v>
      </c>
      <c r="L3" s="8" t="n">
        <v>8</v>
      </c>
      <c r="M3" s="8" t="n">
        <v>9</v>
      </c>
      <c r="N3" s="8" t="n">
        <v>10</v>
      </c>
      <c r="O3" s="8" t="n">
        <v>11</v>
      </c>
      <c r="P3" s="8" t="n">
        <v>12</v>
      </c>
      <c r="Q3" s="8" t="n">
        <v>13</v>
      </c>
      <c r="R3" s="8" t="n">
        <v>14</v>
      </c>
      <c r="S3" s="8" t="n">
        <v>15</v>
      </c>
      <c r="T3" s="8" t="n">
        <v>16</v>
      </c>
      <c r="U3" s="8" t="n">
        <v>17</v>
      </c>
      <c r="V3" s="8" t="n">
        <v>18</v>
      </c>
      <c r="W3" s="8" t="n">
        <v>19</v>
      </c>
      <c r="X3" s="8" t="n">
        <v>20</v>
      </c>
      <c r="Y3" s="8" t="n">
        <v>21</v>
      </c>
      <c r="Z3" s="8" t="n">
        <v>22</v>
      </c>
      <c r="AA3" s="8" t="n">
        <v>23</v>
      </c>
      <c r="AB3" s="8" t="n">
        <v>24</v>
      </c>
      <c r="AC3" s="8" t="n">
        <v>25</v>
      </c>
      <c r="AD3" s="8" t="n">
        <v>26</v>
      </c>
      <c r="AE3" s="8" t="n">
        <v>27</v>
      </c>
      <c r="AF3" s="8" t="n">
        <v>28</v>
      </c>
      <c r="AG3" s="8" t="n">
        <v>29</v>
      </c>
      <c r="AH3" s="8" t="n">
        <v>30</v>
      </c>
      <c r="AI3" s="8" t="n">
        <v>31</v>
      </c>
      <c r="AJ3" s="8" t="n">
        <v>32</v>
      </c>
      <c r="AK3" s="8" t="n">
        <v>33</v>
      </c>
      <c r="AL3" s="8" t="n">
        <v>34</v>
      </c>
      <c r="AM3" s="8" t="n">
        <v>35</v>
      </c>
      <c r="AN3" s="8" t="n">
        <v>36</v>
      </c>
      <c r="AO3" s="8" t="n">
        <v>37</v>
      </c>
      <c r="AP3" s="8" t="n">
        <v>38</v>
      </c>
      <c r="AQ3" s="8" t="n">
        <v>39</v>
      </c>
      <c r="AR3" s="8" t="n">
        <v>40</v>
      </c>
      <c r="AS3" s="8" t="n">
        <v>41</v>
      </c>
      <c r="AT3" s="8" t="n">
        <v>42</v>
      </c>
      <c r="AU3" s="8" t="n">
        <v>43</v>
      </c>
      <c r="AV3" s="8" t="n">
        <v>44</v>
      </c>
      <c r="AW3" s="8" t="n">
        <v>45</v>
      </c>
      <c r="AX3" s="8" t="n">
        <v>46</v>
      </c>
      <c r="AY3" s="8" t="n">
        <v>47</v>
      </c>
      <c r="AZ3" s="8" t="n">
        <v>48</v>
      </c>
      <c r="BA3" s="8" t="n">
        <v>49</v>
      </c>
      <c r="BB3" s="8" t="n">
        <v>50</v>
      </c>
      <c r="BC3" s="8" t="n">
        <v>51</v>
      </c>
      <c r="BD3" s="8" t="n">
        <v>52</v>
      </c>
      <c r="BE3" s="8" t="n">
        <v>53</v>
      </c>
      <c r="BF3" s="8" t="n">
        <v>54</v>
      </c>
      <c r="BG3" s="8" t="n">
        <v>55</v>
      </c>
      <c r="BH3" s="8" t="n">
        <v>56</v>
      </c>
      <c r="BI3" s="8" t="n">
        <v>57</v>
      </c>
      <c r="BJ3" s="8" t="n">
        <v>58</v>
      </c>
      <c r="BK3" s="8" t="n">
        <v>59</v>
      </c>
      <c r="BL3" s="8" t="n">
        <v>60</v>
      </c>
      <c r="BM3" s="8" t="n">
        <v>61</v>
      </c>
      <c r="BN3" s="8" t="n">
        <v>62</v>
      </c>
      <c r="BO3" s="8" t="n">
        <v>63</v>
      </c>
      <c r="BP3" s="8" t="n">
        <v>64</v>
      </c>
      <c r="BQ3" s="8" t="n">
        <v>65</v>
      </c>
      <c r="BR3" s="8" t="n">
        <v>66</v>
      </c>
      <c r="BS3" s="8" t="n">
        <v>67</v>
      </c>
      <c r="BT3" s="8" t="n">
        <v>68</v>
      </c>
      <c r="BU3" s="8" t="n">
        <v>69</v>
      </c>
      <c r="BV3" s="8" t="n">
        <v>70</v>
      </c>
      <c r="BW3" s="8" t="n">
        <v>71</v>
      </c>
      <c r="BX3" s="8" t="n">
        <v>72</v>
      </c>
      <c r="BY3" s="8" t="n">
        <v>73</v>
      </c>
      <c r="BZ3" s="8" t="n">
        <v>74</v>
      </c>
      <c r="CA3" s="8" t="n">
        <v>75</v>
      </c>
      <c r="CB3" s="8" t="n">
        <v>76</v>
      </c>
      <c r="CC3" s="8" t="n">
        <v>77</v>
      </c>
      <c r="CD3" s="8" t="n">
        <v>78</v>
      </c>
      <c r="CE3" s="8" t="n">
        <v>79</v>
      </c>
      <c r="CF3" s="8" t="n">
        <v>80</v>
      </c>
      <c r="CG3" s="8" t="n">
        <v>81</v>
      </c>
      <c r="CH3" s="8" t="n">
        <v>82</v>
      </c>
      <c r="CI3" s="8" t="n">
        <v>83</v>
      </c>
      <c r="CJ3" s="8" t="n">
        <v>84</v>
      </c>
      <c r="CK3" s="8" t="n">
        <v>85</v>
      </c>
      <c r="CL3" s="8" t="n">
        <v>86</v>
      </c>
      <c r="CM3" s="8" t="n">
        <v>87</v>
      </c>
      <c r="CN3" s="8" t="n">
        <v>88</v>
      </c>
      <c r="CO3" s="8" t="n">
        <v>89</v>
      </c>
      <c r="CP3" s="8" t="n">
        <v>90</v>
      </c>
      <c r="CQ3" s="8" t="n">
        <v>91</v>
      </c>
      <c r="CR3" s="8" t="n">
        <v>92</v>
      </c>
      <c r="CS3" s="8" t="n">
        <v>93</v>
      </c>
      <c r="CT3" s="8" t="n">
        <v>94</v>
      </c>
      <c r="CU3" s="8" t="n">
        <v>95</v>
      </c>
      <c r="CV3" s="8" t="n">
        <v>96</v>
      </c>
      <c r="CW3" s="8" t="n">
        <v>97</v>
      </c>
      <c r="CX3" s="8" t="n">
        <v>98</v>
      </c>
      <c r="CY3" s="8" t="n">
        <v>99</v>
      </c>
      <c r="CZ3" s="8" t="n">
        <v>100</v>
      </c>
      <c r="DA3" s="8" t="n">
        <v>101</v>
      </c>
      <c r="DB3" s="8" t="n">
        <v>102</v>
      </c>
      <c r="DC3" s="8" t="n">
        <v>103</v>
      </c>
      <c r="DD3" s="8" t="n">
        <v>104</v>
      </c>
      <c r="DE3" s="8" t="n">
        <v>105</v>
      </c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</row>
    <row r="4" s="10" customFormat="true" ht="15" hidden="false" customHeight="true" outlineLevel="0" collapsed="false">
      <c r="A4" s="7"/>
      <c r="B4" s="11" t="str">
        <f aca="false">IF(ISBLANK(Actuals!C14),"","Actuals")</f>
        <v>Actuals</v>
      </c>
      <c r="C4" s="11" t="str">
        <f aca="false">IF(ISBLANK(Actuals!D14),"","Actuals")</f>
        <v>Actuals</v>
      </c>
      <c r="D4" s="11" t="str">
        <f aca="false">IF(ISBLANK(Actuals!E14),"","Actuals")</f>
        <v>Actuals</v>
      </c>
      <c r="E4" s="11" t="str">
        <f aca="false">IF(ISBLANK(Actuals!F14),"","Actuals")</f>
        <v>Actuals</v>
      </c>
      <c r="F4" s="11" t="str">
        <f aca="false">IF(ISBLANK(Actuals!G14),"","Actuals")</f>
        <v>Actuals</v>
      </c>
      <c r="G4" s="11" t="str">
        <f aca="false">IF(ISBLANK(Actuals!H14),"","Actuals")</f>
        <v>Actuals</v>
      </c>
      <c r="H4" s="11" t="str">
        <f aca="false">IF(ISBLANK(Actuals!I14),"","Actuals")</f>
        <v/>
      </c>
      <c r="I4" s="11" t="str">
        <f aca="false">IF(ISBLANK(Actuals!J14),"","Actuals")</f>
        <v/>
      </c>
      <c r="J4" s="11" t="str">
        <f aca="false">IF(ISBLANK(Actuals!K14),"","Actuals")</f>
        <v/>
      </c>
      <c r="K4" s="11" t="str">
        <f aca="false">IF(ISBLANK(Actuals!L14),"","Actuals")</f>
        <v/>
      </c>
      <c r="L4" s="11" t="str">
        <f aca="false">IF(ISBLANK(Actuals!M14),"","Actuals")</f>
        <v/>
      </c>
      <c r="M4" s="11" t="str">
        <f aca="false">IF(ISBLANK(Actuals!N14),"","Actuals")</f>
        <v/>
      </c>
      <c r="N4" s="11" t="str">
        <f aca="false">IF(ISBLANK(Actuals!O14),"","Actuals")</f>
        <v/>
      </c>
      <c r="O4" s="11" t="str">
        <f aca="false">IF(ISBLANK(Actuals!P14),"","Actuals")</f>
        <v/>
      </c>
      <c r="P4" s="11" t="str">
        <f aca="false">IF(ISBLANK(Actuals!Q14),"","Actuals")</f>
        <v/>
      </c>
      <c r="Q4" s="11" t="str">
        <f aca="false">IF(ISBLANK(Actuals!R14),"","Actuals")</f>
        <v/>
      </c>
      <c r="R4" s="11" t="str">
        <f aca="false">IF(ISBLANK(Actuals!S14),"","Actuals")</f>
        <v/>
      </c>
      <c r="S4" s="11" t="str">
        <f aca="false">IF(ISBLANK(Actuals!T14),"","Actuals")</f>
        <v/>
      </c>
      <c r="T4" s="11" t="str">
        <f aca="false">IF(ISBLANK(Actuals!U14),"","Actuals")</f>
        <v/>
      </c>
      <c r="U4" s="11" t="str">
        <f aca="false">IF(ISBLANK(Actuals!V14),"","Actuals")</f>
        <v/>
      </c>
      <c r="V4" s="11" t="str">
        <f aca="false">IF(ISBLANK(Actuals!W14),"","Actuals")</f>
        <v/>
      </c>
      <c r="W4" s="11" t="str">
        <f aca="false">IF(ISBLANK(Actuals!X14),"","Actuals")</f>
        <v/>
      </c>
      <c r="X4" s="11" t="str">
        <f aca="false">IF(ISBLANK(Actuals!Y14),"","Actuals")</f>
        <v/>
      </c>
      <c r="Y4" s="11" t="str">
        <f aca="false">IF(ISBLANK(Actuals!Z14),"","Actuals")</f>
        <v/>
      </c>
      <c r="Z4" s="11" t="str">
        <f aca="false">IF(ISBLANK(Actuals!AA14),"","Actuals")</f>
        <v/>
      </c>
      <c r="AA4" s="11" t="str">
        <f aca="false">IF(ISBLANK(Actuals!AB14),"","Actuals")</f>
        <v/>
      </c>
      <c r="AB4" s="11" t="str">
        <f aca="false">IF(ISBLANK(Actuals!AC14),"","Actuals")</f>
        <v/>
      </c>
      <c r="AC4" s="11" t="str">
        <f aca="false">IF(ISBLANK(Actuals!AD14),"","Actuals")</f>
        <v/>
      </c>
      <c r="AD4" s="11" t="str">
        <f aca="false">IF(ISBLANK(Actuals!AE14),"","Actuals")</f>
        <v/>
      </c>
      <c r="AE4" s="11" t="str">
        <f aca="false">IF(ISBLANK(Actuals!AF14),"","Actuals")</f>
        <v/>
      </c>
      <c r="AF4" s="11" t="str">
        <f aca="false">IF(ISBLANK(Actuals!AG14),"","Actuals")</f>
        <v/>
      </c>
      <c r="AG4" s="11" t="str">
        <f aca="false">IF(ISBLANK(Actuals!AH14),"","Actuals")</f>
        <v/>
      </c>
      <c r="AH4" s="11" t="str">
        <f aca="false">IF(ISBLANK(Actuals!AI14),"","Actuals")</f>
        <v/>
      </c>
      <c r="AI4" s="11" t="str">
        <f aca="false">IF(ISBLANK(Actuals!AJ14),"","Actuals")</f>
        <v/>
      </c>
      <c r="AJ4" s="11" t="str">
        <f aca="false">IF(ISBLANK(Actuals!AK14),"","Actuals")</f>
        <v/>
      </c>
      <c r="AK4" s="11" t="str">
        <f aca="false">IF(ISBLANK(Actuals!AL14),"","Actuals")</f>
        <v/>
      </c>
      <c r="AL4" s="11" t="str">
        <f aca="false">IF(ISBLANK(Actuals!AM14),"","Actuals")</f>
        <v/>
      </c>
      <c r="AM4" s="11" t="str">
        <f aca="false">IF(ISBLANK(Actuals!AN14),"","Actuals")</f>
        <v/>
      </c>
      <c r="AN4" s="11" t="str">
        <f aca="false">IF(ISBLANK(Actuals!AO14),"","Actuals")</f>
        <v/>
      </c>
      <c r="AO4" s="11" t="str">
        <f aca="false">IF(ISBLANK(Actuals!AP14),"","Actuals")</f>
        <v/>
      </c>
      <c r="AP4" s="11" t="str">
        <f aca="false">IF(ISBLANK(Actuals!AQ14),"","Actuals")</f>
        <v/>
      </c>
      <c r="AQ4" s="11" t="str">
        <f aca="false">IF(ISBLANK(Actuals!AR14),"","Actuals")</f>
        <v/>
      </c>
      <c r="AR4" s="11" t="str">
        <f aca="false">IF(ISBLANK(Actuals!AS14),"","Actuals")</f>
        <v/>
      </c>
      <c r="AS4" s="11" t="str">
        <f aca="false">IF(ISBLANK(Actuals!AT14),"","Actuals")</f>
        <v/>
      </c>
      <c r="AT4" s="11" t="str">
        <f aca="false">IF(ISBLANK(Actuals!AU14),"","Actuals")</f>
        <v/>
      </c>
      <c r="AU4" s="11" t="str">
        <f aca="false">IF(ISBLANK(Actuals!AV14),"","Actuals")</f>
        <v/>
      </c>
      <c r="AV4" s="11" t="str">
        <f aca="false">IF(ISBLANK(Actuals!AW14),"","Actuals")</f>
        <v/>
      </c>
      <c r="AW4" s="11" t="str">
        <f aca="false">IF(ISBLANK(Actuals!AX14),"","Actuals")</f>
        <v/>
      </c>
      <c r="AX4" s="11" t="str">
        <f aca="false">IF(ISBLANK(Actuals!AY14),"","Actuals")</f>
        <v/>
      </c>
      <c r="AY4" s="11" t="str">
        <f aca="false">IF(ISBLANK(Actuals!AZ14),"","Actuals")</f>
        <v/>
      </c>
      <c r="AZ4" s="11" t="str">
        <f aca="false">IF(ISBLANK(Actuals!BA14),"","Actuals")</f>
        <v/>
      </c>
      <c r="BA4" s="11" t="str">
        <f aca="false">IF(ISBLANK(Actuals!BB14),"","Actuals")</f>
        <v/>
      </c>
      <c r="BB4" s="11" t="str">
        <f aca="false">IF(ISBLANK(Actuals!BC14),"","Actuals")</f>
        <v/>
      </c>
      <c r="BC4" s="11" t="str">
        <f aca="false">IF(ISBLANK(Actuals!BD14),"","Actuals")</f>
        <v/>
      </c>
      <c r="BD4" s="11" t="str">
        <f aca="false">IF(ISBLANK(Actuals!BE14),"","Actuals")</f>
        <v/>
      </c>
      <c r="BE4" s="11" t="str">
        <f aca="false">IF(ISBLANK(Actuals!BF14),"","Actuals")</f>
        <v/>
      </c>
      <c r="BF4" s="11" t="str">
        <f aca="false">IF(ISBLANK(Actuals!BG14),"","Actuals")</f>
        <v/>
      </c>
      <c r="BG4" s="11" t="str">
        <f aca="false">IF(ISBLANK(Actuals!BH14),"","Actuals")</f>
        <v/>
      </c>
      <c r="BH4" s="11" t="str">
        <f aca="false">IF(ISBLANK(Actuals!BI14),"","Actuals")</f>
        <v/>
      </c>
      <c r="BI4" s="11" t="str">
        <f aca="false">IF(ISBLANK(Actuals!BJ14),"","Actuals")</f>
        <v/>
      </c>
      <c r="BJ4" s="11" t="str">
        <f aca="false">IF(ISBLANK(Actuals!BK14),"","Actuals")</f>
        <v/>
      </c>
      <c r="BK4" s="11" t="str">
        <f aca="false">IF(ISBLANK(Actuals!BL14),"","Actuals")</f>
        <v/>
      </c>
      <c r="BL4" s="11" t="str">
        <f aca="false">IF(ISBLANK(Actuals!BM14),"","Actuals")</f>
        <v/>
      </c>
      <c r="BM4" s="11" t="str">
        <f aca="false">IF(ISBLANK(Actuals!BN14),"","Actuals")</f>
        <v/>
      </c>
      <c r="BN4" s="11" t="str">
        <f aca="false">IF(ISBLANK(Actuals!BO14),"","Actuals")</f>
        <v/>
      </c>
      <c r="BO4" s="11" t="str">
        <f aca="false">IF(ISBLANK(Actuals!BP14),"","Actuals")</f>
        <v/>
      </c>
      <c r="BP4" s="11" t="str">
        <f aca="false">IF(ISBLANK(Actuals!BQ14),"","Actuals")</f>
        <v/>
      </c>
      <c r="BQ4" s="11" t="str">
        <f aca="false">IF(ISBLANK(Actuals!BR14),"","Actuals")</f>
        <v/>
      </c>
      <c r="BR4" s="11" t="str">
        <f aca="false">IF(ISBLANK(Actuals!BS14),"","Actuals")</f>
        <v/>
      </c>
      <c r="BS4" s="11" t="str">
        <f aca="false">IF(ISBLANK(Actuals!BT14),"","Actuals")</f>
        <v/>
      </c>
      <c r="BT4" s="11" t="str">
        <f aca="false">IF(ISBLANK(Actuals!BU14),"","Actuals")</f>
        <v/>
      </c>
      <c r="BU4" s="11" t="str">
        <f aca="false">IF(ISBLANK(Actuals!BV14),"","Actuals")</f>
        <v/>
      </c>
      <c r="BV4" s="11" t="str">
        <f aca="false">IF(ISBLANK(Actuals!BW14),"","Actuals")</f>
        <v/>
      </c>
      <c r="BW4" s="11" t="str">
        <f aca="false">IF(ISBLANK(Actuals!BX14),"","Actuals")</f>
        <v/>
      </c>
      <c r="BX4" s="11" t="str">
        <f aca="false">IF(ISBLANK(Actuals!BY14),"","Actuals")</f>
        <v/>
      </c>
      <c r="BY4" s="11" t="str">
        <f aca="false">IF(ISBLANK(Actuals!BZ14),"","Actuals")</f>
        <v/>
      </c>
      <c r="BZ4" s="11" t="str">
        <f aca="false">IF(ISBLANK(Actuals!CA14),"","Actuals")</f>
        <v/>
      </c>
      <c r="CA4" s="11" t="str">
        <f aca="false">IF(ISBLANK(Actuals!CB14),"","Actuals")</f>
        <v/>
      </c>
      <c r="CB4" s="11" t="str">
        <f aca="false">IF(ISBLANK(Actuals!CC14),"","Actuals")</f>
        <v/>
      </c>
      <c r="CC4" s="11" t="str">
        <f aca="false">IF(ISBLANK(Actuals!CD14),"","Actuals")</f>
        <v/>
      </c>
      <c r="CD4" s="11" t="str">
        <f aca="false">IF(ISBLANK(Actuals!CE14),"","Actuals")</f>
        <v/>
      </c>
      <c r="CE4" s="11" t="str">
        <f aca="false">IF(ISBLANK(Actuals!CF14),"","Actuals")</f>
        <v/>
      </c>
      <c r="CF4" s="11" t="str">
        <f aca="false">IF(ISBLANK(Actuals!CG14),"","Actuals")</f>
        <v/>
      </c>
      <c r="CG4" s="11" t="str">
        <f aca="false">IF(ISBLANK(Actuals!CH14),"","Actuals")</f>
        <v/>
      </c>
      <c r="CH4" s="11" t="str">
        <f aca="false">IF(ISBLANK(Actuals!CI14),"","Actuals")</f>
        <v/>
      </c>
      <c r="CI4" s="11" t="str">
        <f aca="false">IF(ISBLANK(Actuals!CJ14),"","Actuals")</f>
        <v/>
      </c>
      <c r="CJ4" s="11" t="str">
        <f aca="false">IF(ISBLANK(Actuals!CK14),"","Actuals")</f>
        <v/>
      </c>
      <c r="CK4" s="11" t="str">
        <f aca="false">IF(ISBLANK(Actuals!CL14),"","Actuals")</f>
        <v/>
      </c>
      <c r="CL4" s="11" t="str">
        <f aca="false">IF(ISBLANK(Actuals!CM14),"","Actuals")</f>
        <v/>
      </c>
      <c r="CM4" s="11" t="str">
        <f aca="false">IF(ISBLANK(Actuals!CN14),"","Actuals")</f>
        <v/>
      </c>
      <c r="CN4" s="11" t="str">
        <f aca="false">IF(ISBLANK(Actuals!CO14),"","Actuals")</f>
        <v/>
      </c>
      <c r="CO4" s="11" t="str">
        <f aca="false">IF(ISBLANK(Actuals!CP14),"","Actuals")</f>
        <v/>
      </c>
      <c r="CP4" s="11" t="str">
        <f aca="false">IF(ISBLANK(Actuals!CQ14),"","Actuals")</f>
        <v/>
      </c>
      <c r="CQ4" s="11" t="str">
        <f aca="false">IF(ISBLANK(Actuals!CR14),"","Actuals")</f>
        <v/>
      </c>
      <c r="CR4" s="11" t="str">
        <f aca="false">IF(ISBLANK(Actuals!CS14),"","Actuals")</f>
        <v/>
      </c>
      <c r="CS4" s="11" t="str">
        <f aca="false">IF(ISBLANK(Actuals!CT14),"","Actuals")</f>
        <v/>
      </c>
      <c r="CT4" s="11" t="str">
        <f aca="false">IF(ISBLANK(Actuals!CU14),"","Actuals")</f>
        <v/>
      </c>
      <c r="CU4" s="11" t="str">
        <f aca="false">IF(ISBLANK(Actuals!CV14),"","Actuals")</f>
        <v/>
      </c>
      <c r="CV4" s="11" t="str">
        <f aca="false">IF(ISBLANK(Actuals!CW14),"","Actuals")</f>
        <v/>
      </c>
      <c r="CW4" s="11" t="str">
        <f aca="false">IF(ISBLANK(Actuals!CX14),"","Actuals")</f>
        <v/>
      </c>
      <c r="CX4" s="11" t="str">
        <f aca="false">IF(ISBLANK(Actuals!CY14),"","Actuals")</f>
        <v/>
      </c>
      <c r="CY4" s="11" t="str">
        <f aca="false">IF(ISBLANK(Actuals!CZ14),"","Actuals")</f>
        <v/>
      </c>
      <c r="CZ4" s="11" t="str">
        <f aca="false">IF(ISBLANK(Actuals!DA14),"","Actuals")</f>
        <v/>
      </c>
      <c r="DA4" s="11" t="str">
        <f aca="false">IF(ISBLANK(Actuals!DB14),"","Actuals")</f>
        <v/>
      </c>
      <c r="DB4" s="11" t="str">
        <f aca="false">IF(ISBLANK(Actuals!DC14),"","Actuals")</f>
        <v/>
      </c>
      <c r="DC4" s="11" t="str">
        <f aca="false">IF(ISBLANK(Actuals!DD14),"","Actuals")</f>
        <v/>
      </c>
      <c r="DD4" s="11" t="str">
        <f aca="false">IF(ISBLANK(Actuals!DE14),"","Actuals")</f>
        <v/>
      </c>
      <c r="DE4" s="11" t="str">
        <f aca="false">IF(ISBLANK(Actuals!DF14),"","Actuals")</f>
        <v/>
      </c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</row>
    <row r="5" customFormat="false" ht="15" hidden="false" customHeight="true" outlineLevel="0" collapsed="false">
      <c r="A5" s="12" t="s">
        <v>2</v>
      </c>
      <c r="B5" s="13"/>
      <c r="C5" s="14"/>
      <c r="D5" s="14"/>
      <c r="E5" s="1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</row>
    <row r="6" s="18" customFormat="true" ht="42" hidden="false" customHeight="true" outlineLevel="0" collapsed="false">
      <c r="A6" s="16"/>
      <c r="B6" s="17"/>
      <c r="C6" s="17"/>
      <c r="D6" s="17"/>
      <c r="E6" s="17" t="str">
        <f aca="false">MID(IF(AND(Projects!$G$2="Yes",Projects!$C$2=E$3),", "&amp;Projects!$A$2,"")&amp;IF(AND(Projects!$G$3="Yes",Projects!$C$3=E$3),", "&amp;Projects!$A$3,"")&amp;IF(AND(Projects!$G$4="Yes",Projects!$C$4=E$3),", "&amp;Projects!$A$4,"")&amp;IF(AND(Projects!$G$5="Yes",Projects!$C$5=E$3),", "&amp;Projects!$A$5,"")&amp;IF(AND(Projects!$G$6="Yes",Projects!$C$6=E$3),", "&amp;Projects!$A$6,"")&amp;IF(AND(Projects!$G$7="Yes",Projects!$C$7=E$3),", "&amp;Projects!$A$7,"")&amp;IF(AND(Projects!$G$8="Yes",Projects!$C$8=E$3),", "&amp;Projects!$A$8,"")&amp;IF(AND(Projects!$G$9="Yes",Projects!$C$9=E$3),", "&amp;Projects!$A$9,"")&amp;IF(AND(Projects!$G$10="Yes",Projects!$C$10=E$3),", "&amp;Projects!$A$10,"")&amp;IF(AND(Projects!$G$11="Yes",Projects!$C$11=E$3),", "&amp;Projects!$A$11,"")&amp;IF(AND(Projects!$G$12="Yes",Projects!$C$12=E$3),", "&amp;Projects!$A$12,"")&amp;IF(AND(Projects!$G$13="Yes",Projects!$C$13=E$3),", "&amp;Projects!$A$13,"")&amp;IF(AND(Projects!$G$14="Yes",Projects!$C$14=E$3),", "&amp;Projects!$A$14,"")&amp;IF(AND(Projects!$G$15="Yes",Projects!$C$15=E$3),", "&amp;Projects!$A$15,"")&amp;IF(AND(Projects!$G$16="Yes",Projects!$C$16=E$3),", "&amp;Projects!$A$16,"")&amp;IF(AND(Projects!$G$17="Yes",Projects!$C$17=E$3),", "&amp;Projects!$A$17,"")&amp;IF(AND(Projects!$G$18="Yes",Projects!$C$18=E$3),", "&amp;Projects!$A$18,"")&amp;IF(AND(Projects!$G$19="Yes",Projects!$C$19=E$3),", "&amp;Projects!$A$19,"")&amp;IF(AND(Projects!$G$20="Yes",Projects!$C$20=E$3),", "&amp;Projects!$A$20,"")&amp;IF(AND(Projects!$G$21="Yes",Projects!$C$21=E$3),", "&amp;Projects!$A$21,"")&amp;IF(AND(Projects!$G$22="Yes",Projects!$C$22=E$3),", "&amp;Projects!$A$22,"")&amp;IF(AND(Projects!$G$23="Yes",Projects!$C$23=E$3),", "&amp;Projects!$A$23,"")&amp;IF(AND(Projects!$G$24="Yes",Projects!$C$24=E$3),", "&amp;Projects!$A$24,"")&amp;IF(AND(Projects!$G$25="Yes",Projects!$C$25=E$3),", "&amp;Projects!$A$25,"")&amp;IF(AND(Projects!$G$26="Yes",Projects!$C$26=E$3),", "&amp;Projects!$A$26,"")&amp;IF(AND(Projects!$G$27="Yes",Projects!$C$27=E$3),", "&amp;Projects!$A$27,"")&amp;IF(AND(Projects!$G$28="Yes",Projects!$C$28=E$3),", "&amp;Projects!$A$28,"")&amp;IF(AND(Projects!$G$29="Yes",Projects!$C$29=E$3),", "&amp;Projects!$A$29,"")&amp;IF(AND(Projects!$G$30="Yes",Projects!$C$30=E$3),", "&amp;Projects!$A$30,"")&amp;IF(AND(Projects!$G$31="Yes",Projects!$C$31=E$3),", "&amp;Projects!$A$31,"")&amp;IF(AND(Projects!$G$32="Yes",Projects!$C$32=E$3),", "&amp;Projects!$A$32,"")&amp;IF(AND(Projects!$G$33="Yes",Projects!$C$33=E$3),", "&amp;Projects!$A$33,"")&amp;IF(AND(Projects!$G$34="Yes",Projects!$C$34=E$3),", "&amp;Projects!$A$34,"")&amp;IF(AND(Projects!$G$35="Yes",Projects!$C$35=E$3),", "&amp;Projects!$A$35,"")&amp;IF(AND(Projects!$G$36="Yes",Projects!$C$36=E$3),", "&amp;Projects!$A$36,"")&amp;IF(AND(Projects!$G$37="Yes",Projects!$C$37=E$3),", "&amp;Projects!$A$37,"")&amp;IF(AND(Projects!$G$38="Yes",Projects!$C$38=E$3),", "&amp;Projects!$A$38,"")&amp;IF(AND(Projects!$G$39="Yes",Projects!$C$39=E$3),", "&amp;Projects!$A$39,"")&amp;IF(AND(Projects!$G$40="Yes",Projects!$C$40=E$3),", "&amp;Projects!$A$40,"")&amp;IF(AND(Projects!$G$41="Yes",Projects!$C$41=E$3),", "&amp;Projects!$A$41,"")&amp;IF(AND(Projects!$G$42="Yes",Projects!$C$42=E$3),", "&amp;Projects!$A$42,"")&amp;IF(AND(Projects!$G$43="Yes",Projects!$C$43=E$3),", "&amp;Projects!$A$43,"")&amp;IF(AND(Projects!$G$44="Yes",Projects!$C$44=E$3),", "&amp;Projects!$A$44,"")&amp;IF(AND(Projects!$G$45="Yes",Projects!$C$45=E$3),", "&amp;Projects!$A$45,"")&amp;IF(AND(Projects!$G$46="Yes",Projects!$C$46=E$3),", "&amp;Projects!$A$46,""),3,10000)</f>
        <v>Crenshaw, Ramsgate, Califa, Whipple, Nelrose</v>
      </c>
      <c r="F6" s="17" t="str">
        <f aca="false">MID(IF(AND(Projects!$G$2="Yes",Projects!$C$2=F$3),", "&amp;Projects!$A$2,"")&amp;IF(AND(Projects!$G$3="Yes",Projects!$C$3=F$3),", "&amp;Projects!$A$3,"")&amp;IF(AND(Projects!$G$4="Yes",Projects!$C$4=F$3),", "&amp;Projects!$A$4,"")&amp;IF(AND(Projects!$G$5="Yes",Projects!$C$5=F$3),", "&amp;Projects!$A$5,"")&amp;IF(AND(Projects!$G$6="Yes",Projects!$C$6=F$3),", "&amp;Projects!$A$6,"")&amp;IF(AND(Projects!$G$7="Yes",Projects!$C$7=F$3),", "&amp;Projects!$A$7,"")&amp;IF(AND(Projects!$G$8="Yes",Projects!$C$8=F$3),", "&amp;Projects!$A$8,"")&amp;IF(AND(Projects!$G$9="Yes",Projects!$C$9=F$3),", "&amp;Projects!$A$9,"")&amp;IF(AND(Projects!$G$10="Yes",Projects!$C$10=F$3),", "&amp;Projects!$A$10,"")&amp;IF(AND(Projects!$G$11="Yes",Projects!$C$11=F$3),", "&amp;Projects!$A$11,"")&amp;IF(AND(Projects!$G$12="Yes",Projects!$C$12=F$3),", "&amp;Projects!$A$12,"")&amp;IF(AND(Projects!$G$13="Yes",Projects!$C$13=F$3),", "&amp;Projects!$A$13,"")&amp;IF(AND(Projects!$G$14="Yes",Projects!$C$14=F$3),", "&amp;Projects!$A$14,"")&amp;IF(AND(Projects!$G$15="Yes",Projects!$C$15=F$3),", "&amp;Projects!$A$15,"")&amp;IF(AND(Projects!$G$16="Yes",Projects!$C$16=F$3),", "&amp;Projects!$A$16,"")&amp;IF(AND(Projects!$G$17="Yes",Projects!$C$17=F$3),", "&amp;Projects!$A$17,"")&amp;IF(AND(Projects!$G$18="Yes",Projects!$C$18=F$3),", "&amp;Projects!$A$18,"")&amp;IF(AND(Projects!$G$19="Yes",Projects!$C$19=F$3),", "&amp;Projects!$A$19,"")&amp;IF(AND(Projects!$G$20="Yes",Projects!$C$20=F$3),", "&amp;Projects!$A$20,"")&amp;IF(AND(Projects!$G$21="Yes",Projects!$C$21=F$3),", "&amp;Projects!$A$21,"")&amp;IF(AND(Projects!$G$22="Yes",Projects!$C$22=F$3),", "&amp;Projects!$A$22,"")&amp;IF(AND(Projects!$G$23="Yes",Projects!$C$23=F$3),", "&amp;Projects!$A$23,"")&amp;IF(AND(Projects!$G$24="Yes",Projects!$C$24=F$3),", "&amp;Projects!$A$24,"")&amp;IF(AND(Projects!$G$25="Yes",Projects!$C$25=F$3),", "&amp;Projects!$A$25,"")&amp;IF(AND(Projects!$G$26="Yes",Projects!$C$26=F$3),", "&amp;Projects!$A$26,"")&amp;IF(AND(Projects!$G$27="Yes",Projects!$C$27=F$3),", "&amp;Projects!$A$27,"")&amp;IF(AND(Projects!$G$28="Yes",Projects!$C$28=F$3),", "&amp;Projects!$A$28,"")&amp;IF(AND(Projects!$G$29="Yes",Projects!$C$29=F$3),", "&amp;Projects!$A$29,"")&amp;IF(AND(Projects!$G$30="Yes",Projects!$C$30=F$3),", "&amp;Projects!$A$30,"")&amp;IF(AND(Projects!$G$31="Yes",Projects!$C$31=F$3),", "&amp;Projects!$A$31,"")&amp;IF(AND(Projects!$G$32="Yes",Projects!$C$32=F$3),", "&amp;Projects!$A$32,"")&amp;IF(AND(Projects!$G$33="Yes",Projects!$C$33=F$3),", "&amp;Projects!$A$33,"")&amp;IF(AND(Projects!$G$34="Yes",Projects!$C$34=F$3),", "&amp;Projects!$A$34,"")&amp;IF(AND(Projects!$G$35="Yes",Projects!$C$35=F$3),", "&amp;Projects!$A$35,"")&amp;IF(AND(Projects!$G$36="Yes",Projects!$C$36=F$3),", "&amp;Projects!$A$36,"")&amp;IF(AND(Projects!$G$37="Yes",Projects!$C$37=F$3),", "&amp;Projects!$A$37,"")&amp;IF(AND(Projects!$G$38="Yes",Projects!$C$38=F$3),", "&amp;Projects!$A$38,"")&amp;IF(AND(Projects!$G$39="Yes",Projects!$C$39=F$3),", "&amp;Projects!$A$39,"")&amp;IF(AND(Projects!$G$40="Yes",Projects!$C$40=F$3),", "&amp;Projects!$A$40,"")&amp;IF(AND(Projects!$G$41="Yes",Projects!$C$41=F$3),", "&amp;Projects!$A$41,"")&amp;IF(AND(Projects!$G$42="Yes",Projects!$C$42=F$3),", "&amp;Projects!$A$42,"")&amp;IF(AND(Projects!$G$43="Yes",Projects!$C$43=F$3),", "&amp;Projects!$A$43,"")&amp;IF(AND(Projects!$G$44="Yes",Projects!$C$44=F$3),", "&amp;Projects!$A$44,"")&amp;IF(AND(Projects!$G$45="Yes",Projects!$C$45=F$3),", "&amp;Projects!$A$45,"")&amp;IF(AND(Projects!$G$46="Yes",Projects!$C$46=F$3),", "&amp;Projects!$A$46,""),3,10000)</f>
        <v/>
      </c>
      <c r="G6" s="17" t="str">
        <f aca="false">MID(IF(AND(Projects!$G$2="Yes",Projects!$C$2=G$3),", "&amp;Projects!$A$2,"")&amp;IF(AND(Projects!$G$3="Yes",Projects!$C$3=G$3),", "&amp;Projects!$A$3,"")&amp;IF(AND(Projects!$G$4="Yes",Projects!$C$4=G$3),", "&amp;Projects!$A$4,"")&amp;IF(AND(Projects!$G$5="Yes",Projects!$C$5=G$3),", "&amp;Projects!$A$5,"")&amp;IF(AND(Projects!$G$6="Yes",Projects!$C$6=G$3),", "&amp;Projects!$A$6,"")&amp;IF(AND(Projects!$G$7="Yes",Projects!$C$7=G$3),", "&amp;Projects!$A$7,"")&amp;IF(AND(Projects!$G$8="Yes",Projects!$C$8=G$3),", "&amp;Projects!$A$8,"")&amp;IF(AND(Projects!$G$9="Yes",Projects!$C$9=G$3),", "&amp;Projects!$A$9,"")&amp;IF(AND(Projects!$G$10="Yes",Projects!$C$10=G$3),", "&amp;Projects!$A$10,"")&amp;IF(AND(Projects!$G$11="Yes",Projects!$C$11=G$3),", "&amp;Projects!$A$11,"")&amp;IF(AND(Projects!$G$12="Yes",Projects!$C$12=G$3),", "&amp;Projects!$A$12,"")&amp;IF(AND(Projects!$G$13="Yes",Projects!$C$13=G$3),", "&amp;Projects!$A$13,"")&amp;IF(AND(Projects!$G$14="Yes",Projects!$C$14=G$3),", "&amp;Projects!$A$14,"")&amp;IF(AND(Projects!$G$15="Yes",Projects!$C$15=G$3),", "&amp;Projects!$A$15,"")&amp;IF(AND(Projects!$G$16="Yes",Projects!$C$16=G$3),", "&amp;Projects!$A$16,"")&amp;IF(AND(Projects!$G$17="Yes",Projects!$C$17=G$3),", "&amp;Projects!$A$17,"")&amp;IF(AND(Projects!$G$18="Yes",Projects!$C$18=G$3),", "&amp;Projects!$A$18,"")&amp;IF(AND(Projects!$G$19="Yes",Projects!$C$19=G$3),", "&amp;Projects!$A$19,"")&amp;IF(AND(Projects!$G$20="Yes",Projects!$C$20=G$3),", "&amp;Projects!$A$20,"")&amp;IF(AND(Projects!$G$21="Yes",Projects!$C$21=G$3),", "&amp;Projects!$A$21,"")&amp;IF(AND(Projects!$G$22="Yes",Projects!$C$22=G$3),", "&amp;Projects!$A$22,"")&amp;IF(AND(Projects!$G$23="Yes",Projects!$C$23=G$3),", "&amp;Projects!$A$23,"")&amp;IF(AND(Projects!$G$24="Yes",Projects!$C$24=G$3),", "&amp;Projects!$A$24,"")&amp;IF(AND(Projects!$G$25="Yes",Projects!$C$25=G$3),", "&amp;Projects!$A$25,"")&amp;IF(AND(Projects!$G$26="Yes",Projects!$C$26=G$3),", "&amp;Projects!$A$26,"")&amp;IF(AND(Projects!$G$27="Yes",Projects!$C$27=G$3),", "&amp;Projects!$A$27,"")&amp;IF(AND(Projects!$G$28="Yes",Projects!$C$28=G$3),", "&amp;Projects!$A$28,"")&amp;IF(AND(Projects!$G$29="Yes",Projects!$C$29=G$3),", "&amp;Projects!$A$29,"")&amp;IF(AND(Projects!$G$30="Yes",Projects!$C$30=G$3),", "&amp;Projects!$A$30,"")&amp;IF(AND(Projects!$G$31="Yes",Projects!$C$31=G$3),", "&amp;Projects!$A$31,"")&amp;IF(AND(Projects!$G$32="Yes",Projects!$C$32=G$3),", "&amp;Projects!$A$32,"")&amp;IF(AND(Projects!$G$33="Yes",Projects!$C$33=G$3),", "&amp;Projects!$A$33,"")&amp;IF(AND(Projects!$G$34="Yes",Projects!$C$34=G$3),", "&amp;Projects!$A$34,"")&amp;IF(AND(Projects!$G$35="Yes",Projects!$C$35=G$3),", "&amp;Projects!$A$35,"")&amp;IF(AND(Projects!$G$36="Yes",Projects!$C$36=G$3),", "&amp;Projects!$A$36,"")&amp;IF(AND(Projects!$G$37="Yes",Projects!$C$37=G$3),", "&amp;Projects!$A$37,"")&amp;IF(AND(Projects!$G$38="Yes",Projects!$C$38=G$3),", "&amp;Projects!$A$38,"")&amp;IF(AND(Projects!$G$39="Yes",Projects!$C$39=G$3),", "&amp;Projects!$A$39,"")&amp;IF(AND(Projects!$G$40="Yes",Projects!$C$40=G$3),", "&amp;Projects!$A$40,"")&amp;IF(AND(Projects!$G$41="Yes",Projects!$C$41=G$3),", "&amp;Projects!$A$41,"")&amp;IF(AND(Projects!$G$42="Yes",Projects!$C$42=G$3),", "&amp;Projects!$A$42,"")&amp;IF(AND(Projects!$G$43="Yes",Projects!$C$43=G$3),", "&amp;Projects!$A$43,"")&amp;IF(AND(Projects!$G$44="Yes",Projects!$C$44=G$3),", "&amp;Projects!$A$44,"")&amp;IF(AND(Projects!$G$45="Yes",Projects!$C$45=G$3),", "&amp;Projects!$A$45,"")&amp;IF(AND(Projects!$G$46="Yes",Projects!$C$46=G$3),", "&amp;Projects!$A$46,""),3,10000)</f>
        <v/>
      </c>
      <c r="H6" s="17" t="str">
        <f aca="false">MID(IF(AND(Projects!$G$2="Yes",Projects!$C$2=H$3),", "&amp;Projects!$A$2,"")&amp;IF(AND(Projects!$G$3="Yes",Projects!$C$3=H$3),", "&amp;Projects!$A$3,"")&amp;IF(AND(Projects!$G$4="Yes",Projects!$C$4=H$3),", "&amp;Projects!$A$4,"")&amp;IF(AND(Projects!$G$5="Yes",Projects!$C$5=H$3),", "&amp;Projects!$A$5,"")&amp;IF(AND(Projects!$G$6="Yes",Projects!$C$6=H$3),", "&amp;Projects!$A$6,"")&amp;IF(AND(Projects!$G$7="Yes",Projects!$C$7=H$3),", "&amp;Projects!$A$7,"")&amp;IF(AND(Projects!$G$8="Yes",Projects!$C$8=H$3),", "&amp;Projects!$A$8,"")&amp;IF(AND(Projects!$G$9="Yes",Projects!$C$9=H$3),", "&amp;Projects!$A$9,"")&amp;IF(AND(Projects!$G$10="Yes",Projects!$C$10=H$3),", "&amp;Projects!$A$10,"")&amp;IF(AND(Projects!$G$11="Yes",Projects!$C$11=H$3),", "&amp;Projects!$A$11,"")&amp;IF(AND(Projects!$G$12="Yes",Projects!$C$12=H$3),", "&amp;Projects!$A$12,"")&amp;IF(AND(Projects!$G$13="Yes",Projects!$C$13=H$3),", "&amp;Projects!$A$13,"")&amp;IF(AND(Projects!$G$14="Yes",Projects!$C$14=H$3),", "&amp;Projects!$A$14,"")&amp;IF(AND(Projects!$G$15="Yes",Projects!$C$15=H$3),", "&amp;Projects!$A$15,"")&amp;IF(AND(Projects!$G$16="Yes",Projects!$C$16=H$3),", "&amp;Projects!$A$16,"")&amp;IF(AND(Projects!$G$17="Yes",Projects!$C$17=H$3),", "&amp;Projects!$A$17,"")&amp;IF(AND(Projects!$G$18="Yes",Projects!$C$18=H$3),", "&amp;Projects!$A$18,"")&amp;IF(AND(Projects!$G$19="Yes",Projects!$C$19=H$3),", "&amp;Projects!$A$19,"")&amp;IF(AND(Projects!$G$20="Yes",Projects!$C$20=H$3),", "&amp;Projects!$A$20,"")&amp;IF(AND(Projects!$G$21="Yes",Projects!$C$21=H$3),", "&amp;Projects!$A$21,"")&amp;IF(AND(Projects!$G$22="Yes",Projects!$C$22=H$3),", "&amp;Projects!$A$22,"")&amp;IF(AND(Projects!$G$23="Yes",Projects!$C$23=H$3),", "&amp;Projects!$A$23,"")&amp;IF(AND(Projects!$G$24="Yes",Projects!$C$24=H$3),", "&amp;Projects!$A$24,"")&amp;IF(AND(Projects!$G$25="Yes",Projects!$C$25=H$3),", "&amp;Projects!$A$25,"")&amp;IF(AND(Projects!$G$26="Yes",Projects!$C$26=H$3),", "&amp;Projects!$A$26,"")&amp;IF(AND(Projects!$G$27="Yes",Projects!$C$27=H$3),", "&amp;Projects!$A$27,"")&amp;IF(AND(Projects!$G$28="Yes",Projects!$C$28=H$3),", "&amp;Projects!$A$28,"")&amp;IF(AND(Projects!$G$29="Yes",Projects!$C$29=H$3),", "&amp;Projects!$A$29,"")&amp;IF(AND(Projects!$G$30="Yes",Projects!$C$30=H$3),", "&amp;Projects!$A$30,"")&amp;IF(AND(Projects!$G$31="Yes",Projects!$C$31=H$3),", "&amp;Projects!$A$31,"")&amp;IF(AND(Projects!$G$32="Yes",Projects!$C$32=H$3),", "&amp;Projects!$A$32,"")&amp;IF(AND(Projects!$G$33="Yes",Projects!$C$33=H$3),", "&amp;Projects!$A$33,"")&amp;IF(AND(Projects!$G$34="Yes",Projects!$C$34=H$3),", "&amp;Projects!$A$34,"")&amp;IF(AND(Projects!$G$35="Yes",Projects!$C$35=H$3),", "&amp;Projects!$A$35,"")&amp;IF(AND(Projects!$G$36="Yes",Projects!$C$36=H$3),", "&amp;Projects!$A$36,"")&amp;IF(AND(Projects!$G$37="Yes",Projects!$C$37=H$3),", "&amp;Projects!$A$37,"")&amp;IF(AND(Projects!$G$38="Yes",Projects!$C$38=H$3),", "&amp;Projects!$A$38,"")&amp;IF(AND(Projects!$G$39="Yes",Projects!$C$39=H$3),", "&amp;Projects!$A$39,"")&amp;IF(AND(Projects!$G$40="Yes",Projects!$C$40=H$3),", "&amp;Projects!$A$40,"")&amp;IF(AND(Projects!$G$41="Yes",Projects!$C$41=H$3),", "&amp;Projects!$A$41,"")&amp;IF(AND(Projects!$G$42="Yes",Projects!$C$42=H$3),", "&amp;Projects!$A$42,"")&amp;IF(AND(Projects!$G$43="Yes",Projects!$C$43=H$3),", "&amp;Projects!$A$43,"")&amp;IF(AND(Projects!$G$44="Yes",Projects!$C$44=H$3),", "&amp;Projects!$A$44,"")&amp;IF(AND(Projects!$G$45="Yes",Projects!$C$45=H$3),", "&amp;Projects!$A$45,"")&amp;IF(AND(Projects!$G$46="Yes",Projects!$C$46=H$3),", "&amp;Projects!$A$46,""),3,10000)</f>
        <v/>
      </c>
      <c r="I6" s="17" t="str">
        <f aca="false">MID(IF(AND(Projects!$G$2="Yes",Projects!$C$2=I$3),", "&amp;Projects!$A$2,"")&amp;IF(AND(Projects!$G$3="Yes",Projects!$C$3=I$3),", "&amp;Projects!$A$3,"")&amp;IF(AND(Projects!$G$4="Yes",Projects!$C$4=I$3),", "&amp;Projects!$A$4,"")&amp;IF(AND(Projects!$G$5="Yes",Projects!$C$5=I$3),", "&amp;Projects!$A$5,"")&amp;IF(AND(Projects!$G$6="Yes",Projects!$C$6=I$3),", "&amp;Projects!$A$6,"")&amp;IF(AND(Projects!$G$7="Yes",Projects!$C$7=I$3),", "&amp;Projects!$A$7,"")&amp;IF(AND(Projects!$G$8="Yes",Projects!$C$8=I$3),", "&amp;Projects!$A$8,"")&amp;IF(AND(Projects!$G$9="Yes",Projects!$C$9=I$3),", "&amp;Projects!$A$9,"")&amp;IF(AND(Projects!$G$10="Yes",Projects!$C$10=I$3),", "&amp;Projects!$A$10,"")&amp;IF(AND(Projects!$G$11="Yes",Projects!$C$11=I$3),", "&amp;Projects!$A$11,"")&amp;IF(AND(Projects!$G$12="Yes",Projects!$C$12=I$3),", "&amp;Projects!$A$12,"")&amp;IF(AND(Projects!$G$13="Yes",Projects!$C$13=I$3),", "&amp;Projects!$A$13,"")&amp;IF(AND(Projects!$G$14="Yes",Projects!$C$14=I$3),", "&amp;Projects!$A$14,"")&amp;IF(AND(Projects!$G$15="Yes",Projects!$C$15=I$3),", "&amp;Projects!$A$15,"")&amp;IF(AND(Projects!$G$16="Yes",Projects!$C$16=I$3),", "&amp;Projects!$A$16,"")&amp;IF(AND(Projects!$G$17="Yes",Projects!$C$17=I$3),", "&amp;Projects!$A$17,"")&amp;IF(AND(Projects!$G$18="Yes",Projects!$C$18=I$3),", "&amp;Projects!$A$18,"")&amp;IF(AND(Projects!$G$19="Yes",Projects!$C$19=I$3),", "&amp;Projects!$A$19,"")&amp;IF(AND(Projects!$G$20="Yes",Projects!$C$20=I$3),", "&amp;Projects!$A$20,"")&amp;IF(AND(Projects!$G$21="Yes",Projects!$C$21=I$3),", "&amp;Projects!$A$21,"")&amp;IF(AND(Projects!$G$22="Yes",Projects!$C$22=I$3),", "&amp;Projects!$A$22,"")&amp;IF(AND(Projects!$G$23="Yes",Projects!$C$23=I$3),", "&amp;Projects!$A$23,"")&amp;IF(AND(Projects!$G$24="Yes",Projects!$C$24=I$3),", "&amp;Projects!$A$24,"")&amp;IF(AND(Projects!$G$25="Yes",Projects!$C$25=I$3),", "&amp;Projects!$A$25,"")&amp;IF(AND(Projects!$G$26="Yes",Projects!$C$26=I$3),", "&amp;Projects!$A$26,"")&amp;IF(AND(Projects!$G$27="Yes",Projects!$C$27=I$3),", "&amp;Projects!$A$27,"")&amp;IF(AND(Projects!$G$28="Yes",Projects!$C$28=I$3),", "&amp;Projects!$A$28,"")&amp;IF(AND(Projects!$G$29="Yes",Projects!$C$29=I$3),", "&amp;Projects!$A$29,"")&amp;IF(AND(Projects!$G$30="Yes",Projects!$C$30=I$3),", "&amp;Projects!$A$30,"")&amp;IF(AND(Projects!$G$31="Yes",Projects!$C$31=I$3),", "&amp;Projects!$A$31,"")&amp;IF(AND(Projects!$G$32="Yes",Projects!$C$32=I$3),", "&amp;Projects!$A$32,"")&amp;IF(AND(Projects!$G$33="Yes",Projects!$C$33=I$3),", "&amp;Projects!$A$33,"")&amp;IF(AND(Projects!$G$34="Yes",Projects!$C$34=I$3),", "&amp;Projects!$A$34,"")&amp;IF(AND(Projects!$G$35="Yes",Projects!$C$35=I$3),", "&amp;Projects!$A$35,"")&amp;IF(AND(Projects!$G$36="Yes",Projects!$C$36=I$3),", "&amp;Projects!$A$36,"")&amp;IF(AND(Projects!$G$37="Yes",Projects!$C$37=I$3),", "&amp;Projects!$A$37,"")&amp;IF(AND(Projects!$G$38="Yes",Projects!$C$38=I$3),", "&amp;Projects!$A$38,"")&amp;IF(AND(Projects!$G$39="Yes",Projects!$C$39=I$3),", "&amp;Projects!$A$39,"")&amp;IF(AND(Projects!$G$40="Yes",Projects!$C$40=I$3),", "&amp;Projects!$A$40,"")&amp;IF(AND(Projects!$G$41="Yes",Projects!$C$41=I$3),", "&amp;Projects!$A$41,"")&amp;IF(AND(Projects!$G$42="Yes",Projects!$C$42=I$3),", "&amp;Projects!$A$42,"")&amp;IF(AND(Projects!$G$43="Yes",Projects!$C$43=I$3),", "&amp;Projects!$A$43,"")&amp;IF(AND(Projects!$G$44="Yes",Projects!$C$44=I$3),", "&amp;Projects!$A$44,"")&amp;IF(AND(Projects!$G$45="Yes",Projects!$C$45=I$3),", "&amp;Projects!$A$45,"")&amp;IF(AND(Projects!$G$46="Yes",Projects!$C$46=I$3),", "&amp;Projects!$A$46,""),3,10000)</f>
        <v>Francis, Lexington, Denny</v>
      </c>
      <c r="J6" s="17" t="str">
        <f aca="false">MID(IF(AND(Projects!$G$2="Yes",Projects!$C$2=J$3),", "&amp;Projects!$A$2,"")&amp;IF(AND(Projects!$G$3="Yes",Projects!$C$3=J$3),", "&amp;Projects!$A$3,"")&amp;IF(AND(Projects!$G$4="Yes",Projects!$C$4=J$3),", "&amp;Projects!$A$4,"")&amp;IF(AND(Projects!$G$5="Yes",Projects!$C$5=J$3),", "&amp;Projects!$A$5,"")&amp;IF(AND(Projects!$G$6="Yes",Projects!$C$6=J$3),", "&amp;Projects!$A$6,"")&amp;IF(AND(Projects!$G$7="Yes",Projects!$C$7=J$3),", "&amp;Projects!$A$7,"")&amp;IF(AND(Projects!$G$8="Yes",Projects!$C$8=J$3),", "&amp;Projects!$A$8,"")&amp;IF(AND(Projects!$G$9="Yes",Projects!$C$9=J$3),", "&amp;Projects!$A$9,"")&amp;IF(AND(Projects!$G$10="Yes",Projects!$C$10=J$3),", "&amp;Projects!$A$10,"")&amp;IF(AND(Projects!$G$11="Yes",Projects!$C$11=J$3),", "&amp;Projects!$A$11,"")&amp;IF(AND(Projects!$G$12="Yes",Projects!$C$12=J$3),", "&amp;Projects!$A$12,"")&amp;IF(AND(Projects!$G$13="Yes",Projects!$C$13=J$3),", "&amp;Projects!$A$13,"")&amp;IF(AND(Projects!$G$14="Yes",Projects!$C$14=J$3),", "&amp;Projects!$A$14,"")&amp;IF(AND(Projects!$G$15="Yes",Projects!$C$15=J$3),", "&amp;Projects!$A$15,"")&amp;IF(AND(Projects!$G$16="Yes",Projects!$C$16=J$3),", "&amp;Projects!$A$16,"")&amp;IF(AND(Projects!$G$17="Yes",Projects!$C$17=J$3),", "&amp;Projects!$A$17,"")&amp;IF(AND(Projects!$G$18="Yes",Projects!$C$18=J$3),", "&amp;Projects!$A$18,"")&amp;IF(AND(Projects!$G$19="Yes",Projects!$C$19=J$3),", "&amp;Projects!$A$19,"")&amp;IF(AND(Projects!$G$20="Yes",Projects!$C$20=J$3),", "&amp;Projects!$A$20,"")&amp;IF(AND(Projects!$G$21="Yes",Projects!$C$21=J$3),", "&amp;Projects!$A$21,"")&amp;IF(AND(Projects!$G$22="Yes",Projects!$C$22=J$3),", "&amp;Projects!$A$22,"")&amp;IF(AND(Projects!$G$23="Yes",Projects!$C$23=J$3),", "&amp;Projects!$A$23,"")&amp;IF(AND(Projects!$G$24="Yes",Projects!$C$24=J$3),", "&amp;Projects!$A$24,"")&amp;IF(AND(Projects!$G$25="Yes",Projects!$C$25=J$3),", "&amp;Projects!$A$25,"")&amp;IF(AND(Projects!$G$26="Yes",Projects!$C$26=J$3),", "&amp;Projects!$A$26,"")&amp;IF(AND(Projects!$G$27="Yes",Projects!$C$27=J$3),", "&amp;Projects!$A$27,"")&amp;IF(AND(Projects!$G$28="Yes",Projects!$C$28=J$3),", "&amp;Projects!$A$28,"")&amp;IF(AND(Projects!$G$29="Yes",Projects!$C$29=J$3),", "&amp;Projects!$A$29,"")&amp;IF(AND(Projects!$G$30="Yes",Projects!$C$30=J$3),", "&amp;Projects!$A$30,"")&amp;IF(AND(Projects!$G$31="Yes",Projects!$C$31=J$3),", "&amp;Projects!$A$31,"")&amp;IF(AND(Projects!$G$32="Yes",Projects!$C$32=J$3),", "&amp;Projects!$A$32,"")&amp;IF(AND(Projects!$G$33="Yes",Projects!$C$33=J$3),", "&amp;Projects!$A$33,"")&amp;IF(AND(Projects!$G$34="Yes",Projects!$C$34=J$3),", "&amp;Projects!$A$34,"")&amp;IF(AND(Projects!$G$35="Yes",Projects!$C$35=J$3),", "&amp;Projects!$A$35,"")&amp;IF(AND(Projects!$G$36="Yes",Projects!$C$36=J$3),", "&amp;Projects!$A$36,"")&amp;IF(AND(Projects!$G$37="Yes",Projects!$C$37=J$3),", "&amp;Projects!$A$37,"")&amp;IF(AND(Projects!$G$38="Yes",Projects!$C$38=J$3),", "&amp;Projects!$A$38,"")&amp;IF(AND(Projects!$G$39="Yes",Projects!$C$39=J$3),", "&amp;Projects!$A$39,"")&amp;IF(AND(Projects!$G$40="Yes",Projects!$C$40=J$3),", "&amp;Projects!$A$40,"")&amp;IF(AND(Projects!$G$41="Yes",Projects!$C$41=J$3),", "&amp;Projects!$A$41,"")&amp;IF(AND(Projects!$G$42="Yes",Projects!$C$42=J$3),", "&amp;Projects!$A$42,"")&amp;IF(AND(Projects!$G$43="Yes",Projects!$C$43=J$3),", "&amp;Projects!$A$43,"")&amp;IF(AND(Projects!$G$44="Yes",Projects!$C$44=J$3),", "&amp;Projects!$A$44,"")&amp;IF(AND(Projects!$G$45="Yes",Projects!$C$45=J$3),", "&amp;Projects!$A$45,"")&amp;IF(AND(Projects!$G$46="Yes",Projects!$C$46=J$3),", "&amp;Projects!$A$46,""),3,10000)</f>
        <v>Acama</v>
      </c>
      <c r="K6" s="17" t="str">
        <f aca="false">MID(IF(AND(Projects!$G$2="Yes",Projects!$C$2=K$3),", "&amp;Projects!$A$2,"")&amp;IF(AND(Projects!$G$3="Yes",Projects!$C$3=K$3),", "&amp;Projects!$A$3,"")&amp;IF(AND(Projects!$G$4="Yes",Projects!$C$4=K$3),", "&amp;Projects!$A$4,"")&amp;IF(AND(Projects!$G$5="Yes",Projects!$C$5=K$3),", "&amp;Projects!$A$5,"")&amp;IF(AND(Projects!$G$6="Yes",Projects!$C$6=K$3),", "&amp;Projects!$A$6,"")&amp;IF(AND(Projects!$G$7="Yes",Projects!$C$7=K$3),", "&amp;Projects!$A$7,"")&amp;IF(AND(Projects!$G$8="Yes",Projects!$C$8=K$3),", "&amp;Projects!$A$8,"")&amp;IF(AND(Projects!$G$9="Yes",Projects!$C$9=K$3),", "&amp;Projects!$A$9,"")&amp;IF(AND(Projects!$G$10="Yes",Projects!$C$10=K$3),", "&amp;Projects!$A$10,"")&amp;IF(AND(Projects!$G$11="Yes",Projects!$C$11=K$3),", "&amp;Projects!$A$11,"")&amp;IF(AND(Projects!$G$12="Yes",Projects!$C$12=K$3),", "&amp;Projects!$A$12,"")&amp;IF(AND(Projects!$G$13="Yes",Projects!$C$13=K$3),", "&amp;Projects!$A$13,"")&amp;IF(AND(Projects!$G$14="Yes",Projects!$C$14=K$3),", "&amp;Projects!$A$14,"")&amp;IF(AND(Projects!$G$15="Yes",Projects!$C$15=K$3),", "&amp;Projects!$A$15,"")&amp;IF(AND(Projects!$G$16="Yes",Projects!$C$16=K$3),", "&amp;Projects!$A$16,"")&amp;IF(AND(Projects!$G$17="Yes",Projects!$C$17=K$3),", "&amp;Projects!$A$17,"")&amp;IF(AND(Projects!$G$18="Yes",Projects!$C$18=K$3),", "&amp;Projects!$A$18,"")&amp;IF(AND(Projects!$G$19="Yes",Projects!$C$19=K$3),", "&amp;Projects!$A$19,"")&amp;IF(AND(Projects!$G$20="Yes",Projects!$C$20=K$3),", "&amp;Projects!$A$20,"")&amp;IF(AND(Projects!$G$21="Yes",Projects!$C$21=K$3),", "&amp;Projects!$A$21,"")&amp;IF(AND(Projects!$G$22="Yes",Projects!$C$22=K$3),", "&amp;Projects!$A$22,"")&amp;IF(AND(Projects!$G$23="Yes",Projects!$C$23=K$3),", "&amp;Projects!$A$23,"")&amp;IF(AND(Projects!$G$24="Yes",Projects!$C$24=K$3),", "&amp;Projects!$A$24,"")&amp;IF(AND(Projects!$G$25="Yes",Projects!$C$25=K$3),", "&amp;Projects!$A$25,"")&amp;IF(AND(Projects!$G$26="Yes",Projects!$C$26=K$3),", "&amp;Projects!$A$26,"")&amp;IF(AND(Projects!$G$27="Yes",Projects!$C$27=K$3),", "&amp;Projects!$A$27,"")&amp;IF(AND(Projects!$G$28="Yes",Projects!$C$28=K$3),", "&amp;Projects!$A$28,"")&amp;IF(AND(Projects!$G$29="Yes",Projects!$C$29=K$3),", "&amp;Projects!$A$29,"")&amp;IF(AND(Projects!$G$30="Yes",Projects!$C$30=K$3),", "&amp;Projects!$A$30,"")&amp;IF(AND(Projects!$G$31="Yes",Projects!$C$31=K$3),", "&amp;Projects!$A$31,"")&amp;IF(AND(Projects!$G$32="Yes",Projects!$C$32=K$3),", "&amp;Projects!$A$32,"")&amp;IF(AND(Projects!$G$33="Yes",Projects!$C$33=K$3),", "&amp;Projects!$A$33,"")&amp;IF(AND(Projects!$G$34="Yes",Projects!$C$34=K$3),", "&amp;Projects!$A$34,"")&amp;IF(AND(Projects!$G$35="Yes",Projects!$C$35=K$3),", "&amp;Projects!$A$35,"")&amp;IF(AND(Projects!$G$36="Yes",Projects!$C$36=K$3),", "&amp;Projects!$A$36,"")&amp;IF(AND(Projects!$G$37="Yes",Projects!$C$37=K$3),", "&amp;Projects!$A$37,"")&amp;IF(AND(Projects!$G$38="Yes",Projects!$C$38=K$3),", "&amp;Projects!$A$38,"")&amp;IF(AND(Projects!$G$39="Yes",Projects!$C$39=K$3),", "&amp;Projects!$A$39,"")&amp;IF(AND(Projects!$G$40="Yes",Projects!$C$40=K$3),", "&amp;Projects!$A$40,"")&amp;IF(AND(Projects!$G$41="Yes",Projects!$C$41=K$3),", "&amp;Projects!$A$41,"")&amp;IF(AND(Projects!$G$42="Yes",Projects!$C$42=K$3),", "&amp;Projects!$A$42,"")&amp;IF(AND(Projects!$G$43="Yes",Projects!$C$43=K$3),", "&amp;Projects!$A$43,"")&amp;IF(AND(Projects!$G$44="Yes",Projects!$C$44=K$3),", "&amp;Projects!$A$44,"")&amp;IF(AND(Projects!$G$45="Yes",Projects!$C$45=K$3),", "&amp;Projects!$A$45,"")&amp;IF(AND(Projects!$G$46="Yes",Projects!$C$46=K$3),", "&amp;Projects!$A$46,""),3,10000)</f>
        <v>Klump, Scott</v>
      </c>
      <c r="L6" s="17" t="str">
        <f aca="false">MID(IF(AND(Projects!$G$2="Yes",Projects!$C$2=L$3),", "&amp;Projects!$A$2,"")&amp;IF(AND(Projects!$G$3="Yes",Projects!$C$3=L$3),", "&amp;Projects!$A$3,"")&amp;IF(AND(Projects!$G$4="Yes",Projects!$C$4=L$3),", "&amp;Projects!$A$4,"")&amp;IF(AND(Projects!$G$5="Yes",Projects!$C$5=L$3),", "&amp;Projects!$A$5,"")&amp;IF(AND(Projects!$G$6="Yes",Projects!$C$6=L$3),", "&amp;Projects!$A$6,"")&amp;IF(AND(Projects!$G$7="Yes",Projects!$C$7=L$3),", "&amp;Projects!$A$7,"")&amp;IF(AND(Projects!$G$8="Yes",Projects!$C$8=L$3),", "&amp;Projects!$A$8,"")&amp;IF(AND(Projects!$G$9="Yes",Projects!$C$9=L$3),", "&amp;Projects!$A$9,"")&amp;IF(AND(Projects!$G$10="Yes",Projects!$C$10=L$3),", "&amp;Projects!$A$10,"")&amp;IF(AND(Projects!$G$11="Yes",Projects!$C$11=L$3),", "&amp;Projects!$A$11,"")&amp;IF(AND(Projects!$G$12="Yes",Projects!$C$12=L$3),", "&amp;Projects!$A$12,"")&amp;IF(AND(Projects!$G$13="Yes",Projects!$C$13=L$3),", "&amp;Projects!$A$13,"")&amp;IF(AND(Projects!$G$14="Yes",Projects!$C$14=L$3),", "&amp;Projects!$A$14,"")&amp;IF(AND(Projects!$G$15="Yes",Projects!$C$15=L$3),", "&amp;Projects!$A$15,"")&amp;IF(AND(Projects!$G$16="Yes",Projects!$C$16=L$3),", "&amp;Projects!$A$16,"")&amp;IF(AND(Projects!$G$17="Yes",Projects!$C$17=L$3),", "&amp;Projects!$A$17,"")&amp;IF(AND(Projects!$G$18="Yes",Projects!$C$18=L$3),", "&amp;Projects!$A$18,"")&amp;IF(AND(Projects!$G$19="Yes",Projects!$C$19=L$3),", "&amp;Projects!$A$19,"")&amp;IF(AND(Projects!$G$20="Yes",Projects!$C$20=L$3),", "&amp;Projects!$A$20,"")&amp;IF(AND(Projects!$G$21="Yes",Projects!$C$21=L$3),", "&amp;Projects!$A$21,"")&amp;IF(AND(Projects!$G$22="Yes",Projects!$C$22=L$3),", "&amp;Projects!$A$22,"")&amp;IF(AND(Projects!$G$23="Yes",Projects!$C$23=L$3),", "&amp;Projects!$A$23,"")&amp;IF(AND(Projects!$G$24="Yes",Projects!$C$24=L$3),", "&amp;Projects!$A$24,"")&amp;IF(AND(Projects!$G$25="Yes",Projects!$C$25=L$3),", "&amp;Projects!$A$25,"")&amp;IF(AND(Projects!$G$26="Yes",Projects!$C$26=L$3),", "&amp;Projects!$A$26,"")&amp;IF(AND(Projects!$G$27="Yes",Projects!$C$27=L$3),", "&amp;Projects!$A$27,"")&amp;IF(AND(Projects!$G$28="Yes",Projects!$C$28=L$3),", "&amp;Projects!$A$28,"")&amp;IF(AND(Projects!$G$29="Yes",Projects!$C$29=L$3),", "&amp;Projects!$A$29,"")&amp;IF(AND(Projects!$G$30="Yes",Projects!$C$30=L$3),", "&amp;Projects!$A$30,"")&amp;IF(AND(Projects!$G$31="Yes",Projects!$C$31=L$3),", "&amp;Projects!$A$31,"")&amp;IF(AND(Projects!$G$32="Yes",Projects!$C$32=L$3),", "&amp;Projects!$A$32,"")&amp;IF(AND(Projects!$G$33="Yes",Projects!$C$33=L$3),", "&amp;Projects!$A$33,"")&amp;IF(AND(Projects!$G$34="Yes",Projects!$C$34=L$3),", "&amp;Projects!$A$34,"")&amp;IF(AND(Projects!$G$35="Yes",Projects!$C$35=L$3),", "&amp;Projects!$A$35,"")&amp;IF(AND(Projects!$G$36="Yes",Projects!$C$36=L$3),", "&amp;Projects!$A$36,"")&amp;IF(AND(Projects!$G$37="Yes",Projects!$C$37=L$3),", "&amp;Projects!$A$37,"")&amp;IF(AND(Projects!$G$38="Yes",Projects!$C$38=L$3),", "&amp;Projects!$A$38,"")&amp;IF(AND(Projects!$G$39="Yes",Projects!$C$39=L$3),", "&amp;Projects!$A$39,"")&amp;IF(AND(Projects!$G$40="Yes",Projects!$C$40=L$3),", "&amp;Projects!$A$40,"")&amp;IF(AND(Projects!$G$41="Yes",Projects!$C$41=L$3),", "&amp;Projects!$A$41,"")&amp;IF(AND(Projects!$G$42="Yes",Projects!$C$42=L$3),", "&amp;Projects!$A$42,"")&amp;IF(AND(Projects!$G$43="Yes",Projects!$C$43=L$3),", "&amp;Projects!$A$43,"")&amp;IF(AND(Projects!$G$44="Yes",Projects!$C$44=L$3),", "&amp;Projects!$A$44,"")&amp;IF(AND(Projects!$G$45="Yes",Projects!$C$45=L$3),", "&amp;Projects!$A$45,"")&amp;IF(AND(Projects!$G$46="Yes",Projects!$C$46=L$3),", "&amp;Projects!$A$46,""),3,10000)</f>
        <v/>
      </c>
      <c r="M6" s="17" t="str">
        <f aca="false">MID(IF(AND(Projects!$G$2="Yes",Projects!$C$2=M$3),", "&amp;Projects!$A$2,"")&amp;IF(AND(Projects!$G$3="Yes",Projects!$C$3=M$3),", "&amp;Projects!$A$3,"")&amp;IF(AND(Projects!$G$4="Yes",Projects!$C$4=M$3),", "&amp;Projects!$A$4,"")&amp;IF(AND(Projects!$G$5="Yes",Projects!$C$5=M$3),", "&amp;Projects!$A$5,"")&amp;IF(AND(Projects!$G$6="Yes",Projects!$C$6=M$3),", "&amp;Projects!$A$6,"")&amp;IF(AND(Projects!$G$7="Yes",Projects!$C$7=M$3),", "&amp;Projects!$A$7,"")&amp;IF(AND(Projects!$G$8="Yes",Projects!$C$8=M$3),", "&amp;Projects!$A$8,"")&amp;IF(AND(Projects!$G$9="Yes",Projects!$C$9=M$3),", "&amp;Projects!$A$9,"")&amp;IF(AND(Projects!$G$10="Yes",Projects!$C$10=M$3),", "&amp;Projects!$A$10,"")&amp;IF(AND(Projects!$G$11="Yes",Projects!$C$11=M$3),", "&amp;Projects!$A$11,"")&amp;IF(AND(Projects!$G$12="Yes",Projects!$C$12=M$3),", "&amp;Projects!$A$12,"")&amp;IF(AND(Projects!$G$13="Yes",Projects!$C$13=M$3),", "&amp;Projects!$A$13,"")&amp;IF(AND(Projects!$G$14="Yes",Projects!$C$14=M$3),", "&amp;Projects!$A$14,"")&amp;IF(AND(Projects!$G$15="Yes",Projects!$C$15=M$3),", "&amp;Projects!$A$15,"")&amp;IF(AND(Projects!$G$16="Yes",Projects!$C$16=M$3),", "&amp;Projects!$A$16,"")&amp;IF(AND(Projects!$G$17="Yes",Projects!$C$17=M$3),", "&amp;Projects!$A$17,"")&amp;IF(AND(Projects!$G$18="Yes",Projects!$C$18=M$3),", "&amp;Projects!$A$18,"")&amp;IF(AND(Projects!$G$19="Yes",Projects!$C$19=M$3),", "&amp;Projects!$A$19,"")&amp;IF(AND(Projects!$G$20="Yes",Projects!$C$20=M$3),", "&amp;Projects!$A$20,"")&amp;IF(AND(Projects!$G$21="Yes",Projects!$C$21=M$3),", "&amp;Projects!$A$21,"")&amp;IF(AND(Projects!$G$22="Yes",Projects!$C$22=M$3),", "&amp;Projects!$A$22,"")&amp;IF(AND(Projects!$G$23="Yes",Projects!$C$23=M$3),", "&amp;Projects!$A$23,"")&amp;IF(AND(Projects!$G$24="Yes",Projects!$C$24=M$3),", "&amp;Projects!$A$24,"")&amp;IF(AND(Projects!$G$25="Yes",Projects!$C$25=M$3),", "&amp;Projects!$A$25,"")&amp;IF(AND(Projects!$G$26="Yes",Projects!$C$26=M$3),", "&amp;Projects!$A$26,"")&amp;IF(AND(Projects!$G$27="Yes",Projects!$C$27=M$3),", "&amp;Projects!$A$27,"")&amp;IF(AND(Projects!$G$28="Yes",Projects!$C$28=M$3),", "&amp;Projects!$A$28,"")&amp;IF(AND(Projects!$G$29="Yes",Projects!$C$29=M$3),", "&amp;Projects!$A$29,"")&amp;IF(AND(Projects!$G$30="Yes",Projects!$C$30=M$3),", "&amp;Projects!$A$30,"")&amp;IF(AND(Projects!$G$31="Yes",Projects!$C$31=M$3),", "&amp;Projects!$A$31,"")&amp;IF(AND(Projects!$G$32="Yes",Projects!$C$32=M$3),", "&amp;Projects!$A$32,"")&amp;IF(AND(Projects!$G$33="Yes",Projects!$C$33=M$3),", "&amp;Projects!$A$33,"")&amp;IF(AND(Projects!$G$34="Yes",Projects!$C$34=M$3),", "&amp;Projects!$A$34,"")&amp;IF(AND(Projects!$G$35="Yes",Projects!$C$35=M$3),", "&amp;Projects!$A$35,"")&amp;IF(AND(Projects!$G$36="Yes",Projects!$C$36=M$3),", "&amp;Projects!$A$36,"")&amp;IF(AND(Projects!$G$37="Yes",Projects!$C$37=M$3),", "&amp;Projects!$A$37,"")&amp;IF(AND(Projects!$G$38="Yes",Projects!$C$38=M$3),", "&amp;Projects!$A$38,"")&amp;IF(AND(Projects!$G$39="Yes",Projects!$C$39=M$3),", "&amp;Projects!$A$39,"")&amp;IF(AND(Projects!$G$40="Yes",Projects!$C$40=M$3),", "&amp;Projects!$A$40,"")&amp;IF(AND(Projects!$G$41="Yes",Projects!$C$41=M$3),", "&amp;Projects!$A$41,"")&amp;IF(AND(Projects!$G$42="Yes",Projects!$C$42=M$3),", "&amp;Projects!$A$42,"")&amp;IF(AND(Projects!$G$43="Yes",Projects!$C$43=M$3),", "&amp;Projects!$A$43,"")&amp;IF(AND(Projects!$G$44="Yes",Projects!$C$44=M$3),", "&amp;Projects!$A$44,"")&amp;IF(AND(Projects!$G$45="Yes",Projects!$C$45=M$3),", "&amp;Projects!$A$45,"")&amp;IF(AND(Projects!$G$46="Yes",Projects!$C$46=M$3),", "&amp;Projects!$A$46,""),3,10000)</f>
        <v/>
      </c>
      <c r="N6" s="17" t="str">
        <f aca="false">MID(IF(AND(Projects!$G$2="Yes",Projects!$C$2=N$3),", "&amp;Projects!$A$2,"")&amp;IF(AND(Projects!$G$3="Yes",Projects!$C$3=N$3),", "&amp;Projects!$A$3,"")&amp;IF(AND(Projects!$G$4="Yes",Projects!$C$4=N$3),", "&amp;Projects!$A$4,"")&amp;IF(AND(Projects!$G$5="Yes",Projects!$C$5=N$3),", "&amp;Projects!$A$5,"")&amp;IF(AND(Projects!$G$6="Yes",Projects!$C$6=N$3),", "&amp;Projects!$A$6,"")&amp;IF(AND(Projects!$G$7="Yes",Projects!$C$7=N$3),", "&amp;Projects!$A$7,"")&amp;IF(AND(Projects!$G$8="Yes",Projects!$C$8=N$3),", "&amp;Projects!$A$8,"")&amp;IF(AND(Projects!$G$9="Yes",Projects!$C$9=N$3),", "&amp;Projects!$A$9,"")&amp;IF(AND(Projects!$G$10="Yes",Projects!$C$10=N$3),", "&amp;Projects!$A$10,"")&amp;IF(AND(Projects!$G$11="Yes",Projects!$C$11=N$3),", "&amp;Projects!$A$11,"")&amp;IF(AND(Projects!$G$12="Yes",Projects!$C$12=N$3),", "&amp;Projects!$A$12,"")&amp;IF(AND(Projects!$G$13="Yes",Projects!$C$13=N$3),", "&amp;Projects!$A$13,"")&amp;IF(AND(Projects!$G$14="Yes",Projects!$C$14=N$3),", "&amp;Projects!$A$14,"")&amp;IF(AND(Projects!$G$15="Yes",Projects!$C$15=N$3),", "&amp;Projects!$A$15,"")&amp;IF(AND(Projects!$G$16="Yes",Projects!$C$16=N$3),", "&amp;Projects!$A$16,"")&amp;IF(AND(Projects!$G$17="Yes",Projects!$C$17=N$3),", "&amp;Projects!$A$17,"")&amp;IF(AND(Projects!$G$18="Yes",Projects!$C$18=N$3),", "&amp;Projects!$A$18,"")&amp;IF(AND(Projects!$G$19="Yes",Projects!$C$19=N$3),", "&amp;Projects!$A$19,"")&amp;IF(AND(Projects!$G$20="Yes",Projects!$C$20=N$3),", "&amp;Projects!$A$20,"")&amp;IF(AND(Projects!$G$21="Yes",Projects!$C$21=N$3),", "&amp;Projects!$A$21,"")&amp;IF(AND(Projects!$G$22="Yes",Projects!$C$22=N$3),", "&amp;Projects!$A$22,"")&amp;IF(AND(Projects!$G$23="Yes",Projects!$C$23=N$3),", "&amp;Projects!$A$23,"")&amp;IF(AND(Projects!$G$24="Yes",Projects!$C$24=N$3),", "&amp;Projects!$A$24,"")&amp;IF(AND(Projects!$G$25="Yes",Projects!$C$25=N$3),", "&amp;Projects!$A$25,"")&amp;IF(AND(Projects!$G$26="Yes",Projects!$C$26=N$3),", "&amp;Projects!$A$26,"")&amp;IF(AND(Projects!$G$27="Yes",Projects!$C$27=N$3),", "&amp;Projects!$A$27,"")&amp;IF(AND(Projects!$G$28="Yes",Projects!$C$28=N$3),", "&amp;Projects!$A$28,"")&amp;IF(AND(Projects!$G$29="Yes",Projects!$C$29=N$3),", "&amp;Projects!$A$29,"")&amp;IF(AND(Projects!$G$30="Yes",Projects!$C$30=N$3),", "&amp;Projects!$A$30,"")&amp;IF(AND(Projects!$G$31="Yes",Projects!$C$31=N$3),", "&amp;Projects!$A$31,"")&amp;IF(AND(Projects!$G$32="Yes",Projects!$C$32=N$3),", "&amp;Projects!$A$32,"")&amp;IF(AND(Projects!$G$33="Yes",Projects!$C$33=N$3),", "&amp;Projects!$A$33,"")&amp;IF(AND(Projects!$G$34="Yes",Projects!$C$34=N$3),", "&amp;Projects!$A$34,"")&amp;IF(AND(Projects!$G$35="Yes",Projects!$C$35=N$3),", "&amp;Projects!$A$35,"")&amp;IF(AND(Projects!$G$36="Yes",Projects!$C$36=N$3),", "&amp;Projects!$A$36,"")&amp;IF(AND(Projects!$G$37="Yes",Projects!$C$37=N$3),", "&amp;Projects!$A$37,"")&amp;IF(AND(Projects!$G$38="Yes",Projects!$C$38=N$3),", "&amp;Projects!$A$38,"")&amp;IF(AND(Projects!$G$39="Yes",Projects!$C$39=N$3),", "&amp;Projects!$A$39,"")&amp;IF(AND(Projects!$G$40="Yes",Projects!$C$40=N$3),", "&amp;Projects!$A$40,"")&amp;IF(AND(Projects!$G$41="Yes",Projects!$C$41=N$3),", "&amp;Projects!$A$41,"")&amp;IF(AND(Projects!$G$42="Yes",Projects!$C$42=N$3),", "&amp;Projects!$A$42,"")&amp;IF(AND(Projects!$G$43="Yes",Projects!$C$43=N$3),", "&amp;Projects!$A$43,"")&amp;IF(AND(Projects!$G$44="Yes",Projects!$C$44=N$3),", "&amp;Projects!$A$44,"")&amp;IF(AND(Projects!$G$45="Yes",Projects!$C$45=N$3),", "&amp;Projects!$A$45,"")&amp;IF(AND(Projects!$G$46="Yes",Projects!$C$46=N$3),", "&amp;Projects!$A$46,""),3,10000)</f>
        <v/>
      </c>
      <c r="O6" s="17" t="str">
        <f aca="false">MID(IF(AND(Projects!$G$2="Yes",Projects!$C$2=O$3),", "&amp;Projects!$A$2,"")&amp;IF(AND(Projects!$G$3="Yes",Projects!$C$3=O$3),", "&amp;Projects!$A$3,"")&amp;IF(AND(Projects!$G$4="Yes",Projects!$C$4=O$3),", "&amp;Projects!$A$4,"")&amp;IF(AND(Projects!$G$5="Yes",Projects!$C$5=O$3),", "&amp;Projects!$A$5,"")&amp;IF(AND(Projects!$G$6="Yes",Projects!$C$6=O$3),", "&amp;Projects!$A$6,"")&amp;IF(AND(Projects!$G$7="Yes",Projects!$C$7=O$3),", "&amp;Projects!$A$7,"")&amp;IF(AND(Projects!$G$8="Yes",Projects!$C$8=O$3),", "&amp;Projects!$A$8,"")&amp;IF(AND(Projects!$G$9="Yes",Projects!$C$9=O$3),", "&amp;Projects!$A$9,"")&amp;IF(AND(Projects!$G$10="Yes",Projects!$C$10=O$3),", "&amp;Projects!$A$10,"")&amp;IF(AND(Projects!$G$11="Yes",Projects!$C$11=O$3),", "&amp;Projects!$A$11,"")&amp;IF(AND(Projects!$G$12="Yes",Projects!$C$12=O$3),", "&amp;Projects!$A$12,"")&amp;IF(AND(Projects!$G$13="Yes",Projects!$C$13=O$3),", "&amp;Projects!$A$13,"")&amp;IF(AND(Projects!$G$14="Yes",Projects!$C$14=O$3),", "&amp;Projects!$A$14,"")&amp;IF(AND(Projects!$G$15="Yes",Projects!$C$15=O$3),", "&amp;Projects!$A$15,"")&amp;IF(AND(Projects!$G$16="Yes",Projects!$C$16=O$3),", "&amp;Projects!$A$16,"")&amp;IF(AND(Projects!$G$17="Yes",Projects!$C$17=O$3),", "&amp;Projects!$A$17,"")&amp;IF(AND(Projects!$G$18="Yes",Projects!$C$18=O$3),", "&amp;Projects!$A$18,"")&amp;IF(AND(Projects!$G$19="Yes",Projects!$C$19=O$3),", "&amp;Projects!$A$19,"")&amp;IF(AND(Projects!$G$20="Yes",Projects!$C$20=O$3),", "&amp;Projects!$A$20,"")&amp;IF(AND(Projects!$G$21="Yes",Projects!$C$21=O$3),", "&amp;Projects!$A$21,"")&amp;IF(AND(Projects!$G$22="Yes",Projects!$C$22=O$3),", "&amp;Projects!$A$22,"")&amp;IF(AND(Projects!$G$23="Yes",Projects!$C$23=O$3),", "&amp;Projects!$A$23,"")&amp;IF(AND(Projects!$G$24="Yes",Projects!$C$24=O$3),", "&amp;Projects!$A$24,"")&amp;IF(AND(Projects!$G$25="Yes",Projects!$C$25=O$3),", "&amp;Projects!$A$25,"")&amp;IF(AND(Projects!$G$26="Yes",Projects!$C$26=O$3),", "&amp;Projects!$A$26,"")&amp;IF(AND(Projects!$G$27="Yes",Projects!$C$27=O$3),", "&amp;Projects!$A$27,"")&amp;IF(AND(Projects!$G$28="Yes",Projects!$C$28=O$3),", "&amp;Projects!$A$28,"")&amp;IF(AND(Projects!$G$29="Yes",Projects!$C$29=O$3),", "&amp;Projects!$A$29,"")&amp;IF(AND(Projects!$G$30="Yes",Projects!$C$30=O$3),", "&amp;Projects!$A$30,"")&amp;IF(AND(Projects!$G$31="Yes",Projects!$C$31=O$3),", "&amp;Projects!$A$31,"")&amp;IF(AND(Projects!$G$32="Yes",Projects!$C$32=O$3),", "&amp;Projects!$A$32,"")&amp;IF(AND(Projects!$G$33="Yes",Projects!$C$33=O$3),", "&amp;Projects!$A$33,"")&amp;IF(AND(Projects!$G$34="Yes",Projects!$C$34=O$3),", "&amp;Projects!$A$34,"")&amp;IF(AND(Projects!$G$35="Yes",Projects!$C$35=O$3),", "&amp;Projects!$A$35,"")&amp;IF(AND(Projects!$G$36="Yes",Projects!$C$36=O$3),", "&amp;Projects!$A$36,"")&amp;IF(AND(Projects!$G$37="Yes",Projects!$C$37=O$3),", "&amp;Projects!$A$37,"")&amp;IF(AND(Projects!$G$38="Yes",Projects!$C$38=O$3),", "&amp;Projects!$A$38,"")&amp;IF(AND(Projects!$G$39="Yes",Projects!$C$39=O$3),", "&amp;Projects!$A$39,"")&amp;IF(AND(Projects!$G$40="Yes",Projects!$C$40=O$3),", "&amp;Projects!$A$40,"")&amp;IF(AND(Projects!$G$41="Yes",Projects!$C$41=O$3),", "&amp;Projects!$A$41,"")&amp;IF(AND(Projects!$G$42="Yes",Projects!$C$42=O$3),", "&amp;Projects!$A$42,"")&amp;IF(AND(Projects!$G$43="Yes",Projects!$C$43=O$3),", "&amp;Projects!$A$43,"")&amp;IF(AND(Projects!$G$44="Yes",Projects!$C$44=O$3),", "&amp;Projects!$A$44,"")&amp;IF(AND(Projects!$G$45="Yes",Projects!$C$45=O$3),", "&amp;Projects!$A$45,"")&amp;IF(AND(Projects!$G$46="Yes",Projects!$C$46=O$3),", "&amp;Projects!$A$46,""),3,10000)</f>
        <v/>
      </c>
      <c r="P6" s="17" t="str">
        <f aca="false">MID(IF(AND(Projects!$G$2="Yes",Projects!$C$2=P$3),", "&amp;Projects!$A$2,"")&amp;IF(AND(Projects!$G$3="Yes",Projects!$C$3=P$3),", "&amp;Projects!$A$3,"")&amp;IF(AND(Projects!$G$4="Yes",Projects!$C$4=P$3),", "&amp;Projects!$A$4,"")&amp;IF(AND(Projects!$G$5="Yes",Projects!$C$5=P$3),", "&amp;Projects!$A$5,"")&amp;IF(AND(Projects!$G$6="Yes",Projects!$C$6=P$3),", "&amp;Projects!$A$6,"")&amp;IF(AND(Projects!$G$7="Yes",Projects!$C$7=P$3),", "&amp;Projects!$A$7,"")&amp;IF(AND(Projects!$G$8="Yes",Projects!$C$8=P$3),", "&amp;Projects!$A$8,"")&amp;IF(AND(Projects!$G$9="Yes",Projects!$C$9=P$3),", "&amp;Projects!$A$9,"")&amp;IF(AND(Projects!$G$10="Yes",Projects!$C$10=P$3),", "&amp;Projects!$A$10,"")&amp;IF(AND(Projects!$G$11="Yes",Projects!$C$11=P$3),", "&amp;Projects!$A$11,"")&amp;IF(AND(Projects!$G$12="Yes",Projects!$C$12=P$3),", "&amp;Projects!$A$12,"")&amp;IF(AND(Projects!$G$13="Yes",Projects!$C$13=P$3),", "&amp;Projects!$A$13,"")&amp;IF(AND(Projects!$G$14="Yes",Projects!$C$14=P$3),", "&amp;Projects!$A$14,"")&amp;IF(AND(Projects!$G$15="Yes",Projects!$C$15=P$3),", "&amp;Projects!$A$15,"")&amp;IF(AND(Projects!$G$16="Yes",Projects!$C$16=P$3),", "&amp;Projects!$A$16,"")&amp;IF(AND(Projects!$G$17="Yes",Projects!$C$17=P$3),", "&amp;Projects!$A$17,"")&amp;IF(AND(Projects!$G$18="Yes",Projects!$C$18=P$3),", "&amp;Projects!$A$18,"")&amp;IF(AND(Projects!$G$19="Yes",Projects!$C$19=P$3),", "&amp;Projects!$A$19,"")&amp;IF(AND(Projects!$G$20="Yes",Projects!$C$20=P$3),", "&amp;Projects!$A$20,"")&amp;IF(AND(Projects!$G$21="Yes",Projects!$C$21=P$3),", "&amp;Projects!$A$21,"")&amp;IF(AND(Projects!$G$22="Yes",Projects!$C$22=P$3),", "&amp;Projects!$A$22,"")&amp;IF(AND(Projects!$G$23="Yes",Projects!$C$23=P$3),", "&amp;Projects!$A$23,"")&amp;IF(AND(Projects!$G$24="Yes",Projects!$C$24=P$3),", "&amp;Projects!$A$24,"")&amp;IF(AND(Projects!$G$25="Yes",Projects!$C$25=P$3),", "&amp;Projects!$A$25,"")&amp;IF(AND(Projects!$G$26="Yes",Projects!$C$26=P$3),", "&amp;Projects!$A$26,"")&amp;IF(AND(Projects!$G$27="Yes",Projects!$C$27=P$3),", "&amp;Projects!$A$27,"")&amp;IF(AND(Projects!$G$28="Yes",Projects!$C$28=P$3),", "&amp;Projects!$A$28,"")&amp;IF(AND(Projects!$G$29="Yes",Projects!$C$29=P$3),", "&amp;Projects!$A$29,"")&amp;IF(AND(Projects!$G$30="Yes",Projects!$C$30=P$3),", "&amp;Projects!$A$30,"")&amp;IF(AND(Projects!$G$31="Yes",Projects!$C$31=P$3),", "&amp;Projects!$A$31,"")&amp;IF(AND(Projects!$G$32="Yes",Projects!$C$32=P$3),", "&amp;Projects!$A$32,"")&amp;IF(AND(Projects!$G$33="Yes",Projects!$C$33=P$3),", "&amp;Projects!$A$33,"")&amp;IF(AND(Projects!$G$34="Yes",Projects!$C$34=P$3),", "&amp;Projects!$A$34,"")&amp;IF(AND(Projects!$G$35="Yes",Projects!$C$35=P$3),", "&amp;Projects!$A$35,"")&amp;IF(AND(Projects!$G$36="Yes",Projects!$C$36=P$3),", "&amp;Projects!$A$36,"")&amp;IF(AND(Projects!$G$37="Yes",Projects!$C$37=P$3),", "&amp;Projects!$A$37,"")&amp;IF(AND(Projects!$G$38="Yes",Projects!$C$38=P$3),", "&amp;Projects!$A$38,"")&amp;IF(AND(Projects!$G$39="Yes",Projects!$C$39=P$3),", "&amp;Projects!$A$39,"")&amp;IF(AND(Projects!$G$40="Yes",Projects!$C$40=P$3),", "&amp;Projects!$A$40,"")&amp;IF(AND(Projects!$G$41="Yes",Projects!$C$41=P$3),", "&amp;Projects!$A$41,"")&amp;IF(AND(Projects!$G$42="Yes",Projects!$C$42=P$3),", "&amp;Projects!$A$42,"")&amp;IF(AND(Projects!$G$43="Yes",Projects!$C$43=P$3),", "&amp;Projects!$A$43,"")&amp;IF(AND(Projects!$G$44="Yes",Projects!$C$44=P$3),", "&amp;Projects!$A$44,"")&amp;IF(AND(Projects!$G$45="Yes",Projects!$C$45=P$3),", "&amp;Projects!$A$45,"")&amp;IF(AND(Projects!$G$46="Yes",Projects!$C$46=P$3),", "&amp;Projects!$A$46,""),3,10000)</f>
        <v/>
      </c>
      <c r="Q6" s="17" t="str">
        <f aca="false">MID(IF(AND(Projects!$G$2="Yes",Projects!$C$2=Q$3),", "&amp;Projects!$A$2,"")&amp;IF(AND(Projects!$G$3="Yes",Projects!$C$3=Q$3),", "&amp;Projects!$A$3,"")&amp;IF(AND(Projects!$G$4="Yes",Projects!$C$4=Q$3),", "&amp;Projects!$A$4,"")&amp;IF(AND(Projects!$G$5="Yes",Projects!$C$5=Q$3),", "&amp;Projects!$A$5,"")&amp;IF(AND(Projects!$G$6="Yes",Projects!$C$6=Q$3),", "&amp;Projects!$A$6,"")&amp;IF(AND(Projects!$G$7="Yes",Projects!$C$7=Q$3),", "&amp;Projects!$A$7,"")&amp;IF(AND(Projects!$G$8="Yes",Projects!$C$8=Q$3),", "&amp;Projects!$A$8,"")&amp;IF(AND(Projects!$G$9="Yes",Projects!$C$9=Q$3),", "&amp;Projects!$A$9,"")&amp;IF(AND(Projects!$G$10="Yes",Projects!$C$10=Q$3),", "&amp;Projects!$A$10,"")&amp;IF(AND(Projects!$G$11="Yes",Projects!$C$11=Q$3),", "&amp;Projects!$A$11,"")&amp;IF(AND(Projects!$G$12="Yes",Projects!$C$12=Q$3),", "&amp;Projects!$A$12,"")&amp;IF(AND(Projects!$G$13="Yes",Projects!$C$13=Q$3),", "&amp;Projects!$A$13,"")&amp;IF(AND(Projects!$G$14="Yes",Projects!$C$14=Q$3),", "&amp;Projects!$A$14,"")&amp;IF(AND(Projects!$G$15="Yes",Projects!$C$15=Q$3),", "&amp;Projects!$A$15,"")&amp;IF(AND(Projects!$G$16="Yes",Projects!$C$16=Q$3),", "&amp;Projects!$A$16,"")&amp;IF(AND(Projects!$G$17="Yes",Projects!$C$17=Q$3),", "&amp;Projects!$A$17,"")&amp;IF(AND(Projects!$G$18="Yes",Projects!$C$18=Q$3),", "&amp;Projects!$A$18,"")&amp;IF(AND(Projects!$G$19="Yes",Projects!$C$19=Q$3),", "&amp;Projects!$A$19,"")&amp;IF(AND(Projects!$G$20="Yes",Projects!$C$20=Q$3),", "&amp;Projects!$A$20,"")&amp;IF(AND(Projects!$G$21="Yes",Projects!$C$21=Q$3),", "&amp;Projects!$A$21,"")&amp;IF(AND(Projects!$G$22="Yes",Projects!$C$22=Q$3),", "&amp;Projects!$A$22,"")&amp;IF(AND(Projects!$G$23="Yes",Projects!$C$23=Q$3),", "&amp;Projects!$A$23,"")&amp;IF(AND(Projects!$G$24="Yes",Projects!$C$24=Q$3),", "&amp;Projects!$A$24,"")&amp;IF(AND(Projects!$G$25="Yes",Projects!$C$25=Q$3),", "&amp;Projects!$A$25,"")&amp;IF(AND(Projects!$G$26="Yes",Projects!$C$26=Q$3),", "&amp;Projects!$A$26,"")&amp;IF(AND(Projects!$G$27="Yes",Projects!$C$27=Q$3),", "&amp;Projects!$A$27,"")&amp;IF(AND(Projects!$G$28="Yes",Projects!$C$28=Q$3),", "&amp;Projects!$A$28,"")&amp;IF(AND(Projects!$G$29="Yes",Projects!$C$29=Q$3),", "&amp;Projects!$A$29,"")&amp;IF(AND(Projects!$G$30="Yes",Projects!$C$30=Q$3),", "&amp;Projects!$A$30,"")&amp;IF(AND(Projects!$G$31="Yes",Projects!$C$31=Q$3),", "&amp;Projects!$A$31,"")&amp;IF(AND(Projects!$G$32="Yes",Projects!$C$32=Q$3),", "&amp;Projects!$A$32,"")&amp;IF(AND(Projects!$G$33="Yes",Projects!$C$33=Q$3),", "&amp;Projects!$A$33,"")&amp;IF(AND(Projects!$G$34="Yes",Projects!$C$34=Q$3),", "&amp;Projects!$A$34,"")&amp;IF(AND(Projects!$G$35="Yes",Projects!$C$35=Q$3),", "&amp;Projects!$A$35,"")&amp;IF(AND(Projects!$G$36="Yes",Projects!$C$36=Q$3),", "&amp;Projects!$A$36,"")&amp;IF(AND(Projects!$G$37="Yes",Projects!$C$37=Q$3),", "&amp;Projects!$A$37,"")&amp;IF(AND(Projects!$G$38="Yes",Projects!$C$38=Q$3),", "&amp;Projects!$A$38,"")&amp;IF(AND(Projects!$G$39="Yes",Projects!$C$39=Q$3),", "&amp;Projects!$A$39,"")&amp;IF(AND(Projects!$G$40="Yes",Projects!$C$40=Q$3),", "&amp;Projects!$A$40,"")&amp;IF(AND(Projects!$G$41="Yes",Projects!$C$41=Q$3),", "&amp;Projects!$A$41,"")&amp;IF(AND(Projects!$G$42="Yes",Projects!$C$42=Q$3),", "&amp;Projects!$A$42,"")&amp;IF(AND(Projects!$G$43="Yes",Projects!$C$43=Q$3),", "&amp;Projects!$A$43,"")&amp;IF(AND(Projects!$G$44="Yes",Projects!$C$44=Q$3),", "&amp;Projects!$A$44,"")&amp;IF(AND(Projects!$G$45="Yes",Projects!$C$45=Q$3),", "&amp;Projects!$A$45,"")&amp;IF(AND(Projects!$G$46="Yes",Projects!$C$46=Q$3),", "&amp;Projects!$A$46,""),3,10000)</f>
        <v>Reseda</v>
      </c>
      <c r="R6" s="17" t="str">
        <f aca="false">MID(IF(AND(Projects!$G$2="Yes",Projects!$C$2=R$3),", "&amp;Projects!$A$2,"")&amp;IF(AND(Projects!$G$3="Yes",Projects!$C$3=R$3),", "&amp;Projects!$A$3,"")&amp;IF(AND(Projects!$G$4="Yes",Projects!$C$4=R$3),", "&amp;Projects!$A$4,"")&amp;IF(AND(Projects!$G$5="Yes",Projects!$C$5=R$3),", "&amp;Projects!$A$5,"")&amp;IF(AND(Projects!$G$6="Yes",Projects!$C$6=R$3),", "&amp;Projects!$A$6,"")&amp;IF(AND(Projects!$G$7="Yes",Projects!$C$7=R$3),", "&amp;Projects!$A$7,"")&amp;IF(AND(Projects!$G$8="Yes",Projects!$C$8=R$3),", "&amp;Projects!$A$8,"")&amp;IF(AND(Projects!$G$9="Yes",Projects!$C$9=R$3),", "&amp;Projects!$A$9,"")&amp;IF(AND(Projects!$G$10="Yes",Projects!$C$10=R$3),", "&amp;Projects!$A$10,"")&amp;IF(AND(Projects!$G$11="Yes",Projects!$C$11=R$3),", "&amp;Projects!$A$11,"")&amp;IF(AND(Projects!$G$12="Yes",Projects!$C$12=R$3),", "&amp;Projects!$A$12,"")&amp;IF(AND(Projects!$G$13="Yes",Projects!$C$13=R$3),", "&amp;Projects!$A$13,"")&amp;IF(AND(Projects!$G$14="Yes",Projects!$C$14=R$3),", "&amp;Projects!$A$14,"")&amp;IF(AND(Projects!$G$15="Yes",Projects!$C$15=R$3),", "&amp;Projects!$A$15,"")&amp;IF(AND(Projects!$G$16="Yes",Projects!$C$16=R$3),", "&amp;Projects!$A$16,"")&amp;IF(AND(Projects!$G$17="Yes",Projects!$C$17=R$3),", "&amp;Projects!$A$17,"")&amp;IF(AND(Projects!$G$18="Yes",Projects!$C$18=R$3),", "&amp;Projects!$A$18,"")&amp;IF(AND(Projects!$G$19="Yes",Projects!$C$19=R$3),", "&amp;Projects!$A$19,"")&amp;IF(AND(Projects!$G$20="Yes",Projects!$C$20=R$3),", "&amp;Projects!$A$20,"")&amp;IF(AND(Projects!$G$21="Yes",Projects!$C$21=R$3),", "&amp;Projects!$A$21,"")&amp;IF(AND(Projects!$G$22="Yes",Projects!$C$22=R$3),", "&amp;Projects!$A$22,"")&amp;IF(AND(Projects!$G$23="Yes",Projects!$C$23=R$3),", "&amp;Projects!$A$23,"")&amp;IF(AND(Projects!$G$24="Yes",Projects!$C$24=R$3),", "&amp;Projects!$A$24,"")&amp;IF(AND(Projects!$G$25="Yes",Projects!$C$25=R$3),", "&amp;Projects!$A$25,"")&amp;IF(AND(Projects!$G$26="Yes",Projects!$C$26=R$3),", "&amp;Projects!$A$26,"")&amp;IF(AND(Projects!$G$27="Yes",Projects!$C$27=R$3),", "&amp;Projects!$A$27,"")&amp;IF(AND(Projects!$G$28="Yes",Projects!$C$28=R$3),", "&amp;Projects!$A$28,"")&amp;IF(AND(Projects!$G$29="Yes",Projects!$C$29=R$3),", "&amp;Projects!$A$29,"")&amp;IF(AND(Projects!$G$30="Yes",Projects!$C$30=R$3),", "&amp;Projects!$A$30,"")&amp;IF(AND(Projects!$G$31="Yes",Projects!$C$31=R$3),", "&amp;Projects!$A$31,"")&amp;IF(AND(Projects!$G$32="Yes",Projects!$C$32=R$3),", "&amp;Projects!$A$32,"")&amp;IF(AND(Projects!$G$33="Yes",Projects!$C$33=R$3),", "&amp;Projects!$A$33,"")&amp;IF(AND(Projects!$G$34="Yes",Projects!$C$34=R$3),", "&amp;Projects!$A$34,"")&amp;IF(AND(Projects!$G$35="Yes",Projects!$C$35=R$3),", "&amp;Projects!$A$35,"")&amp;IF(AND(Projects!$G$36="Yes",Projects!$C$36=R$3),", "&amp;Projects!$A$36,"")&amp;IF(AND(Projects!$G$37="Yes",Projects!$C$37=R$3),", "&amp;Projects!$A$37,"")&amp;IF(AND(Projects!$G$38="Yes",Projects!$C$38=R$3),", "&amp;Projects!$A$38,"")&amp;IF(AND(Projects!$G$39="Yes",Projects!$C$39=R$3),", "&amp;Projects!$A$39,"")&amp;IF(AND(Projects!$G$40="Yes",Projects!$C$40=R$3),", "&amp;Projects!$A$40,"")&amp;IF(AND(Projects!$G$41="Yes",Projects!$C$41=R$3),", "&amp;Projects!$A$41,"")&amp;IF(AND(Projects!$G$42="Yes",Projects!$C$42=R$3),", "&amp;Projects!$A$42,"")&amp;IF(AND(Projects!$G$43="Yes",Projects!$C$43=R$3),", "&amp;Projects!$A$43,"")&amp;IF(AND(Projects!$G$44="Yes",Projects!$C$44=R$3),", "&amp;Projects!$A$44,"")&amp;IF(AND(Projects!$G$45="Yes",Projects!$C$45=R$3),", "&amp;Projects!$A$45,"")&amp;IF(AND(Projects!$G$46="Yes",Projects!$C$46=R$3),", "&amp;Projects!$A$46,""),3,10000)</f>
        <v/>
      </c>
      <c r="S6" s="17" t="str">
        <f aca="false">MID(IF(AND(Projects!$G$2="Yes",Projects!$C$2=S$3),", "&amp;Projects!$A$2,"")&amp;IF(AND(Projects!$G$3="Yes",Projects!$C$3=S$3),", "&amp;Projects!$A$3,"")&amp;IF(AND(Projects!$G$4="Yes",Projects!$C$4=S$3),", "&amp;Projects!$A$4,"")&amp;IF(AND(Projects!$G$5="Yes",Projects!$C$5=S$3),", "&amp;Projects!$A$5,"")&amp;IF(AND(Projects!$G$6="Yes",Projects!$C$6=S$3),", "&amp;Projects!$A$6,"")&amp;IF(AND(Projects!$G$7="Yes",Projects!$C$7=S$3),", "&amp;Projects!$A$7,"")&amp;IF(AND(Projects!$G$8="Yes",Projects!$C$8=S$3),", "&amp;Projects!$A$8,"")&amp;IF(AND(Projects!$G$9="Yes",Projects!$C$9=S$3),", "&amp;Projects!$A$9,"")&amp;IF(AND(Projects!$G$10="Yes",Projects!$C$10=S$3),", "&amp;Projects!$A$10,"")&amp;IF(AND(Projects!$G$11="Yes",Projects!$C$11=S$3),", "&amp;Projects!$A$11,"")&amp;IF(AND(Projects!$G$12="Yes",Projects!$C$12=S$3),", "&amp;Projects!$A$12,"")&amp;IF(AND(Projects!$G$13="Yes",Projects!$C$13=S$3),", "&amp;Projects!$A$13,"")&amp;IF(AND(Projects!$G$14="Yes",Projects!$C$14=S$3),", "&amp;Projects!$A$14,"")&amp;IF(AND(Projects!$G$15="Yes",Projects!$C$15=S$3),", "&amp;Projects!$A$15,"")&amp;IF(AND(Projects!$G$16="Yes",Projects!$C$16=S$3),", "&amp;Projects!$A$16,"")&amp;IF(AND(Projects!$G$17="Yes",Projects!$C$17=S$3),", "&amp;Projects!$A$17,"")&amp;IF(AND(Projects!$G$18="Yes",Projects!$C$18=S$3),", "&amp;Projects!$A$18,"")&amp;IF(AND(Projects!$G$19="Yes",Projects!$C$19=S$3),", "&amp;Projects!$A$19,"")&amp;IF(AND(Projects!$G$20="Yes",Projects!$C$20=S$3),", "&amp;Projects!$A$20,"")&amp;IF(AND(Projects!$G$21="Yes",Projects!$C$21=S$3),", "&amp;Projects!$A$21,"")&amp;IF(AND(Projects!$G$22="Yes",Projects!$C$22=S$3),", "&amp;Projects!$A$22,"")&amp;IF(AND(Projects!$G$23="Yes",Projects!$C$23=S$3),", "&amp;Projects!$A$23,"")&amp;IF(AND(Projects!$G$24="Yes",Projects!$C$24=S$3),", "&amp;Projects!$A$24,"")&amp;IF(AND(Projects!$G$25="Yes",Projects!$C$25=S$3),", "&amp;Projects!$A$25,"")&amp;IF(AND(Projects!$G$26="Yes",Projects!$C$26=S$3),", "&amp;Projects!$A$26,"")&amp;IF(AND(Projects!$G$27="Yes",Projects!$C$27=S$3),", "&amp;Projects!$A$27,"")&amp;IF(AND(Projects!$G$28="Yes",Projects!$C$28=S$3),", "&amp;Projects!$A$28,"")&amp;IF(AND(Projects!$G$29="Yes",Projects!$C$29=S$3),", "&amp;Projects!$A$29,"")&amp;IF(AND(Projects!$G$30="Yes",Projects!$C$30=S$3),", "&amp;Projects!$A$30,"")&amp;IF(AND(Projects!$G$31="Yes",Projects!$C$31=S$3),", "&amp;Projects!$A$31,"")&amp;IF(AND(Projects!$G$32="Yes",Projects!$C$32=S$3),", "&amp;Projects!$A$32,"")&amp;IF(AND(Projects!$G$33="Yes",Projects!$C$33=S$3),", "&amp;Projects!$A$33,"")&amp;IF(AND(Projects!$G$34="Yes",Projects!$C$34=S$3),", "&amp;Projects!$A$34,"")&amp;IF(AND(Projects!$G$35="Yes",Projects!$C$35=S$3),", "&amp;Projects!$A$35,"")&amp;IF(AND(Projects!$G$36="Yes",Projects!$C$36=S$3),", "&amp;Projects!$A$36,"")&amp;IF(AND(Projects!$G$37="Yes",Projects!$C$37=S$3),", "&amp;Projects!$A$37,"")&amp;IF(AND(Projects!$G$38="Yes",Projects!$C$38=S$3),", "&amp;Projects!$A$38,"")&amp;IF(AND(Projects!$G$39="Yes",Projects!$C$39=S$3),", "&amp;Projects!$A$39,"")&amp;IF(AND(Projects!$G$40="Yes",Projects!$C$40=S$3),", "&amp;Projects!$A$40,"")&amp;IF(AND(Projects!$G$41="Yes",Projects!$C$41=S$3),", "&amp;Projects!$A$41,"")&amp;IF(AND(Projects!$G$42="Yes",Projects!$C$42=S$3),", "&amp;Projects!$A$42,"")&amp;IF(AND(Projects!$G$43="Yes",Projects!$C$43=S$3),", "&amp;Projects!$A$43,"")&amp;IF(AND(Projects!$G$44="Yes",Projects!$C$44=S$3),", "&amp;Projects!$A$44,"")&amp;IF(AND(Projects!$G$45="Yes",Projects!$C$45=S$3),", "&amp;Projects!$A$45,"")&amp;IF(AND(Projects!$G$46="Yes",Projects!$C$46=S$3),", "&amp;Projects!$A$46,""),3,10000)</f>
        <v/>
      </c>
      <c r="T6" s="17" t="str">
        <f aca="false">MID(IF(AND(Projects!$G$2="Yes",Projects!$C$2=T$3),", "&amp;Projects!$A$2,"")&amp;IF(AND(Projects!$G$3="Yes",Projects!$C$3=T$3),", "&amp;Projects!$A$3,"")&amp;IF(AND(Projects!$G$4="Yes",Projects!$C$4=T$3),", "&amp;Projects!$A$4,"")&amp;IF(AND(Projects!$G$5="Yes",Projects!$C$5=T$3),", "&amp;Projects!$A$5,"")&amp;IF(AND(Projects!$G$6="Yes",Projects!$C$6=T$3),", "&amp;Projects!$A$6,"")&amp;IF(AND(Projects!$G$7="Yes",Projects!$C$7=T$3),", "&amp;Projects!$A$7,"")&amp;IF(AND(Projects!$G$8="Yes",Projects!$C$8=T$3),", "&amp;Projects!$A$8,"")&amp;IF(AND(Projects!$G$9="Yes",Projects!$C$9=T$3),", "&amp;Projects!$A$9,"")&amp;IF(AND(Projects!$G$10="Yes",Projects!$C$10=T$3),", "&amp;Projects!$A$10,"")&amp;IF(AND(Projects!$G$11="Yes",Projects!$C$11=T$3),", "&amp;Projects!$A$11,"")&amp;IF(AND(Projects!$G$12="Yes",Projects!$C$12=T$3),", "&amp;Projects!$A$12,"")&amp;IF(AND(Projects!$G$13="Yes",Projects!$C$13=T$3),", "&amp;Projects!$A$13,"")&amp;IF(AND(Projects!$G$14="Yes",Projects!$C$14=T$3),", "&amp;Projects!$A$14,"")&amp;IF(AND(Projects!$G$15="Yes",Projects!$C$15=T$3),", "&amp;Projects!$A$15,"")&amp;IF(AND(Projects!$G$16="Yes",Projects!$C$16=T$3),", "&amp;Projects!$A$16,"")&amp;IF(AND(Projects!$G$17="Yes",Projects!$C$17=T$3),", "&amp;Projects!$A$17,"")&amp;IF(AND(Projects!$G$18="Yes",Projects!$C$18=T$3),", "&amp;Projects!$A$18,"")&amp;IF(AND(Projects!$G$19="Yes",Projects!$C$19=T$3),", "&amp;Projects!$A$19,"")&amp;IF(AND(Projects!$G$20="Yes",Projects!$C$20=T$3),", "&amp;Projects!$A$20,"")&amp;IF(AND(Projects!$G$21="Yes",Projects!$C$21=T$3),", "&amp;Projects!$A$21,"")&amp;IF(AND(Projects!$G$22="Yes",Projects!$C$22=T$3),", "&amp;Projects!$A$22,"")&amp;IF(AND(Projects!$G$23="Yes",Projects!$C$23=T$3),", "&amp;Projects!$A$23,"")&amp;IF(AND(Projects!$G$24="Yes",Projects!$C$24=T$3),", "&amp;Projects!$A$24,"")&amp;IF(AND(Projects!$G$25="Yes",Projects!$C$25=T$3),", "&amp;Projects!$A$25,"")&amp;IF(AND(Projects!$G$26="Yes",Projects!$C$26=T$3),", "&amp;Projects!$A$26,"")&amp;IF(AND(Projects!$G$27="Yes",Projects!$C$27=T$3),", "&amp;Projects!$A$27,"")&amp;IF(AND(Projects!$G$28="Yes",Projects!$C$28=T$3),", "&amp;Projects!$A$28,"")&amp;IF(AND(Projects!$G$29="Yes",Projects!$C$29=T$3),", "&amp;Projects!$A$29,"")&amp;IF(AND(Projects!$G$30="Yes",Projects!$C$30=T$3),", "&amp;Projects!$A$30,"")&amp;IF(AND(Projects!$G$31="Yes",Projects!$C$31=T$3),", "&amp;Projects!$A$31,"")&amp;IF(AND(Projects!$G$32="Yes",Projects!$C$32=T$3),", "&amp;Projects!$A$32,"")&amp;IF(AND(Projects!$G$33="Yes",Projects!$C$33=T$3),", "&amp;Projects!$A$33,"")&amp;IF(AND(Projects!$G$34="Yes",Projects!$C$34=T$3),", "&amp;Projects!$A$34,"")&amp;IF(AND(Projects!$G$35="Yes",Projects!$C$35=T$3),", "&amp;Projects!$A$35,"")&amp;IF(AND(Projects!$G$36="Yes",Projects!$C$36=T$3),", "&amp;Projects!$A$36,"")&amp;IF(AND(Projects!$G$37="Yes",Projects!$C$37=T$3),", "&amp;Projects!$A$37,"")&amp;IF(AND(Projects!$G$38="Yes",Projects!$C$38=T$3),", "&amp;Projects!$A$38,"")&amp;IF(AND(Projects!$G$39="Yes",Projects!$C$39=T$3),", "&amp;Projects!$A$39,"")&amp;IF(AND(Projects!$G$40="Yes",Projects!$C$40=T$3),", "&amp;Projects!$A$40,"")&amp;IF(AND(Projects!$G$41="Yes",Projects!$C$41=T$3),", "&amp;Projects!$A$41,"")&amp;IF(AND(Projects!$G$42="Yes",Projects!$C$42=T$3),", "&amp;Projects!$A$42,"")&amp;IF(AND(Projects!$G$43="Yes",Projects!$C$43=T$3),", "&amp;Projects!$A$43,"")&amp;IF(AND(Projects!$G$44="Yes",Projects!$C$44=T$3),", "&amp;Projects!$A$44,"")&amp;IF(AND(Projects!$G$45="Yes",Projects!$C$45=T$3),", "&amp;Projects!$A$45,"")&amp;IF(AND(Projects!$G$46="Yes",Projects!$C$46=T$3),", "&amp;Projects!$A$46,""),3,10000)</f>
        <v/>
      </c>
      <c r="U6" s="17" t="str">
        <f aca="false">MID(IF(AND(Projects!$G$2="Yes",Projects!$C$2=U$3),", "&amp;Projects!$A$2,"")&amp;IF(AND(Projects!$G$3="Yes",Projects!$C$3=U$3),", "&amp;Projects!$A$3,"")&amp;IF(AND(Projects!$G$4="Yes",Projects!$C$4=U$3),", "&amp;Projects!$A$4,"")&amp;IF(AND(Projects!$G$5="Yes",Projects!$C$5=U$3),", "&amp;Projects!$A$5,"")&amp;IF(AND(Projects!$G$6="Yes",Projects!$C$6=U$3),", "&amp;Projects!$A$6,"")&amp;IF(AND(Projects!$G$7="Yes",Projects!$C$7=U$3),", "&amp;Projects!$A$7,"")&amp;IF(AND(Projects!$G$8="Yes",Projects!$C$8=U$3),", "&amp;Projects!$A$8,"")&amp;IF(AND(Projects!$G$9="Yes",Projects!$C$9=U$3),", "&amp;Projects!$A$9,"")&amp;IF(AND(Projects!$G$10="Yes",Projects!$C$10=U$3),", "&amp;Projects!$A$10,"")&amp;IF(AND(Projects!$G$11="Yes",Projects!$C$11=U$3),", "&amp;Projects!$A$11,"")&amp;IF(AND(Projects!$G$12="Yes",Projects!$C$12=U$3),", "&amp;Projects!$A$12,"")&amp;IF(AND(Projects!$G$13="Yes",Projects!$C$13=U$3),", "&amp;Projects!$A$13,"")&amp;IF(AND(Projects!$G$14="Yes",Projects!$C$14=U$3),", "&amp;Projects!$A$14,"")&amp;IF(AND(Projects!$G$15="Yes",Projects!$C$15=U$3),", "&amp;Projects!$A$15,"")&amp;IF(AND(Projects!$G$16="Yes",Projects!$C$16=U$3),", "&amp;Projects!$A$16,"")&amp;IF(AND(Projects!$G$17="Yes",Projects!$C$17=U$3),", "&amp;Projects!$A$17,"")&amp;IF(AND(Projects!$G$18="Yes",Projects!$C$18=U$3),", "&amp;Projects!$A$18,"")&amp;IF(AND(Projects!$G$19="Yes",Projects!$C$19=U$3),", "&amp;Projects!$A$19,"")&amp;IF(AND(Projects!$G$20="Yes",Projects!$C$20=U$3),", "&amp;Projects!$A$20,"")&amp;IF(AND(Projects!$G$21="Yes",Projects!$C$21=U$3),", "&amp;Projects!$A$21,"")&amp;IF(AND(Projects!$G$22="Yes",Projects!$C$22=U$3),", "&amp;Projects!$A$22,"")&amp;IF(AND(Projects!$G$23="Yes",Projects!$C$23=U$3),", "&amp;Projects!$A$23,"")&amp;IF(AND(Projects!$G$24="Yes",Projects!$C$24=U$3),", "&amp;Projects!$A$24,"")&amp;IF(AND(Projects!$G$25="Yes",Projects!$C$25=U$3),", "&amp;Projects!$A$25,"")&amp;IF(AND(Projects!$G$26="Yes",Projects!$C$26=U$3),", "&amp;Projects!$A$26,"")&amp;IF(AND(Projects!$G$27="Yes",Projects!$C$27=U$3),", "&amp;Projects!$A$27,"")&amp;IF(AND(Projects!$G$28="Yes",Projects!$C$28=U$3),", "&amp;Projects!$A$28,"")&amp;IF(AND(Projects!$G$29="Yes",Projects!$C$29=U$3),", "&amp;Projects!$A$29,"")&amp;IF(AND(Projects!$G$30="Yes",Projects!$C$30=U$3),", "&amp;Projects!$A$30,"")&amp;IF(AND(Projects!$G$31="Yes",Projects!$C$31=U$3),", "&amp;Projects!$A$31,"")&amp;IF(AND(Projects!$G$32="Yes",Projects!$C$32=U$3),", "&amp;Projects!$A$32,"")&amp;IF(AND(Projects!$G$33="Yes",Projects!$C$33=U$3),", "&amp;Projects!$A$33,"")&amp;IF(AND(Projects!$G$34="Yes",Projects!$C$34=U$3),", "&amp;Projects!$A$34,"")&amp;IF(AND(Projects!$G$35="Yes",Projects!$C$35=U$3),", "&amp;Projects!$A$35,"")&amp;IF(AND(Projects!$G$36="Yes",Projects!$C$36=U$3),", "&amp;Projects!$A$36,"")&amp;IF(AND(Projects!$G$37="Yes",Projects!$C$37=U$3),", "&amp;Projects!$A$37,"")&amp;IF(AND(Projects!$G$38="Yes",Projects!$C$38=U$3),", "&amp;Projects!$A$38,"")&amp;IF(AND(Projects!$G$39="Yes",Projects!$C$39=U$3),", "&amp;Projects!$A$39,"")&amp;IF(AND(Projects!$G$40="Yes",Projects!$C$40=U$3),", "&amp;Projects!$A$40,"")&amp;IF(AND(Projects!$G$41="Yes",Projects!$C$41=U$3),", "&amp;Projects!$A$41,"")&amp;IF(AND(Projects!$G$42="Yes",Projects!$C$42=U$3),", "&amp;Projects!$A$42,"")&amp;IF(AND(Projects!$G$43="Yes",Projects!$C$43=U$3),", "&amp;Projects!$A$43,"")&amp;IF(AND(Projects!$G$44="Yes",Projects!$C$44=U$3),", "&amp;Projects!$A$44,"")&amp;IF(AND(Projects!$G$45="Yes",Projects!$C$45=U$3),", "&amp;Projects!$A$45,"")&amp;IF(AND(Projects!$G$46="Yes",Projects!$C$46=U$3),", "&amp;Projects!$A$46,""),3,10000)</f>
        <v/>
      </c>
      <c r="V6" s="17" t="str">
        <f aca="false">MID(IF(AND(Projects!$G$2="Yes",Projects!$C$2=V$3),", "&amp;Projects!$A$2,"")&amp;IF(AND(Projects!$G$3="Yes",Projects!$C$3=V$3),", "&amp;Projects!$A$3,"")&amp;IF(AND(Projects!$G$4="Yes",Projects!$C$4=V$3),", "&amp;Projects!$A$4,"")&amp;IF(AND(Projects!$G$5="Yes",Projects!$C$5=V$3),", "&amp;Projects!$A$5,"")&amp;IF(AND(Projects!$G$6="Yes",Projects!$C$6=V$3),", "&amp;Projects!$A$6,"")&amp;IF(AND(Projects!$G$7="Yes",Projects!$C$7=V$3),", "&amp;Projects!$A$7,"")&amp;IF(AND(Projects!$G$8="Yes",Projects!$C$8=V$3),", "&amp;Projects!$A$8,"")&amp;IF(AND(Projects!$G$9="Yes",Projects!$C$9=V$3),", "&amp;Projects!$A$9,"")&amp;IF(AND(Projects!$G$10="Yes",Projects!$C$10=V$3),", "&amp;Projects!$A$10,"")&amp;IF(AND(Projects!$G$11="Yes",Projects!$C$11=V$3),", "&amp;Projects!$A$11,"")&amp;IF(AND(Projects!$G$12="Yes",Projects!$C$12=V$3),", "&amp;Projects!$A$12,"")&amp;IF(AND(Projects!$G$13="Yes",Projects!$C$13=V$3),", "&amp;Projects!$A$13,"")&amp;IF(AND(Projects!$G$14="Yes",Projects!$C$14=V$3),", "&amp;Projects!$A$14,"")&amp;IF(AND(Projects!$G$15="Yes",Projects!$C$15=V$3),", "&amp;Projects!$A$15,"")&amp;IF(AND(Projects!$G$16="Yes",Projects!$C$16=V$3),", "&amp;Projects!$A$16,"")&amp;IF(AND(Projects!$G$17="Yes",Projects!$C$17=V$3),", "&amp;Projects!$A$17,"")&amp;IF(AND(Projects!$G$18="Yes",Projects!$C$18=V$3),", "&amp;Projects!$A$18,"")&amp;IF(AND(Projects!$G$19="Yes",Projects!$C$19=V$3),", "&amp;Projects!$A$19,"")&amp;IF(AND(Projects!$G$20="Yes",Projects!$C$20=V$3),", "&amp;Projects!$A$20,"")&amp;IF(AND(Projects!$G$21="Yes",Projects!$C$21=V$3),", "&amp;Projects!$A$21,"")&amp;IF(AND(Projects!$G$22="Yes",Projects!$C$22=V$3),", "&amp;Projects!$A$22,"")&amp;IF(AND(Projects!$G$23="Yes",Projects!$C$23=V$3),", "&amp;Projects!$A$23,"")&amp;IF(AND(Projects!$G$24="Yes",Projects!$C$24=V$3),", "&amp;Projects!$A$24,"")&amp;IF(AND(Projects!$G$25="Yes",Projects!$C$25=V$3),", "&amp;Projects!$A$25,"")&amp;IF(AND(Projects!$G$26="Yes",Projects!$C$26=V$3),", "&amp;Projects!$A$26,"")&amp;IF(AND(Projects!$G$27="Yes",Projects!$C$27=V$3),", "&amp;Projects!$A$27,"")&amp;IF(AND(Projects!$G$28="Yes",Projects!$C$28=V$3),", "&amp;Projects!$A$28,"")&amp;IF(AND(Projects!$G$29="Yes",Projects!$C$29=V$3),", "&amp;Projects!$A$29,"")&amp;IF(AND(Projects!$G$30="Yes",Projects!$C$30=V$3),", "&amp;Projects!$A$30,"")&amp;IF(AND(Projects!$G$31="Yes",Projects!$C$31=V$3),", "&amp;Projects!$A$31,"")&amp;IF(AND(Projects!$G$32="Yes",Projects!$C$32=V$3),", "&amp;Projects!$A$32,"")&amp;IF(AND(Projects!$G$33="Yes",Projects!$C$33=V$3),", "&amp;Projects!$A$33,"")&amp;IF(AND(Projects!$G$34="Yes",Projects!$C$34=V$3),", "&amp;Projects!$A$34,"")&amp;IF(AND(Projects!$G$35="Yes",Projects!$C$35=V$3),", "&amp;Projects!$A$35,"")&amp;IF(AND(Projects!$G$36="Yes",Projects!$C$36=V$3),", "&amp;Projects!$A$36,"")&amp;IF(AND(Projects!$G$37="Yes",Projects!$C$37=V$3),", "&amp;Projects!$A$37,"")&amp;IF(AND(Projects!$G$38="Yes",Projects!$C$38=V$3),", "&amp;Projects!$A$38,"")&amp;IF(AND(Projects!$G$39="Yes",Projects!$C$39=V$3),", "&amp;Projects!$A$39,"")&amp;IF(AND(Projects!$G$40="Yes",Projects!$C$40=V$3),", "&amp;Projects!$A$40,"")&amp;IF(AND(Projects!$G$41="Yes",Projects!$C$41=V$3),", "&amp;Projects!$A$41,"")&amp;IF(AND(Projects!$G$42="Yes",Projects!$C$42=V$3),", "&amp;Projects!$A$42,"")&amp;IF(AND(Projects!$G$43="Yes",Projects!$C$43=V$3),", "&amp;Projects!$A$43,"")&amp;IF(AND(Projects!$G$44="Yes",Projects!$C$44=V$3),", "&amp;Projects!$A$44,"")&amp;IF(AND(Projects!$G$45="Yes",Projects!$C$45=V$3),", "&amp;Projects!$A$45,"")&amp;IF(AND(Projects!$G$46="Yes",Projects!$C$46=V$3),", "&amp;Projects!$A$46,""),3,10000)</f>
        <v/>
      </c>
      <c r="W6" s="17" t="str">
        <f aca="false">MID(IF(AND(Projects!$G$2="Yes",Projects!$C$2=W$3),", "&amp;Projects!$A$2,"")&amp;IF(AND(Projects!$G$3="Yes",Projects!$C$3=W$3),", "&amp;Projects!$A$3,"")&amp;IF(AND(Projects!$G$4="Yes",Projects!$C$4=W$3),", "&amp;Projects!$A$4,"")&amp;IF(AND(Projects!$G$5="Yes",Projects!$C$5=W$3),", "&amp;Projects!$A$5,"")&amp;IF(AND(Projects!$G$6="Yes",Projects!$C$6=W$3),", "&amp;Projects!$A$6,"")&amp;IF(AND(Projects!$G$7="Yes",Projects!$C$7=W$3),", "&amp;Projects!$A$7,"")&amp;IF(AND(Projects!$G$8="Yes",Projects!$C$8=W$3),", "&amp;Projects!$A$8,"")&amp;IF(AND(Projects!$G$9="Yes",Projects!$C$9=W$3),", "&amp;Projects!$A$9,"")&amp;IF(AND(Projects!$G$10="Yes",Projects!$C$10=W$3),", "&amp;Projects!$A$10,"")&amp;IF(AND(Projects!$G$11="Yes",Projects!$C$11=W$3),", "&amp;Projects!$A$11,"")&amp;IF(AND(Projects!$G$12="Yes",Projects!$C$12=W$3),", "&amp;Projects!$A$12,"")&amp;IF(AND(Projects!$G$13="Yes",Projects!$C$13=W$3),", "&amp;Projects!$A$13,"")&amp;IF(AND(Projects!$G$14="Yes",Projects!$C$14=W$3),", "&amp;Projects!$A$14,"")&amp;IF(AND(Projects!$G$15="Yes",Projects!$C$15=W$3),", "&amp;Projects!$A$15,"")&amp;IF(AND(Projects!$G$16="Yes",Projects!$C$16=W$3),", "&amp;Projects!$A$16,"")&amp;IF(AND(Projects!$G$17="Yes",Projects!$C$17=W$3),", "&amp;Projects!$A$17,"")&amp;IF(AND(Projects!$G$18="Yes",Projects!$C$18=W$3),", "&amp;Projects!$A$18,"")&amp;IF(AND(Projects!$G$19="Yes",Projects!$C$19=W$3),", "&amp;Projects!$A$19,"")&amp;IF(AND(Projects!$G$20="Yes",Projects!$C$20=W$3),", "&amp;Projects!$A$20,"")&amp;IF(AND(Projects!$G$21="Yes",Projects!$C$21=W$3),", "&amp;Projects!$A$21,"")&amp;IF(AND(Projects!$G$22="Yes",Projects!$C$22=W$3),", "&amp;Projects!$A$22,"")&amp;IF(AND(Projects!$G$23="Yes",Projects!$C$23=W$3),", "&amp;Projects!$A$23,"")&amp;IF(AND(Projects!$G$24="Yes",Projects!$C$24=W$3),", "&amp;Projects!$A$24,"")&amp;IF(AND(Projects!$G$25="Yes",Projects!$C$25=W$3),", "&amp;Projects!$A$25,"")&amp;IF(AND(Projects!$G$26="Yes",Projects!$C$26=W$3),", "&amp;Projects!$A$26,"")&amp;IF(AND(Projects!$G$27="Yes",Projects!$C$27=W$3),", "&amp;Projects!$A$27,"")&amp;IF(AND(Projects!$G$28="Yes",Projects!$C$28=W$3),", "&amp;Projects!$A$28,"")&amp;IF(AND(Projects!$G$29="Yes",Projects!$C$29=W$3),", "&amp;Projects!$A$29,"")&amp;IF(AND(Projects!$G$30="Yes",Projects!$C$30=W$3),", "&amp;Projects!$A$30,"")&amp;IF(AND(Projects!$G$31="Yes",Projects!$C$31=W$3),", "&amp;Projects!$A$31,"")&amp;IF(AND(Projects!$G$32="Yes",Projects!$C$32=W$3),", "&amp;Projects!$A$32,"")&amp;IF(AND(Projects!$G$33="Yes",Projects!$C$33=W$3),", "&amp;Projects!$A$33,"")&amp;IF(AND(Projects!$G$34="Yes",Projects!$C$34=W$3),", "&amp;Projects!$A$34,"")&amp;IF(AND(Projects!$G$35="Yes",Projects!$C$35=W$3),", "&amp;Projects!$A$35,"")&amp;IF(AND(Projects!$G$36="Yes",Projects!$C$36=W$3),", "&amp;Projects!$A$36,"")&amp;IF(AND(Projects!$G$37="Yes",Projects!$C$37=W$3),", "&amp;Projects!$A$37,"")&amp;IF(AND(Projects!$G$38="Yes",Projects!$C$38=W$3),", "&amp;Projects!$A$38,"")&amp;IF(AND(Projects!$G$39="Yes",Projects!$C$39=W$3),", "&amp;Projects!$A$39,"")&amp;IF(AND(Projects!$G$40="Yes",Projects!$C$40=W$3),", "&amp;Projects!$A$40,"")&amp;IF(AND(Projects!$G$41="Yes",Projects!$C$41=W$3),", "&amp;Projects!$A$41,"")&amp;IF(AND(Projects!$G$42="Yes",Projects!$C$42=W$3),", "&amp;Projects!$A$42,"")&amp;IF(AND(Projects!$G$43="Yes",Projects!$C$43=W$3),", "&amp;Projects!$A$43,"")&amp;IF(AND(Projects!$G$44="Yes",Projects!$C$44=W$3),", "&amp;Projects!$A$44,"")&amp;IF(AND(Projects!$G$45="Yes",Projects!$C$45=W$3),", "&amp;Projects!$A$45,"")&amp;IF(AND(Projects!$G$46="Yes",Projects!$C$46=W$3),", "&amp;Projects!$A$46,""),3,10000)</f>
        <v/>
      </c>
      <c r="X6" s="17" t="str">
        <f aca="false">MID(IF(AND(Projects!$G$2="Yes",Projects!$C$2=X$3),", "&amp;Projects!$A$2,"")&amp;IF(AND(Projects!$G$3="Yes",Projects!$C$3=X$3),", "&amp;Projects!$A$3,"")&amp;IF(AND(Projects!$G$4="Yes",Projects!$C$4=X$3),", "&amp;Projects!$A$4,"")&amp;IF(AND(Projects!$G$5="Yes",Projects!$C$5=X$3),", "&amp;Projects!$A$5,"")&amp;IF(AND(Projects!$G$6="Yes",Projects!$C$6=X$3),", "&amp;Projects!$A$6,"")&amp;IF(AND(Projects!$G$7="Yes",Projects!$C$7=X$3),", "&amp;Projects!$A$7,"")&amp;IF(AND(Projects!$G$8="Yes",Projects!$C$8=X$3),", "&amp;Projects!$A$8,"")&amp;IF(AND(Projects!$G$9="Yes",Projects!$C$9=X$3),", "&amp;Projects!$A$9,"")&amp;IF(AND(Projects!$G$10="Yes",Projects!$C$10=X$3),", "&amp;Projects!$A$10,"")&amp;IF(AND(Projects!$G$11="Yes",Projects!$C$11=X$3),", "&amp;Projects!$A$11,"")&amp;IF(AND(Projects!$G$12="Yes",Projects!$C$12=X$3),", "&amp;Projects!$A$12,"")&amp;IF(AND(Projects!$G$13="Yes",Projects!$C$13=X$3),", "&amp;Projects!$A$13,"")&amp;IF(AND(Projects!$G$14="Yes",Projects!$C$14=X$3),", "&amp;Projects!$A$14,"")&amp;IF(AND(Projects!$G$15="Yes",Projects!$C$15=X$3),", "&amp;Projects!$A$15,"")&amp;IF(AND(Projects!$G$16="Yes",Projects!$C$16=X$3),", "&amp;Projects!$A$16,"")&amp;IF(AND(Projects!$G$17="Yes",Projects!$C$17=X$3),", "&amp;Projects!$A$17,"")&amp;IF(AND(Projects!$G$18="Yes",Projects!$C$18=X$3),", "&amp;Projects!$A$18,"")&amp;IF(AND(Projects!$G$19="Yes",Projects!$C$19=X$3),", "&amp;Projects!$A$19,"")&amp;IF(AND(Projects!$G$20="Yes",Projects!$C$20=X$3),", "&amp;Projects!$A$20,"")&amp;IF(AND(Projects!$G$21="Yes",Projects!$C$21=X$3),", "&amp;Projects!$A$21,"")&amp;IF(AND(Projects!$G$22="Yes",Projects!$C$22=X$3),", "&amp;Projects!$A$22,"")&amp;IF(AND(Projects!$G$23="Yes",Projects!$C$23=X$3),", "&amp;Projects!$A$23,"")&amp;IF(AND(Projects!$G$24="Yes",Projects!$C$24=X$3),", "&amp;Projects!$A$24,"")&amp;IF(AND(Projects!$G$25="Yes",Projects!$C$25=X$3),", "&amp;Projects!$A$25,"")&amp;IF(AND(Projects!$G$26="Yes",Projects!$C$26=X$3),", "&amp;Projects!$A$26,"")&amp;IF(AND(Projects!$G$27="Yes",Projects!$C$27=X$3),", "&amp;Projects!$A$27,"")&amp;IF(AND(Projects!$G$28="Yes",Projects!$C$28=X$3),", "&amp;Projects!$A$28,"")&amp;IF(AND(Projects!$G$29="Yes",Projects!$C$29=X$3),", "&amp;Projects!$A$29,"")&amp;IF(AND(Projects!$G$30="Yes",Projects!$C$30=X$3),", "&amp;Projects!$A$30,"")&amp;IF(AND(Projects!$G$31="Yes",Projects!$C$31=X$3),", "&amp;Projects!$A$31,"")&amp;IF(AND(Projects!$G$32="Yes",Projects!$C$32=X$3),", "&amp;Projects!$A$32,"")&amp;IF(AND(Projects!$G$33="Yes",Projects!$C$33=X$3),", "&amp;Projects!$A$33,"")&amp;IF(AND(Projects!$G$34="Yes",Projects!$C$34=X$3),", "&amp;Projects!$A$34,"")&amp;IF(AND(Projects!$G$35="Yes",Projects!$C$35=X$3),", "&amp;Projects!$A$35,"")&amp;IF(AND(Projects!$G$36="Yes",Projects!$C$36=X$3),", "&amp;Projects!$A$36,"")&amp;IF(AND(Projects!$G$37="Yes",Projects!$C$37=X$3),", "&amp;Projects!$A$37,"")&amp;IF(AND(Projects!$G$38="Yes",Projects!$C$38=X$3),", "&amp;Projects!$A$38,"")&amp;IF(AND(Projects!$G$39="Yes",Projects!$C$39=X$3),", "&amp;Projects!$A$39,"")&amp;IF(AND(Projects!$G$40="Yes",Projects!$C$40=X$3),", "&amp;Projects!$A$40,"")&amp;IF(AND(Projects!$G$41="Yes",Projects!$C$41=X$3),", "&amp;Projects!$A$41,"")&amp;IF(AND(Projects!$G$42="Yes",Projects!$C$42=X$3),", "&amp;Projects!$A$42,"")&amp;IF(AND(Projects!$G$43="Yes",Projects!$C$43=X$3),", "&amp;Projects!$A$43,"")&amp;IF(AND(Projects!$G$44="Yes",Projects!$C$44=X$3),", "&amp;Projects!$A$44,"")&amp;IF(AND(Projects!$G$45="Yes",Projects!$C$45=X$3),", "&amp;Projects!$A$45,"")&amp;IF(AND(Projects!$G$46="Yes",Projects!$C$46=X$3),", "&amp;Projects!$A$46,""),3,10000)</f>
        <v/>
      </c>
      <c r="Y6" s="17" t="str">
        <f aca="false">MID(IF(AND(Projects!$G$2="Yes",Projects!$C$2=Y$3),", "&amp;Projects!$A$2,"")&amp;IF(AND(Projects!$G$3="Yes",Projects!$C$3=Y$3),", "&amp;Projects!$A$3,"")&amp;IF(AND(Projects!$G$4="Yes",Projects!$C$4=Y$3),", "&amp;Projects!$A$4,"")&amp;IF(AND(Projects!$G$5="Yes",Projects!$C$5=Y$3),", "&amp;Projects!$A$5,"")&amp;IF(AND(Projects!$G$6="Yes",Projects!$C$6=Y$3),", "&amp;Projects!$A$6,"")&amp;IF(AND(Projects!$G$7="Yes",Projects!$C$7=Y$3),", "&amp;Projects!$A$7,"")&amp;IF(AND(Projects!$G$8="Yes",Projects!$C$8=Y$3),", "&amp;Projects!$A$8,"")&amp;IF(AND(Projects!$G$9="Yes",Projects!$C$9=Y$3),", "&amp;Projects!$A$9,"")&amp;IF(AND(Projects!$G$10="Yes",Projects!$C$10=Y$3),", "&amp;Projects!$A$10,"")&amp;IF(AND(Projects!$G$11="Yes",Projects!$C$11=Y$3),", "&amp;Projects!$A$11,"")&amp;IF(AND(Projects!$G$12="Yes",Projects!$C$12=Y$3),", "&amp;Projects!$A$12,"")&amp;IF(AND(Projects!$G$13="Yes",Projects!$C$13=Y$3),", "&amp;Projects!$A$13,"")&amp;IF(AND(Projects!$G$14="Yes",Projects!$C$14=Y$3),", "&amp;Projects!$A$14,"")&amp;IF(AND(Projects!$G$15="Yes",Projects!$C$15=Y$3),", "&amp;Projects!$A$15,"")&amp;IF(AND(Projects!$G$16="Yes",Projects!$C$16=Y$3),", "&amp;Projects!$A$16,"")&amp;IF(AND(Projects!$G$17="Yes",Projects!$C$17=Y$3),", "&amp;Projects!$A$17,"")&amp;IF(AND(Projects!$G$18="Yes",Projects!$C$18=Y$3),", "&amp;Projects!$A$18,"")&amp;IF(AND(Projects!$G$19="Yes",Projects!$C$19=Y$3),", "&amp;Projects!$A$19,"")&amp;IF(AND(Projects!$G$20="Yes",Projects!$C$20=Y$3),", "&amp;Projects!$A$20,"")&amp;IF(AND(Projects!$G$21="Yes",Projects!$C$21=Y$3),", "&amp;Projects!$A$21,"")&amp;IF(AND(Projects!$G$22="Yes",Projects!$C$22=Y$3),", "&amp;Projects!$A$22,"")&amp;IF(AND(Projects!$G$23="Yes",Projects!$C$23=Y$3),", "&amp;Projects!$A$23,"")&amp;IF(AND(Projects!$G$24="Yes",Projects!$C$24=Y$3),", "&amp;Projects!$A$24,"")&amp;IF(AND(Projects!$G$25="Yes",Projects!$C$25=Y$3),", "&amp;Projects!$A$25,"")&amp;IF(AND(Projects!$G$26="Yes",Projects!$C$26=Y$3),", "&amp;Projects!$A$26,"")&amp;IF(AND(Projects!$G$27="Yes",Projects!$C$27=Y$3),", "&amp;Projects!$A$27,"")&amp;IF(AND(Projects!$G$28="Yes",Projects!$C$28=Y$3),", "&amp;Projects!$A$28,"")&amp;IF(AND(Projects!$G$29="Yes",Projects!$C$29=Y$3),", "&amp;Projects!$A$29,"")&amp;IF(AND(Projects!$G$30="Yes",Projects!$C$30=Y$3),", "&amp;Projects!$A$30,"")&amp;IF(AND(Projects!$G$31="Yes",Projects!$C$31=Y$3),", "&amp;Projects!$A$31,"")&amp;IF(AND(Projects!$G$32="Yes",Projects!$C$32=Y$3),", "&amp;Projects!$A$32,"")&amp;IF(AND(Projects!$G$33="Yes",Projects!$C$33=Y$3),", "&amp;Projects!$A$33,"")&amp;IF(AND(Projects!$G$34="Yes",Projects!$C$34=Y$3),", "&amp;Projects!$A$34,"")&amp;IF(AND(Projects!$G$35="Yes",Projects!$C$35=Y$3),", "&amp;Projects!$A$35,"")&amp;IF(AND(Projects!$G$36="Yes",Projects!$C$36=Y$3),", "&amp;Projects!$A$36,"")&amp;IF(AND(Projects!$G$37="Yes",Projects!$C$37=Y$3),", "&amp;Projects!$A$37,"")&amp;IF(AND(Projects!$G$38="Yes",Projects!$C$38=Y$3),", "&amp;Projects!$A$38,"")&amp;IF(AND(Projects!$G$39="Yes",Projects!$C$39=Y$3),", "&amp;Projects!$A$39,"")&amp;IF(AND(Projects!$G$40="Yes",Projects!$C$40=Y$3),", "&amp;Projects!$A$40,"")&amp;IF(AND(Projects!$G$41="Yes",Projects!$C$41=Y$3),", "&amp;Projects!$A$41,"")&amp;IF(AND(Projects!$G$42="Yes",Projects!$C$42=Y$3),", "&amp;Projects!$A$42,"")&amp;IF(AND(Projects!$G$43="Yes",Projects!$C$43=Y$3),", "&amp;Projects!$A$43,"")&amp;IF(AND(Projects!$G$44="Yes",Projects!$C$44=Y$3),", "&amp;Projects!$A$44,"")&amp;IF(AND(Projects!$G$45="Yes",Projects!$C$45=Y$3),", "&amp;Projects!$A$45,"")&amp;IF(AND(Projects!$G$46="Yes",Projects!$C$46=Y$3),", "&amp;Projects!$A$46,""),3,10000)</f>
        <v/>
      </c>
      <c r="Z6" s="17" t="str">
        <f aca="false">MID(IF(AND(Projects!$G$2="Yes",Projects!$C$2=Z$3),", "&amp;Projects!$A$2,"")&amp;IF(AND(Projects!$G$3="Yes",Projects!$C$3=Z$3),", "&amp;Projects!$A$3,"")&amp;IF(AND(Projects!$G$4="Yes",Projects!$C$4=Z$3),", "&amp;Projects!$A$4,"")&amp;IF(AND(Projects!$G$5="Yes",Projects!$C$5=Z$3),", "&amp;Projects!$A$5,"")&amp;IF(AND(Projects!$G$6="Yes",Projects!$C$6=Z$3),", "&amp;Projects!$A$6,"")&amp;IF(AND(Projects!$G$7="Yes",Projects!$C$7=Z$3),", "&amp;Projects!$A$7,"")&amp;IF(AND(Projects!$G$8="Yes",Projects!$C$8=Z$3),", "&amp;Projects!$A$8,"")&amp;IF(AND(Projects!$G$9="Yes",Projects!$C$9=Z$3),", "&amp;Projects!$A$9,"")&amp;IF(AND(Projects!$G$10="Yes",Projects!$C$10=Z$3),", "&amp;Projects!$A$10,"")&amp;IF(AND(Projects!$G$11="Yes",Projects!$C$11=Z$3),", "&amp;Projects!$A$11,"")&amp;IF(AND(Projects!$G$12="Yes",Projects!$C$12=Z$3),", "&amp;Projects!$A$12,"")&amp;IF(AND(Projects!$G$13="Yes",Projects!$C$13=Z$3),", "&amp;Projects!$A$13,"")&amp;IF(AND(Projects!$G$14="Yes",Projects!$C$14=Z$3),", "&amp;Projects!$A$14,"")&amp;IF(AND(Projects!$G$15="Yes",Projects!$C$15=Z$3),", "&amp;Projects!$A$15,"")&amp;IF(AND(Projects!$G$16="Yes",Projects!$C$16=Z$3),", "&amp;Projects!$A$16,"")&amp;IF(AND(Projects!$G$17="Yes",Projects!$C$17=Z$3),", "&amp;Projects!$A$17,"")&amp;IF(AND(Projects!$G$18="Yes",Projects!$C$18=Z$3),", "&amp;Projects!$A$18,"")&amp;IF(AND(Projects!$G$19="Yes",Projects!$C$19=Z$3),", "&amp;Projects!$A$19,"")&amp;IF(AND(Projects!$G$20="Yes",Projects!$C$20=Z$3),", "&amp;Projects!$A$20,"")&amp;IF(AND(Projects!$G$21="Yes",Projects!$C$21=Z$3),", "&amp;Projects!$A$21,"")&amp;IF(AND(Projects!$G$22="Yes",Projects!$C$22=Z$3),", "&amp;Projects!$A$22,"")&amp;IF(AND(Projects!$G$23="Yes",Projects!$C$23=Z$3),", "&amp;Projects!$A$23,"")&amp;IF(AND(Projects!$G$24="Yes",Projects!$C$24=Z$3),", "&amp;Projects!$A$24,"")&amp;IF(AND(Projects!$G$25="Yes",Projects!$C$25=Z$3),", "&amp;Projects!$A$25,"")&amp;IF(AND(Projects!$G$26="Yes",Projects!$C$26=Z$3),", "&amp;Projects!$A$26,"")&amp;IF(AND(Projects!$G$27="Yes",Projects!$C$27=Z$3),", "&amp;Projects!$A$27,"")&amp;IF(AND(Projects!$G$28="Yes",Projects!$C$28=Z$3),", "&amp;Projects!$A$28,"")&amp;IF(AND(Projects!$G$29="Yes",Projects!$C$29=Z$3),", "&amp;Projects!$A$29,"")&amp;IF(AND(Projects!$G$30="Yes",Projects!$C$30=Z$3),", "&amp;Projects!$A$30,"")&amp;IF(AND(Projects!$G$31="Yes",Projects!$C$31=Z$3),", "&amp;Projects!$A$31,"")&amp;IF(AND(Projects!$G$32="Yes",Projects!$C$32=Z$3),", "&amp;Projects!$A$32,"")&amp;IF(AND(Projects!$G$33="Yes",Projects!$C$33=Z$3),", "&amp;Projects!$A$33,"")&amp;IF(AND(Projects!$G$34="Yes",Projects!$C$34=Z$3),", "&amp;Projects!$A$34,"")&amp;IF(AND(Projects!$G$35="Yes",Projects!$C$35=Z$3),", "&amp;Projects!$A$35,"")&amp;IF(AND(Projects!$G$36="Yes",Projects!$C$36=Z$3),", "&amp;Projects!$A$36,"")&amp;IF(AND(Projects!$G$37="Yes",Projects!$C$37=Z$3),", "&amp;Projects!$A$37,"")&amp;IF(AND(Projects!$G$38="Yes",Projects!$C$38=Z$3),", "&amp;Projects!$A$38,"")&amp;IF(AND(Projects!$G$39="Yes",Projects!$C$39=Z$3),", "&amp;Projects!$A$39,"")&amp;IF(AND(Projects!$G$40="Yes",Projects!$C$40=Z$3),", "&amp;Projects!$A$40,"")&amp;IF(AND(Projects!$G$41="Yes",Projects!$C$41=Z$3),", "&amp;Projects!$A$41,"")&amp;IF(AND(Projects!$G$42="Yes",Projects!$C$42=Z$3),", "&amp;Projects!$A$42,"")&amp;IF(AND(Projects!$G$43="Yes",Projects!$C$43=Z$3),", "&amp;Projects!$A$43,"")&amp;IF(AND(Projects!$G$44="Yes",Projects!$C$44=Z$3),", "&amp;Projects!$A$44,"")&amp;IF(AND(Projects!$G$45="Yes",Projects!$C$45=Z$3),", "&amp;Projects!$A$45,"")&amp;IF(AND(Projects!$G$46="Yes",Projects!$C$46=Z$3),", "&amp;Projects!$A$46,""),3,10000)</f>
        <v/>
      </c>
      <c r="AA6" s="17" t="str">
        <f aca="false">MID(IF(AND(Projects!$G$2="Yes",Projects!$C$2=AA$3),", "&amp;Projects!$A$2,"")&amp;IF(AND(Projects!$G$3="Yes",Projects!$C$3=AA$3),", "&amp;Projects!$A$3,"")&amp;IF(AND(Projects!$G$4="Yes",Projects!$C$4=AA$3),", "&amp;Projects!$A$4,"")&amp;IF(AND(Projects!$G$5="Yes",Projects!$C$5=AA$3),", "&amp;Projects!$A$5,"")&amp;IF(AND(Projects!$G$6="Yes",Projects!$C$6=AA$3),", "&amp;Projects!$A$6,"")&amp;IF(AND(Projects!$G$7="Yes",Projects!$C$7=AA$3),", "&amp;Projects!$A$7,"")&amp;IF(AND(Projects!$G$8="Yes",Projects!$C$8=AA$3),", "&amp;Projects!$A$8,"")&amp;IF(AND(Projects!$G$9="Yes",Projects!$C$9=AA$3),", "&amp;Projects!$A$9,"")&amp;IF(AND(Projects!$G$10="Yes",Projects!$C$10=AA$3),", "&amp;Projects!$A$10,"")&amp;IF(AND(Projects!$G$11="Yes",Projects!$C$11=AA$3),", "&amp;Projects!$A$11,"")&amp;IF(AND(Projects!$G$12="Yes",Projects!$C$12=AA$3),", "&amp;Projects!$A$12,"")&amp;IF(AND(Projects!$G$13="Yes",Projects!$C$13=AA$3),", "&amp;Projects!$A$13,"")&amp;IF(AND(Projects!$G$14="Yes",Projects!$C$14=AA$3),", "&amp;Projects!$A$14,"")&amp;IF(AND(Projects!$G$15="Yes",Projects!$C$15=AA$3),", "&amp;Projects!$A$15,"")&amp;IF(AND(Projects!$G$16="Yes",Projects!$C$16=AA$3),", "&amp;Projects!$A$16,"")&amp;IF(AND(Projects!$G$17="Yes",Projects!$C$17=AA$3),", "&amp;Projects!$A$17,"")&amp;IF(AND(Projects!$G$18="Yes",Projects!$C$18=AA$3),", "&amp;Projects!$A$18,"")&amp;IF(AND(Projects!$G$19="Yes",Projects!$C$19=AA$3),", "&amp;Projects!$A$19,"")&amp;IF(AND(Projects!$G$20="Yes",Projects!$C$20=AA$3),", "&amp;Projects!$A$20,"")&amp;IF(AND(Projects!$G$21="Yes",Projects!$C$21=AA$3),", "&amp;Projects!$A$21,"")&amp;IF(AND(Projects!$G$22="Yes",Projects!$C$22=AA$3),", "&amp;Projects!$A$22,"")&amp;IF(AND(Projects!$G$23="Yes",Projects!$C$23=AA$3),", "&amp;Projects!$A$23,"")&amp;IF(AND(Projects!$G$24="Yes",Projects!$C$24=AA$3),", "&amp;Projects!$A$24,"")&amp;IF(AND(Projects!$G$25="Yes",Projects!$C$25=AA$3),", "&amp;Projects!$A$25,"")&amp;IF(AND(Projects!$G$26="Yes",Projects!$C$26=AA$3),", "&amp;Projects!$A$26,"")&amp;IF(AND(Projects!$G$27="Yes",Projects!$C$27=AA$3),", "&amp;Projects!$A$27,"")&amp;IF(AND(Projects!$G$28="Yes",Projects!$C$28=AA$3),", "&amp;Projects!$A$28,"")&amp;IF(AND(Projects!$G$29="Yes",Projects!$C$29=AA$3),", "&amp;Projects!$A$29,"")&amp;IF(AND(Projects!$G$30="Yes",Projects!$C$30=AA$3),", "&amp;Projects!$A$30,"")&amp;IF(AND(Projects!$G$31="Yes",Projects!$C$31=AA$3),", "&amp;Projects!$A$31,"")&amp;IF(AND(Projects!$G$32="Yes",Projects!$C$32=AA$3),", "&amp;Projects!$A$32,"")&amp;IF(AND(Projects!$G$33="Yes",Projects!$C$33=AA$3),", "&amp;Projects!$A$33,"")&amp;IF(AND(Projects!$G$34="Yes",Projects!$C$34=AA$3),", "&amp;Projects!$A$34,"")&amp;IF(AND(Projects!$G$35="Yes",Projects!$C$35=AA$3),", "&amp;Projects!$A$35,"")&amp;IF(AND(Projects!$G$36="Yes",Projects!$C$36=AA$3),", "&amp;Projects!$A$36,"")&amp;IF(AND(Projects!$G$37="Yes",Projects!$C$37=AA$3),", "&amp;Projects!$A$37,"")&amp;IF(AND(Projects!$G$38="Yes",Projects!$C$38=AA$3),", "&amp;Projects!$A$38,"")&amp;IF(AND(Projects!$G$39="Yes",Projects!$C$39=AA$3),", "&amp;Projects!$A$39,"")&amp;IF(AND(Projects!$G$40="Yes",Projects!$C$40=AA$3),", "&amp;Projects!$A$40,"")&amp;IF(AND(Projects!$G$41="Yes",Projects!$C$41=AA$3),", "&amp;Projects!$A$41,"")&amp;IF(AND(Projects!$G$42="Yes",Projects!$C$42=AA$3),", "&amp;Projects!$A$42,"")&amp;IF(AND(Projects!$G$43="Yes",Projects!$C$43=AA$3),", "&amp;Projects!$A$43,"")&amp;IF(AND(Projects!$G$44="Yes",Projects!$C$44=AA$3),", "&amp;Projects!$A$44,"")&amp;IF(AND(Projects!$G$45="Yes",Projects!$C$45=AA$3),", "&amp;Projects!$A$45,"")&amp;IF(AND(Projects!$G$46="Yes",Projects!$C$46=AA$3),", "&amp;Projects!$A$46,""),3,10000)</f>
        <v/>
      </c>
      <c r="AB6" s="17" t="str">
        <f aca="false">MID(IF(AND(Projects!$G$2="Yes",Projects!$C$2=AB$3),", "&amp;Projects!$A$2,"")&amp;IF(AND(Projects!$G$3="Yes",Projects!$C$3=AB$3),", "&amp;Projects!$A$3,"")&amp;IF(AND(Projects!$G$4="Yes",Projects!$C$4=AB$3),", "&amp;Projects!$A$4,"")&amp;IF(AND(Projects!$G$5="Yes",Projects!$C$5=AB$3),", "&amp;Projects!$A$5,"")&amp;IF(AND(Projects!$G$6="Yes",Projects!$C$6=AB$3),", "&amp;Projects!$A$6,"")&amp;IF(AND(Projects!$G$7="Yes",Projects!$C$7=AB$3),", "&amp;Projects!$A$7,"")&amp;IF(AND(Projects!$G$8="Yes",Projects!$C$8=AB$3),", "&amp;Projects!$A$8,"")&amp;IF(AND(Projects!$G$9="Yes",Projects!$C$9=AB$3),", "&amp;Projects!$A$9,"")&amp;IF(AND(Projects!$G$10="Yes",Projects!$C$10=AB$3),", "&amp;Projects!$A$10,"")&amp;IF(AND(Projects!$G$11="Yes",Projects!$C$11=AB$3),", "&amp;Projects!$A$11,"")&amp;IF(AND(Projects!$G$12="Yes",Projects!$C$12=AB$3),", "&amp;Projects!$A$12,"")&amp;IF(AND(Projects!$G$13="Yes",Projects!$C$13=AB$3),", "&amp;Projects!$A$13,"")&amp;IF(AND(Projects!$G$14="Yes",Projects!$C$14=AB$3),", "&amp;Projects!$A$14,"")&amp;IF(AND(Projects!$G$15="Yes",Projects!$C$15=AB$3),", "&amp;Projects!$A$15,"")&amp;IF(AND(Projects!$G$16="Yes",Projects!$C$16=AB$3),", "&amp;Projects!$A$16,"")&amp;IF(AND(Projects!$G$17="Yes",Projects!$C$17=AB$3),", "&amp;Projects!$A$17,"")&amp;IF(AND(Projects!$G$18="Yes",Projects!$C$18=AB$3),", "&amp;Projects!$A$18,"")&amp;IF(AND(Projects!$G$19="Yes",Projects!$C$19=AB$3),", "&amp;Projects!$A$19,"")&amp;IF(AND(Projects!$G$20="Yes",Projects!$C$20=AB$3),", "&amp;Projects!$A$20,"")&amp;IF(AND(Projects!$G$21="Yes",Projects!$C$21=AB$3),", "&amp;Projects!$A$21,"")&amp;IF(AND(Projects!$G$22="Yes",Projects!$C$22=AB$3),", "&amp;Projects!$A$22,"")&amp;IF(AND(Projects!$G$23="Yes",Projects!$C$23=AB$3),", "&amp;Projects!$A$23,"")&amp;IF(AND(Projects!$G$24="Yes",Projects!$C$24=AB$3),", "&amp;Projects!$A$24,"")&amp;IF(AND(Projects!$G$25="Yes",Projects!$C$25=AB$3),", "&amp;Projects!$A$25,"")&amp;IF(AND(Projects!$G$26="Yes",Projects!$C$26=AB$3),", "&amp;Projects!$A$26,"")&amp;IF(AND(Projects!$G$27="Yes",Projects!$C$27=AB$3),", "&amp;Projects!$A$27,"")&amp;IF(AND(Projects!$G$28="Yes",Projects!$C$28=AB$3),", "&amp;Projects!$A$28,"")&amp;IF(AND(Projects!$G$29="Yes",Projects!$C$29=AB$3),", "&amp;Projects!$A$29,"")&amp;IF(AND(Projects!$G$30="Yes",Projects!$C$30=AB$3),", "&amp;Projects!$A$30,"")&amp;IF(AND(Projects!$G$31="Yes",Projects!$C$31=AB$3),", "&amp;Projects!$A$31,"")&amp;IF(AND(Projects!$G$32="Yes",Projects!$C$32=AB$3),", "&amp;Projects!$A$32,"")&amp;IF(AND(Projects!$G$33="Yes",Projects!$C$33=AB$3),", "&amp;Projects!$A$33,"")&amp;IF(AND(Projects!$G$34="Yes",Projects!$C$34=AB$3),", "&amp;Projects!$A$34,"")&amp;IF(AND(Projects!$G$35="Yes",Projects!$C$35=AB$3),", "&amp;Projects!$A$35,"")&amp;IF(AND(Projects!$G$36="Yes",Projects!$C$36=AB$3),", "&amp;Projects!$A$36,"")&amp;IF(AND(Projects!$G$37="Yes",Projects!$C$37=AB$3),", "&amp;Projects!$A$37,"")&amp;IF(AND(Projects!$G$38="Yes",Projects!$C$38=AB$3),", "&amp;Projects!$A$38,"")&amp;IF(AND(Projects!$G$39="Yes",Projects!$C$39=AB$3),", "&amp;Projects!$A$39,"")&amp;IF(AND(Projects!$G$40="Yes",Projects!$C$40=AB$3),", "&amp;Projects!$A$40,"")&amp;IF(AND(Projects!$G$41="Yes",Projects!$C$41=AB$3),", "&amp;Projects!$A$41,"")&amp;IF(AND(Projects!$G$42="Yes",Projects!$C$42=AB$3),", "&amp;Projects!$A$42,"")&amp;IF(AND(Projects!$G$43="Yes",Projects!$C$43=AB$3),", "&amp;Projects!$A$43,"")&amp;IF(AND(Projects!$G$44="Yes",Projects!$C$44=AB$3),", "&amp;Projects!$A$44,"")&amp;IF(AND(Projects!$G$45="Yes",Projects!$C$45=AB$3),", "&amp;Projects!$A$45,"")&amp;IF(AND(Projects!$G$46="Yes",Projects!$C$46=AB$3),", "&amp;Projects!$A$46,""),3,10000)</f>
        <v/>
      </c>
      <c r="AC6" s="17" t="str">
        <f aca="false">MID(IF(AND(Projects!$G$2="Yes",Projects!$C$2=AC$3),", "&amp;Projects!$A$2,"")&amp;IF(AND(Projects!$G$3="Yes",Projects!$C$3=AC$3),", "&amp;Projects!$A$3,"")&amp;IF(AND(Projects!$G$4="Yes",Projects!$C$4=AC$3),", "&amp;Projects!$A$4,"")&amp;IF(AND(Projects!$G$5="Yes",Projects!$C$5=AC$3),", "&amp;Projects!$A$5,"")&amp;IF(AND(Projects!$G$6="Yes",Projects!$C$6=AC$3),", "&amp;Projects!$A$6,"")&amp;IF(AND(Projects!$G$7="Yes",Projects!$C$7=AC$3),", "&amp;Projects!$A$7,"")&amp;IF(AND(Projects!$G$8="Yes",Projects!$C$8=AC$3),", "&amp;Projects!$A$8,"")&amp;IF(AND(Projects!$G$9="Yes",Projects!$C$9=AC$3),", "&amp;Projects!$A$9,"")&amp;IF(AND(Projects!$G$10="Yes",Projects!$C$10=AC$3),", "&amp;Projects!$A$10,"")&amp;IF(AND(Projects!$G$11="Yes",Projects!$C$11=AC$3),", "&amp;Projects!$A$11,"")&amp;IF(AND(Projects!$G$12="Yes",Projects!$C$12=AC$3),", "&amp;Projects!$A$12,"")&amp;IF(AND(Projects!$G$13="Yes",Projects!$C$13=AC$3),", "&amp;Projects!$A$13,"")&amp;IF(AND(Projects!$G$14="Yes",Projects!$C$14=AC$3),", "&amp;Projects!$A$14,"")&amp;IF(AND(Projects!$G$15="Yes",Projects!$C$15=AC$3),", "&amp;Projects!$A$15,"")&amp;IF(AND(Projects!$G$16="Yes",Projects!$C$16=AC$3),", "&amp;Projects!$A$16,"")&amp;IF(AND(Projects!$G$17="Yes",Projects!$C$17=AC$3),", "&amp;Projects!$A$17,"")&amp;IF(AND(Projects!$G$18="Yes",Projects!$C$18=AC$3),", "&amp;Projects!$A$18,"")&amp;IF(AND(Projects!$G$19="Yes",Projects!$C$19=AC$3),", "&amp;Projects!$A$19,"")&amp;IF(AND(Projects!$G$20="Yes",Projects!$C$20=AC$3),", "&amp;Projects!$A$20,"")&amp;IF(AND(Projects!$G$21="Yes",Projects!$C$21=AC$3),", "&amp;Projects!$A$21,"")&amp;IF(AND(Projects!$G$22="Yes",Projects!$C$22=AC$3),", "&amp;Projects!$A$22,"")&amp;IF(AND(Projects!$G$23="Yes",Projects!$C$23=AC$3),", "&amp;Projects!$A$23,"")&amp;IF(AND(Projects!$G$24="Yes",Projects!$C$24=AC$3),", "&amp;Projects!$A$24,"")&amp;IF(AND(Projects!$G$25="Yes",Projects!$C$25=AC$3),", "&amp;Projects!$A$25,"")&amp;IF(AND(Projects!$G$26="Yes",Projects!$C$26=AC$3),", "&amp;Projects!$A$26,"")&amp;IF(AND(Projects!$G$27="Yes",Projects!$C$27=AC$3),", "&amp;Projects!$A$27,"")&amp;IF(AND(Projects!$G$28="Yes",Projects!$C$28=AC$3),", "&amp;Projects!$A$28,"")&amp;IF(AND(Projects!$G$29="Yes",Projects!$C$29=AC$3),", "&amp;Projects!$A$29,"")&amp;IF(AND(Projects!$G$30="Yes",Projects!$C$30=AC$3),", "&amp;Projects!$A$30,"")&amp;IF(AND(Projects!$G$31="Yes",Projects!$C$31=AC$3),", "&amp;Projects!$A$31,"")&amp;IF(AND(Projects!$G$32="Yes",Projects!$C$32=AC$3),", "&amp;Projects!$A$32,"")&amp;IF(AND(Projects!$G$33="Yes",Projects!$C$33=AC$3),", "&amp;Projects!$A$33,"")&amp;IF(AND(Projects!$G$34="Yes",Projects!$C$34=AC$3),", "&amp;Projects!$A$34,"")&amp;IF(AND(Projects!$G$35="Yes",Projects!$C$35=AC$3),", "&amp;Projects!$A$35,"")&amp;IF(AND(Projects!$G$36="Yes",Projects!$C$36=AC$3),", "&amp;Projects!$A$36,"")&amp;IF(AND(Projects!$G$37="Yes",Projects!$C$37=AC$3),", "&amp;Projects!$A$37,"")&amp;IF(AND(Projects!$G$38="Yes",Projects!$C$38=AC$3),", "&amp;Projects!$A$38,"")&amp;IF(AND(Projects!$G$39="Yes",Projects!$C$39=AC$3),", "&amp;Projects!$A$39,"")&amp;IF(AND(Projects!$G$40="Yes",Projects!$C$40=AC$3),", "&amp;Projects!$A$40,"")&amp;IF(AND(Projects!$G$41="Yes",Projects!$C$41=AC$3),", "&amp;Projects!$A$41,"")&amp;IF(AND(Projects!$G$42="Yes",Projects!$C$42=AC$3),", "&amp;Projects!$A$42,"")&amp;IF(AND(Projects!$G$43="Yes",Projects!$C$43=AC$3),", "&amp;Projects!$A$43,"")&amp;IF(AND(Projects!$G$44="Yes",Projects!$C$44=AC$3),", "&amp;Projects!$A$44,"")&amp;IF(AND(Projects!$G$45="Yes",Projects!$C$45=AC$3),", "&amp;Projects!$A$45,"")&amp;IF(AND(Projects!$G$46="Yes",Projects!$C$46=AC$3),", "&amp;Projects!$A$46,""),3,10000)</f>
        <v/>
      </c>
      <c r="AD6" s="17" t="str">
        <f aca="false">MID(IF(AND(Projects!$G$2="Yes",Projects!$C$2=AD$3),", "&amp;Projects!$A$2,"")&amp;IF(AND(Projects!$G$3="Yes",Projects!$C$3=AD$3),", "&amp;Projects!$A$3,"")&amp;IF(AND(Projects!$G$4="Yes",Projects!$C$4=AD$3),", "&amp;Projects!$A$4,"")&amp;IF(AND(Projects!$G$5="Yes",Projects!$C$5=AD$3),", "&amp;Projects!$A$5,"")&amp;IF(AND(Projects!$G$6="Yes",Projects!$C$6=AD$3),", "&amp;Projects!$A$6,"")&amp;IF(AND(Projects!$G$7="Yes",Projects!$C$7=AD$3),", "&amp;Projects!$A$7,"")&amp;IF(AND(Projects!$G$8="Yes",Projects!$C$8=AD$3),", "&amp;Projects!$A$8,"")&amp;IF(AND(Projects!$G$9="Yes",Projects!$C$9=AD$3),", "&amp;Projects!$A$9,"")&amp;IF(AND(Projects!$G$10="Yes",Projects!$C$10=AD$3),", "&amp;Projects!$A$10,"")&amp;IF(AND(Projects!$G$11="Yes",Projects!$C$11=AD$3),", "&amp;Projects!$A$11,"")&amp;IF(AND(Projects!$G$12="Yes",Projects!$C$12=AD$3),", "&amp;Projects!$A$12,"")&amp;IF(AND(Projects!$G$13="Yes",Projects!$C$13=AD$3),", "&amp;Projects!$A$13,"")&amp;IF(AND(Projects!$G$14="Yes",Projects!$C$14=AD$3),", "&amp;Projects!$A$14,"")&amp;IF(AND(Projects!$G$15="Yes",Projects!$C$15=AD$3),", "&amp;Projects!$A$15,"")&amp;IF(AND(Projects!$G$16="Yes",Projects!$C$16=AD$3),", "&amp;Projects!$A$16,"")&amp;IF(AND(Projects!$G$17="Yes",Projects!$C$17=AD$3),", "&amp;Projects!$A$17,"")&amp;IF(AND(Projects!$G$18="Yes",Projects!$C$18=AD$3),", "&amp;Projects!$A$18,"")&amp;IF(AND(Projects!$G$19="Yes",Projects!$C$19=AD$3),", "&amp;Projects!$A$19,"")&amp;IF(AND(Projects!$G$20="Yes",Projects!$C$20=AD$3),", "&amp;Projects!$A$20,"")&amp;IF(AND(Projects!$G$21="Yes",Projects!$C$21=AD$3),", "&amp;Projects!$A$21,"")&amp;IF(AND(Projects!$G$22="Yes",Projects!$C$22=AD$3),", "&amp;Projects!$A$22,"")&amp;IF(AND(Projects!$G$23="Yes",Projects!$C$23=AD$3),", "&amp;Projects!$A$23,"")&amp;IF(AND(Projects!$G$24="Yes",Projects!$C$24=AD$3),", "&amp;Projects!$A$24,"")&amp;IF(AND(Projects!$G$25="Yes",Projects!$C$25=AD$3),", "&amp;Projects!$A$25,"")&amp;IF(AND(Projects!$G$26="Yes",Projects!$C$26=AD$3),", "&amp;Projects!$A$26,"")&amp;IF(AND(Projects!$G$27="Yes",Projects!$C$27=AD$3),", "&amp;Projects!$A$27,"")&amp;IF(AND(Projects!$G$28="Yes",Projects!$C$28=AD$3),", "&amp;Projects!$A$28,"")&amp;IF(AND(Projects!$G$29="Yes",Projects!$C$29=AD$3),", "&amp;Projects!$A$29,"")&amp;IF(AND(Projects!$G$30="Yes",Projects!$C$30=AD$3),", "&amp;Projects!$A$30,"")&amp;IF(AND(Projects!$G$31="Yes",Projects!$C$31=AD$3),", "&amp;Projects!$A$31,"")&amp;IF(AND(Projects!$G$32="Yes",Projects!$C$32=AD$3),", "&amp;Projects!$A$32,"")&amp;IF(AND(Projects!$G$33="Yes",Projects!$C$33=AD$3),", "&amp;Projects!$A$33,"")&amp;IF(AND(Projects!$G$34="Yes",Projects!$C$34=AD$3),", "&amp;Projects!$A$34,"")&amp;IF(AND(Projects!$G$35="Yes",Projects!$C$35=AD$3),", "&amp;Projects!$A$35,"")&amp;IF(AND(Projects!$G$36="Yes",Projects!$C$36=AD$3),", "&amp;Projects!$A$36,"")&amp;IF(AND(Projects!$G$37="Yes",Projects!$C$37=AD$3),", "&amp;Projects!$A$37,"")&amp;IF(AND(Projects!$G$38="Yes",Projects!$C$38=AD$3),", "&amp;Projects!$A$38,"")&amp;IF(AND(Projects!$G$39="Yes",Projects!$C$39=AD$3),", "&amp;Projects!$A$39,"")&amp;IF(AND(Projects!$G$40="Yes",Projects!$C$40=AD$3),", "&amp;Projects!$A$40,"")&amp;IF(AND(Projects!$G$41="Yes",Projects!$C$41=AD$3),", "&amp;Projects!$A$41,"")&amp;IF(AND(Projects!$G$42="Yes",Projects!$C$42=AD$3),", "&amp;Projects!$A$42,"")&amp;IF(AND(Projects!$G$43="Yes",Projects!$C$43=AD$3),", "&amp;Projects!$A$43,"")&amp;IF(AND(Projects!$G$44="Yes",Projects!$C$44=AD$3),", "&amp;Projects!$A$44,"")&amp;IF(AND(Projects!$G$45="Yes",Projects!$C$45=AD$3),", "&amp;Projects!$A$45,"")&amp;IF(AND(Projects!$G$46="Yes",Projects!$C$46=AD$3),", "&amp;Projects!$A$46,""),3,10000)</f>
        <v/>
      </c>
      <c r="AE6" s="17" t="str">
        <f aca="false">MID(IF(AND(Projects!$G$2="Yes",Projects!$C$2=AE$3),", "&amp;Projects!$A$2,"")&amp;IF(AND(Projects!$G$3="Yes",Projects!$C$3=AE$3),", "&amp;Projects!$A$3,"")&amp;IF(AND(Projects!$G$4="Yes",Projects!$C$4=AE$3),", "&amp;Projects!$A$4,"")&amp;IF(AND(Projects!$G$5="Yes",Projects!$C$5=AE$3),", "&amp;Projects!$A$5,"")&amp;IF(AND(Projects!$G$6="Yes",Projects!$C$6=AE$3),", "&amp;Projects!$A$6,"")&amp;IF(AND(Projects!$G$7="Yes",Projects!$C$7=AE$3),", "&amp;Projects!$A$7,"")&amp;IF(AND(Projects!$G$8="Yes",Projects!$C$8=AE$3),", "&amp;Projects!$A$8,"")&amp;IF(AND(Projects!$G$9="Yes",Projects!$C$9=AE$3),", "&amp;Projects!$A$9,"")&amp;IF(AND(Projects!$G$10="Yes",Projects!$C$10=AE$3),", "&amp;Projects!$A$10,"")&amp;IF(AND(Projects!$G$11="Yes",Projects!$C$11=AE$3),", "&amp;Projects!$A$11,"")&amp;IF(AND(Projects!$G$12="Yes",Projects!$C$12=AE$3),", "&amp;Projects!$A$12,"")&amp;IF(AND(Projects!$G$13="Yes",Projects!$C$13=AE$3),", "&amp;Projects!$A$13,"")&amp;IF(AND(Projects!$G$14="Yes",Projects!$C$14=AE$3),", "&amp;Projects!$A$14,"")&amp;IF(AND(Projects!$G$15="Yes",Projects!$C$15=AE$3),", "&amp;Projects!$A$15,"")&amp;IF(AND(Projects!$G$16="Yes",Projects!$C$16=AE$3),", "&amp;Projects!$A$16,"")&amp;IF(AND(Projects!$G$17="Yes",Projects!$C$17=AE$3),", "&amp;Projects!$A$17,"")&amp;IF(AND(Projects!$G$18="Yes",Projects!$C$18=AE$3),", "&amp;Projects!$A$18,"")&amp;IF(AND(Projects!$G$19="Yes",Projects!$C$19=AE$3),", "&amp;Projects!$A$19,"")&amp;IF(AND(Projects!$G$20="Yes",Projects!$C$20=AE$3),", "&amp;Projects!$A$20,"")&amp;IF(AND(Projects!$G$21="Yes",Projects!$C$21=AE$3),", "&amp;Projects!$A$21,"")&amp;IF(AND(Projects!$G$22="Yes",Projects!$C$22=AE$3),", "&amp;Projects!$A$22,"")&amp;IF(AND(Projects!$G$23="Yes",Projects!$C$23=AE$3),", "&amp;Projects!$A$23,"")&amp;IF(AND(Projects!$G$24="Yes",Projects!$C$24=AE$3),", "&amp;Projects!$A$24,"")&amp;IF(AND(Projects!$G$25="Yes",Projects!$C$25=AE$3),", "&amp;Projects!$A$25,"")&amp;IF(AND(Projects!$G$26="Yes",Projects!$C$26=AE$3),", "&amp;Projects!$A$26,"")&amp;IF(AND(Projects!$G$27="Yes",Projects!$C$27=AE$3),", "&amp;Projects!$A$27,"")&amp;IF(AND(Projects!$G$28="Yes",Projects!$C$28=AE$3),", "&amp;Projects!$A$28,"")&amp;IF(AND(Projects!$G$29="Yes",Projects!$C$29=AE$3),", "&amp;Projects!$A$29,"")&amp;IF(AND(Projects!$G$30="Yes",Projects!$C$30=AE$3),", "&amp;Projects!$A$30,"")&amp;IF(AND(Projects!$G$31="Yes",Projects!$C$31=AE$3),", "&amp;Projects!$A$31,"")&amp;IF(AND(Projects!$G$32="Yes",Projects!$C$32=AE$3),", "&amp;Projects!$A$32,"")&amp;IF(AND(Projects!$G$33="Yes",Projects!$C$33=AE$3),", "&amp;Projects!$A$33,"")&amp;IF(AND(Projects!$G$34="Yes",Projects!$C$34=AE$3),", "&amp;Projects!$A$34,"")&amp;IF(AND(Projects!$G$35="Yes",Projects!$C$35=AE$3),", "&amp;Projects!$A$35,"")&amp;IF(AND(Projects!$G$36="Yes",Projects!$C$36=AE$3),", "&amp;Projects!$A$36,"")&amp;IF(AND(Projects!$G$37="Yes",Projects!$C$37=AE$3),", "&amp;Projects!$A$37,"")&amp;IF(AND(Projects!$G$38="Yes",Projects!$C$38=AE$3),", "&amp;Projects!$A$38,"")&amp;IF(AND(Projects!$G$39="Yes",Projects!$C$39=AE$3),", "&amp;Projects!$A$39,"")&amp;IF(AND(Projects!$G$40="Yes",Projects!$C$40=AE$3),", "&amp;Projects!$A$40,"")&amp;IF(AND(Projects!$G$41="Yes",Projects!$C$41=AE$3),", "&amp;Projects!$A$41,"")&amp;IF(AND(Projects!$G$42="Yes",Projects!$C$42=AE$3),", "&amp;Projects!$A$42,"")&amp;IF(AND(Projects!$G$43="Yes",Projects!$C$43=AE$3),", "&amp;Projects!$A$43,"")&amp;IF(AND(Projects!$G$44="Yes",Projects!$C$44=AE$3),", "&amp;Projects!$A$44,"")&amp;IF(AND(Projects!$G$45="Yes",Projects!$C$45=AE$3),", "&amp;Projects!$A$45,"")&amp;IF(AND(Projects!$G$46="Yes",Projects!$C$46=AE$3),", "&amp;Projects!$A$46,""),3,10000)</f>
        <v>3rd St</v>
      </c>
      <c r="AF6" s="17" t="str">
        <f aca="false">MID(IF(AND(Projects!$G$2="Yes",Projects!$C$2=AF$3),", "&amp;Projects!$A$2,"")&amp;IF(AND(Projects!$G$3="Yes",Projects!$C$3=AF$3),", "&amp;Projects!$A$3,"")&amp;IF(AND(Projects!$G$4="Yes",Projects!$C$4=AF$3),", "&amp;Projects!$A$4,"")&amp;IF(AND(Projects!$G$5="Yes",Projects!$C$5=AF$3),", "&amp;Projects!$A$5,"")&amp;IF(AND(Projects!$G$6="Yes",Projects!$C$6=AF$3),", "&amp;Projects!$A$6,"")&amp;IF(AND(Projects!$G$7="Yes",Projects!$C$7=AF$3),", "&amp;Projects!$A$7,"")&amp;IF(AND(Projects!$G$8="Yes",Projects!$C$8=AF$3),", "&amp;Projects!$A$8,"")&amp;IF(AND(Projects!$G$9="Yes",Projects!$C$9=AF$3),", "&amp;Projects!$A$9,"")&amp;IF(AND(Projects!$G$10="Yes",Projects!$C$10=AF$3),", "&amp;Projects!$A$10,"")&amp;IF(AND(Projects!$G$11="Yes",Projects!$C$11=AF$3),", "&amp;Projects!$A$11,"")&amp;IF(AND(Projects!$G$12="Yes",Projects!$C$12=AF$3),", "&amp;Projects!$A$12,"")&amp;IF(AND(Projects!$G$13="Yes",Projects!$C$13=AF$3),", "&amp;Projects!$A$13,"")&amp;IF(AND(Projects!$G$14="Yes",Projects!$C$14=AF$3),", "&amp;Projects!$A$14,"")&amp;IF(AND(Projects!$G$15="Yes",Projects!$C$15=AF$3),", "&amp;Projects!$A$15,"")&amp;IF(AND(Projects!$G$16="Yes",Projects!$C$16=AF$3),", "&amp;Projects!$A$16,"")&amp;IF(AND(Projects!$G$17="Yes",Projects!$C$17=AF$3),", "&amp;Projects!$A$17,"")&amp;IF(AND(Projects!$G$18="Yes",Projects!$C$18=AF$3),", "&amp;Projects!$A$18,"")&amp;IF(AND(Projects!$G$19="Yes",Projects!$C$19=AF$3),", "&amp;Projects!$A$19,"")&amp;IF(AND(Projects!$G$20="Yes",Projects!$C$20=AF$3),", "&amp;Projects!$A$20,"")&amp;IF(AND(Projects!$G$21="Yes",Projects!$C$21=AF$3),", "&amp;Projects!$A$21,"")&amp;IF(AND(Projects!$G$22="Yes",Projects!$C$22=AF$3),", "&amp;Projects!$A$22,"")&amp;IF(AND(Projects!$G$23="Yes",Projects!$C$23=AF$3),", "&amp;Projects!$A$23,"")&amp;IF(AND(Projects!$G$24="Yes",Projects!$C$24=AF$3),", "&amp;Projects!$A$24,"")&amp;IF(AND(Projects!$G$25="Yes",Projects!$C$25=AF$3),", "&amp;Projects!$A$25,"")&amp;IF(AND(Projects!$G$26="Yes",Projects!$C$26=AF$3),", "&amp;Projects!$A$26,"")&amp;IF(AND(Projects!$G$27="Yes",Projects!$C$27=AF$3),", "&amp;Projects!$A$27,"")&amp;IF(AND(Projects!$G$28="Yes",Projects!$C$28=AF$3),", "&amp;Projects!$A$28,"")&amp;IF(AND(Projects!$G$29="Yes",Projects!$C$29=AF$3),", "&amp;Projects!$A$29,"")&amp;IF(AND(Projects!$G$30="Yes",Projects!$C$30=AF$3),", "&amp;Projects!$A$30,"")&amp;IF(AND(Projects!$G$31="Yes",Projects!$C$31=AF$3),", "&amp;Projects!$A$31,"")&amp;IF(AND(Projects!$G$32="Yes",Projects!$C$32=AF$3),", "&amp;Projects!$A$32,"")&amp;IF(AND(Projects!$G$33="Yes",Projects!$C$33=AF$3),", "&amp;Projects!$A$33,"")&amp;IF(AND(Projects!$G$34="Yes",Projects!$C$34=AF$3),", "&amp;Projects!$A$34,"")&amp;IF(AND(Projects!$G$35="Yes",Projects!$C$35=AF$3),", "&amp;Projects!$A$35,"")&amp;IF(AND(Projects!$G$36="Yes",Projects!$C$36=AF$3),", "&amp;Projects!$A$36,"")&amp;IF(AND(Projects!$G$37="Yes",Projects!$C$37=AF$3),", "&amp;Projects!$A$37,"")&amp;IF(AND(Projects!$G$38="Yes",Projects!$C$38=AF$3),", "&amp;Projects!$A$38,"")&amp;IF(AND(Projects!$G$39="Yes",Projects!$C$39=AF$3),", "&amp;Projects!$A$39,"")&amp;IF(AND(Projects!$G$40="Yes",Projects!$C$40=AF$3),", "&amp;Projects!$A$40,"")&amp;IF(AND(Projects!$G$41="Yes",Projects!$C$41=AF$3),", "&amp;Projects!$A$41,"")&amp;IF(AND(Projects!$G$42="Yes",Projects!$C$42=AF$3),", "&amp;Projects!$A$42,"")&amp;IF(AND(Projects!$G$43="Yes",Projects!$C$43=AF$3),", "&amp;Projects!$A$43,"")&amp;IF(AND(Projects!$G$44="Yes",Projects!$C$44=AF$3),", "&amp;Projects!$A$44,"")&amp;IF(AND(Projects!$G$45="Yes",Projects!$C$45=AF$3),", "&amp;Projects!$A$45,"")&amp;IF(AND(Projects!$G$46="Yes",Projects!$C$46=AF$3),", "&amp;Projects!$A$46,""),3,10000)</f>
        <v/>
      </c>
      <c r="AG6" s="17" t="str">
        <f aca="false">MID(IF(AND(Projects!$G$2="Yes",Projects!$C$2=AG$3),", "&amp;Projects!$A$2,"")&amp;IF(AND(Projects!$G$3="Yes",Projects!$C$3=AG$3),", "&amp;Projects!$A$3,"")&amp;IF(AND(Projects!$G$4="Yes",Projects!$C$4=AG$3),", "&amp;Projects!$A$4,"")&amp;IF(AND(Projects!$G$5="Yes",Projects!$C$5=AG$3),", "&amp;Projects!$A$5,"")&amp;IF(AND(Projects!$G$6="Yes",Projects!$C$6=AG$3),", "&amp;Projects!$A$6,"")&amp;IF(AND(Projects!$G$7="Yes",Projects!$C$7=AG$3),", "&amp;Projects!$A$7,"")&amp;IF(AND(Projects!$G$8="Yes",Projects!$C$8=AG$3),", "&amp;Projects!$A$8,"")&amp;IF(AND(Projects!$G$9="Yes",Projects!$C$9=AG$3),", "&amp;Projects!$A$9,"")&amp;IF(AND(Projects!$G$10="Yes",Projects!$C$10=AG$3),", "&amp;Projects!$A$10,"")&amp;IF(AND(Projects!$G$11="Yes",Projects!$C$11=AG$3),", "&amp;Projects!$A$11,"")&amp;IF(AND(Projects!$G$12="Yes",Projects!$C$12=AG$3),", "&amp;Projects!$A$12,"")&amp;IF(AND(Projects!$G$13="Yes",Projects!$C$13=AG$3),", "&amp;Projects!$A$13,"")&amp;IF(AND(Projects!$G$14="Yes",Projects!$C$14=AG$3),", "&amp;Projects!$A$14,"")&amp;IF(AND(Projects!$G$15="Yes",Projects!$C$15=AG$3),", "&amp;Projects!$A$15,"")&amp;IF(AND(Projects!$G$16="Yes",Projects!$C$16=AG$3),", "&amp;Projects!$A$16,"")&amp;IF(AND(Projects!$G$17="Yes",Projects!$C$17=AG$3),", "&amp;Projects!$A$17,"")&amp;IF(AND(Projects!$G$18="Yes",Projects!$C$18=AG$3),", "&amp;Projects!$A$18,"")&amp;IF(AND(Projects!$G$19="Yes",Projects!$C$19=AG$3),", "&amp;Projects!$A$19,"")&amp;IF(AND(Projects!$G$20="Yes",Projects!$C$20=AG$3),", "&amp;Projects!$A$20,"")&amp;IF(AND(Projects!$G$21="Yes",Projects!$C$21=AG$3),", "&amp;Projects!$A$21,"")&amp;IF(AND(Projects!$G$22="Yes",Projects!$C$22=AG$3),", "&amp;Projects!$A$22,"")&amp;IF(AND(Projects!$G$23="Yes",Projects!$C$23=AG$3),", "&amp;Projects!$A$23,"")&amp;IF(AND(Projects!$G$24="Yes",Projects!$C$24=AG$3),", "&amp;Projects!$A$24,"")&amp;IF(AND(Projects!$G$25="Yes",Projects!$C$25=AG$3),", "&amp;Projects!$A$25,"")&amp;IF(AND(Projects!$G$26="Yes",Projects!$C$26=AG$3),", "&amp;Projects!$A$26,"")&amp;IF(AND(Projects!$G$27="Yes",Projects!$C$27=AG$3),", "&amp;Projects!$A$27,"")&amp;IF(AND(Projects!$G$28="Yes",Projects!$C$28=AG$3),", "&amp;Projects!$A$28,"")&amp;IF(AND(Projects!$G$29="Yes",Projects!$C$29=AG$3),", "&amp;Projects!$A$29,"")&amp;IF(AND(Projects!$G$30="Yes",Projects!$C$30=AG$3),", "&amp;Projects!$A$30,"")&amp;IF(AND(Projects!$G$31="Yes",Projects!$C$31=AG$3),", "&amp;Projects!$A$31,"")&amp;IF(AND(Projects!$G$32="Yes",Projects!$C$32=AG$3),", "&amp;Projects!$A$32,"")&amp;IF(AND(Projects!$G$33="Yes",Projects!$C$33=AG$3),", "&amp;Projects!$A$33,"")&amp;IF(AND(Projects!$G$34="Yes",Projects!$C$34=AG$3),", "&amp;Projects!$A$34,"")&amp;IF(AND(Projects!$G$35="Yes",Projects!$C$35=AG$3),", "&amp;Projects!$A$35,"")&amp;IF(AND(Projects!$G$36="Yes",Projects!$C$36=AG$3),", "&amp;Projects!$A$36,"")&amp;IF(AND(Projects!$G$37="Yes",Projects!$C$37=AG$3),", "&amp;Projects!$A$37,"")&amp;IF(AND(Projects!$G$38="Yes",Projects!$C$38=AG$3),", "&amp;Projects!$A$38,"")&amp;IF(AND(Projects!$G$39="Yes",Projects!$C$39=AG$3),", "&amp;Projects!$A$39,"")&amp;IF(AND(Projects!$G$40="Yes",Projects!$C$40=AG$3),", "&amp;Projects!$A$40,"")&amp;IF(AND(Projects!$G$41="Yes",Projects!$C$41=AG$3),", "&amp;Projects!$A$41,"")&amp;IF(AND(Projects!$G$42="Yes",Projects!$C$42=AG$3),", "&amp;Projects!$A$42,"")&amp;IF(AND(Projects!$G$43="Yes",Projects!$C$43=AG$3),", "&amp;Projects!$A$43,"")&amp;IF(AND(Projects!$G$44="Yes",Projects!$C$44=AG$3),", "&amp;Projects!$A$44,"")&amp;IF(AND(Projects!$G$45="Yes",Projects!$C$45=AG$3),", "&amp;Projects!$A$45,"")&amp;IF(AND(Projects!$G$46="Yes",Projects!$C$46=AG$3),", "&amp;Projects!$A$46,""),3,10000)</f>
        <v/>
      </c>
      <c r="AH6" s="17" t="str">
        <f aca="false">MID(IF(AND(Projects!$G$2="Yes",Projects!$C$2=AH$3),", "&amp;Projects!$A$2,"")&amp;IF(AND(Projects!$G$3="Yes",Projects!$C$3=AH$3),", "&amp;Projects!$A$3,"")&amp;IF(AND(Projects!$G$4="Yes",Projects!$C$4=AH$3),", "&amp;Projects!$A$4,"")&amp;IF(AND(Projects!$G$5="Yes",Projects!$C$5=AH$3),", "&amp;Projects!$A$5,"")&amp;IF(AND(Projects!$G$6="Yes",Projects!$C$6=AH$3),", "&amp;Projects!$A$6,"")&amp;IF(AND(Projects!$G$7="Yes",Projects!$C$7=AH$3),", "&amp;Projects!$A$7,"")&amp;IF(AND(Projects!$G$8="Yes",Projects!$C$8=AH$3),", "&amp;Projects!$A$8,"")&amp;IF(AND(Projects!$G$9="Yes",Projects!$C$9=AH$3),", "&amp;Projects!$A$9,"")&amp;IF(AND(Projects!$G$10="Yes",Projects!$C$10=AH$3),", "&amp;Projects!$A$10,"")&amp;IF(AND(Projects!$G$11="Yes",Projects!$C$11=AH$3),", "&amp;Projects!$A$11,"")&amp;IF(AND(Projects!$G$12="Yes",Projects!$C$12=AH$3),", "&amp;Projects!$A$12,"")&amp;IF(AND(Projects!$G$13="Yes",Projects!$C$13=AH$3),", "&amp;Projects!$A$13,"")&amp;IF(AND(Projects!$G$14="Yes",Projects!$C$14=AH$3),", "&amp;Projects!$A$14,"")&amp;IF(AND(Projects!$G$15="Yes",Projects!$C$15=AH$3),", "&amp;Projects!$A$15,"")&amp;IF(AND(Projects!$G$16="Yes",Projects!$C$16=AH$3),", "&amp;Projects!$A$16,"")&amp;IF(AND(Projects!$G$17="Yes",Projects!$C$17=AH$3),", "&amp;Projects!$A$17,"")&amp;IF(AND(Projects!$G$18="Yes",Projects!$C$18=AH$3),", "&amp;Projects!$A$18,"")&amp;IF(AND(Projects!$G$19="Yes",Projects!$C$19=AH$3),", "&amp;Projects!$A$19,"")&amp;IF(AND(Projects!$G$20="Yes",Projects!$C$20=AH$3),", "&amp;Projects!$A$20,"")&amp;IF(AND(Projects!$G$21="Yes",Projects!$C$21=AH$3),", "&amp;Projects!$A$21,"")&amp;IF(AND(Projects!$G$22="Yes",Projects!$C$22=AH$3),", "&amp;Projects!$A$22,"")&amp;IF(AND(Projects!$G$23="Yes",Projects!$C$23=AH$3),", "&amp;Projects!$A$23,"")&amp;IF(AND(Projects!$G$24="Yes",Projects!$C$24=AH$3),", "&amp;Projects!$A$24,"")&amp;IF(AND(Projects!$G$25="Yes",Projects!$C$25=AH$3),", "&amp;Projects!$A$25,"")&amp;IF(AND(Projects!$G$26="Yes",Projects!$C$26=AH$3),", "&amp;Projects!$A$26,"")&amp;IF(AND(Projects!$G$27="Yes",Projects!$C$27=AH$3),", "&amp;Projects!$A$27,"")&amp;IF(AND(Projects!$G$28="Yes",Projects!$C$28=AH$3),", "&amp;Projects!$A$28,"")&amp;IF(AND(Projects!$G$29="Yes",Projects!$C$29=AH$3),", "&amp;Projects!$A$29,"")&amp;IF(AND(Projects!$G$30="Yes",Projects!$C$30=AH$3),", "&amp;Projects!$A$30,"")&amp;IF(AND(Projects!$G$31="Yes",Projects!$C$31=AH$3),", "&amp;Projects!$A$31,"")&amp;IF(AND(Projects!$G$32="Yes",Projects!$C$32=AH$3),", "&amp;Projects!$A$32,"")&amp;IF(AND(Projects!$G$33="Yes",Projects!$C$33=AH$3),", "&amp;Projects!$A$33,"")&amp;IF(AND(Projects!$G$34="Yes",Projects!$C$34=AH$3),", "&amp;Projects!$A$34,"")&amp;IF(AND(Projects!$G$35="Yes",Projects!$C$35=AH$3),", "&amp;Projects!$A$35,"")&amp;IF(AND(Projects!$G$36="Yes",Projects!$C$36=AH$3),", "&amp;Projects!$A$36,"")&amp;IF(AND(Projects!$G$37="Yes",Projects!$C$37=AH$3),", "&amp;Projects!$A$37,"")&amp;IF(AND(Projects!$G$38="Yes",Projects!$C$38=AH$3),", "&amp;Projects!$A$38,"")&amp;IF(AND(Projects!$G$39="Yes",Projects!$C$39=AH$3),", "&amp;Projects!$A$39,"")&amp;IF(AND(Projects!$G$40="Yes",Projects!$C$40=AH$3),", "&amp;Projects!$A$40,"")&amp;IF(AND(Projects!$G$41="Yes",Projects!$C$41=AH$3),", "&amp;Projects!$A$41,"")&amp;IF(AND(Projects!$G$42="Yes",Projects!$C$42=AH$3),", "&amp;Projects!$A$42,"")&amp;IF(AND(Projects!$G$43="Yes",Projects!$C$43=AH$3),", "&amp;Projects!$A$43,"")&amp;IF(AND(Projects!$G$44="Yes",Projects!$C$44=AH$3),", "&amp;Projects!$A$44,"")&amp;IF(AND(Projects!$G$45="Yes",Projects!$C$45=AH$3),", "&amp;Projects!$A$45,"")&amp;IF(AND(Projects!$G$46="Yes",Projects!$C$46=AH$3),", "&amp;Projects!$A$46,""),3,10000)</f>
        <v/>
      </c>
      <c r="AI6" s="17" t="str">
        <f aca="false">MID(IF(AND(Projects!$G$2="Yes",Projects!$C$2=AI$3),", "&amp;Projects!$A$2,"")&amp;IF(AND(Projects!$G$3="Yes",Projects!$C$3=AI$3),", "&amp;Projects!$A$3,"")&amp;IF(AND(Projects!$G$4="Yes",Projects!$C$4=AI$3),", "&amp;Projects!$A$4,"")&amp;IF(AND(Projects!$G$5="Yes",Projects!$C$5=AI$3),", "&amp;Projects!$A$5,"")&amp;IF(AND(Projects!$G$6="Yes",Projects!$C$6=AI$3),", "&amp;Projects!$A$6,"")&amp;IF(AND(Projects!$G$7="Yes",Projects!$C$7=AI$3),", "&amp;Projects!$A$7,"")&amp;IF(AND(Projects!$G$8="Yes",Projects!$C$8=AI$3),", "&amp;Projects!$A$8,"")&amp;IF(AND(Projects!$G$9="Yes",Projects!$C$9=AI$3),", "&amp;Projects!$A$9,"")&amp;IF(AND(Projects!$G$10="Yes",Projects!$C$10=AI$3),", "&amp;Projects!$A$10,"")&amp;IF(AND(Projects!$G$11="Yes",Projects!$C$11=AI$3),", "&amp;Projects!$A$11,"")&amp;IF(AND(Projects!$G$12="Yes",Projects!$C$12=AI$3),", "&amp;Projects!$A$12,"")&amp;IF(AND(Projects!$G$13="Yes",Projects!$C$13=AI$3),", "&amp;Projects!$A$13,"")&amp;IF(AND(Projects!$G$14="Yes",Projects!$C$14=AI$3),", "&amp;Projects!$A$14,"")&amp;IF(AND(Projects!$G$15="Yes",Projects!$C$15=AI$3),", "&amp;Projects!$A$15,"")&amp;IF(AND(Projects!$G$16="Yes",Projects!$C$16=AI$3),", "&amp;Projects!$A$16,"")&amp;IF(AND(Projects!$G$17="Yes",Projects!$C$17=AI$3),", "&amp;Projects!$A$17,"")&amp;IF(AND(Projects!$G$18="Yes",Projects!$C$18=AI$3),", "&amp;Projects!$A$18,"")&amp;IF(AND(Projects!$G$19="Yes",Projects!$C$19=AI$3),", "&amp;Projects!$A$19,"")&amp;IF(AND(Projects!$G$20="Yes",Projects!$C$20=AI$3),", "&amp;Projects!$A$20,"")&amp;IF(AND(Projects!$G$21="Yes",Projects!$C$21=AI$3),", "&amp;Projects!$A$21,"")&amp;IF(AND(Projects!$G$22="Yes",Projects!$C$22=AI$3),", "&amp;Projects!$A$22,"")&amp;IF(AND(Projects!$G$23="Yes",Projects!$C$23=AI$3),", "&amp;Projects!$A$23,"")&amp;IF(AND(Projects!$G$24="Yes",Projects!$C$24=AI$3),", "&amp;Projects!$A$24,"")&amp;IF(AND(Projects!$G$25="Yes",Projects!$C$25=AI$3),", "&amp;Projects!$A$25,"")&amp;IF(AND(Projects!$G$26="Yes",Projects!$C$26=AI$3),", "&amp;Projects!$A$26,"")&amp;IF(AND(Projects!$G$27="Yes",Projects!$C$27=AI$3),", "&amp;Projects!$A$27,"")&amp;IF(AND(Projects!$G$28="Yes",Projects!$C$28=AI$3),", "&amp;Projects!$A$28,"")&amp;IF(AND(Projects!$G$29="Yes",Projects!$C$29=AI$3),", "&amp;Projects!$A$29,"")&amp;IF(AND(Projects!$G$30="Yes",Projects!$C$30=AI$3),", "&amp;Projects!$A$30,"")&amp;IF(AND(Projects!$G$31="Yes",Projects!$C$31=AI$3),", "&amp;Projects!$A$31,"")&amp;IF(AND(Projects!$G$32="Yes",Projects!$C$32=AI$3),", "&amp;Projects!$A$32,"")&amp;IF(AND(Projects!$G$33="Yes",Projects!$C$33=AI$3),", "&amp;Projects!$A$33,"")&amp;IF(AND(Projects!$G$34="Yes",Projects!$C$34=AI$3),", "&amp;Projects!$A$34,"")&amp;IF(AND(Projects!$G$35="Yes",Projects!$C$35=AI$3),", "&amp;Projects!$A$35,"")&amp;IF(AND(Projects!$G$36="Yes",Projects!$C$36=AI$3),", "&amp;Projects!$A$36,"")&amp;IF(AND(Projects!$G$37="Yes",Projects!$C$37=AI$3),", "&amp;Projects!$A$37,"")&amp;IF(AND(Projects!$G$38="Yes",Projects!$C$38=AI$3),", "&amp;Projects!$A$38,"")&amp;IF(AND(Projects!$G$39="Yes",Projects!$C$39=AI$3),", "&amp;Projects!$A$39,"")&amp;IF(AND(Projects!$G$40="Yes",Projects!$C$40=AI$3),", "&amp;Projects!$A$40,"")&amp;IF(AND(Projects!$G$41="Yes",Projects!$C$41=AI$3),", "&amp;Projects!$A$41,"")&amp;IF(AND(Projects!$G$42="Yes",Projects!$C$42=AI$3),", "&amp;Projects!$A$42,"")&amp;IF(AND(Projects!$G$43="Yes",Projects!$C$43=AI$3),", "&amp;Projects!$A$43,"")&amp;IF(AND(Projects!$G$44="Yes",Projects!$C$44=AI$3),", "&amp;Projects!$A$44,"")&amp;IF(AND(Projects!$G$45="Yes",Projects!$C$45=AI$3),", "&amp;Projects!$A$45,"")&amp;IF(AND(Projects!$G$46="Yes",Projects!$C$46=AI$3),", "&amp;Projects!$A$46,""),3,10000)</f>
        <v/>
      </c>
      <c r="AJ6" s="17" t="str">
        <f aca="false">MID(IF(AND(Projects!$G$2="Yes",Projects!$C$2=AJ$3),", "&amp;Projects!$A$2,"")&amp;IF(AND(Projects!$G$3="Yes",Projects!$C$3=AJ$3),", "&amp;Projects!$A$3,"")&amp;IF(AND(Projects!$G$4="Yes",Projects!$C$4=AJ$3),", "&amp;Projects!$A$4,"")&amp;IF(AND(Projects!$G$5="Yes",Projects!$C$5=AJ$3),", "&amp;Projects!$A$5,"")&amp;IF(AND(Projects!$G$6="Yes",Projects!$C$6=AJ$3),", "&amp;Projects!$A$6,"")&amp;IF(AND(Projects!$G$7="Yes",Projects!$C$7=AJ$3),", "&amp;Projects!$A$7,"")&amp;IF(AND(Projects!$G$8="Yes",Projects!$C$8=AJ$3),", "&amp;Projects!$A$8,"")&amp;IF(AND(Projects!$G$9="Yes",Projects!$C$9=AJ$3),", "&amp;Projects!$A$9,"")&amp;IF(AND(Projects!$G$10="Yes",Projects!$C$10=AJ$3),", "&amp;Projects!$A$10,"")&amp;IF(AND(Projects!$G$11="Yes",Projects!$C$11=AJ$3),", "&amp;Projects!$A$11,"")&amp;IF(AND(Projects!$G$12="Yes",Projects!$C$12=AJ$3),", "&amp;Projects!$A$12,"")&amp;IF(AND(Projects!$G$13="Yes",Projects!$C$13=AJ$3),", "&amp;Projects!$A$13,"")&amp;IF(AND(Projects!$G$14="Yes",Projects!$C$14=AJ$3),", "&amp;Projects!$A$14,"")&amp;IF(AND(Projects!$G$15="Yes",Projects!$C$15=AJ$3),", "&amp;Projects!$A$15,"")&amp;IF(AND(Projects!$G$16="Yes",Projects!$C$16=AJ$3),", "&amp;Projects!$A$16,"")&amp;IF(AND(Projects!$G$17="Yes",Projects!$C$17=AJ$3),", "&amp;Projects!$A$17,"")&amp;IF(AND(Projects!$G$18="Yes",Projects!$C$18=AJ$3),", "&amp;Projects!$A$18,"")&amp;IF(AND(Projects!$G$19="Yes",Projects!$C$19=AJ$3),", "&amp;Projects!$A$19,"")&amp;IF(AND(Projects!$G$20="Yes",Projects!$C$20=AJ$3),", "&amp;Projects!$A$20,"")&amp;IF(AND(Projects!$G$21="Yes",Projects!$C$21=AJ$3),", "&amp;Projects!$A$21,"")&amp;IF(AND(Projects!$G$22="Yes",Projects!$C$22=AJ$3),", "&amp;Projects!$A$22,"")&amp;IF(AND(Projects!$G$23="Yes",Projects!$C$23=AJ$3),", "&amp;Projects!$A$23,"")&amp;IF(AND(Projects!$G$24="Yes",Projects!$C$24=AJ$3),", "&amp;Projects!$A$24,"")&amp;IF(AND(Projects!$G$25="Yes",Projects!$C$25=AJ$3),", "&amp;Projects!$A$25,"")&amp;IF(AND(Projects!$G$26="Yes",Projects!$C$26=AJ$3),", "&amp;Projects!$A$26,"")&amp;IF(AND(Projects!$G$27="Yes",Projects!$C$27=AJ$3),", "&amp;Projects!$A$27,"")&amp;IF(AND(Projects!$G$28="Yes",Projects!$C$28=AJ$3),", "&amp;Projects!$A$28,"")&amp;IF(AND(Projects!$G$29="Yes",Projects!$C$29=AJ$3),", "&amp;Projects!$A$29,"")&amp;IF(AND(Projects!$G$30="Yes",Projects!$C$30=AJ$3),", "&amp;Projects!$A$30,"")&amp;IF(AND(Projects!$G$31="Yes",Projects!$C$31=AJ$3),", "&amp;Projects!$A$31,"")&amp;IF(AND(Projects!$G$32="Yes",Projects!$C$32=AJ$3),", "&amp;Projects!$A$32,"")&amp;IF(AND(Projects!$G$33="Yes",Projects!$C$33=AJ$3),", "&amp;Projects!$A$33,"")&amp;IF(AND(Projects!$G$34="Yes",Projects!$C$34=AJ$3),", "&amp;Projects!$A$34,"")&amp;IF(AND(Projects!$G$35="Yes",Projects!$C$35=AJ$3),", "&amp;Projects!$A$35,"")&amp;IF(AND(Projects!$G$36="Yes",Projects!$C$36=AJ$3),", "&amp;Projects!$A$36,"")&amp;IF(AND(Projects!$G$37="Yes",Projects!$C$37=AJ$3),", "&amp;Projects!$A$37,"")&amp;IF(AND(Projects!$G$38="Yes",Projects!$C$38=AJ$3),", "&amp;Projects!$A$38,"")&amp;IF(AND(Projects!$G$39="Yes",Projects!$C$39=AJ$3),", "&amp;Projects!$A$39,"")&amp;IF(AND(Projects!$G$40="Yes",Projects!$C$40=AJ$3),", "&amp;Projects!$A$40,"")&amp;IF(AND(Projects!$G$41="Yes",Projects!$C$41=AJ$3),", "&amp;Projects!$A$41,"")&amp;IF(AND(Projects!$G$42="Yes",Projects!$C$42=AJ$3),", "&amp;Projects!$A$42,"")&amp;IF(AND(Projects!$G$43="Yes",Projects!$C$43=AJ$3),", "&amp;Projects!$A$43,"")&amp;IF(AND(Projects!$G$44="Yes",Projects!$C$44=AJ$3),", "&amp;Projects!$A$44,"")&amp;IF(AND(Projects!$G$45="Yes",Projects!$C$45=AJ$3),", "&amp;Projects!$A$45,"")&amp;IF(AND(Projects!$G$46="Yes",Projects!$C$46=AJ$3),", "&amp;Projects!$A$46,""),3,10000)</f>
        <v/>
      </c>
      <c r="AK6" s="17" t="str">
        <f aca="false">MID(IF(AND(Projects!$G$2="Yes",Projects!$C$2=AK$3),", "&amp;Projects!$A$2,"")&amp;IF(AND(Projects!$G$3="Yes",Projects!$C$3=AK$3),", "&amp;Projects!$A$3,"")&amp;IF(AND(Projects!$G$4="Yes",Projects!$C$4=AK$3),", "&amp;Projects!$A$4,"")&amp;IF(AND(Projects!$G$5="Yes",Projects!$C$5=AK$3),", "&amp;Projects!$A$5,"")&amp;IF(AND(Projects!$G$6="Yes",Projects!$C$6=AK$3),", "&amp;Projects!$A$6,"")&amp;IF(AND(Projects!$G$7="Yes",Projects!$C$7=AK$3),", "&amp;Projects!$A$7,"")&amp;IF(AND(Projects!$G$8="Yes",Projects!$C$8=AK$3),", "&amp;Projects!$A$8,"")&amp;IF(AND(Projects!$G$9="Yes",Projects!$C$9=AK$3),", "&amp;Projects!$A$9,"")&amp;IF(AND(Projects!$G$10="Yes",Projects!$C$10=AK$3),", "&amp;Projects!$A$10,"")&amp;IF(AND(Projects!$G$11="Yes",Projects!$C$11=AK$3),", "&amp;Projects!$A$11,"")&amp;IF(AND(Projects!$G$12="Yes",Projects!$C$12=AK$3),", "&amp;Projects!$A$12,"")&amp;IF(AND(Projects!$G$13="Yes",Projects!$C$13=AK$3),", "&amp;Projects!$A$13,"")&amp;IF(AND(Projects!$G$14="Yes",Projects!$C$14=AK$3),", "&amp;Projects!$A$14,"")&amp;IF(AND(Projects!$G$15="Yes",Projects!$C$15=AK$3),", "&amp;Projects!$A$15,"")&amp;IF(AND(Projects!$G$16="Yes",Projects!$C$16=AK$3),", "&amp;Projects!$A$16,"")&amp;IF(AND(Projects!$G$17="Yes",Projects!$C$17=AK$3),", "&amp;Projects!$A$17,"")&amp;IF(AND(Projects!$G$18="Yes",Projects!$C$18=AK$3),", "&amp;Projects!$A$18,"")&amp;IF(AND(Projects!$G$19="Yes",Projects!$C$19=AK$3),", "&amp;Projects!$A$19,"")&amp;IF(AND(Projects!$G$20="Yes",Projects!$C$20=AK$3),", "&amp;Projects!$A$20,"")&amp;IF(AND(Projects!$G$21="Yes",Projects!$C$21=AK$3),", "&amp;Projects!$A$21,"")&amp;IF(AND(Projects!$G$22="Yes",Projects!$C$22=AK$3),", "&amp;Projects!$A$22,"")&amp;IF(AND(Projects!$G$23="Yes",Projects!$C$23=AK$3),", "&amp;Projects!$A$23,"")&amp;IF(AND(Projects!$G$24="Yes",Projects!$C$24=AK$3),", "&amp;Projects!$A$24,"")&amp;IF(AND(Projects!$G$25="Yes",Projects!$C$25=AK$3),", "&amp;Projects!$A$25,"")&amp;IF(AND(Projects!$G$26="Yes",Projects!$C$26=AK$3),", "&amp;Projects!$A$26,"")&amp;IF(AND(Projects!$G$27="Yes",Projects!$C$27=AK$3),", "&amp;Projects!$A$27,"")&amp;IF(AND(Projects!$G$28="Yes",Projects!$C$28=AK$3),", "&amp;Projects!$A$28,"")&amp;IF(AND(Projects!$G$29="Yes",Projects!$C$29=AK$3),", "&amp;Projects!$A$29,"")&amp;IF(AND(Projects!$G$30="Yes",Projects!$C$30=AK$3),", "&amp;Projects!$A$30,"")&amp;IF(AND(Projects!$G$31="Yes",Projects!$C$31=AK$3),", "&amp;Projects!$A$31,"")&amp;IF(AND(Projects!$G$32="Yes",Projects!$C$32=AK$3),", "&amp;Projects!$A$32,"")&amp;IF(AND(Projects!$G$33="Yes",Projects!$C$33=AK$3),", "&amp;Projects!$A$33,"")&amp;IF(AND(Projects!$G$34="Yes",Projects!$C$34=AK$3),", "&amp;Projects!$A$34,"")&amp;IF(AND(Projects!$G$35="Yes",Projects!$C$35=AK$3),", "&amp;Projects!$A$35,"")&amp;IF(AND(Projects!$G$36="Yes",Projects!$C$36=AK$3),", "&amp;Projects!$A$36,"")&amp;IF(AND(Projects!$G$37="Yes",Projects!$C$37=AK$3),", "&amp;Projects!$A$37,"")&amp;IF(AND(Projects!$G$38="Yes",Projects!$C$38=AK$3),", "&amp;Projects!$A$38,"")&amp;IF(AND(Projects!$G$39="Yes",Projects!$C$39=AK$3),", "&amp;Projects!$A$39,"")&amp;IF(AND(Projects!$G$40="Yes",Projects!$C$40=AK$3),", "&amp;Projects!$A$40,"")&amp;IF(AND(Projects!$G$41="Yes",Projects!$C$41=AK$3),", "&amp;Projects!$A$41,"")&amp;IF(AND(Projects!$G$42="Yes",Projects!$C$42=AK$3),", "&amp;Projects!$A$42,"")&amp;IF(AND(Projects!$G$43="Yes",Projects!$C$43=AK$3),", "&amp;Projects!$A$43,"")&amp;IF(AND(Projects!$G$44="Yes",Projects!$C$44=AK$3),", "&amp;Projects!$A$44,"")&amp;IF(AND(Projects!$G$45="Yes",Projects!$C$45=AK$3),", "&amp;Projects!$A$45,"")&amp;IF(AND(Projects!$G$46="Yes",Projects!$C$46=AK$3),", "&amp;Projects!$A$46,""),3,10000)</f>
        <v/>
      </c>
      <c r="AL6" s="17" t="str">
        <f aca="false">MID(IF(AND(Projects!$G$2="Yes",Projects!$C$2=AL$3),", "&amp;Projects!$A$2,"")&amp;IF(AND(Projects!$G$3="Yes",Projects!$C$3=AL$3),", "&amp;Projects!$A$3,"")&amp;IF(AND(Projects!$G$4="Yes",Projects!$C$4=AL$3),", "&amp;Projects!$A$4,"")&amp;IF(AND(Projects!$G$5="Yes",Projects!$C$5=AL$3),", "&amp;Projects!$A$5,"")&amp;IF(AND(Projects!$G$6="Yes",Projects!$C$6=AL$3),", "&amp;Projects!$A$6,"")&amp;IF(AND(Projects!$G$7="Yes",Projects!$C$7=AL$3),", "&amp;Projects!$A$7,"")&amp;IF(AND(Projects!$G$8="Yes",Projects!$C$8=AL$3),", "&amp;Projects!$A$8,"")&amp;IF(AND(Projects!$G$9="Yes",Projects!$C$9=AL$3),", "&amp;Projects!$A$9,"")&amp;IF(AND(Projects!$G$10="Yes",Projects!$C$10=AL$3),", "&amp;Projects!$A$10,"")&amp;IF(AND(Projects!$G$11="Yes",Projects!$C$11=AL$3),", "&amp;Projects!$A$11,"")&amp;IF(AND(Projects!$G$12="Yes",Projects!$C$12=AL$3),", "&amp;Projects!$A$12,"")&amp;IF(AND(Projects!$G$13="Yes",Projects!$C$13=AL$3),", "&amp;Projects!$A$13,"")&amp;IF(AND(Projects!$G$14="Yes",Projects!$C$14=AL$3),", "&amp;Projects!$A$14,"")&amp;IF(AND(Projects!$G$15="Yes",Projects!$C$15=AL$3),", "&amp;Projects!$A$15,"")&amp;IF(AND(Projects!$G$16="Yes",Projects!$C$16=AL$3),", "&amp;Projects!$A$16,"")&amp;IF(AND(Projects!$G$17="Yes",Projects!$C$17=AL$3),", "&amp;Projects!$A$17,"")&amp;IF(AND(Projects!$G$18="Yes",Projects!$C$18=AL$3),", "&amp;Projects!$A$18,"")&amp;IF(AND(Projects!$G$19="Yes",Projects!$C$19=AL$3),", "&amp;Projects!$A$19,"")&amp;IF(AND(Projects!$G$20="Yes",Projects!$C$20=AL$3),", "&amp;Projects!$A$20,"")&amp;IF(AND(Projects!$G$21="Yes",Projects!$C$21=AL$3),", "&amp;Projects!$A$21,"")&amp;IF(AND(Projects!$G$22="Yes",Projects!$C$22=AL$3),", "&amp;Projects!$A$22,"")&amp;IF(AND(Projects!$G$23="Yes",Projects!$C$23=AL$3),", "&amp;Projects!$A$23,"")&amp;IF(AND(Projects!$G$24="Yes",Projects!$C$24=AL$3),", "&amp;Projects!$A$24,"")&amp;IF(AND(Projects!$G$25="Yes",Projects!$C$25=AL$3),", "&amp;Projects!$A$25,"")&amp;IF(AND(Projects!$G$26="Yes",Projects!$C$26=AL$3),", "&amp;Projects!$A$26,"")&amp;IF(AND(Projects!$G$27="Yes",Projects!$C$27=AL$3),", "&amp;Projects!$A$27,"")&amp;IF(AND(Projects!$G$28="Yes",Projects!$C$28=AL$3),", "&amp;Projects!$A$28,"")&amp;IF(AND(Projects!$G$29="Yes",Projects!$C$29=AL$3),", "&amp;Projects!$A$29,"")&amp;IF(AND(Projects!$G$30="Yes",Projects!$C$30=AL$3),", "&amp;Projects!$A$30,"")&amp;IF(AND(Projects!$G$31="Yes",Projects!$C$31=AL$3),", "&amp;Projects!$A$31,"")&amp;IF(AND(Projects!$G$32="Yes",Projects!$C$32=AL$3),", "&amp;Projects!$A$32,"")&amp;IF(AND(Projects!$G$33="Yes",Projects!$C$33=AL$3),", "&amp;Projects!$A$33,"")&amp;IF(AND(Projects!$G$34="Yes",Projects!$C$34=AL$3),", "&amp;Projects!$A$34,"")&amp;IF(AND(Projects!$G$35="Yes",Projects!$C$35=AL$3),", "&amp;Projects!$A$35,"")&amp;IF(AND(Projects!$G$36="Yes",Projects!$C$36=AL$3),", "&amp;Projects!$A$36,"")&amp;IF(AND(Projects!$G$37="Yes",Projects!$C$37=AL$3),", "&amp;Projects!$A$37,"")&amp;IF(AND(Projects!$G$38="Yes",Projects!$C$38=AL$3),", "&amp;Projects!$A$38,"")&amp;IF(AND(Projects!$G$39="Yes",Projects!$C$39=AL$3),", "&amp;Projects!$A$39,"")&amp;IF(AND(Projects!$G$40="Yes",Projects!$C$40=AL$3),", "&amp;Projects!$A$40,"")&amp;IF(AND(Projects!$G$41="Yes",Projects!$C$41=AL$3),", "&amp;Projects!$A$41,"")&amp;IF(AND(Projects!$G$42="Yes",Projects!$C$42=AL$3),", "&amp;Projects!$A$42,"")&amp;IF(AND(Projects!$G$43="Yes",Projects!$C$43=AL$3),", "&amp;Projects!$A$43,"")&amp;IF(AND(Projects!$G$44="Yes",Projects!$C$44=AL$3),", "&amp;Projects!$A$44,"")&amp;IF(AND(Projects!$G$45="Yes",Projects!$C$45=AL$3),", "&amp;Projects!$A$45,"")&amp;IF(AND(Projects!$G$46="Yes",Projects!$C$46=AL$3),", "&amp;Projects!$A$46,""),3,10000)</f>
        <v/>
      </c>
      <c r="AM6" s="17" t="str">
        <f aca="false">MID(IF(AND(Projects!$G$2="Yes",Projects!$C$2=AM$3),", "&amp;Projects!$A$2,"")&amp;IF(AND(Projects!$G$3="Yes",Projects!$C$3=AM$3),", "&amp;Projects!$A$3,"")&amp;IF(AND(Projects!$G$4="Yes",Projects!$C$4=AM$3),", "&amp;Projects!$A$4,"")&amp;IF(AND(Projects!$G$5="Yes",Projects!$C$5=AM$3),", "&amp;Projects!$A$5,"")&amp;IF(AND(Projects!$G$6="Yes",Projects!$C$6=AM$3),", "&amp;Projects!$A$6,"")&amp;IF(AND(Projects!$G$7="Yes",Projects!$C$7=AM$3),", "&amp;Projects!$A$7,"")&amp;IF(AND(Projects!$G$8="Yes",Projects!$C$8=AM$3),", "&amp;Projects!$A$8,"")&amp;IF(AND(Projects!$G$9="Yes",Projects!$C$9=AM$3),", "&amp;Projects!$A$9,"")&amp;IF(AND(Projects!$G$10="Yes",Projects!$C$10=AM$3),", "&amp;Projects!$A$10,"")&amp;IF(AND(Projects!$G$11="Yes",Projects!$C$11=AM$3),", "&amp;Projects!$A$11,"")&amp;IF(AND(Projects!$G$12="Yes",Projects!$C$12=AM$3),", "&amp;Projects!$A$12,"")&amp;IF(AND(Projects!$G$13="Yes",Projects!$C$13=AM$3),", "&amp;Projects!$A$13,"")&amp;IF(AND(Projects!$G$14="Yes",Projects!$C$14=AM$3),", "&amp;Projects!$A$14,"")&amp;IF(AND(Projects!$G$15="Yes",Projects!$C$15=AM$3),", "&amp;Projects!$A$15,"")&amp;IF(AND(Projects!$G$16="Yes",Projects!$C$16=AM$3),", "&amp;Projects!$A$16,"")&amp;IF(AND(Projects!$G$17="Yes",Projects!$C$17=AM$3),", "&amp;Projects!$A$17,"")&amp;IF(AND(Projects!$G$18="Yes",Projects!$C$18=AM$3),", "&amp;Projects!$A$18,"")&amp;IF(AND(Projects!$G$19="Yes",Projects!$C$19=AM$3),", "&amp;Projects!$A$19,"")&amp;IF(AND(Projects!$G$20="Yes",Projects!$C$20=AM$3),", "&amp;Projects!$A$20,"")&amp;IF(AND(Projects!$G$21="Yes",Projects!$C$21=AM$3),", "&amp;Projects!$A$21,"")&amp;IF(AND(Projects!$G$22="Yes",Projects!$C$22=AM$3),", "&amp;Projects!$A$22,"")&amp;IF(AND(Projects!$G$23="Yes",Projects!$C$23=AM$3),", "&amp;Projects!$A$23,"")&amp;IF(AND(Projects!$G$24="Yes",Projects!$C$24=AM$3),", "&amp;Projects!$A$24,"")&amp;IF(AND(Projects!$G$25="Yes",Projects!$C$25=AM$3),", "&amp;Projects!$A$25,"")&amp;IF(AND(Projects!$G$26="Yes",Projects!$C$26=AM$3),", "&amp;Projects!$A$26,"")&amp;IF(AND(Projects!$G$27="Yes",Projects!$C$27=AM$3),", "&amp;Projects!$A$27,"")&amp;IF(AND(Projects!$G$28="Yes",Projects!$C$28=AM$3),", "&amp;Projects!$A$28,"")&amp;IF(AND(Projects!$G$29="Yes",Projects!$C$29=AM$3),", "&amp;Projects!$A$29,"")&amp;IF(AND(Projects!$G$30="Yes",Projects!$C$30=AM$3),", "&amp;Projects!$A$30,"")&amp;IF(AND(Projects!$G$31="Yes",Projects!$C$31=AM$3),", "&amp;Projects!$A$31,"")&amp;IF(AND(Projects!$G$32="Yes",Projects!$C$32=AM$3),", "&amp;Projects!$A$32,"")&amp;IF(AND(Projects!$G$33="Yes",Projects!$C$33=AM$3),", "&amp;Projects!$A$33,"")&amp;IF(AND(Projects!$G$34="Yes",Projects!$C$34=AM$3),", "&amp;Projects!$A$34,"")&amp;IF(AND(Projects!$G$35="Yes",Projects!$C$35=AM$3),", "&amp;Projects!$A$35,"")&amp;IF(AND(Projects!$G$36="Yes",Projects!$C$36=AM$3),", "&amp;Projects!$A$36,"")&amp;IF(AND(Projects!$G$37="Yes",Projects!$C$37=AM$3),", "&amp;Projects!$A$37,"")&amp;IF(AND(Projects!$G$38="Yes",Projects!$C$38=AM$3),", "&amp;Projects!$A$38,"")&amp;IF(AND(Projects!$G$39="Yes",Projects!$C$39=AM$3),", "&amp;Projects!$A$39,"")&amp;IF(AND(Projects!$G$40="Yes",Projects!$C$40=AM$3),", "&amp;Projects!$A$40,"")&amp;IF(AND(Projects!$G$41="Yes",Projects!$C$41=AM$3),", "&amp;Projects!$A$41,"")&amp;IF(AND(Projects!$G$42="Yes",Projects!$C$42=AM$3),", "&amp;Projects!$A$42,"")&amp;IF(AND(Projects!$G$43="Yes",Projects!$C$43=AM$3),", "&amp;Projects!$A$43,"")&amp;IF(AND(Projects!$G$44="Yes",Projects!$C$44=AM$3),", "&amp;Projects!$A$44,"")&amp;IF(AND(Projects!$G$45="Yes",Projects!$C$45=AM$3),", "&amp;Projects!$A$45,"")&amp;IF(AND(Projects!$G$46="Yes",Projects!$C$46=AM$3),", "&amp;Projects!$A$46,""),3,10000)</f>
        <v/>
      </c>
      <c r="AN6" s="17" t="str">
        <f aca="false">MID(IF(AND(Projects!$G$2="Yes",Projects!$C$2=AN$3),", "&amp;Projects!$A$2,"")&amp;IF(AND(Projects!$G$3="Yes",Projects!$C$3=AN$3),", "&amp;Projects!$A$3,"")&amp;IF(AND(Projects!$G$4="Yes",Projects!$C$4=AN$3),", "&amp;Projects!$A$4,"")&amp;IF(AND(Projects!$G$5="Yes",Projects!$C$5=AN$3),", "&amp;Projects!$A$5,"")&amp;IF(AND(Projects!$G$6="Yes",Projects!$C$6=AN$3),", "&amp;Projects!$A$6,"")&amp;IF(AND(Projects!$G$7="Yes",Projects!$C$7=AN$3),", "&amp;Projects!$A$7,"")&amp;IF(AND(Projects!$G$8="Yes",Projects!$C$8=AN$3),", "&amp;Projects!$A$8,"")&amp;IF(AND(Projects!$G$9="Yes",Projects!$C$9=AN$3),", "&amp;Projects!$A$9,"")&amp;IF(AND(Projects!$G$10="Yes",Projects!$C$10=AN$3),", "&amp;Projects!$A$10,"")&amp;IF(AND(Projects!$G$11="Yes",Projects!$C$11=AN$3),", "&amp;Projects!$A$11,"")&amp;IF(AND(Projects!$G$12="Yes",Projects!$C$12=AN$3),", "&amp;Projects!$A$12,"")&amp;IF(AND(Projects!$G$13="Yes",Projects!$C$13=AN$3),", "&amp;Projects!$A$13,"")&amp;IF(AND(Projects!$G$14="Yes",Projects!$C$14=AN$3),", "&amp;Projects!$A$14,"")&amp;IF(AND(Projects!$G$15="Yes",Projects!$C$15=AN$3),", "&amp;Projects!$A$15,"")&amp;IF(AND(Projects!$G$16="Yes",Projects!$C$16=AN$3),", "&amp;Projects!$A$16,"")&amp;IF(AND(Projects!$G$17="Yes",Projects!$C$17=AN$3),", "&amp;Projects!$A$17,"")&amp;IF(AND(Projects!$G$18="Yes",Projects!$C$18=AN$3),", "&amp;Projects!$A$18,"")&amp;IF(AND(Projects!$G$19="Yes",Projects!$C$19=AN$3),", "&amp;Projects!$A$19,"")&amp;IF(AND(Projects!$G$20="Yes",Projects!$C$20=AN$3),", "&amp;Projects!$A$20,"")&amp;IF(AND(Projects!$G$21="Yes",Projects!$C$21=AN$3),", "&amp;Projects!$A$21,"")&amp;IF(AND(Projects!$G$22="Yes",Projects!$C$22=AN$3),", "&amp;Projects!$A$22,"")&amp;IF(AND(Projects!$G$23="Yes",Projects!$C$23=AN$3),", "&amp;Projects!$A$23,"")&amp;IF(AND(Projects!$G$24="Yes",Projects!$C$24=AN$3),", "&amp;Projects!$A$24,"")&amp;IF(AND(Projects!$G$25="Yes",Projects!$C$25=AN$3),", "&amp;Projects!$A$25,"")&amp;IF(AND(Projects!$G$26="Yes",Projects!$C$26=AN$3),", "&amp;Projects!$A$26,"")&amp;IF(AND(Projects!$G$27="Yes",Projects!$C$27=AN$3),", "&amp;Projects!$A$27,"")&amp;IF(AND(Projects!$G$28="Yes",Projects!$C$28=AN$3),", "&amp;Projects!$A$28,"")&amp;IF(AND(Projects!$G$29="Yes",Projects!$C$29=AN$3),", "&amp;Projects!$A$29,"")&amp;IF(AND(Projects!$G$30="Yes",Projects!$C$30=AN$3),", "&amp;Projects!$A$30,"")&amp;IF(AND(Projects!$G$31="Yes",Projects!$C$31=AN$3),", "&amp;Projects!$A$31,"")&amp;IF(AND(Projects!$G$32="Yes",Projects!$C$32=AN$3),", "&amp;Projects!$A$32,"")&amp;IF(AND(Projects!$G$33="Yes",Projects!$C$33=AN$3),", "&amp;Projects!$A$33,"")&amp;IF(AND(Projects!$G$34="Yes",Projects!$C$34=AN$3),", "&amp;Projects!$A$34,"")&amp;IF(AND(Projects!$G$35="Yes",Projects!$C$35=AN$3),", "&amp;Projects!$A$35,"")&amp;IF(AND(Projects!$G$36="Yes",Projects!$C$36=AN$3),", "&amp;Projects!$A$36,"")&amp;IF(AND(Projects!$G$37="Yes",Projects!$C$37=AN$3),", "&amp;Projects!$A$37,"")&amp;IF(AND(Projects!$G$38="Yes",Projects!$C$38=AN$3),", "&amp;Projects!$A$38,"")&amp;IF(AND(Projects!$G$39="Yes",Projects!$C$39=AN$3),", "&amp;Projects!$A$39,"")&amp;IF(AND(Projects!$G$40="Yes",Projects!$C$40=AN$3),", "&amp;Projects!$A$40,"")&amp;IF(AND(Projects!$G$41="Yes",Projects!$C$41=AN$3),", "&amp;Projects!$A$41,"")&amp;IF(AND(Projects!$G$42="Yes",Projects!$C$42=AN$3),", "&amp;Projects!$A$42,"")&amp;IF(AND(Projects!$G$43="Yes",Projects!$C$43=AN$3),", "&amp;Projects!$A$43,"")&amp;IF(AND(Projects!$G$44="Yes",Projects!$C$44=AN$3),", "&amp;Projects!$A$44,"")&amp;IF(AND(Projects!$G$45="Yes",Projects!$C$45=AN$3),", "&amp;Projects!$A$45,"")&amp;IF(AND(Projects!$G$46="Yes",Projects!$C$46=AN$3),", "&amp;Projects!$A$46,""),3,10000)</f>
        <v/>
      </c>
      <c r="AO6" s="17" t="str">
        <f aca="false">MID(IF(AND(Projects!$G$2="Yes",Projects!$C$2=AO$3),", "&amp;Projects!$A$2,"")&amp;IF(AND(Projects!$G$3="Yes",Projects!$C$3=AO$3),", "&amp;Projects!$A$3,"")&amp;IF(AND(Projects!$G$4="Yes",Projects!$C$4=AO$3),", "&amp;Projects!$A$4,"")&amp;IF(AND(Projects!$G$5="Yes",Projects!$C$5=AO$3),", "&amp;Projects!$A$5,"")&amp;IF(AND(Projects!$G$6="Yes",Projects!$C$6=AO$3),", "&amp;Projects!$A$6,"")&amp;IF(AND(Projects!$G$7="Yes",Projects!$C$7=AO$3),", "&amp;Projects!$A$7,"")&amp;IF(AND(Projects!$G$8="Yes",Projects!$C$8=AO$3),", "&amp;Projects!$A$8,"")&amp;IF(AND(Projects!$G$9="Yes",Projects!$C$9=AO$3),", "&amp;Projects!$A$9,"")&amp;IF(AND(Projects!$G$10="Yes",Projects!$C$10=AO$3),", "&amp;Projects!$A$10,"")&amp;IF(AND(Projects!$G$11="Yes",Projects!$C$11=AO$3),", "&amp;Projects!$A$11,"")&amp;IF(AND(Projects!$G$12="Yes",Projects!$C$12=AO$3),", "&amp;Projects!$A$12,"")&amp;IF(AND(Projects!$G$13="Yes",Projects!$C$13=AO$3),", "&amp;Projects!$A$13,"")&amp;IF(AND(Projects!$G$14="Yes",Projects!$C$14=AO$3),", "&amp;Projects!$A$14,"")&amp;IF(AND(Projects!$G$15="Yes",Projects!$C$15=AO$3),", "&amp;Projects!$A$15,"")&amp;IF(AND(Projects!$G$16="Yes",Projects!$C$16=AO$3),", "&amp;Projects!$A$16,"")&amp;IF(AND(Projects!$G$17="Yes",Projects!$C$17=AO$3),", "&amp;Projects!$A$17,"")&amp;IF(AND(Projects!$G$18="Yes",Projects!$C$18=AO$3),", "&amp;Projects!$A$18,"")&amp;IF(AND(Projects!$G$19="Yes",Projects!$C$19=AO$3),", "&amp;Projects!$A$19,"")&amp;IF(AND(Projects!$G$20="Yes",Projects!$C$20=AO$3),", "&amp;Projects!$A$20,"")&amp;IF(AND(Projects!$G$21="Yes",Projects!$C$21=AO$3),", "&amp;Projects!$A$21,"")&amp;IF(AND(Projects!$G$22="Yes",Projects!$C$22=AO$3),", "&amp;Projects!$A$22,"")&amp;IF(AND(Projects!$G$23="Yes",Projects!$C$23=AO$3),", "&amp;Projects!$A$23,"")&amp;IF(AND(Projects!$G$24="Yes",Projects!$C$24=AO$3),", "&amp;Projects!$A$24,"")&amp;IF(AND(Projects!$G$25="Yes",Projects!$C$25=AO$3),", "&amp;Projects!$A$25,"")&amp;IF(AND(Projects!$G$26="Yes",Projects!$C$26=AO$3),", "&amp;Projects!$A$26,"")&amp;IF(AND(Projects!$G$27="Yes",Projects!$C$27=AO$3),", "&amp;Projects!$A$27,"")&amp;IF(AND(Projects!$G$28="Yes",Projects!$C$28=AO$3),", "&amp;Projects!$A$28,"")&amp;IF(AND(Projects!$G$29="Yes",Projects!$C$29=AO$3),", "&amp;Projects!$A$29,"")&amp;IF(AND(Projects!$G$30="Yes",Projects!$C$30=AO$3),", "&amp;Projects!$A$30,"")&amp;IF(AND(Projects!$G$31="Yes",Projects!$C$31=AO$3),", "&amp;Projects!$A$31,"")&amp;IF(AND(Projects!$G$32="Yes",Projects!$C$32=AO$3),", "&amp;Projects!$A$32,"")&amp;IF(AND(Projects!$G$33="Yes",Projects!$C$33=AO$3),", "&amp;Projects!$A$33,"")&amp;IF(AND(Projects!$G$34="Yes",Projects!$C$34=AO$3),", "&amp;Projects!$A$34,"")&amp;IF(AND(Projects!$G$35="Yes",Projects!$C$35=AO$3),", "&amp;Projects!$A$35,"")&amp;IF(AND(Projects!$G$36="Yes",Projects!$C$36=AO$3),", "&amp;Projects!$A$36,"")&amp;IF(AND(Projects!$G$37="Yes",Projects!$C$37=AO$3),", "&amp;Projects!$A$37,"")&amp;IF(AND(Projects!$G$38="Yes",Projects!$C$38=AO$3),", "&amp;Projects!$A$38,"")&amp;IF(AND(Projects!$G$39="Yes",Projects!$C$39=AO$3),", "&amp;Projects!$A$39,"")&amp;IF(AND(Projects!$G$40="Yes",Projects!$C$40=AO$3),", "&amp;Projects!$A$40,"")&amp;IF(AND(Projects!$G$41="Yes",Projects!$C$41=AO$3),", "&amp;Projects!$A$41,"")&amp;IF(AND(Projects!$G$42="Yes",Projects!$C$42=AO$3),", "&amp;Projects!$A$42,"")&amp;IF(AND(Projects!$G$43="Yes",Projects!$C$43=AO$3),", "&amp;Projects!$A$43,"")&amp;IF(AND(Projects!$G$44="Yes",Projects!$C$44=AO$3),", "&amp;Projects!$A$44,"")&amp;IF(AND(Projects!$G$45="Yes",Projects!$C$45=AO$3),", "&amp;Projects!$A$45,"")&amp;IF(AND(Projects!$G$46="Yes",Projects!$C$46=AO$3),", "&amp;Projects!$A$46,""),3,10000)</f>
        <v/>
      </c>
      <c r="AP6" s="17" t="str">
        <f aca="false">MID(IF(AND(Projects!$G$2="Yes",Projects!$C$2=AP$3),", "&amp;Projects!$A$2,"")&amp;IF(AND(Projects!$G$3="Yes",Projects!$C$3=AP$3),", "&amp;Projects!$A$3,"")&amp;IF(AND(Projects!$G$4="Yes",Projects!$C$4=AP$3),", "&amp;Projects!$A$4,"")&amp;IF(AND(Projects!$G$5="Yes",Projects!$C$5=AP$3),", "&amp;Projects!$A$5,"")&amp;IF(AND(Projects!$G$6="Yes",Projects!$C$6=AP$3),", "&amp;Projects!$A$6,"")&amp;IF(AND(Projects!$G$7="Yes",Projects!$C$7=AP$3),", "&amp;Projects!$A$7,"")&amp;IF(AND(Projects!$G$8="Yes",Projects!$C$8=AP$3),", "&amp;Projects!$A$8,"")&amp;IF(AND(Projects!$G$9="Yes",Projects!$C$9=AP$3),", "&amp;Projects!$A$9,"")&amp;IF(AND(Projects!$G$10="Yes",Projects!$C$10=AP$3),", "&amp;Projects!$A$10,"")&amp;IF(AND(Projects!$G$11="Yes",Projects!$C$11=AP$3),", "&amp;Projects!$A$11,"")&amp;IF(AND(Projects!$G$12="Yes",Projects!$C$12=AP$3),", "&amp;Projects!$A$12,"")&amp;IF(AND(Projects!$G$13="Yes",Projects!$C$13=AP$3),", "&amp;Projects!$A$13,"")&amp;IF(AND(Projects!$G$14="Yes",Projects!$C$14=AP$3),", "&amp;Projects!$A$14,"")&amp;IF(AND(Projects!$G$15="Yes",Projects!$C$15=AP$3),", "&amp;Projects!$A$15,"")&amp;IF(AND(Projects!$G$16="Yes",Projects!$C$16=AP$3),", "&amp;Projects!$A$16,"")&amp;IF(AND(Projects!$G$17="Yes",Projects!$C$17=AP$3),", "&amp;Projects!$A$17,"")&amp;IF(AND(Projects!$G$18="Yes",Projects!$C$18=AP$3),", "&amp;Projects!$A$18,"")&amp;IF(AND(Projects!$G$19="Yes",Projects!$C$19=AP$3),", "&amp;Projects!$A$19,"")&amp;IF(AND(Projects!$G$20="Yes",Projects!$C$20=AP$3),", "&amp;Projects!$A$20,"")&amp;IF(AND(Projects!$G$21="Yes",Projects!$C$21=AP$3),", "&amp;Projects!$A$21,"")&amp;IF(AND(Projects!$G$22="Yes",Projects!$C$22=AP$3),", "&amp;Projects!$A$22,"")&amp;IF(AND(Projects!$G$23="Yes",Projects!$C$23=AP$3),", "&amp;Projects!$A$23,"")&amp;IF(AND(Projects!$G$24="Yes",Projects!$C$24=AP$3),", "&amp;Projects!$A$24,"")&amp;IF(AND(Projects!$G$25="Yes",Projects!$C$25=AP$3),", "&amp;Projects!$A$25,"")&amp;IF(AND(Projects!$G$26="Yes",Projects!$C$26=AP$3),", "&amp;Projects!$A$26,"")&amp;IF(AND(Projects!$G$27="Yes",Projects!$C$27=AP$3),", "&amp;Projects!$A$27,"")&amp;IF(AND(Projects!$G$28="Yes",Projects!$C$28=AP$3),", "&amp;Projects!$A$28,"")&amp;IF(AND(Projects!$G$29="Yes",Projects!$C$29=AP$3),", "&amp;Projects!$A$29,"")&amp;IF(AND(Projects!$G$30="Yes",Projects!$C$30=AP$3),", "&amp;Projects!$A$30,"")&amp;IF(AND(Projects!$G$31="Yes",Projects!$C$31=AP$3),", "&amp;Projects!$A$31,"")&amp;IF(AND(Projects!$G$32="Yes",Projects!$C$32=AP$3),", "&amp;Projects!$A$32,"")&amp;IF(AND(Projects!$G$33="Yes",Projects!$C$33=AP$3),", "&amp;Projects!$A$33,"")&amp;IF(AND(Projects!$G$34="Yes",Projects!$C$34=AP$3),", "&amp;Projects!$A$34,"")&amp;IF(AND(Projects!$G$35="Yes",Projects!$C$35=AP$3),", "&amp;Projects!$A$35,"")&amp;IF(AND(Projects!$G$36="Yes",Projects!$C$36=AP$3),", "&amp;Projects!$A$36,"")&amp;IF(AND(Projects!$G$37="Yes",Projects!$C$37=AP$3),", "&amp;Projects!$A$37,"")&amp;IF(AND(Projects!$G$38="Yes",Projects!$C$38=AP$3),", "&amp;Projects!$A$38,"")&amp;IF(AND(Projects!$G$39="Yes",Projects!$C$39=AP$3),", "&amp;Projects!$A$39,"")&amp;IF(AND(Projects!$G$40="Yes",Projects!$C$40=AP$3),", "&amp;Projects!$A$40,"")&amp;IF(AND(Projects!$G$41="Yes",Projects!$C$41=AP$3),", "&amp;Projects!$A$41,"")&amp;IF(AND(Projects!$G$42="Yes",Projects!$C$42=AP$3),", "&amp;Projects!$A$42,"")&amp;IF(AND(Projects!$G$43="Yes",Projects!$C$43=AP$3),", "&amp;Projects!$A$43,"")&amp;IF(AND(Projects!$G$44="Yes",Projects!$C$44=AP$3),", "&amp;Projects!$A$44,"")&amp;IF(AND(Projects!$G$45="Yes",Projects!$C$45=AP$3),", "&amp;Projects!$A$45,"")&amp;IF(AND(Projects!$G$46="Yes",Projects!$C$46=AP$3),", "&amp;Projects!$A$46,""),3,10000)</f>
        <v/>
      </c>
      <c r="AQ6" s="17" t="str">
        <f aca="false">MID(IF(AND(Projects!$G$2="Yes",Projects!$C$2=AQ$3),", "&amp;Projects!$A$2,"")&amp;IF(AND(Projects!$G$3="Yes",Projects!$C$3=AQ$3),", "&amp;Projects!$A$3,"")&amp;IF(AND(Projects!$G$4="Yes",Projects!$C$4=AQ$3),", "&amp;Projects!$A$4,"")&amp;IF(AND(Projects!$G$5="Yes",Projects!$C$5=AQ$3),", "&amp;Projects!$A$5,"")&amp;IF(AND(Projects!$G$6="Yes",Projects!$C$6=AQ$3),", "&amp;Projects!$A$6,"")&amp;IF(AND(Projects!$G$7="Yes",Projects!$C$7=AQ$3),", "&amp;Projects!$A$7,"")&amp;IF(AND(Projects!$G$8="Yes",Projects!$C$8=AQ$3),", "&amp;Projects!$A$8,"")&amp;IF(AND(Projects!$G$9="Yes",Projects!$C$9=AQ$3),", "&amp;Projects!$A$9,"")&amp;IF(AND(Projects!$G$10="Yes",Projects!$C$10=AQ$3),", "&amp;Projects!$A$10,"")&amp;IF(AND(Projects!$G$11="Yes",Projects!$C$11=AQ$3),", "&amp;Projects!$A$11,"")&amp;IF(AND(Projects!$G$12="Yes",Projects!$C$12=AQ$3),", "&amp;Projects!$A$12,"")&amp;IF(AND(Projects!$G$13="Yes",Projects!$C$13=AQ$3),", "&amp;Projects!$A$13,"")&amp;IF(AND(Projects!$G$14="Yes",Projects!$C$14=AQ$3),", "&amp;Projects!$A$14,"")&amp;IF(AND(Projects!$G$15="Yes",Projects!$C$15=AQ$3),", "&amp;Projects!$A$15,"")&amp;IF(AND(Projects!$G$16="Yes",Projects!$C$16=AQ$3),", "&amp;Projects!$A$16,"")&amp;IF(AND(Projects!$G$17="Yes",Projects!$C$17=AQ$3),", "&amp;Projects!$A$17,"")&amp;IF(AND(Projects!$G$18="Yes",Projects!$C$18=AQ$3),", "&amp;Projects!$A$18,"")&amp;IF(AND(Projects!$G$19="Yes",Projects!$C$19=AQ$3),", "&amp;Projects!$A$19,"")&amp;IF(AND(Projects!$G$20="Yes",Projects!$C$20=AQ$3),", "&amp;Projects!$A$20,"")&amp;IF(AND(Projects!$G$21="Yes",Projects!$C$21=AQ$3),", "&amp;Projects!$A$21,"")&amp;IF(AND(Projects!$G$22="Yes",Projects!$C$22=AQ$3),", "&amp;Projects!$A$22,"")&amp;IF(AND(Projects!$G$23="Yes",Projects!$C$23=AQ$3),", "&amp;Projects!$A$23,"")&amp;IF(AND(Projects!$G$24="Yes",Projects!$C$24=AQ$3),", "&amp;Projects!$A$24,"")&amp;IF(AND(Projects!$G$25="Yes",Projects!$C$25=AQ$3),", "&amp;Projects!$A$25,"")&amp;IF(AND(Projects!$G$26="Yes",Projects!$C$26=AQ$3),", "&amp;Projects!$A$26,"")&amp;IF(AND(Projects!$G$27="Yes",Projects!$C$27=AQ$3),", "&amp;Projects!$A$27,"")&amp;IF(AND(Projects!$G$28="Yes",Projects!$C$28=AQ$3),", "&amp;Projects!$A$28,"")&amp;IF(AND(Projects!$G$29="Yes",Projects!$C$29=AQ$3),", "&amp;Projects!$A$29,"")&amp;IF(AND(Projects!$G$30="Yes",Projects!$C$30=AQ$3),", "&amp;Projects!$A$30,"")&amp;IF(AND(Projects!$G$31="Yes",Projects!$C$31=AQ$3),", "&amp;Projects!$A$31,"")&amp;IF(AND(Projects!$G$32="Yes",Projects!$C$32=AQ$3),", "&amp;Projects!$A$32,"")&amp;IF(AND(Projects!$G$33="Yes",Projects!$C$33=AQ$3),", "&amp;Projects!$A$33,"")&amp;IF(AND(Projects!$G$34="Yes",Projects!$C$34=AQ$3),", "&amp;Projects!$A$34,"")&amp;IF(AND(Projects!$G$35="Yes",Projects!$C$35=AQ$3),", "&amp;Projects!$A$35,"")&amp;IF(AND(Projects!$G$36="Yes",Projects!$C$36=AQ$3),", "&amp;Projects!$A$36,"")&amp;IF(AND(Projects!$G$37="Yes",Projects!$C$37=AQ$3),", "&amp;Projects!$A$37,"")&amp;IF(AND(Projects!$G$38="Yes",Projects!$C$38=AQ$3),", "&amp;Projects!$A$38,"")&amp;IF(AND(Projects!$G$39="Yes",Projects!$C$39=AQ$3),", "&amp;Projects!$A$39,"")&amp;IF(AND(Projects!$G$40="Yes",Projects!$C$40=AQ$3),", "&amp;Projects!$A$40,"")&amp;IF(AND(Projects!$G$41="Yes",Projects!$C$41=AQ$3),", "&amp;Projects!$A$41,"")&amp;IF(AND(Projects!$G$42="Yes",Projects!$C$42=AQ$3),", "&amp;Projects!$A$42,"")&amp;IF(AND(Projects!$G$43="Yes",Projects!$C$43=AQ$3),", "&amp;Projects!$A$43,"")&amp;IF(AND(Projects!$G$44="Yes",Projects!$C$44=AQ$3),", "&amp;Projects!$A$44,"")&amp;IF(AND(Projects!$G$45="Yes",Projects!$C$45=AQ$3),", "&amp;Projects!$A$45,"")&amp;IF(AND(Projects!$G$46="Yes",Projects!$C$46=AQ$3),", "&amp;Projects!$A$46,""),3,10000)</f>
        <v/>
      </c>
      <c r="AR6" s="17" t="str">
        <f aca="false">MID(IF(AND(Projects!$G$2="Yes",Projects!$C$2=AR$3),", "&amp;Projects!$A$2,"")&amp;IF(AND(Projects!$G$3="Yes",Projects!$C$3=AR$3),", "&amp;Projects!$A$3,"")&amp;IF(AND(Projects!$G$4="Yes",Projects!$C$4=AR$3),", "&amp;Projects!$A$4,"")&amp;IF(AND(Projects!$G$5="Yes",Projects!$C$5=AR$3),", "&amp;Projects!$A$5,"")&amp;IF(AND(Projects!$G$6="Yes",Projects!$C$6=AR$3),", "&amp;Projects!$A$6,"")&amp;IF(AND(Projects!$G$7="Yes",Projects!$C$7=AR$3),", "&amp;Projects!$A$7,"")&amp;IF(AND(Projects!$G$8="Yes",Projects!$C$8=AR$3),", "&amp;Projects!$A$8,"")&amp;IF(AND(Projects!$G$9="Yes",Projects!$C$9=AR$3),", "&amp;Projects!$A$9,"")&amp;IF(AND(Projects!$G$10="Yes",Projects!$C$10=AR$3),", "&amp;Projects!$A$10,"")&amp;IF(AND(Projects!$G$11="Yes",Projects!$C$11=AR$3),", "&amp;Projects!$A$11,"")&amp;IF(AND(Projects!$G$12="Yes",Projects!$C$12=AR$3),", "&amp;Projects!$A$12,"")&amp;IF(AND(Projects!$G$13="Yes",Projects!$C$13=AR$3),", "&amp;Projects!$A$13,"")&amp;IF(AND(Projects!$G$14="Yes",Projects!$C$14=AR$3),", "&amp;Projects!$A$14,"")&amp;IF(AND(Projects!$G$15="Yes",Projects!$C$15=AR$3),", "&amp;Projects!$A$15,"")&amp;IF(AND(Projects!$G$16="Yes",Projects!$C$16=AR$3),", "&amp;Projects!$A$16,"")&amp;IF(AND(Projects!$G$17="Yes",Projects!$C$17=AR$3),", "&amp;Projects!$A$17,"")&amp;IF(AND(Projects!$G$18="Yes",Projects!$C$18=AR$3),", "&amp;Projects!$A$18,"")&amp;IF(AND(Projects!$G$19="Yes",Projects!$C$19=AR$3),", "&amp;Projects!$A$19,"")&amp;IF(AND(Projects!$G$20="Yes",Projects!$C$20=AR$3),", "&amp;Projects!$A$20,"")&amp;IF(AND(Projects!$G$21="Yes",Projects!$C$21=AR$3),", "&amp;Projects!$A$21,"")&amp;IF(AND(Projects!$G$22="Yes",Projects!$C$22=AR$3),", "&amp;Projects!$A$22,"")&amp;IF(AND(Projects!$G$23="Yes",Projects!$C$23=AR$3),", "&amp;Projects!$A$23,"")&amp;IF(AND(Projects!$G$24="Yes",Projects!$C$24=AR$3),", "&amp;Projects!$A$24,"")&amp;IF(AND(Projects!$G$25="Yes",Projects!$C$25=AR$3),", "&amp;Projects!$A$25,"")&amp;IF(AND(Projects!$G$26="Yes",Projects!$C$26=AR$3),", "&amp;Projects!$A$26,"")&amp;IF(AND(Projects!$G$27="Yes",Projects!$C$27=AR$3),", "&amp;Projects!$A$27,"")&amp;IF(AND(Projects!$G$28="Yes",Projects!$C$28=AR$3),", "&amp;Projects!$A$28,"")&amp;IF(AND(Projects!$G$29="Yes",Projects!$C$29=AR$3),", "&amp;Projects!$A$29,"")&amp;IF(AND(Projects!$G$30="Yes",Projects!$C$30=AR$3),", "&amp;Projects!$A$30,"")&amp;IF(AND(Projects!$G$31="Yes",Projects!$C$31=AR$3),", "&amp;Projects!$A$31,"")&amp;IF(AND(Projects!$G$32="Yes",Projects!$C$32=AR$3),", "&amp;Projects!$A$32,"")&amp;IF(AND(Projects!$G$33="Yes",Projects!$C$33=AR$3),", "&amp;Projects!$A$33,"")&amp;IF(AND(Projects!$G$34="Yes",Projects!$C$34=AR$3),", "&amp;Projects!$A$34,"")&amp;IF(AND(Projects!$G$35="Yes",Projects!$C$35=AR$3),", "&amp;Projects!$A$35,"")&amp;IF(AND(Projects!$G$36="Yes",Projects!$C$36=AR$3),", "&amp;Projects!$A$36,"")&amp;IF(AND(Projects!$G$37="Yes",Projects!$C$37=AR$3),", "&amp;Projects!$A$37,"")&amp;IF(AND(Projects!$G$38="Yes",Projects!$C$38=AR$3),", "&amp;Projects!$A$38,"")&amp;IF(AND(Projects!$G$39="Yes",Projects!$C$39=AR$3),", "&amp;Projects!$A$39,"")&amp;IF(AND(Projects!$G$40="Yes",Projects!$C$40=AR$3),", "&amp;Projects!$A$40,"")&amp;IF(AND(Projects!$G$41="Yes",Projects!$C$41=AR$3),", "&amp;Projects!$A$41,"")&amp;IF(AND(Projects!$G$42="Yes",Projects!$C$42=AR$3),", "&amp;Projects!$A$42,"")&amp;IF(AND(Projects!$G$43="Yes",Projects!$C$43=AR$3),", "&amp;Projects!$A$43,"")&amp;IF(AND(Projects!$G$44="Yes",Projects!$C$44=AR$3),", "&amp;Projects!$A$44,"")&amp;IF(AND(Projects!$G$45="Yes",Projects!$C$45=AR$3),", "&amp;Projects!$A$45,"")&amp;IF(AND(Projects!$G$46="Yes",Projects!$C$46=AR$3),", "&amp;Projects!$A$46,""),3,10000)</f>
        <v/>
      </c>
      <c r="AS6" s="17" t="str">
        <f aca="false">MID(IF(AND(Projects!$G$2="Yes",Projects!$C$2=AS$3),", "&amp;Projects!$A$2,"")&amp;IF(AND(Projects!$G$3="Yes",Projects!$C$3=AS$3),", "&amp;Projects!$A$3,"")&amp;IF(AND(Projects!$G$4="Yes",Projects!$C$4=AS$3),", "&amp;Projects!$A$4,"")&amp;IF(AND(Projects!$G$5="Yes",Projects!$C$5=AS$3),", "&amp;Projects!$A$5,"")&amp;IF(AND(Projects!$G$6="Yes",Projects!$C$6=AS$3),", "&amp;Projects!$A$6,"")&amp;IF(AND(Projects!$G$7="Yes",Projects!$C$7=AS$3),", "&amp;Projects!$A$7,"")&amp;IF(AND(Projects!$G$8="Yes",Projects!$C$8=AS$3),", "&amp;Projects!$A$8,"")&amp;IF(AND(Projects!$G$9="Yes",Projects!$C$9=AS$3),", "&amp;Projects!$A$9,"")&amp;IF(AND(Projects!$G$10="Yes",Projects!$C$10=AS$3),", "&amp;Projects!$A$10,"")&amp;IF(AND(Projects!$G$11="Yes",Projects!$C$11=AS$3),", "&amp;Projects!$A$11,"")&amp;IF(AND(Projects!$G$12="Yes",Projects!$C$12=AS$3),", "&amp;Projects!$A$12,"")&amp;IF(AND(Projects!$G$13="Yes",Projects!$C$13=AS$3),", "&amp;Projects!$A$13,"")&amp;IF(AND(Projects!$G$14="Yes",Projects!$C$14=AS$3),", "&amp;Projects!$A$14,"")&amp;IF(AND(Projects!$G$15="Yes",Projects!$C$15=AS$3),", "&amp;Projects!$A$15,"")&amp;IF(AND(Projects!$G$16="Yes",Projects!$C$16=AS$3),", "&amp;Projects!$A$16,"")&amp;IF(AND(Projects!$G$17="Yes",Projects!$C$17=AS$3),", "&amp;Projects!$A$17,"")&amp;IF(AND(Projects!$G$18="Yes",Projects!$C$18=AS$3),", "&amp;Projects!$A$18,"")&amp;IF(AND(Projects!$G$19="Yes",Projects!$C$19=AS$3),", "&amp;Projects!$A$19,"")&amp;IF(AND(Projects!$G$20="Yes",Projects!$C$20=AS$3),", "&amp;Projects!$A$20,"")&amp;IF(AND(Projects!$G$21="Yes",Projects!$C$21=AS$3),", "&amp;Projects!$A$21,"")&amp;IF(AND(Projects!$G$22="Yes",Projects!$C$22=AS$3),", "&amp;Projects!$A$22,"")&amp;IF(AND(Projects!$G$23="Yes",Projects!$C$23=AS$3),", "&amp;Projects!$A$23,"")&amp;IF(AND(Projects!$G$24="Yes",Projects!$C$24=AS$3),", "&amp;Projects!$A$24,"")&amp;IF(AND(Projects!$G$25="Yes",Projects!$C$25=AS$3),", "&amp;Projects!$A$25,"")&amp;IF(AND(Projects!$G$26="Yes",Projects!$C$26=AS$3),", "&amp;Projects!$A$26,"")&amp;IF(AND(Projects!$G$27="Yes",Projects!$C$27=AS$3),", "&amp;Projects!$A$27,"")&amp;IF(AND(Projects!$G$28="Yes",Projects!$C$28=AS$3),", "&amp;Projects!$A$28,"")&amp;IF(AND(Projects!$G$29="Yes",Projects!$C$29=AS$3),", "&amp;Projects!$A$29,"")&amp;IF(AND(Projects!$G$30="Yes",Projects!$C$30=AS$3),", "&amp;Projects!$A$30,"")&amp;IF(AND(Projects!$G$31="Yes",Projects!$C$31=AS$3),", "&amp;Projects!$A$31,"")&amp;IF(AND(Projects!$G$32="Yes",Projects!$C$32=AS$3),", "&amp;Projects!$A$32,"")&amp;IF(AND(Projects!$G$33="Yes",Projects!$C$33=AS$3),", "&amp;Projects!$A$33,"")&amp;IF(AND(Projects!$G$34="Yes",Projects!$C$34=AS$3),", "&amp;Projects!$A$34,"")&amp;IF(AND(Projects!$G$35="Yes",Projects!$C$35=AS$3),", "&amp;Projects!$A$35,"")&amp;IF(AND(Projects!$G$36="Yes",Projects!$C$36=AS$3),", "&amp;Projects!$A$36,"")&amp;IF(AND(Projects!$G$37="Yes",Projects!$C$37=AS$3),", "&amp;Projects!$A$37,"")&amp;IF(AND(Projects!$G$38="Yes",Projects!$C$38=AS$3),", "&amp;Projects!$A$38,"")&amp;IF(AND(Projects!$G$39="Yes",Projects!$C$39=AS$3),", "&amp;Projects!$A$39,"")&amp;IF(AND(Projects!$G$40="Yes",Projects!$C$40=AS$3),", "&amp;Projects!$A$40,"")&amp;IF(AND(Projects!$G$41="Yes",Projects!$C$41=AS$3),", "&amp;Projects!$A$41,"")&amp;IF(AND(Projects!$G$42="Yes",Projects!$C$42=AS$3),", "&amp;Projects!$A$42,"")&amp;IF(AND(Projects!$G$43="Yes",Projects!$C$43=AS$3),", "&amp;Projects!$A$43,"")&amp;IF(AND(Projects!$G$44="Yes",Projects!$C$44=AS$3),", "&amp;Projects!$A$44,"")&amp;IF(AND(Projects!$G$45="Yes",Projects!$C$45=AS$3),", "&amp;Projects!$A$45,"")&amp;IF(AND(Projects!$G$46="Yes",Projects!$C$46=AS$3),", "&amp;Projects!$A$46,""),3,10000)</f>
        <v/>
      </c>
      <c r="AT6" s="17" t="str">
        <f aca="false">MID(IF(AND(Projects!$G$2="Yes",Projects!$C$2=AT$3),", "&amp;Projects!$A$2,"")&amp;IF(AND(Projects!$G$3="Yes",Projects!$C$3=AT$3),", "&amp;Projects!$A$3,"")&amp;IF(AND(Projects!$G$4="Yes",Projects!$C$4=AT$3),", "&amp;Projects!$A$4,"")&amp;IF(AND(Projects!$G$5="Yes",Projects!$C$5=AT$3),", "&amp;Projects!$A$5,"")&amp;IF(AND(Projects!$G$6="Yes",Projects!$C$6=AT$3),", "&amp;Projects!$A$6,"")&amp;IF(AND(Projects!$G$7="Yes",Projects!$C$7=AT$3),", "&amp;Projects!$A$7,"")&amp;IF(AND(Projects!$G$8="Yes",Projects!$C$8=AT$3),", "&amp;Projects!$A$8,"")&amp;IF(AND(Projects!$G$9="Yes",Projects!$C$9=AT$3),", "&amp;Projects!$A$9,"")&amp;IF(AND(Projects!$G$10="Yes",Projects!$C$10=AT$3),", "&amp;Projects!$A$10,"")&amp;IF(AND(Projects!$G$11="Yes",Projects!$C$11=AT$3),", "&amp;Projects!$A$11,"")&amp;IF(AND(Projects!$G$12="Yes",Projects!$C$12=AT$3),", "&amp;Projects!$A$12,"")&amp;IF(AND(Projects!$G$13="Yes",Projects!$C$13=AT$3),", "&amp;Projects!$A$13,"")&amp;IF(AND(Projects!$G$14="Yes",Projects!$C$14=AT$3),", "&amp;Projects!$A$14,"")&amp;IF(AND(Projects!$G$15="Yes",Projects!$C$15=AT$3),", "&amp;Projects!$A$15,"")&amp;IF(AND(Projects!$G$16="Yes",Projects!$C$16=AT$3),", "&amp;Projects!$A$16,"")&amp;IF(AND(Projects!$G$17="Yes",Projects!$C$17=AT$3),", "&amp;Projects!$A$17,"")&amp;IF(AND(Projects!$G$18="Yes",Projects!$C$18=AT$3),", "&amp;Projects!$A$18,"")&amp;IF(AND(Projects!$G$19="Yes",Projects!$C$19=AT$3),", "&amp;Projects!$A$19,"")&amp;IF(AND(Projects!$G$20="Yes",Projects!$C$20=AT$3),", "&amp;Projects!$A$20,"")&amp;IF(AND(Projects!$G$21="Yes",Projects!$C$21=AT$3),", "&amp;Projects!$A$21,"")&amp;IF(AND(Projects!$G$22="Yes",Projects!$C$22=AT$3),", "&amp;Projects!$A$22,"")&amp;IF(AND(Projects!$G$23="Yes",Projects!$C$23=AT$3),", "&amp;Projects!$A$23,"")&amp;IF(AND(Projects!$G$24="Yes",Projects!$C$24=AT$3),", "&amp;Projects!$A$24,"")&amp;IF(AND(Projects!$G$25="Yes",Projects!$C$25=AT$3),", "&amp;Projects!$A$25,"")&amp;IF(AND(Projects!$G$26="Yes",Projects!$C$26=AT$3),", "&amp;Projects!$A$26,"")&amp;IF(AND(Projects!$G$27="Yes",Projects!$C$27=AT$3),", "&amp;Projects!$A$27,"")&amp;IF(AND(Projects!$G$28="Yes",Projects!$C$28=AT$3),", "&amp;Projects!$A$28,"")&amp;IF(AND(Projects!$G$29="Yes",Projects!$C$29=AT$3),", "&amp;Projects!$A$29,"")&amp;IF(AND(Projects!$G$30="Yes",Projects!$C$30=AT$3),", "&amp;Projects!$A$30,"")&amp;IF(AND(Projects!$G$31="Yes",Projects!$C$31=AT$3),", "&amp;Projects!$A$31,"")&amp;IF(AND(Projects!$G$32="Yes",Projects!$C$32=AT$3),", "&amp;Projects!$A$32,"")&amp;IF(AND(Projects!$G$33="Yes",Projects!$C$33=AT$3),", "&amp;Projects!$A$33,"")&amp;IF(AND(Projects!$G$34="Yes",Projects!$C$34=AT$3),", "&amp;Projects!$A$34,"")&amp;IF(AND(Projects!$G$35="Yes",Projects!$C$35=AT$3),", "&amp;Projects!$A$35,"")&amp;IF(AND(Projects!$G$36="Yes",Projects!$C$36=AT$3),", "&amp;Projects!$A$36,"")&amp;IF(AND(Projects!$G$37="Yes",Projects!$C$37=AT$3),", "&amp;Projects!$A$37,"")&amp;IF(AND(Projects!$G$38="Yes",Projects!$C$38=AT$3),", "&amp;Projects!$A$38,"")&amp;IF(AND(Projects!$G$39="Yes",Projects!$C$39=AT$3),", "&amp;Projects!$A$39,"")&amp;IF(AND(Projects!$G$40="Yes",Projects!$C$40=AT$3),", "&amp;Projects!$A$40,"")&amp;IF(AND(Projects!$G$41="Yes",Projects!$C$41=AT$3),", "&amp;Projects!$A$41,"")&amp;IF(AND(Projects!$G$42="Yes",Projects!$C$42=AT$3),", "&amp;Projects!$A$42,"")&amp;IF(AND(Projects!$G$43="Yes",Projects!$C$43=AT$3),", "&amp;Projects!$A$43,"")&amp;IF(AND(Projects!$G$44="Yes",Projects!$C$44=AT$3),", "&amp;Projects!$A$44,"")&amp;IF(AND(Projects!$G$45="Yes",Projects!$C$45=AT$3),", "&amp;Projects!$A$45,"")&amp;IF(AND(Projects!$G$46="Yes",Projects!$C$46=AT$3),", "&amp;Projects!$A$46,""),3,10000)</f>
        <v/>
      </c>
      <c r="AU6" s="17" t="str">
        <f aca="false">MID(IF(AND(Projects!$G$2="Yes",Projects!$C$2=AU$3),", "&amp;Projects!$A$2,"")&amp;IF(AND(Projects!$G$3="Yes",Projects!$C$3=AU$3),", "&amp;Projects!$A$3,"")&amp;IF(AND(Projects!$G$4="Yes",Projects!$C$4=AU$3),", "&amp;Projects!$A$4,"")&amp;IF(AND(Projects!$G$5="Yes",Projects!$C$5=AU$3),", "&amp;Projects!$A$5,"")&amp;IF(AND(Projects!$G$6="Yes",Projects!$C$6=AU$3),", "&amp;Projects!$A$6,"")&amp;IF(AND(Projects!$G$7="Yes",Projects!$C$7=AU$3),", "&amp;Projects!$A$7,"")&amp;IF(AND(Projects!$G$8="Yes",Projects!$C$8=AU$3),", "&amp;Projects!$A$8,"")&amp;IF(AND(Projects!$G$9="Yes",Projects!$C$9=AU$3),", "&amp;Projects!$A$9,"")&amp;IF(AND(Projects!$G$10="Yes",Projects!$C$10=AU$3),", "&amp;Projects!$A$10,"")&amp;IF(AND(Projects!$G$11="Yes",Projects!$C$11=AU$3),", "&amp;Projects!$A$11,"")&amp;IF(AND(Projects!$G$12="Yes",Projects!$C$12=AU$3),", "&amp;Projects!$A$12,"")&amp;IF(AND(Projects!$G$13="Yes",Projects!$C$13=AU$3),", "&amp;Projects!$A$13,"")&amp;IF(AND(Projects!$G$14="Yes",Projects!$C$14=AU$3),", "&amp;Projects!$A$14,"")&amp;IF(AND(Projects!$G$15="Yes",Projects!$C$15=AU$3),", "&amp;Projects!$A$15,"")&amp;IF(AND(Projects!$G$16="Yes",Projects!$C$16=AU$3),", "&amp;Projects!$A$16,"")&amp;IF(AND(Projects!$G$17="Yes",Projects!$C$17=AU$3),", "&amp;Projects!$A$17,"")&amp;IF(AND(Projects!$G$18="Yes",Projects!$C$18=AU$3),", "&amp;Projects!$A$18,"")&amp;IF(AND(Projects!$G$19="Yes",Projects!$C$19=AU$3),", "&amp;Projects!$A$19,"")&amp;IF(AND(Projects!$G$20="Yes",Projects!$C$20=AU$3),", "&amp;Projects!$A$20,"")&amp;IF(AND(Projects!$G$21="Yes",Projects!$C$21=AU$3),", "&amp;Projects!$A$21,"")&amp;IF(AND(Projects!$G$22="Yes",Projects!$C$22=AU$3),", "&amp;Projects!$A$22,"")&amp;IF(AND(Projects!$G$23="Yes",Projects!$C$23=AU$3),", "&amp;Projects!$A$23,"")&amp;IF(AND(Projects!$G$24="Yes",Projects!$C$24=AU$3),", "&amp;Projects!$A$24,"")&amp;IF(AND(Projects!$G$25="Yes",Projects!$C$25=AU$3),", "&amp;Projects!$A$25,"")&amp;IF(AND(Projects!$G$26="Yes",Projects!$C$26=AU$3),", "&amp;Projects!$A$26,"")&amp;IF(AND(Projects!$G$27="Yes",Projects!$C$27=AU$3),", "&amp;Projects!$A$27,"")&amp;IF(AND(Projects!$G$28="Yes",Projects!$C$28=AU$3),", "&amp;Projects!$A$28,"")&amp;IF(AND(Projects!$G$29="Yes",Projects!$C$29=AU$3),", "&amp;Projects!$A$29,"")&amp;IF(AND(Projects!$G$30="Yes",Projects!$C$30=AU$3),", "&amp;Projects!$A$30,"")&amp;IF(AND(Projects!$G$31="Yes",Projects!$C$31=AU$3),", "&amp;Projects!$A$31,"")&amp;IF(AND(Projects!$G$32="Yes",Projects!$C$32=AU$3),", "&amp;Projects!$A$32,"")&amp;IF(AND(Projects!$G$33="Yes",Projects!$C$33=AU$3),", "&amp;Projects!$A$33,"")&amp;IF(AND(Projects!$G$34="Yes",Projects!$C$34=AU$3),", "&amp;Projects!$A$34,"")&amp;IF(AND(Projects!$G$35="Yes",Projects!$C$35=AU$3),", "&amp;Projects!$A$35,"")&amp;IF(AND(Projects!$G$36="Yes",Projects!$C$36=AU$3),", "&amp;Projects!$A$36,"")&amp;IF(AND(Projects!$G$37="Yes",Projects!$C$37=AU$3),", "&amp;Projects!$A$37,"")&amp;IF(AND(Projects!$G$38="Yes",Projects!$C$38=AU$3),", "&amp;Projects!$A$38,"")&amp;IF(AND(Projects!$G$39="Yes",Projects!$C$39=AU$3),", "&amp;Projects!$A$39,"")&amp;IF(AND(Projects!$G$40="Yes",Projects!$C$40=AU$3),", "&amp;Projects!$A$40,"")&amp;IF(AND(Projects!$G$41="Yes",Projects!$C$41=AU$3),", "&amp;Projects!$A$41,"")&amp;IF(AND(Projects!$G$42="Yes",Projects!$C$42=AU$3),", "&amp;Projects!$A$42,"")&amp;IF(AND(Projects!$G$43="Yes",Projects!$C$43=AU$3),", "&amp;Projects!$A$43,"")&amp;IF(AND(Projects!$G$44="Yes",Projects!$C$44=AU$3),", "&amp;Projects!$A$44,"")&amp;IF(AND(Projects!$G$45="Yes",Projects!$C$45=AU$3),", "&amp;Projects!$A$45,"")&amp;IF(AND(Projects!$G$46="Yes",Projects!$C$46=AU$3),", "&amp;Projects!$A$46,""),3,10000)</f>
        <v/>
      </c>
      <c r="AV6" s="17" t="str">
        <f aca="false">MID(IF(AND(Projects!$G$2="Yes",Projects!$C$2=AV$3),", "&amp;Projects!$A$2,"")&amp;IF(AND(Projects!$G$3="Yes",Projects!$C$3=AV$3),", "&amp;Projects!$A$3,"")&amp;IF(AND(Projects!$G$4="Yes",Projects!$C$4=AV$3),", "&amp;Projects!$A$4,"")&amp;IF(AND(Projects!$G$5="Yes",Projects!$C$5=AV$3),", "&amp;Projects!$A$5,"")&amp;IF(AND(Projects!$G$6="Yes",Projects!$C$6=AV$3),", "&amp;Projects!$A$6,"")&amp;IF(AND(Projects!$G$7="Yes",Projects!$C$7=AV$3),", "&amp;Projects!$A$7,"")&amp;IF(AND(Projects!$G$8="Yes",Projects!$C$8=AV$3),", "&amp;Projects!$A$8,"")&amp;IF(AND(Projects!$G$9="Yes",Projects!$C$9=AV$3),", "&amp;Projects!$A$9,"")&amp;IF(AND(Projects!$G$10="Yes",Projects!$C$10=AV$3),", "&amp;Projects!$A$10,"")&amp;IF(AND(Projects!$G$11="Yes",Projects!$C$11=AV$3),", "&amp;Projects!$A$11,"")&amp;IF(AND(Projects!$G$12="Yes",Projects!$C$12=AV$3),", "&amp;Projects!$A$12,"")&amp;IF(AND(Projects!$G$13="Yes",Projects!$C$13=AV$3),", "&amp;Projects!$A$13,"")&amp;IF(AND(Projects!$G$14="Yes",Projects!$C$14=AV$3),", "&amp;Projects!$A$14,"")&amp;IF(AND(Projects!$G$15="Yes",Projects!$C$15=AV$3),", "&amp;Projects!$A$15,"")&amp;IF(AND(Projects!$G$16="Yes",Projects!$C$16=AV$3),", "&amp;Projects!$A$16,"")&amp;IF(AND(Projects!$G$17="Yes",Projects!$C$17=AV$3),", "&amp;Projects!$A$17,"")&amp;IF(AND(Projects!$G$18="Yes",Projects!$C$18=AV$3),", "&amp;Projects!$A$18,"")&amp;IF(AND(Projects!$G$19="Yes",Projects!$C$19=AV$3),", "&amp;Projects!$A$19,"")&amp;IF(AND(Projects!$G$20="Yes",Projects!$C$20=AV$3),", "&amp;Projects!$A$20,"")&amp;IF(AND(Projects!$G$21="Yes",Projects!$C$21=AV$3),", "&amp;Projects!$A$21,"")&amp;IF(AND(Projects!$G$22="Yes",Projects!$C$22=AV$3),", "&amp;Projects!$A$22,"")&amp;IF(AND(Projects!$G$23="Yes",Projects!$C$23=AV$3),", "&amp;Projects!$A$23,"")&amp;IF(AND(Projects!$G$24="Yes",Projects!$C$24=AV$3),", "&amp;Projects!$A$24,"")&amp;IF(AND(Projects!$G$25="Yes",Projects!$C$25=AV$3),", "&amp;Projects!$A$25,"")&amp;IF(AND(Projects!$G$26="Yes",Projects!$C$26=AV$3),", "&amp;Projects!$A$26,"")&amp;IF(AND(Projects!$G$27="Yes",Projects!$C$27=AV$3),", "&amp;Projects!$A$27,"")&amp;IF(AND(Projects!$G$28="Yes",Projects!$C$28=AV$3),", "&amp;Projects!$A$28,"")&amp;IF(AND(Projects!$G$29="Yes",Projects!$C$29=AV$3),", "&amp;Projects!$A$29,"")&amp;IF(AND(Projects!$G$30="Yes",Projects!$C$30=AV$3),", "&amp;Projects!$A$30,"")&amp;IF(AND(Projects!$G$31="Yes",Projects!$C$31=AV$3),", "&amp;Projects!$A$31,"")&amp;IF(AND(Projects!$G$32="Yes",Projects!$C$32=AV$3),", "&amp;Projects!$A$32,"")&amp;IF(AND(Projects!$G$33="Yes",Projects!$C$33=AV$3),", "&amp;Projects!$A$33,"")&amp;IF(AND(Projects!$G$34="Yes",Projects!$C$34=AV$3),", "&amp;Projects!$A$34,"")&amp;IF(AND(Projects!$G$35="Yes",Projects!$C$35=AV$3),", "&amp;Projects!$A$35,"")&amp;IF(AND(Projects!$G$36="Yes",Projects!$C$36=AV$3),", "&amp;Projects!$A$36,"")&amp;IF(AND(Projects!$G$37="Yes",Projects!$C$37=AV$3),", "&amp;Projects!$A$37,"")&amp;IF(AND(Projects!$G$38="Yes",Projects!$C$38=AV$3),", "&amp;Projects!$A$38,"")&amp;IF(AND(Projects!$G$39="Yes",Projects!$C$39=AV$3),", "&amp;Projects!$A$39,"")&amp;IF(AND(Projects!$G$40="Yes",Projects!$C$40=AV$3),", "&amp;Projects!$A$40,"")&amp;IF(AND(Projects!$G$41="Yes",Projects!$C$41=AV$3),", "&amp;Projects!$A$41,"")&amp;IF(AND(Projects!$G$42="Yes",Projects!$C$42=AV$3),", "&amp;Projects!$A$42,"")&amp;IF(AND(Projects!$G$43="Yes",Projects!$C$43=AV$3),", "&amp;Projects!$A$43,"")&amp;IF(AND(Projects!$G$44="Yes",Projects!$C$44=AV$3),", "&amp;Projects!$A$44,"")&amp;IF(AND(Projects!$G$45="Yes",Projects!$C$45=AV$3),", "&amp;Projects!$A$45,"")&amp;IF(AND(Projects!$G$46="Yes",Projects!$C$46=AV$3),", "&amp;Projects!$A$46,""),3,10000)</f>
        <v/>
      </c>
      <c r="AW6" s="17" t="str">
        <f aca="false">MID(IF(AND(Projects!$G$2="Yes",Projects!$C$2=AW$3),", "&amp;Projects!$A$2,"")&amp;IF(AND(Projects!$G$3="Yes",Projects!$C$3=AW$3),", "&amp;Projects!$A$3,"")&amp;IF(AND(Projects!$G$4="Yes",Projects!$C$4=AW$3),", "&amp;Projects!$A$4,"")&amp;IF(AND(Projects!$G$5="Yes",Projects!$C$5=AW$3),", "&amp;Projects!$A$5,"")&amp;IF(AND(Projects!$G$6="Yes",Projects!$C$6=AW$3),", "&amp;Projects!$A$6,"")&amp;IF(AND(Projects!$G$7="Yes",Projects!$C$7=AW$3),", "&amp;Projects!$A$7,"")&amp;IF(AND(Projects!$G$8="Yes",Projects!$C$8=AW$3),", "&amp;Projects!$A$8,"")&amp;IF(AND(Projects!$G$9="Yes",Projects!$C$9=AW$3),", "&amp;Projects!$A$9,"")&amp;IF(AND(Projects!$G$10="Yes",Projects!$C$10=AW$3),", "&amp;Projects!$A$10,"")&amp;IF(AND(Projects!$G$11="Yes",Projects!$C$11=AW$3),", "&amp;Projects!$A$11,"")&amp;IF(AND(Projects!$G$12="Yes",Projects!$C$12=AW$3),", "&amp;Projects!$A$12,"")&amp;IF(AND(Projects!$G$13="Yes",Projects!$C$13=AW$3),", "&amp;Projects!$A$13,"")&amp;IF(AND(Projects!$G$14="Yes",Projects!$C$14=AW$3),", "&amp;Projects!$A$14,"")&amp;IF(AND(Projects!$G$15="Yes",Projects!$C$15=AW$3),", "&amp;Projects!$A$15,"")&amp;IF(AND(Projects!$G$16="Yes",Projects!$C$16=AW$3),", "&amp;Projects!$A$16,"")&amp;IF(AND(Projects!$G$17="Yes",Projects!$C$17=AW$3),", "&amp;Projects!$A$17,"")&amp;IF(AND(Projects!$G$18="Yes",Projects!$C$18=AW$3),", "&amp;Projects!$A$18,"")&amp;IF(AND(Projects!$G$19="Yes",Projects!$C$19=AW$3),", "&amp;Projects!$A$19,"")&amp;IF(AND(Projects!$G$20="Yes",Projects!$C$20=AW$3),", "&amp;Projects!$A$20,"")&amp;IF(AND(Projects!$G$21="Yes",Projects!$C$21=AW$3),", "&amp;Projects!$A$21,"")&amp;IF(AND(Projects!$G$22="Yes",Projects!$C$22=AW$3),", "&amp;Projects!$A$22,"")&amp;IF(AND(Projects!$G$23="Yes",Projects!$C$23=AW$3),", "&amp;Projects!$A$23,"")&amp;IF(AND(Projects!$G$24="Yes",Projects!$C$24=AW$3),", "&amp;Projects!$A$24,"")&amp;IF(AND(Projects!$G$25="Yes",Projects!$C$25=AW$3),", "&amp;Projects!$A$25,"")&amp;IF(AND(Projects!$G$26="Yes",Projects!$C$26=AW$3),", "&amp;Projects!$A$26,"")&amp;IF(AND(Projects!$G$27="Yes",Projects!$C$27=AW$3),", "&amp;Projects!$A$27,"")&amp;IF(AND(Projects!$G$28="Yes",Projects!$C$28=AW$3),", "&amp;Projects!$A$28,"")&amp;IF(AND(Projects!$G$29="Yes",Projects!$C$29=AW$3),", "&amp;Projects!$A$29,"")&amp;IF(AND(Projects!$G$30="Yes",Projects!$C$30=AW$3),", "&amp;Projects!$A$30,"")&amp;IF(AND(Projects!$G$31="Yes",Projects!$C$31=AW$3),", "&amp;Projects!$A$31,"")&amp;IF(AND(Projects!$G$32="Yes",Projects!$C$32=AW$3),", "&amp;Projects!$A$32,"")&amp;IF(AND(Projects!$G$33="Yes",Projects!$C$33=AW$3),", "&amp;Projects!$A$33,"")&amp;IF(AND(Projects!$G$34="Yes",Projects!$C$34=AW$3),", "&amp;Projects!$A$34,"")&amp;IF(AND(Projects!$G$35="Yes",Projects!$C$35=AW$3),", "&amp;Projects!$A$35,"")&amp;IF(AND(Projects!$G$36="Yes",Projects!$C$36=AW$3),", "&amp;Projects!$A$36,"")&amp;IF(AND(Projects!$G$37="Yes",Projects!$C$37=AW$3),", "&amp;Projects!$A$37,"")&amp;IF(AND(Projects!$G$38="Yes",Projects!$C$38=AW$3),", "&amp;Projects!$A$38,"")&amp;IF(AND(Projects!$G$39="Yes",Projects!$C$39=AW$3),", "&amp;Projects!$A$39,"")&amp;IF(AND(Projects!$G$40="Yes",Projects!$C$40=AW$3),", "&amp;Projects!$A$40,"")&amp;IF(AND(Projects!$G$41="Yes",Projects!$C$41=AW$3),", "&amp;Projects!$A$41,"")&amp;IF(AND(Projects!$G$42="Yes",Projects!$C$42=AW$3),", "&amp;Projects!$A$42,"")&amp;IF(AND(Projects!$G$43="Yes",Projects!$C$43=AW$3),", "&amp;Projects!$A$43,"")&amp;IF(AND(Projects!$G$44="Yes",Projects!$C$44=AW$3),", "&amp;Projects!$A$44,"")&amp;IF(AND(Projects!$G$45="Yes",Projects!$C$45=AW$3),", "&amp;Projects!$A$45,"")&amp;IF(AND(Projects!$G$46="Yes",Projects!$C$46=AW$3),", "&amp;Projects!$A$46,""),3,10000)</f>
        <v/>
      </c>
      <c r="AX6" s="17" t="str">
        <f aca="false">MID(IF(AND(Projects!$G$2="Yes",Projects!$C$2=AX$3),", "&amp;Projects!$A$2,"")&amp;IF(AND(Projects!$G$3="Yes",Projects!$C$3=AX$3),", "&amp;Projects!$A$3,"")&amp;IF(AND(Projects!$G$4="Yes",Projects!$C$4=AX$3),", "&amp;Projects!$A$4,"")&amp;IF(AND(Projects!$G$5="Yes",Projects!$C$5=AX$3),", "&amp;Projects!$A$5,"")&amp;IF(AND(Projects!$G$6="Yes",Projects!$C$6=AX$3),", "&amp;Projects!$A$6,"")&amp;IF(AND(Projects!$G$7="Yes",Projects!$C$7=AX$3),", "&amp;Projects!$A$7,"")&amp;IF(AND(Projects!$G$8="Yes",Projects!$C$8=AX$3),", "&amp;Projects!$A$8,"")&amp;IF(AND(Projects!$G$9="Yes",Projects!$C$9=AX$3),", "&amp;Projects!$A$9,"")&amp;IF(AND(Projects!$G$10="Yes",Projects!$C$10=AX$3),", "&amp;Projects!$A$10,"")&amp;IF(AND(Projects!$G$11="Yes",Projects!$C$11=AX$3),", "&amp;Projects!$A$11,"")&amp;IF(AND(Projects!$G$12="Yes",Projects!$C$12=AX$3),", "&amp;Projects!$A$12,"")&amp;IF(AND(Projects!$G$13="Yes",Projects!$C$13=AX$3),", "&amp;Projects!$A$13,"")&amp;IF(AND(Projects!$G$14="Yes",Projects!$C$14=AX$3),", "&amp;Projects!$A$14,"")&amp;IF(AND(Projects!$G$15="Yes",Projects!$C$15=AX$3),", "&amp;Projects!$A$15,"")&amp;IF(AND(Projects!$G$16="Yes",Projects!$C$16=AX$3),", "&amp;Projects!$A$16,"")&amp;IF(AND(Projects!$G$17="Yes",Projects!$C$17=AX$3),", "&amp;Projects!$A$17,"")&amp;IF(AND(Projects!$G$18="Yes",Projects!$C$18=AX$3),", "&amp;Projects!$A$18,"")&amp;IF(AND(Projects!$G$19="Yes",Projects!$C$19=AX$3),", "&amp;Projects!$A$19,"")&amp;IF(AND(Projects!$G$20="Yes",Projects!$C$20=AX$3),", "&amp;Projects!$A$20,"")&amp;IF(AND(Projects!$G$21="Yes",Projects!$C$21=AX$3),", "&amp;Projects!$A$21,"")&amp;IF(AND(Projects!$G$22="Yes",Projects!$C$22=AX$3),", "&amp;Projects!$A$22,"")&amp;IF(AND(Projects!$G$23="Yes",Projects!$C$23=AX$3),", "&amp;Projects!$A$23,"")&amp;IF(AND(Projects!$G$24="Yes",Projects!$C$24=AX$3),", "&amp;Projects!$A$24,"")&amp;IF(AND(Projects!$G$25="Yes",Projects!$C$25=AX$3),", "&amp;Projects!$A$25,"")&amp;IF(AND(Projects!$G$26="Yes",Projects!$C$26=AX$3),", "&amp;Projects!$A$26,"")&amp;IF(AND(Projects!$G$27="Yes",Projects!$C$27=AX$3),", "&amp;Projects!$A$27,"")&amp;IF(AND(Projects!$G$28="Yes",Projects!$C$28=AX$3),", "&amp;Projects!$A$28,"")&amp;IF(AND(Projects!$G$29="Yes",Projects!$C$29=AX$3),", "&amp;Projects!$A$29,"")&amp;IF(AND(Projects!$G$30="Yes",Projects!$C$30=AX$3),", "&amp;Projects!$A$30,"")&amp;IF(AND(Projects!$G$31="Yes",Projects!$C$31=AX$3),", "&amp;Projects!$A$31,"")&amp;IF(AND(Projects!$G$32="Yes",Projects!$C$32=AX$3),", "&amp;Projects!$A$32,"")&amp;IF(AND(Projects!$G$33="Yes",Projects!$C$33=AX$3),", "&amp;Projects!$A$33,"")&amp;IF(AND(Projects!$G$34="Yes",Projects!$C$34=AX$3),", "&amp;Projects!$A$34,"")&amp;IF(AND(Projects!$G$35="Yes",Projects!$C$35=AX$3),", "&amp;Projects!$A$35,"")&amp;IF(AND(Projects!$G$36="Yes",Projects!$C$36=AX$3),", "&amp;Projects!$A$36,"")&amp;IF(AND(Projects!$G$37="Yes",Projects!$C$37=AX$3),", "&amp;Projects!$A$37,"")&amp;IF(AND(Projects!$G$38="Yes",Projects!$C$38=AX$3),", "&amp;Projects!$A$38,"")&amp;IF(AND(Projects!$G$39="Yes",Projects!$C$39=AX$3),", "&amp;Projects!$A$39,"")&amp;IF(AND(Projects!$G$40="Yes",Projects!$C$40=AX$3),", "&amp;Projects!$A$40,"")&amp;IF(AND(Projects!$G$41="Yes",Projects!$C$41=AX$3),", "&amp;Projects!$A$41,"")&amp;IF(AND(Projects!$G$42="Yes",Projects!$C$42=AX$3),", "&amp;Projects!$A$42,"")&amp;IF(AND(Projects!$G$43="Yes",Projects!$C$43=AX$3),", "&amp;Projects!$A$43,"")&amp;IF(AND(Projects!$G$44="Yes",Projects!$C$44=AX$3),", "&amp;Projects!$A$44,"")&amp;IF(AND(Projects!$G$45="Yes",Projects!$C$45=AX$3),", "&amp;Projects!$A$45,"")&amp;IF(AND(Projects!$G$46="Yes",Projects!$C$46=AX$3),", "&amp;Projects!$A$46,""),3,10000)</f>
        <v/>
      </c>
      <c r="AY6" s="17" t="str">
        <f aca="false">MID(IF(AND(Projects!$G$2="Yes",Projects!$C$2=AY$3),", "&amp;Projects!$A$2,"")&amp;IF(AND(Projects!$G$3="Yes",Projects!$C$3=AY$3),", "&amp;Projects!$A$3,"")&amp;IF(AND(Projects!$G$4="Yes",Projects!$C$4=AY$3),", "&amp;Projects!$A$4,"")&amp;IF(AND(Projects!$G$5="Yes",Projects!$C$5=AY$3),", "&amp;Projects!$A$5,"")&amp;IF(AND(Projects!$G$6="Yes",Projects!$C$6=AY$3),", "&amp;Projects!$A$6,"")&amp;IF(AND(Projects!$G$7="Yes",Projects!$C$7=AY$3),", "&amp;Projects!$A$7,"")&amp;IF(AND(Projects!$G$8="Yes",Projects!$C$8=AY$3),", "&amp;Projects!$A$8,"")&amp;IF(AND(Projects!$G$9="Yes",Projects!$C$9=AY$3),", "&amp;Projects!$A$9,"")&amp;IF(AND(Projects!$G$10="Yes",Projects!$C$10=AY$3),", "&amp;Projects!$A$10,"")&amp;IF(AND(Projects!$G$11="Yes",Projects!$C$11=AY$3),", "&amp;Projects!$A$11,"")&amp;IF(AND(Projects!$G$12="Yes",Projects!$C$12=AY$3),", "&amp;Projects!$A$12,"")&amp;IF(AND(Projects!$G$13="Yes",Projects!$C$13=AY$3),", "&amp;Projects!$A$13,"")&amp;IF(AND(Projects!$G$14="Yes",Projects!$C$14=AY$3),", "&amp;Projects!$A$14,"")&amp;IF(AND(Projects!$G$15="Yes",Projects!$C$15=AY$3),", "&amp;Projects!$A$15,"")&amp;IF(AND(Projects!$G$16="Yes",Projects!$C$16=AY$3),", "&amp;Projects!$A$16,"")&amp;IF(AND(Projects!$G$17="Yes",Projects!$C$17=AY$3),", "&amp;Projects!$A$17,"")&amp;IF(AND(Projects!$G$18="Yes",Projects!$C$18=AY$3),", "&amp;Projects!$A$18,"")&amp;IF(AND(Projects!$G$19="Yes",Projects!$C$19=AY$3),", "&amp;Projects!$A$19,"")&amp;IF(AND(Projects!$G$20="Yes",Projects!$C$20=AY$3),", "&amp;Projects!$A$20,"")&amp;IF(AND(Projects!$G$21="Yes",Projects!$C$21=AY$3),", "&amp;Projects!$A$21,"")&amp;IF(AND(Projects!$G$22="Yes",Projects!$C$22=AY$3),", "&amp;Projects!$A$22,"")&amp;IF(AND(Projects!$G$23="Yes",Projects!$C$23=AY$3),", "&amp;Projects!$A$23,"")&amp;IF(AND(Projects!$G$24="Yes",Projects!$C$24=AY$3),", "&amp;Projects!$A$24,"")&amp;IF(AND(Projects!$G$25="Yes",Projects!$C$25=AY$3),", "&amp;Projects!$A$25,"")&amp;IF(AND(Projects!$G$26="Yes",Projects!$C$26=AY$3),", "&amp;Projects!$A$26,"")&amp;IF(AND(Projects!$G$27="Yes",Projects!$C$27=AY$3),", "&amp;Projects!$A$27,"")&amp;IF(AND(Projects!$G$28="Yes",Projects!$C$28=AY$3),", "&amp;Projects!$A$28,"")&amp;IF(AND(Projects!$G$29="Yes",Projects!$C$29=AY$3),", "&amp;Projects!$A$29,"")&amp;IF(AND(Projects!$G$30="Yes",Projects!$C$30=AY$3),", "&amp;Projects!$A$30,"")&amp;IF(AND(Projects!$G$31="Yes",Projects!$C$31=AY$3),", "&amp;Projects!$A$31,"")&amp;IF(AND(Projects!$G$32="Yes",Projects!$C$32=AY$3),", "&amp;Projects!$A$32,"")&amp;IF(AND(Projects!$G$33="Yes",Projects!$C$33=AY$3),", "&amp;Projects!$A$33,"")&amp;IF(AND(Projects!$G$34="Yes",Projects!$C$34=AY$3),", "&amp;Projects!$A$34,"")&amp;IF(AND(Projects!$G$35="Yes",Projects!$C$35=AY$3),", "&amp;Projects!$A$35,"")&amp;IF(AND(Projects!$G$36="Yes",Projects!$C$36=AY$3),", "&amp;Projects!$A$36,"")&amp;IF(AND(Projects!$G$37="Yes",Projects!$C$37=AY$3),", "&amp;Projects!$A$37,"")&amp;IF(AND(Projects!$G$38="Yes",Projects!$C$38=AY$3),", "&amp;Projects!$A$38,"")&amp;IF(AND(Projects!$G$39="Yes",Projects!$C$39=AY$3),", "&amp;Projects!$A$39,"")&amp;IF(AND(Projects!$G$40="Yes",Projects!$C$40=AY$3),", "&amp;Projects!$A$40,"")&amp;IF(AND(Projects!$G$41="Yes",Projects!$C$41=AY$3),", "&amp;Projects!$A$41,"")&amp;IF(AND(Projects!$G$42="Yes",Projects!$C$42=AY$3),", "&amp;Projects!$A$42,"")&amp;IF(AND(Projects!$G$43="Yes",Projects!$C$43=AY$3),", "&amp;Projects!$A$43,"")&amp;IF(AND(Projects!$G$44="Yes",Projects!$C$44=AY$3),", "&amp;Projects!$A$44,"")&amp;IF(AND(Projects!$G$45="Yes",Projects!$C$45=AY$3),", "&amp;Projects!$A$45,"")&amp;IF(AND(Projects!$G$46="Yes",Projects!$C$46=AY$3),", "&amp;Projects!$A$46,""),3,10000)</f>
        <v/>
      </c>
      <c r="AZ6" s="17" t="str">
        <f aca="false">MID(IF(AND(Projects!$G$2="Yes",Projects!$C$2=AZ$3),", "&amp;Projects!$A$2,"")&amp;IF(AND(Projects!$G$3="Yes",Projects!$C$3=AZ$3),", "&amp;Projects!$A$3,"")&amp;IF(AND(Projects!$G$4="Yes",Projects!$C$4=AZ$3),", "&amp;Projects!$A$4,"")&amp;IF(AND(Projects!$G$5="Yes",Projects!$C$5=AZ$3),", "&amp;Projects!$A$5,"")&amp;IF(AND(Projects!$G$6="Yes",Projects!$C$6=AZ$3),", "&amp;Projects!$A$6,"")&amp;IF(AND(Projects!$G$7="Yes",Projects!$C$7=AZ$3),", "&amp;Projects!$A$7,"")&amp;IF(AND(Projects!$G$8="Yes",Projects!$C$8=AZ$3),", "&amp;Projects!$A$8,"")&amp;IF(AND(Projects!$G$9="Yes",Projects!$C$9=AZ$3),", "&amp;Projects!$A$9,"")&amp;IF(AND(Projects!$G$10="Yes",Projects!$C$10=AZ$3),", "&amp;Projects!$A$10,"")&amp;IF(AND(Projects!$G$11="Yes",Projects!$C$11=AZ$3),", "&amp;Projects!$A$11,"")&amp;IF(AND(Projects!$G$12="Yes",Projects!$C$12=AZ$3),", "&amp;Projects!$A$12,"")&amp;IF(AND(Projects!$G$13="Yes",Projects!$C$13=AZ$3),", "&amp;Projects!$A$13,"")&amp;IF(AND(Projects!$G$14="Yes",Projects!$C$14=AZ$3),", "&amp;Projects!$A$14,"")&amp;IF(AND(Projects!$G$15="Yes",Projects!$C$15=AZ$3),", "&amp;Projects!$A$15,"")&amp;IF(AND(Projects!$G$16="Yes",Projects!$C$16=AZ$3),", "&amp;Projects!$A$16,"")&amp;IF(AND(Projects!$G$17="Yes",Projects!$C$17=AZ$3),", "&amp;Projects!$A$17,"")&amp;IF(AND(Projects!$G$18="Yes",Projects!$C$18=AZ$3),", "&amp;Projects!$A$18,"")&amp;IF(AND(Projects!$G$19="Yes",Projects!$C$19=AZ$3),", "&amp;Projects!$A$19,"")&amp;IF(AND(Projects!$G$20="Yes",Projects!$C$20=AZ$3),", "&amp;Projects!$A$20,"")&amp;IF(AND(Projects!$G$21="Yes",Projects!$C$21=AZ$3),", "&amp;Projects!$A$21,"")&amp;IF(AND(Projects!$G$22="Yes",Projects!$C$22=AZ$3),", "&amp;Projects!$A$22,"")&amp;IF(AND(Projects!$G$23="Yes",Projects!$C$23=AZ$3),", "&amp;Projects!$A$23,"")&amp;IF(AND(Projects!$G$24="Yes",Projects!$C$24=AZ$3),", "&amp;Projects!$A$24,"")&amp;IF(AND(Projects!$G$25="Yes",Projects!$C$25=AZ$3),", "&amp;Projects!$A$25,"")&amp;IF(AND(Projects!$G$26="Yes",Projects!$C$26=AZ$3),", "&amp;Projects!$A$26,"")&amp;IF(AND(Projects!$G$27="Yes",Projects!$C$27=AZ$3),", "&amp;Projects!$A$27,"")&amp;IF(AND(Projects!$G$28="Yes",Projects!$C$28=AZ$3),", "&amp;Projects!$A$28,"")&amp;IF(AND(Projects!$G$29="Yes",Projects!$C$29=AZ$3),", "&amp;Projects!$A$29,"")&amp;IF(AND(Projects!$G$30="Yes",Projects!$C$30=AZ$3),", "&amp;Projects!$A$30,"")&amp;IF(AND(Projects!$G$31="Yes",Projects!$C$31=AZ$3),", "&amp;Projects!$A$31,"")&amp;IF(AND(Projects!$G$32="Yes",Projects!$C$32=AZ$3),", "&amp;Projects!$A$32,"")&amp;IF(AND(Projects!$G$33="Yes",Projects!$C$33=AZ$3),", "&amp;Projects!$A$33,"")&amp;IF(AND(Projects!$G$34="Yes",Projects!$C$34=AZ$3),", "&amp;Projects!$A$34,"")&amp;IF(AND(Projects!$G$35="Yes",Projects!$C$35=AZ$3),", "&amp;Projects!$A$35,"")&amp;IF(AND(Projects!$G$36="Yes",Projects!$C$36=AZ$3),", "&amp;Projects!$A$36,"")&amp;IF(AND(Projects!$G$37="Yes",Projects!$C$37=AZ$3),", "&amp;Projects!$A$37,"")&amp;IF(AND(Projects!$G$38="Yes",Projects!$C$38=AZ$3),", "&amp;Projects!$A$38,"")&amp;IF(AND(Projects!$G$39="Yes",Projects!$C$39=AZ$3),", "&amp;Projects!$A$39,"")&amp;IF(AND(Projects!$G$40="Yes",Projects!$C$40=AZ$3),", "&amp;Projects!$A$40,"")&amp;IF(AND(Projects!$G$41="Yes",Projects!$C$41=AZ$3),", "&amp;Projects!$A$41,"")&amp;IF(AND(Projects!$G$42="Yes",Projects!$C$42=AZ$3),", "&amp;Projects!$A$42,"")&amp;IF(AND(Projects!$G$43="Yes",Projects!$C$43=AZ$3),", "&amp;Projects!$A$43,"")&amp;IF(AND(Projects!$G$44="Yes",Projects!$C$44=AZ$3),", "&amp;Projects!$A$44,"")&amp;IF(AND(Projects!$G$45="Yes",Projects!$C$45=AZ$3),", "&amp;Projects!$A$45,"")&amp;IF(AND(Projects!$G$46="Yes",Projects!$C$46=AZ$3),", "&amp;Projects!$A$46,""),3,10000)</f>
        <v/>
      </c>
      <c r="BA6" s="17" t="str">
        <f aca="false">MID(IF(AND(Projects!$G$2="Yes",Projects!$C$2=BA$3),", "&amp;Projects!$A$2,"")&amp;IF(AND(Projects!$G$3="Yes",Projects!$C$3=BA$3),", "&amp;Projects!$A$3,"")&amp;IF(AND(Projects!$G$4="Yes",Projects!$C$4=BA$3),", "&amp;Projects!$A$4,"")&amp;IF(AND(Projects!$G$5="Yes",Projects!$C$5=BA$3),", "&amp;Projects!$A$5,"")&amp;IF(AND(Projects!$G$6="Yes",Projects!$C$6=BA$3),", "&amp;Projects!$A$6,"")&amp;IF(AND(Projects!$G$7="Yes",Projects!$C$7=BA$3),", "&amp;Projects!$A$7,"")&amp;IF(AND(Projects!$G$8="Yes",Projects!$C$8=BA$3),", "&amp;Projects!$A$8,"")&amp;IF(AND(Projects!$G$9="Yes",Projects!$C$9=BA$3),", "&amp;Projects!$A$9,"")&amp;IF(AND(Projects!$G$10="Yes",Projects!$C$10=BA$3),", "&amp;Projects!$A$10,"")&amp;IF(AND(Projects!$G$11="Yes",Projects!$C$11=BA$3),", "&amp;Projects!$A$11,"")&amp;IF(AND(Projects!$G$12="Yes",Projects!$C$12=BA$3),", "&amp;Projects!$A$12,"")&amp;IF(AND(Projects!$G$13="Yes",Projects!$C$13=BA$3),", "&amp;Projects!$A$13,"")&amp;IF(AND(Projects!$G$14="Yes",Projects!$C$14=BA$3),", "&amp;Projects!$A$14,"")&amp;IF(AND(Projects!$G$15="Yes",Projects!$C$15=BA$3),", "&amp;Projects!$A$15,"")&amp;IF(AND(Projects!$G$16="Yes",Projects!$C$16=BA$3),", "&amp;Projects!$A$16,"")&amp;IF(AND(Projects!$G$17="Yes",Projects!$C$17=BA$3),", "&amp;Projects!$A$17,"")&amp;IF(AND(Projects!$G$18="Yes",Projects!$C$18=BA$3),", "&amp;Projects!$A$18,"")&amp;IF(AND(Projects!$G$19="Yes",Projects!$C$19=BA$3),", "&amp;Projects!$A$19,"")&amp;IF(AND(Projects!$G$20="Yes",Projects!$C$20=BA$3),", "&amp;Projects!$A$20,"")&amp;IF(AND(Projects!$G$21="Yes",Projects!$C$21=BA$3),", "&amp;Projects!$A$21,"")&amp;IF(AND(Projects!$G$22="Yes",Projects!$C$22=BA$3),", "&amp;Projects!$A$22,"")&amp;IF(AND(Projects!$G$23="Yes",Projects!$C$23=BA$3),", "&amp;Projects!$A$23,"")&amp;IF(AND(Projects!$G$24="Yes",Projects!$C$24=BA$3),", "&amp;Projects!$A$24,"")&amp;IF(AND(Projects!$G$25="Yes",Projects!$C$25=BA$3),", "&amp;Projects!$A$25,"")&amp;IF(AND(Projects!$G$26="Yes",Projects!$C$26=BA$3),", "&amp;Projects!$A$26,"")&amp;IF(AND(Projects!$G$27="Yes",Projects!$C$27=BA$3),", "&amp;Projects!$A$27,"")&amp;IF(AND(Projects!$G$28="Yes",Projects!$C$28=BA$3),", "&amp;Projects!$A$28,"")&amp;IF(AND(Projects!$G$29="Yes",Projects!$C$29=BA$3),", "&amp;Projects!$A$29,"")&amp;IF(AND(Projects!$G$30="Yes",Projects!$C$30=BA$3),", "&amp;Projects!$A$30,"")&amp;IF(AND(Projects!$G$31="Yes",Projects!$C$31=BA$3),", "&amp;Projects!$A$31,"")&amp;IF(AND(Projects!$G$32="Yes",Projects!$C$32=BA$3),", "&amp;Projects!$A$32,"")&amp;IF(AND(Projects!$G$33="Yes",Projects!$C$33=BA$3),", "&amp;Projects!$A$33,"")&amp;IF(AND(Projects!$G$34="Yes",Projects!$C$34=BA$3),", "&amp;Projects!$A$34,"")&amp;IF(AND(Projects!$G$35="Yes",Projects!$C$35=BA$3),", "&amp;Projects!$A$35,"")&amp;IF(AND(Projects!$G$36="Yes",Projects!$C$36=BA$3),", "&amp;Projects!$A$36,"")&amp;IF(AND(Projects!$G$37="Yes",Projects!$C$37=BA$3),", "&amp;Projects!$A$37,"")&amp;IF(AND(Projects!$G$38="Yes",Projects!$C$38=BA$3),", "&amp;Projects!$A$38,"")&amp;IF(AND(Projects!$G$39="Yes",Projects!$C$39=BA$3),", "&amp;Projects!$A$39,"")&amp;IF(AND(Projects!$G$40="Yes",Projects!$C$40=BA$3),", "&amp;Projects!$A$40,"")&amp;IF(AND(Projects!$G$41="Yes",Projects!$C$41=BA$3),", "&amp;Projects!$A$41,"")&amp;IF(AND(Projects!$G$42="Yes",Projects!$C$42=BA$3),", "&amp;Projects!$A$42,"")&amp;IF(AND(Projects!$G$43="Yes",Projects!$C$43=BA$3),", "&amp;Projects!$A$43,"")&amp;IF(AND(Projects!$G$44="Yes",Projects!$C$44=BA$3),", "&amp;Projects!$A$44,"")&amp;IF(AND(Projects!$G$45="Yes",Projects!$C$45=BA$3),", "&amp;Projects!$A$45,"")&amp;IF(AND(Projects!$G$46="Yes",Projects!$C$46=BA$3),", "&amp;Projects!$A$46,""),3,10000)</f>
        <v/>
      </c>
      <c r="BB6" s="17" t="str">
        <f aca="false">MID(IF(AND(Projects!$G$2="Yes",Projects!$C$2=BB$3),", "&amp;Projects!$A$2,"")&amp;IF(AND(Projects!$G$3="Yes",Projects!$C$3=BB$3),", "&amp;Projects!$A$3,"")&amp;IF(AND(Projects!$G$4="Yes",Projects!$C$4=BB$3),", "&amp;Projects!$A$4,"")&amp;IF(AND(Projects!$G$5="Yes",Projects!$C$5=BB$3),", "&amp;Projects!$A$5,"")&amp;IF(AND(Projects!$G$6="Yes",Projects!$C$6=BB$3),", "&amp;Projects!$A$6,"")&amp;IF(AND(Projects!$G$7="Yes",Projects!$C$7=BB$3),", "&amp;Projects!$A$7,"")&amp;IF(AND(Projects!$G$8="Yes",Projects!$C$8=BB$3),", "&amp;Projects!$A$8,"")&amp;IF(AND(Projects!$G$9="Yes",Projects!$C$9=BB$3),", "&amp;Projects!$A$9,"")&amp;IF(AND(Projects!$G$10="Yes",Projects!$C$10=BB$3),", "&amp;Projects!$A$10,"")&amp;IF(AND(Projects!$G$11="Yes",Projects!$C$11=BB$3),", "&amp;Projects!$A$11,"")&amp;IF(AND(Projects!$G$12="Yes",Projects!$C$12=BB$3),", "&amp;Projects!$A$12,"")&amp;IF(AND(Projects!$G$13="Yes",Projects!$C$13=BB$3),", "&amp;Projects!$A$13,"")&amp;IF(AND(Projects!$G$14="Yes",Projects!$C$14=BB$3),", "&amp;Projects!$A$14,"")&amp;IF(AND(Projects!$G$15="Yes",Projects!$C$15=BB$3),", "&amp;Projects!$A$15,"")&amp;IF(AND(Projects!$G$16="Yes",Projects!$C$16=BB$3),", "&amp;Projects!$A$16,"")&amp;IF(AND(Projects!$G$17="Yes",Projects!$C$17=BB$3),", "&amp;Projects!$A$17,"")&amp;IF(AND(Projects!$G$18="Yes",Projects!$C$18=BB$3),", "&amp;Projects!$A$18,"")&amp;IF(AND(Projects!$G$19="Yes",Projects!$C$19=BB$3),", "&amp;Projects!$A$19,"")&amp;IF(AND(Projects!$G$20="Yes",Projects!$C$20=BB$3),", "&amp;Projects!$A$20,"")&amp;IF(AND(Projects!$G$21="Yes",Projects!$C$21=BB$3),", "&amp;Projects!$A$21,"")&amp;IF(AND(Projects!$G$22="Yes",Projects!$C$22=BB$3),", "&amp;Projects!$A$22,"")&amp;IF(AND(Projects!$G$23="Yes",Projects!$C$23=BB$3),", "&amp;Projects!$A$23,"")&amp;IF(AND(Projects!$G$24="Yes",Projects!$C$24=BB$3),", "&amp;Projects!$A$24,"")&amp;IF(AND(Projects!$G$25="Yes",Projects!$C$25=BB$3),", "&amp;Projects!$A$25,"")&amp;IF(AND(Projects!$G$26="Yes",Projects!$C$26=BB$3),", "&amp;Projects!$A$26,"")&amp;IF(AND(Projects!$G$27="Yes",Projects!$C$27=BB$3),", "&amp;Projects!$A$27,"")&amp;IF(AND(Projects!$G$28="Yes",Projects!$C$28=BB$3),", "&amp;Projects!$A$28,"")&amp;IF(AND(Projects!$G$29="Yes",Projects!$C$29=BB$3),", "&amp;Projects!$A$29,"")&amp;IF(AND(Projects!$G$30="Yes",Projects!$C$30=BB$3),", "&amp;Projects!$A$30,"")&amp;IF(AND(Projects!$G$31="Yes",Projects!$C$31=BB$3),", "&amp;Projects!$A$31,"")&amp;IF(AND(Projects!$G$32="Yes",Projects!$C$32=BB$3),", "&amp;Projects!$A$32,"")&amp;IF(AND(Projects!$G$33="Yes",Projects!$C$33=BB$3),", "&amp;Projects!$A$33,"")&amp;IF(AND(Projects!$G$34="Yes",Projects!$C$34=BB$3),", "&amp;Projects!$A$34,"")&amp;IF(AND(Projects!$G$35="Yes",Projects!$C$35=BB$3),", "&amp;Projects!$A$35,"")&amp;IF(AND(Projects!$G$36="Yes",Projects!$C$36=BB$3),", "&amp;Projects!$A$36,"")&amp;IF(AND(Projects!$G$37="Yes",Projects!$C$37=BB$3),", "&amp;Projects!$A$37,"")&amp;IF(AND(Projects!$G$38="Yes",Projects!$C$38=BB$3),", "&amp;Projects!$A$38,"")&amp;IF(AND(Projects!$G$39="Yes",Projects!$C$39=BB$3),", "&amp;Projects!$A$39,"")&amp;IF(AND(Projects!$G$40="Yes",Projects!$C$40=BB$3),", "&amp;Projects!$A$40,"")&amp;IF(AND(Projects!$G$41="Yes",Projects!$C$41=BB$3),", "&amp;Projects!$A$41,"")&amp;IF(AND(Projects!$G$42="Yes",Projects!$C$42=BB$3),", "&amp;Projects!$A$42,"")&amp;IF(AND(Projects!$G$43="Yes",Projects!$C$43=BB$3),", "&amp;Projects!$A$43,"")&amp;IF(AND(Projects!$G$44="Yes",Projects!$C$44=BB$3),", "&amp;Projects!$A$44,"")&amp;IF(AND(Projects!$G$45="Yes",Projects!$C$45=BB$3),", "&amp;Projects!$A$45,"")&amp;IF(AND(Projects!$G$46="Yes",Projects!$C$46=BB$3),", "&amp;Projects!$A$46,""),3,10000)</f>
        <v/>
      </c>
      <c r="BC6" s="17" t="str">
        <f aca="false">MID(IF(AND(Projects!$G$2="Yes",Projects!$C$2=BC$3),", "&amp;Projects!$A$2,"")&amp;IF(AND(Projects!$G$3="Yes",Projects!$C$3=BC$3),", "&amp;Projects!$A$3,"")&amp;IF(AND(Projects!$G$4="Yes",Projects!$C$4=BC$3),", "&amp;Projects!$A$4,"")&amp;IF(AND(Projects!$G$5="Yes",Projects!$C$5=BC$3),", "&amp;Projects!$A$5,"")&amp;IF(AND(Projects!$G$6="Yes",Projects!$C$6=BC$3),", "&amp;Projects!$A$6,"")&amp;IF(AND(Projects!$G$7="Yes",Projects!$C$7=BC$3),", "&amp;Projects!$A$7,"")&amp;IF(AND(Projects!$G$8="Yes",Projects!$C$8=BC$3),", "&amp;Projects!$A$8,"")&amp;IF(AND(Projects!$G$9="Yes",Projects!$C$9=BC$3),", "&amp;Projects!$A$9,"")&amp;IF(AND(Projects!$G$10="Yes",Projects!$C$10=BC$3),", "&amp;Projects!$A$10,"")&amp;IF(AND(Projects!$G$11="Yes",Projects!$C$11=BC$3),", "&amp;Projects!$A$11,"")&amp;IF(AND(Projects!$G$12="Yes",Projects!$C$12=BC$3),", "&amp;Projects!$A$12,"")&amp;IF(AND(Projects!$G$13="Yes",Projects!$C$13=BC$3),", "&amp;Projects!$A$13,"")&amp;IF(AND(Projects!$G$14="Yes",Projects!$C$14=BC$3),", "&amp;Projects!$A$14,"")&amp;IF(AND(Projects!$G$15="Yes",Projects!$C$15=BC$3),", "&amp;Projects!$A$15,"")&amp;IF(AND(Projects!$G$16="Yes",Projects!$C$16=BC$3),", "&amp;Projects!$A$16,"")&amp;IF(AND(Projects!$G$17="Yes",Projects!$C$17=BC$3),", "&amp;Projects!$A$17,"")&amp;IF(AND(Projects!$G$18="Yes",Projects!$C$18=BC$3),", "&amp;Projects!$A$18,"")&amp;IF(AND(Projects!$G$19="Yes",Projects!$C$19=BC$3),", "&amp;Projects!$A$19,"")&amp;IF(AND(Projects!$G$20="Yes",Projects!$C$20=BC$3),", "&amp;Projects!$A$20,"")&amp;IF(AND(Projects!$G$21="Yes",Projects!$C$21=BC$3),", "&amp;Projects!$A$21,"")&amp;IF(AND(Projects!$G$22="Yes",Projects!$C$22=BC$3),", "&amp;Projects!$A$22,"")&amp;IF(AND(Projects!$G$23="Yes",Projects!$C$23=BC$3),", "&amp;Projects!$A$23,"")&amp;IF(AND(Projects!$G$24="Yes",Projects!$C$24=BC$3),", "&amp;Projects!$A$24,"")&amp;IF(AND(Projects!$G$25="Yes",Projects!$C$25=BC$3),", "&amp;Projects!$A$25,"")&amp;IF(AND(Projects!$G$26="Yes",Projects!$C$26=BC$3),", "&amp;Projects!$A$26,"")&amp;IF(AND(Projects!$G$27="Yes",Projects!$C$27=BC$3),", "&amp;Projects!$A$27,"")&amp;IF(AND(Projects!$G$28="Yes",Projects!$C$28=BC$3),", "&amp;Projects!$A$28,"")&amp;IF(AND(Projects!$G$29="Yes",Projects!$C$29=BC$3),", "&amp;Projects!$A$29,"")&amp;IF(AND(Projects!$G$30="Yes",Projects!$C$30=BC$3),", "&amp;Projects!$A$30,"")&amp;IF(AND(Projects!$G$31="Yes",Projects!$C$31=BC$3),", "&amp;Projects!$A$31,"")&amp;IF(AND(Projects!$G$32="Yes",Projects!$C$32=BC$3),", "&amp;Projects!$A$32,"")&amp;IF(AND(Projects!$G$33="Yes",Projects!$C$33=BC$3),", "&amp;Projects!$A$33,"")&amp;IF(AND(Projects!$G$34="Yes",Projects!$C$34=BC$3),", "&amp;Projects!$A$34,"")&amp;IF(AND(Projects!$G$35="Yes",Projects!$C$35=BC$3),", "&amp;Projects!$A$35,"")&amp;IF(AND(Projects!$G$36="Yes",Projects!$C$36=BC$3),", "&amp;Projects!$A$36,"")&amp;IF(AND(Projects!$G$37="Yes",Projects!$C$37=BC$3),", "&amp;Projects!$A$37,"")&amp;IF(AND(Projects!$G$38="Yes",Projects!$C$38=BC$3),", "&amp;Projects!$A$38,"")&amp;IF(AND(Projects!$G$39="Yes",Projects!$C$39=BC$3),", "&amp;Projects!$A$39,"")&amp;IF(AND(Projects!$G$40="Yes",Projects!$C$40=BC$3),", "&amp;Projects!$A$40,"")&amp;IF(AND(Projects!$G$41="Yes",Projects!$C$41=BC$3),", "&amp;Projects!$A$41,"")&amp;IF(AND(Projects!$G$42="Yes",Projects!$C$42=BC$3),", "&amp;Projects!$A$42,"")&amp;IF(AND(Projects!$G$43="Yes",Projects!$C$43=BC$3),", "&amp;Projects!$A$43,"")&amp;IF(AND(Projects!$G$44="Yes",Projects!$C$44=BC$3),", "&amp;Projects!$A$44,"")&amp;IF(AND(Projects!$G$45="Yes",Projects!$C$45=BC$3),", "&amp;Projects!$A$45,"")&amp;IF(AND(Projects!$G$46="Yes",Projects!$C$46=BC$3),", "&amp;Projects!$A$46,""),3,10000)</f>
        <v/>
      </c>
      <c r="BD6" s="17" t="str">
        <f aca="false">MID(IF(AND(Projects!$G$2="Yes",Projects!$C$2=BD$3),", "&amp;Projects!$A$2,"")&amp;IF(AND(Projects!$G$3="Yes",Projects!$C$3=BD$3),", "&amp;Projects!$A$3,"")&amp;IF(AND(Projects!$G$4="Yes",Projects!$C$4=BD$3),", "&amp;Projects!$A$4,"")&amp;IF(AND(Projects!$G$5="Yes",Projects!$C$5=BD$3),", "&amp;Projects!$A$5,"")&amp;IF(AND(Projects!$G$6="Yes",Projects!$C$6=BD$3),", "&amp;Projects!$A$6,"")&amp;IF(AND(Projects!$G$7="Yes",Projects!$C$7=BD$3),", "&amp;Projects!$A$7,"")&amp;IF(AND(Projects!$G$8="Yes",Projects!$C$8=BD$3),", "&amp;Projects!$A$8,"")&amp;IF(AND(Projects!$G$9="Yes",Projects!$C$9=BD$3),", "&amp;Projects!$A$9,"")&amp;IF(AND(Projects!$G$10="Yes",Projects!$C$10=BD$3),", "&amp;Projects!$A$10,"")&amp;IF(AND(Projects!$G$11="Yes",Projects!$C$11=BD$3),", "&amp;Projects!$A$11,"")&amp;IF(AND(Projects!$G$12="Yes",Projects!$C$12=BD$3),", "&amp;Projects!$A$12,"")&amp;IF(AND(Projects!$G$13="Yes",Projects!$C$13=BD$3),", "&amp;Projects!$A$13,"")&amp;IF(AND(Projects!$G$14="Yes",Projects!$C$14=BD$3),", "&amp;Projects!$A$14,"")&amp;IF(AND(Projects!$G$15="Yes",Projects!$C$15=BD$3),", "&amp;Projects!$A$15,"")&amp;IF(AND(Projects!$G$16="Yes",Projects!$C$16=BD$3),", "&amp;Projects!$A$16,"")&amp;IF(AND(Projects!$G$17="Yes",Projects!$C$17=BD$3),", "&amp;Projects!$A$17,"")&amp;IF(AND(Projects!$G$18="Yes",Projects!$C$18=BD$3),", "&amp;Projects!$A$18,"")&amp;IF(AND(Projects!$G$19="Yes",Projects!$C$19=BD$3),", "&amp;Projects!$A$19,"")&amp;IF(AND(Projects!$G$20="Yes",Projects!$C$20=BD$3),", "&amp;Projects!$A$20,"")&amp;IF(AND(Projects!$G$21="Yes",Projects!$C$21=BD$3),", "&amp;Projects!$A$21,"")&amp;IF(AND(Projects!$G$22="Yes",Projects!$C$22=BD$3),", "&amp;Projects!$A$22,"")&amp;IF(AND(Projects!$G$23="Yes",Projects!$C$23=BD$3),", "&amp;Projects!$A$23,"")&amp;IF(AND(Projects!$G$24="Yes",Projects!$C$24=BD$3),", "&amp;Projects!$A$24,"")&amp;IF(AND(Projects!$G$25="Yes",Projects!$C$25=BD$3),", "&amp;Projects!$A$25,"")&amp;IF(AND(Projects!$G$26="Yes",Projects!$C$26=BD$3),", "&amp;Projects!$A$26,"")&amp;IF(AND(Projects!$G$27="Yes",Projects!$C$27=BD$3),", "&amp;Projects!$A$27,"")&amp;IF(AND(Projects!$G$28="Yes",Projects!$C$28=BD$3),", "&amp;Projects!$A$28,"")&amp;IF(AND(Projects!$G$29="Yes",Projects!$C$29=BD$3),", "&amp;Projects!$A$29,"")&amp;IF(AND(Projects!$G$30="Yes",Projects!$C$30=BD$3),", "&amp;Projects!$A$30,"")&amp;IF(AND(Projects!$G$31="Yes",Projects!$C$31=BD$3),", "&amp;Projects!$A$31,"")&amp;IF(AND(Projects!$G$32="Yes",Projects!$C$32=BD$3),", "&amp;Projects!$A$32,"")&amp;IF(AND(Projects!$G$33="Yes",Projects!$C$33=BD$3),", "&amp;Projects!$A$33,"")&amp;IF(AND(Projects!$G$34="Yes",Projects!$C$34=BD$3),", "&amp;Projects!$A$34,"")&amp;IF(AND(Projects!$G$35="Yes",Projects!$C$35=BD$3),", "&amp;Projects!$A$35,"")&amp;IF(AND(Projects!$G$36="Yes",Projects!$C$36=BD$3),", "&amp;Projects!$A$36,"")&amp;IF(AND(Projects!$G$37="Yes",Projects!$C$37=BD$3),", "&amp;Projects!$A$37,"")&amp;IF(AND(Projects!$G$38="Yes",Projects!$C$38=BD$3),", "&amp;Projects!$A$38,"")&amp;IF(AND(Projects!$G$39="Yes",Projects!$C$39=BD$3),", "&amp;Projects!$A$39,"")&amp;IF(AND(Projects!$G$40="Yes",Projects!$C$40=BD$3),", "&amp;Projects!$A$40,"")&amp;IF(AND(Projects!$G$41="Yes",Projects!$C$41=BD$3),", "&amp;Projects!$A$41,"")&amp;IF(AND(Projects!$G$42="Yes",Projects!$C$42=BD$3),", "&amp;Projects!$A$42,"")&amp;IF(AND(Projects!$G$43="Yes",Projects!$C$43=BD$3),", "&amp;Projects!$A$43,"")&amp;IF(AND(Projects!$G$44="Yes",Projects!$C$44=BD$3),", "&amp;Projects!$A$44,"")&amp;IF(AND(Projects!$G$45="Yes",Projects!$C$45=BD$3),", "&amp;Projects!$A$45,"")&amp;IF(AND(Projects!$G$46="Yes",Projects!$C$46=BD$3),", "&amp;Projects!$A$46,""),3,10000)</f>
        <v/>
      </c>
      <c r="BE6" s="17" t="str">
        <f aca="false">MID(IF(AND(Projects!$G$2="Yes",Projects!$C$2=BE$3),", "&amp;Projects!$A$2,"")&amp;IF(AND(Projects!$G$3="Yes",Projects!$C$3=BE$3),", "&amp;Projects!$A$3,"")&amp;IF(AND(Projects!$G$4="Yes",Projects!$C$4=BE$3),", "&amp;Projects!$A$4,"")&amp;IF(AND(Projects!$G$5="Yes",Projects!$C$5=BE$3),", "&amp;Projects!$A$5,"")&amp;IF(AND(Projects!$G$6="Yes",Projects!$C$6=BE$3),", "&amp;Projects!$A$6,"")&amp;IF(AND(Projects!$G$7="Yes",Projects!$C$7=BE$3),", "&amp;Projects!$A$7,"")&amp;IF(AND(Projects!$G$8="Yes",Projects!$C$8=BE$3),", "&amp;Projects!$A$8,"")&amp;IF(AND(Projects!$G$9="Yes",Projects!$C$9=BE$3),", "&amp;Projects!$A$9,"")&amp;IF(AND(Projects!$G$10="Yes",Projects!$C$10=BE$3),", "&amp;Projects!$A$10,"")&amp;IF(AND(Projects!$G$11="Yes",Projects!$C$11=BE$3),", "&amp;Projects!$A$11,"")&amp;IF(AND(Projects!$G$12="Yes",Projects!$C$12=BE$3),", "&amp;Projects!$A$12,"")&amp;IF(AND(Projects!$G$13="Yes",Projects!$C$13=BE$3),", "&amp;Projects!$A$13,"")&amp;IF(AND(Projects!$G$14="Yes",Projects!$C$14=BE$3),", "&amp;Projects!$A$14,"")&amp;IF(AND(Projects!$G$15="Yes",Projects!$C$15=BE$3),", "&amp;Projects!$A$15,"")&amp;IF(AND(Projects!$G$16="Yes",Projects!$C$16=BE$3),", "&amp;Projects!$A$16,"")&amp;IF(AND(Projects!$G$17="Yes",Projects!$C$17=BE$3),", "&amp;Projects!$A$17,"")&amp;IF(AND(Projects!$G$18="Yes",Projects!$C$18=BE$3),", "&amp;Projects!$A$18,"")&amp;IF(AND(Projects!$G$19="Yes",Projects!$C$19=BE$3),", "&amp;Projects!$A$19,"")&amp;IF(AND(Projects!$G$20="Yes",Projects!$C$20=BE$3),", "&amp;Projects!$A$20,"")&amp;IF(AND(Projects!$G$21="Yes",Projects!$C$21=BE$3),", "&amp;Projects!$A$21,"")&amp;IF(AND(Projects!$G$22="Yes",Projects!$C$22=BE$3),", "&amp;Projects!$A$22,"")&amp;IF(AND(Projects!$G$23="Yes",Projects!$C$23=BE$3),", "&amp;Projects!$A$23,"")&amp;IF(AND(Projects!$G$24="Yes",Projects!$C$24=BE$3),", "&amp;Projects!$A$24,"")&amp;IF(AND(Projects!$G$25="Yes",Projects!$C$25=BE$3),", "&amp;Projects!$A$25,"")&amp;IF(AND(Projects!$G$26="Yes",Projects!$C$26=BE$3),", "&amp;Projects!$A$26,"")&amp;IF(AND(Projects!$G$27="Yes",Projects!$C$27=BE$3),", "&amp;Projects!$A$27,"")&amp;IF(AND(Projects!$G$28="Yes",Projects!$C$28=BE$3),", "&amp;Projects!$A$28,"")&amp;IF(AND(Projects!$G$29="Yes",Projects!$C$29=BE$3),", "&amp;Projects!$A$29,"")&amp;IF(AND(Projects!$G$30="Yes",Projects!$C$30=BE$3),", "&amp;Projects!$A$30,"")&amp;IF(AND(Projects!$G$31="Yes",Projects!$C$31=BE$3),", "&amp;Projects!$A$31,"")&amp;IF(AND(Projects!$G$32="Yes",Projects!$C$32=BE$3),", "&amp;Projects!$A$32,"")&amp;IF(AND(Projects!$G$33="Yes",Projects!$C$33=BE$3),", "&amp;Projects!$A$33,"")&amp;IF(AND(Projects!$G$34="Yes",Projects!$C$34=BE$3),", "&amp;Projects!$A$34,"")&amp;IF(AND(Projects!$G$35="Yes",Projects!$C$35=BE$3),", "&amp;Projects!$A$35,"")&amp;IF(AND(Projects!$G$36="Yes",Projects!$C$36=BE$3),", "&amp;Projects!$A$36,"")&amp;IF(AND(Projects!$G$37="Yes",Projects!$C$37=BE$3),", "&amp;Projects!$A$37,"")&amp;IF(AND(Projects!$G$38="Yes",Projects!$C$38=BE$3),", "&amp;Projects!$A$38,"")&amp;IF(AND(Projects!$G$39="Yes",Projects!$C$39=BE$3),", "&amp;Projects!$A$39,"")&amp;IF(AND(Projects!$G$40="Yes",Projects!$C$40=BE$3),", "&amp;Projects!$A$40,"")&amp;IF(AND(Projects!$G$41="Yes",Projects!$C$41=BE$3),", "&amp;Projects!$A$41,"")&amp;IF(AND(Projects!$G$42="Yes",Projects!$C$42=BE$3),", "&amp;Projects!$A$42,"")&amp;IF(AND(Projects!$G$43="Yes",Projects!$C$43=BE$3),", "&amp;Projects!$A$43,"")&amp;IF(AND(Projects!$G$44="Yes",Projects!$C$44=BE$3),", "&amp;Projects!$A$44,"")&amp;IF(AND(Projects!$G$45="Yes",Projects!$C$45=BE$3),", "&amp;Projects!$A$45,"")&amp;IF(AND(Projects!$G$46="Yes",Projects!$C$46=BE$3),", "&amp;Projects!$A$46,""),3,10000)</f>
        <v/>
      </c>
      <c r="BF6" s="17" t="str">
        <f aca="false">MID(IF(AND(Projects!$G$2="Yes",Projects!$C$2=BF$3),", "&amp;Projects!$A$2,"")&amp;IF(AND(Projects!$G$3="Yes",Projects!$C$3=BF$3),", "&amp;Projects!$A$3,"")&amp;IF(AND(Projects!$G$4="Yes",Projects!$C$4=BF$3),", "&amp;Projects!$A$4,"")&amp;IF(AND(Projects!$G$5="Yes",Projects!$C$5=BF$3),", "&amp;Projects!$A$5,"")&amp;IF(AND(Projects!$G$6="Yes",Projects!$C$6=BF$3),", "&amp;Projects!$A$6,"")&amp;IF(AND(Projects!$G$7="Yes",Projects!$C$7=BF$3),", "&amp;Projects!$A$7,"")&amp;IF(AND(Projects!$G$8="Yes",Projects!$C$8=BF$3),", "&amp;Projects!$A$8,"")&amp;IF(AND(Projects!$G$9="Yes",Projects!$C$9=BF$3),", "&amp;Projects!$A$9,"")&amp;IF(AND(Projects!$G$10="Yes",Projects!$C$10=BF$3),", "&amp;Projects!$A$10,"")&amp;IF(AND(Projects!$G$11="Yes",Projects!$C$11=BF$3),", "&amp;Projects!$A$11,"")&amp;IF(AND(Projects!$G$12="Yes",Projects!$C$12=BF$3),", "&amp;Projects!$A$12,"")&amp;IF(AND(Projects!$G$13="Yes",Projects!$C$13=BF$3),", "&amp;Projects!$A$13,"")&amp;IF(AND(Projects!$G$14="Yes",Projects!$C$14=BF$3),", "&amp;Projects!$A$14,"")&amp;IF(AND(Projects!$G$15="Yes",Projects!$C$15=BF$3),", "&amp;Projects!$A$15,"")&amp;IF(AND(Projects!$G$16="Yes",Projects!$C$16=BF$3),", "&amp;Projects!$A$16,"")&amp;IF(AND(Projects!$G$17="Yes",Projects!$C$17=BF$3),", "&amp;Projects!$A$17,"")&amp;IF(AND(Projects!$G$18="Yes",Projects!$C$18=BF$3),", "&amp;Projects!$A$18,"")&amp;IF(AND(Projects!$G$19="Yes",Projects!$C$19=BF$3),", "&amp;Projects!$A$19,"")&amp;IF(AND(Projects!$G$20="Yes",Projects!$C$20=BF$3),", "&amp;Projects!$A$20,"")&amp;IF(AND(Projects!$G$21="Yes",Projects!$C$21=BF$3),", "&amp;Projects!$A$21,"")&amp;IF(AND(Projects!$G$22="Yes",Projects!$C$22=BF$3),", "&amp;Projects!$A$22,"")&amp;IF(AND(Projects!$G$23="Yes",Projects!$C$23=BF$3),", "&amp;Projects!$A$23,"")&amp;IF(AND(Projects!$G$24="Yes",Projects!$C$24=BF$3),", "&amp;Projects!$A$24,"")&amp;IF(AND(Projects!$G$25="Yes",Projects!$C$25=BF$3),", "&amp;Projects!$A$25,"")&amp;IF(AND(Projects!$G$26="Yes",Projects!$C$26=BF$3),", "&amp;Projects!$A$26,"")&amp;IF(AND(Projects!$G$27="Yes",Projects!$C$27=BF$3),", "&amp;Projects!$A$27,"")&amp;IF(AND(Projects!$G$28="Yes",Projects!$C$28=BF$3),", "&amp;Projects!$A$28,"")&amp;IF(AND(Projects!$G$29="Yes",Projects!$C$29=BF$3),", "&amp;Projects!$A$29,"")&amp;IF(AND(Projects!$G$30="Yes",Projects!$C$30=BF$3),", "&amp;Projects!$A$30,"")&amp;IF(AND(Projects!$G$31="Yes",Projects!$C$31=BF$3),", "&amp;Projects!$A$31,"")&amp;IF(AND(Projects!$G$32="Yes",Projects!$C$32=BF$3),", "&amp;Projects!$A$32,"")&amp;IF(AND(Projects!$G$33="Yes",Projects!$C$33=BF$3),", "&amp;Projects!$A$33,"")&amp;IF(AND(Projects!$G$34="Yes",Projects!$C$34=BF$3),", "&amp;Projects!$A$34,"")&amp;IF(AND(Projects!$G$35="Yes",Projects!$C$35=BF$3),", "&amp;Projects!$A$35,"")&amp;IF(AND(Projects!$G$36="Yes",Projects!$C$36=BF$3),", "&amp;Projects!$A$36,"")&amp;IF(AND(Projects!$G$37="Yes",Projects!$C$37=BF$3),", "&amp;Projects!$A$37,"")&amp;IF(AND(Projects!$G$38="Yes",Projects!$C$38=BF$3),", "&amp;Projects!$A$38,"")&amp;IF(AND(Projects!$G$39="Yes",Projects!$C$39=BF$3),", "&amp;Projects!$A$39,"")&amp;IF(AND(Projects!$G$40="Yes",Projects!$C$40=BF$3),", "&amp;Projects!$A$40,"")&amp;IF(AND(Projects!$G$41="Yes",Projects!$C$41=BF$3),", "&amp;Projects!$A$41,"")&amp;IF(AND(Projects!$G$42="Yes",Projects!$C$42=BF$3),", "&amp;Projects!$A$42,"")&amp;IF(AND(Projects!$G$43="Yes",Projects!$C$43=BF$3),", "&amp;Projects!$A$43,"")&amp;IF(AND(Projects!$G$44="Yes",Projects!$C$44=BF$3),", "&amp;Projects!$A$44,"")&amp;IF(AND(Projects!$G$45="Yes",Projects!$C$45=BF$3),", "&amp;Projects!$A$45,"")&amp;IF(AND(Projects!$G$46="Yes",Projects!$C$46=BF$3),", "&amp;Projects!$A$46,""),3,10000)</f>
        <v/>
      </c>
      <c r="BG6" s="17" t="str">
        <f aca="false">MID(IF(AND(Projects!$G$2="Yes",Projects!$C$2=BG$3),", "&amp;Projects!$A$2,"")&amp;IF(AND(Projects!$G$3="Yes",Projects!$C$3=BG$3),", "&amp;Projects!$A$3,"")&amp;IF(AND(Projects!$G$4="Yes",Projects!$C$4=BG$3),", "&amp;Projects!$A$4,"")&amp;IF(AND(Projects!$G$5="Yes",Projects!$C$5=BG$3),", "&amp;Projects!$A$5,"")&amp;IF(AND(Projects!$G$6="Yes",Projects!$C$6=BG$3),", "&amp;Projects!$A$6,"")&amp;IF(AND(Projects!$G$7="Yes",Projects!$C$7=BG$3),", "&amp;Projects!$A$7,"")&amp;IF(AND(Projects!$G$8="Yes",Projects!$C$8=BG$3),", "&amp;Projects!$A$8,"")&amp;IF(AND(Projects!$G$9="Yes",Projects!$C$9=BG$3),", "&amp;Projects!$A$9,"")&amp;IF(AND(Projects!$G$10="Yes",Projects!$C$10=BG$3),", "&amp;Projects!$A$10,"")&amp;IF(AND(Projects!$G$11="Yes",Projects!$C$11=BG$3),", "&amp;Projects!$A$11,"")&amp;IF(AND(Projects!$G$12="Yes",Projects!$C$12=BG$3),", "&amp;Projects!$A$12,"")&amp;IF(AND(Projects!$G$13="Yes",Projects!$C$13=BG$3),", "&amp;Projects!$A$13,"")&amp;IF(AND(Projects!$G$14="Yes",Projects!$C$14=BG$3),", "&amp;Projects!$A$14,"")&amp;IF(AND(Projects!$G$15="Yes",Projects!$C$15=BG$3),", "&amp;Projects!$A$15,"")&amp;IF(AND(Projects!$G$16="Yes",Projects!$C$16=BG$3),", "&amp;Projects!$A$16,"")&amp;IF(AND(Projects!$G$17="Yes",Projects!$C$17=BG$3),", "&amp;Projects!$A$17,"")&amp;IF(AND(Projects!$G$18="Yes",Projects!$C$18=BG$3),", "&amp;Projects!$A$18,"")&amp;IF(AND(Projects!$G$19="Yes",Projects!$C$19=BG$3),", "&amp;Projects!$A$19,"")&amp;IF(AND(Projects!$G$20="Yes",Projects!$C$20=BG$3),", "&amp;Projects!$A$20,"")&amp;IF(AND(Projects!$G$21="Yes",Projects!$C$21=BG$3),", "&amp;Projects!$A$21,"")&amp;IF(AND(Projects!$G$22="Yes",Projects!$C$22=BG$3),", "&amp;Projects!$A$22,"")&amp;IF(AND(Projects!$G$23="Yes",Projects!$C$23=BG$3),", "&amp;Projects!$A$23,"")&amp;IF(AND(Projects!$G$24="Yes",Projects!$C$24=BG$3),", "&amp;Projects!$A$24,"")&amp;IF(AND(Projects!$G$25="Yes",Projects!$C$25=BG$3),", "&amp;Projects!$A$25,"")&amp;IF(AND(Projects!$G$26="Yes",Projects!$C$26=BG$3),", "&amp;Projects!$A$26,"")&amp;IF(AND(Projects!$G$27="Yes",Projects!$C$27=BG$3),", "&amp;Projects!$A$27,"")&amp;IF(AND(Projects!$G$28="Yes",Projects!$C$28=BG$3),", "&amp;Projects!$A$28,"")&amp;IF(AND(Projects!$G$29="Yes",Projects!$C$29=BG$3),", "&amp;Projects!$A$29,"")&amp;IF(AND(Projects!$G$30="Yes",Projects!$C$30=BG$3),", "&amp;Projects!$A$30,"")&amp;IF(AND(Projects!$G$31="Yes",Projects!$C$31=BG$3),", "&amp;Projects!$A$31,"")&amp;IF(AND(Projects!$G$32="Yes",Projects!$C$32=BG$3),", "&amp;Projects!$A$32,"")&amp;IF(AND(Projects!$G$33="Yes",Projects!$C$33=BG$3),", "&amp;Projects!$A$33,"")&amp;IF(AND(Projects!$G$34="Yes",Projects!$C$34=BG$3),", "&amp;Projects!$A$34,"")&amp;IF(AND(Projects!$G$35="Yes",Projects!$C$35=BG$3),", "&amp;Projects!$A$35,"")&amp;IF(AND(Projects!$G$36="Yes",Projects!$C$36=BG$3),", "&amp;Projects!$A$36,"")&amp;IF(AND(Projects!$G$37="Yes",Projects!$C$37=BG$3),", "&amp;Projects!$A$37,"")&amp;IF(AND(Projects!$G$38="Yes",Projects!$C$38=BG$3),", "&amp;Projects!$A$38,"")&amp;IF(AND(Projects!$G$39="Yes",Projects!$C$39=BG$3),", "&amp;Projects!$A$39,"")&amp;IF(AND(Projects!$G$40="Yes",Projects!$C$40=BG$3),", "&amp;Projects!$A$40,"")&amp;IF(AND(Projects!$G$41="Yes",Projects!$C$41=BG$3),", "&amp;Projects!$A$41,"")&amp;IF(AND(Projects!$G$42="Yes",Projects!$C$42=BG$3),", "&amp;Projects!$A$42,"")&amp;IF(AND(Projects!$G$43="Yes",Projects!$C$43=BG$3),", "&amp;Projects!$A$43,"")&amp;IF(AND(Projects!$G$44="Yes",Projects!$C$44=BG$3),", "&amp;Projects!$A$44,"")&amp;IF(AND(Projects!$G$45="Yes",Projects!$C$45=BG$3),", "&amp;Projects!$A$45,"")&amp;IF(AND(Projects!$G$46="Yes",Projects!$C$46=BG$3),", "&amp;Projects!$A$46,""),3,10000)</f>
        <v/>
      </c>
      <c r="BH6" s="17" t="str">
        <f aca="false">MID(IF(AND(Projects!$G$2="Yes",Projects!$C$2=BH$3),", "&amp;Projects!$A$2,"")&amp;IF(AND(Projects!$G$3="Yes",Projects!$C$3=BH$3),", "&amp;Projects!$A$3,"")&amp;IF(AND(Projects!$G$4="Yes",Projects!$C$4=BH$3),", "&amp;Projects!$A$4,"")&amp;IF(AND(Projects!$G$5="Yes",Projects!$C$5=BH$3),", "&amp;Projects!$A$5,"")&amp;IF(AND(Projects!$G$6="Yes",Projects!$C$6=BH$3),", "&amp;Projects!$A$6,"")&amp;IF(AND(Projects!$G$7="Yes",Projects!$C$7=BH$3),", "&amp;Projects!$A$7,"")&amp;IF(AND(Projects!$G$8="Yes",Projects!$C$8=BH$3),", "&amp;Projects!$A$8,"")&amp;IF(AND(Projects!$G$9="Yes",Projects!$C$9=BH$3),", "&amp;Projects!$A$9,"")&amp;IF(AND(Projects!$G$10="Yes",Projects!$C$10=BH$3),", "&amp;Projects!$A$10,"")&amp;IF(AND(Projects!$G$11="Yes",Projects!$C$11=BH$3),", "&amp;Projects!$A$11,"")&amp;IF(AND(Projects!$G$12="Yes",Projects!$C$12=BH$3),", "&amp;Projects!$A$12,"")&amp;IF(AND(Projects!$G$13="Yes",Projects!$C$13=BH$3),", "&amp;Projects!$A$13,"")&amp;IF(AND(Projects!$G$14="Yes",Projects!$C$14=BH$3),", "&amp;Projects!$A$14,"")&amp;IF(AND(Projects!$G$15="Yes",Projects!$C$15=BH$3),", "&amp;Projects!$A$15,"")&amp;IF(AND(Projects!$G$16="Yes",Projects!$C$16=BH$3),", "&amp;Projects!$A$16,"")&amp;IF(AND(Projects!$G$17="Yes",Projects!$C$17=BH$3),", "&amp;Projects!$A$17,"")&amp;IF(AND(Projects!$G$18="Yes",Projects!$C$18=BH$3),", "&amp;Projects!$A$18,"")&amp;IF(AND(Projects!$G$19="Yes",Projects!$C$19=BH$3),", "&amp;Projects!$A$19,"")&amp;IF(AND(Projects!$G$20="Yes",Projects!$C$20=BH$3),", "&amp;Projects!$A$20,"")&amp;IF(AND(Projects!$G$21="Yes",Projects!$C$21=BH$3),", "&amp;Projects!$A$21,"")&amp;IF(AND(Projects!$G$22="Yes",Projects!$C$22=BH$3),", "&amp;Projects!$A$22,"")&amp;IF(AND(Projects!$G$23="Yes",Projects!$C$23=BH$3),", "&amp;Projects!$A$23,"")&amp;IF(AND(Projects!$G$24="Yes",Projects!$C$24=BH$3),", "&amp;Projects!$A$24,"")&amp;IF(AND(Projects!$G$25="Yes",Projects!$C$25=BH$3),", "&amp;Projects!$A$25,"")&amp;IF(AND(Projects!$G$26="Yes",Projects!$C$26=BH$3),", "&amp;Projects!$A$26,"")&amp;IF(AND(Projects!$G$27="Yes",Projects!$C$27=BH$3),", "&amp;Projects!$A$27,"")&amp;IF(AND(Projects!$G$28="Yes",Projects!$C$28=BH$3),", "&amp;Projects!$A$28,"")&amp;IF(AND(Projects!$G$29="Yes",Projects!$C$29=BH$3),", "&amp;Projects!$A$29,"")&amp;IF(AND(Projects!$G$30="Yes",Projects!$C$30=BH$3),", "&amp;Projects!$A$30,"")&amp;IF(AND(Projects!$G$31="Yes",Projects!$C$31=BH$3),", "&amp;Projects!$A$31,"")&amp;IF(AND(Projects!$G$32="Yes",Projects!$C$32=BH$3),", "&amp;Projects!$A$32,"")&amp;IF(AND(Projects!$G$33="Yes",Projects!$C$33=BH$3),", "&amp;Projects!$A$33,"")&amp;IF(AND(Projects!$G$34="Yes",Projects!$C$34=BH$3),", "&amp;Projects!$A$34,"")&amp;IF(AND(Projects!$G$35="Yes",Projects!$C$35=BH$3),", "&amp;Projects!$A$35,"")&amp;IF(AND(Projects!$G$36="Yes",Projects!$C$36=BH$3),", "&amp;Projects!$A$36,"")&amp;IF(AND(Projects!$G$37="Yes",Projects!$C$37=BH$3),", "&amp;Projects!$A$37,"")&amp;IF(AND(Projects!$G$38="Yes",Projects!$C$38=BH$3),", "&amp;Projects!$A$38,"")&amp;IF(AND(Projects!$G$39="Yes",Projects!$C$39=BH$3),", "&amp;Projects!$A$39,"")&amp;IF(AND(Projects!$G$40="Yes",Projects!$C$40=BH$3),", "&amp;Projects!$A$40,"")&amp;IF(AND(Projects!$G$41="Yes",Projects!$C$41=BH$3),", "&amp;Projects!$A$41,"")&amp;IF(AND(Projects!$G$42="Yes",Projects!$C$42=BH$3),", "&amp;Projects!$A$42,"")&amp;IF(AND(Projects!$G$43="Yes",Projects!$C$43=BH$3),", "&amp;Projects!$A$43,"")&amp;IF(AND(Projects!$G$44="Yes",Projects!$C$44=BH$3),", "&amp;Projects!$A$44,"")&amp;IF(AND(Projects!$G$45="Yes",Projects!$C$45=BH$3),", "&amp;Projects!$A$45,"")&amp;IF(AND(Projects!$G$46="Yes",Projects!$C$46=BH$3),", "&amp;Projects!$A$46,""),3,10000)</f>
        <v/>
      </c>
      <c r="BI6" s="17" t="str">
        <f aca="false">MID(IF(AND(Projects!$G$2="Yes",Projects!$C$2=BI$3),", "&amp;Projects!$A$2,"")&amp;IF(AND(Projects!$G$3="Yes",Projects!$C$3=BI$3),", "&amp;Projects!$A$3,"")&amp;IF(AND(Projects!$G$4="Yes",Projects!$C$4=BI$3),", "&amp;Projects!$A$4,"")&amp;IF(AND(Projects!$G$5="Yes",Projects!$C$5=BI$3),", "&amp;Projects!$A$5,"")&amp;IF(AND(Projects!$G$6="Yes",Projects!$C$6=BI$3),", "&amp;Projects!$A$6,"")&amp;IF(AND(Projects!$G$7="Yes",Projects!$C$7=BI$3),", "&amp;Projects!$A$7,"")&amp;IF(AND(Projects!$G$8="Yes",Projects!$C$8=BI$3),", "&amp;Projects!$A$8,"")&amp;IF(AND(Projects!$G$9="Yes",Projects!$C$9=BI$3),", "&amp;Projects!$A$9,"")&amp;IF(AND(Projects!$G$10="Yes",Projects!$C$10=BI$3),", "&amp;Projects!$A$10,"")&amp;IF(AND(Projects!$G$11="Yes",Projects!$C$11=BI$3),", "&amp;Projects!$A$11,"")&amp;IF(AND(Projects!$G$12="Yes",Projects!$C$12=BI$3),", "&amp;Projects!$A$12,"")&amp;IF(AND(Projects!$G$13="Yes",Projects!$C$13=BI$3),", "&amp;Projects!$A$13,"")&amp;IF(AND(Projects!$G$14="Yes",Projects!$C$14=BI$3),", "&amp;Projects!$A$14,"")&amp;IF(AND(Projects!$G$15="Yes",Projects!$C$15=BI$3),", "&amp;Projects!$A$15,"")&amp;IF(AND(Projects!$G$16="Yes",Projects!$C$16=BI$3),", "&amp;Projects!$A$16,"")&amp;IF(AND(Projects!$G$17="Yes",Projects!$C$17=BI$3),", "&amp;Projects!$A$17,"")&amp;IF(AND(Projects!$G$18="Yes",Projects!$C$18=BI$3),", "&amp;Projects!$A$18,"")&amp;IF(AND(Projects!$G$19="Yes",Projects!$C$19=BI$3),", "&amp;Projects!$A$19,"")&amp;IF(AND(Projects!$G$20="Yes",Projects!$C$20=BI$3),", "&amp;Projects!$A$20,"")&amp;IF(AND(Projects!$G$21="Yes",Projects!$C$21=BI$3),", "&amp;Projects!$A$21,"")&amp;IF(AND(Projects!$G$22="Yes",Projects!$C$22=BI$3),", "&amp;Projects!$A$22,"")&amp;IF(AND(Projects!$G$23="Yes",Projects!$C$23=BI$3),", "&amp;Projects!$A$23,"")&amp;IF(AND(Projects!$G$24="Yes",Projects!$C$24=BI$3),", "&amp;Projects!$A$24,"")&amp;IF(AND(Projects!$G$25="Yes",Projects!$C$25=BI$3),", "&amp;Projects!$A$25,"")&amp;IF(AND(Projects!$G$26="Yes",Projects!$C$26=BI$3),", "&amp;Projects!$A$26,"")&amp;IF(AND(Projects!$G$27="Yes",Projects!$C$27=BI$3),", "&amp;Projects!$A$27,"")&amp;IF(AND(Projects!$G$28="Yes",Projects!$C$28=BI$3),", "&amp;Projects!$A$28,"")&amp;IF(AND(Projects!$G$29="Yes",Projects!$C$29=BI$3),", "&amp;Projects!$A$29,"")&amp;IF(AND(Projects!$G$30="Yes",Projects!$C$30=BI$3),", "&amp;Projects!$A$30,"")&amp;IF(AND(Projects!$G$31="Yes",Projects!$C$31=BI$3),", "&amp;Projects!$A$31,"")&amp;IF(AND(Projects!$G$32="Yes",Projects!$C$32=BI$3),", "&amp;Projects!$A$32,"")&amp;IF(AND(Projects!$G$33="Yes",Projects!$C$33=BI$3),", "&amp;Projects!$A$33,"")&amp;IF(AND(Projects!$G$34="Yes",Projects!$C$34=BI$3),", "&amp;Projects!$A$34,"")&amp;IF(AND(Projects!$G$35="Yes",Projects!$C$35=BI$3),", "&amp;Projects!$A$35,"")&amp;IF(AND(Projects!$G$36="Yes",Projects!$C$36=BI$3),", "&amp;Projects!$A$36,"")&amp;IF(AND(Projects!$G$37="Yes",Projects!$C$37=BI$3),", "&amp;Projects!$A$37,"")&amp;IF(AND(Projects!$G$38="Yes",Projects!$C$38=BI$3),", "&amp;Projects!$A$38,"")&amp;IF(AND(Projects!$G$39="Yes",Projects!$C$39=BI$3),", "&amp;Projects!$A$39,"")&amp;IF(AND(Projects!$G$40="Yes",Projects!$C$40=BI$3),", "&amp;Projects!$A$40,"")&amp;IF(AND(Projects!$G$41="Yes",Projects!$C$41=BI$3),", "&amp;Projects!$A$41,"")&amp;IF(AND(Projects!$G$42="Yes",Projects!$C$42=BI$3),", "&amp;Projects!$A$42,"")&amp;IF(AND(Projects!$G$43="Yes",Projects!$C$43=BI$3),", "&amp;Projects!$A$43,"")&amp;IF(AND(Projects!$G$44="Yes",Projects!$C$44=BI$3),", "&amp;Projects!$A$44,"")&amp;IF(AND(Projects!$G$45="Yes",Projects!$C$45=BI$3),", "&amp;Projects!$A$45,"")&amp;IF(AND(Projects!$G$46="Yes",Projects!$C$46=BI$3),", "&amp;Projects!$A$46,""),3,10000)</f>
        <v/>
      </c>
      <c r="BJ6" s="17" t="str">
        <f aca="false">MID(IF(AND(Projects!$G$2="Yes",Projects!$C$2=BJ$3),", "&amp;Projects!$A$2,"")&amp;IF(AND(Projects!$G$3="Yes",Projects!$C$3=BJ$3),", "&amp;Projects!$A$3,"")&amp;IF(AND(Projects!$G$4="Yes",Projects!$C$4=BJ$3),", "&amp;Projects!$A$4,"")&amp;IF(AND(Projects!$G$5="Yes",Projects!$C$5=BJ$3),", "&amp;Projects!$A$5,"")&amp;IF(AND(Projects!$G$6="Yes",Projects!$C$6=BJ$3),", "&amp;Projects!$A$6,"")&amp;IF(AND(Projects!$G$7="Yes",Projects!$C$7=BJ$3),", "&amp;Projects!$A$7,"")&amp;IF(AND(Projects!$G$8="Yes",Projects!$C$8=BJ$3),", "&amp;Projects!$A$8,"")&amp;IF(AND(Projects!$G$9="Yes",Projects!$C$9=BJ$3),", "&amp;Projects!$A$9,"")&amp;IF(AND(Projects!$G$10="Yes",Projects!$C$10=BJ$3),", "&amp;Projects!$A$10,"")&amp;IF(AND(Projects!$G$11="Yes",Projects!$C$11=BJ$3),", "&amp;Projects!$A$11,"")&amp;IF(AND(Projects!$G$12="Yes",Projects!$C$12=BJ$3),", "&amp;Projects!$A$12,"")&amp;IF(AND(Projects!$G$13="Yes",Projects!$C$13=BJ$3),", "&amp;Projects!$A$13,"")&amp;IF(AND(Projects!$G$14="Yes",Projects!$C$14=BJ$3),", "&amp;Projects!$A$14,"")&amp;IF(AND(Projects!$G$15="Yes",Projects!$C$15=BJ$3),", "&amp;Projects!$A$15,"")&amp;IF(AND(Projects!$G$16="Yes",Projects!$C$16=BJ$3),", "&amp;Projects!$A$16,"")&amp;IF(AND(Projects!$G$17="Yes",Projects!$C$17=BJ$3),", "&amp;Projects!$A$17,"")&amp;IF(AND(Projects!$G$18="Yes",Projects!$C$18=BJ$3),", "&amp;Projects!$A$18,"")&amp;IF(AND(Projects!$G$19="Yes",Projects!$C$19=BJ$3),", "&amp;Projects!$A$19,"")&amp;IF(AND(Projects!$G$20="Yes",Projects!$C$20=BJ$3),", "&amp;Projects!$A$20,"")&amp;IF(AND(Projects!$G$21="Yes",Projects!$C$21=BJ$3),", "&amp;Projects!$A$21,"")&amp;IF(AND(Projects!$G$22="Yes",Projects!$C$22=BJ$3),", "&amp;Projects!$A$22,"")&amp;IF(AND(Projects!$G$23="Yes",Projects!$C$23=BJ$3),", "&amp;Projects!$A$23,"")&amp;IF(AND(Projects!$G$24="Yes",Projects!$C$24=BJ$3),", "&amp;Projects!$A$24,"")&amp;IF(AND(Projects!$G$25="Yes",Projects!$C$25=BJ$3),", "&amp;Projects!$A$25,"")&amp;IF(AND(Projects!$G$26="Yes",Projects!$C$26=BJ$3),", "&amp;Projects!$A$26,"")&amp;IF(AND(Projects!$G$27="Yes",Projects!$C$27=BJ$3),", "&amp;Projects!$A$27,"")&amp;IF(AND(Projects!$G$28="Yes",Projects!$C$28=BJ$3),", "&amp;Projects!$A$28,"")&amp;IF(AND(Projects!$G$29="Yes",Projects!$C$29=BJ$3),", "&amp;Projects!$A$29,"")&amp;IF(AND(Projects!$G$30="Yes",Projects!$C$30=BJ$3),", "&amp;Projects!$A$30,"")&amp;IF(AND(Projects!$G$31="Yes",Projects!$C$31=BJ$3),", "&amp;Projects!$A$31,"")&amp;IF(AND(Projects!$G$32="Yes",Projects!$C$32=BJ$3),", "&amp;Projects!$A$32,"")&amp;IF(AND(Projects!$G$33="Yes",Projects!$C$33=BJ$3),", "&amp;Projects!$A$33,"")&amp;IF(AND(Projects!$G$34="Yes",Projects!$C$34=BJ$3),", "&amp;Projects!$A$34,"")&amp;IF(AND(Projects!$G$35="Yes",Projects!$C$35=BJ$3),", "&amp;Projects!$A$35,"")&amp;IF(AND(Projects!$G$36="Yes",Projects!$C$36=BJ$3),", "&amp;Projects!$A$36,"")&amp;IF(AND(Projects!$G$37="Yes",Projects!$C$37=BJ$3),", "&amp;Projects!$A$37,"")&amp;IF(AND(Projects!$G$38="Yes",Projects!$C$38=BJ$3),", "&amp;Projects!$A$38,"")&amp;IF(AND(Projects!$G$39="Yes",Projects!$C$39=BJ$3),", "&amp;Projects!$A$39,"")&amp;IF(AND(Projects!$G$40="Yes",Projects!$C$40=BJ$3),", "&amp;Projects!$A$40,"")&amp;IF(AND(Projects!$G$41="Yes",Projects!$C$41=BJ$3),", "&amp;Projects!$A$41,"")&amp;IF(AND(Projects!$G$42="Yes",Projects!$C$42=BJ$3),", "&amp;Projects!$A$42,"")&amp;IF(AND(Projects!$G$43="Yes",Projects!$C$43=BJ$3),", "&amp;Projects!$A$43,"")&amp;IF(AND(Projects!$G$44="Yes",Projects!$C$44=BJ$3),", "&amp;Projects!$A$44,"")&amp;IF(AND(Projects!$G$45="Yes",Projects!$C$45=BJ$3),", "&amp;Projects!$A$45,"")&amp;IF(AND(Projects!$G$46="Yes",Projects!$C$46=BJ$3),", "&amp;Projects!$A$46,""),3,10000)</f>
        <v/>
      </c>
      <c r="BK6" s="17" t="str">
        <f aca="false">MID(IF(AND(Projects!$G$2="Yes",Projects!$C$2=BK$3),", "&amp;Projects!$A$2,"")&amp;IF(AND(Projects!$G$3="Yes",Projects!$C$3=BK$3),", "&amp;Projects!$A$3,"")&amp;IF(AND(Projects!$G$4="Yes",Projects!$C$4=BK$3),", "&amp;Projects!$A$4,"")&amp;IF(AND(Projects!$G$5="Yes",Projects!$C$5=BK$3),", "&amp;Projects!$A$5,"")&amp;IF(AND(Projects!$G$6="Yes",Projects!$C$6=BK$3),", "&amp;Projects!$A$6,"")&amp;IF(AND(Projects!$G$7="Yes",Projects!$C$7=BK$3),", "&amp;Projects!$A$7,"")&amp;IF(AND(Projects!$G$8="Yes",Projects!$C$8=BK$3),", "&amp;Projects!$A$8,"")&amp;IF(AND(Projects!$G$9="Yes",Projects!$C$9=BK$3),", "&amp;Projects!$A$9,"")&amp;IF(AND(Projects!$G$10="Yes",Projects!$C$10=BK$3),", "&amp;Projects!$A$10,"")&amp;IF(AND(Projects!$G$11="Yes",Projects!$C$11=BK$3),", "&amp;Projects!$A$11,"")&amp;IF(AND(Projects!$G$12="Yes",Projects!$C$12=BK$3),", "&amp;Projects!$A$12,"")&amp;IF(AND(Projects!$G$13="Yes",Projects!$C$13=BK$3),", "&amp;Projects!$A$13,"")&amp;IF(AND(Projects!$G$14="Yes",Projects!$C$14=BK$3),", "&amp;Projects!$A$14,"")&amp;IF(AND(Projects!$G$15="Yes",Projects!$C$15=BK$3),", "&amp;Projects!$A$15,"")&amp;IF(AND(Projects!$G$16="Yes",Projects!$C$16=BK$3),", "&amp;Projects!$A$16,"")&amp;IF(AND(Projects!$G$17="Yes",Projects!$C$17=BK$3),", "&amp;Projects!$A$17,"")&amp;IF(AND(Projects!$G$18="Yes",Projects!$C$18=BK$3),", "&amp;Projects!$A$18,"")&amp;IF(AND(Projects!$G$19="Yes",Projects!$C$19=BK$3),", "&amp;Projects!$A$19,"")&amp;IF(AND(Projects!$G$20="Yes",Projects!$C$20=BK$3),", "&amp;Projects!$A$20,"")&amp;IF(AND(Projects!$G$21="Yes",Projects!$C$21=BK$3),", "&amp;Projects!$A$21,"")&amp;IF(AND(Projects!$G$22="Yes",Projects!$C$22=BK$3),", "&amp;Projects!$A$22,"")&amp;IF(AND(Projects!$G$23="Yes",Projects!$C$23=BK$3),", "&amp;Projects!$A$23,"")&amp;IF(AND(Projects!$G$24="Yes",Projects!$C$24=BK$3),", "&amp;Projects!$A$24,"")&amp;IF(AND(Projects!$G$25="Yes",Projects!$C$25=BK$3),", "&amp;Projects!$A$25,"")&amp;IF(AND(Projects!$G$26="Yes",Projects!$C$26=BK$3),", "&amp;Projects!$A$26,"")&amp;IF(AND(Projects!$G$27="Yes",Projects!$C$27=BK$3),", "&amp;Projects!$A$27,"")&amp;IF(AND(Projects!$G$28="Yes",Projects!$C$28=BK$3),", "&amp;Projects!$A$28,"")&amp;IF(AND(Projects!$G$29="Yes",Projects!$C$29=BK$3),", "&amp;Projects!$A$29,"")&amp;IF(AND(Projects!$G$30="Yes",Projects!$C$30=BK$3),", "&amp;Projects!$A$30,"")&amp;IF(AND(Projects!$G$31="Yes",Projects!$C$31=BK$3),", "&amp;Projects!$A$31,"")&amp;IF(AND(Projects!$G$32="Yes",Projects!$C$32=BK$3),", "&amp;Projects!$A$32,"")&amp;IF(AND(Projects!$G$33="Yes",Projects!$C$33=BK$3),", "&amp;Projects!$A$33,"")&amp;IF(AND(Projects!$G$34="Yes",Projects!$C$34=BK$3),", "&amp;Projects!$A$34,"")&amp;IF(AND(Projects!$G$35="Yes",Projects!$C$35=BK$3),", "&amp;Projects!$A$35,"")&amp;IF(AND(Projects!$G$36="Yes",Projects!$C$36=BK$3),", "&amp;Projects!$A$36,"")&amp;IF(AND(Projects!$G$37="Yes",Projects!$C$37=BK$3),", "&amp;Projects!$A$37,"")&amp;IF(AND(Projects!$G$38="Yes",Projects!$C$38=BK$3),", "&amp;Projects!$A$38,"")&amp;IF(AND(Projects!$G$39="Yes",Projects!$C$39=BK$3),", "&amp;Projects!$A$39,"")&amp;IF(AND(Projects!$G$40="Yes",Projects!$C$40=BK$3),", "&amp;Projects!$A$40,"")&amp;IF(AND(Projects!$G$41="Yes",Projects!$C$41=BK$3),", "&amp;Projects!$A$41,"")&amp;IF(AND(Projects!$G$42="Yes",Projects!$C$42=BK$3),", "&amp;Projects!$A$42,"")&amp;IF(AND(Projects!$G$43="Yes",Projects!$C$43=BK$3),", "&amp;Projects!$A$43,"")&amp;IF(AND(Projects!$G$44="Yes",Projects!$C$44=BK$3),", "&amp;Projects!$A$44,"")&amp;IF(AND(Projects!$G$45="Yes",Projects!$C$45=BK$3),", "&amp;Projects!$A$45,"")&amp;IF(AND(Projects!$G$46="Yes",Projects!$C$46=BK$3),", "&amp;Projects!$A$46,""),3,10000)</f>
        <v/>
      </c>
      <c r="BL6" s="17" t="str">
        <f aca="false">MID(IF(AND(Projects!$G$2="Yes",Projects!$C$2=BL$3),", "&amp;Projects!$A$2,"")&amp;IF(AND(Projects!$G$3="Yes",Projects!$C$3=BL$3),", "&amp;Projects!$A$3,"")&amp;IF(AND(Projects!$G$4="Yes",Projects!$C$4=BL$3),", "&amp;Projects!$A$4,"")&amp;IF(AND(Projects!$G$5="Yes",Projects!$C$5=BL$3),", "&amp;Projects!$A$5,"")&amp;IF(AND(Projects!$G$6="Yes",Projects!$C$6=BL$3),", "&amp;Projects!$A$6,"")&amp;IF(AND(Projects!$G$7="Yes",Projects!$C$7=BL$3),", "&amp;Projects!$A$7,"")&amp;IF(AND(Projects!$G$8="Yes",Projects!$C$8=BL$3),", "&amp;Projects!$A$8,"")&amp;IF(AND(Projects!$G$9="Yes",Projects!$C$9=BL$3),", "&amp;Projects!$A$9,"")&amp;IF(AND(Projects!$G$10="Yes",Projects!$C$10=BL$3),", "&amp;Projects!$A$10,"")&amp;IF(AND(Projects!$G$11="Yes",Projects!$C$11=BL$3),", "&amp;Projects!$A$11,"")&amp;IF(AND(Projects!$G$12="Yes",Projects!$C$12=BL$3),", "&amp;Projects!$A$12,"")&amp;IF(AND(Projects!$G$13="Yes",Projects!$C$13=BL$3),", "&amp;Projects!$A$13,"")&amp;IF(AND(Projects!$G$14="Yes",Projects!$C$14=BL$3),", "&amp;Projects!$A$14,"")&amp;IF(AND(Projects!$G$15="Yes",Projects!$C$15=BL$3),", "&amp;Projects!$A$15,"")&amp;IF(AND(Projects!$G$16="Yes",Projects!$C$16=BL$3),", "&amp;Projects!$A$16,"")&amp;IF(AND(Projects!$G$17="Yes",Projects!$C$17=BL$3),", "&amp;Projects!$A$17,"")&amp;IF(AND(Projects!$G$18="Yes",Projects!$C$18=BL$3),", "&amp;Projects!$A$18,"")&amp;IF(AND(Projects!$G$19="Yes",Projects!$C$19=BL$3),", "&amp;Projects!$A$19,"")&amp;IF(AND(Projects!$G$20="Yes",Projects!$C$20=BL$3),", "&amp;Projects!$A$20,"")&amp;IF(AND(Projects!$G$21="Yes",Projects!$C$21=BL$3),", "&amp;Projects!$A$21,"")&amp;IF(AND(Projects!$G$22="Yes",Projects!$C$22=BL$3),", "&amp;Projects!$A$22,"")&amp;IF(AND(Projects!$G$23="Yes",Projects!$C$23=BL$3),", "&amp;Projects!$A$23,"")&amp;IF(AND(Projects!$G$24="Yes",Projects!$C$24=BL$3),", "&amp;Projects!$A$24,"")&amp;IF(AND(Projects!$G$25="Yes",Projects!$C$25=BL$3),", "&amp;Projects!$A$25,"")&amp;IF(AND(Projects!$G$26="Yes",Projects!$C$26=BL$3),", "&amp;Projects!$A$26,"")&amp;IF(AND(Projects!$G$27="Yes",Projects!$C$27=BL$3),", "&amp;Projects!$A$27,"")&amp;IF(AND(Projects!$G$28="Yes",Projects!$C$28=BL$3),", "&amp;Projects!$A$28,"")&amp;IF(AND(Projects!$G$29="Yes",Projects!$C$29=BL$3),", "&amp;Projects!$A$29,"")&amp;IF(AND(Projects!$G$30="Yes",Projects!$C$30=BL$3),", "&amp;Projects!$A$30,"")&amp;IF(AND(Projects!$G$31="Yes",Projects!$C$31=BL$3),", "&amp;Projects!$A$31,"")&amp;IF(AND(Projects!$G$32="Yes",Projects!$C$32=BL$3),", "&amp;Projects!$A$32,"")&amp;IF(AND(Projects!$G$33="Yes",Projects!$C$33=BL$3),", "&amp;Projects!$A$33,"")&amp;IF(AND(Projects!$G$34="Yes",Projects!$C$34=BL$3),", "&amp;Projects!$A$34,"")&amp;IF(AND(Projects!$G$35="Yes",Projects!$C$35=BL$3),", "&amp;Projects!$A$35,"")&amp;IF(AND(Projects!$G$36="Yes",Projects!$C$36=BL$3),", "&amp;Projects!$A$36,"")&amp;IF(AND(Projects!$G$37="Yes",Projects!$C$37=BL$3),", "&amp;Projects!$A$37,"")&amp;IF(AND(Projects!$G$38="Yes",Projects!$C$38=BL$3),", "&amp;Projects!$A$38,"")&amp;IF(AND(Projects!$G$39="Yes",Projects!$C$39=BL$3),", "&amp;Projects!$A$39,"")&amp;IF(AND(Projects!$G$40="Yes",Projects!$C$40=BL$3),", "&amp;Projects!$A$40,"")&amp;IF(AND(Projects!$G$41="Yes",Projects!$C$41=BL$3),", "&amp;Projects!$A$41,"")&amp;IF(AND(Projects!$G$42="Yes",Projects!$C$42=BL$3),", "&amp;Projects!$A$42,"")&amp;IF(AND(Projects!$G$43="Yes",Projects!$C$43=BL$3),", "&amp;Projects!$A$43,"")&amp;IF(AND(Projects!$G$44="Yes",Projects!$C$44=BL$3),", "&amp;Projects!$A$44,"")&amp;IF(AND(Projects!$G$45="Yes",Projects!$C$45=BL$3),", "&amp;Projects!$A$45,"")&amp;IF(AND(Projects!$G$46="Yes",Projects!$C$46=BL$3),", "&amp;Projects!$A$46,""),3,10000)</f>
        <v/>
      </c>
      <c r="BM6" s="17" t="str">
        <f aca="false">MID(IF(AND(Projects!$G$2="Yes",Projects!$C$2=BM$3),", "&amp;Projects!$A$2,"")&amp;IF(AND(Projects!$G$3="Yes",Projects!$C$3=BM$3),", "&amp;Projects!$A$3,"")&amp;IF(AND(Projects!$G$4="Yes",Projects!$C$4=BM$3),", "&amp;Projects!$A$4,"")&amp;IF(AND(Projects!$G$5="Yes",Projects!$C$5=BM$3),", "&amp;Projects!$A$5,"")&amp;IF(AND(Projects!$G$6="Yes",Projects!$C$6=BM$3),", "&amp;Projects!$A$6,"")&amp;IF(AND(Projects!$G$7="Yes",Projects!$C$7=BM$3),", "&amp;Projects!$A$7,"")&amp;IF(AND(Projects!$G$8="Yes",Projects!$C$8=BM$3),", "&amp;Projects!$A$8,"")&amp;IF(AND(Projects!$G$9="Yes",Projects!$C$9=BM$3),", "&amp;Projects!$A$9,"")&amp;IF(AND(Projects!$G$10="Yes",Projects!$C$10=BM$3),", "&amp;Projects!$A$10,"")&amp;IF(AND(Projects!$G$11="Yes",Projects!$C$11=BM$3),", "&amp;Projects!$A$11,"")&amp;IF(AND(Projects!$G$12="Yes",Projects!$C$12=BM$3),", "&amp;Projects!$A$12,"")&amp;IF(AND(Projects!$G$13="Yes",Projects!$C$13=BM$3),", "&amp;Projects!$A$13,"")&amp;IF(AND(Projects!$G$14="Yes",Projects!$C$14=BM$3),", "&amp;Projects!$A$14,"")&amp;IF(AND(Projects!$G$15="Yes",Projects!$C$15=BM$3),", "&amp;Projects!$A$15,"")&amp;IF(AND(Projects!$G$16="Yes",Projects!$C$16=BM$3),", "&amp;Projects!$A$16,"")&amp;IF(AND(Projects!$G$17="Yes",Projects!$C$17=BM$3),", "&amp;Projects!$A$17,"")&amp;IF(AND(Projects!$G$18="Yes",Projects!$C$18=BM$3),", "&amp;Projects!$A$18,"")&amp;IF(AND(Projects!$G$19="Yes",Projects!$C$19=BM$3),", "&amp;Projects!$A$19,"")&amp;IF(AND(Projects!$G$20="Yes",Projects!$C$20=BM$3),", "&amp;Projects!$A$20,"")&amp;IF(AND(Projects!$G$21="Yes",Projects!$C$21=BM$3),", "&amp;Projects!$A$21,"")&amp;IF(AND(Projects!$G$22="Yes",Projects!$C$22=BM$3),", "&amp;Projects!$A$22,"")&amp;IF(AND(Projects!$G$23="Yes",Projects!$C$23=BM$3),", "&amp;Projects!$A$23,"")&amp;IF(AND(Projects!$G$24="Yes",Projects!$C$24=BM$3),", "&amp;Projects!$A$24,"")&amp;IF(AND(Projects!$G$25="Yes",Projects!$C$25=BM$3),", "&amp;Projects!$A$25,"")&amp;IF(AND(Projects!$G$26="Yes",Projects!$C$26=BM$3),", "&amp;Projects!$A$26,"")&amp;IF(AND(Projects!$G$27="Yes",Projects!$C$27=BM$3),", "&amp;Projects!$A$27,"")&amp;IF(AND(Projects!$G$28="Yes",Projects!$C$28=BM$3),", "&amp;Projects!$A$28,"")&amp;IF(AND(Projects!$G$29="Yes",Projects!$C$29=BM$3),", "&amp;Projects!$A$29,"")&amp;IF(AND(Projects!$G$30="Yes",Projects!$C$30=BM$3),", "&amp;Projects!$A$30,"")&amp;IF(AND(Projects!$G$31="Yes",Projects!$C$31=BM$3),", "&amp;Projects!$A$31,"")&amp;IF(AND(Projects!$G$32="Yes",Projects!$C$32=BM$3),", "&amp;Projects!$A$32,"")&amp;IF(AND(Projects!$G$33="Yes",Projects!$C$33=BM$3),", "&amp;Projects!$A$33,"")&amp;IF(AND(Projects!$G$34="Yes",Projects!$C$34=BM$3),", "&amp;Projects!$A$34,"")&amp;IF(AND(Projects!$G$35="Yes",Projects!$C$35=BM$3),", "&amp;Projects!$A$35,"")&amp;IF(AND(Projects!$G$36="Yes",Projects!$C$36=BM$3),", "&amp;Projects!$A$36,"")&amp;IF(AND(Projects!$G$37="Yes",Projects!$C$37=BM$3),", "&amp;Projects!$A$37,"")&amp;IF(AND(Projects!$G$38="Yes",Projects!$C$38=BM$3),", "&amp;Projects!$A$38,"")&amp;IF(AND(Projects!$G$39="Yes",Projects!$C$39=BM$3),", "&amp;Projects!$A$39,"")&amp;IF(AND(Projects!$G$40="Yes",Projects!$C$40=BM$3),", "&amp;Projects!$A$40,"")&amp;IF(AND(Projects!$G$41="Yes",Projects!$C$41=BM$3),", "&amp;Projects!$A$41,"")&amp;IF(AND(Projects!$G$42="Yes",Projects!$C$42=BM$3),", "&amp;Projects!$A$42,"")&amp;IF(AND(Projects!$G$43="Yes",Projects!$C$43=BM$3),", "&amp;Projects!$A$43,"")&amp;IF(AND(Projects!$G$44="Yes",Projects!$C$44=BM$3),", "&amp;Projects!$A$44,"")&amp;IF(AND(Projects!$G$45="Yes",Projects!$C$45=BM$3),", "&amp;Projects!$A$45,"")&amp;IF(AND(Projects!$G$46="Yes",Projects!$C$46=BM$3),", "&amp;Projects!$A$46,""),3,10000)</f>
        <v/>
      </c>
      <c r="BN6" s="17" t="str">
        <f aca="false">MID(IF(AND(Projects!$G$2="Yes",Projects!$C$2=BN$3),", "&amp;Projects!$A$2,"")&amp;IF(AND(Projects!$G$3="Yes",Projects!$C$3=BN$3),", "&amp;Projects!$A$3,"")&amp;IF(AND(Projects!$G$4="Yes",Projects!$C$4=BN$3),", "&amp;Projects!$A$4,"")&amp;IF(AND(Projects!$G$5="Yes",Projects!$C$5=BN$3),", "&amp;Projects!$A$5,"")&amp;IF(AND(Projects!$G$6="Yes",Projects!$C$6=BN$3),", "&amp;Projects!$A$6,"")&amp;IF(AND(Projects!$G$7="Yes",Projects!$C$7=BN$3),", "&amp;Projects!$A$7,"")&amp;IF(AND(Projects!$G$8="Yes",Projects!$C$8=BN$3),", "&amp;Projects!$A$8,"")&amp;IF(AND(Projects!$G$9="Yes",Projects!$C$9=BN$3),", "&amp;Projects!$A$9,"")&amp;IF(AND(Projects!$G$10="Yes",Projects!$C$10=BN$3),", "&amp;Projects!$A$10,"")&amp;IF(AND(Projects!$G$11="Yes",Projects!$C$11=BN$3),", "&amp;Projects!$A$11,"")&amp;IF(AND(Projects!$G$12="Yes",Projects!$C$12=BN$3),", "&amp;Projects!$A$12,"")&amp;IF(AND(Projects!$G$13="Yes",Projects!$C$13=BN$3),", "&amp;Projects!$A$13,"")&amp;IF(AND(Projects!$G$14="Yes",Projects!$C$14=BN$3),", "&amp;Projects!$A$14,"")&amp;IF(AND(Projects!$G$15="Yes",Projects!$C$15=BN$3),", "&amp;Projects!$A$15,"")&amp;IF(AND(Projects!$G$16="Yes",Projects!$C$16=BN$3),", "&amp;Projects!$A$16,"")&amp;IF(AND(Projects!$G$17="Yes",Projects!$C$17=BN$3),", "&amp;Projects!$A$17,"")&amp;IF(AND(Projects!$G$18="Yes",Projects!$C$18=BN$3),", "&amp;Projects!$A$18,"")&amp;IF(AND(Projects!$G$19="Yes",Projects!$C$19=BN$3),", "&amp;Projects!$A$19,"")&amp;IF(AND(Projects!$G$20="Yes",Projects!$C$20=BN$3),", "&amp;Projects!$A$20,"")&amp;IF(AND(Projects!$G$21="Yes",Projects!$C$21=BN$3),", "&amp;Projects!$A$21,"")&amp;IF(AND(Projects!$G$22="Yes",Projects!$C$22=BN$3),", "&amp;Projects!$A$22,"")&amp;IF(AND(Projects!$G$23="Yes",Projects!$C$23=BN$3),", "&amp;Projects!$A$23,"")&amp;IF(AND(Projects!$G$24="Yes",Projects!$C$24=BN$3),", "&amp;Projects!$A$24,"")&amp;IF(AND(Projects!$G$25="Yes",Projects!$C$25=BN$3),", "&amp;Projects!$A$25,"")&amp;IF(AND(Projects!$G$26="Yes",Projects!$C$26=BN$3),", "&amp;Projects!$A$26,"")&amp;IF(AND(Projects!$G$27="Yes",Projects!$C$27=BN$3),", "&amp;Projects!$A$27,"")&amp;IF(AND(Projects!$G$28="Yes",Projects!$C$28=BN$3),", "&amp;Projects!$A$28,"")&amp;IF(AND(Projects!$G$29="Yes",Projects!$C$29=BN$3),", "&amp;Projects!$A$29,"")&amp;IF(AND(Projects!$G$30="Yes",Projects!$C$30=BN$3),", "&amp;Projects!$A$30,"")&amp;IF(AND(Projects!$G$31="Yes",Projects!$C$31=BN$3),", "&amp;Projects!$A$31,"")&amp;IF(AND(Projects!$G$32="Yes",Projects!$C$32=BN$3),", "&amp;Projects!$A$32,"")&amp;IF(AND(Projects!$G$33="Yes",Projects!$C$33=BN$3),", "&amp;Projects!$A$33,"")&amp;IF(AND(Projects!$G$34="Yes",Projects!$C$34=BN$3),", "&amp;Projects!$A$34,"")&amp;IF(AND(Projects!$G$35="Yes",Projects!$C$35=BN$3),", "&amp;Projects!$A$35,"")&amp;IF(AND(Projects!$G$36="Yes",Projects!$C$36=BN$3),", "&amp;Projects!$A$36,"")&amp;IF(AND(Projects!$G$37="Yes",Projects!$C$37=BN$3),", "&amp;Projects!$A$37,"")&amp;IF(AND(Projects!$G$38="Yes",Projects!$C$38=BN$3),", "&amp;Projects!$A$38,"")&amp;IF(AND(Projects!$G$39="Yes",Projects!$C$39=BN$3),", "&amp;Projects!$A$39,"")&amp;IF(AND(Projects!$G$40="Yes",Projects!$C$40=BN$3),", "&amp;Projects!$A$40,"")&amp;IF(AND(Projects!$G$41="Yes",Projects!$C$41=BN$3),", "&amp;Projects!$A$41,"")&amp;IF(AND(Projects!$G$42="Yes",Projects!$C$42=BN$3),", "&amp;Projects!$A$42,"")&amp;IF(AND(Projects!$G$43="Yes",Projects!$C$43=BN$3),", "&amp;Projects!$A$43,"")&amp;IF(AND(Projects!$G$44="Yes",Projects!$C$44=BN$3),", "&amp;Projects!$A$44,"")&amp;IF(AND(Projects!$G$45="Yes",Projects!$C$45=BN$3),", "&amp;Projects!$A$45,"")&amp;IF(AND(Projects!$G$46="Yes",Projects!$C$46=BN$3),", "&amp;Projects!$A$46,""),3,10000)</f>
        <v/>
      </c>
      <c r="BO6" s="17" t="str">
        <f aca="false">MID(IF(AND(Projects!$G$2="Yes",Projects!$C$2=BO$3),", "&amp;Projects!$A$2,"")&amp;IF(AND(Projects!$G$3="Yes",Projects!$C$3=BO$3),", "&amp;Projects!$A$3,"")&amp;IF(AND(Projects!$G$4="Yes",Projects!$C$4=BO$3),", "&amp;Projects!$A$4,"")&amp;IF(AND(Projects!$G$5="Yes",Projects!$C$5=BO$3),", "&amp;Projects!$A$5,"")&amp;IF(AND(Projects!$G$6="Yes",Projects!$C$6=BO$3),", "&amp;Projects!$A$6,"")&amp;IF(AND(Projects!$G$7="Yes",Projects!$C$7=BO$3),", "&amp;Projects!$A$7,"")&amp;IF(AND(Projects!$G$8="Yes",Projects!$C$8=BO$3),", "&amp;Projects!$A$8,"")&amp;IF(AND(Projects!$G$9="Yes",Projects!$C$9=BO$3),", "&amp;Projects!$A$9,"")&amp;IF(AND(Projects!$G$10="Yes",Projects!$C$10=BO$3),", "&amp;Projects!$A$10,"")&amp;IF(AND(Projects!$G$11="Yes",Projects!$C$11=BO$3),", "&amp;Projects!$A$11,"")&amp;IF(AND(Projects!$G$12="Yes",Projects!$C$12=BO$3),", "&amp;Projects!$A$12,"")&amp;IF(AND(Projects!$G$13="Yes",Projects!$C$13=BO$3),", "&amp;Projects!$A$13,"")&amp;IF(AND(Projects!$G$14="Yes",Projects!$C$14=BO$3),", "&amp;Projects!$A$14,"")&amp;IF(AND(Projects!$G$15="Yes",Projects!$C$15=BO$3),", "&amp;Projects!$A$15,"")&amp;IF(AND(Projects!$G$16="Yes",Projects!$C$16=BO$3),", "&amp;Projects!$A$16,"")&amp;IF(AND(Projects!$G$17="Yes",Projects!$C$17=BO$3),", "&amp;Projects!$A$17,"")&amp;IF(AND(Projects!$G$18="Yes",Projects!$C$18=BO$3),", "&amp;Projects!$A$18,"")&amp;IF(AND(Projects!$G$19="Yes",Projects!$C$19=BO$3),", "&amp;Projects!$A$19,"")&amp;IF(AND(Projects!$G$20="Yes",Projects!$C$20=BO$3),", "&amp;Projects!$A$20,"")&amp;IF(AND(Projects!$G$21="Yes",Projects!$C$21=BO$3),", "&amp;Projects!$A$21,"")&amp;IF(AND(Projects!$G$22="Yes",Projects!$C$22=BO$3),", "&amp;Projects!$A$22,"")&amp;IF(AND(Projects!$G$23="Yes",Projects!$C$23=BO$3),", "&amp;Projects!$A$23,"")&amp;IF(AND(Projects!$G$24="Yes",Projects!$C$24=BO$3),", "&amp;Projects!$A$24,"")&amp;IF(AND(Projects!$G$25="Yes",Projects!$C$25=BO$3),", "&amp;Projects!$A$25,"")&amp;IF(AND(Projects!$G$26="Yes",Projects!$C$26=BO$3),", "&amp;Projects!$A$26,"")&amp;IF(AND(Projects!$G$27="Yes",Projects!$C$27=BO$3),", "&amp;Projects!$A$27,"")&amp;IF(AND(Projects!$G$28="Yes",Projects!$C$28=BO$3),", "&amp;Projects!$A$28,"")&amp;IF(AND(Projects!$G$29="Yes",Projects!$C$29=BO$3),", "&amp;Projects!$A$29,"")&amp;IF(AND(Projects!$G$30="Yes",Projects!$C$30=BO$3),", "&amp;Projects!$A$30,"")&amp;IF(AND(Projects!$G$31="Yes",Projects!$C$31=BO$3),", "&amp;Projects!$A$31,"")&amp;IF(AND(Projects!$G$32="Yes",Projects!$C$32=BO$3),", "&amp;Projects!$A$32,"")&amp;IF(AND(Projects!$G$33="Yes",Projects!$C$33=BO$3),", "&amp;Projects!$A$33,"")&amp;IF(AND(Projects!$G$34="Yes",Projects!$C$34=BO$3),", "&amp;Projects!$A$34,"")&amp;IF(AND(Projects!$G$35="Yes",Projects!$C$35=BO$3),", "&amp;Projects!$A$35,"")&amp;IF(AND(Projects!$G$36="Yes",Projects!$C$36=BO$3),", "&amp;Projects!$A$36,"")&amp;IF(AND(Projects!$G$37="Yes",Projects!$C$37=BO$3),", "&amp;Projects!$A$37,"")&amp;IF(AND(Projects!$G$38="Yes",Projects!$C$38=BO$3),", "&amp;Projects!$A$38,"")&amp;IF(AND(Projects!$G$39="Yes",Projects!$C$39=BO$3),", "&amp;Projects!$A$39,"")&amp;IF(AND(Projects!$G$40="Yes",Projects!$C$40=BO$3),", "&amp;Projects!$A$40,"")&amp;IF(AND(Projects!$G$41="Yes",Projects!$C$41=BO$3),", "&amp;Projects!$A$41,"")&amp;IF(AND(Projects!$G$42="Yes",Projects!$C$42=BO$3),", "&amp;Projects!$A$42,"")&amp;IF(AND(Projects!$G$43="Yes",Projects!$C$43=BO$3),", "&amp;Projects!$A$43,"")&amp;IF(AND(Projects!$G$44="Yes",Projects!$C$44=BO$3),", "&amp;Projects!$A$44,"")&amp;IF(AND(Projects!$G$45="Yes",Projects!$C$45=BO$3),", "&amp;Projects!$A$45,"")&amp;IF(AND(Projects!$G$46="Yes",Projects!$C$46=BO$3),", "&amp;Projects!$A$46,""),3,10000)</f>
        <v/>
      </c>
      <c r="BP6" s="17" t="str">
        <f aca="false">MID(IF(AND(Projects!$G$2="Yes",Projects!$C$2=BP$3),", "&amp;Projects!$A$2,"")&amp;IF(AND(Projects!$G$3="Yes",Projects!$C$3=BP$3),", "&amp;Projects!$A$3,"")&amp;IF(AND(Projects!$G$4="Yes",Projects!$C$4=BP$3),", "&amp;Projects!$A$4,"")&amp;IF(AND(Projects!$G$5="Yes",Projects!$C$5=BP$3),", "&amp;Projects!$A$5,"")&amp;IF(AND(Projects!$G$6="Yes",Projects!$C$6=BP$3),", "&amp;Projects!$A$6,"")&amp;IF(AND(Projects!$G$7="Yes",Projects!$C$7=BP$3),", "&amp;Projects!$A$7,"")&amp;IF(AND(Projects!$G$8="Yes",Projects!$C$8=BP$3),", "&amp;Projects!$A$8,"")&amp;IF(AND(Projects!$G$9="Yes",Projects!$C$9=BP$3),", "&amp;Projects!$A$9,"")&amp;IF(AND(Projects!$G$10="Yes",Projects!$C$10=BP$3),", "&amp;Projects!$A$10,"")&amp;IF(AND(Projects!$G$11="Yes",Projects!$C$11=BP$3),", "&amp;Projects!$A$11,"")&amp;IF(AND(Projects!$G$12="Yes",Projects!$C$12=BP$3),", "&amp;Projects!$A$12,"")&amp;IF(AND(Projects!$G$13="Yes",Projects!$C$13=BP$3),", "&amp;Projects!$A$13,"")&amp;IF(AND(Projects!$G$14="Yes",Projects!$C$14=BP$3),", "&amp;Projects!$A$14,"")&amp;IF(AND(Projects!$G$15="Yes",Projects!$C$15=BP$3),", "&amp;Projects!$A$15,"")&amp;IF(AND(Projects!$G$16="Yes",Projects!$C$16=BP$3),", "&amp;Projects!$A$16,"")&amp;IF(AND(Projects!$G$17="Yes",Projects!$C$17=BP$3),", "&amp;Projects!$A$17,"")&amp;IF(AND(Projects!$G$18="Yes",Projects!$C$18=BP$3),", "&amp;Projects!$A$18,"")&amp;IF(AND(Projects!$G$19="Yes",Projects!$C$19=BP$3),", "&amp;Projects!$A$19,"")&amp;IF(AND(Projects!$G$20="Yes",Projects!$C$20=BP$3),", "&amp;Projects!$A$20,"")&amp;IF(AND(Projects!$G$21="Yes",Projects!$C$21=BP$3),", "&amp;Projects!$A$21,"")&amp;IF(AND(Projects!$G$22="Yes",Projects!$C$22=BP$3),", "&amp;Projects!$A$22,"")&amp;IF(AND(Projects!$G$23="Yes",Projects!$C$23=BP$3),", "&amp;Projects!$A$23,"")&amp;IF(AND(Projects!$G$24="Yes",Projects!$C$24=BP$3),", "&amp;Projects!$A$24,"")&amp;IF(AND(Projects!$G$25="Yes",Projects!$C$25=BP$3),", "&amp;Projects!$A$25,"")&amp;IF(AND(Projects!$G$26="Yes",Projects!$C$26=BP$3),", "&amp;Projects!$A$26,"")&amp;IF(AND(Projects!$G$27="Yes",Projects!$C$27=BP$3),", "&amp;Projects!$A$27,"")&amp;IF(AND(Projects!$G$28="Yes",Projects!$C$28=BP$3),", "&amp;Projects!$A$28,"")&amp;IF(AND(Projects!$G$29="Yes",Projects!$C$29=BP$3),", "&amp;Projects!$A$29,"")&amp;IF(AND(Projects!$G$30="Yes",Projects!$C$30=BP$3),", "&amp;Projects!$A$30,"")&amp;IF(AND(Projects!$G$31="Yes",Projects!$C$31=BP$3),", "&amp;Projects!$A$31,"")&amp;IF(AND(Projects!$G$32="Yes",Projects!$C$32=BP$3),", "&amp;Projects!$A$32,"")&amp;IF(AND(Projects!$G$33="Yes",Projects!$C$33=BP$3),", "&amp;Projects!$A$33,"")&amp;IF(AND(Projects!$G$34="Yes",Projects!$C$34=BP$3),", "&amp;Projects!$A$34,"")&amp;IF(AND(Projects!$G$35="Yes",Projects!$C$35=BP$3),", "&amp;Projects!$A$35,"")&amp;IF(AND(Projects!$G$36="Yes",Projects!$C$36=BP$3),", "&amp;Projects!$A$36,"")&amp;IF(AND(Projects!$G$37="Yes",Projects!$C$37=BP$3),", "&amp;Projects!$A$37,"")&amp;IF(AND(Projects!$G$38="Yes",Projects!$C$38=BP$3),", "&amp;Projects!$A$38,"")&amp;IF(AND(Projects!$G$39="Yes",Projects!$C$39=BP$3),", "&amp;Projects!$A$39,"")&amp;IF(AND(Projects!$G$40="Yes",Projects!$C$40=BP$3),", "&amp;Projects!$A$40,"")&amp;IF(AND(Projects!$G$41="Yes",Projects!$C$41=BP$3),", "&amp;Projects!$A$41,"")&amp;IF(AND(Projects!$G$42="Yes",Projects!$C$42=BP$3),", "&amp;Projects!$A$42,"")&amp;IF(AND(Projects!$G$43="Yes",Projects!$C$43=BP$3),", "&amp;Projects!$A$43,"")&amp;IF(AND(Projects!$G$44="Yes",Projects!$C$44=BP$3),", "&amp;Projects!$A$44,"")&amp;IF(AND(Projects!$G$45="Yes",Projects!$C$45=BP$3),", "&amp;Projects!$A$45,"")&amp;IF(AND(Projects!$G$46="Yes",Projects!$C$46=BP$3),", "&amp;Projects!$A$46,""),3,10000)</f>
        <v/>
      </c>
      <c r="BQ6" s="17" t="str">
        <f aca="false">MID(IF(AND(Projects!$G$2="Yes",Projects!$C$2=BQ$3),", "&amp;Projects!$A$2,"")&amp;IF(AND(Projects!$G$3="Yes",Projects!$C$3=BQ$3),", "&amp;Projects!$A$3,"")&amp;IF(AND(Projects!$G$4="Yes",Projects!$C$4=BQ$3),", "&amp;Projects!$A$4,"")&amp;IF(AND(Projects!$G$5="Yes",Projects!$C$5=BQ$3),", "&amp;Projects!$A$5,"")&amp;IF(AND(Projects!$G$6="Yes",Projects!$C$6=BQ$3),", "&amp;Projects!$A$6,"")&amp;IF(AND(Projects!$G$7="Yes",Projects!$C$7=BQ$3),", "&amp;Projects!$A$7,"")&amp;IF(AND(Projects!$G$8="Yes",Projects!$C$8=BQ$3),", "&amp;Projects!$A$8,"")&amp;IF(AND(Projects!$G$9="Yes",Projects!$C$9=BQ$3),", "&amp;Projects!$A$9,"")&amp;IF(AND(Projects!$G$10="Yes",Projects!$C$10=BQ$3),", "&amp;Projects!$A$10,"")&amp;IF(AND(Projects!$G$11="Yes",Projects!$C$11=BQ$3),", "&amp;Projects!$A$11,"")&amp;IF(AND(Projects!$G$12="Yes",Projects!$C$12=BQ$3),", "&amp;Projects!$A$12,"")&amp;IF(AND(Projects!$G$13="Yes",Projects!$C$13=BQ$3),", "&amp;Projects!$A$13,"")&amp;IF(AND(Projects!$G$14="Yes",Projects!$C$14=BQ$3),", "&amp;Projects!$A$14,"")&amp;IF(AND(Projects!$G$15="Yes",Projects!$C$15=BQ$3),", "&amp;Projects!$A$15,"")&amp;IF(AND(Projects!$G$16="Yes",Projects!$C$16=BQ$3),", "&amp;Projects!$A$16,"")&amp;IF(AND(Projects!$G$17="Yes",Projects!$C$17=BQ$3),", "&amp;Projects!$A$17,"")&amp;IF(AND(Projects!$G$18="Yes",Projects!$C$18=BQ$3),", "&amp;Projects!$A$18,"")&amp;IF(AND(Projects!$G$19="Yes",Projects!$C$19=BQ$3),", "&amp;Projects!$A$19,"")&amp;IF(AND(Projects!$G$20="Yes",Projects!$C$20=BQ$3),", "&amp;Projects!$A$20,"")&amp;IF(AND(Projects!$G$21="Yes",Projects!$C$21=BQ$3),", "&amp;Projects!$A$21,"")&amp;IF(AND(Projects!$G$22="Yes",Projects!$C$22=BQ$3),", "&amp;Projects!$A$22,"")&amp;IF(AND(Projects!$G$23="Yes",Projects!$C$23=BQ$3),", "&amp;Projects!$A$23,"")&amp;IF(AND(Projects!$G$24="Yes",Projects!$C$24=BQ$3),", "&amp;Projects!$A$24,"")&amp;IF(AND(Projects!$G$25="Yes",Projects!$C$25=BQ$3),", "&amp;Projects!$A$25,"")&amp;IF(AND(Projects!$G$26="Yes",Projects!$C$26=BQ$3),", "&amp;Projects!$A$26,"")&amp;IF(AND(Projects!$G$27="Yes",Projects!$C$27=BQ$3),", "&amp;Projects!$A$27,"")&amp;IF(AND(Projects!$G$28="Yes",Projects!$C$28=BQ$3),", "&amp;Projects!$A$28,"")&amp;IF(AND(Projects!$G$29="Yes",Projects!$C$29=BQ$3),", "&amp;Projects!$A$29,"")&amp;IF(AND(Projects!$G$30="Yes",Projects!$C$30=BQ$3),", "&amp;Projects!$A$30,"")&amp;IF(AND(Projects!$G$31="Yes",Projects!$C$31=BQ$3),", "&amp;Projects!$A$31,"")&amp;IF(AND(Projects!$G$32="Yes",Projects!$C$32=BQ$3),", "&amp;Projects!$A$32,"")&amp;IF(AND(Projects!$G$33="Yes",Projects!$C$33=BQ$3),", "&amp;Projects!$A$33,"")&amp;IF(AND(Projects!$G$34="Yes",Projects!$C$34=BQ$3),", "&amp;Projects!$A$34,"")&amp;IF(AND(Projects!$G$35="Yes",Projects!$C$35=BQ$3),", "&amp;Projects!$A$35,"")&amp;IF(AND(Projects!$G$36="Yes",Projects!$C$36=BQ$3),", "&amp;Projects!$A$36,"")&amp;IF(AND(Projects!$G$37="Yes",Projects!$C$37=BQ$3),", "&amp;Projects!$A$37,"")&amp;IF(AND(Projects!$G$38="Yes",Projects!$C$38=BQ$3),", "&amp;Projects!$A$38,"")&amp;IF(AND(Projects!$G$39="Yes",Projects!$C$39=BQ$3),", "&amp;Projects!$A$39,"")&amp;IF(AND(Projects!$G$40="Yes",Projects!$C$40=BQ$3),", "&amp;Projects!$A$40,"")&amp;IF(AND(Projects!$G$41="Yes",Projects!$C$41=BQ$3),", "&amp;Projects!$A$41,"")&amp;IF(AND(Projects!$G$42="Yes",Projects!$C$42=BQ$3),", "&amp;Projects!$A$42,"")&amp;IF(AND(Projects!$G$43="Yes",Projects!$C$43=BQ$3),", "&amp;Projects!$A$43,"")&amp;IF(AND(Projects!$G$44="Yes",Projects!$C$44=BQ$3),", "&amp;Projects!$A$44,"")&amp;IF(AND(Projects!$G$45="Yes",Projects!$C$45=BQ$3),", "&amp;Projects!$A$45,"")&amp;IF(AND(Projects!$G$46="Yes",Projects!$C$46=BQ$3),", "&amp;Projects!$A$46,""),3,10000)</f>
        <v/>
      </c>
      <c r="BR6" s="17" t="str">
        <f aca="false">MID(IF(AND(Projects!$G$2="Yes",Projects!$C$2=BR$3),", "&amp;Projects!$A$2,"")&amp;IF(AND(Projects!$G$3="Yes",Projects!$C$3=BR$3),", "&amp;Projects!$A$3,"")&amp;IF(AND(Projects!$G$4="Yes",Projects!$C$4=BR$3),", "&amp;Projects!$A$4,"")&amp;IF(AND(Projects!$G$5="Yes",Projects!$C$5=BR$3),", "&amp;Projects!$A$5,"")&amp;IF(AND(Projects!$G$6="Yes",Projects!$C$6=BR$3),", "&amp;Projects!$A$6,"")&amp;IF(AND(Projects!$G$7="Yes",Projects!$C$7=BR$3),", "&amp;Projects!$A$7,"")&amp;IF(AND(Projects!$G$8="Yes",Projects!$C$8=BR$3),", "&amp;Projects!$A$8,"")&amp;IF(AND(Projects!$G$9="Yes",Projects!$C$9=BR$3),", "&amp;Projects!$A$9,"")&amp;IF(AND(Projects!$G$10="Yes",Projects!$C$10=BR$3),", "&amp;Projects!$A$10,"")&amp;IF(AND(Projects!$G$11="Yes",Projects!$C$11=BR$3),", "&amp;Projects!$A$11,"")&amp;IF(AND(Projects!$G$12="Yes",Projects!$C$12=BR$3),", "&amp;Projects!$A$12,"")&amp;IF(AND(Projects!$G$13="Yes",Projects!$C$13=BR$3),", "&amp;Projects!$A$13,"")&amp;IF(AND(Projects!$G$14="Yes",Projects!$C$14=BR$3),", "&amp;Projects!$A$14,"")&amp;IF(AND(Projects!$G$15="Yes",Projects!$C$15=BR$3),", "&amp;Projects!$A$15,"")&amp;IF(AND(Projects!$G$16="Yes",Projects!$C$16=BR$3),", "&amp;Projects!$A$16,"")&amp;IF(AND(Projects!$G$17="Yes",Projects!$C$17=BR$3),", "&amp;Projects!$A$17,"")&amp;IF(AND(Projects!$G$18="Yes",Projects!$C$18=BR$3),", "&amp;Projects!$A$18,"")&amp;IF(AND(Projects!$G$19="Yes",Projects!$C$19=BR$3),", "&amp;Projects!$A$19,"")&amp;IF(AND(Projects!$G$20="Yes",Projects!$C$20=BR$3),", "&amp;Projects!$A$20,"")&amp;IF(AND(Projects!$G$21="Yes",Projects!$C$21=BR$3),", "&amp;Projects!$A$21,"")&amp;IF(AND(Projects!$G$22="Yes",Projects!$C$22=BR$3),", "&amp;Projects!$A$22,"")&amp;IF(AND(Projects!$G$23="Yes",Projects!$C$23=BR$3),", "&amp;Projects!$A$23,"")&amp;IF(AND(Projects!$G$24="Yes",Projects!$C$24=BR$3),", "&amp;Projects!$A$24,"")&amp;IF(AND(Projects!$G$25="Yes",Projects!$C$25=BR$3),", "&amp;Projects!$A$25,"")&amp;IF(AND(Projects!$G$26="Yes",Projects!$C$26=BR$3),", "&amp;Projects!$A$26,"")&amp;IF(AND(Projects!$G$27="Yes",Projects!$C$27=BR$3),", "&amp;Projects!$A$27,"")&amp;IF(AND(Projects!$G$28="Yes",Projects!$C$28=BR$3),", "&amp;Projects!$A$28,"")&amp;IF(AND(Projects!$G$29="Yes",Projects!$C$29=BR$3),", "&amp;Projects!$A$29,"")&amp;IF(AND(Projects!$G$30="Yes",Projects!$C$30=BR$3),", "&amp;Projects!$A$30,"")&amp;IF(AND(Projects!$G$31="Yes",Projects!$C$31=BR$3),", "&amp;Projects!$A$31,"")&amp;IF(AND(Projects!$G$32="Yes",Projects!$C$32=BR$3),", "&amp;Projects!$A$32,"")&amp;IF(AND(Projects!$G$33="Yes",Projects!$C$33=BR$3),", "&amp;Projects!$A$33,"")&amp;IF(AND(Projects!$G$34="Yes",Projects!$C$34=BR$3),", "&amp;Projects!$A$34,"")&amp;IF(AND(Projects!$G$35="Yes",Projects!$C$35=BR$3),", "&amp;Projects!$A$35,"")&amp;IF(AND(Projects!$G$36="Yes",Projects!$C$36=BR$3),", "&amp;Projects!$A$36,"")&amp;IF(AND(Projects!$G$37="Yes",Projects!$C$37=BR$3),", "&amp;Projects!$A$37,"")&amp;IF(AND(Projects!$G$38="Yes",Projects!$C$38=BR$3),", "&amp;Projects!$A$38,"")&amp;IF(AND(Projects!$G$39="Yes",Projects!$C$39=BR$3),", "&amp;Projects!$A$39,"")&amp;IF(AND(Projects!$G$40="Yes",Projects!$C$40=BR$3),", "&amp;Projects!$A$40,"")&amp;IF(AND(Projects!$G$41="Yes",Projects!$C$41=BR$3),", "&amp;Projects!$A$41,"")&amp;IF(AND(Projects!$G$42="Yes",Projects!$C$42=BR$3),", "&amp;Projects!$A$42,"")&amp;IF(AND(Projects!$G$43="Yes",Projects!$C$43=BR$3),", "&amp;Projects!$A$43,"")&amp;IF(AND(Projects!$G$44="Yes",Projects!$C$44=BR$3),", "&amp;Projects!$A$44,"")&amp;IF(AND(Projects!$G$45="Yes",Projects!$C$45=BR$3),", "&amp;Projects!$A$45,"")&amp;IF(AND(Projects!$G$46="Yes",Projects!$C$46=BR$3),", "&amp;Projects!$A$46,""),3,10000)</f>
        <v/>
      </c>
      <c r="BS6" s="17" t="str">
        <f aca="false">MID(IF(AND(Projects!$G$2="Yes",Projects!$C$2=BS$3),", "&amp;Projects!$A$2,"")&amp;IF(AND(Projects!$G$3="Yes",Projects!$C$3=BS$3),", "&amp;Projects!$A$3,"")&amp;IF(AND(Projects!$G$4="Yes",Projects!$C$4=BS$3),", "&amp;Projects!$A$4,"")&amp;IF(AND(Projects!$G$5="Yes",Projects!$C$5=BS$3),", "&amp;Projects!$A$5,"")&amp;IF(AND(Projects!$G$6="Yes",Projects!$C$6=BS$3),", "&amp;Projects!$A$6,"")&amp;IF(AND(Projects!$G$7="Yes",Projects!$C$7=BS$3),", "&amp;Projects!$A$7,"")&amp;IF(AND(Projects!$G$8="Yes",Projects!$C$8=BS$3),", "&amp;Projects!$A$8,"")&amp;IF(AND(Projects!$G$9="Yes",Projects!$C$9=BS$3),", "&amp;Projects!$A$9,"")&amp;IF(AND(Projects!$G$10="Yes",Projects!$C$10=BS$3),", "&amp;Projects!$A$10,"")&amp;IF(AND(Projects!$G$11="Yes",Projects!$C$11=BS$3),", "&amp;Projects!$A$11,"")&amp;IF(AND(Projects!$G$12="Yes",Projects!$C$12=BS$3),", "&amp;Projects!$A$12,"")&amp;IF(AND(Projects!$G$13="Yes",Projects!$C$13=BS$3),", "&amp;Projects!$A$13,"")&amp;IF(AND(Projects!$G$14="Yes",Projects!$C$14=BS$3),", "&amp;Projects!$A$14,"")&amp;IF(AND(Projects!$G$15="Yes",Projects!$C$15=BS$3),", "&amp;Projects!$A$15,"")&amp;IF(AND(Projects!$G$16="Yes",Projects!$C$16=BS$3),", "&amp;Projects!$A$16,"")&amp;IF(AND(Projects!$G$17="Yes",Projects!$C$17=BS$3),", "&amp;Projects!$A$17,"")&amp;IF(AND(Projects!$G$18="Yes",Projects!$C$18=BS$3),", "&amp;Projects!$A$18,"")&amp;IF(AND(Projects!$G$19="Yes",Projects!$C$19=BS$3),", "&amp;Projects!$A$19,"")&amp;IF(AND(Projects!$G$20="Yes",Projects!$C$20=BS$3),", "&amp;Projects!$A$20,"")&amp;IF(AND(Projects!$G$21="Yes",Projects!$C$21=BS$3),", "&amp;Projects!$A$21,"")&amp;IF(AND(Projects!$G$22="Yes",Projects!$C$22=BS$3),", "&amp;Projects!$A$22,"")&amp;IF(AND(Projects!$G$23="Yes",Projects!$C$23=BS$3),", "&amp;Projects!$A$23,"")&amp;IF(AND(Projects!$G$24="Yes",Projects!$C$24=BS$3),", "&amp;Projects!$A$24,"")&amp;IF(AND(Projects!$G$25="Yes",Projects!$C$25=BS$3),", "&amp;Projects!$A$25,"")&amp;IF(AND(Projects!$G$26="Yes",Projects!$C$26=BS$3),", "&amp;Projects!$A$26,"")&amp;IF(AND(Projects!$G$27="Yes",Projects!$C$27=BS$3),", "&amp;Projects!$A$27,"")&amp;IF(AND(Projects!$G$28="Yes",Projects!$C$28=BS$3),", "&amp;Projects!$A$28,"")&amp;IF(AND(Projects!$G$29="Yes",Projects!$C$29=BS$3),", "&amp;Projects!$A$29,"")&amp;IF(AND(Projects!$G$30="Yes",Projects!$C$30=BS$3),", "&amp;Projects!$A$30,"")&amp;IF(AND(Projects!$G$31="Yes",Projects!$C$31=BS$3),", "&amp;Projects!$A$31,"")&amp;IF(AND(Projects!$G$32="Yes",Projects!$C$32=BS$3),", "&amp;Projects!$A$32,"")&amp;IF(AND(Projects!$G$33="Yes",Projects!$C$33=BS$3),", "&amp;Projects!$A$33,"")&amp;IF(AND(Projects!$G$34="Yes",Projects!$C$34=BS$3),", "&amp;Projects!$A$34,"")&amp;IF(AND(Projects!$G$35="Yes",Projects!$C$35=BS$3),", "&amp;Projects!$A$35,"")&amp;IF(AND(Projects!$G$36="Yes",Projects!$C$36=BS$3),", "&amp;Projects!$A$36,"")&amp;IF(AND(Projects!$G$37="Yes",Projects!$C$37=BS$3),", "&amp;Projects!$A$37,"")&amp;IF(AND(Projects!$G$38="Yes",Projects!$C$38=BS$3),", "&amp;Projects!$A$38,"")&amp;IF(AND(Projects!$G$39="Yes",Projects!$C$39=BS$3),", "&amp;Projects!$A$39,"")&amp;IF(AND(Projects!$G$40="Yes",Projects!$C$40=BS$3),", "&amp;Projects!$A$40,"")&amp;IF(AND(Projects!$G$41="Yes",Projects!$C$41=BS$3),", "&amp;Projects!$A$41,"")&amp;IF(AND(Projects!$G$42="Yes",Projects!$C$42=BS$3),", "&amp;Projects!$A$42,"")&amp;IF(AND(Projects!$G$43="Yes",Projects!$C$43=BS$3),", "&amp;Projects!$A$43,"")&amp;IF(AND(Projects!$G$44="Yes",Projects!$C$44=BS$3),", "&amp;Projects!$A$44,"")&amp;IF(AND(Projects!$G$45="Yes",Projects!$C$45=BS$3),", "&amp;Projects!$A$45,"")&amp;IF(AND(Projects!$G$46="Yes",Projects!$C$46=BS$3),", "&amp;Projects!$A$46,""),3,10000)</f>
        <v/>
      </c>
      <c r="BT6" s="17" t="str">
        <f aca="false">MID(IF(AND(Projects!$G$2="Yes",Projects!$C$2=BT$3),", "&amp;Projects!$A$2,"")&amp;IF(AND(Projects!$G$3="Yes",Projects!$C$3=BT$3),", "&amp;Projects!$A$3,"")&amp;IF(AND(Projects!$G$4="Yes",Projects!$C$4=BT$3),", "&amp;Projects!$A$4,"")&amp;IF(AND(Projects!$G$5="Yes",Projects!$C$5=BT$3),", "&amp;Projects!$A$5,"")&amp;IF(AND(Projects!$G$6="Yes",Projects!$C$6=BT$3),", "&amp;Projects!$A$6,"")&amp;IF(AND(Projects!$G$7="Yes",Projects!$C$7=BT$3),", "&amp;Projects!$A$7,"")&amp;IF(AND(Projects!$G$8="Yes",Projects!$C$8=BT$3),", "&amp;Projects!$A$8,"")&amp;IF(AND(Projects!$G$9="Yes",Projects!$C$9=BT$3),", "&amp;Projects!$A$9,"")&amp;IF(AND(Projects!$G$10="Yes",Projects!$C$10=BT$3),", "&amp;Projects!$A$10,"")&amp;IF(AND(Projects!$G$11="Yes",Projects!$C$11=BT$3),", "&amp;Projects!$A$11,"")&amp;IF(AND(Projects!$G$12="Yes",Projects!$C$12=BT$3),", "&amp;Projects!$A$12,"")&amp;IF(AND(Projects!$G$13="Yes",Projects!$C$13=BT$3),", "&amp;Projects!$A$13,"")&amp;IF(AND(Projects!$G$14="Yes",Projects!$C$14=BT$3),", "&amp;Projects!$A$14,"")&amp;IF(AND(Projects!$G$15="Yes",Projects!$C$15=BT$3),", "&amp;Projects!$A$15,"")&amp;IF(AND(Projects!$G$16="Yes",Projects!$C$16=BT$3),", "&amp;Projects!$A$16,"")&amp;IF(AND(Projects!$G$17="Yes",Projects!$C$17=BT$3),", "&amp;Projects!$A$17,"")&amp;IF(AND(Projects!$G$18="Yes",Projects!$C$18=BT$3),", "&amp;Projects!$A$18,"")&amp;IF(AND(Projects!$G$19="Yes",Projects!$C$19=BT$3),", "&amp;Projects!$A$19,"")&amp;IF(AND(Projects!$G$20="Yes",Projects!$C$20=BT$3),", "&amp;Projects!$A$20,"")&amp;IF(AND(Projects!$G$21="Yes",Projects!$C$21=BT$3),", "&amp;Projects!$A$21,"")&amp;IF(AND(Projects!$G$22="Yes",Projects!$C$22=BT$3),", "&amp;Projects!$A$22,"")&amp;IF(AND(Projects!$G$23="Yes",Projects!$C$23=BT$3),", "&amp;Projects!$A$23,"")&amp;IF(AND(Projects!$G$24="Yes",Projects!$C$24=BT$3),", "&amp;Projects!$A$24,"")&amp;IF(AND(Projects!$G$25="Yes",Projects!$C$25=BT$3),", "&amp;Projects!$A$25,"")&amp;IF(AND(Projects!$G$26="Yes",Projects!$C$26=BT$3),", "&amp;Projects!$A$26,"")&amp;IF(AND(Projects!$G$27="Yes",Projects!$C$27=BT$3),", "&amp;Projects!$A$27,"")&amp;IF(AND(Projects!$G$28="Yes",Projects!$C$28=BT$3),", "&amp;Projects!$A$28,"")&amp;IF(AND(Projects!$G$29="Yes",Projects!$C$29=BT$3),", "&amp;Projects!$A$29,"")&amp;IF(AND(Projects!$G$30="Yes",Projects!$C$30=BT$3),", "&amp;Projects!$A$30,"")&amp;IF(AND(Projects!$G$31="Yes",Projects!$C$31=BT$3),", "&amp;Projects!$A$31,"")&amp;IF(AND(Projects!$G$32="Yes",Projects!$C$32=BT$3),", "&amp;Projects!$A$32,"")&amp;IF(AND(Projects!$G$33="Yes",Projects!$C$33=BT$3),", "&amp;Projects!$A$33,"")&amp;IF(AND(Projects!$G$34="Yes",Projects!$C$34=BT$3),", "&amp;Projects!$A$34,"")&amp;IF(AND(Projects!$G$35="Yes",Projects!$C$35=BT$3),", "&amp;Projects!$A$35,"")&amp;IF(AND(Projects!$G$36="Yes",Projects!$C$36=BT$3),", "&amp;Projects!$A$36,"")&amp;IF(AND(Projects!$G$37="Yes",Projects!$C$37=BT$3),", "&amp;Projects!$A$37,"")&amp;IF(AND(Projects!$G$38="Yes",Projects!$C$38=BT$3),", "&amp;Projects!$A$38,"")&amp;IF(AND(Projects!$G$39="Yes",Projects!$C$39=BT$3),", "&amp;Projects!$A$39,"")&amp;IF(AND(Projects!$G$40="Yes",Projects!$C$40=BT$3),", "&amp;Projects!$A$40,"")&amp;IF(AND(Projects!$G$41="Yes",Projects!$C$41=BT$3),", "&amp;Projects!$A$41,"")&amp;IF(AND(Projects!$G$42="Yes",Projects!$C$42=BT$3),", "&amp;Projects!$A$42,"")&amp;IF(AND(Projects!$G$43="Yes",Projects!$C$43=BT$3),", "&amp;Projects!$A$43,"")&amp;IF(AND(Projects!$G$44="Yes",Projects!$C$44=BT$3),", "&amp;Projects!$A$44,"")&amp;IF(AND(Projects!$G$45="Yes",Projects!$C$45=BT$3),", "&amp;Projects!$A$45,"")&amp;IF(AND(Projects!$G$46="Yes",Projects!$C$46=BT$3),", "&amp;Projects!$A$46,""),3,10000)</f>
        <v/>
      </c>
      <c r="BU6" s="17" t="str">
        <f aca="false">MID(IF(AND(Projects!$G$2="Yes",Projects!$C$2=BU$3),", "&amp;Projects!$A$2,"")&amp;IF(AND(Projects!$G$3="Yes",Projects!$C$3=BU$3),", "&amp;Projects!$A$3,"")&amp;IF(AND(Projects!$G$4="Yes",Projects!$C$4=BU$3),", "&amp;Projects!$A$4,"")&amp;IF(AND(Projects!$G$5="Yes",Projects!$C$5=BU$3),", "&amp;Projects!$A$5,"")&amp;IF(AND(Projects!$G$6="Yes",Projects!$C$6=BU$3),", "&amp;Projects!$A$6,"")&amp;IF(AND(Projects!$G$7="Yes",Projects!$C$7=BU$3),", "&amp;Projects!$A$7,"")&amp;IF(AND(Projects!$G$8="Yes",Projects!$C$8=BU$3),", "&amp;Projects!$A$8,"")&amp;IF(AND(Projects!$G$9="Yes",Projects!$C$9=BU$3),", "&amp;Projects!$A$9,"")&amp;IF(AND(Projects!$G$10="Yes",Projects!$C$10=BU$3),", "&amp;Projects!$A$10,"")&amp;IF(AND(Projects!$G$11="Yes",Projects!$C$11=BU$3),", "&amp;Projects!$A$11,"")&amp;IF(AND(Projects!$G$12="Yes",Projects!$C$12=BU$3),", "&amp;Projects!$A$12,"")&amp;IF(AND(Projects!$G$13="Yes",Projects!$C$13=BU$3),", "&amp;Projects!$A$13,"")&amp;IF(AND(Projects!$G$14="Yes",Projects!$C$14=BU$3),", "&amp;Projects!$A$14,"")&amp;IF(AND(Projects!$G$15="Yes",Projects!$C$15=BU$3),", "&amp;Projects!$A$15,"")&amp;IF(AND(Projects!$G$16="Yes",Projects!$C$16=BU$3),", "&amp;Projects!$A$16,"")&amp;IF(AND(Projects!$G$17="Yes",Projects!$C$17=BU$3),", "&amp;Projects!$A$17,"")&amp;IF(AND(Projects!$G$18="Yes",Projects!$C$18=BU$3),", "&amp;Projects!$A$18,"")&amp;IF(AND(Projects!$G$19="Yes",Projects!$C$19=BU$3),", "&amp;Projects!$A$19,"")&amp;IF(AND(Projects!$G$20="Yes",Projects!$C$20=BU$3),", "&amp;Projects!$A$20,"")&amp;IF(AND(Projects!$G$21="Yes",Projects!$C$21=BU$3),", "&amp;Projects!$A$21,"")&amp;IF(AND(Projects!$G$22="Yes",Projects!$C$22=BU$3),", "&amp;Projects!$A$22,"")&amp;IF(AND(Projects!$G$23="Yes",Projects!$C$23=BU$3),", "&amp;Projects!$A$23,"")&amp;IF(AND(Projects!$G$24="Yes",Projects!$C$24=BU$3),", "&amp;Projects!$A$24,"")&amp;IF(AND(Projects!$G$25="Yes",Projects!$C$25=BU$3),", "&amp;Projects!$A$25,"")&amp;IF(AND(Projects!$G$26="Yes",Projects!$C$26=BU$3),", "&amp;Projects!$A$26,"")&amp;IF(AND(Projects!$G$27="Yes",Projects!$C$27=BU$3),", "&amp;Projects!$A$27,"")&amp;IF(AND(Projects!$G$28="Yes",Projects!$C$28=BU$3),", "&amp;Projects!$A$28,"")&amp;IF(AND(Projects!$G$29="Yes",Projects!$C$29=BU$3),", "&amp;Projects!$A$29,"")&amp;IF(AND(Projects!$G$30="Yes",Projects!$C$30=BU$3),", "&amp;Projects!$A$30,"")&amp;IF(AND(Projects!$G$31="Yes",Projects!$C$31=BU$3),", "&amp;Projects!$A$31,"")&amp;IF(AND(Projects!$G$32="Yes",Projects!$C$32=BU$3),", "&amp;Projects!$A$32,"")&amp;IF(AND(Projects!$G$33="Yes",Projects!$C$33=BU$3),", "&amp;Projects!$A$33,"")&amp;IF(AND(Projects!$G$34="Yes",Projects!$C$34=BU$3),", "&amp;Projects!$A$34,"")&amp;IF(AND(Projects!$G$35="Yes",Projects!$C$35=BU$3),", "&amp;Projects!$A$35,"")&amp;IF(AND(Projects!$G$36="Yes",Projects!$C$36=BU$3),", "&amp;Projects!$A$36,"")&amp;IF(AND(Projects!$G$37="Yes",Projects!$C$37=BU$3),", "&amp;Projects!$A$37,"")&amp;IF(AND(Projects!$G$38="Yes",Projects!$C$38=BU$3),", "&amp;Projects!$A$38,"")&amp;IF(AND(Projects!$G$39="Yes",Projects!$C$39=BU$3),", "&amp;Projects!$A$39,"")&amp;IF(AND(Projects!$G$40="Yes",Projects!$C$40=BU$3),", "&amp;Projects!$A$40,"")&amp;IF(AND(Projects!$G$41="Yes",Projects!$C$41=BU$3),", "&amp;Projects!$A$41,"")&amp;IF(AND(Projects!$G$42="Yes",Projects!$C$42=BU$3),", "&amp;Projects!$A$42,"")&amp;IF(AND(Projects!$G$43="Yes",Projects!$C$43=BU$3),", "&amp;Projects!$A$43,"")&amp;IF(AND(Projects!$G$44="Yes",Projects!$C$44=BU$3),", "&amp;Projects!$A$44,"")&amp;IF(AND(Projects!$G$45="Yes",Projects!$C$45=BU$3),", "&amp;Projects!$A$45,"")&amp;IF(AND(Projects!$G$46="Yes",Projects!$C$46=BU$3),", "&amp;Projects!$A$46,""),3,10000)</f>
        <v/>
      </c>
      <c r="BV6" s="17" t="str">
        <f aca="false">MID(IF(AND(Projects!$G$2="Yes",Projects!$C$2=BV$3),", "&amp;Projects!$A$2,"")&amp;IF(AND(Projects!$G$3="Yes",Projects!$C$3=BV$3),", "&amp;Projects!$A$3,"")&amp;IF(AND(Projects!$G$4="Yes",Projects!$C$4=BV$3),", "&amp;Projects!$A$4,"")&amp;IF(AND(Projects!$G$5="Yes",Projects!$C$5=BV$3),", "&amp;Projects!$A$5,"")&amp;IF(AND(Projects!$G$6="Yes",Projects!$C$6=BV$3),", "&amp;Projects!$A$6,"")&amp;IF(AND(Projects!$G$7="Yes",Projects!$C$7=BV$3),", "&amp;Projects!$A$7,"")&amp;IF(AND(Projects!$G$8="Yes",Projects!$C$8=BV$3),", "&amp;Projects!$A$8,"")&amp;IF(AND(Projects!$G$9="Yes",Projects!$C$9=BV$3),", "&amp;Projects!$A$9,"")&amp;IF(AND(Projects!$G$10="Yes",Projects!$C$10=BV$3),", "&amp;Projects!$A$10,"")&amp;IF(AND(Projects!$G$11="Yes",Projects!$C$11=BV$3),", "&amp;Projects!$A$11,"")&amp;IF(AND(Projects!$G$12="Yes",Projects!$C$12=BV$3),", "&amp;Projects!$A$12,"")&amp;IF(AND(Projects!$G$13="Yes",Projects!$C$13=BV$3),", "&amp;Projects!$A$13,"")&amp;IF(AND(Projects!$G$14="Yes",Projects!$C$14=BV$3),", "&amp;Projects!$A$14,"")&amp;IF(AND(Projects!$G$15="Yes",Projects!$C$15=BV$3),", "&amp;Projects!$A$15,"")&amp;IF(AND(Projects!$G$16="Yes",Projects!$C$16=BV$3),", "&amp;Projects!$A$16,"")&amp;IF(AND(Projects!$G$17="Yes",Projects!$C$17=BV$3),", "&amp;Projects!$A$17,"")&amp;IF(AND(Projects!$G$18="Yes",Projects!$C$18=BV$3),", "&amp;Projects!$A$18,"")&amp;IF(AND(Projects!$G$19="Yes",Projects!$C$19=BV$3),", "&amp;Projects!$A$19,"")&amp;IF(AND(Projects!$G$20="Yes",Projects!$C$20=BV$3),", "&amp;Projects!$A$20,"")&amp;IF(AND(Projects!$G$21="Yes",Projects!$C$21=BV$3),", "&amp;Projects!$A$21,"")&amp;IF(AND(Projects!$G$22="Yes",Projects!$C$22=BV$3),", "&amp;Projects!$A$22,"")&amp;IF(AND(Projects!$G$23="Yes",Projects!$C$23=BV$3),", "&amp;Projects!$A$23,"")&amp;IF(AND(Projects!$G$24="Yes",Projects!$C$24=BV$3),", "&amp;Projects!$A$24,"")&amp;IF(AND(Projects!$G$25="Yes",Projects!$C$25=BV$3),", "&amp;Projects!$A$25,"")&amp;IF(AND(Projects!$G$26="Yes",Projects!$C$26=BV$3),", "&amp;Projects!$A$26,"")&amp;IF(AND(Projects!$G$27="Yes",Projects!$C$27=BV$3),", "&amp;Projects!$A$27,"")&amp;IF(AND(Projects!$G$28="Yes",Projects!$C$28=BV$3),", "&amp;Projects!$A$28,"")&amp;IF(AND(Projects!$G$29="Yes",Projects!$C$29=BV$3),", "&amp;Projects!$A$29,"")&amp;IF(AND(Projects!$G$30="Yes",Projects!$C$30=BV$3),", "&amp;Projects!$A$30,"")&amp;IF(AND(Projects!$G$31="Yes",Projects!$C$31=BV$3),", "&amp;Projects!$A$31,"")&amp;IF(AND(Projects!$G$32="Yes",Projects!$C$32=BV$3),", "&amp;Projects!$A$32,"")&amp;IF(AND(Projects!$G$33="Yes",Projects!$C$33=BV$3),", "&amp;Projects!$A$33,"")&amp;IF(AND(Projects!$G$34="Yes",Projects!$C$34=BV$3),", "&amp;Projects!$A$34,"")&amp;IF(AND(Projects!$G$35="Yes",Projects!$C$35=BV$3),", "&amp;Projects!$A$35,"")&amp;IF(AND(Projects!$G$36="Yes",Projects!$C$36=BV$3),", "&amp;Projects!$A$36,"")&amp;IF(AND(Projects!$G$37="Yes",Projects!$C$37=BV$3),", "&amp;Projects!$A$37,"")&amp;IF(AND(Projects!$G$38="Yes",Projects!$C$38=BV$3),", "&amp;Projects!$A$38,"")&amp;IF(AND(Projects!$G$39="Yes",Projects!$C$39=BV$3),", "&amp;Projects!$A$39,"")&amp;IF(AND(Projects!$G$40="Yes",Projects!$C$40=BV$3),", "&amp;Projects!$A$40,"")&amp;IF(AND(Projects!$G$41="Yes",Projects!$C$41=BV$3),", "&amp;Projects!$A$41,"")&amp;IF(AND(Projects!$G$42="Yes",Projects!$C$42=BV$3),", "&amp;Projects!$A$42,"")&amp;IF(AND(Projects!$G$43="Yes",Projects!$C$43=BV$3),", "&amp;Projects!$A$43,"")&amp;IF(AND(Projects!$G$44="Yes",Projects!$C$44=BV$3),", "&amp;Projects!$A$44,"")&amp;IF(AND(Projects!$G$45="Yes",Projects!$C$45=BV$3),", "&amp;Projects!$A$45,"")&amp;IF(AND(Projects!$G$46="Yes",Projects!$C$46=BV$3),", "&amp;Projects!$A$46,""),3,10000)</f>
        <v/>
      </c>
      <c r="BW6" s="17" t="str">
        <f aca="false">MID(IF(AND(Projects!$G$2="Yes",Projects!$C$2=BW$3),", "&amp;Projects!$A$2,"")&amp;IF(AND(Projects!$G$3="Yes",Projects!$C$3=BW$3),", "&amp;Projects!$A$3,"")&amp;IF(AND(Projects!$G$4="Yes",Projects!$C$4=BW$3),", "&amp;Projects!$A$4,"")&amp;IF(AND(Projects!$G$5="Yes",Projects!$C$5=BW$3),", "&amp;Projects!$A$5,"")&amp;IF(AND(Projects!$G$6="Yes",Projects!$C$6=BW$3),", "&amp;Projects!$A$6,"")&amp;IF(AND(Projects!$G$7="Yes",Projects!$C$7=BW$3),", "&amp;Projects!$A$7,"")&amp;IF(AND(Projects!$G$8="Yes",Projects!$C$8=BW$3),", "&amp;Projects!$A$8,"")&amp;IF(AND(Projects!$G$9="Yes",Projects!$C$9=BW$3),", "&amp;Projects!$A$9,"")&amp;IF(AND(Projects!$G$10="Yes",Projects!$C$10=BW$3),", "&amp;Projects!$A$10,"")&amp;IF(AND(Projects!$G$11="Yes",Projects!$C$11=BW$3),", "&amp;Projects!$A$11,"")&amp;IF(AND(Projects!$G$12="Yes",Projects!$C$12=BW$3),", "&amp;Projects!$A$12,"")&amp;IF(AND(Projects!$G$13="Yes",Projects!$C$13=BW$3),", "&amp;Projects!$A$13,"")&amp;IF(AND(Projects!$G$14="Yes",Projects!$C$14=BW$3),", "&amp;Projects!$A$14,"")&amp;IF(AND(Projects!$G$15="Yes",Projects!$C$15=BW$3),", "&amp;Projects!$A$15,"")&amp;IF(AND(Projects!$G$16="Yes",Projects!$C$16=BW$3),", "&amp;Projects!$A$16,"")&amp;IF(AND(Projects!$G$17="Yes",Projects!$C$17=BW$3),", "&amp;Projects!$A$17,"")&amp;IF(AND(Projects!$G$18="Yes",Projects!$C$18=BW$3),", "&amp;Projects!$A$18,"")&amp;IF(AND(Projects!$G$19="Yes",Projects!$C$19=BW$3),", "&amp;Projects!$A$19,"")&amp;IF(AND(Projects!$G$20="Yes",Projects!$C$20=BW$3),", "&amp;Projects!$A$20,"")&amp;IF(AND(Projects!$G$21="Yes",Projects!$C$21=BW$3),", "&amp;Projects!$A$21,"")&amp;IF(AND(Projects!$G$22="Yes",Projects!$C$22=BW$3),", "&amp;Projects!$A$22,"")&amp;IF(AND(Projects!$G$23="Yes",Projects!$C$23=BW$3),", "&amp;Projects!$A$23,"")&amp;IF(AND(Projects!$G$24="Yes",Projects!$C$24=BW$3),", "&amp;Projects!$A$24,"")&amp;IF(AND(Projects!$G$25="Yes",Projects!$C$25=BW$3),", "&amp;Projects!$A$25,"")&amp;IF(AND(Projects!$G$26="Yes",Projects!$C$26=BW$3),", "&amp;Projects!$A$26,"")&amp;IF(AND(Projects!$G$27="Yes",Projects!$C$27=BW$3),", "&amp;Projects!$A$27,"")&amp;IF(AND(Projects!$G$28="Yes",Projects!$C$28=BW$3),", "&amp;Projects!$A$28,"")&amp;IF(AND(Projects!$G$29="Yes",Projects!$C$29=BW$3),", "&amp;Projects!$A$29,"")&amp;IF(AND(Projects!$G$30="Yes",Projects!$C$30=BW$3),", "&amp;Projects!$A$30,"")&amp;IF(AND(Projects!$G$31="Yes",Projects!$C$31=BW$3),", "&amp;Projects!$A$31,"")&amp;IF(AND(Projects!$G$32="Yes",Projects!$C$32=BW$3),", "&amp;Projects!$A$32,"")&amp;IF(AND(Projects!$G$33="Yes",Projects!$C$33=BW$3),", "&amp;Projects!$A$33,"")&amp;IF(AND(Projects!$G$34="Yes",Projects!$C$34=BW$3),", "&amp;Projects!$A$34,"")&amp;IF(AND(Projects!$G$35="Yes",Projects!$C$35=BW$3),", "&amp;Projects!$A$35,"")&amp;IF(AND(Projects!$G$36="Yes",Projects!$C$36=BW$3),", "&amp;Projects!$A$36,"")&amp;IF(AND(Projects!$G$37="Yes",Projects!$C$37=BW$3),", "&amp;Projects!$A$37,"")&amp;IF(AND(Projects!$G$38="Yes",Projects!$C$38=BW$3),", "&amp;Projects!$A$38,"")&amp;IF(AND(Projects!$G$39="Yes",Projects!$C$39=BW$3),", "&amp;Projects!$A$39,"")&amp;IF(AND(Projects!$G$40="Yes",Projects!$C$40=BW$3),", "&amp;Projects!$A$40,"")&amp;IF(AND(Projects!$G$41="Yes",Projects!$C$41=BW$3),", "&amp;Projects!$A$41,"")&amp;IF(AND(Projects!$G$42="Yes",Projects!$C$42=BW$3),", "&amp;Projects!$A$42,"")&amp;IF(AND(Projects!$G$43="Yes",Projects!$C$43=BW$3),", "&amp;Projects!$A$43,"")&amp;IF(AND(Projects!$G$44="Yes",Projects!$C$44=BW$3),", "&amp;Projects!$A$44,"")&amp;IF(AND(Projects!$G$45="Yes",Projects!$C$45=BW$3),", "&amp;Projects!$A$45,"")&amp;IF(AND(Projects!$G$46="Yes",Projects!$C$46=BW$3),", "&amp;Projects!$A$46,""),3,10000)</f>
        <v/>
      </c>
      <c r="BX6" s="17" t="str">
        <f aca="false">MID(IF(AND(Projects!$G$2="Yes",Projects!$C$2=BX$3),", "&amp;Projects!$A$2,"")&amp;IF(AND(Projects!$G$3="Yes",Projects!$C$3=BX$3),", "&amp;Projects!$A$3,"")&amp;IF(AND(Projects!$G$4="Yes",Projects!$C$4=BX$3),", "&amp;Projects!$A$4,"")&amp;IF(AND(Projects!$G$5="Yes",Projects!$C$5=BX$3),", "&amp;Projects!$A$5,"")&amp;IF(AND(Projects!$G$6="Yes",Projects!$C$6=BX$3),", "&amp;Projects!$A$6,"")&amp;IF(AND(Projects!$G$7="Yes",Projects!$C$7=BX$3),", "&amp;Projects!$A$7,"")&amp;IF(AND(Projects!$G$8="Yes",Projects!$C$8=BX$3),", "&amp;Projects!$A$8,"")&amp;IF(AND(Projects!$G$9="Yes",Projects!$C$9=BX$3),", "&amp;Projects!$A$9,"")&amp;IF(AND(Projects!$G$10="Yes",Projects!$C$10=BX$3),", "&amp;Projects!$A$10,"")&amp;IF(AND(Projects!$G$11="Yes",Projects!$C$11=BX$3),", "&amp;Projects!$A$11,"")&amp;IF(AND(Projects!$G$12="Yes",Projects!$C$12=BX$3),", "&amp;Projects!$A$12,"")&amp;IF(AND(Projects!$G$13="Yes",Projects!$C$13=BX$3),", "&amp;Projects!$A$13,"")&amp;IF(AND(Projects!$G$14="Yes",Projects!$C$14=BX$3),", "&amp;Projects!$A$14,"")&amp;IF(AND(Projects!$G$15="Yes",Projects!$C$15=BX$3),", "&amp;Projects!$A$15,"")&amp;IF(AND(Projects!$G$16="Yes",Projects!$C$16=BX$3),", "&amp;Projects!$A$16,"")&amp;IF(AND(Projects!$G$17="Yes",Projects!$C$17=BX$3),", "&amp;Projects!$A$17,"")&amp;IF(AND(Projects!$G$18="Yes",Projects!$C$18=BX$3),", "&amp;Projects!$A$18,"")&amp;IF(AND(Projects!$G$19="Yes",Projects!$C$19=BX$3),", "&amp;Projects!$A$19,"")&amp;IF(AND(Projects!$G$20="Yes",Projects!$C$20=BX$3),", "&amp;Projects!$A$20,"")&amp;IF(AND(Projects!$G$21="Yes",Projects!$C$21=BX$3),", "&amp;Projects!$A$21,"")&amp;IF(AND(Projects!$G$22="Yes",Projects!$C$22=BX$3),", "&amp;Projects!$A$22,"")&amp;IF(AND(Projects!$G$23="Yes",Projects!$C$23=BX$3),", "&amp;Projects!$A$23,"")&amp;IF(AND(Projects!$G$24="Yes",Projects!$C$24=BX$3),", "&amp;Projects!$A$24,"")&amp;IF(AND(Projects!$G$25="Yes",Projects!$C$25=BX$3),", "&amp;Projects!$A$25,"")&amp;IF(AND(Projects!$G$26="Yes",Projects!$C$26=BX$3),", "&amp;Projects!$A$26,"")&amp;IF(AND(Projects!$G$27="Yes",Projects!$C$27=BX$3),", "&amp;Projects!$A$27,"")&amp;IF(AND(Projects!$G$28="Yes",Projects!$C$28=BX$3),", "&amp;Projects!$A$28,"")&amp;IF(AND(Projects!$G$29="Yes",Projects!$C$29=BX$3),", "&amp;Projects!$A$29,"")&amp;IF(AND(Projects!$G$30="Yes",Projects!$C$30=BX$3),", "&amp;Projects!$A$30,"")&amp;IF(AND(Projects!$G$31="Yes",Projects!$C$31=BX$3),", "&amp;Projects!$A$31,"")&amp;IF(AND(Projects!$G$32="Yes",Projects!$C$32=BX$3),", "&amp;Projects!$A$32,"")&amp;IF(AND(Projects!$G$33="Yes",Projects!$C$33=BX$3),", "&amp;Projects!$A$33,"")&amp;IF(AND(Projects!$G$34="Yes",Projects!$C$34=BX$3),", "&amp;Projects!$A$34,"")&amp;IF(AND(Projects!$G$35="Yes",Projects!$C$35=BX$3),", "&amp;Projects!$A$35,"")&amp;IF(AND(Projects!$G$36="Yes",Projects!$C$36=BX$3),", "&amp;Projects!$A$36,"")&amp;IF(AND(Projects!$G$37="Yes",Projects!$C$37=BX$3),", "&amp;Projects!$A$37,"")&amp;IF(AND(Projects!$G$38="Yes",Projects!$C$38=BX$3),", "&amp;Projects!$A$38,"")&amp;IF(AND(Projects!$G$39="Yes",Projects!$C$39=BX$3),", "&amp;Projects!$A$39,"")&amp;IF(AND(Projects!$G$40="Yes",Projects!$C$40=BX$3),", "&amp;Projects!$A$40,"")&amp;IF(AND(Projects!$G$41="Yes",Projects!$C$41=BX$3),", "&amp;Projects!$A$41,"")&amp;IF(AND(Projects!$G$42="Yes",Projects!$C$42=BX$3),", "&amp;Projects!$A$42,"")&amp;IF(AND(Projects!$G$43="Yes",Projects!$C$43=BX$3),", "&amp;Projects!$A$43,"")&amp;IF(AND(Projects!$G$44="Yes",Projects!$C$44=BX$3),", "&amp;Projects!$A$44,"")&amp;IF(AND(Projects!$G$45="Yes",Projects!$C$45=BX$3),", "&amp;Projects!$A$45,"")&amp;IF(AND(Projects!$G$46="Yes",Projects!$C$46=BX$3),", "&amp;Projects!$A$46,""),3,10000)</f>
        <v/>
      </c>
      <c r="BY6" s="17" t="str">
        <f aca="false">MID(IF(AND(Projects!$G$2="Yes",Projects!$C$2=BY$3),", "&amp;Projects!$A$2,"")&amp;IF(AND(Projects!$G$3="Yes",Projects!$C$3=BY$3),", "&amp;Projects!$A$3,"")&amp;IF(AND(Projects!$G$4="Yes",Projects!$C$4=BY$3),", "&amp;Projects!$A$4,"")&amp;IF(AND(Projects!$G$5="Yes",Projects!$C$5=BY$3),", "&amp;Projects!$A$5,"")&amp;IF(AND(Projects!$G$6="Yes",Projects!$C$6=BY$3),", "&amp;Projects!$A$6,"")&amp;IF(AND(Projects!$G$7="Yes",Projects!$C$7=BY$3),", "&amp;Projects!$A$7,"")&amp;IF(AND(Projects!$G$8="Yes",Projects!$C$8=BY$3),", "&amp;Projects!$A$8,"")&amp;IF(AND(Projects!$G$9="Yes",Projects!$C$9=BY$3),", "&amp;Projects!$A$9,"")&amp;IF(AND(Projects!$G$10="Yes",Projects!$C$10=BY$3),", "&amp;Projects!$A$10,"")&amp;IF(AND(Projects!$G$11="Yes",Projects!$C$11=BY$3),", "&amp;Projects!$A$11,"")&amp;IF(AND(Projects!$G$12="Yes",Projects!$C$12=BY$3),", "&amp;Projects!$A$12,"")&amp;IF(AND(Projects!$G$13="Yes",Projects!$C$13=BY$3),", "&amp;Projects!$A$13,"")&amp;IF(AND(Projects!$G$14="Yes",Projects!$C$14=BY$3),", "&amp;Projects!$A$14,"")&amp;IF(AND(Projects!$G$15="Yes",Projects!$C$15=BY$3),", "&amp;Projects!$A$15,"")&amp;IF(AND(Projects!$G$16="Yes",Projects!$C$16=BY$3),", "&amp;Projects!$A$16,"")&amp;IF(AND(Projects!$G$17="Yes",Projects!$C$17=BY$3),", "&amp;Projects!$A$17,"")&amp;IF(AND(Projects!$G$18="Yes",Projects!$C$18=BY$3),", "&amp;Projects!$A$18,"")&amp;IF(AND(Projects!$G$19="Yes",Projects!$C$19=BY$3),", "&amp;Projects!$A$19,"")&amp;IF(AND(Projects!$G$20="Yes",Projects!$C$20=BY$3),", "&amp;Projects!$A$20,"")&amp;IF(AND(Projects!$G$21="Yes",Projects!$C$21=BY$3),", "&amp;Projects!$A$21,"")&amp;IF(AND(Projects!$G$22="Yes",Projects!$C$22=BY$3),", "&amp;Projects!$A$22,"")&amp;IF(AND(Projects!$G$23="Yes",Projects!$C$23=BY$3),", "&amp;Projects!$A$23,"")&amp;IF(AND(Projects!$G$24="Yes",Projects!$C$24=BY$3),", "&amp;Projects!$A$24,"")&amp;IF(AND(Projects!$G$25="Yes",Projects!$C$25=BY$3),", "&amp;Projects!$A$25,"")&amp;IF(AND(Projects!$G$26="Yes",Projects!$C$26=BY$3),", "&amp;Projects!$A$26,"")&amp;IF(AND(Projects!$G$27="Yes",Projects!$C$27=BY$3),", "&amp;Projects!$A$27,"")&amp;IF(AND(Projects!$G$28="Yes",Projects!$C$28=BY$3),", "&amp;Projects!$A$28,"")&amp;IF(AND(Projects!$G$29="Yes",Projects!$C$29=BY$3),", "&amp;Projects!$A$29,"")&amp;IF(AND(Projects!$G$30="Yes",Projects!$C$30=BY$3),", "&amp;Projects!$A$30,"")&amp;IF(AND(Projects!$G$31="Yes",Projects!$C$31=BY$3),", "&amp;Projects!$A$31,"")&amp;IF(AND(Projects!$G$32="Yes",Projects!$C$32=BY$3),", "&amp;Projects!$A$32,"")&amp;IF(AND(Projects!$G$33="Yes",Projects!$C$33=BY$3),", "&amp;Projects!$A$33,"")&amp;IF(AND(Projects!$G$34="Yes",Projects!$C$34=BY$3),", "&amp;Projects!$A$34,"")&amp;IF(AND(Projects!$G$35="Yes",Projects!$C$35=BY$3),", "&amp;Projects!$A$35,"")&amp;IF(AND(Projects!$G$36="Yes",Projects!$C$36=BY$3),", "&amp;Projects!$A$36,"")&amp;IF(AND(Projects!$G$37="Yes",Projects!$C$37=BY$3),", "&amp;Projects!$A$37,"")&amp;IF(AND(Projects!$G$38="Yes",Projects!$C$38=BY$3),", "&amp;Projects!$A$38,"")&amp;IF(AND(Projects!$G$39="Yes",Projects!$C$39=BY$3),", "&amp;Projects!$A$39,"")&amp;IF(AND(Projects!$G$40="Yes",Projects!$C$40=BY$3),", "&amp;Projects!$A$40,"")&amp;IF(AND(Projects!$G$41="Yes",Projects!$C$41=BY$3),", "&amp;Projects!$A$41,"")&amp;IF(AND(Projects!$G$42="Yes",Projects!$C$42=BY$3),", "&amp;Projects!$A$42,"")&amp;IF(AND(Projects!$G$43="Yes",Projects!$C$43=BY$3),", "&amp;Projects!$A$43,"")&amp;IF(AND(Projects!$G$44="Yes",Projects!$C$44=BY$3),", "&amp;Projects!$A$44,"")&amp;IF(AND(Projects!$G$45="Yes",Projects!$C$45=BY$3),", "&amp;Projects!$A$45,"")&amp;IF(AND(Projects!$G$46="Yes",Projects!$C$46=BY$3),", "&amp;Projects!$A$46,""),3,10000)</f>
        <v/>
      </c>
      <c r="BZ6" s="17" t="str">
        <f aca="false">MID(IF(AND(Projects!$G$2="Yes",Projects!$C$2=BZ$3),", "&amp;Projects!$A$2,"")&amp;IF(AND(Projects!$G$3="Yes",Projects!$C$3=BZ$3),", "&amp;Projects!$A$3,"")&amp;IF(AND(Projects!$G$4="Yes",Projects!$C$4=BZ$3),", "&amp;Projects!$A$4,"")&amp;IF(AND(Projects!$G$5="Yes",Projects!$C$5=BZ$3),", "&amp;Projects!$A$5,"")&amp;IF(AND(Projects!$G$6="Yes",Projects!$C$6=BZ$3),", "&amp;Projects!$A$6,"")&amp;IF(AND(Projects!$G$7="Yes",Projects!$C$7=BZ$3),", "&amp;Projects!$A$7,"")&amp;IF(AND(Projects!$G$8="Yes",Projects!$C$8=BZ$3),", "&amp;Projects!$A$8,"")&amp;IF(AND(Projects!$G$9="Yes",Projects!$C$9=BZ$3),", "&amp;Projects!$A$9,"")&amp;IF(AND(Projects!$G$10="Yes",Projects!$C$10=BZ$3),", "&amp;Projects!$A$10,"")&amp;IF(AND(Projects!$G$11="Yes",Projects!$C$11=BZ$3),", "&amp;Projects!$A$11,"")&amp;IF(AND(Projects!$G$12="Yes",Projects!$C$12=BZ$3),", "&amp;Projects!$A$12,"")&amp;IF(AND(Projects!$G$13="Yes",Projects!$C$13=BZ$3),", "&amp;Projects!$A$13,"")&amp;IF(AND(Projects!$G$14="Yes",Projects!$C$14=BZ$3),", "&amp;Projects!$A$14,"")&amp;IF(AND(Projects!$G$15="Yes",Projects!$C$15=BZ$3),", "&amp;Projects!$A$15,"")&amp;IF(AND(Projects!$G$16="Yes",Projects!$C$16=BZ$3),", "&amp;Projects!$A$16,"")&amp;IF(AND(Projects!$G$17="Yes",Projects!$C$17=BZ$3),", "&amp;Projects!$A$17,"")&amp;IF(AND(Projects!$G$18="Yes",Projects!$C$18=BZ$3),", "&amp;Projects!$A$18,"")&amp;IF(AND(Projects!$G$19="Yes",Projects!$C$19=BZ$3),", "&amp;Projects!$A$19,"")&amp;IF(AND(Projects!$G$20="Yes",Projects!$C$20=BZ$3),", "&amp;Projects!$A$20,"")&amp;IF(AND(Projects!$G$21="Yes",Projects!$C$21=BZ$3),", "&amp;Projects!$A$21,"")&amp;IF(AND(Projects!$G$22="Yes",Projects!$C$22=BZ$3),", "&amp;Projects!$A$22,"")&amp;IF(AND(Projects!$G$23="Yes",Projects!$C$23=BZ$3),", "&amp;Projects!$A$23,"")&amp;IF(AND(Projects!$G$24="Yes",Projects!$C$24=BZ$3),", "&amp;Projects!$A$24,"")&amp;IF(AND(Projects!$G$25="Yes",Projects!$C$25=BZ$3),", "&amp;Projects!$A$25,"")&amp;IF(AND(Projects!$G$26="Yes",Projects!$C$26=BZ$3),", "&amp;Projects!$A$26,"")&amp;IF(AND(Projects!$G$27="Yes",Projects!$C$27=BZ$3),", "&amp;Projects!$A$27,"")&amp;IF(AND(Projects!$G$28="Yes",Projects!$C$28=BZ$3),", "&amp;Projects!$A$28,"")&amp;IF(AND(Projects!$G$29="Yes",Projects!$C$29=BZ$3),", "&amp;Projects!$A$29,"")&amp;IF(AND(Projects!$G$30="Yes",Projects!$C$30=BZ$3),", "&amp;Projects!$A$30,"")&amp;IF(AND(Projects!$G$31="Yes",Projects!$C$31=BZ$3),", "&amp;Projects!$A$31,"")&amp;IF(AND(Projects!$G$32="Yes",Projects!$C$32=BZ$3),", "&amp;Projects!$A$32,"")&amp;IF(AND(Projects!$G$33="Yes",Projects!$C$33=BZ$3),", "&amp;Projects!$A$33,"")&amp;IF(AND(Projects!$G$34="Yes",Projects!$C$34=BZ$3),", "&amp;Projects!$A$34,"")&amp;IF(AND(Projects!$G$35="Yes",Projects!$C$35=BZ$3),", "&amp;Projects!$A$35,"")&amp;IF(AND(Projects!$G$36="Yes",Projects!$C$36=BZ$3),", "&amp;Projects!$A$36,"")&amp;IF(AND(Projects!$G$37="Yes",Projects!$C$37=BZ$3),", "&amp;Projects!$A$37,"")&amp;IF(AND(Projects!$G$38="Yes",Projects!$C$38=BZ$3),", "&amp;Projects!$A$38,"")&amp;IF(AND(Projects!$G$39="Yes",Projects!$C$39=BZ$3),", "&amp;Projects!$A$39,"")&amp;IF(AND(Projects!$G$40="Yes",Projects!$C$40=BZ$3),", "&amp;Projects!$A$40,"")&amp;IF(AND(Projects!$G$41="Yes",Projects!$C$41=BZ$3),", "&amp;Projects!$A$41,"")&amp;IF(AND(Projects!$G$42="Yes",Projects!$C$42=BZ$3),", "&amp;Projects!$A$42,"")&amp;IF(AND(Projects!$G$43="Yes",Projects!$C$43=BZ$3),", "&amp;Projects!$A$43,"")&amp;IF(AND(Projects!$G$44="Yes",Projects!$C$44=BZ$3),", "&amp;Projects!$A$44,"")&amp;IF(AND(Projects!$G$45="Yes",Projects!$C$45=BZ$3),", "&amp;Projects!$A$45,"")&amp;IF(AND(Projects!$G$46="Yes",Projects!$C$46=BZ$3),", "&amp;Projects!$A$46,""),3,10000)</f>
        <v/>
      </c>
      <c r="CA6" s="17" t="str">
        <f aca="false">MID(IF(AND(Projects!$G$2="Yes",Projects!$C$2=CA$3),", "&amp;Projects!$A$2,"")&amp;IF(AND(Projects!$G$3="Yes",Projects!$C$3=CA$3),", "&amp;Projects!$A$3,"")&amp;IF(AND(Projects!$G$4="Yes",Projects!$C$4=CA$3),", "&amp;Projects!$A$4,"")&amp;IF(AND(Projects!$G$5="Yes",Projects!$C$5=CA$3),", "&amp;Projects!$A$5,"")&amp;IF(AND(Projects!$G$6="Yes",Projects!$C$6=CA$3),", "&amp;Projects!$A$6,"")&amp;IF(AND(Projects!$G$7="Yes",Projects!$C$7=CA$3),", "&amp;Projects!$A$7,"")&amp;IF(AND(Projects!$G$8="Yes",Projects!$C$8=CA$3),", "&amp;Projects!$A$8,"")&amp;IF(AND(Projects!$G$9="Yes",Projects!$C$9=CA$3),", "&amp;Projects!$A$9,"")&amp;IF(AND(Projects!$G$10="Yes",Projects!$C$10=CA$3),", "&amp;Projects!$A$10,"")&amp;IF(AND(Projects!$G$11="Yes",Projects!$C$11=CA$3),", "&amp;Projects!$A$11,"")&amp;IF(AND(Projects!$G$12="Yes",Projects!$C$12=CA$3),", "&amp;Projects!$A$12,"")&amp;IF(AND(Projects!$G$13="Yes",Projects!$C$13=CA$3),", "&amp;Projects!$A$13,"")&amp;IF(AND(Projects!$G$14="Yes",Projects!$C$14=CA$3),", "&amp;Projects!$A$14,"")&amp;IF(AND(Projects!$G$15="Yes",Projects!$C$15=CA$3),", "&amp;Projects!$A$15,"")&amp;IF(AND(Projects!$G$16="Yes",Projects!$C$16=CA$3),", "&amp;Projects!$A$16,"")&amp;IF(AND(Projects!$G$17="Yes",Projects!$C$17=CA$3),", "&amp;Projects!$A$17,"")&amp;IF(AND(Projects!$G$18="Yes",Projects!$C$18=CA$3),", "&amp;Projects!$A$18,"")&amp;IF(AND(Projects!$G$19="Yes",Projects!$C$19=CA$3),", "&amp;Projects!$A$19,"")&amp;IF(AND(Projects!$G$20="Yes",Projects!$C$20=CA$3),", "&amp;Projects!$A$20,"")&amp;IF(AND(Projects!$G$21="Yes",Projects!$C$21=CA$3),", "&amp;Projects!$A$21,"")&amp;IF(AND(Projects!$G$22="Yes",Projects!$C$22=CA$3),", "&amp;Projects!$A$22,"")&amp;IF(AND(Projects!$G$23="Yes",Projects!$C$23=CA$3),", "&amp;Projects!$A$23,"")&amp;IF(AND(Projects!$G$24="Yes",Projects!$C$24=CA$3),", "&amp;Projects!$A$24,"")&amp;IF(AND(Projects!$G$25="Yes",Projects!$C$25=CA$3),", "&amp;Projects!$A$25,"")&amp;IF(AND(Projects!$G$26="Yes",Projects!$C$26=CA$3),", "&amp;Projects!$A$26,"")&amp;IF(AND(Projects!$G$27="Yes",Projects!$C$27=CA$3),", "&amp;Projects!$A$27,"")&amp;IF(AND(Projects!$G$28="Yes",Projects!$C$28=CA$3),", "&amp;Projects!$A$28,"")&amp;IF(AND(Projects!$G$29="Yes",Projects!$C$29=CA$3),", "&amp;Projects!$A$29,"")&amp;IF(AND(Projects!$G$30="Yes",Projects!$C$30=CA$3),", "&amp;Projects!$A$30,"")&amp;IF(AND(Projects!$G$31="Yes",Projects!$C$31=CA$3),", "&amp;Projects!$A$31,"")&amp;IF(AND(Projects!$G$32="Yes",Projects!$C$32=CA$3),", "&amp;Projects!$A$32,"")&amp;IF(AND(Projects!$G$33="Yes",Projects!$C$33=CA$3),", "&amp;Projects!$A$33,"")&amp;IF(AND(Projects!$G$34="Yes",Projects!$C$34=CA$3),", "&amp;Projects!$A$34,"")&amp;IF(AND(Projects!$G$35="Yes",Projects!$C$35=CA$3),", "&amp;Projects!$A$35,"")&amp;IF(AND(Projects!$G$36="Yes",Projects!$C$36=CA$3),", "&amp;Projects!$A$36,"")&amp;IF(AND(Projects!$G$37="Yes",Projects!$C$37=CA$3),", "&amp;Projects!$A$37,"")&amp;IF(AND(Projects!$G$38="Yes",Projects!$C$38=CA$3),", "&amp;Projects!$A$38,"")&amp;IF(AND(Projects!$G$39="Yes",Projects!$C$39=CA$3),", "&amp;Projects!$A$39,"")&amp;IF(AND(Projects!$G$40="Yes",Projects!$C$40=CA$3),", "&amp;Projects!$A$40,"")&amp;IF(AND(Projects!$G$41="Yes",Projects!$C$41=CA$3),", "&amp;Projects!$A$41,"")&amp;IF(AND(Projects!$G$42="Yes",Projects!$C$42=CA$3),", "&amp;Projects!$A$42,"")&amp;IF(AND(Projects!$G$43="Yes",Projects!$C$43=CA$3),", "&amp;Projects!$A$43,"")&amp;IF(AND(Projects!$G$44="Yes",Projects!$C$44=CA$3),", "&amp;Projects!$A$44,"")&amp;IF(AND(Projects!$G$45="Yes",Projects!$C$45=CA$3),", "&amp;Projects!$A$45,"")&amp;IF(AND(Projects!$G$46="Yes",Projects!$C$46=CA$3),", "&amp;Projects!$A$46,""),3,10000)</f>
        <v/>
      </c>
      <c r="CB6" s="17" t="str">
        <f aca="false">MID(IF(AND(Projects!$G$2="Yes",Projects!$C$2=CB$3),", "&amp;Projects!$A$2,"")&amp;IF(AND(Projects!$G$3="Yes",Projects!$C$3=CB$3),", "&amp;Projects!$A$3,"")&amp;IF(AND(Projects!$G$4="Yes",Projects!$C$4=CB$3),", "&amp;Projects!$A$4,"")&amp;IF(AND(Projects!$G$5="Yes",Projects!$C$5=CB$3),", "&amp;Projects!$A$5,"")&amp;IF(AND(Projects!$G$6="Yes",Projects!$C$6=CB$3),", "&amp;Projects!$A$6,"")&amp;IF(AND(Projects!$G$7="Yes",Projects!$C$7=CB$3),", "&amp;Projects!$A$7,"")&amp;IF(AND(Projects!$G$8="Yes",Projects!$C$8=CB$3),", "&amp;Projects!$A$8,"")&amp;IF(AND(Projects!$G$9="Yes",Projects!$C$9=CB$3),", "&amp;Projects!$A$9,"")&amp;IF(AND(Projects!$G$10="Yes",Projects!$C$10=CB$3),", "&amp;Projects!$A$10,"")&amp;IF(AND(Projects!$G$11="Yes",Projects!$C$11=CB$3),", "&amp;Projects!$A$11,"")&amp;IF(AND(Projects!$G$12="Yes",Projects!$C$12=CB$3),", "&amp;Projects!$A$12,"")&amp;IF(AND(Projects!$G$13="Yes",Projects!$C$13=CB$3),", "&amp;Projects!$A$13,"")&amp;IF(AND(Projects!$G$14="Yes",Projects!$C$14=CB$3),", "&amp;Projects!$A$14,"")&amp;IF(AND(Projects!$G$15="Yes",Projects!$C$15=CB$3),", "&amp;Projects!$A$15,"")&amp;IF(AND(Projects!$G$16="Yes",Projects!$C$16=CB$3),", "&amp;Projects!$A$16,"")&amp;IF(AND(Projects!$G$17="Yes",Projects!$C$17=CB$3),", "&amp;Projects!$A$17,"")&amp;IF(AND(Projects!$G$18="Yes",Projects!$C$18=CB$3),", "&amp;Projects!$A$18,"")&amp;IF(AND(Projects!$G$19="Yes",Projects!$C$19=CB$3),", "&amp;Projects!$A$19,"")&amp;IF(AND(Projects!$G$20="Yes",Projects!$C$20=CB$3),", "&amp;Projects!$A$20,"")&amp;IF(AND(Projects!$G$21="Yes",Projects!$C$21=CB$3),", "&amp;Projects!$A$21,"")&amp;IF(AND(Projects!$G$22="Yes",Projects!$C$22=CB$3),", "&amp;Projects!$A$22,"")&amp;IF(AND(Projects!$G$23="Yes",Projects!$C$23=CB$3),", "&amp;Projects!$A$23,"")&amp;IF(AND(Projects!$G$24="Yes",Projects!$C$24=CB$3),", "&amp;Projects!$A$24,"")&amp;IF(AND(Projects!$G$25="Yes",Projects!$C$25=CB$3),", "&amp;Projects!$A$25,"")&amp;IF(AND(Projects!$G$26="Yes",Projects!$C$26=CB$3),", "&amp;Projects!$A$26,"")&amp;IF(AND(Projects!$G$27="Yes",Projects!$C$27=CB$3),", "&amp;Projects!$A$27,"")&amp;IF(AND(Projects!$G$28="Yes",Projects!$C$28=CB$3),", "&amp;Projects!$A$28,"")&amp;IF(AND(Projects!$G$29="Yes",Projects!$C$29=CB$3),", "&amp;Projects!$A$29,"")&amp;IF(AND(Projects!$G$30="Yes",Projects!$C$30=CB$3),", "&amp;Projects!$A$30,"")&amp;IF(AND(Projects!$G$31="Yes",Projects!$C$31=CB$3),", "&amp;Projects!$A$31,"")&amp;IF(AND(Projects!$G$32="Yes",Projects!$C$32=CB$3),", "&amp;Projects!$A$32,"")&amp;IF(AND(Projects!$G$33="Yes",Projects!$C$33=CB$3),", "&amp;Projects!$A$33,"")&amp;IF(AND(Projects!$G$34="Yes",Projects!$C$34=CB$3),", "&amp;Projects!$A$34,"")&amp;IF(AND(Projects!$G$35="Yes",Projects!$C$35=CB$3),", "&amp;Projects!$A$35,"")&amp;IF(AND(Projects!$G$36="Yes",Projects!$C$36=CB$3),", "&amp;Projects!$A$36,"")&amp;IF(AND(Projects!$G$37="Yes",Projects!$C$37=CB$3),", "&amp;Projects!$A$37,"")&amp;IF(AND(Projects!$G$38="Yes",Projects!$C$38=CB$3),", "&amp;Projects!$A$38,"")&amp;IF(AND(Projects!$G$39="Yes",Projects!$C$39=CB$3),", "&amp;Projects!$A$39,"")&amp;IF(AND(Projects!$G$40="Yes",Projects!$C$40=CB$3),", "&amp;Projects!$A$40,"")&amp;IF(AND(Projects!$G$41="Yes",Projects!$C$41=CB$3),", "&amp;Projects!$A$41,"")&amp;IF(AND(Projects!$G$42="Yes",Projects!$C$42=CB$3),", "&amp;Projects!$A$42,"")&amp;IF(AND(Projects!$G$43="Yes",Projects!$C$43=CB$3),", "&amp;Projects!$A$43,"")&amp;IF(AND(Projects!$G$44="Yes",Projects!$C$44=CB$3),", "&amp;Projects!$A$44,"")&amp;IF(AND(Projects!$G$45="Yes",Projects!$C$45=CB$3),", "&amp;Projects!$A$45,"")&amp;IF(AND(Projects!$G$46="Yes",Projects!$C$46=CB$3),", "&amp;Projects!$A$46,""),3,10000)</f>
        <v/>
      </c>
      <c r="CC6" s="17" t="str">
        <f aca="false">MID(IF(AND(Projects!$G$2="Yes",Projects!$C$2=CC$3),", "&amp;Projects!$A$2,"")&amp;IF(AND(Projects!$G$3="Yes",Projects!$C$3=CC$3),", "&amp;Projects!$A$3,"")&amp;IF(AND(Projects!$G$4="Yes",Projects!$C$4=CC$3),", "&amp;Projects!$A$4,"")&amp;IF(AND(Projects!$G$5="Yes",Projects!$C$5=CC$3),", "&amp;Projects!$A$5,"")&amp;IF(AND(Projects!$G$6="Yes",Projects!$C$6=CC$3),", "&amp;Projects!$A$6,"")&amp;IF(AND(Projects!$G$7="Yes",Projects!$C$7=CC$3),", "&amp;Projects!$A$7,"")&amp;IF(AND(Projects!$G$8="Yes",Projects!$C$8=CC$3),", "&amp;Projects!$A$8,"")&amp;IF(AND(Projects!$G$9="Yes",Projects!$C$9=CC$3),", "&amp;Projects!$A$9,"")&amp;IF(AND(Projects!$G$10="Yes",Projects!$C$10=CC$3),", "&amp;Projects!$A$10,"")&amp;IF(AND(Projects!$G$11="Yes",Projects!$C$11=CC$3),", "&amp;Projects!$A$11,"")&amp;IF(AND(Projects!$G$12="Yes",Projects!$C$12=CC$3),", "&amp;Projects!$A$12,"")&amp;IF(AND(Projects!$G$13="Yes",Projects!$C$13=CC$3),", "&amp;Projects!$A$13,"")&amp;IF(AND(Projects!$G$14="Yes",Projects!$C$14=CC$3),", "&amp;Projects!$A$14,"")&amp;IF(AND(Projects!$G$15="Yes",Projects!$C$15=CC$3),", "&amp;Projects!$A$15,"")&amp;IF(AND(Projects!$G$16="Yes",Projects!$C$16=CC$3),", "&amp;Projects!$A$16,"")&amp;IF(AND(Projects!$G$17="Yes",Projects!$C$17=CC$3),", "&amp;Projects!$A$17,"")&amp;IF(AND(Projects!$G$18="Yes",Projects!$C$18=CC$3),", "&amp;Projects!$A$18,"")&amp;IF(AND(Projects!$G$19="Yes",Projects!$C$19=CC$3),", "&amp;Projects!$A$19,"")&amp;IF(AND(Projects!$G$20="Yes",Projects!$C$20=CC$3),", "&amp;Projects!$A$20,"")&amp;IF(AND(Projects!$G$21="Yes",Projects!$C$21=CC$3),", "&amp;Projects!$A$21,"")&amp;IF(AND(Projects!$G$22="Yes",Projects!$C$22=CC$3),", "&amp;Projects!$A$22,"")&amp;IF(AND(Projects!$G$23="Yes",Projects!$C$23=CC$3),", "&amp;Projects!$A$23,"")&amp;IF(AND(Projects!$G$24="Yes",Projects!$C$24=CC$3),", "&amp;Projects!$A$24,"")&amp;IF(AND(Projects!$G$25="Yes",Projects!$C$25=CC$3),", "&amp;Projects!$A$25,"")&amp;IF(AND(Projects!$G$26="Yes",Projects!$C$26=CC$3),", "&amp;Projects!$A$26,"")&amp;IF(AND(Projects!$G$27="Yes",Projects!$C$27=CC$3),", "&amp;Projects!$A$27,"")&amp;IF(AND(Projects!$G$28="Yes",Projects!$C$28=CC$3),", "&amp;Projects!$A$28,"")&amp;IF(AND(Projects!$G$29="Yes",Projects!$C$29=CC$3),", "&amp;Projects!$A$29,"")&amp;IF(AND(Projects!$G$30="Yes",Projects!$C$30=CC$3),", "&amp;Projects!$A$30,"")&amp;IF(AND(Projects!$G$31="Yes",Projects!$C$31=CC$3),", "&amp;Projects!$A$31,"")&amp;IF(AND(Projects!$G$32="Yes",Projects!$C$32=CC$3),", "&amp;Projects!$A$32,"")&amp;IF(AND(Projects!$G$33="Yes",Projects!$C$33=CC$3),", "&amp;Projects!$A$33,"")&amp;IF(AND(Projects!$G$34="Yes",Projects!$C$34=CC$3),", "&amp;Projects!$A$34,"")&amp;IF(AND(Projects!$G$35="Yes",Projects!$C$35=CC$3),", "&amp;Projects!$A$35,"")&amp;IF(AND(Projects!$G$36="Yes",Projects!$C$36=CC$3),", "&amp;Projects!$A$36,"")&amp;IF(AND(Projects!$G$37="Yes",Projects!$C$37=CC$3),", "&amp;Projects!$A$37,"")&amp;IF(AND(Projects!$G$38="Yes",Projects!$C$38=CC$3),", "&amp;Projects!$A$38,"")&amp;IF(AND(Projects!$G$39="Yes",Projects!$C$39=CC$3),", "&amp;Projects!$A$39,"")&amp;IF(AND(Projects!$G$40="Yes",Projects!$C$40=CC$3),", "&amp;Projects!$A$40,"")&amp;IF(AND(Projects!$G$41="Yes",Projects!$C$41=CC$3),", "&amp;Projects!$A$41,"")&amp;IF(AND(Projects!$G$42="Yes",Projects!$C$42=CC$3),", "&amp;Projects!$A$42,"")&amp;IF(AND(Projects!$G$43="Yes",Projects!$C$43=CC$3),", "&amp;Projects!$A$43,"")&amp;IF(AND(Projects!$G$44="Yes",Projects!$C$44=CC$3),", "&amp;Projects!$A$44,"")&amp;IF(AND(Projects!$G$45="Yes",Projects!$C$45=CC$3),", "&amp;Projects!$A$45,"")&amp;IF(AND(Projects!$G$46="Yes",Projects!$C$46=CC$3),", "&amp;Projects!$A$46,""),3,10000)</f>
        <v/>
      </c>
      <c r="CD6" s="17" t="str">
        <f aca="false">MID(IF(AND(Projects!$G$2="Yes",Projects!$C$2=CD$3),", "&amp;Projects!$A$2,"")&amp;IF(AND(Projects!$G$3="Yes",Projects!$C$3=CD$3),", "&amp;Projects!$A$3,"")&amp;IF(AND(Projects!$G$4="Yes",Projects!$C$4=CD$3),", "&amp;Projects!$A$4,"")&amp;IF(AND(Projects!$G$5="Yes",Projects!$C$5=CD$3),", "&amp;Projects!$A$5,"")&amp;IF(AND(Projects!$G$6="Yes",Projects!$C$6=CD$3),", "&amp;Projects!$A$6,"")&amp;IF(AND(Projects!$G$7="Yes",Projects!$C$7=CD$3),", "&amp;Projects!$A$7,"")&amp;IF(AND(Projects!$G$8="Yes",Projects!$C$8=CD$3),", "&amp;Projects!$A$8,"")&amp;IF(AND(Projects!$G$9="Yes",Projects!$C$9=CD$3),", "&amp;Projects!$A$9,"")&amp;IF(AND(Projects!$G$10="Yes",Projects!$C$10=CD$3),", "&amp;Projects!$A$10,"")&amp;IF(AND(Projects!$G$11="Yes",Projects!$C$11=CD$3),", "&amp;Projects!$A$11,"")&amp;IF(AND(Projects!$G$12="Yes",Projects!$C$12=CD$3),", "&amp;Projects!$A$12,"")&amp;IF(AND(Projects!$G$13="Yes",Projects!$C$13=CD$3),", "&amp;Projects!$A$13,"")&amp;IF(AND(Projects!$G$14="Yes",Projects!$C$14=CD$3),", "&amp;Projects!$A$14,"")&amp;IF(AND(Projects!$G$15="Yes",Projects!$C$15=CD$3),", "&amp;Projects!$A$15,"")&amp;IF(AND(Projects!$G$16="Yes",Projects!$C$16=CD$3),", "&amp;Projects!$A$16,"")&amp;IF(AND(Projects!$G$17="Yes",Projects!$C$17=CD$3),", "&amp;Projects!$A$17,"")&amp;IF(AND(Projects!$G$18="Yes",Projects!$C$18=CD$3),", "&amp;Projects!$A$18,"")&amp;IF(AND(Projects!$G$19="Yes",Projects!$C$19=CD$3),", "&amp;Projects!$A$19,"")&amp;IF(AND(Projects!$G$20="Yes",Projects!$C$20=CD$3),", "&amp;Projects!$A$20,"")&amp;IF(AND(Projects!$G$21="Yes",Projects!$C$21=CD$3),", "&amp;Projects!$A$21,"")&amp;IF(AND(Projects!$G$22="Yes",Projects!$C$22=CD$3),", "&amp;Projects!$A$22,"")&amp;IF(AND(Projects!$G$23="Yes",Projects!$C$23=CD$3),", "&amp;Projects!$A$23,"")&amp;IF(AND(Projects!$G$24="Yes",Projects!$C$24=CD$3),", "&amp;Projects!$A$24,"")&amp;IF(AND(Projects!$G$25="Yes",Projects!$C$25=CD$3),", "&amp;Projects!$A$25,"")&amp;IF(AND(Projects!$G$26="Yes",Projects!$C$26=CD$3),", "&amp;Projects!$A$26,"")&amp;IF(AND(Projects!$G$27="Yes",Projects!$C$27=CD$3),", "&amp;Projects!$A$27,"")&amp;IF(AND(Projects!$G$28="Yes",Projects!$C$28=CD$3),", "&amp;Projects!$A$28,"")&amp;IF(AND(Projects!$G$29="Yes",Projects!$C$29=CD$3),", "&amp;Projects!$A$29,"")&amp;IF(AND(Projects!$G$30="Yes",Projects!$C$30=CD$3),", "&amp;Projects!$A$30,"")&amp;IF(AND(Projects!$G$31="Yes",Projects!$C$31=CD$3),", "&amp;Projects!$A$31,"")&amp;IF(AND(Projects!$G$32="Yes",Projects!$C$32=CD$3),", "&amp;Projects!$A$32,"")&amp;IF(AND(Projects!$G$33="Yes",Projects!$C$33=CD$3),", "&amp;Projects!$A$33,"")&amp;IF(AND(Projects!$G$34="Yes",Projects!$C$34=CD$3),", "&amp;Projects!$A$34,"")&amp;IF(AND(Projects!$G$35="Yes",Projects!$C$35=CD$3),", "&amp;Projects!$A$35,"")&amp;IF(AND(Projects!$G$36="Yes",Projects!$C$36=CD$3),", "&amp;Projects!$A$36,"")&amp;IF(AND(Projects!$G$37="Yes",Projects!$C$37=CD$3),", "&amp;Projects!$A$37,"")&amp;IF(AND(Projects!$G$38="Yes",Projects!$C$38=CD$3),", "&amp;Projects!$A$38,"")&amp;IF(AND(Projects!$G$39="Yes",Projects!$C$39=CD$3),", "&amp;Projects!$A$39,"")&amp;IF(AND(Projects!$G$40="Yes",Projects!$C$40=CD$3),", "&amp;Projects!$A$40,"")&amp;IF(AND(Projects!$G$41="Yes",Projects!$C$41=CD$3),", "&amp;Projects!$A$41,"")&amp;IF(AND(Projects!$G$42="Yes",Projects!$C$42=CD$3),", "&amp;Projects!$A$42,"")&amp;IF(AND(Projects!$G$43="Yes",Projects!$C$43=CD$3),", "&amp;Projects!$A$43,"")&amp;IF(AND(Projects!$G$44="Yes",Projects!$C$44=CD$3),", "&amp;Projects!$A$44,"")&amp;IF(AND(Projects!$G$45="Yes",Projects!$C$45=CD$3),", "&amp;Projects!$A$45,"")&amp;IF(AND(Projects!$G$46="Yes",Projects!$C$46=CD$3),", "&amp;Projects!$A$46,""),3,10000)</f>
        <v/>
      </c>
      <c r="CE6" s="17" t="str">
        <f aca="false">MID(IF(AND(Projects!$G$2="Yes",Projects!$C$2=CE$3),", "&amp;Projects!$A$2,"")&amp;IF(AND(Projects!$G$3="Yes",Projects!$C$3=CE$3),", "&amp;Projects!$A$3,"")&amp;IF(AND(Projects!$G$4="Yes",Projects!$C$4=CE$3),", "&amp;Projects!$A$4,"")&amp;IF(AND(Projects!$G$5="Yes",Projects!$C$5=CE$3),", "&amp;Projects!$A$5,"")&amp;IF(AND(Projects!$G$6="Yes",Projects!$C$6=CE$3),", "&amp;Projects!$A$6,"")&amp;IF(AND(Projects!$G$7="Yes",Projects!$C$7=CE$3),", "&amp;Projects!$A$7,"")&amp;IF(AND(Projects!$G$8="Yes",Projects!$C$8=CE$3),", "&amp;Projects!$A$8,"")&amp;IF(AND(Projects!$G$9="Yes",Projects!$C$9=CE$3),", "&amp;Projects!$A$9,"")&amp;IF(AND(Projects!$G$10="Yes",Projects!$C$10=CE$3),", "&amp;Projects!$A$10,"")&amp;IF(AND(Projects!$G$11="Yes",Projects!$C$11=CE$3),", "&amp;Projects!$A$11,"")&amp;IF(AND(Projects!$G$12="Yes",Projects!$C$12=CE$3),", "&amp;Projects!$A$12,"")&amp;IF(AND(Projects!$G$13="Yes",Projects!$C$13=CE$3),", "&amp;Projects!$A$13,"")&amp;IF(AND(Projects!$G$14="Yes",Projects!$C$14=CE$3),", "&amp;Projects!$A$14,"")&amp;IF(AND(Projects!$G$15="Yes",Projects!$C$15=CE$3),", "&amp;Projects!$A$15,"")&amp;IF(AND(Projects!$G$16="Yes",Projects!$C$16=CE$3),", "&amp;Projects!$A$16,"")&amp;IF(AND(Projects!$G$17="Yes",Projects!$C$17=CE$3),", "&amp;Projects!$A$17,"")&amp;IF(AND(Projects!$G$18="Yes",Projects!$C$18=CE$3),", "&amp;Projects!$A$18,"")&amp;IF(AND(Projects!$G$19="Yes",Projects!$C$19=CE$3),", "&amp;Projects!$A$19,"")&amp;IF(AND(Projects!$G$20="Yes",Projects!$C$20=CE$3),", "&amp;Projects!$A$20,"")&amp;IF(AND(Projects!$G$21="Yes",Projects!$C$21=CE$3),", "&amp;Projects!$A$21,"")&amp;IF(AND(Projects!$G$22="Yes",Projects!$C$22=CE$3),", "&amp;Projects!$A$22,"")&amp;IF(AND(Projects!$G$23="Yes",Projects!$C$23=CE$3),", "&amp;Projects!$A$23,"")&amp;IF(AND(Projects!$G$24="Yes",Projects!$C$24=CE$3),", "&amp;Projects!$A$24,"")&amp;IF(AND(Projects!$G$25="Yes",Projects!$C$25=CE$3),", "&amp;Projects!$A$25,"")&amp;IF(AND(Projects!$G$26="Yes",Projects!$C$26=CE$3),", "&amp;Projects!$A$26,"")&amp;IF(AND(Projects!$G$27="Yes",Projects!$C$27=CE$3),", "&amp;Projects!$A$27,"")&amp;IF(AND(Projects!$G$28="Yes",Projects!$C$28=CE$3),", "&amp;Projects!$A$28,"")&amp;IF(AND(Projects!$G$29="Yes",Projects!$C$29=CE$3),", "&amp;Projects!$A$29,"")&amp;IF(AND(Projects!$G$30="Yes",Projects!$C$30=CE$3),", "&amp;Projects!$A$30,"")&amp;IF(AND(Projects!$G$31="Yes",Projects!$C$31=CE$3),", "&amp;Projects!$A$31,"")&amp;IF(AND(Projects!$G$32="Yes",Projects!$C$32=CE$3),", "&amp;Projects!$A$32,"")&amp;IF(AND(Projects!$G$33="Yes",Projects!$C$33=CE$3),", "&amp;Projects!$A$33,"")&amp;IF(AND(Projects!$G$34="Yes",Projects!$C$34=CE$3),", "&amp;Projects!$A$34,"")&amp;IF(AND(Projects!$G$35="Yes",Projects!$C$35=CE$3),", "&amp;Projects!$A$35,"")&amp;IF(AND(Projects!$G$36="Yes",Projects!$C$36=CE$3),", "&amp;Projects!$A$36,"")&amp;IF(AND(Projects!$G$37="Yes",Projects!$C$37=CE$3),", "&amp;Projects!$A$37,"")&amp;IF(AND(Projects!$G$38="Yes",Projects!$C$38=CE$3),", "&amp;Projects!$A$38,"")&amp;IF(AND(Projects!$G$39="Yes",Projects!$C$39=CE$3),", "&amp;Projects!$A$39,"")&amp;IF(AND(Projects!$G$40="Yes",Projects!$C$40=CE$3),", "&amp;Projects!$A$40,"")&amp;IF(AND(Projects!$G$41="Yes",Projects!$C$41=CE$3),", "&amp;Projects!$A$41,"")&amp;IF(AND(Projects!$G$42="Yes",Projects!$C$42=CE$3),", "&amp;Projects!$A$42,"")&amp;IF(AND(Projects!$G$43="Yes",Projects!$C$43=CE$3),", "&amp;Projects!$A$43,"")&amp;IF(AND(Projects!$G$44="Yes",Projects!$C$44=CE$3),", "&amp;Projects!$A$44,"")&amp;IF(AND(Projects!$G$45="Yes",Projects!$C$45=CE$3),", "&amp;Projects!$A$45,"")&amp;IF(AND(Projects!$G$46="Yes",Projects!$C$46=CE$3),", "&amp;Projects!$A$46,""),3,10000)</f>
        <v/>
      </c>
      <c r="CF6" s="17" t="str">
        <f aca="false">MID(IF(AND(Projects!$G$2="Yes",Projects!$C$2=CF$3),", "&amp;Projects!$A$2,"")&amp;IF(AND(Projects!$G$3="Yes",Projects!$C$3=CF$3),", "&amp;Projects!$A$3,"")&amp;IF(AND(Projects!$G$4="Yes",Projects!$C$4=CF$3),", "&amp;Projects!$A$4,"")&amp;IF(AND(Projects!$G$5="Yes",Projects!$C$5=CF$3),", "&amp;Projects!$A$5,"")&amp;IF(AND(Projects!$G$6="Yes",Projects!$C$6=CF$3),", "&amp;Projects!$A$6,"")&amp;IF(AND(Projects!$G$7="Yes",Projects!$C$7=CF$3),", "&amp;Projects!$A$7,"")&amp;IF(AND(Projects!$G$8="Yes",Projects!$C$8=CF$3),", "&amp;Projects!$A$8,"")&amp;IF(AND(Projects!$G$9="Yes",Projects!$C$9=CF$3),", "&amp;Projects!$A$9,"")&amp;IF(AND(Projects!$G$10="Yes",Projects!$C$10=CF$3),", "&amp;Projects!$A$10,"")&amp;IF(AND(Projects!$G$11="Yes",Projects!$C$11=CF$3),", "&amp;Projects!$A$11,"")&amp;IF(AND(Projects!$G$12="Yes",Projects!$C$12=CF$3),", "&amp;Projects!$A$12,"")&amp;IF(AND(Projects!$G$13="Yes",Projects!$C$13=CF$3),", "&amp;Projects!$A$13,"")&amp;IF(AND(Projects!$G$14="Yes",Projects!$C$14=CF$3),", "&amp;Projects!$A$14,"")&amp;IF(AND(Projects!$G$15="Yes",Projects!$C$15=CF$3),", "&amp;Projects!$A$15,"")&amp;IF(AND(Projects!$G$16="Yes",Projects!$C$16=CF$3),", "&amp;Projects!$A$16,"")&amp;IF(AND(Projects!$G$17="Yes",Projects!$C$17=CF$3),", "&amp;Projects!$A$17,"")&amp;IF(AND(Projects!$G$18="Yes",Projects!$C$18=CF$3),", "&amp;Projects!$A$18,"")&amp;IF(AND(Projects!$G$19="Yes",Projects!$C$19=CF$3),", "&amp;Projects!$A$19,"")&amp;IF(AND(Projects!$G$20="Yes",Projects!$C$20=CF$3),", "&amp;Projects!$A$20,"")&amp;IF(AND(Projects!$G$21="Yes",Projects!$C$21=CF$3),", "&amp;Projects!$A$21,"")&amp;IF(AND(Projects!$G$22="Yes",Projects!$C$22=CF$3),", "&amp;Projects!$A$22,"")&amp;IF(AND(Projects!$G$23="Yes",Projects!$C$23=CF$3),", "&amp;Projects!$A$23,"")&amp;IF(AND(Projects!$G$24="Yes",Projects!$C$24=CF$3),", "&amp;Projects!$A$24,"")&amp;IF(AND(Projects!$G$25="Yes",Projects!$C$25=CF$3),", "&amp;Projects!$A$25,"")&amp;IF(AND(Projects!$G$26="Yes",Projects!$C$26=CF$3),", "&amp;Projects!$A$26,"")&amp;IF(AND(Projects!$G$27="Yes",Projects!$C$27=CF$3),", "&amp;Projects!$A$27,"")&amp;IF(AND(Projects!$G$28="Yes",Projects!$C$28=CF$3),", "&amp;Projects!$A$28,"")&amp;IF(AND(Projects!$G$29="Yes",Projects!$C$29=CF$3),", "&amp;Projects!$A$29,"")&amp;IF(AND(Projects!$G$30="Yes",Projects!$C$30=CF$3),", "&amp;Projects!$A$30,"")&amp;IF(AND(Projects!$G$31="Yes",Projects!$C$31=CF$3),", "&amp;Projects!$A$31,"")&amp;IF(AND(Projects!$G$32="Yes",Projects!$C$32=CF$3),", "&amp;Projects!$A$32,"")&amp;IF(AND(Projects!$G$33="Yes",Projects!$C$33=CF$3),", "&amp;Projects!$A$33,"")&amp;IF(AND(Projects!$G$34="Yes",Projects!$C$34=CF$3),", "&amp;Projects!$A$34,"")&amp;IF(AND(Projects!$G$35="Yes",Projects!$C$35=CF$3),", "&amp;Projects!$A$35,"")&amp;IF(AND(Projects!$G$36="Yes",Projects!$C$36=CF$3),", "&amp;Projects!$A$36,"")&amp;IF(AND(Projects!$G$37="Yes",Projects!$C$37=CF$3),", "&amp;Projects!$A$37,"")&amp;IF(AND(Projects!$G$38="Yes",Projects!$C$38=CF$3),", "&amp;Projects!$A$38,"")&amp;IF(AND(Projects!$G$39="Yes",Projects!$C$39=CF$3),", "&amp;Projects!$A$39,"")&amp;IF(AND(Projects!$G$40="Yes",Projects!$C$40=CF$3),", "&amp;Projects!$A$40,"")&amp;IF(AND(Projects!$G$41="Yes",Projects!$C$41=CF$3),", "&amp;Projects!$A$41,"")&amp;IF(AND(Projects!$G$42="Yes",Projects!$C$42=CF$3),", "&amp;Projects!$A$42,"")&amp;IF(AND(Projects!$G$43="Yes",Projects!$C$43=CF$3),", "&amp;Projects!$A$43,"")&amp;IF(AND(Projects!$G$44="Yes",Projects!$C$44=CF$3),", "&amp;Projects!$A$44,"")&amp;IF(AND(Projects!$G$45="Yes",Projects!$C$45=CF$3),", "&amp;Projects!$A$45,"")&amp;IF(AND(Projects!$G$46="Yes",Projects!$C$46=CF$3),", "&amp;Projects!$A$46,""),3,10000)</f>
        <v/>
      </c>
      <c r="CG6" s="17" t="str">
        <f aca="false">MID(IF(AND(Projects!$G$2="Yes",Projects!$C$2=CG$3),", "&amp;Projects!$A$2,"")&amp;IF(AND(Projects!$G$3="Yes",Projects!$C$3=CG$3),", "&amp;Projects!$A$3,"")&amp;IF(AND(Projects!$G$4="Yes",Projects!$C$4=CG$3),", "&amp;Projects!$A$4,"")&amp;IF(AND(Projects!$G$5="Yes",Projects!$C$5=CG$3),", "&amp;Projects!$A$5,"")&amp;IF(AND(Projects!$G$6="Yes",Projects!$C$6=CG$3),", "&amp;Projects!$A$6,"")&amp;IF(AND(Projects!$G$7="Yes",Projects!$C$7=CG$3),", "&amp;Projects!$A$7,"")&amp;IF(AND(Projects!$G$8="Yes",Projects!$C$8=CG$3),", "&amp;Projects!$A$8,"")&amp;IF(AND(Projects!$G$9="Yes",Projects!$C$9=CG$3),", "&amp;Projects!$A$9,"")&amp;IF(AND(Projects!$G$10="Yes",Projects!$C$10=CG$3),", "&amp;Projects!$A$10,"")&amp;IF(AND(Projects!$G$11="Yes",Projects!$C$11=CG$3),", "&amp;Projects!$A$11,"")&amp;IF(AND(Projects!$G$12="Yes",Projects!$C$12=CG$3),", "&amp;Projects!$A$12,"")&amp;IF(AND(Projects!$G$13="Yes",Projects!$C$13=CG$3),", "&amp;Projects!$A$13,"")&amp;IF(AND(Projects!$G$14="Yes",Projects!$C$14=CG$3),", "&amp;Projects!$A$14,"")&amp;IF(AND(Projects!$G$15="Yes",Projects!$C$15=CG$3),", "&amp;Projects!$A$15,"")&amp;IF(AND(Projects!$G$16="Yes",Projects!$C$16=CG$3),", "&amp;Projects!$A$16,"")&amp;IF(AND(Projects!$G$17="Yes",Projects!$C$17=CG$3),", "&amp;Projects!$A$17,"")&amp;IF(AND(Projects!$G$18="Yes",Projects!$C$18=CG$3),", "&amp;Projects!$A$18,"")&amp;IF(AND(Projects!$G$19="Yes",Projects!$C$19=CG$3),", "&amp;Projects!$A$19,"")&amp;IF(AND(Projects!$G$20="Yes",Projects!$C$20=CG$3),", "&amp;Projects!$A$20,"")&amp;IF(AND(Projects!$G$21="Yes",Projects!$C$21=CG$3),", "&amp;Projects!$A$21,"")&amp;IF(AND(Projects!$G$22="Yes",Projects!$C$22=CG$3),", "&amp;Projects!$A$22,"")&amp;IF(AND(Projects!$G$23="Yes",Projects!$C$23=CG$3),", "&amp;Projects!$A$23,"")&amp;IF(AND(Projects!$G$24="Yes",Projects!$C$24=CG$3),", "&amp;Projects!$A$24,"")&amp;IF(AND(Projects!$G$25="Yes",Projects!$C$25=CG$3),", "&amp;Projects!$A$25,"")&amp;IF(AND(Projects!$G$26="Yes",Projects!$C$26=CG$3),", "&amp;Projects!$A$26,"")&amp;IF(AND(Projects!$G$27="Yes",Projects!$C$27=CG$3),", "&amp;Projects!$A$27,"")&amp;IF(AND(Projects!$G$28="Yes",Projects!$C$28=CG$3),", "&amp;Projects!$A$28,"")&amp;IF(AND(Projects!$G$29="Yes",Projects!$C$29=CG$3),", "&amp;Projects!$A$29,"")&amp;IF(AND(Projects!$G$30="Yes",Projects!$C$30=CG$3),", "&amp;Projects!$A$30,"")&amp;IF(AND(Projects!$G$31="Yes",Projects!$C$31=CG$3),", "&amp;Projects!$A$31,"")&amp;IF(AND(Projects!$G$32="Yes",Projects!$C$32=CG$3),", "&amp;Projects!$A$32,"")&amp;IF(AND(Projects!$G$33="Yes",Projects!$C$33=CG$3),", "&amp;Projects!$A$33,"")&amp;IF(AND(Projects!$G$34="Yes",Projects!$C$34=CG$3),", "&amp;Projects!$A$34,"")&amp;IF(AND(Projects!$G$35="Yes",Projects!$C$35=CG$3),", "&amp;Projects!$A$35,"")&amp;IF(AND(Projects!$G$36="Yes",Projects!$C$36=CG$3),", "&amp;Projects!$A$36,"")&amp;IF(AND(Projects!$G$37="Yes",Projects!$C$37=CG$3),", "&amp;Projects!$A$37,"")&amp;IF(AND(Projects!$G$38="Yes",Projects!$C$38=CG$3),", "&amp;Projects!$A$38,"")&amp;IF(AND(Projects!$G$39="Yes",Projects!$C$39=CG$3),", "&amp;Projects!$A$39,"")&amp;IF(AND(Projects!$G$40="Yes",Projects!$C$40=CG$3),", "&amp;Projects!$A$40,"")&amp;IF(AND(Projects!$G$41="Yes",Projects!$C$41=CG$3),", "&amp;Projects!$A$41,"")&amp;IF(AND(Projects!$G$42="Yes",Projects!$C$42=CG$3),", "&amp;Projects!$A$42,"")&amp;IF(AND(Projects!$G$43="Yes",Projects!$C$43=CG$3),", "&amp;Projects!$A$43,"")&amp;IF(AND(Projects!$G$44="Yes",Projects!$C$44=CG$3),", "&amp;Projects!$A$44,"")&amp;IF(AND(Projects!$G$45="Yes",Projects!$C$45=CG$3),", "&amp;Projects!$A$45,"")&amp;IF(AND(Projects!$G$46="Yes",Projects!$C$46=CG$3),", "&amp;Projects!$A$46,""),3,10000)</f>
        <v/>
      </c>
      <c r="CH6" s="17" t="str">
        <f aca="false">MID(IF(AND(Projects!$G$2="Yes",Projects!$C$2=CH$3),", "&amp;Projects!$A$2,"")&amp;IF(AND(Projects!$G$3="Yes",Projects!$C$3=CH$3),", "&amp;Projects!$A$3,"")&amp;IF(AND(Projects!$G$4="Yes",Projects!$C$4=CH$3),", "&amp;Projects!$A$4,"")&amp;IF(AND(Projects!$G$5="Yes",Projects!$C$5=CH$3),", "&amp;Projects!$A$5,"")&amp;IF(AND(Projects!$G$6="Yes",Projects!$C$6=CH$3),", "&amp;Projects!$A$6,"")&amp;IF(AND(Projects!$G$7="Yes",Projects!$C$7=CH$3),", "&amp;Projects!$A$7,"")&amp;IF(AND(Projects!$G$8="Yes",Projects!$C$8=CH$3),", "&amp;Projects!$A$8,"")&amp;IF(AND(Projects!$G$9="Yes",Projects!$C$9=CH$3),", "&amp;Projects!$A$9,"")&amp;IF(AND(Projects!$G$10="Yes",Projects!$C$10=CH$3),", "&amp;Projects!$A$10,"")&amp;IF(AND(Projects!$G$11="Yes",Projects!$C$11=CH$3),", "&amp;Projects!$A$11,"")&amp;IF(AND(Projects!$G$12="Yes",Projects!$C$12=CH$3),", "&amp;Projects!$A$12,"")&amp;IF(AND(Projects!$G$13="Yes",Projects!$C$13=CH$3),", "&amp;Projects!$A$13,"")&amp;IF(AND(Projects!$G$14="Yes",Projects!$C$14=CH$3),", "&amp;Projects!$A$14,"")&amp;IF(AND(Projects!$G$15="Yes",Projects!$C$15=CH$3),", "&amp;Projects!$A$15,"")&amp;IF(AND(Projects!$G$16="Yes",Projects!$C$16=CH$3),", "&amp;Projects!$A$16,"")&amp;IF(AND(Projects!$G$17="Yes",Projects!$C$17=CH$3),", "&amp;Projects!$A$17,"")&amp;IF(AND(Projects!$G$18="Yes",Projects!$C$18=CH$3),", "&amp;Projects!$A$18,"")&amp;IF(AND(Projects!$G$19="Yes",Projects!$C$19=CH$3),", "&amp;Projects!$A$19,"")&amp;IF(AND(Projects!$G$20="Yes",Projects!$C$20=CH$3),", "&amp;Projects!$A$20,"")&amp;IF(AND(Projects!$G$21="Yes",Projects!$C$21=CH$3),", "&amp;Projects!$A$21,"")&amp;IF(AND(Projects!$G$22="Yes",Projects!$C$22=CH$3),", "&amp;Projects!$A$22,"")&amp;IF(AND(Projects!$G$23="Yes",Projects!$C$23=CH$3),", "&amp;Projects!$A$23,"")&amp;IF(AND(Projects!$G$24="Yes",Projects!$C$24=CH$3),", "&amp;Projects!$A$24,"")&amp;IF(AND(Projects!$G$25="Yes",Projects!$C$25=CH$3),", "&amp;Projects!$A$25,"")&amp;IF(AND(Projects!$G$26="Yes",Projects!$C$26=CH$3),", "&amp;Projects!$A$26,"")&amp;IF(AND(Projects!$G$27="Yes",Projects!$C$27=CH$3),", "&amp;Projects!$A$27,"")&amp;IF(AND(Projects!$G$28="Yes",Projects!$C$28=CH$3),", "&amp;Projects!$A$28,"")&amp;IF(AND(Projects!$G$29="Yes",Projects!$C$29=CH$3),", "&amp;Projects!$A$29,"")&amp;IF(AND(Projects!$G$30="Yes",Projects!$C$30=CH$3),", "&amp;Projects!$A$30,"")&amp;IF(AND(Projects!$G$31="Yes",Projects!$C$31=CH$3),", "&amp;Projects!$A$31,"")&amp;IF(AND(Projects!$G$32="Yes",Projects!$C$32=CH$3),", "&amp;Projects!$A$32,"")&amp;IF(AND(Projects!$G$33="Yes",Projects!$C$33=CH$3),", "&amp;Projects!$A$33,"")&amp;IF(AND(Projects!$G$34="Yes",Projects!$C$34=CH$3),", "&amp;Projects!$A$34,"")&amp;IF(AND(Projects!$G$35="Yes",Projects!$C$35=CH$3),", "&amp;Projects!$A$35,"")&amp;IF(AND(Projects!$G$36="Yes",Projects!$C$36=CH$3),", "&amp;Projects!$A$36,"")&amp;IF(AND(Projects!$G$37="Yes",Projects!$C$37=CH$3),", "&amp;Projects!$A$37,"")&amp;IF(AND(Projects!$G$38="Yes",Projects!$C$38=CH$3),", "&amp;Projects!$A$38,"")&amp;IF(AND(Projects!$G$39="Yes",Projects!$C$39=CH$3),", "&amp;Projects!$A$39,"")&amp;IF(AND(Projects!$G$40="Yes",Projects!$C$40=CH$3),", "&amp;Projects!$A$40,"")&amp;IF(AND(Projects!$G$41="Yes",Projects!$C$41=CH$3),", "&amp;Projects!$A$41,"")&amp;IF(AND(Projects!$G$42="Yes",Projects!$C$42=CH$3),", "&amp;Projects!$A$42,"")&amp;IF(AND(Projects!$G$43="Yes",Projects!$C$43=CH$3),", "&amp;Projects!$A$43,"")&amp;IF(AND(Projects!$G$44="Yes",Projects!$C$44=CH$3),", "&amp;Projects!$A$44,"")&amp;IF(AND(Projects!$G$45="Yes",Projects!$C$45=CH$3),", "&amp;Projects!$A$45,"")&amp;IF(AND(Projects!$G$46="Yes",Projects!$C$46=CH$3),", "&amp;Projects!$A$46,""),3,10000)</f>
        <v/>
      </c>
      <c r="CI6" s="17" t="str">
        <f aca="false">MID(IF(AND(Projects!$G$2="Yes",Projects!$C$2=CI$3),", "&amp;Projects!$A$2,"")&amp;IF(AND(Projects!$G$3="Yes",Projects!$C$3=CI$3),", "&amp;Projects!$A$3,"")&amp;IF(AND(Projects!$G$4="Yes",Projects!$C$4=CI$3),", "&amp;Projects!$A$4,"")&amp;IF(AND(Projects!$G$5="Yes",Projects!$C$5=CI$3),", "&amp;Projects!$A$5,"")&amp;IF(AND(Projects!$G$6="Yes",Projects!$C$6=CI$3),", "&amp;Projects!$A$6,"")&amp;IF(AND(Projects!$G$7="Yes",Projects!$C$7=CI$3),", "&amp;Projects!$A$7,"")&amp;IF(AND(Projects!$G$8="Yes",Projects!$C$8=CI$3),", "&amp;Projects!$A$8,"")&amp;IF(AND(Projects!$G$9="Yes",Projects!$C$9=CI$3),", "&amp;Projects!$A$9,"")&amp;IF(AND(Projects!$G$10="Yes",Projects!$C$10=CI$3),", "&amp;Projects!$A$10,"")&amp;IF(AND(Projects!$G$11="Yes",Projects!$C$11=CI$3),", "&amp;Projects!$A$11,"")&amp;IF(AND(Projects!$G$12="Yes",Projects!$C$12=CI$3),", "&amp;Projects!$A$12,"")&amp;IF(AND(Projects!$G$13="Yes",Projects!$C$13=CI$3),", "&amp;Projects!$A$13,"")&amp;IF(AND(Projects!$G$14="Yes",Projects!$C$14=CI$3),", "&amp;Projects!$A$14,"")&amp;IF(AND(Projects!$G$15="Yes",Projects!$C$15=CI$3),", "&amp;Projects!$A$15,"")&amp;IF(AND(Projects!$G$16="Yes",Projects!$C$16=CI$3),", "&amp;Projects!$A$16,"")&amp;IF(AND(Projects!$G$17="Yes",Projects!$C$17=CI$3),", "&amp;Projects!$A$17,"")&amp;IF(AND(Projects!$G$18="Yes",Projects!$C$18=CI$3),", "&amp;Projects!$A$18,"")&amp;IF(AND(Projects!$G$19="Yes",Projects!$C$19=CI$3),", "&amp;Projects!$A$19,"")&amp;IF(AND(Projects!$G$20="Yes",Projects!$C$20=CI$3),", "&amp;Projects!$A$20,"")&amp;IF(AND(Projects!$G$21="Yes",Projects!$C$21=CI$3),", "&amp;Projects!$A$21,"")&amp;IF(AND(Projects!$G$22="Yes",Projects!$C$22=CI$3),", "&amp;Projects!$A$22,"")&amp;IF(AND(Projects!$G$23="Yes",Projects!$C$23=CI$3),", "&amp;Projects!$A$23,"")&amp;IF(AND(Projects!$G$24="Yes",Projects!$C$24=CI$3),", "&amp;Projects!$A$24,"")&amp;IF(AND(Projects!$G$25="Yes",Projects!$C$25=CI$3),", "&amp;Projects!$A$25,"")&amp;IF(AND(Projects!$G$26="Yes",Projects!$C$26=CI$3),", "&amp;Projects!$A$26,"")&amp;IF(AND(Projects!$G$27="Yes",Projects!$C$27=CI$3),", "&amp;Projects!$A$27,"")&amp;IF(AND(Projects!$G$28="Yes",Projects!$C$28=CI$3),", "&amp;Projects!$A$28,"")&amp;IF(AND(Projects!$G$29="Yes",Projects!$C$29=CI$3),", "&amp;Projects!$A$29,"")&amp;IF(AND(Projects!$G$30="Yes",Projects!$C$30=CI$3),", "&amp;Projects!$A$30,"")&amp;IF(AND(Projects!$G$31="Yes",Projects!$C$31=CI$3),", "&amp;Projects!$A$31,"")&amp;IF(AND(Projects!$G$32="Yes",Projects!$C$32=CI$3),", "&amp;Projects!$A$32,"")&amp;IF(AND(Projects!$G$33="Yes",Projects!$C$33=CI$3),", "&amp;Projects!$A$33,"")&amp;IF(AND(Projects!$G$34="Yes",Projects!$C$34=CI$3),", "&amp;Projects!$A$34,"")&amp;IF(AND(Projects!$G$35="Yes",Projects!$C$35=CI$3),", "&amp;Projects!$A$35,"")&amp;IF(AND(Projects!$G$36="Yes",Projects!$C$36=CI$3),", "&amp;Projects!$A$36,"")&amp;IF(AND(Projects!$G$37="Yes",Projects!$C$37=CI$3),", "&amp;Projects!$A$37,"")&amp;IF(AND(Projects!$G$38="Yes",Projects!$C$38=CI$3),", "&amp;Projects!$A$38,"")&amp;IF(AND(Projects!$G$39="Yes",Projects!$C$39=CI$3),", "&amp;Projects!$A$39,"")&amp;IF(AND(Projects!$G$40="Yes",Projects!$C$40=CI$3),", "&amp;Projects!$A$40,"")&amp;IF(AND(Projects!$G$41="Yes",Projects!$C$41=CI$3),", "&amp;Projects!$A$41,"")&amp;IF(AND(Projects!$G$42="Yes",Projects!$C$42=CI$3),", "&amp;Projects!$A$42,"")&amp;IF(AND(Projects!$G$43="Yes",Projects!$C$43=CI$3),", "&amp;Projects!$A$43,"")&amp;IF(AND(Projects!$G$44="Yes",Projects!$C$44=CI$3),", "&amp;Projects!$A$44,"")&amp;IF(AND(Projects!$G$45="Yes",Projects!$C$45=CI$3),", "&amp;Projects!$A$45,"")&amp;IF(AND(Projects!$G$46="Yes",Projects!$C$46=CI$3),", "&amp;Projects!$A$46,""),3,10000)</f>
        <v/>
      </c>
      <c r="CJ6" s="17" t="str">
        <f aca="false">MID(IF(AND(Projects!$G$2="Yes",Projects!$C$2=CJ$3),", "&amp;Projects!$A$2,"")&amp;IF(AND(Projects!$G$3="Yes",Projects!$C$3=CJ$3),", "&amp;Projects!$A$3,"")&amp;IF(AND(Projects!$G$4="Yes",Projects!$C$4=CJ$3),", "&amp;Projects!$A$4,"")&amp;IF(AND(Projects!$G$5="Yes",Projects!$C$5=CJ$3),", "&amp;Projects!$A$5,"")&amp;IF(AND(Projects!$G$6="Yes",Projects!$C$6=CJ$3),", "&amp;Projects!$A$6,"")&amp;IF(AND(Projects!$G$7="Yes",Projects!$C$7=CJ$3),", "&amp;Projects!$A$7,"")&amp;IF(AND(Projects!$G$8="Yes",Projects!$C$8=CJ$3),", "&amp;Projects!$A$8,"")&amp;IF(AND(Projects!$G$9="Yes",Projects!$C$9=CJ$3),", "&amp;Projects!$A$9,"")&amp;IF(AND(Projects!$G$10="Yes",Projects!$C$10=CJ$3),", "&amp;Projects!$A$10,"")&amp;IF(AND(Projects!$G$11="Yes",Projects!$C$11=CJ$3),", "&amp;Projects!$A$11,"")&amp;IF(AND(Projects!$G$12="Yes",Projects!$C$12=CJ$3),", "&amp;Projects!$A$12,"")&amp;IF(AND(Projects!$G$13="Yes",Projects!$C$13=CJ$3),", "&amp;Projects!$A$13,"")&amp;IF(AND(Projects!$G$14="Yes",Projects!$C$14=CJ$3),", "&amp;Projects!$A$14,"")&amp;IF(AND(Projects!$G$15="Yes",Projects!$C$15=CJ$3),", "&amp;Projects!$A$15,"")&amp;IF(AND(Projects!$G$16="Yes",Projects!$C$16=CJ$3),", "&amp;Projects!$A$16,"")&amp;IF(AND(Projects!$G$17="Yes",Projects!$C$17=CJ$3),", "&amp;Projects!$A$17,"")&amp;IF(AND(Projects!$G$18="Yes",Projects!$C$18=CJ$3),", "&amp;Projects!$A$18,"")&amp;IF(AND(Projects!$G$19="Yes",Projects!$C$19=CJ$3),", "&amp;Projects!$A$19,"")&amp;IF(AND(Projects!$G$20="Yes",Projects!$C$20=CJ$3),", "&amp;Projects!$A$20,"")&amp;IF(AND(Projects!$G$21="Yes",Projects!$C$21=CJ$3),", "&amp;Projects!$A$21,"")&amp;IF(AND(Projects!$G$22="Yes",Projects!$C$22=CJ$3),", "&amp;Projects!$A$22,"")&amp;IF(AND(Projects!$G$23="Yes",Projects!$C$23=CJ$3),", "&amp;Projects!$A$23,"")&amp;IF(AND(Projects!$G$24="Yes",Projects!$C$24=CJ$3),", "&amp;Projects!$A$24,"")&amp;IF(AND(Projects!$G$25="Yes",Projects!$C$25=CJ$3),", "&amp;Projects!$A$25,"")&amp;IF(AND(Projects!$G$26="Yes",Projects!$C$26=CJ$3),", "&amp;Projects!$A$26,"")&amp;IF(AND(Projects!$G$27="Yes",Projects!$C$27=CJ$3),", "&amp;Projects!$A$27,"")&amp;IF(AND(Projects!$G$28="Yes",Projects!$C$28=CJ$3),", "&amp;Projects!$A$28,"")&amp;IF(AND(Projects!$G$29="Yes",Projects!$C$29=CJ$3),", "&amp;Projects!$A$29,"")&amp;IF(AND(Projects!$G$30="Yes",Projects!$C$30=CJ$3),", "&amp;Projects!$A$30,"")&amp;IF(AND(Projects!$G$31="Yes",Projects!$C$31=CJ$3),", "&amp;Projects!$A$31,"")&amp;IF(AND(Projects!$G$32="Yes",Projects!$C$32=CJ$3),", "&amp;Projects!$A$32,"")&amp;IF(AND(Projects!$G$33="Yes",Projects!$C$33=CJ$3),", "&amp;Projects!$A$33,"")&amp;IF(AND(Projects!$G$34="Yes",Projects!$C$34=CJ$3),", "&amp;Projects!$A$34,"")&amp;IF(AND(Projects!$G$35="Yes",Projects!$C$35=CJ$3),", "&amp;Projects!$A$35,"")&amp;IF(AND(Projects!$G$36="Yes",Projects!$C$36=CJ$3),", "&amp;Projects!$A$36,"")&amp;IF(AND(Projects!$G$37="Yes",Projects!$C$37=CJ$3),", "&amp;Projects!$A$37,"")&amp;IF(AND(Projects!$G$38="Yes",Projects!$C$38=CJ$3),", "&amp;Projects!$A$38,"")&amp;IF(AND(Projects!$G$39="Yes",Projects!$C$39=CJ$3),", "&amp;Projects!$A$39,"")&amp;IF(AND(Projects!$G$40="Yes",Projects!$C$40=CJ$3),", "&amp;Projects!$A$40,"")&amp;IF(AND(Projects!$G$41="Yes",Projects!$C$41=CJ$3),", "&amp;Projects!$A$41,"")&amp;IF(AND(Projects!$G$42="Yes",Projects!$C$42=CJ$3),", "&amp;Projects!$A$42,"")&amp;IF(AND(Projects!$G$43="Yes",Projects!$C$43=CJ$3),", "&amp;Projects!$A$43,"")&amp;IF(AND(Projects!$G$44="Yes",Projects!$C$44=CJ$3),", "&amp;Projects!$A$44,"")&amp;IF(AND(Projects!$G$45="Yes",Projects!$C$45=CJ$3),", "&amp;Projects!$A$45,"")&amp;IF(AND(Projects!$G$46="Yes",Projects!$C$46=CJ$3),", "&amp;Projects!$A$46,""),3,10000)</f>
        <v/>
      </c>
      <c r="CK6" s="17" t="str">
        <f aca="false">MID(IF(AND(Projects!$G$2="Yes",Projects!$C$2=CK$3),", "&amp;Projects!$A$2,"")&amp;IF(AND(Projects!$G$3="Yes",Projects!$C$3=CK$3),", "&amp;Projects!$A$3,"")&amp;IF(AND(Projects!$G$4="Yes",Projects!$C$4=CK$3),", "&amp;Projects!$A$4,"")&amp;IF(AND(Projects!$G$5="Yes",Projects!$C$5=CK$3),", "&amp;Projects!$A$5,"")&amp;IF(AND(Projects!$G$6="Yes",Projects!$C$6=CK$3),", "&amp;Projects!$A$6,"")&amp;IF(AND(Projects!$G$7="Yes",Projects!$C$7=CK$3),", "&amp;Projects!$A$7,"")&amp;IF(AND(Projects!$G$8="Yes",Projects!$C$8=CK$3),", "&amp;Projects!$A$8,"")&amp;IF(AND(Projects!$G$9="Yes",Projects!$C$9=CK$3),", "&amp;Projects!$A$9,"")&amp;IF(AND(Projects!$G$10="Yes",Projects!$C$10=CK$3),", "&amp;Projects!$A$10,"")&amp;IF(AND(Projects!$G$11="Yes",Projects!$C$11=CK$3),", "&amp;Projects!$A$11,"")&amp;IF(AND(Projects!$G$12="Yes",Projects!$C$12=CK$3),", "&amp;Projects!$A$12,"")&amp;IF(AND(Projects!$G$13="Yes",Projects!$C$13=CK$3),", "&amp;Projects!$A$13,"")&amp;IF(AND(Projects!$G$14="Yes",Projects!$C$14=CK$3),", "&amp;Projects!$A$14,"")&amp;IF(AND(Projects!$G$15="Yes",Projects!$C$15=CK$3),", "&amp;Projects!$A$15,"")&amp;IF(AND(Projects!$G$16="Yes",Projects!$C$16=CK$3),", "&amp;Projects!$A$16,"")&amp;IF(AND(Projects!$G$17="Yes",Projects!$C$17=CK$3),", "&amp;Projects!$A$17,"")&amp;IF(AND(Projects!$G$18="Yes",Projects!$C$18=CK$3),", "&amp;Projects!$A$18,"")&amp;IF(AND(Projects!$G$19="Yes",Projects!$C$19=CK$3),", "&amp;Projects!$A$19,"")&amp;IF(AND(Projects!$G$20="Yes",Projects!$C$20=CK$3),", "&amp;Projects!$A$20,"")&amp;IF(AND(Projects!$G$21="Yes",Projects!$C$21=CK$3),", "&amp;Projects!$A$21,"")&amp;IF(AND(Projects!$G$22="Yes",Projects!$C$22=CK$3),", "&amp;Projects!$A$22,"")&amp;IF(AND(Projects!$G$23="Yes",Projects!$C$23=CK$3),", "&amp;Projects!$A$23,"")&amp;IF(AND(Projects!$G$24="Yes",Projects!$C$24=CK$3),", "&amp;Projects!$A$24,"")&amp;IF(AND(Projects!$G$25="Yes",Projects!$C$25=CK$3),", "&amp;Projects!$A$25,"")&amp;IF(AND(Projects!$G$26="Yes",Projects!$C$26=CK$3),", "&amp;Projects!$A$26,"")&amp;IF(AND(Projects!$G$27="Yes",Projects!$C$27=CK$3),", "&amp;Projects!$A$27,"")&amp;IF(AND(Projects!$G$28="Yes",Projects!$C$28=CK$3),", "&amp;Projects!$A$28,"")&amp;IF(AND(Projects!$G$29="Yes",Projects!$C$29=CK$3),", "&amp;Projects!$A$29,"")&amp;IF(AND(Projects!$G$30="Yes",Projects!$C$30=CK$3),", "&amp;Projects!$A$30,"")&amp;IF(AND(Projects!$G$31="Yes",Projects!$C$31=CK$3),", "&amp;Projects!$A$31,"")&amp;IF(AND(Projects!$G$32="Yes",Projects!$C$32=CK$3),", "&amp;Projects!$A$32,"")&amp;IF(AND(Projects!$G$33="Yes",Projects!$C$33=CK$3),", "&amp;Projects!$A$33,"")&amp;IF(AND(Projects!$G$34="Yes",Projects!$C$34=CK$3),", "&amp;Projects!$A$34,"")&amp;IF(AND(Projects!$G$35="Yes",Projects!$C$35=CK$3),", "&amp;Projects!$A$35,"")&amp;IF(AND(Projects!$G$36="Yes",Projects!$C$36=CK$3),", "&amp;Projects!$A$36,"")&amp;IF(AND(Projects!$G$37="Yes",Projects!$C$37=CK$3),", "&amp;Projects!$A$37,"")&amp;IF(AND(Projects!$G$38="Yes",Projects!$C$38=CK$3),", "&amp;Projects!$A$38,"")&amp;IF(AND(Projects!$G$39="Yes",Projects!$C$39=CK$3),", "&amp;Projects!$A$39,"")&amp;IF(AND(Projects!$G$40="Yes",Projects!$C$40=CK$3),", "&amp;Projects!$A$40,"")&amp;IF(AND(Projects!$G$41="Yes",Projects!$C$41=CK$3),", "&amp;Projects!$A$41,"")&amp;IF(AND(Projects!$G$42="Yes",Projects!$C$42=CK$3),", "&amp;Projects!$A$42,"")&amp;IF(AND(Projects!$G$43="Yes",Projects!$C$43=CK$3),", "&amp;Projects!$A$43,"")&amp;IF(AND(Projects!$G$44="Yes",Projects!$C$44=CK$3),", "&amp;Projects!$A$44,"")&amp;IF(AND(Projects!$G$45="Yes",Projects!$C$45=CK$3),", "&amp;Projects!$A$45,"")&amp;IF(AND(Projects!$G$46="Yes",Projects!$C$46=CK$3),", "&amp;Projects!$A$46,""),3,10000)</f>
        <v/>
      </c>
      <c r="CL6" s="17" t="str">
        <f aca="false">MID(IF(AND(Projects!$G$2="Yes",Projects!$C$2=CL$3),", "&amp;Projects!$A$2,"")&amp;IF(AND(Projects!$G$3="Yes",Projects!$C$3=CL$3),", "&amp;Projects!$A$3,"")&amp;IF(AND(Projects!$G$4="Yes",Projects!$C$4=CL$3),", "&amp;Projects!$A$4,"")&amp;IF(AND(Projects!$G$5="Yes",Projects!$C$5=CL$3),", "&amp;Projects!$A$5,"")&amp;IF(AND(Projects!$G$6="Yes",Projects!$C$6=CL$3),", "&amp;Projects!$A$6,"")&amp;IF(AND(Projects!$G$7="Yes",Projects!$C$7=CL$3),", "&amp;Projects!$A$7,"")&amp;IF(AND(Projects!$G$8="Yes",Projects!$C$8=CL$3),", "&amp;Projects!$A$8,"")&amp;IF(AND(Projects!$G$9="Yes",Projects!$C$9=CL$3),", "&amp;Projects!$A$9,"")&amp;IF(AND(Projects!$G$10="Yes",Projects!$C$10=CL$3),", "&amp;Projects!$A$10,"")&amp;IF(AND(Projects!$G$11="Yes",Projects!$C$11=CL$3),", "&amp;Projects!$A$11,"")&amp;IF(AND(Projects!$G$12="Yes",Projects!$C$12=CL$3),", "&amp;Projects!$A$12,"")&amp;IF(AND(Projects!$G$13="Yes",Projects!$C$13=CL$3),", "&amp;Projects!$A$13,"")&amp;IF(AND(Projects!$G$14="Yes",Projects!$C$14=CL$3),", "&amp;Projects!$A$14,"")&amp;IF(AND(Projects!$G$15="Yes",Projects!$C$15=CL$3),", "&amp;Projects!$A$15,"")&amp;IF(AND(Projects!$G$16="Yes",Projects!$C$16=CL$3),", "&amp;Projects!$A$16,"")&amp;IF(AND(Projects!$G$17="Yes",Projects!$C$17=CL$3),", "&amp;Projects!$A$17,"")&amp;IF(AND(Projects!$G$18="Yes",Projects!$C$18=CL$3),", "&amp;Projects!$A$18,"")&amp;IF(AND(Projects!$G$19="Yes",Projects!$C$19=CL$3),", "&amp;Projects!$A$19,"")&amp;IF(AND(Projects!$G$20="Yes",Projects!$C$20=CL$3),", "&amp;Projects!$A$20,"")&amp;IF(AND(Projects!$G$21="Yes",Projects!$C$21=CL$3),", "&amp;Projects!$A$21,"")&amp;IF(AND(Projects!$G$22="Yes",Projects!$C$22=CL$3),", "&amp;Projects!$A$22,"")&amp;IF(AND(Projects!$G$23="Yes",Projects!$C$23=CL$3),", "&amp;Projects!$A$23,"")&amp;IF(AND(Projects!$G$24="Yes",Projects!$C$24=CL$3),", "&amp;Projects!$A$24,"")&amp;IF(AND(Projects!$G$25="Yes",Projects!$C$25=CL$3),", "&amp;Projects!$A$25,"")&amp;IF(AND(Projects!$G$26="Yes",Projects!$C$26=CL$3),", "&amp;Projects!$A$26,"")&amp;IF(AND(Projects!$G$27="Yes",Projects!$C$27=CL$3),", "&amp;Projects!$A$27,"")&amp;IF(AND(Projects!$G$28="Yes",Projects!$C$28=CL$3),", "&amp;Projects!$A$28,"")&amp;IF(AND(Projects!$G$29="Yes",Projects!$C$29=CL$3),", "&amp;Projects!$A$29,"")&amp;IF(AND(Projects!$G$30="Yes",Projects!$C$30=CL$3),", "&amp;Projects!$A$30,"")&amp;IF(AND(Projects!$G$31="Yes",Projects!$C$31=CL$3),", "&amp;Projects!$A$31,"")&amp;IF(AND(Projects!$G$32="Yes",Projects!$C$32=CL$3),", "&amp;Projects!$A$32,"")&amp;IF(AND(Projects!$G$33="Yes",Projects!$C$33=CL$3),", "&amp;Projects!$A$33,"")&amp;IF(AND(Projects!$G$34="Yes",Projects!$C$34=CL$3),", "&amp;Projects!$A$34,"")&amp;IF(AND(Projects!$G$35="Yes",Projects!$C$35=CL$3),", "&amp;Projects!$A$35,"")&amp;IF(AND(Projects!$G$36="Yes",Projects!$C$36=CL$3),", "&amp;Projects!$A$36,"")&amp;IF(AND(Projects!$G$37="Yes",Projects!$C$37=CL$3),", "&amp;Projects!$A$37,"")&amp;IF(AND(Projects!$G$38="Yes",Projects!$C$38=CL$3),", "&amp;Projects!$A$38,"")&amp;IF(AND(Projects!$G$39="Yes",Projects!$C$39=CL$3),", "&amp;Projects!$A$39,"")&amp;IF(AND(Projects!$G$40="Yes",Projects!$C$40=CL$3),", "&amp;Projects!$A$40,"")&amp;IF(AND(Projects!$G$41="Yes",Projects!$C$41=CL$3),", "&amp;Projects!$A$41,"")&amp;IF(AND(Projects!$G$42="Yes",Projects!$C$42=CL$3),", "&amp;Projects!$A$42,"")&amp;IF(AND(Projects!$G$43="Yes",Projects!$C$43=CL$3),", "&amp;Projects!$A$43,"")&amp;IF(AND(Projects!$G$44="Yes",Projects!$C$44=CL$3),", "&amp;Projects!$A$44,"")&amp;IF(AND(Projects!$G$45="Yes",Projects!$C$45=CL$3),", "&amp;Projects!$A$45,"")&amp;IF(AND(Projects!$G$46="Yes",Projects!$C$46=CL$3),", "&amp;Projects!$A$46,""),3,10000)</f>
        <v/>
      </c>
      <c r="CM6" s="17" t="str">
        <f aca="false">MID(IF(AND(Projects!$G$2="Yes",Projects!$C$2=CM$3),", "&amp;Projects!$A$2,"")&amp;IF(AND(Projects!$G$3="Yes",Projects!$C$3=CM$3),", "&amp;Projects!$A$3,"")&amp;IF(AND(Projects!$G$4="Yes",Projects!$C$4=CM$3),", "&amp;Projects!$A$4,"")&amp;IF(AND(Projects!$G$5="Yes",Projects!$C$5=CM$3),", "&amp;Projects!$A$5,"")&amp;IF(AND(Projects!$G$6="Yes",Projects!$C$6=CM$3),", "&amp;Projects!$A$6,"")&amp;IF(AND(Projects!$G$7="Yes",Projects!$C$7=CM$3),", "&amp;Projects!$A$7,"")&amp;IF(AND(Projects!$G$8="Yes",Projects!$C$8=CM$3),", "&amp;Projects!$A$8,"")&amp;IF(AND(Projects!$G$9="Yes",Projects!$C$9=CM$3),", "&amp;Projects!$A$9,"")&amp;IF(AND(Projects!$G$10="Yes",Projects!$C$10=CM$3),", "&amp;Projects!$A$10,"")&amp;IF(AND(Projects!$G$11="Yes",Projects!$C$11=CM$3),", "&amp;Projects!$A$11,"")&amp;IF(AND(Projects!$G$12="Yes",Projects!$C$12=CM$3),", "&amp;Projects!$A$12,"")&amp;IF(AND(Projects!$G$13="Yes",Projects!$C$13=CM$3),", "&amp;Projects!$A$13,"")&amp;IF(AND(Projects!$G$14="Yes",Projects!$C$14=CM$3),", "&amp;Projects!$A$14,"")&amp;IF(AND(Projects!$G$15="Yes",Projects!$C$15=CM$3),", "&amp;Projects!$A$15,"")&amp;IF(AND(Projects!$G$16="Yes",Projects!$C$16=CM$3),", "&amp;Projects!$A$16,"")&amp;IF(AND(Projects!$G$17="Yes",Projects!$C$17=CM$3),", "&amp;Projects!$A$17,"")&amp;IF(AND(Projects!$G$18="Yes",Projects!$C$18=CM$3),", "&amp;Projects!$A$18,"")&amp;IF(AND(Projects!$G$19="Yes",Projects!$C$19=CM$3),", "&amp;Projects!$A$19,"")&amp;IF(AND(Projects!$G$20="Yes",Projects!$C$20=CM$3),", "&amp;Projects!$A$20,"")&amp;IF(AND(Projects!$G$21="Yes",Projects!$C$21=CM$3),", "&amp;Projects!$A$21,"")&amp;IF(AND(Projects!$G$22="Yes",Projects!$C$22=CM$3),", "&amp;Projects!$A$22,"")&amp;IF(AND(Projects!$G$23="Yes",Projects!$C$23=CM$3),", "&amp;Projects!$A$23,"")&amp;IF(AND(Projects!$G$24="Yes",Projects!$C$24=CM$3),", "&amp;Projects!$A$24,"")&amp;IF(AND(Projects!$G$25="Yes",Projects!$C$25=CM$3),", "&amp;Projects!$A$25,"")&amp;IF(AND(Projects!$G$26="Yes",Projects!$C$26=CM$3),", "&amp;Projects!$A$26,"")&amp;IF(AND(Projects!$G$27="Yes",Projects!$C$27=CM$3),", "&amp;Projects!$A$27,"")&amp;IF(AND(Projects!$G$28="Yes",Projects!$C$28=CM$3),", "&amp;Projects!$A$28,"")&amp;IF(AND(Projects!$G$29="Yes",Projects!$C$29=CM$3),", "&amp;Projects!$A$29,"")&amp;IF(AND(Projects!$G$30="Yes",Projects!$C$30=CM$3),", "&amp;Projects!$A$30,"")&amp;IF(AND(Projects!$G$31="Yes",Projects!$C$31=CM$3),", "&amp;Projects!$A$31,"")&amp;IF(AND(Projects!$G$32="Yes",Projects!$C$32=CM$3),", "&amp;Projects!$A$32,"")&amp;IF(AND(Projects!$G$33="Yes",Projects!$C$33=CM$3),", "&amp;Projects!$A$33,"")&amp;IF(AND(Projects!$G$34="Yes",Projects!$C$34=CM$3),", "&amp;Projects!$A$34,"")&amp;IF(AND(Projects!$G$35="Yes",Projects!$C$35=CM$3),", "&amp;Projects!$A$35,"")&amp;IF(AND(Projects!$G$36="Yes",Projects!$C$36=CM$3),", "&amp;Projects!$A$36,"")&amp;IF(AND(Projects!$G$37="Yes",Projects!$C$37=CM$3),", "&amp;Projects!$A$37,"")&amp;IF(AND(Projects!$G$38="Yes",Projects!$C$38=CM$3),", "&amp;Projects!$A$38,"")&amp;IF(AND(Projects!$G$39="Yes",Projects!$C$39=CM$3),", "&amp;Projects!$A$39,"")&amp;IF(AND(Projects!$G$40="Yes",Projects!$C$40=CM$3),", "&amp;Projects!$A$40,"")&amp;IF(AND(Projects!$G$41="Yes",Projects!$C$41=CM$3),", "&amp;Projects!$A$41,"")&amp;IF(AND(Projects!$G$42="Yes",Projects!$C$42=CM$3),", "&amp;Projects!$A$42,"")&amp;IF(AND(Projects!$G$43="Yes",Projects!$C$43=CM$3),", "&amp;Projects!$A$43,"")&amp;IF(AND(Projects!$G$44="Yes",Projects!$C$44=CM$3),", "&amp;Projects!$A$44,"")&amp;IF(AND(Projects!$G$45="Yes",Projects!$C$45=CM$3),", "&amp;Projects!$A$45,"")&amp;IF(AND(Projects!$G$46="Yes",Projects!$C$46=CM$3),", "&amp;Projects!$A$46,""),3,10000)</f>
        <v/>
      </c>
      <c r="CN6" s="17" t="str">
        <f aca="false">MID(IF(AND(Projects!$G$2="Yes",Projects!$C$2=CN$3),", "&amp;Projects!$A$2,"")&amp;IF(AND(Projects!$G$3="Yes",Projects!$C$3=CN$3),", "&amp;Projects!$A$3,"")&amp;IF(AND(Projects!$G$4="Yes",Projects!$C$4=CN$3),", "&amp;Projects!$A$4,"")&amp;IF(AND(Projects!$G$5="Yes",Projects!$C$5=CN$3),", "&amp;Projects!$A$5,"")&amp;IF(AND(Projects!$G$6="Yes",Projects!$C$6=CN$3),", "&amp;Projects!$A$6,"")&amp;IF(AND(Projects!$G$7="Yes",Projects!$C$7=CN$3),", "&amp;Projects!$A$7,"")&amp;IF(AND(Projects!$G$8="Yes",Projects!$C$8=CN$3),", "&amp;Projects!$A$8,"")&amp;IF(AND(Projects!$G$9="Yes",Projects!$C$9=CN$3),", "&amp;Projects!$A$9,"")&amp;IF(AND(Projects!$G$10="Yes",Projects!$C$10=CN$3),", "&amp;Projects!$A$10,"")&amp;IF(AND(Projects!$G$11="Yes",Projects!$C$11=CN$3),", "&amp;Projects!$A$11,"")&amp;IF(AND(Projects!$G$12="Yes",Projects!$C$12=CN$3),", "&amp;Projects!$A$12,"")&amp;IF(AND(Projects!$G$13="Yes",Projects!$C$13=CN$3),", "&amp;Projects!$A$13,"")&amp;IF(AND(Projects!$G$14="Yes",Projects!$C$14=CN$3),", "&amp;Projects!$A$14,"")&amp;IF(AND(Projects!$G$15="Yes",Projects!$C$15=CN$3),", "&amp;Projects!$A$15,"")&amp;IF(AND(Projects!$G$16="Yes",Projects!$C$16=CN$3),", "&amp;Projects!$A$16,"")&amp;IF(AND(Projects!$G$17="Yes",Projects!$C$17=CN$3),", "&amp;Projects!$A$17,"")&amp;IF(AND(Projects!$G$18="Yes",Projects!$C$18=CN$3),", "&amp;Projects!$A$18,"")&amp;IF(AND(Projects!$G$19="Yes",Projects!$C$19=CN$3),", "&amp;Projects!$A$19,"")&amp;IF(AND(Projects!$G$20="Yes",Projects!$C$20=CN$3),", "&amp;Projects!$A$20,"")&amp;IF(AND(Projects!$G$21="Yes",Projects!$C$21=CN$3),", "&amp;Projects!$A$21,"")&amp;IF(AND(Projects!$G$22="Yes",Projects!$C$22=CN$3),", "&amp;Projects!$A$22,"")&amp;IF(AND(Projects!$G$23="Yes",Projects!$C$23=CN$3),", "&amp;Projects!$A$23,"")&amp;IF(AND(Projects!$G$24="Yes",Projects!$C$24=CN$3),", "&amp;Projects!$A$24,"")&amp;IF(AND(Projects!$G$25="Yes",Projects!$C$25=CN$3),", "&amp;Projects!$A$25,"")&amp;IF(AND(Projects!$G$26="Yes",Projects!$C$26=CN$3),", "&amp;Projects!$A$26,"")&amp;IF(AND(Projects!$G$27="Yes",Projects!$C$27=CN$3),", "&amp;Projects!$A$27,"")&amp;IF(AND(Projects!$G$28="Yes",Projects!$C$28=CN$3),", "&amp;Projects!$A$28,"")&amp;IF(AND(Projects!$G$29="Yes",Projects!$C$29=CN$3),", "&amp;Projects!$A$29,"")&amp;IF(AND(Projects!$G$30="Yes",Projects!$C$30=CN$3),", "&amp;Projects!$A$30,"")&amp;IF(AND(Projects!$G$31="Yes",Projects!$C$31=CN$3),", "&amp;Projects!$A$31,"")&amp;IF(AND(Projects!$G$32="Yes",Projects!$C$32=CN$3),", "&amp;Projects!$A$32,"")&amp;IF(AND(Projects!$G$33="Yes",Projects!$C$33=CN$3),", "&amp;Projects!$A$33,"")&amp;IF(AND(Projects!$G$34="Yes",Projects!$C$34=CN$3),", "&amp;Projects!$A$34,"")&amp;IF(AND(Projects!$G$35="Yes",Projects!$C$35=CN$3),", "&amp;Projects!$A$35,"")&amp;IF(AND(Projects!$G$36="Yes",Projects!$C$36=CN$3),", "&amp;Projects!$A$36,"")&amp;IF(AND(Projects!$G$37="Yes",Projects!$C$37=CN$3),", "&amp;Projects!$A$37,"")&amp;IF(AND(Projects!$G$38="Yes",Projects!$C$38=CN$3),", "&amp;Projects!$A$38,"")&amp;IF(AND(Projects!$G$39="Yes",Projects!$C$39=CN$3),", "&amp;Projects!$A$39,"")&amp;IF(AND(Projects!$G$40="Yes",Projects!$C$40=CN$3),", "&amp;Projects!$A$40,"")&amp;IF(AND(Projects!$G$41="Yes",Projects!$C$41=CN$3),", "&amp;Projects!$A$41,"")&amp;IF(AND(Projects!$G$42="Yes",Projects!$C$42=CN$3),", "&amp;Projects!$A$42,"")&amp;IF(AND(Projects!$G$43="Yes",Projects!$C$43=CN$3),", "&amp;Projects!$A$43,"")&amp;IF(AND(Projects!$G$44="Yes",Projects!$C$44=CN$3),", "&amp;Projects!$A$44,"")&amp;IF(AND(Projects!$G$45="Yes",Projects!$C$45=CN$3),", "&amp;Projects!$A$45,"")&amp;IF(AND(Projects!$G$46="Yes",Projects!$C$46=CN$3),", "&amp;Projects!$A$46,""),3,10000)</f>
        <v/>
      </c>
      <c r="CO6" s="17" t="str">
        <f aca="false">MID(IF(AND(Projects!$G$2="Yes",Projects!$C$2=CO$3),", "&amp;Projects!$A$2,"")&amp;IF(AND(Projects!$G$3="Yes",Projects!$C$3=CO$3),", "&amp;Projects!$A$3,"")&amp;IF(AND(Projects!$G$4="Yes",Projects!$C$4=CO$3),", "&amp;Projects!$A$4,"")&amp;IF(AND(Projects!$G$5="Yes",Projects!$C$5=CO$3),", "&amp;Projects!$A$5,"")&amp;IF(AND(Projects!$G$6="Yes",Projects!$C$6=CO$3),", "&amp;Projects!$A$6,"")&amp;IF(AND(Projects!$G$7="Yes",Projects!$C$7=CO$3),", "&amp;Projects!$A$7,"")&amp;IF(AND(Projects!$G$8="Yes",Projects!$C$8=CO$3),", "&amp;Projects!$A$8,"")&amp;IF(AND(Projects!$G$9="Yes",Projects!$C$9=CO$3),", "&amp;Projects!$A$9,"")&amp;IF(AND(Projects!$G$10="Yes",Projects!$C$10=CO$3),", "&amp;Projects!$A$10,"")&amp;IF(AND(Projects!$G$11="Yes",Projects!$C$11=CO$3),", "&amp;Projects!$A$11,"")&amp;IF(AND(Projects!$G$12="Yes",Projects!$C$12=CO$3),", "&amp;Projects!$A$12,"")&amp;IF(AND(Projects!$G$13="Yes",Projects!$C$13=CO$3),", "&amp;Projects!$A$13,"")&amp;IF(AND(Projects!$G$14="Yes",Projects!$C$14=CO$3),", "&amp;Projects!$A$14,"")&amp;IF(AND(Projects!$G$15="Yes",Projects!$C$15=CO$3),", "&amp;Projects!$A$15,"")&amp;IF(AND(Projects!$G$16="Yes",Projects!$C$16=CO$3),", "&amp;Projects!$A$16,"")&amp;IF(AND(Projects!$G$17="Yes",Projects!$C$17=CO$3),", "&amp;Projects!$A$17,"")&amp;IF(AND(Projects!$G$18="Yes",Projects!$C$18=CO$3),", "&amp;Projects!$A$18,"")&amp;IF(AND(Projects!$G$19="Yes",Projects!$C$19=CO$3),", "&amp;Projects!$A$19,"")&amp;IF(AND(Projects!$G$20="Yes",Projects!$C$20=CO$3),", "&amp;Projects!$A$20,"")&amp;IF(AND(Projects!$G$21="Yes",Projects!$C$21=CO$3),", "&amp;Projects!$A$21,"")&amp;IF(AND(Projects!$G$22="Yes",Projects!$C$22=CO$3),", "&amp;Projects!$A$22,"")&amp;IF(AND(Projects!$G$23="Yes",Projects!$C$23=CO$3),", "&amp;Projects!$A$23,"")&amp;IF(AND(Projects!$G$24="Yes",Projects!$C$24=CO$3),", "&amp;Projects!$A$24,"")&amp;IF(AND(Projects!$G$25="Yes",Projects!$C$25=CO$3),", "&amp;Projects!$A$25,"")&amp;IF(AND(Projects!$G$26="Yes",Projects!$C$26=CO$3),", "&amp;Projects!$A$26,"")&amp;IF(AND(Projects!$G$27="Yes",Projects!$C$27=CO$3),", "&amp;Projects!$A$27,"")&amp;IF(AND(Projects!$G$28="Yes",Projects!$C$28=CO$3),", "&amp;Projects!$A$28,"")&amp;IF(AND(Projects!$G$29="Yes",Projects!$C$29=CO$3),", "&amp;Projects!$A$29,"")&amp;IF(AND(Projects!$G$30="Yes",Projects!$C$30=CO$3),", "&amp;Projects!$A$30,"")&amp;IF(AND(Projects!$G$31="Yes",Projects!$C$31=CO$3),", "&amp;Projects!$A$31,"")&amp;IF(AND(Projects!$G$32="Yes",Projects!$C$32=CO$3),", "&amp;Projects!$A$32,"")&amp;IF(AND(Projects!$G$33="Yes",Projects!$C$33=CO$3),", "&amp;Projects!$A$33,"")&amp;IF(AND(Projects!$G$34="Yes",Projects!$C$34=CO$3),", "&amp;Projects!$A$34,"")&amp;IF(AND(Projects!$G$35="Yes",Projects!$C$35=CO$3),", "&amp;Projects!$A$35,"")&amp;IF(AND(Projects!$G$36="Yes",Projects!$C$36=CO$3),", "&amp;Projects!$A$36,"")&amp;IF(AND(Projects!$G$37="Yes",Projects!$C$37=CO$3),", "&amp;Projects!$A$37,"")&amp;IF(AND(Projects!$G$38="Yes",Projects!$C$38=CO$3),", "&amp;Projects!$A$38,"")&amp;IF(AND(Projects!$G$39="Yes",Projects!$C$39=CO$3),", "&amp;Projects!$A$39,"")&amp;IF(AND(Projects!$G$40="Yes",Projects!$C$40=CO$3),", "&amp;Projects!$A$40,"")&amp;IF(AND(Projects!$G$41="Yes",Projects!$C$41=CO$3),", "&amp;Projects!$A$41,"")&amp;IF(AND(Projects!$G$42="Yes",Projects!$C$42=CO$3),", "&amp;Projects!$A$42,"")&amp;IF(AND(Projects!$G$43="Yes",Projects!$C$43=CO$3),", "&amp;Projects!$A$43,"")&amp;IF(AND(Projects!$G$44="Yes",Projects!$C$44=CO$3),", "&amp;Projects!$A$44,"")&amp;IF(AND(Projects!$G$45="Yes",Projects!$C$45=CO$3),", "&amp;Projects!$A$45,"")&amp;IF(AND(Projects!$G$46="Yes",Projects!$C$46=CO$3),", "&amp;Projects!$A$46,""),3,10000)</f>
        <v/>
      </c>
      <c r="CP6" s="17" t="str">
        <f aca="false">MID(IF(AND(Projects!$G$2="Yes",Projects!$C$2=CP$3),", "&amp;Projects!$A$2,"")&amp;IF(AND(Projects!$G$3="Yes",Projects!$C$3=CP$3),", "&amp;Projects!$A$3,"")&amp;IF(AND(Projects!$G$4="Yes",Projects!$C$4=CP$3),", "&amp;Projects!$A$4,"")&amp;IF(AND(Projects!$G$5="Yes",Projects!$C$5=CP$3),", "&amp;Projects!$A$5,"")&amp;IF(AND(Projects!$G$6="Yes",Projects!$C$6=CP$3),", "&amp;Projects!$A$6,"")&amp;IF(AND(Projects!$G$7="Yes",Projects!$C$7=CP$3),", "&amp;Projects!$A$7,"")&amp;IF(AND(Projects!$G$8="Yes",Projects!$C$8=CP$3),", "&amp;Projects!$A$8,"")&amp;IF(AND(Projects!$G$9="Yes",Projects!$C$9=CP$3),", "&amp;Projects!$A$9,"")&amp;IF(AND(Projects!$G$10="Yes",Projects!$C$10=CP$3),", "&amp;Projects!$A$10,"")&amp;IF(AND(Projects!$G$11="Yes",Projects!$C$11=CP$3),", "&amp;Projects!$A$11,"")&amp;IF(AND(Projects!$G$12="Yes",Projects!$C$12=CP$3),", "&amp;Projects!$A$12,"")&amp;IF(AND(Projects!$G$13="Yes",Projects!$C$13=CP$3),", "&amp;Projects!$A$13,"")&amp;IF(AND(Projects!$G$14="Yes",Projects!$C$14=CP$3),", "&amp;Projects!$A$14,"")&amp;IF(AND(Projects!$G$15="Yes",Projects!$C$15=CP$3),", "&amp;Projects!$A$15,"")&amp;IF(AND(Projects!$G$16="Yes",Projects!$C$16=CP$3),", "&amp;Projects!$A$16,"")&amp;IF(AND(Projects!$G$17="Yes",Projects!$C$17=CP$3),", "&amp;Projects!$A$17,"")&amp;IF(AND(Projects!$G$18="Yes",Projects!$C$18=CP$3),", "&amp;Projects!$A$18,"")&amp;IF(AND(Projects!$G$19="Yes",Projects!$C$19=CP$3),", "&amp;Projects!$A$19,"")&amp;IF(AND(Projects!$G$20="Yes",Projects!$C$20=CP$3),", "&amp;Projects!$A$20,"")&amp;IF(AND(Projects!$G$21="Yes",Projects!$C$21=CP$3),", "&amp;Projects!$A$21,"")&amp;IF(AND(Projects!$G$22="Yes",Projects!$C$22=CP$3),", "&amp;Projects!$A$22,"")&amp;IF(AND(Projects!$G$23="Yes",Projects!$C$23=CP$3),", "&amp;Projects!$A$23,"")&amp;IF(AND(Projects!$G$24="Yes",Projects!$C$24=CP$3),", "&amp;Projects!$A$24,"")&amp;IF(AND(Projects!$G$25="Yes",Projects!$C$25=CP$3),", "&amp;Projects!$A$25,"")&amp;IF(AND(Projects!$G$26="Yes",Projects!$C$26=CP$3),", "&amp;Projects!$A$26,"")&amp;IF(AND(Projects!$G$27="Yes",Projects!$C$27=CP$3),", "&amp;Projects!$A$27,"")&amp;IF(AND(Projects!$G$28="Yes",Projects!$C$28=CP$3),", "&amp;Projects!$A$28,"")&amp;IF(AND(Projects!$G$29="Yes",Projects!$C$29=CP$3),", "&amp;Projects!$A$29,"")&amp;IF(AND(Projects!$G$30="Yes",Projects!$C$30=CP$3),", "&amp;Projects!$A$30,"")&amp;IF(AND(Projects!$G$31="Yes",Projects!$C$31=CP$3),", "&amp;Projects!$A$31,"")&amp;IF(AND(Projects!$G$32="Yes",Projects!$C$32=CP$3),", "&amp;Projects!$A$32,"")&amp;IF(AND(Projects!$G$33="Yes",Projects!$C$33=CP$3),", "&amp;Projects!$A$33,"")&amp;IF(AND(Projects!$G$34="Yes",Projects!$C$34=CP$3),", "&amp;Projects!$A$34,"")&amp;IF(AND(Projects!$G$35="Yes",Projects!$C$35=CP$3),", "&amp;Projects!$A$35,"")&amp;IF(AND(Projects!$G$36="Yes",Projects!$C$36=CP$3),", "&amp;Projects!$A$36,"")&amp;IF(AND(Projects!$G$37="Yes",Projects!$C$37=CP$3),", "&amp;Projects!$A$37,"")&amp;IF(AND(Projects!$G$38="Yes",Projects!$C$38=CP$3),", "&amp;Projects!$A$38,"")&amp;IF(AND(Projects!$G$39="Yes",Projects!$C$39=CP$3),", "&amp;Projects!$A$39,"")&amp;IF(AND(Projects!$G$40="Yes",Projects!$C$40=CP$3),", "&amp;Projects!$A$40,"")&amp;IF(AND(Projects!$G$41="Yes",Projects!$C$41=CP$3),", "&amp;Projects!$A$41,"")&amp;IF(AND(Projects!$G$42="Yes",Projects!$C$42=CP$3),", "&amp;Projects!$A$42,"")&amp;IF(AND(Projects!$G$43="Yes",Projects!$C$43=CP$3),", "&amp;Projects!$A$43,"")&amp;IF(AND(Projects!$G$44="Yes",Projects!$C$44=CP$3),", "&amp;Projects!$A$44,"")&amp;IF(AND(Projects!$G$45="Yes",Projects!$C$45=CP$3),", "&amp;Projects!$A$45,"")&amp;IF(AND(Projects!$G$46="Yes",Projects!$C$46=CP$3),", "&amp;Projects!$A$46,""),3,10000)</f>
        <v/>
      </c>
      <c r="CQ6" s="17" t="str">
        <f aca="false">MID(IF(AND(Projects!$G$2="Yes",Projects!$C$2=CQ$3),", "&amp;Projects!$A$2,"")&amp;IF(AND(Projects!$G$3="Yes",Projects!$C$3=CQ$3),", "&amp;Projects!$A$3,"")&amp;IF(AND(Projects!$G$4="Yes",Projects!$C$4=CQ$3),", "&amp;Projects!$A$4,"")&amp;IF(AND(Projects!$G$5="Yes",Projects!$C$5=CQ$3),", "&amp;Projects!$A$5,"")&amp;IF(AND(Projects!$G$6="Yes",Projects!$C$6=CQ$3),", "&amp;Projects!$A$6,"")&amp;IF(AND(Projects!$G$7="Yes",Projects!$C$7=CQ$3),", "&amp;Projects!$A$7,"")&amp;IF(AND(Projects!$G$8="Yes",Projects!$C$8=CQ$3),", "&amp;Projects!$A$8,"")&amp;IF(AND(Projects!$G$9="Yes",Projects!$C$9=CQ$3),", "&amp;Projects!$A$9,"")&amp;IF(AND(Projects!$G$10="Yes",Projects!$C$10=CQ$3),", "&amp;Projects!$A$10,"")&amp;IF(AND(Projects!$G$11="Yes",Projects!$C$11=CQ$3),", "&amp;Projects!$A$11,"")&amp;IF(AND(Projects!$G$12="Yes",Projects!$C$12=CQ$3),", "&amp;Projects!$A$12,"")&amp;IF(AND(Projects!$G$13="Yes",Projects!$C$13=CQ$3),", "&amp;Projects!$A$13,"")&amp;IF(AND(Projects!$G$14="Yes",Projects!$C$14=CQ$3),", "&amp;Projects!$A$14,"")&amp;IF(AND(Projects!$G$15="Yes",Projects!$C$15=CQ$3),", "&amp;Projects!$A$15,"")&amp;IF(AND(Projects!$G$16="Yes",Projects!$C$16=CQ$3),", "&amp;Projects!$A$16,"")&amp;IF(AND(Projects!$G$17="Yes",Projects!$C$17=CQ$3),", "&amp;Projects!$A$17,"")&amp;IF(AND(Projects!$G$18="Yes",Projects!$C$18=CQ$3),", "&amp;Projects!$A$18,"")&amp;IF(AND(Projects!$G$19="Yes",Projects!$C$19=CQ$3),", "&amp;Projects!$A$19,"")&amp;IF(AND(Projects!$G$20="Yes",Projects!$C$20=CQ$3),", "&amp;Projects!$A$20,"")&amp;IF(AND(Projects!$G$21="Yes",Projects!$C$21=CQ$3),", "&amp;Projects!$A$21,"")&amp;IF(AND(Projects!$G$22="Yes",Projects!$C$22=CQ$3),", "&amp;Projects!$A$22,"")&amp;IF(AND(Projects!$G$23="Yes",Projects!$C$23=CQ$3),", "&amp;Projects!$A$23,"")&amp;IF(AND(Projects!$G$24="Yes",Projects!$C$24=CQ$3),", "&amp;Projects!$A$24,"")&amp;IF(AND(Projects!$G$25="Yes",Projects!$C$25=CQ$3),", "&amp;Projects!$A$25,"")&amp;IF(AND(Projects!$G$26="Yes",Projects!$C$26=CQ$3),", "&amp;Projects!$A$26,"")&amp;IF(AND(Projects!$G$27="Yes",Projects!$C$27=CQ$3),", "&amp;Projects!$A$27,"")&amp;IF(AND(Projects!$G$28="Yes",Projects!$C$28=CQ$3),", "&amp;Projects!$A$28,"")&amp;IF(AND(Projects!$G$29="Yes",Projects!$C$29=CQ$3),", "&amp;Projects!$A$29,"")&amp;IF(AND(Projects!$G$30="Yes",Projects!$C$30=CQ$3),", "&amp;Projects!$A$30,"")&amp;IF(AND(Projects!$G$31="Yes",Projects!$C$31=CQ$3),", "&amp;Projects!$A$31,"")&amp;IF(AND(Projects!$G$32="Yes",Projects!$C$32=CQ$3),", "&amp;Projects!$A$32,"")&amp;IF(AND(Projects!$G$33="Yes",Projects!$C$33=CQ$3),", "&amp;Projects!$A$33,"")&amp;IF(AND(Projects!$G$34="Yes",Projects!$C$34=CQ$3),", "&amp;Projects!$A$34,"")&amp;IF(AND(Projects!$G$35="Yes",Projects!$C$35=CQ$3),", "&amp;Projects!$A$35,"")&amp;IF(AND(Projects!$G$36="Yes",Projects!$C$36=CQ$3),", "&amp;Projects!$A$36,"")&amp;IF(AND(Projects!$G$37="Yes",Projects!$C$37=CQ$3),", "&amp;Projects!$A$37,"")&amp;IF(AND(Projects!$G$38="Yes",Projects!$C$38=CQ$3),", "&amp;Projects!$A$38,"")&amp;IF(AND(Projects!$G$39="Yes",Projects!$C$39=CQ$3),", "&amp;Projects!$A$39,"")&amp;IF(AND(Projects!$G$40="Yes",Projects!$C$40=CQ$3),", "&amp;Projects!$A$40,"")&amp;IF(AND(Projects!$G$41="Yes",Projects!$C$41=CQ$3),", "&amp;Projects!$A$41,"")&amp;IF(AND(Projects!$G$42="Yes",Projects!$C$42=CQ$3),", "&amp;Projects!$A$42,"")&amp;IF(AND(Projects!$G$43="Yes",Projects!$C$43=CQ$3),", "&amp;Projects!$A$43,"")&amp;IF(AND(Projects!$G$44="Yes",Projects!$C$44=CQ$3),", "&amp;Projects!$A$44,"")&amp;IF(AND(Projects!$G$45="Yes",Projects!$C$45=CQ$3),", "&amp;Projects!$A$45,"")&amp;IF(AND(Projects!$G$46="Yes",Projects!$C$46=CQ$3),", "&amp;Projects!$A$46,""),3,10000)</f>
        <v/>
      </c>
      <c r="CR6" s="17" t="str">
        <f aca="false">MID(IF(AND(Projects!$G$2="Yes",Projects!$C$2=CR$3),", "&amp;Projects!$A$2,"")&amp;IF(AND(Projects!$G$3="Yes",Projects!$C$3=CR$3),", "&amp;Projects!$A$3,"")&amp;IF(AND(Projects!$G$4="Yes",Projects!$C$4=CR$3),", "&amp;Projects!$A$4,"")&amp;IF(AND(Projects!$G$5="Yes",Projects!$C$5=CR$3),", "&amp;Projects!$A$5,"")&amp;IF(AND(Projects!$G$6="Yes",Projects!$C$6=CR$3),", "&amp;Projects!$A$6,"")&amp;IF(AND(Projects!$G$7="Yes",Projects!$C$7=CR$3),", "&amp;Projects!$A$7,"")&amp;IF(AND(Projects!$G$8="Yes",Projects!$C$8=CR$3),", "&amp;Projects!$A$8,"")&amp;IF(AND(Projects!$G$9="Yes",Projects!$C$9=CR$3),", "&amp;Projects!$A$9,"")&amp;IF(AND(Projects!$G$10="Yes",Projects!$C$10=CR$3),", "&amp;Projects!$A$10,"")&amp;IF(AND(Projects!$G$11="Yes",Projects!$C$11=CR$3),", "&amp;Projects!$A$11,"")&amp;IF(AND(Projects!$G$12="Yes",Projects!$C$12=CR$3),", "&amp;Projects!$A$12,"")&amp;IF(AND(Projects!$G$13="Yes",Projects!$C$13=CR$3),", "&amp;Projects!$A$13,"")&amp;IF(AND(Projects!$G$14="Yes",Projects!$C$14=CR$3),", "&amp;Projects!$A$14,"")&amp;IF(AND(Projects!$G$15="Yes",Projects!$C$15=CR$3),", "&amp;Projects!$A$15,"")&amp;IF(AND(Projects!$G$16="Yes",Projects!$C$16=CR$3),", "&amp;Projects!$A$16,"")&amp;IF(AND(Projects!$G$17="Yes",Projects!$C$17=CR$3),", "&amp;Projects!$A$17,"")&amp;IF(AND(Projects!$G$18="Yes",Projects!$C$18=CR$3),", "&amp;Projects!$A$18,"")&amp;IF(AND(Projects!$G$19="Yes",Projects!$C$19=CR$3),", "&amp;Projects!$A$19,"")&amp;IF(AND(Projects!$G$20="Yes",Projects!$C$20=CR$3),", "&amp;Projects!$A$20,"")&amp;IF(AND(Projects!$G$21="Yes",Projects!$C$21=CR$3),", "&amp;Projects!$A$21,"")&amp;IF(AND(Projects!$G$22="Yes",Projects!$C$22=CR$3),", "&amp;Projects!$A$22,"")&amp;IF(AND(Projects!$G$23="Yes",Projects!$C$23=CR$3),", "&amp;Projects!$A$23,"")&amp;IF(AND(Projects!$G$24="Yes",Projects!$C$24=CR$3),", "&amp;Projects!$A$24,"")&amp;IF(AND(Projects!$G$25="Yes",Projects!$C$25=CR$3),", "&amp;Projects!$A$25,"")&amp;IF(AND(Projects!$G$26="Yes",Projects!$C$26=CR$3),", "&amp;Projects!$A$26,"")&amp;IF(AND(Projects!$G$27="Yes",Projects!$C$27=CR$3),", "&amp;Projects!$A$27,"")&amp;IF(AND(Projects!$G$28="Yes",Projects!$C$28=CR$3),", "&amp;Projects!$A$28,"")&amp;IF(AND(Projects!$G$29="Yes",Projects!$C$29=CR$3),", "&amp;Projects!$A$29,"")&amp;IF(AND(Projects!$G$30="Yes",Projects!$C$30=CR$3),", "&amp;Projects!$A$30,"")&amp;IF(AND(Projects!$G$31="Yes",Projects!$C$31=CR$3),", "&amp;Projects!$A$31,"")&amp;IF(AND(Projects!$G$32="Yes",Projects!$C$32=CR$3),", "&amp;Projects!$A$32,"")&amp;IF(AND(Projects!$G$33="Yes",Projects!$C$33=CR$3),", "&amp;Projects!$A$33,"")&amp;IF(AND(Projects!$G$34="Yes",Projects!$C$34=CR$3),", "&amp;Projects!$A$34,"")&amp;IF(AND(Projects!$G$35="Yes",Projects!$C$35=CR$3),", "&amp;Projects!$A$35,"")&amp;IF(AND(Projects!$G$36="Yes",Projects!$C$36=CR$3),", "&amp;Projects!$A$36,"")&amp;IF(AND(Projects!$G$37="Yes",Projects!$C$37=CR$3),", "&amp;Projects!$A$37,"")&amp;IF(AND(Projects!$G$38="Yes",Projects!$C$38=CR$3),", "&amp;Projects!$A$38,"")&amp;IF(AND(Projects!$G$39="Yes",Projects!$C$39=CR$3),", "&amp;Projects!$A$39,"")&amp;IF(AND(Projects!$G$40="Yes",Projects!$C$40=CR$3),", "&amp;Projects!$A$40,"")&amp;IF(AND(Projects!$G$41="Yes",Projects!$C$41=CR$3),", "&amp;Projects!$A$41,"")&amp;IF(AND(Projects!$G$42="Yes",Projects!$C$42=CR$3),", "&amp;Projects!$A$42,"")&amp;IF(AND(Projects!$G$43="Yes",Projects!$C$43=CR$3),", "&amp;Projects!$A$43,"")&amp;IF(AND(Projects!$G$44="Yes",Projects!$C$44=CR$3),", "&amp;Projects!$A$44,"")&amp;IF(AND(Projects!$G$45="Yes",Projects!$C$45=CR$3),", "&amp;Projects!$A$45,"")&amp;IF(AND(Projects!$G$46="Yes",Projects!$C$46=CR$3),", "&amp;Projects!$A$46,""),3,10000)</f>
        <v/>
      </c>
      <c r="CS6" s="17" t="str">
        <f aca="false">MID(IF(AND(Projects!$G$2="Yes",Projects!$C$2=CS$3),", "&amp;Projects!$A$2,"")&amp;IF(AND(Projects!$G$3="Yes",Projects!$C$3=CS$3),", "&amp;Projects!$A$3,"")&amp;IF(AND(Projects!$G$4="Yes",Projects!$C$4=CS$3),", "&amp;Projects!$A$4,"")&amp;IF(AND(Projects!$G$5="Yes",Projects!$C$5=CS$3),", "&amp;Projects!$A$5,"")&amp;IF(AND(Projects!$G$6="Yes",Projects!$C$6=CS$3),", "&amp;Projects!$A$6,"")&amp;IF(AND(Projects!$G$7="Yes",Projects!$C$7=CS$3),", "&amp;Projects!$A$7,"")&amp;IF(AND(Projects!$G$8="Yes",Projects!$C$8=CS$3),", "&amp;Projects!$A$8,"")&amp;IF(AND(Projects!$G$9="Yes",Projects!$C$9=CS$3),", "&amp;Projects!$A$9,"")&amp;IF(AND(Projects!$G$10="Yes",Projects!$C$10=CS$3),", "&amp;Projects!$A$10,"")&amp;IF(AND(Projects!$G$11="Yes",Projects!$C$11=CS$3),", "&amp;Projects!$A$11,"")&amp;IF(AND(Projects!$G$12="Yes",Projects!$C$12=CS$3),", "&amp;Projects!$A$12,"")&amp;IF(AND(Projects!$G$13="Yes",Projects!$C$13=CS$3),", "&amp;Projects!$A$13,"")&amp;IF(AND(Projects!$G$14="Yes",Projects!$C$14=CS$3),", "&amp;Projects!$A$14,"")&amp;IF(AND(Projects!$G$15="Yes",Projects!$C$15=CS$3),", "&amp;Projects!$A$15,"")&amp;IF(AND(Projects!$G$16="Yes",Projects!$C$16=CS$3),", "&amp;Projects!$A$16,"")&amp;IF(AND(Projects!$G$17="Yes",Projects!$C$17=CS$3),", "&amp;Projects!$A$17,"")&amp;IF(AND(Projects!$G$18="Yes",Projects!$C$18=CS$3),", "&amp;Projects!$A$18,"")&amp;IF(AND(Projects!$G$19="Yes",Projects!$C$19=CS$3),", "&amp;Projects!$A$19,"")&amp;IF(AND(Projects!$G$20="Yes",Projects!$C$20=CS$3),", "&amp;Projects!$A$20,"")&amp;IF(AND(Projects!$G$21="Yes",Projects!$C$21=CS$3),", "&amp;Projects!$A$21,"")&amp;IF(AND(Projects!$G$22="Yes",Projects!$C$22=CS$3),", "&amp;Projects!$A$22,"")&amp;IF(AND(Projects!$G$23="Yes",Projects!$C$23=CS$3),", "&amp;Projects!$A$23,"")&amp;IF(AND(Projects!$G$24="Yes",Projects!$C$24=CS$3),", "&amp;Projects!$A$24,"")&amp;IF(AND(Projects!$G$25="Yes",Projects!$C$25=CS$3),", "&amp;Projects!$A$25,"")&amp;IF(AND(Projects!$G$26="Yes",Projects!$C$26=CS$3),", "&amp;Projects!$A$26,"")&amp;IF(AND(Projects!$G$27="Yes",Projects!$C$27=CS$3),", "&amp;Projects!$A$27,"")&amp;IF(AND(Projects!$G$28="Yes",Projects!$C$28=CS$3),", "&amp;Projects!$A$28,"")&amp;IF(AND(Projects!$G$29="Yes",Projects!$C$29=CS$3),", "&amp;Projects!$A$29,"")&amp;IF(AND(Projects!$G$30="Yes",Projects!$C$30=CS$3),", "&amp;Projects!$A$30,"")&amp;IF(AND(Projects!$G$31="Yes",Projects!$C$31=CS$3),", "&amp;Projects!$A$31,"")&amp;IF(AND(Projects!$G$32="Yes",Projects!$C$32=CS$3),", "&amp;Projects!$A$32,"")&amp;IF(AND(Projects!$G$33="Yes",Projects!$C$33=CS$3),", "&amp;Projects!$A$33,"")&amp;IF(AND(Projects!$G$34="Yes",Projects!$C$34=CS$3),", "&amp;Projects!$A$34,"")&amp;IF(AND(Projects!$G$35="Yes",Projects!$C$35=CS$3),", "&amp;Projects!$A$35,"")&amp;IF(AND(Projects!$G$36="Yes",Projects!$C$36=CS$3),", "&amp;Projects!$A$36,"")&amp;IF(AND(Projects!$G$37="Yes",Projects!$C$37=CS$3),", "&amp;Projects!$A$37,"")&amp;IF(AND(Projects!$G$38="Yes",Projects!$C$38=CS$3),", "&amp;Projects!$A$38,"")&amp;IF(AND(Projects!$G$39="Yes",Projects!$C$39=CS$3),", "&amp;Projects!$A$39,"")&amp;IF(AND(Projects!$G$40="Yes",Projects!$C$40=CS$3),", "&amp;Projects!$A$40,"")&amp;IF(AND(Projects!$G$41="Yes",Projects!$C$41=CS$3),", "&amp;Projects!$A$41,"")&amp;IF(AND(Projects!$G$42="Yes",Projects!$C$42=CS$3),", "&amp;Projects!$A$42,"")&amp;IF(AND(Projects!$G$43="Yes",Projects!$C$43=CS$3),", "&amp;Projects!$A$43,"")&amp;IF(AND(Projects!$G$44="Yes",Projects!$C$44=CS$3),", "&amp;Projects!$A$44,"")&amp;IF(AND(Projects!$G$45="Yes",Projects!$C$45=CS$3),", "&amp;Projects!$A$45,"")&amp;IF(AND(Projects!$G$46="Yes",Projects!$C$46=CS$3),", "&amp;Projects!$A$46,""),3,10000)</f>
        <v/>
      </c>
      <c r="CT6" s="17" t="str">
        <f aca="false">MID(IF(AND(Projects!$G$2="Yes",Projects!$C$2=CT$3),", "&amp;Projects!$A$2,"")&amp;IF(AND(Projects!$G$3="Yes",Projects!$C$3=CT$3),", "&amp;Projects!$A$3,"")&amp;IF(AND(Projects!$G$4="Yes",Projects!$C$4=CT$3),", "&amp;Projects!$A$4,"")&amp;IF(AND(Projects!$G$5="Yes",Projects!$C$5=CT$3),", "&amp;Projects!$A$5,"")&amp;IF(AND(Projects!$G$6="Yes",Projects!$C$6=CT$3),", "&amp;Projects!$A$6,"")&amp;IF(AND(Projects!$G$7="Yes",Projects!$C$7=CT$3),", "&amp;Projects!$A$7,"")&amp;IF(AND(Projects!$G$8="Yes",Projects!$C$8=CT$3),", "&amp;Projects!$A$8,"")&amp;IF(AND(Projects!$G$9="Yes",Projects!$C$9=CT$3),", "&amp;Projects!$A$9,"")&amp;IF(AND(Projects!$G$10="Yes",Projects!$C$10=CT$3),", "&amp;Projects!$A$10,"")&amp;IF(AND(Projects!$G$11="Yes",Projects!$C$11=CT$3),", "&amp;Projects!$A$11,"")&amp;IF(AND(Projects!$G$12="Yes",Projects!$C$12=CT$3),", "&amp;Projects!$A$12,"")&amp;IF(AND(Projects!$G$13="Yes",Projects!$C$13=CT$3),", "&amp;Projects!$A$13,"")&amp;IF(AND(Projects!$G$14="Yes",Projects!$C$14=CT$3),", "&amp;Projects!$A$14,"")&amp;IF(AND(Projects!$G$15="Yes",Projects!$C$15=CT$3),", "&amp;Projects!$A$15,"")&amp;IF(AND(Projects!$G$16="Yes",Projects!$C$16=CT$3),", "&amp;Projects!$A$16,"")&amp;IF(AND(Projects!$G$17="Yes",Projects!$C$17=CT$3),", "&amp;Projects!$A$17,"")&amp;IF(AND(Projects!$G$18="Yes",Projects!$C$18=CT$3),", "&amp;Projects!$A$18,"")&amp;IF(AND(Projects!$G$19="Yes",Projects!$C$19=CT$3),", "&amp;Projects!$A$19,"")&amp;IF(AND(Projects!$G$20="Yes",Projects!$C$20=CT$3),", "&amp;Projects!$A$20,"")&amp;IF(AND(Projects!$G$21="Yes",Projects!$C$21=CT$3),", "&amp;Projects!$A$21,"")&amp;IF(AND(Projects!$G$22="Yes",Projects!$C$22=CT$3),", "&amp;Projects!$A$22,"")&amp;IF(AND(Projects!$G$23="Yes",Projects!$C$23=CT$3),", "&amp;Projects!$A$23,"")&amp;IF(AND(Projects!$G$24="Yes",Projects!$C$24=CT$3),", "&amp;Projects!$A$24,"")&amp;IF(AND(Projects!$G$25="Yes",Projects!$C$25=CT$3),", "&amp;Projects!$A$25,"")&amp;IF(AND(Projects!$G$26="Yes",Projects!$C$26=CT$3),", "&amp;Projects!$A$26,"")&amp;IF(AND(Projects!$G$27="Yes",Projects!$C$27=CT$3),", "&amp;Projects!$A$27,"")&amp;IF(AND(Projects!$G$28="Yes",Projects!$C$28=CT$3),", "&amp;Projects!$A$28,"")&amp;IF(AND(Projects!$G$29="Yes",Projects!$C$29=CT$3),", "&amp;Projects!$A$29,"")&amp;IF(AND(Projects!$G$30="Yes",Projects!$C$30=CT$3),", "&amp;Projects!$A$30,"")&amp;IF(AND(Projects!$G$31="Yes",Projects!$C$31=CT$3),", "&amp;Projects!$A$31,"")&amp;IF(AND(Projects!$G$32="Yes",Projects!$C$32=CT$3),", "&amp;Projects!$A$32,"")&amp;IF(AND(Projects!$G$33="Yes",Projects!$C$33=CT$3),", "&amp;Projects!$A$33,"")&amp;IF(AND(Projects!$G$34="Yes",Projects!$C$34=CT$3),", "&amp;Projects!$A$34,"")&amp;IF(AND(Projects!$G$35="Yes",Projects!$C$35=CT$3),", "&amp;Projects!$A$35,"")&amp;IF(AND(Projects!$G$36="Yes",Projects!$C$36=CT$3),", "&amp;Projects!$A$36,"")&amp;IF(AND(Projects!$G$37="Yes",Projects!$C$37=CT$3),", "&amp;Projects!$A$37,"")&amp;IF(AND(Projects!$G$38="Yes",Projects!$C$38=CT$3),", "&amp;Projects!$A$38,"")&amp;IF(AND(Projects!$G$39="Yes",Projects!$C$39=CT$3),", "&amp;Projects!$A$39,"")&amp;IF(AND(Projects!$G$40="Yes",Projects!$C$40=CT$3),", "&amp;Projects!$A$40,"")&amp;IF(AND(Projects!$G$41="Yes",Projects!$C$41=CT$3),", "&amp;Projects!$A$41,"")&amp;IF(AND(Projects!$G$42="Yes",Projects!$C$42=CT$3),", "&amp;Projects!$A$42,"")&amp;IF(AND(Projects!$G$43="Yes",Projects!$C$43=CT$3),", "&amp;Projects!$A$43,"")&amp;IF(AND(Projects!$G$44="Yes",Projects!$C$44=CT$3),", "&amp;Projects!$A$44,"")&amp;IF(AND(Projects!$G$45="Yes",Projects!$C$45=CT$3),", "&amp;Projects!$A$45,"")&amp;IF(AND(Projects!$G$46="Yes",Projects!$C$46=CT$3),", "&amp;Projects!$A$46,""),3,10000)</f>
        <v/>
      </c>
      <c r="CU6" s="17" t="str">
        <f aca="false">MID(IF(AND(Projects!$G$2="Yes",Projects!$C$2=CU$3),", "&amp;Projects!$A$2,"")&amp;IF(AND(Projects!$G$3="Yes",Projects!$C$3=CU$3),", "&amp;Projects!$A$3,"")&amp;IF(AND(Projects!$G$4="Yes",Projects!$C$4=CU$3),", "&amp;Projects!$A$4,"")&amp;IF(AND(Projects!$G$5="Yes",Projects!$C$5=CU$3),", "&amp;Projects!$A$5,"")&amp;IF(AND(Projects!$G$6="Yes",Projects!$C$6=CU$3),", "&amp;Projects!$A$6,"")&amp;IF(AND(Projects!$G$7="Yes",Projects!$C$7=CU$3),", "&amp;Projects!$A$7,"")&amp;IF(AND(Projects!$G$8="Yes",Projects!$C$8=CU$3),", "&amp;Projects!$A$8,"")&amp;IF(AND(Projects!$G$9="Yes",Projects!$C$9=CU$3),", "&amp;Projects!$A$9,"")&amp;IF(AND(Projects!$G$10="Yes",Projects!$C$10=CU$3),", "&amp;Projects!$A$10,"")&amp;IF(AND(Projects!$G$11="Yes",Projects!$C$11=CU$3),", "&amp;Projects!$A$11,"")&amp;IF(AND(Projects!$G$12="Yes",Projects!$C$12=CU$3),", "&amp;Projects!$A$12,"")&amp;IF(AND(Projects!$G$13="Yes",Projects!$C$13=CU$3),", "&amp;Projects!$A$13,"")&amp;IF(AND(Projects!$G$14="Yes",Projects!$C$14=CU$3),", "&amp;Projects!$A$14,"")&amp;IF(AND(Projects!$G$15="Yes",Projects!$C$15=CU$3),", "&amp;Projects!$A$15,"")&amp;IF(AND(Projects!$G$16="Yes",Projects!$C$16=CU$3),", "&amp;Projects!$A$16,"")&amp;IF(AND(Projects!$G$17="Yes",Projects!$C$17=CU$3),", "&amp;Projects!$A$17,"")&amp;IF(AND(Projects!$G$18="Yes",Projects!$C$18=CU$3),", "&amp;Projects!$A$18,"")&amp;IF(AND(Projects!$G$19="Yes",Projects!$C$19=CU$3),", "&amp;Projects!$A$19,"")&amp;IF(AND(Projects!$G$20="Yes",Projects!$C$20=CU$3),", "&amp;Projects!$A$20,"")&amp;IF(AND(Projects!$G$21="Yes",Projects!$C$21=CU$3),", "&amp;Projects!$A$21,"")&amp;IF(AND(Projects!$G$22="Yes",Projects!$C$22=CU$3),", "&amp;Projects!$A$22,"")&amp;IF(AND(Projects!$G$23="Yes",Projects!$C$23=CU$3),", "&amp;Projects!$A$23,"")&amp;IF(AND(Projects!$G$24="Yes",Projects!$C$24=CU$3),", "&amp;Projects!$A$24,"")&amp;IF(AND(Projects!$G$25="Yes",Projects!$C$25=CU$3),", "&amp;Projects!$A$25,"")&amp;IF(AND(Projects!$G$26="Yes",Projects!$C$26=CU$3),", "&amp;Projects!$A$26,"")&amp;IF(AND(Projects!$G$27="Yes",Projects!$C$27=CU$3),", "&amp;Projects!$A$27,"")&amp;IF(AND(Projects!$G$28="Yes",Projects!$C$28=CU$3),", "&amp;Projects!$A$28,"")&amp;IF(AND(Projects!$G$29="Yes",Projects!$C$29=CU$3),", "&amp;Projects!$A$29,"")&amp;IF(AND(Projects!$G$30="Yes",Projects!$C$30=CU$3),", "&amp;Projects!$A$30,"")&amp;IF(AND(Projects!$G$31="Yes",Projects!$C$31=CU$3),", "&amp;Projects!$A$31,"")&amp;IF(AND(Projects!$G$32="Yes",Projects!$C$32=CU$3),", "&amp;Projects!$A$32,"")&amp;IF(AND(Projects!$G$33="Yes",Projects!$C$33=CU$3),", "&amp;Projects!$A$33,"")&amp;IF(AND(Projects!$G$34="Yes",Projects!$C$34=CU$3),", "&amp;Projects!$A$34,"")&amp;IF(AND(Projects!$G$35="Yes",Projects!$C$35=CU$3),", "&amp;Projects!$A$35,"")&amp;IF(AND(Projects!$G$36="Yes",Projects!$C$36=CU$3),", "&amp;Projects!$A$36,"")&amp;IF(AND(Projects!$G$37="Yes",Projects!$C$37=CU$3),", "&amp;Projects!$A$37,"")&amp;IF(AND(Projects!$G$38="Yes",Projects!$C$38=CU$3),", "&amp;Projects!$A$38,"")&amp;IF(AND(Projects!$G$39="Yes",Projects!$C$39=CU$3),", "&amp;Projects!$A$39,"")&amp;IF(AND(Projects!$G$40="Yes",Projects!$C$40=CU$3),", "&amp;Projects!$A$40,"")&amp;IF(AND(Projects!$G$41="Yes",Projects!$C$41=CU$3),", "&amp;Projects!$A$41,"")&amp;IF(AND(Projects!$G$42="Yes",Projects!$C$42=CU$3),", "&amp;Projects!$A$42,"")&amp;IF(AND(Projects!$G$43="Yes",Projects!$C$43=CU$3),", "&amp;Projects!$A$43,"")&amp;IF(AND(Projects!$G$44="Yes",Projects!$C$44=CU$3),", "&amp;Projects!$A$44,"")&amp;IF(AND(Projects!$G$45="Yes",Projects!$C$45=CU$3),", "&amp;Projects!$A$45,"")&amp;IF(AND(Projects!$G$46="Yes",Projects!$C$46=CU$3),", "&amp;Projects!$A$46,""),3,10000)</f>
        <v/>
      </c>
      <c r="CV6" s="17" t="str">
        <f aca="false">MID(IF(AND(Projects!$G$2="Yes",Projects!$C$2=CV$3),", "&amp;Projects!$A$2,"")&amp;IF(AND(Projects!$G$3="Yes",Projects!$C$3=CV$3),", "&amp;Projects!$A$3,"")&amp;IF(AND(Projects!$G$4="Yes",Projects!$C$4=CV$3),", "&amp;Projects!$A$4,"")&amp;IF(AND(Projects!$G$5="Yes",Projects!$C$5=CV$3),", "&amp;Projects!$A$5,"")&amp;IF(AND(Projects!$G$6="Yes",Projects!$C$6=CV$3),", "&amp;Projects!$A$6,"")&amp;IF(AND(Projects!$G$7="Yes",Projects!$C$7=CV$3),", "&amp;Projects!$A$7,"")&amp;IF(AND(Projects!$G$8="Yes",Projects!$C$8=CV$3),", "&amp;Projects!$A$8,"")&amp;IF(AND(Projects!$G$9="Yes",Projects!$C$9=CV$3),", "&amp;Projects!$A$9,"")&amp;IF(AND(Projects!$G$10="Yes",Projects!$C$10=CV$3),", "&amp;Projects!$A$10,"")&amp;IF(AND(Projects!$G$11="Yes",Projects!$C$11=CV$3),", "&amp;Projects!$A$11,"")&amp;IF(AND(Projects!$G$12="Yes",Projects!$C$12=CV$3),", "&amp;Projects!$A$12,"")&amp;IF(AND(Projects!$G$13="Yes",Projects!$C$13=CV$3),", "&amp;Projects!$A$13,"")&amp;IF(AND(Projects!$G$14="Yes",Projects!$C$14=CV$3),", "&amp;Projects!$A$14,"")&amp;IF(AND(Projects!$G$15="Yes",Projects!$C$15=CV$3),", "&amp;Projects!$A$15,"")&amp;IF(AND(Projects!$G$16="Yes",Projects!$C$16=CV$3),", "&amp;Projects!$A$16,"")&amp;IF(AND(Projects!$G$17="Yes",Projects!$C$17=CV$3),", "&amp;Projects!$A$17,"")&amp;IF(AND(Projects!$G$18="Yes",Projects!$C$18=CV$3),", "&amp;Projects!$A$18,"")&amp;IF(AND(Projects!$G$19="Yes",Projects!$C$19=CV$3),", "&amp;Projects!$A$19,"")&amp;IF(AND(Projects!$G$20="Yes",Projects!$C$20=CV$3),", "&amp;Projects!$A$20,"")&amp;IF(AND(Projects!$G$21="Yes",Projects!$C$21=CV$3),", "&amp;Projects!$A$21,"")&amp;IF(AND(Projects!$G$22="Yes",Projects!$C$22=CV$3),", "&amp;Projects!$A$22,"")&amp;IF(AND(Projects!$G$23="Yes",Projects!$C$23=CV$3),", "&amp;Projects!$A$23,"")&amp;IF(AND(Projects!$G$24="Yes",Projects!$C$24=CV$3),", "&amp;Projects!$A$24,"")&amp;IF(AND(Projects!$G$25="Yes",Projects!$C$25=CV$3),", "&amp;Projects!$A$25,"")&amp;IF(AND(Projects!$G$26="Yes",Projects!$C$26=CV$3),", "&amp;Projects!$A$26,"")&amp;IF(AND(Projects!$G$27="Yes",Projects!$C$27=CV$3),", "&amp;Projects!$A$27,"")&amp;IF(AND(Projects!$G$28="Yes",Projects!$C$28=CV$3),", "&amp;Projects!$A$28,"")&amp;IF(AND(Projects!$G$29="Yes",Projects!$C$29=CV$3),", "&amp;Projects!$A$29,"")&amp;IF(AND(Projects!$G$30="Yes",Projects!$C$30=CV$3),", "&amp;Projects!$A$30,"")&amp;IF(AND(Projects!$G$31="Yes",Projects!$C$31=CV$3),", "&amp;Projects!$A$31,"")&amp;IF(AND(Projects!$G$32="Yes",Projects!$C$32=CV$3),", "&amp;Projects!$A$32,"")&amp;IF(AND(Projects!$G$33="Yes",Projects!$C$33=CV$3),", "&amp;Projects!$A$33,"")&amp;IF(AND(Projects!$G$34="Yes",Projects!$C$34=CV$3),", "&amp;Projects!$A$34,"")&amp;IF(AND(Projects!$G$35="Yes",Projects!$C$35=CV$3),", "&amp;Projects!$A$35,"")&amp;IF(AND(Projects!$G$36="Yes",Projects!$C$36=CV$3),", "&amp;Projects!$A$36,"")&amp;IF(AND(Projects!$G$37="Yes",Projects!$C$37=CV$3),", "&amp;Projects!$A$37,"")&amp;IF(AND(Projects!$G$38="Yes",Projects!$C$38=CV$3),", "&amp;Projects!$A$38,"")&amp;IF(AND(Projects!$G$39="Yes",Projects!$C$39=CV$3),", "&amp;Projects!$A$39,"")&amp;IF(AND(Projects!$G$40="Yes",Projects!$C$40=CV$3),", "&amp;Projects!$A$40,"")&amp;IF(AND(Projects!$G$41="Yes",Projects!$C$41=CV$3),", "&amp;Projects!$A$41,"")&amp;IF(AND(Projects!$G$42="Yes",Projects!$C$42=CV$3),", "&amp;Projects!$A$42,"")&amp;IF(AND(Projects!$G$43="Yes",Projects!$C$43=CV$3),", "&amp;Projects!$A$43,"")&amp;IF(AND(Projects!$G$44="Yes",Projects!$C$44=CV$3),", "&amp;Projects!$A$44,"")&amp;IF(AND(Projects!$G$45="Yes",Projects!$C$45=CV$3),", "&amp;Projects!$A$45,"")&amp;IF(AND(Projects!$G$46="Yes",Projects!$C$46=CV$3),", "&amp;Projects!$A$46,""),3,10000)</f>
        <v/>
      </c>
      <c r="CW6" s="17" t="str">
        <f aca="false">MID(IF(AND(Projects!$G$2="Yes",Projects!$C$2=CW$3),", "&amp;Projects!$A$2,"")&amp;IF(AND(Projects!$G$3="Yes",Projects!$C$3=CW$3),", "&amp;Projects!$A$3,"")&amp;IF(AND(Projects!$G$4="Yes",Projects!$C$4=CW$3),", "&amp;Projects!$A$4,"")&amp;IF(AND(Projects!$G$5="Yes",Projects!$C$5=CW$3),", "&amp;Projects!$A$5,"")&amp;IF(AND(Projects!$G$6="Yes",Projects!$C$6=CW$3),", "&amp;Projects!$A$6,"")&amp;IF(AND(Projects!$G$7="Yes",Projects!$C$7=CW$3),", "&amp;Projects!$A$7,"")&amp;IF(AND(Projects!$G$8="Yes",Projects!$C$8=CW$3),", "&amp;Projects!$A$8,"")&amp;IF(AND(Projects!$G$9="Yes",Projects!$C$9=CW$3),", "&amp;Projects!$A$9,"")&amp;IF(AND(Projects!$G$10="Yes",Projects!$C$10=CW$3),", "&amp;Projects!$A$10,"")&amp;IF(AND(Projects!$G$11="Yes",Projects!$C$11=CW$3),", "&amp;Projects!$A$11,"")&amp;IF(AND(Projects!$G$12="Yes",Projects!$C$12=CW$3),", "&amp;Projects!$A$12,"")&amp;IF(AND(Projects!$G$13="Yes",Projects!$C$13=CW$3),", "&amp;Projects!$A$13,"")&amp;IF(AND(Projects!$G$14="Yes",Projects!$C$14=CW$3),", "&amp;Projects!$A$14,"")&amp;IF(AND(Projects!$G$15="Yes",Projects!$C$15=CW$3),", "&amp;Projects!$A$15,"")&amp;IF(AND(Projects!$G$16="Yes",Projects!$C$16=CW$3),", "&amp;Projects!$A$16,"")&amp;IF(AND(Projects!$G$17="Yes",Projects!$C$17=CW$3),", "&amp;Projects!$A$17,"")&amp;IF(AND(Projects!$G$18="Yes",Projects!$C$18=CW$3),", "&amp;Projects!$A$18,"")&amp;IF(AND(Projects!$G$19="Yes",Projects!$C$19=CW$3),", "&amp;Projects!$A$19,"")&amp;IF(AND(Projects!$G$20="Yes",Projects!$C$20=CW$3),", "&amp;Projects!$A$20,"")&amp;IF(AND(Projects!$G$21="Yes",Projects!$C$21=CW$3),", "&amp;Projects!$A$21,"")&amp;IF(AND(Projects!$G$22="Yes",Projects!$C$22=CW$3),", "&amp;Projects!$A$22,"")&amp;IF(AND(Projects!$G$23="Yes",Projects!$C$23=CW$3),", "&amp;Projects!$A$23,"")&amp;IF(AND(Projects!$G$24="Yes",Projects!$C$24=CW$3),", "&amp;Projects!$A$24,"")&amp;IF(AND(Projects!$G$25="Yes",Projects!$C$25=CW$3),", "&amp;Projects!$A$25,"")&amp;IF(AND(Projects!$G$26="Yes",Projects!$C$26=CW$3),", "&amp;Projects!$A$26,"")&amp;IF(AND(Projects!$G$27="Yes",Projects!$C$27=CW$3),", "&amp;Projects!$A$27,"")&amp;IF(AND(Projects!$G$28="Yes",Projects!$C$28=CW$3),", "&amp;Projects!$A$28,"")&amp;IF(AND(Projects!$G$29="Yes",Projects!$C$29=CW$3),", "&amp;Projects!$A$29,"")&amp;IF(AND(Projects!$G$30="Yes",Projects!$C$30=CW$3),", "&amp;Projects!$A$30,"")&amp;IF(AND(Projects!$G$31="Yes",Projects!$C$31=CW$3),", "&amp;Projects!$A$31,"")&amp;IF(AND(Projects!$G$32="Yes",Projects!$C$32=CW$3),", "&amp;Projects!$A$32,"")&amp;IF(AND(Projects!$G$33="Yes",Projects!$C$33=CW$3),", "&amp;Projects!$A$33,"")&amp;IF(AND(Projects!$G$34="Yes",Projects!$C$34=CW$3),", "&amp;Projects!$A$34,"")&amp;IF(AND(Projects!$G$35="Yes",Projects!$C$35=CW$3),", "&amp;Projects!$A$35,"")&amp;IF(AND(Projects!$G$36="Yes",Projects!$C$36=CW$3),", "&amp;Projects!$A$36,"")&amp;IF(AND(Projects!$G$37="Yes",Projects!$C$37=CW$3),", "&amp;Projects!$A$37,"")&amp;IF(AND(Projects!$G$38="Yes",Projects!$C$38=CW$3),", "&amp;Projects!$A$38,"")&amp;IF(AND(Projects!$G$39="Yes",Projects!$C$39=CW$3),", "&amp;Projects!$A$39,"")&amp;IF(AND(Projects!$G$40="Yes",Projects!$C$40=CW$3),", "&amp;Projects!$A$40,"")&amp;IF(AND(Projects!$G$41="Yes",Projects!$C$41=CW$3),", "&amp;Projects!$A$41,"")&amp;IF(AND(Projects!$G$42="Yes",Projects!$C$42=CW$3),", "&amp;Projects!$A$42,"")&amp;IF(AND(Projects!$G$43="Yes",Projects!$C$43=CW$3),", "&amp;Projects!$A$43,"")&amp;IF(AND(Projects!$G$44="Yes",Projects!$C$44=CW$3),", "&amp;Projects!$A$44,"")&amp;IF(AND(Projects!$G$45="Yes",Projects!$C$45=CW$3),", "&amp;Projects!$A$45,"")&amp;IF(AND(Projects!$G$46="Yes",Projects!$C$46=CW$3),", "&amp;Projects!$A$46,""),3,10000)</f>
        <v/>
      </c>
      <c r="CX6" s="17" t="str">
        <f aca="false">MID(IF(AND(Projects!$G$2="Yes",Projects!$C$2=CX$3),", "&amp;Projects!$A$2,"")&amp;IF(AND(Projects!$G$3="Yes",Projects!$C$3=CX$3),", "&amp;Projects!$A$3,"")&amp;IF(AND(Projects!$G$4="Yes",Projects!$C$4=CX$3),", "&amp;Projects!$A$4,"")&amp;IF(AND(Projects!$G$5="Yes",Projects!$C$5=CX$3),", "&amp;Projects!$A$5,"")&amp;IF(AND(Projects!$G$6="Yes",Projects!$C$6=CX$3),", "&amp;Projects!$A$6,"")&amp;IF(AND(Projects!$G$7="Yes",Projects!$C$7=CX$3),", "&amp;Projects!$A$7,"")&amp;IF(AND(Projects!$G$8="Yes",Projects!$C$8=CX$3),", "&amp;Projects!$A$8,"")&amp;IF(AND(Projects!$G$9="Yes",Projects!$C$9=CX$3),", "&amp;Projects!$A$9,"")&amp;IF(AND(Projects!$G$10="Yes",Projects!$C$10=CX$3),", "&amp;Projects!$A$10,"")&amp;IF(AND(Projects!$G$11="Yes",Projects!$C$11=CX$3),", "&amp;Projects!$A$11,"")&amp;IF(AND(Projects!$G$12="Yes",Projects!$C$12=CX$3),", "&amp;Projects!$A$12,"")&amp;IF(AND(Projects!$G$13="Yes",Projects!$C$13=CX$3),", "&amp;Projects!$A$13,"")&amp;IF(AND(Projects!$G$14="Yes",Projects!$C$14=CX$3),", "&amp;Projects!$A$14,"")&amp;IF(AND(Projects!$G$15="Yes",Projects!$C$15=CX$3),", "&amp;Projects!$A$15,"")&amp;IF(AND(Projects!$G$16="Yes",Projects!$C$16=CX$3),", "&amp;Projects!$A$16,"")&amp;IF(AND(Projects!$G$17="Yes",Projects!$C$17=CX$3),", "&amp;Projects!$A$17,"")&amp;IF(AND(Projects!$G$18="Yes",Projects!$C$18=CX$3),", "&amp;Projects!$A$18,"")&amp;IF(AND(Projects!$G$19="Yes",Projects!$C$19=CX$3),", "&amp;Projects!$A$19,"")&amp;IF(AND(Projects!$G$20="Yes",Projects!$C$20=CX$3),", "&amp;Projects!$A$20,"")&amp;IF(AND(Projects!$G$21="Yes",Projects!$C$21=CX$3),", "&amp;Projects!$A$21,"")&amp;IF(AND(Projects!$G$22="Yes",Projects!$C$22=CX$3),", "&amp;Projects!$A$22,"")&amp;IF(AND(Projects!$G$23="Yes",Projects!$C$23=CX$3),", "&amp;Projects!$A$23,"")&amp;IF(AND(Projects!$G$24="Yes",Projects!$C$24=CX$3),", "&amp;Projects!$A$24,"")&amp;IF(AND(Projects!$G$25="Yes",Projects!$C$25=CX$3),", "&amp;Projects!$A$25,"")&amp;IF(AND(Projects!$G$26="Yes",Projects!$C$26=CX$3),", "&amp;Projects!$A$26,"")&amp;IF(AND(Projects!$G$27="Yes",Projects!$C$27=CX$3),", "&amp;Projects!$A$27,"")&amp;IF(AND(Projects!$G$28="Yes",Projects!$C$28=CX$3),", "&amp;Projects!$A$28,"")&amp;IF(AND(Projects!$G$29="Yes",Projects!$C$29=CX$3),", "&amp;Projects!$A$29,"")&amp;IF(AND(Projects!$G$30="Yes",Projects!$C$30=CX$3),", "&amp;Projects!$A$30,"")&amp;IF(AND(Projects!$G$31="Yes",Projects!$C$31=CX$3),", "&amp;Projects!$A$31,"")&amp;IF(AND(Projects!$G$32="Yes",Projects!$C$32=CX$3),", "&amp;Projects!$A$32,"")&amp;IF(AND(Projects!$G$33="Yes",Projects!$C$33=CX$3),", "&amp;Projects!$A$33,"")&amp;IF(AND(Projects!$G$34="Yes",Projects!$C$34=CX$3),", "&amp;Projects!$A$34,"")&amp;IF(AND(Projects!$G$35="Yes",Projects!$C$35=CX$3),", "&amp;Projects!$A$35,"")&amp;IF(AND(Projects!$G$36="Yes",Projects!$C$36=CX$3),", "&amp;Projects!$A$36,"")&amp;IF(AND(Projects!$G$37="Yes",Projects!$C$37=CX$3),", "&amp;Projects!$A$37,"")&amp;IF(AND(Projects!$G$38="Yes",Projects!$C$38=CX$3),", "&amp;Projects!$A$38,"")&amp;IF(AND(Projects!$G$39="Yes",Projects!$C$39=CX$3),", "&amp;Projects!$A$39,"")&amp;IF(AND(Projects!$G$40="Yes",Projects!$C$40=CX$3),", "&amp;Projects!$A$40,"")&amp;IF(AND(Projects!$G$41="Yes",Projects!$C$41=CX$3),", "&amp;Projects!$A$41,"")&amp;IF(AND(Projects!$G$42="Yes",Projects!$C$42=CX$3),", "&amp;Projects!$A$42,"")&amp;IF(AND(Projects!$G$43="Yes",Projects!$C$43=CX$3),", "&amp;Projects!$A$43,"")&amp;IF(AND(Projects!$G$44="Yes",Projects!$C$44=CX$3),", "&amp;Projects!$A$44,"")&amp;IF(AND(Projects!$G$45="Yes",Projects!$C$45=CX$3),", "&amp;Projects!$A$45,"")&amp;IF(AND(Projects!$G$46="Yes",Projects!$C$46=CX$3),", "&amp;Projects!$A$46,""),3,10000)</f>
        <v/>
      </c>
      <c r="CY6" s="17" t="str">
        <f aca="false">MID(IF(AND(Projects!$G$2="Yes",Projects!$C$2=CY$3),", "&amp;Projects!$A$2,"")&amp;IF(AND(Projects!$G$3="Yes",Projects!$C$3=CY$3),", "&amp;Projects!$A$3,"")&amp;IF(AND(Projects!$G$4="Yes",Projects!$C$4=CY$3),", "&amp;Projects!$A$4,"")&amp;IF(AND(Projects!$G$5="Yes",Projects!$C$5=CY$3),", "&amp;Projects!$A$5,"")&amp;IF(AND(Projects!$G$6="Yes",Projects!$C$6=CY$3),", "&amp;Projects!$A$6,"")&amp;IF(AND(Projects!$G$7="Yes",Projects!$C$7=CY$3),", "&amp;Projects!$A$7,"")&amp;IF(AND(Projects!$G$8="Yes",Projects!$C$8=CY$3),", "&amp;Projects!$A$8,"")&amp;IF(AND(Projects!$G$9="Yes",Projects!$C$9=CY$3),", "&amp;Projects!$A$9,"")&amp;IF(AND(Projects!$G$10="Yes",Projects!$C$10=CY$3),", "&amp;Projects!$A$10,"")&amp;IF(AND(Projects!$G$11="Yes",Projects!$C$11=CY$3),", "&amp;Projects!$A$11,"")&amp;IF(AND(Projects!$G$12="Yes",Projects!$C$12=CY$3),", "&amp;Projects!$A$12,"")&amp;IF(AND(Projects!$G$13="Yes",Projects!$C$13=CY$3),", "&amp;Projects!$A$13,"")&amp;IF(AND(Projects!$G$14="Yes",Projects!$C$14=CY$3),", "&amp;Projects!$A$14,"")&amp;IF(AND(Projects!$G$15="Yes",Projects!$C$15=CY$3),", "&amp;Projects!$A$15,"")&amp;IF(AND(Projects!$G$16="Yes",Projects!$C$16=CY$3),", "&amp;Projects!$A$16,"")&amp;IF(AND(Projects!$G$17="Yes",Projects!$C$17=CY$3),", "&amp;Projects!$A$17,"")&amp;IF(AND(Projects!$G$18="Yes",Projects!$C$18=CY$3),", "&amp;Projects!$A$18,"")&amp;IF(AND(Projects!$G$19="Yes",Projects!$C$19=CY$3),", "&amp;Projects!$A$19,"")&amp;IF(AND(Projects!$G$20="Yes",Projects!$C$20=CY$3),", "&amp;Projects!$A$20,"")&amp;IF(AND(Projects!$G$21="Yes",Projects!$C$21=CY$3),", "&amp;Projects!$A$21,"")&amp;IF(AND(Projects!$G$22="Yes",Projects!$C$22=CY$3),", "&amp;Projects!$A$22,"")&amp;IF(AND(Projects!$G$23="Yes",Projects!$C$23=CY$3),", "&amp;Projects!$A$23,"")&amp;IF(AND(Projects!$G$24="Yes",Projects!$C$24=CY$3),", "&amp;Projects!$A$24,"")&amp;IF(AND(Projects!$G$25="Yes",Projects!$C$25=CY$3),", "&amp;Projects!$A$25,"")&amp;IF(AND(Projects!$G$26="Yes",Projects!$C$26=CY$3),", "&amp;Projects!$A$26,"")&amp;IF(AND(Projects!$G$27="Yes",Projects!$C$27=CY$3),", "&amp;Projects!$A$27,"")&amp;IF(AND(Projects!$G$28="Yes",Projects!$C$28=CY$3),", "&amp;Projects!$A$28,"")&amp;IF(AND(Projects!$G$29="Yes",Projects!$C$29=CY$3),", "&amp;Projects!$A$29,"")&amp;IF(AND(Projects!$G$30="Yes",Projects!$C$30=CY$3),", "&amp;Projects!$A$30,"")&amp;IF(AND(Projects!$G$31="Yes",Projects!$C$31=CY$3),", "&amp;Projects!$A$31,"")&amp;IF(AND(Projects!$G$32="Yes",Projects!$C$32=CY$3),", "&amp;Projects!$A$32,"")&amp;IF(AND(Projects!$G$33="Yes",Projects!$C$33=CY$3),", "&amp;Projects!$A$33,"")&amp;IF(AND(Projects!$G$34="Yes",Projects!$C$34=CY$3),", "&amp;Projects!$A$34,"")&amp;IF(AND(Projects!$G$35="Yes",Projects!$C$35=CY$3),", "&amp;Projects!$A$35,"")&amp;IF(AND(Projects!$G$36="Yes",Projects!$C$36=CY$3),", "&amp;Projects!$A$36,"")&amp;IF(AND(Projects!$G$37="Yes",Projects!$C$37=CY$3),", "&amp;Projects!$A$37,"")&amp;IF(AND(Projects!$G$38="Yes",Projects!$C$38=CY$3),", "&amp;Projects!$A$38,"")&amp;IF(AND(Projects!$G$39="Yes",Projects!$C$39=CY$3),", "&amp;Projects!$A$39,"")&amp;IF(AND(Projects!$G$40="Yes",Projects!$C$40=CY$3),", "&amp;Projects!$A$40,"")&amp;IF(AND(Projects!$G$41="Yes",Projects!$C$41=CY$3),", "&amp;Projects!$A$41,"")&amp;IF(AND(Projects!$G$42="Yes",Projects!$C$42=CY$3),", "&amp;Projects!$A$42,"")&amp;IF(AND(Projects!$G$43="Yes",Projects!$C$43=CY$3),", "&amp;Projects!$A$43,"")&amp;IF(AND(Projects!$G$44="Yes",Projects!$C$44=CY$3),", "&amp;Projects!$A$44,"")&amp;IF(AND(Projects!$G$45="Yes",Projects!$C$45=CY$3),", "&amp;Projects!$A$45,"")&amp;IF(AND(Projects!$G$46="Yes",Projects!$C$46=CY$3),", "&amp;Projects!$A$46,""),3,10000)</f>
        <v/>
      </c>
      <c r="CZ6" s="17" t="str">
        <f aca="false">MID(IF(AND(Projects!$G$2="Yes",Projects!$C$2=CZ$3),", "&amp;Projects!$A$2,"")&amp;IF(AND(Projects!$G$3="Yes",Projects!$C$3=CZ$3),", "&amp;Projects!$A$3,"")&amp;IF(AND(Projects!$G$4="Yes",Projects!$C$4=CZ$3),", "&amp;Projects!$A$4,"")&amp;IF(AND(Projects!$G$5="Yes",Projects!$C$5=CZ$3),", "&amp;Projects!$A$5,"")&amp;IF(AND(Projects!$G$6="Yes",Projects!$C$6=CZ$3),", "&amp;Projects!$A$6,"")&amp;IF(AND(Projects!$G$7="Yes",Projects!$C$7=CZ$3),", "&amp;Projects!$A$7,"")&amp;IF(AND(Projects!$G$8="Yes",Projects!$C$8=CZ$3),", "&amp;Projects!$A$8,"")&amp;IF(AND(Projects!$G$9="Yes",Projects!$C$9=CZ$3),", "&amp;Projects!$A$9,"")&amp;IF(AND(Projects!$G$10="Yes",Projects!$C$10=CZ$3),", "&amp;Projects!$A$10,"")&amp;IF(AND(Projects!$G$11="Yes",Projects!$C$11=CZ$3),", "&amp;Projects!$A$11,"")&amp;IF(AND(Projects!$G$12="Yes",Projects!$C$12=CZ$3),", "&amp;Projects!$A$12,"")&amp;IF(AND(Projects!$G$13="Yes",Projects!$C$13=CZ$3),", "&amp;Projects!$A$13,"")&amp;IF(AND(Projects!$G$14="Yes",Projects!$C$14=CZ$3),", "&amp;Projects!$A$14,"")&amp;IF(AND(Projects!$G$15="Yes",Projects!$C$15=CZ$3),", "&amp;Projects!$A$15,"")&amp;IF(AND(Projects!$G$16="Yes",Projects!$C$16=CZ$3),", "&amp;Projects!$A$16,"")&amp;IF(AND(Projects!$G$17="Yes",Projects!$C$17=CZ$3),", "&amp;Projects!$A$17,"")&amp;IF(AND(Projects!$G$18="Yes",Projects!$C$18=CZ$3),", "&amp;Projects!$A$18,"")&amp;IF(AND(Projects!$G$19="Yes",Projects!$C$19=CZ$3),", "&amp;Projects!$A$19,"")&amp;IF(AND(Projects!$G$20="Yes",Projects!$C$20=CZ$3),", "&amp;Projects!$A$20,"")&amp;IF(AND(Projects!$G$21="Yes",Projects!$C$21=CZ$3),", "&amp;Projects!$A$21,"")&amp;IF(AND(Projects!$G$22="Yes",Projects!$C$22=CZ$3),", "&amp;Projects!$A$22,"")&amp;IF(AND(Projects!$G$23="Yes",Projects!$C$23=CZ$3),", "&amp;Projects!$A$23,"")&amp;IF(AND(Projects!$G$24="Yes",Projects!$C$24=CZ$3),", "&amp;Projects!$A$24,"")&amp;IF(AND(Projects!$G$25="Yes",Projects!$C$25=CZ$3),", "&amp;Projects!$A$25,"")&amp;IF(AND(Projects!$G$26="Yes",Projects!$C$26=CZ$3),", "&amp;Projects!$A$26,"")&amp;IF(AND(Projects!$G$27="Yes",Projects!$C$27=CZ$3),", "&amp;Projects!$A$27,"")&amp;IF(AND(Projects!$G$28="Yes",Projects!$C$28=CZ$3),", "&amp;Projects!$A$28,"")&amp;IF(AND(Projects!$G$29="Yes",Projects!$C$29=CZ$3),", "&amp;Projects!$A$29,"")&amp;IF(AND(Projects!$G$30="Yes",Projects!$C$30=CZ$3),", "&amp;Projects!$A$30,"")&amp;IF(AND(Projects!$G$31="Yes",Projects!$C$31=CZ$3),", "&amp;Projects!$A$31,"")&amp;IF(AND(Projects!$G$32="Yes",Projects!$C$32=CZ$3),", "&amp;Projects!$A$32,"")&amp;IF(AND(Projects!$G$33="Yes",Projects!$C$33=CZ$3),", "&amp;Projects!$A$33,"")&amp;IF(AND(Projects!$G$34="Yes",Projects!$C$34=CZ$3),", "&amp;Projects!$A$34,"")&amp;IF(AND(Projects!$G$35="Yes",Projects!$C$35=CZ$3),", "&amp;Projects!$A$35,"")&amp;IF(AND(Projects!$G$36="Yes",Projects!$C$36=CZ$3),", "&amp;Projects!$A$36,"")&amp;IF(AND(Projects!$G$37="Yes",Projects!$C$37=CZ$3),", "&amp;Projects!$A$37,"")&amp;IF(AND(Projects!$G$38="Yes",Projects!$C$38=CZ$3),", "&amp;Projects!$A$38,"")&amp;IF(AND(Projects!$G$39="Yes",Projects!$C$39=CZ$3),", "&amp;Projects!$A$39,"")&amp;IF(AND(Projects!$G$40="Yes",Projects!$C$40=CZ$3),", "&amp;Projects!$A$40,"")&amp;IF(AND(Projects!$G$41="Yes",Projects!$C$41=CZ$3),", "&amp;Projects!$A$41,"")&amp;IF(AND(Projects!$G$42="Yes",Projects!$C$42=CZ$3),", "&amp;Projects!$A$42,"")&amp;IF(AND(Projects!$G$43="Yes",Projects!$C$43=CZ$3),", "&amp;Projects!$A$43,"")&amp;IF(AND(Projects!$G$44="Yes",Projects!$C$44=CZ$3),", "&amp;Projects!$A$44,"")&amp;IF(AND(Projects!$G$45="Yes",Projects!$C$45=CZ$3),", "&amp;Projects!$A$45,"")&amp;IF(AND(Projects!$G$46="Yes",Projects!$C$46=CZ$3),", "&amp;Projects!$A$46,""),3,10000)</f>
        <v/>
      </c>
      <c r="DA6" s="17" t="str">
        <f aca="false">MID(IF(AND(Projects!$G$2="Yes",Projects!$C$2=DA$3),", "&amp;Projects!$A$2,"")&amp;IF(AND(Projects!$G$3="Yes",Projects!$C$3=DA$3),", "&amp;Projects!$A$3,"")&amp;IF(AND(Projects!$G$4="Yes",Projects!$C$4=DA$3),", "&amp;Projects!$A$4,"")&amp;IF(AND(Projects!$G$5="Yes",Projects!$C$5=DA$3),", "&amp;Projects!$A$5,"")&amp;IF(AND(Projects!$G$6="Yes",Projects!$C$6=DA$3),", "&amp;Projects!$A$6,"")&amp;IF(AND(Projects!$G$7="Yes",Projects!$C$7=DA$3),", "&amp;Projects!$A$7,"")&amp;IF(AND(Projects!$G$8="Yes",Projects!$C$8=DA$3),", "&amp;Projects!$A$8,"")&amp;IF(AND(Projects!$G$9="Yes",Projects!$C$9=DA$3),", "&amp;Projects!$A$9,"")&amp;IF(AND(Projects!$G$10="Yes",Projects!$C$10=DA$3),", "&amp;Projects!$A$10,"")&amp;IF(AND(Projects!$G$11="Yes",Projects!$C$11=DA$3),", "&amp;Projects!$A$11,"")&amp;IF(AND(Projects!$G$12="Yes",Projects!$C$12=DA$3),", "&amp;Projects!$A$12,"")&amp;IF(AND(Projects!$G$13="Yes",Projects!$C$13=DA$3),", "&amp;Projects!$A$13,"")&amp;IF(AND(Projects!$G$14="Yes",Projects!$C$14=DA$3),", "&amp;Projects!$A$14,"")&amp;IF(AND(Projects!$G$15="Yes",Projects!$C$15=DA$3),", "&amp;Projects!$A$15,"")&amp;IF(AND(Projects!$G$16="Yes",Projects!$C$16=DA$3),", "&amp;Projects!$A$16,"")&amp;IF(AND(Projects!$G$17="Yes",Projects!$C$17=DA$3),", "&amp;Projects!$A$17,"")&amp;IF(AND(Projects!$G$18="Yes",Projects!$C$18=DA$3),", "&amp;Projects!$A$18,"")&amp;IF(AND(Projects!$G$19="Yes",Projects!$C$19=DA$3),", "&amp;Projects!$A$19,"")&amp;IF(AND(Projects!$G$20="Yes",Projects!$C$20=DA$3),", "&amp;Projects!$A$20,"")&amp;IF(AND(Projects!$G$21="Yes",Projects!$C$21=DA$3),", "&amp;Projects!$A$21,"")&amp;IF(AND(Projects!$G$22="Yes",Projects!$C$22=DA$3),", "&amp;Projects!$A$22,"")&amp;IF(AND(Projects!$G$23="Yes",Projects!$C$23=DA$3),", "&amp;Projects!$A$23,"")&amp;IF(AND(Projects!$G$24="Yes",Projects!$C$24=DA$3),", "&amp;Projects!$A$24,"")&amp;IF(AND(Projects!$G$25="Yes",Projects!$C$25=DA$3),", "&amp;Projects!$A$25,"")&amp;IF(AND(Projects!$G$26="Yes",Projects!$C$26=DA$3),", "&amp;Projects!$A$26,"")&amp;IF(AND(Projects!$G$27="Yes",Projects!$C$27=DA$3),", "&amp;Projects!$A$27,"")&amp;IF(AND(Projects!$G$28="Yes",Projects!$C$28=DA$3),", "&amp;Projects!$A$28,"")&amp;IF(AND(Projects!$G$29="Yes",Projects!$C$29=DA$3),", "&amp;Projects!$A$29,"")&amp;IF(AND(Projects!$G$30="Yes",Projects!$C$30=DA$3),", "&amp;Projects!$A$30,"")&amp;IF(AND(Projects!$G$31="Yes",Projects!$C$31=DA$3),", "&amp;Projects!$A$31,"")&amp;IF(AND(Projects!$G$32="Yes",Projects!$C$32=DA$3),", "&amp;Projects!$A$32,"")&amp;IF(AND(Projects!$G$33="Yes",Projects!$C$33=DA$3),", "&amp;Projects!$A$33,"")&amp;IF(AND(Projects!$G$34="Yes",Projects!$C$34=DA$3),", "&amp;Projects!$A$34,"")&amp;IF(AND(Projects!$G$35="Yes",Projects!$C$35=DA$3),", "&amp;Projects!$A$35,"")&amp;IF(AND(Projects!$G$36="Yes",Projects!$C$36=DA$3),", "&amp;Projects!$A$36,"")&amp;IF(AND(Projects!$G$37="Yes",Projects!$C$37=DA$3),", "&amp;Projects!$A$37,"")&amp;IF(AND(Projects!$G$38="Yes",Projects!$C$38=DA$3),", "&amp;Projects!$A$38,"")&amp;IF(AND(Projects!$G$39="Yes",Projects!$C$39=DA$3),", "&amp;Projects!$A$39,"")&amp;IF(AND(Projects!$G$40="Yes",Projects!$C$40=DA$3),", "&amp;Projects!$A$40,"")&amp;IF(AND(Projects!$G$41="Yes",Projects!$C$41=DA$3),", "&amp;Projects!$A$41,"")&amp;IF(AND(Projects!$G$42="Yes",Projects!$C$42=DA$3),", "&amp;Projects!$A$42,"")&amp;IF(AND(Projects!$G$43="Yes",Projects!$C$43=DA$3),", "&amp;Projects!$A$43,"")&amp;IF(AND(Projects!$G$44="Yes",Projects!$C$44=DA$3),", "&amp;Projects!$A$44,"")&amp;IF(AND(Projects!$G$45="Yes",Projects!$C$45=DA$3),", "&amp;Projects!$A$45,"")&amp;IF(AND(Projects!$G$46="Yes",Projects!$C$46=DA$3),", "&amp;Projects!$A$46,""),3,10000)</f>
        <v/>
      </c>
      <c r="DB6" s="17" t="str">
        <f aca="false">MID(IF(AND(Projects!$G$2="Yes",Projects!$C$2=DB$3),", "&amp;Projects!$A$2,"")&amp;IF(AND(Projects!$G$3="Yes",Projects!$C$3=DB$3),", "&amp;Projects!$A$3,"")&amp;IF(AND(Projects!$G$4="Yes",Projects!$C$4=DB$3),", "&amp;Projects!$A$4,"")&amp;IF(AND(Projects!$G$5="Yes",Projects!$C$5=DB$3),", "&amp;Projects!$A$5,"")&amp;IF(AND(Projects!$G$6="Yes",Projects!$C$6=DB$3),", "&amp;Projects!$A$6,"")&amp;IF(AND(Projects!$G$7="Yes",Projects!$C$7=DB$3),", "&amp;Projects!$A$7,"")&amp;IF(AND(Projects!$G$8="Yes",Projects!$C$8=DB$3),", "&amp;Projects!$A$8,"")&amp;IF(AND(Projects!$G$9="Yes",Projects!$C$9=DB$3),", "&amp;Projects!$A$9,"")&amp;IF(AND(Projects!$G$10="Yes",Projects!$C$10=DB$3),", "&amp;Projects!$A$10,"")&amp;IF(AND(Projects!$G$11="Yes",Projects!$C$11=DB$3),", "&amp;Projects!$A$11,"")&amp;IF(AND(Projects!$G$12="Yes",Projects!$C$12=DB$3),", "&amp;Projects!$A$12,"")&amp;IF(AND(Projects!$G$13="Yes",Projects!$C$13=DB$3),", "&amp;Projects!$A$13,"")&amp;IF(AND(Projects!$G$14="Yes",Projects!$C$14=DB$3),", "&amp;Projects!$A$14,"")&amp;IF(AND(Projects!$G$15="Yes",Projects!$C$15=DB$3),", "&amp;Projects!$A$15,"")&amp;IF(AND(Projects!$G$16="Yes",Projects!$C$16=DB$3),", "&amp;Projects!$A$16,"")&amp;IF(AND(Projects!$G$17="Yes",Projects!$C$17=DB$3),", "&amp;Projects!$A$17,"")&amp;IF(AND(Projects!$G$18="Yes",Projects!$C$18=DB$3),", "&amp;Projects!$A$18,"")&amp;IF(AND(Projects!$G$19="Yes",Projects!$C$19=DB$3),", "&amp;Projects!$A$19,"")&amp;IF(AND(Projects!$G$20="Yes",Projects!$C$20=DB$3),", "&amp;Projects!$A$20,"")&amp;IF(AND(Projects!$G$21="Yes",Projects!$C$21=DB$3),", "&amp;Projects!$A$21,"")&amp;IF(AND(Projects!$G$22="Yes",Projects!$C$22=DB$3),", "&amp;Projects!$A$22,"")&amp;IF(AND(Projects!$G$23="Yes",Projects!$C$23=DB$3),", "&amp;Projects!$A$23,"")&amp;IF(AND(Projects!$G$24="Yes",Projects!$C$24=DB$3),", "&amp;Projects!$A$24,"")&amp;IF(AND(Projects!$G$25="Yes",Projects!$C$25=DB$3),", "&amp;Projects!$A$25,"")&amp;IF(AND(Projects!$G$26="Yes",Projects!$C$26=DB$3),", "&amp;Projects!$A$26,"")&amp;IF(AND(Projects!$G$27="Yes",Projects!$C$27=DB$3),", "&amp;Projects!$A$27,"")&amp;IF(AND(Projects!$G$28="Yes",Projects!$C$28=DB$3),", "&amp;Projects!$A$28,"")&amp;IF(AND(Projects!$G$29="Yes",Projects!$C$29=DB$3),", "&amp;Projects!$A$29,"")&amp;IF(AND(Projects!$G$30="Yes",Projects!$C$30=DB$3),", "&amp;Projects!$A$30,"")&amp;IF(AND(Projects!$G$31="Yes",Projects!$C$31=DB$3),", "&amp;Projects!$A$31,"")&amp;IF(AND(Projects!$G$32="Yes",Projects!$C$32=DB$3),", "&amp;Projects!$A$32,"")&amp;IF(AND(Projects!$G$33="Yes",Projects!$C$33=DB$3),", "&amp;Projects!$A$33,"")&amp;IF(AND(Projects!$G$34="Yes",Projects!$C$34=DB$3),", "&amp;Projects!$A$34,"")&amp;IF(AND(Projects!$G$35="Yes",Projects!$C$35=DB$3),", "&amp;Projects!$A$35,"")&amp;IF(AND(Projects!$G$36="Yes",Projects!$C$36=DB$3),", "&amp;Projects!$A$36,"")&amp;IF(AND(Projects!$G$37="Yes",Projects!$C$37=DB$3),", "&amp;Projects!$A$37,"")&amp;IF(AND(Projects!$G$38="Yes",Projects!$C$38=DB$3),", "&amp;Projects!$A$38,"")&amp;IF(AND(Projects!$G$39="Yes",Projects!$C$39=DB$3),", "&amp;Projects!$A$39,"")&amp;IF(AND(Projects!$G$40="Yes",Projects!$C$40=DB$3),", "&amp;Projects!$A$40,"")&amp;IF(AND(Projects!$G$41="Yes",Projects!$C$41=DB$3),", "&amp;Projects!$A$41,"")&amp;IF(AND(Projects!$G$42="Yes",Projects!$C$42=DB$3),", "&amp;Projects!$A$42,"")&amp;IF(AND(Projects!$G$43="Yes",Projects!$C$43=DB$3),", "&amp;Projects!$A$43,"")&amp;IF(AND(Projects!$G$44="Yes",Projects!$C$44=DB$3),", "&amp;Projects!$A$44,"")&amp;IF(AND(Projects!$G$45="Yes",Projects!$C$45=DB$3),", "&amp;Projects!$A$45,"")&amp;IF(AND(Projects!$G$46="Yes",Projects!$C$46=DB$3),", "&amp;Projects!$A$46,""),3,10000)</f>
        <v/>
      </c>
      <c r="DC6" s="17" t="str">
        <f aca="false">MID(IF(AND(Projects!$G$2="Yes",Projects!$C$2=DC$3),", "&amp;Projects!$A$2,"")&amp;IF(AND(Projects!$G$3="Yes",Projects!$C$3=DC$3),", "&amp;Projects!$A$3,"")&amp;IF(AND(Projects!$G$4="Yes",Projects!$C$4=DC$3),", "&amp;Projects!$A$4,"")&amp;IF(AND(Projects!$G$5="Yes",Projects!$C$5=DC$3),", "&amp;Projects!$A$5,"")&amp;IF(AND(Projects!$G$6="Yes",Projects!$C$6=DC$3),", "&amp;Projects!$A$6,"")&amp;IF(AND(Projects!$G$7="Yes",Projects!$C$7=DC$3),", "&amp;Projects!$A$7,"")&amp;IF(AND(Projects!$G$8="Yes",Projects!$C$8=DC$3),", "&amp;Projects!$A$8,"")&amp;IF(AND(Projects!$G$9="Yes",Projects!$C$9=DC$3),", "&amp;Projects!$A$9,"")&amp;IF(AND(Projects!$G$10="Yes",Projects!$C$10=DC$3),", "&amp;Projects!$A$10,"")&amp;IF(AND(Projects!$G$11="Yes",Projects!$C$11=DC$3),", "&amp;Projects!$A$11,"")&amp;IF(AND(Projects!$G$12="Yes",Projects!$C$12=DC$3),", "&amp;Projects!$A$12,"")&amp;IF(AND(Projects!$G$13="Yes",Projects!$C$13=DC$3),", "&amp;Projects!$A$13,"")&amp;IF(AND(Projects!$G$14="Yes",Projects!$C$14=DC$3),", "&amp;Projects!$A$14,"")&amp;IF(AND(Projects!$G$15="Yes",Projects!$C$15=DC$3),", "&amp;Projects!$A$15,"")&amp;IF(AND(Projects!$G$16="Yes",Projects!$C$16=DC$3),", "&amp;Projects!$A$16,"")&amp;IF(AND(Projects!$G$17="Yes",Projects!$C$17=DC$3),", "&amp;Projects!$A$17,"")&amp;IF(AND(Projects!$G$18="Yes",Projects!$C$18=DC$3),", "&amp;Projects!$A$18,"")&amp;IF(AND(Projects!$G$19="Yes",Projects!$C$19=DC$3),", "&amp;Projects!$A$19,"")&amp;IF(AND(Projects!$G$20="Yes",Projects!$C$20=DC$3),", "&amp;Projects!$A$20,"")&amp;IF(AND(Projects!$G$21="Yes",Projects!$C$21=DC$3),", "&amp;Projects!$A$21,"")&amp;IF(AND(Projects!$G$22="Yes",Projects!$C$22=DC$3),", "&amp;Projects!$A$22,"")&amp;IF(AND(Projects!$G$23="Yes",Projects!$C$23=DC$3),", "&amp;Projects!$A$23,"")&amp;IF(AND(Projects!$G$24="Yes",Projects!$C$24=DC$3),", "&amp;Projects!$A$24,"")&amp;IF(AND(Projects!$G$25="Yes",Projects!$C$25=DC$3),", "&amp;Projects!$A$25,"")&amp;IF(AND(Projects!$G$26="Yes",Projects!$C$26=DC$3),", "&amp;Projects!$A$26,"")&amp;IF(AND(Projects!$G$27="Yes",Projects!$C$27=DC$3),", "&amp;Projects!$A$27,"")&amp;IF(AND(Projects!$G$28="Yes",Projects!$C$28=DC$3),", "&amp;Projects!$A$28,"")&amp;IF(AND(Projects!$G$29="Yes",Projects!$C$29=DC$3),", "&amp;Projects!$A$29,"")&amp;IF(AND(Projects!$G$30="Yes",Projects!$C$30=DC$3),", "&amp;Projects!$A$30,"")&amp;IF(AND(Projects!$G$31="Yes",Projects!$C$31=DC$3),", "&amp;Projects!$A$31,"")&amp;IF(AND(Projects!$G$32="Yes",Projects!$C$32=DC$3),", "&amp;Projects!$A$32,"")&amp;IF(AND(Projects!$G$33="Yes",Projects!$C$33=DC$3),", "&amp;Projects!$A$33,"")&amp;IF(AND(Projects!$G$34="Yes",Projects!$C$34=DC$3),", "&amp;Projects!$A$34,"")&amp;IF(AND(Projects!$G$35="Yes",Projects!$C$35=DC$3),", "&amp;Projects!$A$35,"")&amp;IF(AND(Projects!$G$36="Yes",Projects!$C$36=DC$3),", "&amp;Projects!$A$36,"")&amp;IF(AND(Projects!$G$37="Yes",Projects!$C$37=DC$3),", "&amp;Projects!$A$37,"")&amp;IF(AND(Projects!$G$38="Yes",Projects!$C$38=DC$3),", "&amp;Projects!$A$38,"")&amp;IF(AND(Projects!$G$39="Yes",Projects!$C$39=DC$3),", "&amp;Projects!$A$39,"")&amp;IF(AND(Projects!$G$40="Yes",Projects!$C$40=DC$3),", "&amp;Projects!$A$40,"")&amp;IF(AND(Projects!$G$41="Yes",Projects!$C$41=DC$3),", "&amp;Projects!$A$41,"")&amp;IF(AND(Projects!$G$42="Yes",Projects!$C$42=DC$3),", "&amp;Projects!$A$42,"")&amp;IF(AND(Projects!$G$43="Yes",Projects!$C$43=DC$3),", "&amp;Projects!$A$43,"")&amp;IF(AND(Projects!$G$44="Yes",Projects!$C$44=DC$3),", "&amp;Projects!$A$44,"")&amp;IF(AND(Projects!$G$45="Yes",Projects!$C$45=DC$3),", "&amp;Projects!$A$45,"")&amp;IF(AND(Projects!$G$46="Yes",Projects!$C$46=DC$3),", "&amp;Projects!$A$46,""),3,10000)</f>
        <v/>
      </c>
      <c r="DD6" s="17" t="str">
        <f aca="false">MID(IF(AND(Projects!$G$2="Yes",Projects!$C$2=DD$3),", "&amp;Projects!$A$2,"")&amp;IF(AND(Projects!$G$3="Yes",Projects!$C$3=DD$3),", "&amp;Projects!$A$3,"")&amp;IF(AND(Projects!$G$4="Yes",Projects!$C$4=DD$3),", "&amp;Projects!$A$4,"")&amp;IF(AND(Projects!$G$5="Yes",Projects!$C$5=DD$3),", "&amp;Projects!$A$5,"")&amp;IF(AND(Projects!$G$6="Yes",Projects!$C$6=DD$3),", "&amp;Projects!$A$6,"")&amp;IF(AND(Projects!$G$7="Yes",Projects!$C$7=DD$3),", "&amp;Projects!$A$7,"")&amp;IF(AND(Projects!$G$8="Yes",Projects!$C$8=DD$3),", "&amp;Projects!$A$8,"")&amp;IF(AND(Projects!$G$9="Yes",Projects!$C$9=DD$3),", "&amp;Projects!$A$9,"")&amp;IF(AND(Projects!$G$10="Yes",Projects!$C$10=DD$3),", "&amp;Projects!$A$10,"")&amp;IF(AND(Projects!$G$11="Yes",Projects!$C$11=DD$3),", "&amp;Projects!$A$11,"")&amp;IF(AND(Projects!$G$12="Yes",Projects!$C$12=DD$3),", "&amp;Projects!$A$12,"")&amp;IF(AND(Projects!$G$13="Yes",Projects!$C$13=DD$3),", "&amp;Projects!$A$13,"")&amp;IF(AND(Projects!$G$14="Yes",Projects!$C$14=DD$3),", "&amp;Projects!$A$14,"")&amp;IF(AND(Projects!$G$15="Yes",Projects!$C$15=DD$3),", "&amp;Projects!$A$15,"")&amp;IF(AND(Projects!$G$16="Yes",Projects!$C$16=DD$3),", "&amp;Projects!$A$16,"")&amp;IF(AND(Projects!$G$17="Yes",Projects!$C$17=DD$3),", "&amp;Projects!$A$17,"")&amp;IF(AND(Projects!$G$18="Yes",Projects!$C$18=DD$3),", "&amp;Projects!$A$18,"")&amp;IF(AND(Projects!$G$19="Yes",Projects!$C$19=DD$3),", "&amp;Projects!$A$19,"")&amp;IF(AND(Projects!$G$20="Yes",Projects!$C$20=DD$3),", "&amp;Projects!$A$20,"")&amp;IF(AND(Projects!$G$21="Yes",Projects!$C$21=DD$3),", "&amp;Projects!$A$21,"")&amp;IF(AND(Projects!$G$22="Yes",Projects!$C$22=DD$3),", "&amp;Projects!$A$22,"")&amp;IF(AND(Projects!$G$23="Yes",Projects!$C$23=DD$3),", "&amp;Projects!$A$23,"")&amp;IF(AND(Projects!$G$24="Yes",Projects!$C$24=DD$3),", "&amp;Projects!$A$24,"")&amp;IF(AND(Projects!$G$25="Yes",Projects!$C$25=DD$3),", "&amp;Projects!$A$25,"")&amp;IF(AND(Projects!$G$26="Yes",Projects!$C$26=DD$3),", "&amp;Projects!$A$26,"")&amp;IF(AND(Projects!$G$27="Yes",Projects!$C$27=DD$3),", "&amp;Projects!$A$27,"")&amp;IF(AND(Projects!$G$28="Yes",Projects!$C$28=DD$3),", "&amp;Projects!$A$28,"")&amp;IF(AND(Projects!$G$29="Yes",Projects!$C$29=DD$3),", "&amp;Projects!$A$29,"")&amp;IF(AND(Projects!$G$30="Yes",Projects!$C$30=DD$3),", "&amp;Projects!$A$30,"")&amp;IF(AND(Projects!$G$31="Yes",Projects!$C$31=DD$3),", "&amp;Projects!$A$31,"")&amp;IF(AND(Projects!$G$32="Yes",Projects!$C$32=DD$3),", "&amp;Projects!$A$32,"")&amp;IF(AND(Projects!$G$33="Yes",Projects!$C$33=DD$3),", "&amp;Projects!$A$33,"")&amp;IF(AND(Projects!$G$34="Yes",Projects!$C$34=DD$3),", "&amp;Projects!$A$34,"")&amp;IF(AND(Projects!$G$35="Yes",Projects!$C$35=DD$3),", "&amp;Projects!$A$35,"")&amp;IF(AND(Projects!$G$36="Yes",Projects!$C$36=DD$3),", "&amp;Projects!$A$36,"")&amp;IF(AND(Projects!$G$37="Yes",Projects!$C$37=DD$3),", "&amp;Projects!$A$37,"")&amp;IF(AND(Projects!$G$38="Yes",Projects!$C$38=DD$3),", "&amp;Projects!$A$38,"")&amp;IF(AND(Projects!$G$39="Yes",Projects!$C$39=DD$3),", "&amp;Projects!$A$39,"")&amp;IF(AND(Projects!$G$40="Yes",Projects!$C$40=DD$3),", "&amp;Projects!$A$40,"")&amp;IF(AND(Projects!$G$41="Yes",Projects!$C$41=DD$3),", "&amp;Projects!$A$41,"")&amp;IF(AND(Projects!$G$42="Yes",Projects!$C$42=DD$3),", "&amp;Projects!$A$42,"")&amp;IF(AND(Projects!$G$43="Yes",Projects!$C$43=DD$3),", "&amp;Projects!$A$43,"")&amp;IF(AND(Projects!$G$44="Yes",Projects!$C$44=DD$3),", "&amp;Projects!$A$44,"")&amp;IF(AND(Projects!$G$45="Yes",Projects!$C$45=DD$3),", "&amp;Projects!$A$45,"")&amp;IF(AND(Projects!$G$46="Yes",Projects!$C$46=DD$3),", "&amp;Projects!$A$46,""),3,10000)</f>
        <v/>
      </c>
      <c r="DE6" s="17" t="str">
        <f aca="false">MID(IF(AND(Projects!$G$2="Yes",Projects!$C$2=DE$3),", "&amp;Projects!$A$2,"")&amp;IF(AND(Projects!$G$3="Yes",Projects!$C$3=DE$3),", "&amp;Projects!$A$3,"")&amp;IF(AND(Projects!$G$4="Yes",Projects!$C$4=DE$3),", "&amp;Projects!$A$4,"")&amp;IF(AND(Projects!$G$5="Yes",Projects!$C$5=DE$3),", "&amp;Projects!$A$5,"")&amp;IF(AND(Projects!$G$6="Yes",Projects!$C$6=DE$3),", "&amp;Projects!$A$6,"")&amp;IF(AND(Projects!$G$7="Yes",Projects!$C$7=DE$3),", "&amp;Projects!$A$7,"")&amp;IF(AND(Projects!$G$8="Yes",Projects!$C$8=DE$3),", "&amp;Projects!$A$8,"")&amp;IF(AND(Projects!$G$9="Yes",Projects!$C$9=DE$3),", "&amp;Projects!$A$9,"")&amp;IF(AND(Projects!$G$10="Yes",Projects!$C$10=DE$3),", "&amp;Projects!$A$10,"")&amp;IF(AND(Projects!$G$11="Yes",Projects!$C$11=DE$3),", "&amp;Projects!$A$11,"")&amp;IF(AND(Projects!$G$12="Yes",Projects!$C$12=DE$3),", "&amp;Projects!$A$12,"")&amp;IF(AND(Projects!$G$13="Yes",Projects!$C$13=DE$3),", "&amp;Projects!$A$13,"")&amp;IF(AND(Projects!$G$14="Yes",Projects!$C$14=DE$3),", "&amp;Projects!$A$14,"")&amp;IF(AND(Projects!$G$15="Yes",Projects!$C$15=DE$3),", "&amp;Projects!$A$15,"")&amp;IF(AND(Projects!$G$16="Yes",Projects!$C$16=DE$3),", "&amp;Projects!$A$16,"")&amp;IF(AND(Projects!$G$17="Yes",Projects!$C$17=DE$3),", "&amp;Projects!$A$17,"")&amp;IF(AND(Projects!$G$18="Yes",Projects!$C$18=DE$3),", "&amp;Projects!$A$18,"")&amp;IF(AND(Projects!$G$19="Yes",Projects!$C$19=DE$3),", "&amp;Projects!$A$19,"")&amp;IF(AND(Projects!$G$20="Yes",Projects!$C$20=DE$3),", "&amp;Projects!$A$20,"")&amp;IF(AND(Projects!$G$21="Yes",Projects!$C$21=DE$3),", "&amp;Projects!$A$21,"")&amp;IF(AND(Projects!$G$22="Yes",Projects!$C$22=DE$3),", "&amp;Projects!$A$22,"")&amp;IF(AND(Projects!$G$23="Yes",Projects!$C$23=DE$3),", "&amp;Projects!$A$23,"")&amp;IF(AND(Projects!$G$24="Yes",Projects!$C$24=DE$3),", "&amp;Projects!$A$24,"")&amp;IF(AND(Projects!$G$25="Yes",Projects!$C$25=DE$3),", "&amp;Projects!$A$25,"")&amp;IF(AND(Projects!$G$26="Yes",Projects!$C$26=DE$3),", "&amp;Projects!$A$26,"")&amp;IF(AND(Projects!$G$27="Yes",Projects!$C$27=DE$3),", "&amp;Projects!$A$27,"")&amp;IF(AND(Projects!$G$28="Yes",Projects!$C$28=DE$3),", "&amp;Projects!$A$28,"")&amp;IF(AND(Projects!$G$29="Yes",Projects!$C$29=DE$3),", "&amp;Projects!$A$29,"")&amp;IF(AND(Projects!$G$30="Yes",Projects!$C$30=DE$3),", "&amp;Projects!$A$30,"")&amp;IF(AND(Projects!$G$31="Yes",Projects!$C$31=DE$3),", "&amp;Projects!$A$31,"")&amp;IF(AND(Projects!$G$32="Yes",Projects!$C$32=DE$3),", "&amp;Projects!$A$32,"")&amp;IF(AND(Projects!$G$33="Yes",Projects!$C$33=DE$3),", "&amp;Projects!$A$33,"")&amp;IF(AND(Projects!$G$34="Yes",Projects!$C$34=DE$3),", "&amp;Projects!$A$34,"")&amp;IF(AND(Projects!$G$35="Yes",Projects!$C$35=DE$3),", "&amp;Projects!$A$35,"")&amp;IF(AND(Projects!$G$36="Yes",Projects!$C$36=DE$3),", "&amp;Projects!$A$36,"")&amp;IF(AND(Projects!$G$37="Yes",Projects!$C$37=DE$3),", "&amp;Projects!$A$37,"")&amp;IF(AND(Projects!$G$38="Yes",Projects!$C$38=DE$3),", "&amp;Projects!$A$38,"")&amp;IF(AND(Projects!$G$39="Yes",Projects!$C$39=DE$3),", "&amp;Projects!$A$39,"")&amp;IF(AND(Projects!$G$40="Yes",Projects!$C$40=DE$3),", "&amp;Projects!$A$40,"")&amp;IF(AND(Projects!$G$41="Yes",Projects!$C$41=DE$3),", "&amp;Projects!$A$41,"")&amp;IF(AND(Projects!$G$42="Yes",Projects!$C$42=DE$3),", "&amp;Projects!$A$42,"")&amp;IF(AND(Projects!$G$43="Yes",Projects!$C$43=DE$3),", "&amp;Projects!$A$43,"")&amp;IF(AND(Projects!$G$44="Yes",Projects!$C$44=DE$3),", "&amp;Projects!$A$44,"")&amp;IF(AND(Projects!$G$45="Yes",Projects!$C$45=DE$3),", "&amp;Projects!$A$45,"")&amp;IF(AND(Projects!$G$46="Yes",Projects!$C$46=DE$3),", "&amp;Projects!$A$46,""),3,10000)</f>
        <v/>
      </c>
    </row>
    <row r="7" s="23" customFormat="true" ht="9.75" hidden="false" customHeight="true" outlineLevel="0" collapsed="false">
      <c r="A7" s="19"/>
      <c r="B7" s="20"/>
      <c r="C7" s="21"/>
      <c r="D7" s="21"/>
      <c r="E7" s="22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</row>
    <row r="8" s="28" customFormat="true" ht="15" hidden="false" customHeight="true" outlineLevel="0" collapsed="false">
      <c r="A8" s="24" t="s">
        <v>3</v>
      </c>
      <c r="B8" s="25"/>
      <c r="C8" s="26"/>
      <c r="D8" s="26"/>
      <c r="E8" s="27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</row>
    <row r="9" customFormat="false" ht="15" hidden="false" customHeight="true" outlineLevel="0" collapsed="false">
      <c r="A9" s="29"/>
      <c r="B9" s="3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customFormat="false" ht="15" hidden="false" customHeight="true" outlineLevel="0" collapsed="false">
      <c r="A10" s="29" t="s">
        <v>4</v>
      </c>
      <c r="B10" s="14" t="n">
        <f aca="false">IF(ISBLANK(Actuals!C8),0,Actuals!C8)</f>
        <v>116367.35</v>
      </c>
      <c r="C10" s="14" t="n">
        <f aca="false">IF(ISBLANK(Actuals!D8),0,Actuals!D8)</f>
        <v>138804.22</v>
      </c>
      <c r="D10" s="14" t="n">
        <f aca="false">IF(ISBLANK(Actuals!E8),0,Actuals!E8)</f>
        <v>219366.88</v>
      </c>
      <c r="E10" s="14" t="n">
        <f aca="false">IF(ISBLANK(Actuals!F8),(SUMPRODUCT((Projects!$G$2:$G$14="Yes")*(1&gt;=Projects!$C$2:$C$14)*(1&lt;Projects!$C$2:$C$14+Projects!$D$2:$D$14)*Projects!$B$2:$B$14*Assumptions!$B$10/Projects!$D$2:$D$14*0.95)+SUMPRODUCT((Projects!$G$2:$G$14="Yes")*(1=Projects!$C$2:$C$14+Projects!$D$2:$D$14-1)*Projects!$B$2:$B$14*Assumptions!$B$10*0.05)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)+(SUMPRODUCT((Projects!$G$2:$G$14="Yes")*(1&gt;=Projects!$C$2:$C$14)*(1&lt;Projects!$C$2:$C$14+Projects!$D$2:$D$14)*Projects!$B$2:$B$14*Assumptions!$B$12/Projects!$D$2:$D$14*0.95)+SUMPRODUCT((Projects!$G$2:$G$14="Yes")*(1=Projects!$C$2:$C$14+Projects!$D$2:$D$14-1)*Projects!$B$2:$B$14*Assumptions!$B$12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),Actuals!F8)</f>
        <v>212079.14</v>
      </c>
      <c r="F10" s="14" t="n">
        <f aca="false">IF(ISBLANK(Actuals!G8),295126.83*Curves!C$6/SUM(Curves!$C$6:$I$6)+1008656.9*Curves!C$7/SUM(Curves!$C$7:$Q$7)+692704.95*Curves!C$8/SUM(Curves!$C$8:$P$8)+790610.91*Curves!C$9/SUM(Curves!$C$9:$P$9)+188945.64*Curves!C$4/SUM(Curves!$C$4:$T$4)+SUMPRODUCT((Projects!$G$7:$G$14="Yes")*(2&gt;=Projects!$C$7:$C$14)*(2&lt;Projects!$C$7:$C$14+Projects!$D$7:$D$14)*Projects!$B$7:$B$14*Assumptions!$B$10/Projects!$D$7:$D$14*0.95)+SUMPRODUCT((Projects!$G$7:$G$14="Yes")*(2=Projects!$C$7:$C$14+Projects!$D$7:$D$14-1)*Projects!$B$7:$B$14*Assumptions!$B$10*0.05)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$7:$G$14="Yes")*(2&gt;=Projects!$C$7:$C$14)*(2&lt;Projects!$C$7:$C$14+Projects!$D$7:$D$14)*Projects!$B$7:$B$14*Assumptions!$B$12/Projects!$D$7:$D$14*0.95)+SUMPRODUCT((Projects!$G$7:$G$14="Yes")*(2=Projects!$C$7:$C$14+Projects!$D$7:$D$14-1)*Projects!$B$7:$B$14*Assumptions!$B$12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,Actuals!G8)</f>
        <v>267726.14</v>
      </c>
      <c r="G10" s="14" t="n">
        <f aca="false">IF(ISBLANK(Actuals!H8),274422.33*Curves!D$6/SUM(Curves!$E$6:$I$6)+882574.78*Curves!D$7/SUM(Curves!$E$7:$Q$7)+600344.29*Curves!D$8/SUM(Curves!$E$8:$P$8)+685196.13*Curves!D$9/SUM(Curves!$E$9:$P$9)+161723.42*Curves!D$4/SUM(Curves!$E$4:$T$4)+SUMPRODUCT((Projects!$G$7:$G$14="Yes")*(3&gt;=Projects!$C$7:$C$14)*(3&lt;Projects!$C$7:$C$14+Projects!$D$7:$D$14)*Projects!$B$7:$B$14*Assumptions!$B$10/Projects!$D$7:$D$14*0.95)+SUMPRODUCT((Projects!$G$7:$G$14="Yes")*(3=Projects!$C$7:$C$14+Projects!$D$7:$D$14-1)*Projects!$B$7:$B$14*Assumptions!$B$10*0.05)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$7:$G$14="Yes")*(3&gt;=Projects!$C$7:$C$14)*(3&lt;Projects!$C$7:$C$14+Projects!$D$7:$D$14)*Projects!$B$7:$B$14*Assumptions!$B$12/Projects!$D$7:$D$14*0.95)+SUMPRODUCT((Projects!$G$7:$G$14="Yes")*(3=Projects!$C$7:$C$14+Projects!$D$7:$D$14-1)*Projects!$B$7:$B$14*Assumptions!$B$12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,Actuals!H8)</f>
        <v>374773.89</v>
      </c>
      <c r="H10" s="14" t="n">
        <f aca="false">IF(ISBLANK(Actuals!I8),274422.33*Curves!E$6/SUM(Curves!$E$6:$I$6)+882574.78*Curves!E$7/SUM(Curves!$E$7:$Q$7)+600344.29*Curves!E$8/SUM(Curves!$E$8:$P$8)+685196.13*Curves!E$9/SUM(Curves!$E$9:$P$9)+161723.42*Curves!E$4/SUM(Curves!$E$4:$T$4)+SUMPRODUCT((Projects!$G$7:$G$14="Yes")*(4&gt;=Projects!$C$7:$C$14)*(4&lt;Projects!$C$7:$C$14+Projects!$D$7:$D$14)*Projects!$B$7:$B$14*Assumptions!$B$10/Projects!$D$7:$D$14*0.95)+SUMPRODUCT((Projects!$G$7:$G$14="Yes")*(4=Projects!$C$7:$C$14+Projects!$D$7:$D$14-1)*Projects!$B$7:$B$14*Assumptions!$B$10*0.05)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$7:$G$14="Yes")*(4&gt;=Projects!$C$7:$C$14)*(4&lt;Projects!$C$7:$C$14+Projects!$D$7:$D$14)*Projects!$B$7:$B$14*Assumptions!$B$12/Projects!$D$7:$D$14*0.95)+SUMPRODUCT((Projects!$G$7:$G$14="Yes")*(4=Projects!$C$7:$C$14+Projects!$D$7:$D$14-1)*Projects!$B$7:$B$14*Assumptions!$B$12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,Actuals!I8)</f>
        <v>301539.495727581</v>
      </c>
      <c r="I10" s="14" t="n">
        <f aca="false">IF(ISBLANK(Actuals!J8),274422.33*Curves!F$6/SUM(Curves!$E$6:$I$6)+882574.78*Curves!F$7/SUM(Curves!$E$7:$Q$7)+600344.29*Curves!F$8/SUM(Curves!$E$8:$P$8)+685196.13*Curves!F$9/SUM(Curves!$E$9:$P$9)+161723.42*Curves!F$4/SUM(Curves!$E$4:$T$4)+SUMPRODUCT((Projects!$G$7:$G$14="Yes")*(5&gt;=Projects!$C$7:$C$14)*(5&lt;Projects!$C$7:$C$14+Projects!$D$7:$D$14)*Projects!$B$7:$B$14*Assumptions!$B$10/Projects!$D$7:$D$14*0.95)+SUMPRODUCT((Projects!$G$7:$G$14="Yes")*(5=Projects!$C$7:$C$14+Projects!$D$7:$D$14-1)*Projects!$B$7:$B$14*Assumptions!$B$10*0.05)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$7:$G$14="Yes")*(5&gt;=Projects!$C$7:$C$14)*(5&lt;Projects!$C$7:$C$14+Projects!$D$7:$D$14)*Projects!$B$7:$B$14*Assumptions!$B$12/Projects!$D$7:$D$14*0.95)+SUMPRODUCT((Projects!$G$7:$G$14="Yes")*(5=Projects!$C$7:$C$14+Projects!$D$7:$D$14-1)*Projects!$B$7:$B$14*Assumptions!$B$12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,Actuals!J8)</f>
        <v>468561.516996006</v>
      </c>
      <c r="J10" s="14" t="n">
        <f aca="false">IF(ISBLANK(Actuals!K8),274422.33*Curves!G$6/SUM(Curves!$E$6:$I$6)+882574.78*Curves!G$7/SUM(Curves!$E$7:$Q$7)+600344.29*Curves!G$8/SUM(Curves!$E$8:$P$8)+685196.13*Curves!G$9/SUM(Curves!$E$9:$P$9)+161723.42*Curves!G$4/SUM(Curves!$E$4:$T$4)+SUMPRODUCT((Projects!$G$7:$G$14="Yes")*(6&gt;=Projects!$C$7:$C$14)*(6&lt;Projects!$C$7:$C$14+Projects!$D$7:$D$14)*Projects!$B$7:$B$14*Assumptions!$B$10/Projects!$D$7:$D$14*0.95)+SUMPRODUCT((Projects!$G$7:$G$14="Yes")*(6=Projects!$C$7:$C$14+Projects!$D$7:$D$14-1)*Projects!$B$7:$B$14*Assumptions!$B$10*0.05)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$7:$G$14="Yes")*(6&gt;=Projects!$C$7:$C$14)*(6&lt;Projects!$C$7:$C$14+Projects!$D$7:$D$14)*Projects!$B$7:$B$14*Assumptions!$B$12/Projects!$D$7:$D$14*0.95)+SUMPRODUCT((Projects!$G$7:$G$14="Yes")*(6=Projects!$C$7:$C$14+Projects!$D$7:$D$14-1)*Projects!$B$7:$B$14*Assumptions!$B$12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,Actuals!K8)</f>
        <v>519666.167643401</v>
      </c>
      <c r="K10" s="14" t="n">
        <f aca="false">IF(ISBLANK(Actuals!L8),274422.33*Curves!H$6/SUM(Curves!$E$6:$I$6)+882574.78*Curves!H$7/SUM(Curves!$E$7:$Q$7)+600344.29*Curves!H$8/SUM(Curves!$E$8:$P$8)+685196.13*Curves!H$9/SUM(Curves!$E$9:$P$9)+161723.42*Curves!H$4/SUM(Curves!$E$4:$T$4)+SUMPRODUCT((Projects!$G$7:$G$14="Yes")*(7&gt;=Projects!$C$7:$C$14)*(7&lt;Projects!$C$7:$C$14+Projects!$D$7:$D$14)*Projects!$B$7:$B$14*Assumptions!$B$10/Projects!$D$7:$D$14*0.95)+SUMPRODUCT((Projects!$G$7:$G$14="Yes")*(7=Projects!$C$7:$C$14+Projects!$D$7:$D$14-1)*Projects!$B$7:$B$14*Assumptions!$B$10*0.05)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$7:$G$14="Yes")*(7&gt;=Projects!$C$7:$C$14)*(7&lt;Projects!$C$7:$C$14+Projects!$D$7:$D$14)*Projects!$B$7:$B$14*Assumptions!$B$12/Projects!$D$7:$D$14*0.95)+SUMPRODUCT((Projects!$G$7:$G$14="Yes")*(7=Projects!$C$7:$C$14+Projects!$D$7:$D$14-1)*Projects!$B$7:$B$14*Assumptions!$B$12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,Actuals!L8)</f>
        <v>567199.428648641</v>
      </c>
      <c r="L10" s="14" t="n">
        <f aca="false">IF(ISBLANK(Actuals!M8),274422.33*Curves!I$6/SUM(Curves!$E$6:$I$6)+882574.78*Curves!I$7/SUM(Curves!$E$7:$Q$7)+600344.29*Curves!I$8/SUM(Curves!$E$8:$P$8)+685196.13*Curves!I$9/SUM(Curves!$E$9:$P$9)+161723.42*Curves!I$4/SUM(Curves!$E$4:$T$4)+SUMPRODUCT((Projects!$G$7:$G$14="Yes")*(8&gt;=Projects!$C$7:$C$14)*(8&lt;Projects!$C$7:$C$14+Projects!$D$7:$D$14)*Projects!$B$7:$B$14*Assumptions!$B$10/Projects!$D$7:$D$14*0.95)+SUMPRODUCT((Projects!$G$7:$G$14="Yes")*(8=Projects!$C$7:$C$14+Projects!$D$7:$D$14-1)*Projects!$B$7:$B$14*Assumptions!$B$10*0.05)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$7:$G$14="Yes")*(8&gt;=Projects!$C$7:$C$14)*(8&lt;Projects!$C$7:$C$14+Projects!$D$7:$D$14)*Projects!$B$7:$B$14*Assumptions!$B$12/Projects!$D$7:$D$14*0.95)+SUMPRODUCT((Projects!$G$7:$G$14="Yes")*(8=Projects!$C$7:$C$14+Projects!$D$7:$D$14-1)*Projects!$B$7:$B$14*Assumptions!$B$12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,Actuals!M8)</f>
        <v>551629.706069192</v>
      </c>
      <c r="M10" s="14" t="n">
        <f aca="false">IF(ISBLANK(Actuals!N8),935263.59*Curves!J$7/SUM(Curves!$E$7:$Q$7)+583483.56*Curves!J$8/SUM(Curves!$E$8:$P$8)+691723.19*Curves!J$9/SUM(Curves!$E$9:$P$9)+122627.14*Curves!J$4/SUM(Curves!$E$4:$T$4)+SUMPRODUCT((Projects!$G$7:$G$14="Yes")*(9&gt;=Projects!$C$7:$C$14)*(9&lt;Projects!$C$7:$C$14+Projects!$D$7:$D$14)*Projects!$B$7:$B$14*Assumptions!$B$10/Projects!$D$7:$D$14*0.95)+SUMPRODUCT((Projects!$G$7:$G$14="Yes")*(9=Projects!$C$7:$C$14+Projects!$D$7:$D$14-1)*Projects!$B$7:$B$14*Assumptions!$B$10*0.05)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$7:$G$14="Yes")*(9&gt;=Projects!$C$7:$C$14)*(9&lt;Projects!$C$7:$C$14+Projects!$D$7:$D$14)*Projects!$B$7:$B$14*Assumptions!$B$12/Projects!$D$7:$D$14*0.95)+SUMPRODUCT((Projects!$G$7:$G$14="Yes")*(9=Projects!$C$7:$C$14+Projects!$D$7:$D$14-1)*Projects!$B$7:$B$14*Assumptions!$B$12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,Actuals!N8)</f>
        <v>500413.414192613</v>
      </c>
      <c r="N10" s="14" t="n">
        <f aca="false">IF(ISBLANK(Actuals!O8),935263.59*Curves!K$7/SUM(Curves!$E$7:$Q$7)+583483.56*Curves!K$8/SUM(Curves!$E$8:$P$8)+691723.19*Curves!K$9/SUM(Curves!$E$9:$P$9)+122627.14*Curves!K$4/SUM(Curves!$E$4:$T$4)+SUMPRODUCT((Projects!$G$7:$G$14="Yes")*(10&gt;=Projects!$C$7:$C$14)*(10&lt;Projects!$C$7:$C$14+Projects!$D$7:$D$14)*Projects!$B$7:$B$14*Assumptions!$B$10/Projects!$D$7:$D$14*0.95)+SUMPRODUCT((Projects!$G$7:$G$14="Yes")*(10=Projects!$C$7:$C$14+Projects!$D$7:$D$14-1)*Projects!$B$7:$B$14*Assumptions!$B$10*0.05)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$7:$G$14="Yes")*(10&gt;=Projects!$C$7:$C$14)*(10&lt;Projects!$C$7:$C$14+Projects!$D$7:$D$14)*Projects!$B$7:$B$14*Assumptions!$B$12/Projects!$D$7:$D$14*0.95)+SUMPRODUCT((Projects!$G$7:$G$14="Yes")*(10=Projects!$C$7:$C$14+Projects!$D$7:$D$14-1)*Projects!$B$7:$B$14*Assumptions!$B$12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,Actuals!O8)</f>
        <v>484153.45094931</v>
      </c>
      <c r="O10" s="14" t="n">
        <f aca="false">IF(ISBLANK(Actuals!P8),935263.59*Curves!L$7/SUM(Curves!$E$7:$Q$7)+583483.56*Curves!L$8/SUM(Curves!$E$8:$P$8)+691723.19*Curves!L$9/SUM(Curves!$E$9:$P$9)+122627.14*Curves!L$4/SUM(Curves!$E$4:$T$4)+SUMPRODUCT((Projects!$G$7:$G$14="Yes")*(11&gt;=Projects!$C$7:$C$14)*(11&lt;Projects!$C$7:$C$14+Projects!$D$7:$D$14)*Projects!$B$7:$B$14*Assumptions!$B$10/Projects!$D$7:$D$14*0.95)+SUMPRODUCT((Projects!$G$7:$G$14="Yes")*(11=Projects!$C$7:$C$14+Projects!$D$7:$D$14-1)*Projects!$B$7:$B$14*Assumptions!$B$10*0.05)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$7:$G$14="Yes")*(11&gt;=Projects!$C$7:$C$14)*(11&lt;Projects!$C$7:$C$14+Projects!$D$7:$D$14)*Projects!$B$7:$B$14*Assumptions!$B$12/Projects!$D$7:$D$14*0.95)+SUMPRODUCT((Projects!$G$7:$G$14="Yes")*(11=Projects!$C$7:$C$14+Projects!$D$7:$D$14-1)*Projects!$B$7:$B$14*Assumptions!$B$12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,Actuals!P8)</f>
        <v>465347.42969848</v>
      </c>
      <c r="P10" s="14" t="n">
        <f aca="false">IF(ISBLANK(Actuals!Q8),935263.59*Curves!M$7/SUM(Curves!$E$7:$Q$7)+583483.56*Curves!M$8/SUM(Curves!$E$8:$P$8)+691723.19*Curves!M$9/SUM(Curves!$E$9:$P$9)+122627.14*Curves!M$4/SUM(Curves!$E$4:$T$4)+SUMPRODUCT((Projects!$G$7:$G$14="Yes")*(12&gt;=Projects!$C$7:$C$14)*(12&lt;Projects!$C$7:$C$14+Projects!$D$7:$D$14)*Projects!$B$7:$B$14*Assumptions!$B$10/Projects!$D$7:$D$14*0.95)+SUMPRODUCT((Projects!$G$7:$G$14="Yes")*(12=Projects!$C$7:$C$14+Projects!$D$7:$D$14-1)*Projects!$B$7:$B$14*Assumptions!$B$10*0.05)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$7:$G$14="Yes")*(12&gt;=Projects!$C$7:$C$14)*(12&lt;Projects!$C$7:$C$14+Projects!$D$7:$D$14)*Projects!$B$7:$B$14*Assumptions!$B$12/Projects!$D$7:$D$14*0.95)+SUMPRODUCT((Projects!$G$7:$G$14="Yes")*(12=Projects!$C$7:$C$14+Projects!$D$7:$D$14-1)*Projects!$B$7:$B$14*Assumptions!$B$12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,Actuals!Q8)</f>
        <v>444989.841970266</v>
      </c>
      <c r="Q10" s="14" t="n">
        <f aca="false">IF(ISBLANK(Actuals!R8),935263.59*Curves!N$7/SUM(Curves!$E$7:$Q$7)+583483.56*Curves!N$8/SUM(Curves!$E$8:$P$8)+691723.19*Curves!N$9/SUM(Curves!$E$9:$P$9)+122627.14*Curves!N$4/SUM(Curves!$E$4:$T$4)+SUMPRODUCT((Projects!$G$7:$G$14="Yes")*(13&gt;=Projects!$C$7:$C$14)*(13&lt;Projects!$C$7:$C$14+Projects!$D$7:$D$14)*Projects!$B$7:$B$14*Assumptions!$B$10/Projects!$D$7:$D$14*0.95)+SUMPRODUCT((Projects!$G$7:$G$14="Yes")*(13=Projects!$C$7:$C$14+Projects!$D$7:$D$14-1)*Projects!$B$7:$B$14*Assumptions!$B$10*0.05)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$7:$G$14="Yes")*(13&gt;=Projects!$C$7:$C$14)*(13&lt;Projects!$C$7:$C$14+Projects!$D$7:$D$14)*Projects!$B$7:$B$14*Assumptions!$B$12/Projects!$D$7:$D$14*0.95)+SUMPRODUCT((Projects!$G$7:$G$14="Yes")*(13=Projects!$C$7:$C$14+Projects!$D$7:$D$14-1)*Projects!$B$7:$B$14*Assumptions!$B$12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,Actuals!R8)</f>
        <v>522684.240699863</v>
      </c>
      <c r="R10" s="14" t="n">
        <f aca="false">IF(ISBLANK(Actuals!S8),935263.59*Curves!O$7/SUM(Curves!$E$7:$Q$7)+583483.56*Curves!O$8/SUM(Curves!$E$8:$P$8)+691723.19*Curves!O$9/SUM(Curves!$E$9:$P$9)+122627.14*Curves!O$4/SUM(Curves!$E$4:$T$4)+SUMPRODUCT((Projects!$G$7:$G$14="Yes")*(14&gt;=Projects!$C$7:$C$14)*(14&lt;Projects!$C$7:$C$14+Projects!$D$7:$D$14)*Projects!$B$7:$B$14*Assumptions!$B$10/Projects!$D$7:$D$14*0.95)+SUMPRODUCT((Projects!$G$7:$G$14="Yes")*(14=Projects!$C$7:$C$14+Projects!$D$7:$D$14-1)*Projects!$B$7:$B$14*Assumptions!$B$10*0.05)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$7:$G$14="Yes")*(14&gt;=Projects!$C$7:$C$14)*(14&lt;Projects!$C$7:$C$14+Projects!$D$7:$D$14)*Projects!$B$7:$B$14*Assumptions!$B$12/Projects!$D$7:$D$14*0.95)+SUMPRODUCT((Projects!$G$7:$G$14="Yes")*(14=Projects!$C$7:$C$14+Projects!$D$7:$D$14-1)*Projects!$B$7:$B$14*Assumptions!$B$12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,Actuals!S8)</f>
        <v>502092.410671569</v>
      </c>
      <c r="S10" s="14" t="n">
        <f aca="false">IF(ISBLANK(Actuals!T8),935263.59*Curves!P$7/SUM(Curves!$E$7:$Q$7)+583483.56*Curves!P$8/SUM(Curves!$E$8:$P$8)+691723.19*Curves!P$9/SUM(Curves!$E$9:$P$9)+122627.14*Curves!P$4/SUM(Curves!$E$4:$T$4)+SUMPRODUCT((Projects!$G$7:$G$14="Yes")*(15&gt;=Projects!$C$7:$C$14)*(15&lt;Projects!$C$7:$C$14+Projects!$D$7:$D$14)*Projects!$B$7:$B$14*Assumptions!$B$10/Projects!$D$7:$D$14*0.95)+SUMPRODUCT((Projects!$G$7:$G$14="Yes")*(15=Projects!$C$7:$C$14+Projects!$D$7:$D$14-1)*Projects!$B$7:$B$14*Assumptions!$B$10*0.05)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$7:$G$14="Yes")*(15&gt;=Projects!$C$7:$C$14)*(15&lt;Projects!$C$7:$C$14+Projects!$D$7:$D$14)*Projects!$B$7:$B$14*Assumptions!$B$12/Projects!$D$7:$D$14*0.95)+SUMPRODUCT((Projects!$G$7:$G$14="Yes")*(15=Projects!$C$7:$C$14+Projects!$D$7:$D$14-1)*Projects!$B$7:$B$14*Assumptions!$B$12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,Actuals!T8)</f>
        <v>482581.598198862</v>
      </c>
      <c r="T10" s="14" t="n">
        <f aca="false">IF(ISBLANK(Actuals!U8),935263.59*Curves!Q$7/SUM(Curves!$E$7:$Q$7)+112293.47*Curves!Q$4/SUM(Curves!$E$4:$T$4)+SUMPRODUCT((Projects!$G$7:$G$14="Yes")*(16&gt;=Projects!$C$7:$C$14)*(16&lt;Projects!$C$7:$C$14+Projects!$D$7:$D$14)*Projects!$B$7:$B$14*Assumptions!$B$10/Projects!$D$7:$D$14*0.95)+SUMPRODUCT((Projects!$G$7:$G$14="Yes")*(16=Projects!$C$7:$C$14+Projects!$D$7:$D$14-1)*Projects!$B$7:$B$14*Assumptions!$B$10*0.05)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$7:$G$14="Yes")*(16&gt;=Projects!$C$7:$C$14)*(16&lt;Projects!$C$7:$C$14+Projects!$D$7:$D$14)*Projects!$B$7:$B$14*Assumptions!$B$12/Projects!$D$7:$D$14*0.95)+SUMPRODUCT((Projects!$G$7:$G$14="Yes")*(16=Projects!$C$7:$C$14+Projects!$D$7:$D$14-1)*Projects!$B$7:$B$14*Assumptions!$B$12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,Actuals!U8)</f>
        <v>424745.351729792</v>
      </c>
      <c r="U10" s="14" t="n">
        <f aca="false">IF(ISBLANK(Actuals!V8),164982.28*Curves!R$4/SUM(Curves!$E$4:$T$4)+SUMPRODUCT((Projects!$G$7:$G$14="Yes")*(17&gt;=Projects!$C$7:$C$14)*(17&lt;Projects!$C$7:$C$14+Projects!$D$7:$D$14)*Projects!$B$7:$B$14*Assumptions!$B$10/Projects!$D$7:$D$14*0.95)+SUMPRODUCT((Projects!$G$7:$G$14="Yes")*(17=Projects!$C$7:$C$14+Projects!$D$7:$D$14-1)*Projects!$B$7:$B$14*Assumptions!$B$10*0.05)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$7:$G$14="Yes")*(17&gt;=Projects!$C$7:$C$14)*(17&lt;Projects!$C$7:$C$14+Projects!$D$7:$D$14)*Projects!$B$7:$B$14*Assumptions!$B$12/Projects!$D$7:$D$14*0.95)+SUMPRODUCT((Projects!$G$7:$G$14="Yes")*(17=Projects!$C$7:$C$14+Projects!$D$7:$D$14-1)*Projects!$B$7:$B$14*Assumptions!$B$12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,Actuals!V8)</f>
        <v>391798.661691176</v>
      </c>
      <c r="V10" s="14" t="n">
        <f aca="false">IF(ISBLANK(Actuals!W8),164982.28*Curves!S$4/SUM(Curves!$E$4:$T$4)+SUMPRODUCT((Projects!$G$7:$G$14="Yes")*(18&gt;=Projects!$C$7:$C$14)*(18&lt;Projects!$C$7:$C$14+Projects!$D$7:$D$14)*Projects!$B$7:$B$14*Assumptions!$B$10/Projects!$D$7:$D$14*0.95)+SUMPRODUCT((Projects!$G$7:$G$14="Yes")*(18=Projects!$C$7:$C$14+Projects!$D$7:$D$14-1)*Projects!$B$7:$B$14*Assumptions!$B$10*0.05)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$7:$G$14="Yes")*(18&gt;=Projects!$C$7:$C$14)*(18&lt;Projects!$C$7:$C$14+Projects!$D$7:$D$14)*Projects!$B$7:$B$14*Assumptions!$B$12/Projects!$D$7:$D$14*0.95)+SUMPRODUCT((Projects!$G$7:$G$14="Yes")*(18=Projects!$C$7:$C$14+Projects!$D$7:$D$14-1)*Projects!$B$7:$B$14*Assumptions!$B$12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,Actuals!W8)</f>
        <v>390568.30584381</v>
      </c>
      <c r="W10" s="14" t="n">
        <f aca="false">IF(ISBLANK(Actuals!X8),164982.28*Curves!T$4/SUM(Curves!$E$4:$T$4)+SUMPRODUCT((Projects!$G$7:$G$14="Yes")*(19&gt;=Projects!$C$7:$C$14)*(19&lt;Projects!$C$7:$C$14+Projects!$D$7:$D$14)*Projects!$B$7:$B$14*Assumptions!$B$10/Projects!$D$7:$D$14*0.95)+SUMPRODUCT((Projects!$G$7:$G$14="Yes")*(19=Projects!$C$7:$C$14+Projects!$D$7:$D$14-1)*Projects!$B$7:$B$14*Assumptions!$B$10*0.05)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$7:$G$14="Yes")*(19&gt;=Projects!$C$7:$C$14)*(19&lt;Projects!$C$7:$C$14+Projects!$D$7:$D$14)*Projects!$B$7:$B$14*Assumptions!$B$12/Projects!$D$7:$D$14*0.95)+SUMPRODUCT((Projects!$G$7:$G$14="Yes")*(19=Projects!$C$7:$C$14+Projects!$D$7:$D$14-1)*Projects!$B$7:$B$14*Assumptions!$B$12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,Actuals!X8)</f>
        <v>389425.270296875</v>
      </c>
      <c r="X10" s="14" t="n">
        <f aca="false">IF(ISBLANK(Actuals!Y8),0+SUMPRODUCT((Projects!$G$7:$G$14="Yes")*(20&gt;=Projects!$C$7:$C$14)*(20&lt;Projects!$C$7:$C$14+Projects!$D$7:$D$14)*Projects!$B$7:$B$14*Assumptions!$B$10/Projects!$D$7:$D$14*0.95)+SUMPRODUCT((Projects!$G$7:$G$14="Yes")*(20=Projects!$C$7:$C$14+Projects!$D$7:$D$14-1)*Projects!$B$7:$B$14*Assumptions!$B$10*0.05)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$7:$G$14="Yes")*(20&gt;=Projects!$C$7:$C$14)*(20&lt;Projects!$C$7:$C$14+Projects!$D$7:$D$14)*Projects!$B$7:$B$14*Assumptions!$B$12/Projects!$D$7:$D$14*0.95)+SUMPRODUCT((Projects!$G$7:$G$14="Yes")*(20=Projects!$C$7:$C$14+Projects!$D$7:$D$14-1)*Projects!$B$7:$B$14*Assumptions!$B$12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,Actuals!Y8)</f>
        <v>384571.03045093</v>
      </c>
      <c r="Y10" s="14" t="n">
        <f aca="false">IF(ISBLANK(Actuals!Z8),0+SUMPRODUCT((Projects!$G$7:$G$14="Yes")*(21&gt;=Projects!$C$7:$C$14)*(21&lt;Projects!$C$7:$C$14+Projects!$D$7:$D$14)*Projects!$B$7:$B$14*Assumptions!$B$10/Projects!$D$7:$D$14*0.95)+SUMPRODUCT((Projects!$G$7:$G$14="Yes")*(21=Projects!$C$7:$C$14+Projects!$D$7:$D$14-1)*Projects!$B$7:$B$14*Assumptions!$B$10*0.05)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$7:$G$14="Yes")*(21&gt;=Projects!$C$7:$C$14)*(21&lt;Projects!$C$7:$C$14+Projects!$D$7:$D$14)*Projects!$B$7:$B$14*Assumptions!$B$12/Projects!$D$7:$D$14*0.95)+SUMPRODUCT((Projects!$G$7:$G$14="Yes")*(21=Projects!$C$7:$C$14+Projects!$D$7:$D$14-1)*Projects!$B$7:$B$14*Assumptions!$B$12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,Actuals!Z8)</f>
        <v>384571.03045093</v>
      </c>
      <c r="Z10" s="14" t="n">
        <f aca="false">IF(ISBLANK(Actuals!AA8),0+SUMPRODUCT((Projects!$G$7:$G$14="Yes")*(22&gt;=Projects!$C$7:$C$14)*(22&lt;Projects!$C$7:$C$14+Projects!$D$7:$D$14)*Projects!$B$7:$B$14*Assumptions!$B$10/Projects!$D$7:$D$14*0.95)+SUMPRODUCT((Projects!$G$7:$G$14="Yes")*(22=Projects!$C$7:$C$14+Projects!$D$7:$D$14-1)*Projects!$B$7:$B$14*Assumptions!$B$10*0.05)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$7:$G$14="Yes")*(22&gt;=Projects!$C$7:$C$14)*(22&lt;Projects!$C$7:$C$14+Projects!$D$7:$D$14)*Projects!$B$7:$B$14*Assumptions!$B$12/Projects!$D$7:$D$14*0.95)+SUMPRODUCT((Projects!$G$7:$G$14="Yes")*(22=Projects!$C$7:$C$14+Projects!$D$7:$D$14-1)*Projects!$B$7:$B$14*Assumptions!$B$12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,Actuals!AA8)</f>
        <v>384571.03045093</v>
      </c>
      <c r="AA10" s="14" t="n">
        <f aca="false">IF(ISBLANK(Actuals!AB8),0+SUMPRODUCT((Projects!$G$7:$G$14="Yes")*(23&gt;=Projects!$C$7:$C$14)*(23&lt;Projects!$C$7:$C$14+Projects!$D$7:$D$14)*Projects!$B$7:$B$14*Assumptions!$B$10/Projects!$D$7:$D$14*0.95)+SUMPRODUCT((Projects!$G$7:$G$14="Yes")*(23=Projects!$C$7:$C$14+Projects!$D$7:$D$14-1)*Projects!$B$7:$B$14*Assumptions!$B$10*0.05)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$7:$G$14="Yes")*(23&gt;=Projects!$C$7:$C$14)*(23&lt;Projects!$C$7:$C$14+Projects!$D$7:$D$14)*Projects!$B$7:$B$14*Assumptions!$B$12/Projects!$D$7:$D$14*0.95)+SUMPRODUCT((Projects!$G$7:$G$14="Yes")*(23=Projects!$C$7:$C$14+Projects!$D$7:$D$14-1)*Projects!$B$7:$B$14*Assumptions!$B$12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,Actuals!AB8)</f>
        <v>429266.371618917</v>
      </c>
      <c r="AB10" s="14" t="n">
        <f aca="false">IF(ISBLANK(Actuals!AC8),0+SUMPRODUCT((Projects!$G$7:$G$14="Yes")*(24&gt;=Projects!$C$7:$C$14)*(24&lt;Projects!$C$7:$C$14+Projects!$D$7:$D$14)*Projects!$B$7:$B$14*Assumptions!$B$10/Projects!$D$7:$D$14*0.95)+SUMPRODUCT((Projects!$G$7:$G$14="Yes")*(24=Projects!$C$7:$C$14+Projects!$D$7:$D$14-1)*Projects!$B$7:$B$14*Assumptions!$B$10*0.05)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$7:$G$14="Yes")*(24&gt;=Projects!$C$7:$C$14)*(24&lt;Projects!$C$7:$C$14+Projects!$D$7:$D$14)*Projects!$B$7:$B$14*Assumptions!$B$12/Projects!$D$7:$D$14*0.95)+SUMPRODUCT((Projects!$G$7:$G$14="Yes")*(24=Projects!$C$7:$C$14+Projects!$D$7:$D$14-1)*Projects!$B$7:$B$14*Assumptions!$B$12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,Actuals!AC8)</f>
        <v>339875.689282942</v>
      </c>
      <c r="AC10" s="14" t="n">
        <f aca="false">IF(ISBLANK(Actuals!AD8),0+SUMPRODUCT((Projects!$G$7:$G$14="Yes")*(25&gt;=Projects!$C$7:$C$14)*(25&lt;Projects!$C$7:$C$14+Projects!$D$7:$D$14)*Projects!$B$7:$B$14*Assumptions!$B$10/Projects!$D$7:$D$14*0.95)+SUMPRODUCT((Projects!$G$7:$G$14="Yes")*(25=Projects!$C$7:$C$14+Projects!$D$7:$D$14-1)*Projects!$B$7:$B$14*Assumptions!$B$10*0.05)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$7:$G$14="Yes")*(25&gt;=Projects!$C$7:$C$14)*(25&lt;Projects!$C$7:$C$14+Projects!$D$7:$D$14)*Projects!$B$7:$B$14*Assumptions!$B$12/Projects!$D$7:$D$14*0.95)+SUMPRODUCT((Projects!$G$7:$G$14="Yes")*(25=Projects!$C$7:$C$14+Projects!$D$7:$D$14-1)*Projects!$B$7:$B$14*Assumptions!$B$12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,Actuals!AD8)</f>
        <v>398772.161984942</v>
      </c>
      <c r="AD10" s="14" t="n">
        <f aca="false">IF(ISBLANK(Actuals!AE8),0+SUMPRODUCT((Projects!$G$7:$G$14="Yes")*(26&gt;=Projects!$C$7:$C$14)*(26&lt;Projects!$C$7:$C$14+Projects!$D$7:$D$14)*Projects!$B$7:$B$14*Assumptions!$B$10/Projects!$D$7:$D$14*0.95)+SUMPRODUCT((Projects!$G$7:$G$14="Yes")*(26=Projects!$C$7:$C$14+Projects!$D$7:$D$14-1)*Projects!$B$7:$B$14*Assumptions!$B$10*0.05)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$7:$G$14="Yes")*(26&gt;=Projects!$C$7:$C$14)*(26&lt;Projects!$C$7:$C$14+Projects!$D$7:$D$14)*Projects!$B$7:$B$14*Assumptions!$B$12/Projects!$D$7:$D$14*0.95)+SUMPRODUCT((Projects!$G$7:$G$14="Yes")*(26=Projects!$C$7:$C$14+Projects!$D$7:$D$14-1)*Projects!$B$7:$B$14*Assumptions!$B$12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,Actuals!AE8)</f>
        <v>280979.216580942</v>
      </c>
      <c r="AE10" s="14" t="n">
        <f aca="false">IF(ISBLANK(Actuals!AF8),0+SUMPRODUCT((Projects!$G$7:$G$14="Yes")*(27&gt;=Projects!$C$7:$C$14)*(27&lt;Projects!$C$7:$C$14+Projects!$D$7:$D$14)*Projects!$B$7:$B$14*Assumptions!$B$10/Projects!$D$7:$D$14*0.95)+SUMPRODUCT((Projects!$G$7:$G$14="Yes")*(27=Projects!$C$7:$C$14+Projects!$D$7:$D$14-1)*Projects!$B$7:$B$14*Assumptions!$B$10*0.05)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$7:$G$14="Yes")*(27&gt;=Projects!$C$7:$C$14)*(27&lt;Projects!$C$7:$C$14+Projects!$D$7:$D$14)*Projects!$B$7:$B$14*Assumptions!$B$12/Projects!$D$7:$D$14*0.95)+SUMPRODUCT((Projects!$G$7:$G$14="Yes")*(27=Projects!$C$7:$C$14+Projects!$D$7:$D$14-1)*Projects!$B$7:$B$14*Assumptions!$B$12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,Actuals!AF8)</f>
        <v>371070.627014875</v>
      </c>
      <c r="AF10" s="14" t="n">
        <f aca="false">IF(ISBLANK(Actuals!AG8),0+SUMPRODUCT((Projects!$G$7:$G$14="Yes")*(28&gt;=Projects!$C$7:$C$14)*(28&lt;Projects!$C$7:$C$14+Projects!$D$7:$D$14)*Projects!$B$7:$B$14*Assumptions!$B$10/Projects!$D$7:$D$14*0.95)+SUMPRODUCT((Projects!$G$7:$G$14="Yes")*(28=Projects!$C$7:$C$14+Projects!$D$7:$D$14-1)*Projects!$B$7:$B$14*Assumptions!$B$10*0.05)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$7:$G$14="Yes")*(28&gt;=Projects!$C$7:$C$14)*(28&lt;Projects!$C$7:$C$14+Projects!$D$7:$D$14)*Projects!$B$7:$B$14*Assumptions!$B$12/Projects!$D$7:$D$14*0.95)+SUMPRODUCT((Projects!$G$7:$G$14="Yes")*(28=Projects!$C$7:$C$14+Projects!$D$7:$D$14-1)*Projects!$B$7:$B$14*Assumptions!$B$12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,Actuals!AG8)</f>
        <v>371070.627014875</v>
      </c>
      <c r="AG10" s="14" t="n">
        <f aca="false">IF(ISBLANK(Actuals!AH8),0+SUMPRODUCT((Projects!$G$7:$G$14="Yes")*(29&gt;=Projects!$C$7:$C$14)*(29&lt;Projects!$C$7:$C$14+Projects!$D$7:$D$14)*Projects!$B$7:$B$14*Assumptions!$B$10/Projects!$D$7:$D$14*0.95)+SUMPRODUCT((Projects!$G$7:$G$14="Yes")*(29=Projects!$C$7:$C$14+Projects!$D$7:$D$14-1)*Projects!$B$7:$B$14*Assumptions!$B$10*0.05)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$7:$G$14="Yes")*(29&gt;=Projects!$C$7:$C$14)*(29&lt;Projects!$C$7:$C$14+Projects!$D$7:$D$14)*Projects!$B$7:$B$14*Assumptions!$B$12/Projects!$D$7:$D$14*0.95)+SUMPRODUCT((Projects!$G$7:$G$14="Yes")*(29=Projects!$C$7:$C$14+Projects!$D$7:$D$14-1)*Projects!$B$7:$B$14*Assumptions!$B$12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,Actuals!AH8)</f>
        <v>444211.424363625</v>
      </c>
      <c r="AH10" s="14" t="n">
        <f aca="false">IF(ISBLANK(Actuals!AI8),0+SUMPRODUCT((Projects!$G$7:$G$14="Yes")*(30&gt;=Projects!$C$7:$C$14)*(30&lt;Projects!$C$7:$C$14+Projects!$D$7:$D$14)*Projects!$B$7:$B$14*Assumptions!$B$10/Projects!$D$7:$D$14*0.95)+SUMPRODUCT((Projects!$G$7:$G$14="Yes")*(30=Projects!$C$7:$C$14+Projects!$D$7:$D$14-1)*Projects!$B$7:$B$14*Assumptions!$B$10*0.05)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$7:$G$14="Yes")*(30&gt;=Projects!$C$7:$C$14)*(30&lt;Projects!$C$7:$C$14+Projects!$D$7:$D$14)*Projects!$B$7:$B$14*Assumptions!$B$12/Projects!$D$7:$D$14*0.95)+SUMPRODUCT((Projects!$G$7:$G$14="Yes")*(30=Projects!$C$7:$C$14+Projects!$D$7:$D$14-1)*Projects!$B$7:$B$14*Assumptions!$B$12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,Actuals!AI8)</f>
        <v>313167.495780448</v>
      </c>
      <c r="AI10" s="14" t="n">
        <f aca="false">IF(ISBLANK(Actuals!AJ8),0+SUMPRODUCT((Projects!$G$7:$G$14="Yes")*(31&gt;=Projects!$C$7:$C$14)*(31&lt;Projects!$C$7:$C$14+Projects!$D$7:$D$14)*Projects!$B$7:$B$14*Assumptions!$B$10/Projects!$D$7:$D$14*0.95)+SUMPRODUCT((Projects!$G$7:$G$14="Yes")*(31=Projects!$C$7:$C$14+Projects!$D$7:$D$14-1)*Projects!$B$7:$B$14*Assumptions!$B$10*0.05)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$7:$G$14="Yes")*(31&gt;=Projects!$C$7:$C$14)*(31&lt;Projects!$C$7:$C$14+Projects!$D$7:$D$14)*Projects!$B$7:$B$14*Assumptions!$B$12/Projects!$D$7:$D$14*0.95)+SUMPRODUCT((Projects!$G$7:$G$14="Yes")*(31=Projects!$C$7:$C$14+Projects!$D$7:$D$14-1)*Projects!$B$7:$B$14*Assumptions!$B$12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,Actuals!AJ8)</f>
        <v>313167.495780448</v>
      </c>
      <c r="AJ10" s="14" t="n">
        <f aca="false">IF(ISBLANK(Actuals!AK8),0+SUMPRODUCT((Projects!$G$7:$G$14="Yes")*(32&gt;=Projects!$C$7:$C$14)*(32&lt;Projects!$C$7:$C$14+Projects!$D$7:$D$14)*Projects!$B$7:$B$14*Assumptions!$B$10/Projects!$D$7:$D$14*0.95)+SUMPRODUCT((Projects!$G$7:$G$14="Yes")*(32=Projects!$C$7:$C$14+Projects!$D$7:$D$14-1)*Projects!$B$7:$B$14*Assumptions!$B$10*0.05)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$7:$G$14="Yes")*(32&gt;=Projects!$C$7:$C$14)*(32&lt;Projects!$C$7:$C$14+Projects!$D$7:$D$14)*Projects!$B$7:$B$14*Assumptions!$B$12/Projects!$D$7:$D$14*0.95)+SUMPRODUCT((Projects!$G$7:$G$14="Yes")*(32=Projects!$C$7:$C$14+Projects!$D$7:$D$14-1)*Projects!$B$7:$B$14*Assumptions!$B$12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,Actuals!AK8)</f>
        <v>313167.495780448</v>
      </c>
      <c r="AK10" s="14" t="n">
        <f aca="false">IF(ISBLANK(Actuals!AL8),0+SUMPRODUCT((Projects!$G$7:$G$14="Yes")*(33&gt;=Projects!$C$7:$C$14)*(33&lt;Projects!$C$7:$C$14+Projects!$D$7:$D$14)*Projects!$B$7:$B$14*Assumptions!$B$10/Projects!$D$7:$D$14*0.95)+SUMPRODUCT((Projects!$G$7:$G$14="Yes")*(33=Projects!$C$7:$C$14+Projects!$D$7:$D$14-1)*Projects!$B$7:$B$14*Assumptions!$B$10*0.05)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$7:$G$14="Yes")*(33&gt;=Projects!$C$7:$C$14)*(33&lt;Projects!$C$7:$C$14+Projects!$D$7:$D$14)*Projects!$B$7:$B$14*Assumptions!$B$12/Projects!$D$7:$D$14*0.95)+SUMPRODUCT((Projects!$G$7:$G$14="Yes")*(33=Projects!$C$7:$C$14+Projects!$D$7:$D$14-1)*Projects!$B$7:$B$14*Assumptions!$B$12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,Actuals!AL8)</f>
        <v>313167.495780448</v>
      </c>
      <c r="AL10" s="14" t="n">
        <f aca="false">IF(ISBLANK(Actuals!AM8),0+SUMPRODUCT((Projects!$G$7:$G$14="Yes")*(34&gt;=Projects!$C$7:$C$14)*(34&lt;Projects!$C$7:$C$14+Projects!$D$7:$D$14)*Projects!$B$7:$B$14*Assumptions!$B$10/Projects!$D$7:$D$14*0.95)+SUMPRODUCT((Projects!$G$7:$G$14="Yes")*(34=Projects!$C$7:$C$14+Projects!$D$7:$D$14-1)*Projects!$B$7:$B$14*Assumptions!$B$10*0.05)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$7:$G$14="Yes")*(34&gt;=Projects!$C$7:$C$14)*(34&lt;Projects!$C$7:$C$14+Projects!$D$7:$D$14)*Projects!$B$7:$B$14*Assumptions!$B$12/Projects!$D$7:$D$14*0.95)+SUMPRODUCT((Projects!$G$7:$G$14="Yes")*(34=Projects!$C$7:$C$14+Projects!$D$7:$D$14-1)*Projects!$B$7:$B$14*Assumptions!$B$12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,Actuals!AM8)</f>
        <v>509686.521588498</v>
      </c>
      <c r="AM10" s="14" t="n">
        <f aca="false">IF(ISBLANK(Actuals!AN8),0+SUMPRODUCT((Projects!$G$7:$G$14="Yes")*(35&gt;=Projects!$C$7:$C$14)*(35&lt;Projects!$C$7:$C$14+Projects!$D$7:$D$14)*Projects!$B$7:$B$14*Assumptions!$B$10/Projects!$D$7:$D$14*0.95)+SUMPRODUCT((Projects!$G$7:$G$14="Yes")*(35=Projects!$C$7:$C$14+Projects!$D$7:$D$14-1)*Projects!$B$7:$B$14*Assumptions!$B$10*0.05)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$7:$G$14="Yes")*(35&gt;=Projects!$C$7:$C$14)*(35&lt;Projects!$C$7:$C$14+Projects!$D$7:$D$14)*Projects!$B$7:$B$14*Assumptions!$B$12/Projects!$D$7:$D$14*0.95)+SUMPRODUCT((Projects!$G$7:$G$14="Yes")*(35=Projects!$C$7:$C$14+Projects!$D$7:$D$14-1)*Projects!$B$7:$B$14*Assumptions!$B$12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,Actuals!AN8)</f>
        <v>188705.446102017</v>
      </c>
      <c r="AN10" s="14" t="n">
        <f aca="false">IF(ISBLANK(Actuals!AO8),0+SUMPRODUCT((Projects!$G$7:$G$14="Yes")*(36&gt;=Projects!$C$7:$C$14)*(36&lt;Projects!$C$7:$C$14+Projects!$D$7:$D$14)*Projects!$B$7:$B$14*Assumptions!$B$10/Projects!$D$7:$D$14*0.95)+SUMPRODUCT((Projects!$G$7:$G$14="Yes")*(36=Projects!$C$7:$C$14+Projects!$D$7:$D$14-1)*Projects!$B$7:$B$14*Assumptions!$B$10*0.05)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$7:$G$14="Yes")*(36&gt;=Projects!$C$7:$C$14)*(36&lt;Projects!$C$7:$C$14+Projects!$D$7:$D$14)*Projects!$B$7:$B$14*Assumptions!$B$12/Projects!$D$7:$D$14*0.95)+SUMPRODUCT((Projects!$G$7:$G$14="Yes")*(36=Projects!$C$7:$C$14+Projects!$D$7:$D$14-1)*Projects!$B$7:$B$14*Assumptions!$B$12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,Actuals!AO8)</f>
        <v>188705.446102017</v>
      </c>
      <c r="AO10" s="14" t="n">
        <f aca="false">IF(ISBLANK(Actuals!AP8),0+SUMPRODUCT((Projects!$G$7:$G$14="Yes")*(37&gt;=Projects!$C$7:$C$14)*(37&lt;Projects!$C$7:$C$14+Projects!$D$7:$D$14)*Projects!$B$7:$B$14*Assumptions!$B$10/Projects!$D$7:$D$14*0.95)+SUMPRODUCT((Projects!$G$7:$G$14="Yes")*(37=Projects!$C$7:$C$14+Projects!$D$7:$D$14-1)*Projects!$B$7:$B$14*Assumptions!$B$10*0.05)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$7:$G$14="Yes")*(37&gt;=Projects!$C$7:$C$14)*(37&lt;Projects!$C$7:$C$14+Projects!$D$7:$D$14)*Projects!$B$7:$B$14*Assumptions!$B$12/Projects!$D$7:$D$14*0.95)+SUMPRODUCT((Projects!$G$7:$G$14="Yes")*(37=Projects!$C$7:$C$14+Projects!$D$7:$D$14-1)*Projects!$B$7:$B$14*Assumptions!$B$12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,Actuals!AP8)</f>
        <v>188705.446102017</v>
      </c>
      <c r="AP10" s="14" t="n">
        <f aca="false">IF(ISBLANK(Actuals!AQ8),0+SUMPRODUCT((Projects!$G$7:$G$14="Yes")*(38&gt;=Projects!$C$7:$C$14)*(38&lt;Projects!$C$7:$C$14+Projects!$D$7:$D$14)*Projects!$B$7:$B$14*Assumptions!$B$10/Projects!$D$7:$D$14*0.95)+SUMPRODUCT((Projects!$G$7:$G$14="Yes")*(38=Projects!$C$7:$C$14+Projects!$D$7:$D$14-1)*Projects!$B$7:$B$14*Assumptions!$B$10*0.05)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$7:$G$14="Yes")*(38&gt;=Projects!$C$7:$C$14)*(38&lt;Projects!$C$7:$C$14+Projects!$D$7:$D$14)*Projects!$B$7:$B$14*Assumptions!$B$12/Projects!$D$7:$D$14*0.95)+SUMPRODUCT((Projects!$G$7:$G$14="Yes")*(38=Projects!$C$7:$C$14+Projects!$D$7:$D$14-1)*Projects!$B$7:$B$14*Assumptions!$B$12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,Actuals!AQ8)</f>
        <v>188705.446102017</v>
      </c>
      <c r="AQ10" s="14" t="n">
        <f aca="false">IF(ISBLANK(Actuals!AR8),0+SUMPRODUCT((Projects!$G$7:$G$14="Yes")*(39&gt;=Projects!$C$7:$C$14)*(39&lt;Projects!$C$7:$C$14+Projects!$D$7:$D$14)*Projects!$B$7:$B$14*Assumptions!$B$10/Projects!$D$7:$D$14*0.95)+SUMPRODUCT((Projects!$G$7:$G$14="Yes")*(39=Projects!$C$7:$C$14+Projects!$D$7:$D$14-1)*Projects!$B$7:$B$14*Assumptions!$B$10*0.05)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$7:$G$14="Yes")*(39&gt;=Projects!$C$7:$C$14)*(39&lt;Projects!$C$7:$C$14+Projects!$D$7:$D$14)*Projects!$B$7:$B$14*Assumptions!$B$12/Projects!$D$7:$D$14*0.95)+SUMPRODUCT((Projects!$G$7:$G$14="Yes")*(39=Projects!$C$7:$C$14+Projects!$D$7:$D$14-1)*Projects!$B$7:$B$14*Assumptions!$B$12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,Actuals!AR8)</f>
        <v>188705.446102017</v>
      </c>
      <c r="AR10" s="14" t="n">
        <f aca="false">IF(ISBLANK(Actuals!AS8),0+SUMPRODUCT((Projects!$G$7:$G$14="Yes")*(40&gt;=Projects!$C$7:$C$14)*(40&lt;Projects!$C$7:$C$14+Projects!$D$7:$D$14)*Projects!$B$7:$B$14*Assumptions!$B$10/Projects!$D$7:$D$14*0.95)+SUMPRODUCT((Projects!$G$7:$G$14="Yes")*(40=Projects!$C$7:$C$14+Projects!$D$7:$D$14-1)*Projects!$B$7:$B$14*Assumptions!$B$10*0.05)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$7:$G$14="Yes")*(40&gt;=Projects!$C$7:$C$14)*(40&lt;Projects!$C$7:$C$14+Projects!$D$7:$D$14)*Projects!$B$7:$B$14*Assumptions!$B$12/Projects!$D$7:$D$14*0.95)+SUMPRODUCT((Projects!$G$7:$G$14="Yes")*(40=Projects!$C$7:$C$14+Projects!$D$7:$D$14-1)*Projects!$B$7:$B$14*Assumptions!$B$12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,Actuals!AS8)</f>
        <v>188705.446102017</v>
      </c>
      <c r="AS10" s="14" t="n">
        <f aca="false">IF(ISBLANK(Actuals!AT8),0+SUMPRODUCT((Projects!$G$7:$G$14="Yes")*(41&gt;=Projects!$C$7:$C$14)*(41&lt;Projects!$C$7:$C$14+Projects!$D$7:$D$14)*Projects!$B$7:$B$14*Assumptions!$B$10/Projects!$D$7:$D$14*0.95)+SUMPRODUCT((Projects!$G$7:$G$14="Yes")*(41=Projects!$C$7:$C$14+Projects!$D$7:$D$14-1)*Projects!$B$7:$B$14*Assumptions!$B$10*0.05)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$7:$G$14="Yes")*(41&gt;=Projects!$C$7:$C$14)*(41&lt;Projects!$C$7:$C$14+Projects!$D$7:$D$14)*Projects!$B$7:$B$14*Assumptions!$B$12/Projects!$D$7:$D$14*0.95)+SUMPRODUCT((Projects!$G$7:$G$14="Yes")*(41=Projects!$C$7:$C$14+Projects!$D$7:$D$14-1)*Projects!$B$7:$B$14*Assumptions!$B$12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,Actuals!AT8)</f>
        <v>188705.446102017</v>
      </c>
      <c r="AT10" s="14" t="n">
        <f aca="false">IF(ISBLANK(Actuals!AU8),0+SUMPRODUCT((Projects!$G$7:$G$14="Yes")*(42&gt;=Projects!$C$7:$C$14)*(42&lt;Projects!$C$7:$C$14+Projects!$D$7:$D$14)*Projects!$B$7:$B$14*Assumptions!$B$10/Projects!$D$7:$D$14*0.95)+SUMPRODUCT((Projects!$G$7:$G$14="Yes")*(42=Projects!$C$7:$C$14+Projects!$D$7:$D$14-1)*Projects!$B$7:$B$14*Assumptions!$B$10*0.05)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$7:$G$14="Yes")*(42&gt;=Projects!$C$7:$C$14)*(42&lt;Projects!$C$7:$C$14+Projects!$D$7:$D$14)*Projects!$B$7:$B$14*Assumptions!$B$12/Projects!$D$7:$D$14*0.95)+SUMPRODUCT((Projects!$G$7:$G$14="Yes")*(42=Projects!$C$7:$C$14+Projects!$D$7:$D$14-1)*Projects!$B$7:$B$14*Assumptions!$B$12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,Actuals!AU8)</f>
        <v>344411.818209517</v>
      </c>
      <c r="AU10" s="14" t="n">
        <f aca="false">IF(ISBLANK(Actuals!AV8),0+SUMPRODUCT((Projects!$G$7:$G$14="Yes")*(43&gt;=Projects!$C$7:$C$14)*(43&lt;Projects!$C$7:$C$14+Projects!$D$7:$D$14)*Projects!$B$7:$B$14*Assumptions!$B$10/Projects!$D$7:$D$14*0.95)+SUMPRODUCT((Projects!$G$7:$G$14="Yes")*(43=Projects!$C$7:$C$14+Projects!$D$7:$D$14-1)*Projects!$B$7:$B$14*Assumptions!$B$10*0.05)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$7:$G$14="Yes")*(43&gt;=Projects!$C$7:$C$14)*(43&lt;Projects!$C$7:$C$14+Projects!$D$7:$D$14)*Projects!$B$7:$B$14*Assumptions!$B$12/Projects!$D$7:$D$14*0.95)+SUMPRODUCT((Projects!$G$7:$G$14="Yes")*(43=Projects!$C$7:$C$14+Projects!$D$7:$D$14-1)*Projects!$B$7:$B$14*Assumptions!$B$12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,Actuals!AV8)</f>
        <v>90091.4104339333</v>
      </c>
      <c r="AV10" s="14" t="n">
        <f aca="false">IF(ISBLANK(Actuals!AW8),0+SUMPRODUCT((Projects!$G$7:$G$14="Yes")*(44&gt;=Projects!$C$7:$C$14)*(44&lt;Projects!$C$7:$C$14+Projects!$D$7:$D$14)*Projects!$B$7:$B$14*Assumptions!$B$10/Projects!$D$7:$D$14*0.95)+SUMPRODUCT((Projects!$G$7:$G$14="Yes")*(44=Projects!$C$7:$C$14+Projects!$D$7:$D$14-1)*Projects!$B$7:$B$14*Assumptions!$B$10*0.05)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$7:$G$14="Yes")*(44&gt;=Projects!$C$7:$C$14)*(44&lt;Projects!$C$7:$C$14+Projects!$D$7:$D$14)*Projects!$B$7:$B$14*Assumptions!$B$12/Projects!$D$7:$D$14*0.95)+SUMPRODUCT((Projects!$G$7:$G$14="Yes")*(44=Projects!$C$7:$C$14+Projects!$D$7:$D$14-1)*Projects!$B$7:$B$14*Assumptions!$B$12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,Actuals!AW8)</f>
        <v>90091.4104339333</v>
      </c>
      <c r="AW10" s="14" t="n">
        <f aca="false">IF(ISBLANK(Actuals!AX8),0+SUMPRODUCT((Projects!$G$7:$G$14="Yes")*(45&gt;=Projects!$C$7:$C$14)*(45&lt;Projects!$C$7:$C$14+Projects!$D$7:$D$14)*Projects!$B$7:$B$14*Assumptions!$B$10/Projects!$D$7:$D$14*0.95)+SUMPRODUCT((Projects!$G$7:$G$14="Yes")*(45=Projects!$C$7:$C$14+Projects!$D$7:$D$14-1)*Projects!$B$7:$B$14*Assumptions!$B$10*0.05)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$7:$G$14="Yes")*(45&gt;=Projects!$C$7:$C$14)*(45&lt;Projects!$C$7:$C$14+Projects!$D$7:$D$14)*Projects!$B$7:$B$14*Assumptions!$B$12/Projects!$D$7:$D$14*0.95)+SUMPRODUCT((Projects!$G$7:$G$14="Yes")*(45=Projects!$C$7:$C$14+Projects!$D$7:$D$14-1)*Projects!$B$7:$B$14*Assumptions!$B$12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,Actuals!AX8)</f>
        <v>90091.4104339333</v>
      </c>
      <c r="AX10" s="14" t="n">
        <f aca="false">IF(ISBLANK(Actuals!AY8),0+SUMPRODUCT((Projects!$G$7:$G$14="Yes")*(46&gt;=Projects!$C$7:$C$14)*(46&lt;Projects!$C$7:$C$14+Projects!$D$7:$D$14)*Projects!$B$7:$B$14*Assumptions!$B$10/Projects!$D$7:$D$14*0.95)+SUMPRODUCT((Projects!$G$7:$G$14="Yes")*(46=Projects!$C$7:$C$14+Projects!$D$7:$D$14-1)*Projects!$B$7:$B$14*Assumptions!$B$10*0.05)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$7:$G$14="Yes")*(46&gt;=Projects!$C$7:$C$14)*(46&lt;Projects!$C$7:$C$14+Projects!$D$7:$D$14)*Projects!$B$7:$B$14*Assumptions!$B$12/Projects!$D$7:$D$14*0.95)+SUMPRODUCT((Projects!$G$7:$G$14="Yes")*(46=Projects!$C$7:$C$14+Projects!$D$7:$D$14-1)*Projects!$B$7:$B$14*Assumptions!$B$12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,Actuals!AY8)</f>
        <v>90091.4104339333</v>
      </c>
      <c r="AY10" s="14" t="n">
        <f aca="false">IF(ISBLANK(Actuals!AZ8),0+SUMPRODUCT((Projects!$G$7:$G$14="Yes")*(47&gt;=Projects!$C$7:$C$14)*(47&lt;Projects!$C$7:$C$14+Projects!$D$7:$D$14)*Projects!$B$7:$B$14*Assumptions!$B$10/Projects!$D$7:$D$14*0.95)+SUMPRODUCT((Projects!$G$7:$G$14="Yes")*(47=Projects!$C$7:$C$14+Projects!$D$7:$D$14-1)*Projects!$B$7:$B$14*Assumptions!$B$10*0.05)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$7:$G$14="Yes")*(47&gt;=Projects!$C$7:$C$14)*(47&lt;Projects!$C$7:$C$14+Projects!$D$7:$D$14)*Projects!$B$7:$B$14*Assumptions!$B$12/Projects!$D$7:$D$14*0.95)+SUMPRODUCT((Projects!$G$7:$G$14="Yes")*(47=Projects!$C$7:$C$14+Projects!$D$7:$D$14-1)*Projects!$B$7:$B$14*Assumptions!$B$12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,Actuals!AZ8)</f>
        <v>90091.4104339333</v>
      </c>
      <c r="AZ10" s="14" t="n">
        <f aca="false">IF(ISBLANK(Actuals!BA8),0+SUMPRODUCT((Projects!$G$7:$G$14="Yes")*(48&gt;=Projects!$C$7:$C$14)*(48&lt;Projects!$C$7:$C$14+Projects!$D$7:$D$14)*Projects!$B$7:$B$14*Assumptions!$B$10/Projects!$D$7:$D$14*0.95)+SUMPRODUCT((Projects!$G$7:$G$14="Yes")*(48=Projects!$C$7:$C$14+Projects!$D$7:$D$14-1)*Projects!$B$7:$B$14*Assumptions!$B$10*0.05)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$7:$G$14="Yes")*(48&gt;=Projects!$C$7:$C$14)*(48&lt;Projects!$C$7:$C$14+Projects!$D$7:$D$14)*Projects!$B$7:$B$14*Assumptions!$B$12/Projects!$D$7:$D$14*0.95)+SUMPRODUCT((Projects!$G$7:$G$14="Yes")*(48=Projects!$C$7:$C$14+Projects!$D$7:$D$14-1)*Projects!$B$7:$B$14*Assumptions!$B$12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,Actuals!BA8)</f>
        <v>90091.4104339333</v>
      </c>
      <c r="BA10" s="14" t="n">
        <f aca="false">IF(ISBLANK(Actuals!BB8),0+SUMPRODUCT((Projects!$G$7:$G$14="Yes")*(49&gt;=Projects!$C$7:$C$14)*(49&lt;Projects!$C$7:$C$14+Projects!$D$7:$D$14)*Projects!$B$7:$B$14*Assumptions!$B$10/Projects!$D$7:$D$14*0.95)+SUMPRODUCT((Projects!$G$7:$G$14="Yes")*(49=Projects!$C$7:$C$14+Projects!$D$7:$D$14-1)*Projects!$B$7:$B$14*Assumptions!$B$10*0.05)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$7:$G$14="Yes")*(49&gt;=Projects!$C$7:$C$14)*(49&lt;Projects!$C$7:$C$14+Projects!$D$7:$D$14)*Projects!$B$7:$B$14*Assumptions!$B$12/Projects!$D$7:$D$14*0.95)+SUMPRODUCT((Projects!$G$7:$G$14="Yes")*(49=Projects!$C$7:$C$14+Projects!$D$7:$D$14-1)*Projects!$B$7:$B$14*Assumptions!$B$12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,Actuals!BB8)</f>
        <v>90091.4104339333</v>
      </c>
      <c r="BB10" s="14" t="n">
        <f aca="false">IF(ISBLANK(Actuals!BC8),0+SUMPRODUCT((Projects!$G$7:$G$14="Yes")*(50&gt;=Projects!$C$7:$C$14)*(50&lt;Projects!$C$7:$C$14+Projects!$D$7:$D$14)*Projects!$B$7:$B$14*Assumptions!$B$10/Projects!$D$7:$D$14*0.95)+SUMPRODUCT((Projects!$G$7:$G$14="Yes")*(50=Projects!$C$7:$C$14+Projects!$D$7:$D$14-1)*Projects!$B$7:$B$14*Assumptions!$B$10*0.05)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$7:$G$14="Yes")*(50&gt;=Projects!$C$7:$C$14)*(50&lt;Projects!$C$7:$C$14+Projects!$D$7:$D$14)*Projects!$B$7:$B$14*Assumptions!$B$12/Projects!$D$7:$D$14*0.95)+SUMPRODUCT((Projects!$G$7:$G$14="Yes")*(50=Projects!$C$7:$C$14+Projects!$D$7:$D$14-1)*Projects!$B$7:$B$14*Assumptions!$B$12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,Actuals!BC8)</f>
        <v>90091.4104339333</v>
      </c>
      <c r="BC10" s="14" t="n">
        <f aca="false">IF(ISBLANK(Actuals!BD8),0+SUMPRODUCT((Projects!$G$7:$G$14="Yes")*(51&gt;=Projects!$C$7:$C$14)*(51&lt;Projects!$C$7:$C$14+Projects!$D$7:$D$14)*Projects!$B$7:$B$14*Assumptions!$B$10/Projects!$D$7:$D$14*0.95)+SUMPRODUCT((Projects!$G$7:$G$14="Yes")*(51=Projects!$C$7:$C$14+Projects!$D$7:$D$14-1)*Projects!$B$7:$B$14*Assumptions!$B$10*0.05)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$7:$G$14="Yes")*(51&gt;=Projects!$C$7:$C$14)*(51&lt;Projects!$C$7:$C$14+Projects!$D$7:$D$14)*Projects!$B$7:$B$14*Assumptions!$B$12/Projects!$D$7:$D$14*0.95)+SUMPRODUCT((Projects!$G$7:$G$14="Yes")*(51=Projects!$C$7:$C$14+Projects!$D$7:$D$14-1)*Projects!$B$7:$B$14*Assumptions!$B$12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,Actuals!BD8)</f>
        <v>90091.4104339333</v>
      </c>
      <c r="BD10" s="14" t="n">
        <f aca="false">IF(ISBLANK(Actuals!BE8),0+SUMPRODUCT((Projects!$G$7:$G$14="Yes")*(52&gt;=Projects!$C$7:$C$14)*(52&lt;Projects!$C$7:$C$14+Projects!$D$7:$D$14)*Projects!$B$7:$B$14*Assumptions!$B$10/Projects!$D$7:$D$14*0.95)+SUMPRODUCT((Projects!$G$7:$G$14="Yes")*(52=Projects!$C$7:$C$14+Projects!$D$7:$D$14-1)*Projects!$B$7:$B$14*Assumptions!$B$10*0.05)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$7:$G$14="Yes")*(52&gt;=Projects!$C$7:$C$14)*(52&lt;Projects!$C$7:$C$14+Projects!$D$7:$D$14)*Projects!$B$7:$B$14*Assumptions!$B$12/Projects!$D$7:$D$14*0.95)+SUMPRODUCT((Projects!$G$7:$G$14="Yes")*(52=Projects!$C$7:$C$14+Projects!$D$7:$D$14-1)*Projects!$B$7:$B$14*Assumptions!$B$12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,Actuals!BE8)</f>
        <v>90091.4104339333</v>
      </c>
      <c r="BE10" s="14" t="n">
        <f aca="false">IF(ISBLANK(Actuals!BF8),0+SUMPRODUCT((Projects!$G$7:$G$14="Yes")*(53&gt;=Projects!$C$7:$C$14)*(53&lt;Projects!$C$7:$C$14+Projects!$D$7:$D$14)*Projects!$B$7:$B$14*Assumptions!$B$10/Projects!$D$7:$D$14*0.95)+SUMPRODUCT((Projects!$G$7:$G$14="Yes")*(53=Projects!$C$7:$C$14+Projects!$D$7:$D$14-1)*Projects!$B$7:$B$14*Assumptions!$B$10*0.05)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$7:$G$14="Yes")*(53&gt;=Projects!$C$7:$C$14)*(53&lt;Projects!$C$7:$C$14+Projects!$D$7:$D$14)*Projects!$B$7:$B$14*Assumptions!$B$12/Projects!$D$7:$D$14*0.95)+SUMPRODUCT((Projects!$G$7:$G$14="Yes")*(53=Projects!$C$7:$C$14+Projects!$D$7:$D$14-1)*Projects!$B$7:$B$14*Assumptions!$B$12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,Actuals!BF8)</f>
        <v>90091.4104339333</v>
      </c>
      <c r="BF10" s="14" t="n">
        <f aca="false">IF(ISBLANK(Actuals!BG8),0+SUMPRODUCT((Projects!$G$7:$G$14="Yes")*(54&gt;=Projects!$C$7:$C$14)*(54&lt;Projects!$C$7:$C$14+Projects!$D$7:$D$14)*Projects!$B$7:$B$14*Assumptions!$B$10/Projects!$D$7:$D$14*0.95)+SUMPRODUCT((Projects!$G$7:$G$14="Yes")*(54=Projects!$C$7:$C$14+Projects!$D$7:$D$14-1)*Projects!$B$7:$B$14*Assumptions!$B$10*0.05)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$7:$G$14="Yes")*(54&gt;=Projects!$C$7:$C$14)*(54&lt;Projects!$C$7:$C$14+Projects!$D$7:$D$14)*Projects!$B$7:$B$14*Assumptions!$B$12/Projects!$D$7:$D$14*0.95)+SUMPRODUCT((Projects!$G$7:$G$14="Yes")*(54=Projects!$C$7:$C$14+Projects!$D$7:$D$14-1)*Projects!$B$7:$B$14*Assumptions!$B$12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,Actuals!BG8)</f>
        <v>90091.4104339333</v>
      </c>
      <c r="BG10" s="14" t="n">
        <f aca="false">IF(ISBLANK(Actuals!BH8),0+SUMPRODUCT((Projects!$G$7:$G$14="Yes")*(55&gt;=Projects!$C$7:$C$14)*(55&lt;Projects!$C$7:$C$14+Projects!$D$7:$D$14)*Projects!$B$7:$B$14*Assumptions!$B$10/Projects!$D$7:$D$14*0.95)+SUMPRODUCT((Projects!$G$7:$G$14="Yes")*(55=Projects!$C$7:$C$14+Projects!$D$7:$D$14-1)*Projects!$B$7:$B$14*Assumptions!$B$10*0.05)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$7:$G$14="Yes")*(55&gt;=Projects!$C$7:$C$14)*(55&lt;Projects!$C$7:$C$14+Projects!$D$7:$D$14)*Projects!$B$7:$B$14*Assumptions!$B$12/Projects!$D$7:$D$14*0.95)+SUMPRODUCT((Projects!$G$7:$G$14="Yes")*(55=Projects!$C$7:$C$14+Projects!$D$7:$D$14-1)*Projects!$B$7:$B$14*Assumptions!$B$12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,Actuals!BH8)</f>
        <v>90091.4104339333</v>
      </c>
      <c r="BH10" s="14" t="n">
        <f aca="false">IF(ISBLANK(Actuals!BI8),0+SUMPRODUCT((Projects!$G$7:$G$14="Yes")*(56&gt;=Projects!$C$7:$C$14)*(56&lt;Projects!$C$7:$C$14+Projects!$D$7:$D$14)*Projects!$B$7:$B$14*Assumptions!$B$10/Projects!$D$7:$D$14*0.95)+SUMPRODUCT((Projects!$G$7:$G$14="Yes")*(56=Projects!$C$7:$C$14+Projects!$D$7:$D$14-1)*Projects!$B$7:$B$14*Assumptions!$B$10*0.05)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$7:$G$14="Yes")*(56&gt;=Projects!$C$7:$C$14)*(56&lt;Projects!$C$7:$C$14+Projects!$D$7:$D$14)*Projects!$B$7:$B$14*Assumptions!$B$12/Projects!$D$7:$D$14*0.95)+SUMPRODUCT((Projects!$G$7:$G$14="Yes")*(56=Projects!$C$7:$C$14+Projects!$D$7:$D$14-1)*Projects!$B$7:$B$14*Assumptions!$B$12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,Actuals!BI8)</f>
        <v>232341.005855933</v>
      </c>
      <c r="BI10" s="14" t="n">
        <f aca="false">IF(ISBLANK(Actuals!BJ8),0+SUMPRODUCT((Projects!$G$7:$G$14="Yes")*(57&gt;=Projects!$C$7:$C$14)*(57&lt;Projects!$C$7:$C$14+Projects!$D$7:$D$14)*Projects!$B$7:$B$14*Assumptions!$B$10/Projects!$D$7:$D$14*0.95)+SUMPRODUCT((Projects!$G$7:$G$14="Yes")*(57=Projects!$C$7:$C$14+Projects!$D$7:$D$14-1)*Projects!$B$7:$B$14*Assumptions!$B$10*0.05)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$7:$G$14="Yes")*(57&gt;=Projects!$C$7:$C$14)*(57&lt;Projects!$C$7:$C$14+Projects!$D$7:$D$14)*Projects!$B$7:$B$14*Assumptions!$B$12/Projects!$D$7:$D$14*0.95)+SUMPRODUCT((Projects!$G$7:$G$14="Yes")*(57=Projects!$C$7:$C$14+Projects!$D$7:$D$14-1)*Projects!$B$7:$B$14*Assumptions!$B$12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,Actuals!BJ8)</f>
        <v>0</v>
      </c>
      <c r="BJ10" s="14" t="n">
        <f aca="false">IF(ISBLANK(Actuals!BK8),0+SUMPRODUCT((Projects!$G$7:$G$14="Yes")*(58&gt;=Projects!$C$7:$C$14)*(58&lt;Projects!$C$7:$C$14+Projects!$D$7:$D$14)*Projects!$B$7:$B$14*Assumptions!$B$10/Projects!$D$7:$D$14*0.95)+SUMPRODUCT((Projects!$G$7:$G$14="Yes")*(58=Projects!$C$7:$C$14+Projects!$D$7:$D$14-1)*Projects!$B$7:$B$14*Assumptions!$B$10*0.05)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$7:$G$14="Yes")*(58&gt;=Projects!$C$7:$C$14)*(58&lt;Projects!$C$7:$C$14+Projects!$D$7:$D$14)*Projects!$B$7:$B$14*Assumptions!$B$12/Projects!$D$7:$D$14*0.95)+SUMPRODUCT((Projects!$G$7:$G$14="Yes")*(58=Projects!$C$7:$C$14+Projects!$D$7:$D$14-1)*Projects!$B$7:$B$14*Assumptions!$B$12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,Actuals!BK8)</f>
        <v>0</v>
      </c>
      <c r="BK10" s="14" t="n">
        <f aca="false">IF(ISBLANK(Actuals!BL8),0+SUMPRODUCT((Projects!$G$7:$G$14="Yes")*(59&gt;=Projects!$C$7:$C$14)*(59&lt;Projects!$C$7:$C$14+Projects!$D$7:$D$14)*Projects!$B$7:$B$14*Assumptions!$B$10/Projects!$D$7:$D$14*0.95)+SUMPRODUCT((Projects!$G$7:$G$14="Yes")*(59=Projects!$C$7:$C$14+Projects!$D$7:$D$14-1)*Projects!$B$7:$B$14*Assumptions!$B$10*0.05)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$7:$G$14="Yes")*(59&gt;=Projects!$C$7:$C$14)*(59&lt;Projects!$C$7:$C$14+Projects!$D$7:$D$14)*Projects!$B$7:$B$14*Assumptions!$B$12/Projects!$D$7:$D$14*0.95)+SUMPRODUCT((Projects!$G$7:$G$14="Yes")*(59=Projects!$C$7:$C$14+Projects!$D$7:$D$14-1)*Projects!$B$7:$B$14*Assumptions!$B$12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,Actuals!BL8)</f>
        <v>0</v>
      </c>
      <c r="BL10" s="14" t="n">
        <f aca="false">IF(ISBLANK(Actuals!BM8),0+SUMPRODUCT((Projects!$G$7:$G$14="Yes")*(60&gt;=Projects!$C$7:$C$14)*(60&lt;Projects!$C$7:$C$14+Projects!$D$7:$D$14)*Projects!$B$7:$B$14*Assumptions!$B$10/Projects!$D$7:$D$14*0.95)+SUMPRODUCT((Projects!$G$7:$G$14="Yes")*(60=Projects!$C$7:$C$14+Projects!$D$7:$D$14-1)*Projects!$B$7:$B$14*Assumptions!$B$10*0.05)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$7:$G$14="Yes")*(60&gt;=Projects!$C$7:$C$14)*(60&lt;Projects!$C$7:$C$14+Projects!$D$7:$D$14)*Projects!$B$7:$B$14*Assumptions!$B$12/Projects!$D$7:$D$14*0.95)+SUMPRODUCT((Projects!$G$7:$G$14="Yes")*(60=Projects!$C$7:$C$14+Projects!$D$7:$D$14-1)*Projects!$B$7:$B$14*Assumptions!$B$12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,Actuals!BM8)</f>
        <v>0</v>
      </c>
      <c r="BM10" s="14" t="n">
        <f aca="false">IF(ISBLANK(Actuals!BN8),0+SUMPRODUCT((Projects!$G$7:$G$14="Yes")*(61&gt;=Projects!$C$7:$C$14)*(61&lt;Projects!$C$7:$C$14+Projects!$D$7:$D$14)*Projects!$B$7:$B$14*Assumptions!$B$10/Projects!$D$7:$D$14*0.95)+SUMPRODUCT((Projects!$G$7:$G$14="Yes")*(61=Projects!$C$7:$C$14+Projects!$D$7:$D$14-1)*Projects!$B$7:$B$14*Assumptions!$B$10*0.05)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$7:$G$14="Yes")*(61&gt;=Projects!$C$7:$C$14)*(61&lt;Projects!$C$7:$C$14+Projects!$D$7:$D$14)*Projects!$B$7:$B$14*Assumptions!$B$12/Projects!$D$7:$D$14*0.95)+SUMPRODUCT((Projects!$G$7:$G$14="Yes")*(61=Projects!$C$7:$C$14+Projects!$D$7:$D$14-1)*Projects!$B$7:$B$14*Assumptions!$B$12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,Actuals!BN8)</f>
        <v>0</v>
      </c>
      <c r="BN10" s="14" t="n">
        <f aca="false">IF(ISBLANK(Actuals!BO8),0+SUMPRODUCT((Projects!$G$7:$G$14="Yes")*(62&gt;=Projects!$C$7:$C$14)*(62&lt;Projects!$C$7:$C$14+Projects!$D$7:$D$14)*Projects!$B$7:$B$14*Assumptions!$B$10/Projects!$D$7:$D$14*0.95)+SUMPRODUCT((Projects!$G$7:$G$14="Yes")*(62=Projects!$C$7:$C$14+Projects!$D$7:$D$14-1)*Projects!$B$7:$B$14*Assumptions!$B$10*0.05)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$7:$G$14="Yes")*(62&gt;=Projects!$C$7:$C$14)*(62&lt;Projects!$C$7:$C$14+Projects!$D$7:$D$14)*Projects!$B$7:$B$14*Assumptions!$B$12/Projects!$D$7:$D$14*0.95)+SUMPRODUCT((Projects!$G$7:$G$14="Yes")*(62=Projects!$C$7:$C$14+Projects!$D$7:$D$14-1)*Projects!$B$7:$B$14*Assumptions!$B$12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,Actuals!BO8)</f>
        <v>0</v>
      </c>
      <c r="BO10" s="14" t="n">
        <f aca="false">IF(ISBLANK(Actuals!BP8),0+SUMPRODUCT((Projects!$G$7:$G$14="Yes")*(63&gt;=Projects!$C$7:$C$14)*(63&lt;Projects!$C$7:$C$14+Projects!$D$7:$D$14)*Projects!$B$7:$B$14*Assumptions!$B$10/Projects!$D$7:$D$14*0.95)+SUMPRODUCT((Projects!$G$7:$G$14="Yes")*(63=Projects!$C$7:$C$14+Projects!$D$7:$D$14-1)*Projects!$B$7:$B$14*Assumptions!$B$10*0.05)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$7:$G$14="Yes")*(63&gt;=Projects!$C$7:$C$14)*(63&lt;Projects!$C$7:$C$14+Projects!$D$7:$D$14)*Projects!$B$7:$B$14*Assumptions!$B$12/Projects!$D$7:$D$14*0.95)+SUMPRODUCT((Projects!$G$7:$G$14="Yes")*(63=Projects!$C$7:$C$14+Projects!$D$7:$D$14-1)*Projects!$B$7:$B$14*Assumptions!$B$12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,Actuals!BP8)</f>
        <v>0</v>
      </c>
      <c r="BP10" s="14" t="n">
        <f aca="false">IF(ISBLANK(Actuals!BQ8),0+SUMPRODUCT((Projects!$G$7:$G$14="Yes")*(64&gt;=Projects!$C$7:$C$14)*(64&lt;Projects!$C$7:$C$14+Projects!$D$7:$D$14)*Projects!$B$7:$B$14*Assumptions!$B$10/Projects!$D$7:$D$14*0.95)+SUMPRODUCT((Projects!$G$7:$G$14="Yes")*(64=Projects!$C$7:$C$14+Projects!$D$7:$D$14-1)*Projects!$B$7:$B$14*Assumptions!$B$10*0.05)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$7:$G$14="Yes")*(64&gt;=Projects!$C$7:$C$14)*(64&lt;Projects!$C$7:$C$14+Projects!$D$7:$D$14)*Projects!$B$7:$B$14*Assumptions!$B$12/Projects!$D$7:$D$14*0.95)+SUMPRODUCT((Projects!$G$7:$G$14="Yes")*(64=Projects!$C$7:$C$14+Projects!$D$7:$D$14-1)*Projects!$B$7:$B$14*Assumptions!$B$12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,Actuals!BQ8)</f>
        <v>0</v>
      </c>
      <c r="BQ10" s="14" t="n">
        <f aca="false">IF(ISBLANK(Actuals!BR8),0+SUMPRODUCT((Projects!$G$7:$G$14="Yes")*(65&gt;=Projects!$C$7:$C$14)*(65&lt;Projects!$C$7:$C$14+Projects!$D$7:$D$14)*Projects!$B$7:$B$14*Assumptions!$B$10/Projects!$D$7:$D$14*0.95)+SUMPRODUCT((Projects!$G$7:$G$14="Yes")*(65=Projects!$C$7:$C$14+Projects!$D$7:$D$14-1)*Projects!$B$7:$B$14*Assumptions!$B$10*0.05)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$7:$G$14="Yes")*(65&gt;=Projects!$C$7:$C$14)*(65&lt;Projects!$C$7:$C$14+Projects!$D$7:$D$14)*Projects!$B$7:$B$14*Assumptions!$B$12/Projects!$D$7:$D$14*0.95)+SUMPRODUCT((Projects!$G$7:$G$14="Yes")*(65=Projects!$C$7:$C$14+Projects!$D$7:$D$14-1)*Projects!$B$7:$B$14*Assumptions!$B$12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,Actuals!BR8)</f>
        <v>0</v>
      </c>
      <c r="BR10" s="14" t="n">
        <f aca="false">IF(ISBLANK(Actuals!BS8),0+SUMPRODUCT((Projects!$G$7:$G$14="Yes")*(66&gt;=Projects!$C$7:$C$14)*(66&lt;Projects!$C$7:$C$14+Projects!$D$7:$D$14)*Projects!$B$7:$B$14*Assumptions!$B$10/Projects!$D$7:$D$14*0.95)+SUMPRODUCT((Projects!$G$7:$G$14="Yes")*(66=Projects!$C$7:$C$14+Projects!$D$7:$D$14-1)*Projects!$B$7:$B$14*Assumptions!$B$10*0.05)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$7:$G$14="Yes")*(66&gt;=Projects!$C$7:$C$14)*(66&lt;Projects!$C$7:$C$14+Projects!$D$7:$D$14)*Projects!$B$7:$B$14*Assumptions!$B$12/Projects!$D$7:$D$14*0.95)+SUMPRODUCT((Projects!$G$7:$G$14="Yes")*(66=Projects!$C$7:$C$14+Projects!$D$7:$D$14-1)*Projects!$B$7:$B$14*Assumptions!$B$12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,Actuals!BS8)</f>
        <v>0</v>
      </c>
      <c r="BS10" s="14" t="n">
        <f aca="false">IF(ISBLANK(Actuals!BT8),0+SUMPRODUCT((Projects!$G$7:$G$14="Yes")*(67&gt;=Projects!$C$7:$C$14)*(67&lt;Projects!$C$7:$C$14+Projects!$D$7:$D$14)*Projects!$B$7:$B$14*Assumptions!$B$10/Projects!$D$7:$D$14*0.95)+SUMPRODUCT((Projects!$G$7:$G$14="Yes")*(67=Projects!$C$7:$C$14+Projects!$D$7:$D$14-1)*Projects!$B$7:$B$14*Assumptions!$B$10*0.05)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$7:$G$14="Yes")*(67&gt;=Projects!$C$7:$C$14)*(67&lt;Projects!$C$7:$C$14+Projects!$D$7:$D$14)*Projects!$B$7:$B$14*Assumptions!$B$12/Projects!$D$7:$D$14*0.95)+SUMPRODUCT((Projects!$G$7:$G$14="Yes")*(67=Projects!$C$7:$C$14+Projects!$D$7:$D$14-1)*Projects!$B$7:$B$14*Assumptions!$B$12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,Actuals!BT8)</f>
        <v>0</v>
      </c>
      <c r="BT10" s="14" t="n">
        <f aca="false">IF(ISBLANK(Actuals!BU8),0+SUMPRODUCT((Projects!$G$7:$G$14="Yes")*(68&gt;=Projects!$C$7:$C$14)*(68&lt;Projects!$C$7:$C$14+Projects!$D$7:$D$14)*Projects!$B$7:$B$14*Assumptions!$B$10/Projects!$D$7:$D$14*0.95)+SUMPRODUCT((Projects!$G$7:$G$14="Yes")*(68=Projects!$C$7:$C$14+Projects!$D$7:$D$14-1)*Projects!$B$7:$B$14*Assumptions!$B$10*0.05)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$7:$G$14="Yes")*(68&gt;=Projects!$C$7:$C$14)*(68&lt;Projects!$C$7:$C$14+Projects!$D$7:$D$14)*Projects!$B$7:$B$14*Assumptions!$B$12/Projects!$D$7:$D$14*0.95)+SUMPRODUCT((Projects!$G$7:$G$14="Yes")*(68=Projects!$C$7:$C$14+Projects!$D$7:$D$14-1)*Projects!$B$7:$B$14*Assumptions!$B$12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,Actuals!BU8)</f>
        <v>0</v>
      </c>
      <c r="BU10" s="14" t="n">
        <f aca="false">IF(ISBLANK(Actuals!BV8),0+SUMPRODUCT((Projects!$G$7:$G$14="Yes")*(69&gt;=Projects!$C$7:$C$14)*(69&lt;Projects!$C$7:$C$14+Projects!$D$7:$D$14)*Projects!$B$7:$B$14*Assumptions!$B$10/Projects!$D$7:$D$14*0.95)+SUMPRODUCT((Projects!$G$7:$G$14="Yes")*(69=Projects!$C$7:$C$14+Projects!$D$7:$D$14-1)*Projects!$B$7:$B$14*Assumptions!$B$10*0.05)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$7:$G$14="Yes")*(69&gt;=Projects!$C$7:$C$14)*(69&lt;Projects!$C$7:$C$14+Projects!$D$7:$D$14)*Projects!$B$7:$B$14*Assumptions!$B$12/Projects!$D$7:$D$14*0.95)+SUMPRODUCT((Projects!$G$7:$G$14="Yes")*(69=Projects!$C$7:$C$14+Projects!$D$7:$D$14-1)*Projects!$B$7:$B$14*Assumptions!$B$12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,Actuals!BV8)</f>
        <v>0</v>
      </c>
      <c r="BV10" s="14" t="n">
        <f aca="false">IF(ISBLANK(Actuals!BW8),0+SUMPRODUCT((Projects!$G$7:$G$14="Yes")*(70&gt;=Projects!$C$7:$C$14)*(70&lt;Projects!$C$7:$C$14+Projects!$D$7:$D$14)*Projects!$B$7:$B$14*Assumptions!$B$10/Projects!$D$7:$D$14*0.95)+SUMPRODUCT((Projects!$G$7:$G$14="Yes")*(70=Projects!$C$7:$C$14+Projects!$D$7:$D$14-1)*Projects!$B$7:$B$14*Assumptions!$B$10*0.05)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$7:$G$14="Yes")*(70&gt;=Projects!$C$7:$C$14)*(70&lt;Projects!$C$7:$C$14+Projects!$D$7:$D$14)*Projects!$B$7:$B$14*Assumptions!$B$12/Projects!$D$7:$D$14*0.95)+SUMPRODUCT((Projects!$G$7:$G$14="Yes")*(70=Projects!$C$7:$C$14+Projects!$D$7:$D$14-1)*Projects!$B$7:$B$14*Assumptions!$B$12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,Actuals!BW8)</f>
        <v>0</v>
      </c>
      <c r="BW10" s="14" t="n">
        <f aca="false">IF(ISBLANK(Actuals!BX8),0+SUMPRODUCT((Projects!$G$7:$G$14="Yes")*(71&gt;=Projects!$C$7:$C$14)*(71&lt;Projects!$C$7:$C$14+Projects!$D$7:$D$14)*Projects!$B$7:$B$14*Assumptions!$B$10/Projects!$D$7:$D$14*0.95)+SUMPRODUCT((Projects!$G$7:$G$14="Yes")*(71=Projects!$C$7:$C$14+Projects!$D$7:$D$14-1)*Projects!$B$7:$B$14*Assumptions!$B$10*0.05)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$7:$G$14="Yes")*(71&gt;=Projects!$C$7:$C$14)*(71&lt;Projects!$C$7:$C$14+Projects!$D$7:$D$14)*Projects!$B$7:$B$14*Assumptions!$B$12/Projects!$D$7:$D$14*0.95)+SUMPRODUCT((Projects!$G$7:$G$14="Yes")*(71=Projects!$C$7:$C$14+Projects!$D$7:$D$14-1)*Projects!$B$7:$B$14*Assumptions!$B$12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,Actuals!BX8)</f>
        <v>0</v>
      </c>
      <c r="BX10" s="14" t="n">
        <f aca="false">IF(ISBLANK(Actuals!BY8),0+SUMPRODUCT((Projects!$G$7:$G$14="Yes")*(72&gt;=Projects!$C$7:$C$14)*(72&lt;Projects!$C$7:$C$14+Projects!$D$7:$D$14)*Projects!$B$7:$B$14*Assumptions!$B$10/Projects!$D$7:$D$14*0.95)+SUMPRODUCT((Projects!$G$7:$G$14="Yes")*(72=Projects!$C$7:$C$14+Projects!$D$7:$D$14-1)*Projects!$B$7:$B$14*Assumptions!$B$10*0.05)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$7:$G$14="Yes")*(72&gt;=Projects!$C$7:$C$14)*(72&lt;Projects!$C$7:$C$14+Projects!$D$7:$D$14)*Projects!$B$7:$B$14*Assumptions!$B$12/Projects!$D$7:$D$14*0.95)+SUMPRODUCT((Projects!$G$7:$G$14="Yes")*(72=Projects!$C$7:$C$14+Projects!$D$7:$D$14-1)*Projects!$B$7:$B$14*Assumptions!$B$12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,Actuals!BY8)</f>
        <v>0</v>
      </c>
      <c r="BY10" s="14" t="n">
        <f aca="false">IF(ISBLANK(Actuals!BZ8),0+SUMPRODUCT((Projects!$G$7:$G$14="Yes")*(73&gt;=Projects!$C$7:$C$14)*(73&lt;Projects!$C$7:$C$14+Projects!$D$7:$D$14)*Projects!$B$7:$B$14*Assumptions!$B$10/Projects!$D$7:$D$14*0.95)+SUMPRODUCT((Projects!$G$7:$G$14="Yes")*(73=Projects!$C$7:$C$14+Projects!$D$7:$D$14-1)*Projects!$B$7:$B$14*Assumptions!$B$10*0.05)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$7:$G$14="Yes")*(73&gt;=Projects!$C$7:$C$14)*(73&lt;Projects!$C$7:$C$14+Projects!$D$7:$D$14)*Projects!$B$7:$B$14*Assumptions!$B$12/Projects!$D$7:$D$14*0.95)+SUMPRODUCT((Projects!$G$7:$G$14="Yes")*(73=Projects!$C$7:$C$14+Projects!$D$7:$D$14-1)*Projects!$B$7:$B$14*Assumptions!$B$12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,Actuals!BZ8)</f>
        <v>0</v>
      </c>
      <c r="BZ10" s="14" t="n">
        <f aca="false">IF(ISBLANK(Actuals!CA8),0+SUMPRODUCT((Projects!$G$7:$G$14="Yes")*(74&gt;=Projects!$C$7:$C$14)*(74&lt;Projects!$C$7:$C$14+Projects!$D$7:$D$14)*Projects!$B$7:$B$14*Assumptions!$B$10/Projects!$D$7:$D$14*0.95)+SUMPRODUCT((Projects!$G$7:$G$14="Yes")*(74=Projects!$C$7:$C$14+Projects!$D$7:$D$14-1)*Projects!$B$7:$B$14*Assumptions!$B$10*0.05)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$7:$G$14="Yes")*(74&gt;=Projects!$C$7:$C$14)*(74&lt;Projects!$C$7:$C$14+Projects!$D$7:$D$14)*Projects!$B$7:$B$14*Assumptions!$B$12/Projects!$D$7:$D$14*0.95)+SUMPRODUCT((Projects!$G$7:$G$14="Yes")*(74=Projects!$C$7:$C$14+Projects!$D$7:$D$14-1)*Projects!$B$7:$B$14*Assumptions!$B$12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,Actuals!CA8)</f>
        <v>0</v>
      </c>
      <c r="CA10" s="14" t="n">
        <f aca="false">IF(ISBLANK(Actuals!CB8),0+SUMPRODUCT((Projects!$G$7:$G$14="Yes")*(75&gt;=Projects!$C$7:$C$14)*(75&lt;Projects!$C$7:$C$14+Projects!$D$7:$D$14)*Projects!$B$7:$B$14*Assumptions!$B$10/Projects!$D$7:$D$14*0.95)+SUMPRODUCT((Projects!$G$7:$G$14="Yes")*(75=Projects!$C$7:$C$14+Projects!$D$7:$D$14-1)*Projects!$B$7:$B$14*Assumptions!$B$10*0.05)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$7:$G$14="Yes")*(75&gt;=Projects!$C$7:$C$14)*(75&lt;Projects!$C$7:$C$14+Projects!$D$7:$D$14)*Projects!$B$7:$B$14*Assumptions!$B$12/Projects!$D$7:$D$14*0.95)+SUMPRODUCT((Projects!$G$7:$G$14="Yes")*(75=Projects!$C$7:$C$14+Projects!$D$7:$D$14-1)*Projects!$B$7:$B$14*Assumptions!$B$12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,Actuals!CB8)</f>
        <v>0</v>
      </c>
      <c r="CB10" s="14" t="n">
        <f aca="false">IF(ISBLANK(Actuals!CC8),0+SUMPRODUCT((Projects!$G$7:$G$14="Yes")*(76&gt;=Projects!$C$7:$C$14)*(76&lt;Projects!$C$7:$C$14+Projects!$D$7:$D$14)*Projects!$B$7:$B$14*Assumptions!$B$10/Projects!$D$7:$D$14*0.95)+SUMPRODUCT((Projects!$G$7:$G$14="Yes")*(76=Projects!$C$7:$C$14+Projects!$D$7:$D$14-1)*Projects!$B$7:$B$14*Assumptions!$B$10*0.05)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$7:$G$14="Yes")*(76&gt;=Projects!$C$7:$C$14)*(76&lt;Projects!$C$7:$C$14+Projects!$D$7:$D$14)*Projects!$B$7:$B$14*Assumptions!$B$12/Projects!$D$7:$D$14*0.95)+SUMPRODUCT((Projects!$G$7:$G$14="Yes")*(76=Projects!$C$7:$C$14+Projects!$D$7:$D$14-1)*Projects!$B$7:$B$14*Assumptions!$B$12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,Actuals!CC8)</f>
        <v>0</v>
      </c>
      <c r="CC10" s="14" t="n">
        <f aca="false">IF(ISBLANK(Actuals!CD8),0+SUMPRODUCT((Projects!$G$7:$G$14="Yes")*(77&gt;=Projects!$C$7:$C$14)*(77&lt;Projects!$C$7:$C$14+Projects!$D$7:$D$14)*Projects!$B$7:$B$14*Assumptions!$B$10/Projects!$D$7:$D$14*0.95)+SUMPRODUCT((Projects!$G$7:$G$14="Yes")*(77=Projects!$C$7:$C$14+Projects!$D$7:$D$14-1)*Projects!$B$7:$B$14*Assumptions!$B$10*0.05)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$7:$G$14="Yes")*(77&gt;=Projects!$C$7:$C$14)*(77&lt;Projects!$C$7:$C$14+Projects!$D$7:$D$14)*Projects!$B$7:$B$14*Assumptions!$B$12/Projects!$D$7:$D$14*0.95)+SUMPRODUCT((Projects!$G$7:$G$14="Yes")*(77=Projects!$C$7:$C$14+Projects!$D$7:$D$14-1)*Projects!$B$7:$B$14*Assumptions!$B$12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,Actuals!CD8)</f>
        <v>0</v>
      </c>
      <c r="CD10" s="14" t="n">
        <f aca="false">IF(ISBLANK(Actuals!CE8),0+SUMPRODUCT((Projects!$G$7:$G$14="Yes")*(78&gt;=Projects!$C$7:$C$14)*(78&lt;Projects!$C$7:$C$14+Projects!$D$7:$D$14)*Projects!$B$7:$B$14*Assumptions!$B$10/Projects!$D$7:$D$14*0.95)+SUMPRODUCT((Projects!$G$7:$G$14="Yes")*(78=Projects!$C$7:$C$14+Projects!$D$7:$D$14-1)*Projects!$B$7:$B$14*Assumptions!$B$10*0.05)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$7:$G$14="Yes")*(78&gt;=Projects!$C$7:$C$14)*(78&lt;Projects!$C$7:$C$14+Projects!$D$7:$D$14)*Projects!$B$7:$B$14*Assumptions!$B$12/Projects!$D$7:$D$14*0.95)+SUMPRODUCT((Projects!$G$7:$G$14="Yes")*(78=Projects!$C$7:$C$14+Projects!$D$7:$D$14-1)*Projects!$B$7:$B$14*Assumptions!$B$12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,Actuals!CE8)</f>
        <v>0</v>
      </c>
      <c r="CE10" s="14" t="n">
        <f aca="false">IF(ISBLANK(Actuals!CF8),0+SUMPRODUCT((Projects!$G$7:$G$14="Yes")*(79&gt;=Projects!$C$7:$C$14)*(79&lt;Projects!$C$7:$C$14+Projects!$D$7:$D$14)*Projects!$B$7:$B$14*Assumptions!$B$10/Projects!$D$7:$D$14*0.95)+SUMPRODUCT((Projects!$G$7:$G$14="Yes")*(79=Projects!$C$7:$C$14+Projects!$D$7:$D$14-1)*Projects!$B$7:$B$14*Assumptions!$B$10*0.05)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$7:$G$14="Yes")*(79&gt;=Projects!$C$7:$C$14)*(79&lt;Projects!$C$7:$C$14+Projects!$D$7:$D$14)*Projects!$B$7:$B$14*Assumptions!$B$12/Projects!$D$7:$D$14*0.95)+SUMPRODUCT((Projects!$G$7:$G$14="Yes")*(79=Projects!$C$7:$C$14+Projects!$D$7:$D$14-1)*Projects!$B$7:$B$14*Assumptions!$B$12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,Actuals!CF8)</f>
        <v>0</v>
      </c>
      <c r="CF10" s="14" t="n">
        <f aca="false">IF(ISBLANK(Actuals!CG8),0+SUMPRODUCT((Projects!$G$7:$G$14="Yes")*(80&gt;=Projects!$C$7:$C$14)*(80&lt;Projects!$C$7:$C$14+Projects!$D$7:$D$14)*Projects!$B$7:$B$14*Assumptions!$B$10/Projects!$D$7:$D$14*0.95)+SUMPRODUCT((Projects!$G$7:$G$14="Yes")*(80=Projects!$C$7:$C$14+Projects!$D$7:$D$14-1)*Projects!$B$7:$B$14*Assumptions!$B$10*0.05)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$7:$G$14="Yes")*(80&gt;=Projects!$C$7:$C$14)*(80&lt;Projects!$C$7:$C$14+Projects!$D$7:$D$14)*Projects!$B$7:$B$14*Assumptions!$B$12/Projects!$D$7:$D$14*0.95)+SUMPRODUCT((Projects!$G$7:$G$14="Yes")*(80=Projects!$C$7:$C$14+Projects!$D$7:$D$14-1)*Projects!$B$7:$B$14*Assumptions!$B$12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,Actuals!CG8)</f>
        <v>0</v>
      </c>
      <c r="CG10" s="14" t="n">
        <f aca="false">IF(ISBLANK(Actuals!CH8),0+SUMPRODUCT((Projects!$G$7:$G$14="Yes")*(81&gt;=Projects!$C$7:$C$14)*(81&lt;Projects!$C$7:$C$14+Projects!$D$7:$D$14)*Projects!$B$7:$B$14*Assumptions!$B$10/Projects!$D$7:$D$14*0.95)+SUMPRODUCT((Projects!$G$7:$G$14="Yes")*(81=Projects!$C$7:$C$14+Projects!$D$7:$D$14-1)*Projects!$B$7:$B$14*Assumptions!$B$10*0.05)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$7:$G$14="Yes")*(81&gt;=Projects!$C$7:$C$14)*(81&lt;Projects!$C$7:$C$14+Projects!$D$7:$D$14)*Projects!$B$7:$B$14*Assumptions!$B$12/Projects!$D$7:$D$14*0.95)+SUMPRODUCT((Projects!$G$7:$G$14="Yes")*(81=Projects!$C$7:$C$14+Projects!$D$7:$D$14-1)*Projects!$B$7:$B$14*Assumptions!$B$12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,Actuals!CH8)</f>
        <v>0</v>
      </c>
      <c r="CH10" s="14" t="n">
        <f aca="false">IF(ISBLANK(Actuals!CI8),0+SUMPRODUCT((Projects!$G$7:$G$14="Yes")*(82&gt;=Projects!$C$7:$C$14)*(82&lt;Projects!$C$7:$C$14+Projects!$D$7:$D$14)*Projects!$B$7:$B$14*Assumptions!$B$10/Projects!$D$7:$D$14*0.95)+SUMPRODUCT((Projects!$G$7:$G$14="Yes")*(82=Projects!$C$7:$C$14+Projects!$D$7:$D$14-1)*Projects!$B$7:$B$14*Assumptions!$B$10*0.05)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$7:$G$14="Yes")*(82&gt;=Projects!$C$7:$C$14)*(82&lt;Projects!$C$7:$C$14+Projects!$D$7:$D$14)*Projects!$B$7:$B$14*Assumptions!$B$12/Projects!$D$7:$D$14*0.95)+SUMPRODUCT((Projects!$G$7:$G$14="Yes")*(82=Projects!$C$7:$C$14+Projects!$D$7:$D$14-1)*Projects!$B$7:$B$14*Assumptions!$B$12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,Actuals!CI8)</f>
        <v>0</v>
      </c>
      <c r="CI10" s="14" t="n">
        <f aca="false">IF(ISBLANK(Actuals!CJ8),0+SUMPRODUCT((Projects!$G$7:$G$14="Yes")*(83&gt;=Projects!$C$7:$C$14)*(83&lt;Projects!$C$7:$C$14+Projects!$D$7:$D$14)*Projects!$B$7:$B$14*Assumptions!$B$10/Projects!$D$7:$D$14*0.95)+SUMPRODUCT((Projects!$G$7:$G$14="Yes")*(83=Projects!$C$7:$C$14+Projects!$D$7:$D$14-1)*Projects!$B$7:$B$14*Assumptions!$B$10*0.05)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$7:$G$14="Yes")*(83&gt;=Projects!$C$7:$C$14)*(83&lt;Projects!$C$7:$C$14+Projects!$D$7:$D$14)*Projects!$B$7:$B$14*Assumptions!$B$12/Projects!$D$7:$D$14*0.95)+SUMPRODUCT((Projects!$G$7:$G$14="Yes")*(83=Projects!$C$7:$C$14+Projects!$D$7:$D$14-1)*Projects!$B$7:$B$14*Assumptions!$B$12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,Actuals!CJ8)</f>
        <v>0</v>
      </c>
      <c r="CJ10" s="14" t="n">
        <f aca="false">IF(ISBLANK(Actuals!CK8),0+SUMPRODUCT((Projects!$G$7:$G$14="Yes")*(84&gt;=Projects!$C$7:$C$14)*(84&lt;Projects!$C$7:$C$14+Projects!$D$7:$D$14)*Projects!$B$7:$B$14*Assumptions!$B$10/Projects!$D$7:$D$14*0.95)+SUMPRODUCT((Projects!$G$7:$G$14="Yes")*(84=Projects!$C$7:$C$14+Projects!$D$7:$D$14-1)*Projects!$B$7:$B$14*Assumptions!$B$10*0.05)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$7:$G$14="Yes")*(84&gt;=Projects!$C$7:$C$14)*(84&lt;Projects!$C$7:$C$14+Projects!$D$7:$D$14)*Projects!$B$7:$B$14*Assumptions!$B$12/Projects!$D$7:$D$14*0.95)+SUMPRODUCT((Projects!$G$7:$G$14="Yes")*(84=Projects!$C$7:$C$14+Projects!$D$7:$D$14-1)*Projects!$B$7:$B$14*Assumptions!$B$12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,Actuals!CK8)</f>
        <v>0</v>
      </c>
      <c r="CK10" s="14" t="n">
        <f aca="false">IF(ISBLANK(Actuals!CL8),0+SUMPRODUCT((Projects!$G$7:$G$14="Yes")*(85&gt;=Projects!$C$7:$C$14)*(85&lt;Projects!$C$7:$C$14+Projects!$D$7:$D$14)*Projects!$B$7:$B$14*Assumptions!$B$10/Projects!$D$7:$D$14*0.95)+SUMPRODUCT((Projects!$G$7:$G$14="Yes")*(85=Projects!$C$7:$C$14+Projects!$D$7:$D$14-1)*Projects!$B$7:$B$14*Assumptions!$B$10*0.05)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$7:$G$14="Yes")*(85&gt;=Projects!$C$7:$C$14)*(85&lt;Projects!$C$7:$C$14+Projects!$D$7:$D$14)*Projects!$B$7:$B$14*Assumptions!$B$12/Projects!$D$7:$D$14*0.95)+SUMPRODUCT((Projects!$G$7:$G$14="Yes")*(85=Projects!$C$7:$C$14+Projects!$D$7:$D$14-1)*Projects!$B$7:$B$14*Assumptions!$B$12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,Actuals!CL8)</f>
        <v>0</v>
      </c>
      <c r="CL10" s="14" t="n">
        <f aca="false">IF(ISBLANK(Actuals!CM8),0+SUMPRODUCT((Projects!$G$7:$G$14="Yes")*(86&gt;=Projects!$C$7:$C$14)*(86&lt;Projects!$C$7:$C$14+Projects!$D$7:$D$14)*Projects!$B$7:$B$14*Assumptions!$B$10/Projects!$D$7:$D$14*0.95)+SUMPRODUCT((Projects!$G$7:$G$14="Yes")*(86=Projects!$C$7:$C$14+Projects!$D$7:$D$14-1)*Projects!$B$7:$B$14*Assumptions!$B$10*0.05)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$7:$G$14="Yes")*(86&gt;=Projects!$C$7:$C$14)*(86&lt;Projects!$C$7:$C$14+Projects!$D$7:$D$14)*Projects!$B$7:$B$14*Assumptions!$B$12/Projects!$D$7:$D$14*0.95)+SUMPRODUCT((Projects!$G$7:$G$14="Yes")*(86=Projects!$C$7:$C$14+Projects!$D$7:$D$14-1)*Projects!$B$7:$B$14*Assumptions!$B$12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,Actuals!CM8)</f>
        <v>0</v>
      </c>
      <c r="CM10" s="14" t="n">
        <f aca="false">IF(ISBLANK(Actuals!CN8),0+SUMPRODUCT((Projects!$G$7:$G$14="Yes")*(87&gt;=Projects!$C$7:$C$14)*(87&lt;Projects!$C$7:$C$14+Projects!$D$7:$D$14)*Projects!$B$7:$B$14*Assumptions!$B$10/Projects!$D$7:$D$14*0.95)+SUMPRODUCT((Projects!$G$7:$G$14="Yes")*(87=Projects!$C$7:$C$14+Projects!$D$7:$D$14-1)*Projects!$B$7:$B$14*Assumptions!$B$10*0.05)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$7:$G$14="Yes")*(87&gt;=Projects!$C$7:$C$14)*(87&lt;Projects!$C$7:$C$14+Projects!$D$7:$D$14)*Projects!$B$7:$B$14*Assumptions!$B$12/Projects!$D$7:$D$14*0.95)+SUMPRODUCT((Projects!$G$7:$G$14="Yes")*(87=Projects!$C$7:$C$14+Projects!$D$7:$D$14-1)*Projects!$B$7:$B$14*Assumptions!$B$12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,Actuals!CN8)</f>
        <v>0</v>
      </c>
      <c r="CN10" s="14" t="n">
        <f aca="false">IF(ISBLANK(Actuals!CO8),0+SUMPRODUCT((Projects!$G$7:$G$14="Yes")*(88&gt;=Projects!$C$7:$C$14)*(88&lt;Projects!$C$7:$C$14+Projects!$D$7:$D$14)*Projects!$B$7:$B$14*Assumptions!$B$10/Projects!$D$7:$D$14*0.95)+SUMPRODUCT((Projects!$G$7:$G$14="Yes")*(88=Projects!$C$7:$C$14+Projects!$D$7:$D$14-1)*Projects!$B$7:$B$14*Assumptions!$B$10*0.05)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$7:$G$14="Yes")*(88&gt;=Projects!$C$7:$C$14)*(88&lt;Projects!$C$7:$C$14+Projects!$D$7:$D$14)*Projects!$B$7:$B$14*Assumptions!$B$12/Projects!$D$7:$D$14*0.95)+SUMPRODUCT((Projects!$G$7:$G$14="Yes")*(88=Projects!$C$7:$C$14+Projects!$D$7:$D$14-1)*Projects!$B$7:$B$14*Assumptions!$B$12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,Actuals!CO8)</f>
        <v>0</v>
      </c>
      <c r="CO10" s="14" t="n">
        <f aca="false">IF(ISBLANK(Actuals!CP8),0+SUMPRODUCT((Projects!$G$7:$G$14="Yes")*(89&gt;=Projects!$C$7:$C$14)*(89&lt;Projects!$C$7:$C$14+Projects!$D$7:$D$14)*Projects!$B$7:$B$14*Assumptions!$B$10/Projects!$D$7:$D$14*0.95)+SUMPRODUCT((Projects!$G$7:$G$14="Yes")*(89=Projects!$C$7:$C$14+Projects!$D$7:$D$14-1)*Projects!$B$7:$B$14*Assumptions!$B$10*0.05)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$7:$G$14="Yes")*(89&gt;=Projects!$C$7:$C$14)*(89&lt;Projects!$C$7:$C$14+Projects!$D$7:$D$14)*Projects!$B$7:$B$14*Assumptions!$B$12/Projects!$D$7:$D$14*0.95)+SUMPRODUCT((Projects!$G$7:$G$14="Yes")*(89=Projects!$C$7:$C$14+Projects!$D$7:$D$14-1)*Projects!$B$7:$B$14*Assumptions!$B$12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,Actuals!CP8)</f>
        <v>0</v>
      </c>
      <c r="CP10" s="14" t="n">
        <f aca="false">IF(ISBLANK(Actuals!CQ8),0+SUMPRODUCT((Projects!$G$7:$G$14="Yes")*(90&gt;=Projects!$C$7:$C$14)*(90&lt;Projects!$C$7:$C$14+Projects!$D$7:$D$14)*Projects!$B$7:$B$14*Assumptions!$B$10/Projects!$D$7:$D$14*0.95)+SUMPRODUCT((Projects!$G$7:$G$14="Yes")*(90=Projects!$C$7:$C$14+Projects!$D$7:$D$14-1)*Projects!$B$7:$B$14*Assumptions!$B$10*0.05)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$7:$G$14="Yes")*(90&gt;=Projects!$C$7:$C$14)*(90&lt;Projects!$C$7:$C$14+Projects!$D$7:$D$14)*Projects!$B$7:$B$14*Assumptions!$B$12/Projects!$D$7:$D$14*0.95)+SUMPRODUCT((Projects!$G$7:$G$14="Yes")*(90=Projects!$C$7:$C$14+Projects!$D$7:$D$14-1)*Projects!$B$7:$B$14*Assumptions!$B$12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,Actuals!CQ8)</f>
        <v>0</v>
      </c>
      <c r="CQ10" s="14" t="n">
        <f aca="false">IF(ISBLANK(Actuals!CR8),0+SUMPRODUCT((Projects!$G$7:$G$14="Yes")*(91&gt;=Projects!$C$7:$C$14)*(91&lt;Projects!$C$7:$C$14+Projects!$D$7:$D$14)*Projects!$B$7:$B$14*Assumptions!$B$10/Projects!$D$7:$D$14*0.95)+SUMPRODUCT((Projects!$G$7:$G$14="Yes")*(91=Projects!$C$7:$C$14+Projects!$D$7:$D$14-1)*Projects!$B$7:$B$14*Assumptions!$B$10*0.05)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$7:$G$14="Yes")*(91&gt;=Projects!$C$7:$C$14)*(91&lt;Projects!$C$7:$C$14+Projects!$D$7:$D$14)*Projects!$B$7:$B$14*Assumptions!$B$12/Projects!$D$7:$D$14*0.95)+SUMPRODUCT((Projects!$G$7:$G$14="Yes")*(91=Projects!$C$7:$C$14+Projects!$D$7:$D$14-1)*Projects!$B$7:$B$14*Assumptions!$B$12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,Actuals!CR8)</f>
        <v>0</v>
      </c>
      <c r="CR10" s="14" t="n">
        <f aca="false">IF(ISBLANK(Actuals!CS8),0+SUMPRODUCT((Projects!$G$7:$G$14="Yes")*(92&gt;=Projects!$C$7:$C$14)*(92&lt;Projects!$C$7:$C$14+Projects!$D$7:$D$14)*Projects!$B$7:$B$14*Assumptions!$B$10/Projects!$D$7:$D$14*0.95)+SUMPRODUCT((Projects!$G$7:$G$14="Yes")*(92=Projects!$C$7:$C$14+Projects!$D$7:$D$14-1)*Projects!$B$7:$B$14*Assumptions!$B$10*0.05)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$7:$G$14="Yes")*(92&gt;=Projects!$C$7:$C$14)*(92&lt;Projects!$C$7:$C$14+Projects!$D$7:$D$14)*Projects!$B$7:$B$14*Assumptions!$B$12/Projects!$D$7:$D$14*0.95)+SUMPRODUCT((Projects!$G$7:$G$14="Yes")*(92=Projects!$C$7:$C$14+Projects!$D$7:$D$14-1)*Projects!$B$7:$B$14*Assumptions!$B$12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,Actuals!CS8)</f>
        <v>0</v>
      </c>
      <c r="CS10" s="14" t="n">
        <f aca="false">IF(ISBLANK(Actuals!CT8),0+SUMPRODUCT((Projects!$G$7:$G$14="Yes")*(93&gt;=Projects!$C$7:$C$14)*(93&lt;Projects!$C$7:$C$14+Projects!$D$7:$D$14)*Projects!$B$7:$B$14*Assumptions!$B$10/Projects!$D$7:$D$14*0.95)+SUMPRODUCT((Projects!$G$7:$G$14="Yes")*(93=Projects!$C$7:$C$14+Projects!$D$7:$D$14-1)*Projects!$B$7:$B$14*Assumptions!$B$10*0.05)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$7:$G$14="Yes")*(93&gt;=Projects!$C$7:$C$14)*(93&lt;Projects!$C$7:$C$14+Projects!$D$7:$D$14)*Projects!$B$7:$B$14*Assumptions!$B$12/Projects!$D$7:$D$14*0.95)+SUMPRODUCT((Projects!$G$7:$G$14="Yes")*(93=Projects!$C$7:$C$14+Projects!$D$7:$D$14-1)*Projects!$B$7:$B$14*Assumptions!$B$12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,Actuals!CT8)</f>
        <v>0</v>
      </c>
      <c r="CT10" s="14" t="n">
        <f aca="false">IF(ISBLANK(Actuals!CU8),0+SUMPRODUCT((Projects!$G$7:$G$14="Yes")*(94&gt;=Projects!$C$7:$C$14)*(94&lt;Projects!$C$7:$C$14+Projects!$D$7:$D$14)*Projects!$B$7:$B$14*Assumptions!$B$10/Projects!$D$7:$D$14*0.95)+SUMPRODUCT((Projects!$G$7:$G$14="Yes")*(94=Projects!$C$7:$C$14+Projects!$D$7:$D$14-1)*Projects!$B$7:$B$14*Assumptions!$B$10*0.05)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$7:$G$14="Yes")*(94&gt;=Projects!$C$7:$C$14)*(94&lt;Projects!$C$7:$C$14+Projects!$D$7:$D$14)*Projects!$B$7:$B$14*Assumptions!$B$12/Projects!$D$7:$D$14*0.95)+SUMPRODUCT((Projects!$G$7:$G$14="Yes")*(94=Projects!$C$7:$C$14+Projects!$D$7:$D$14-1)*Projects!$B$7:$B$14*Assumptions!$B$12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,Actuals!CU8)</f>
        <v>0</v>
      </c>
      <c r="CU10" s="14" t="n">
        <f aca="false">IF(ISBLANK(Actuals!CV8),0+SUMPRODUCT((Projects!$G$7:$G$14="Yes")*(95&gt;=Projects!$C$7:$C$14)*(95&lt;Projects!$C$7:$C$14+Projects!$D$7:$D$14)*Projects!$B$7:$B$14*Assumptions!$B$10/Projects!$D$7:$D$14*0.95)+SUMPRODUCT((Projects!$G$7:$G$14="Yes")*(95=Projects!$C$7:$C$14+Projects!$D$7:$D$14-1)*Projects!$B$7:$B$14*Assumptions!$B$10*0.05)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$7:$G$14="Yes")*(95&gt;=Projects!$C$7:$C$14)*(95&lt;Projects!$C$7:$C$14+Projects!$D$7:$D$14)*Projects!$B$7:$B$14*Assumptions!$B$12/Projects!$D$7:$D$14*0.95)+SUMPRODUCT((Projects!$G$7:$G$14="Yes")*(95=Projects!$C$7:$C$14+Projects!$D$7:$D$14-1)*Projects!$B$7:$B$14*Assumptions!$B$12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,Actuals!CV8)</f>
        <v>0</v>
      </c>
      <c r="CV10" s="14" t="n">
        <f aca="false">IF(ISBLANK(Actuals!CW8),0+SUMPRODUCT((Projects!$G$7:$G$14="Yes")*(96&gt;=Projects!$C$7:$C$14)*(96&lt;Projects!$C$7:$C$14+Projects!$D$7:$D$14)*Projects!$B$7:$B$14*Assumptions!$B$10/Projects!$D$7:$D$14*0.95)+SUMPRODUCT((Projects!$G$7:$G$14="Yes")*(96=Projects!$C$7:$C$14+Projects!$D$7:$D$14-1)*Projects!$B$7:$B$14*Assumptions!$B$10*0.05)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$7:$G$14="Yes")*(96&gt;=Projects!$C$7:$C$14)*(96&lt;Projects!$C$7:$C$14+Projects!$D$7:$D$14)*Projects!$B$7:$B$14*Assumptions!$B$12/Projects!$D$7:$D$14*0.95)+SUMPRODUCT((Projects!$G$7:$G$14="Yes")*(96=Projects!$C$7:$C$14+Projects!$D$7:$D$14-1)*Projects!$B$7:$B$14*Assumptions!$B$12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,Actuals!CW8)</f>
        <v>0</v>
      </c>
      <c r="CW10" s="14" t="n">
        <f aca="false">IF(ISBLANK(Actuals!CX8),0+SUMPRODUCT((Projects!$G$7:$G$14="Yes")*(97&gt;=Projects!$C$7:$C$14)*(97&lt;Projects!$C$7:$C$14+Projects!$D$7:$D$14)*Projects!$B$7:$B$14*Assumptions!$B$10/Projects!$D$7:$D$14*0.95)+SUMPRODUCT((Projects!$G$7:$G$14="Yes")*(97=Projects!$C$7:$C$14+Projects!$D$7:$D$14-1)*Projects!$B$7:$B$14*Assumptions!$B$10*0.05)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$7:$G$14="Yes")*(97&gt;=Projects!$C$7:$C$14)*(97&lt;Projects!$C$7:$C$14+Projects!$D$7:$D$14)*Projects!$B$7:$B$14*Assumptions!$B$12/Projects!$D$7:$D$14*0.95)+SUMPRODUCT((Projects!$G$7:$G$14="Yes")*(97=Projects!$C$7:$C$14+Projects!$D$7:$D$14-1)*Projects!$B$7:$B$14*Assumptions!$B$12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,Actuals!CX8)</f>
        <v>0</v>
      </c>
      <c r="CX10" s="14" t="n">
        <f aca="false">IF(ISBLANK(Actuals!CY8),0+SUMPRODUCT((Projects!$G$7:$G$14="Yes")*(98&gt;=Projects!$C$7:$C$14)*(98&lt;Projects!$C$7:$C$14+Projects!$D$7:$D$14)*Projects!$B$7:$B$14*Assumptions!$B$10/Projects!$D$7:$D$14*0.95)+SUMPRODUCT((Projects!$G$7:$G$14="Yes")*(98=Projects!$C$7:$C$14+Projects!$D$7:$D$14-1)*Projects!$B$7:$B$14*Assumptions!$B$10*0.05)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$7:$G$14="Yes")*(98&gt;=Projects!$C$7:$C$14)*(98&lt;Projects!$C$7:$C$14+Projects!$D$7:$D$14)*Projects!$B$7:$B$14*Assumptions!$B$12/Projects!$D$7:$D$14*0.95)+SUMPRODUCT((Projects!$G$7:$G$14="Yes")*(98=Projects!$C$7:$C$14+Projects!$D$7:$D$14-1)*Projects!$B$7:$B$14*Assumptions!$B$12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,Actuals!CY8)</f>
        <v>0</v>
      </c>
      <c r="CY10" s="14" t="n">
        <f aca="false">IF(ISBLANK(Actuals!CZ8),0+SUMPRODUCT((Projects!$G$7:$G$14="Yes")*(99&gt;=Projects!$C$7:$C$14)*(99&lt;Projects!$C$7:$C$14+Projects!$D$7:$D$14)*Projects!$B$7:$B$14*Assumptions!$B$10/Projects!$D$7:$D$14*0.95)+SUMPRODUCT((Projects!$G$7:$G$14="Yes")*(99=Projects!$C$7:$C$14+Projects!$D$7:$D$14-1)*Projects!$B$7:$B$14*Assumptions!$B$10*0.05)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$7:$G$14="Yes")*(99&gt;=Projects!$C$7:$C$14)*(99&lt;Projects!$C$7:$C$14+Projects!$D$7:$D$14)*Projects!$B$7:$B$14*Assumptions!$B$12/Projects!$D$7:$D$14*0.95)+SUMPRODUCT((Projects!$G$7:$G$14="Yes")*(99=Projects!$C$7:$C$14+Projects!$D$7:$D$14-1)*Projects!$B$7:$B$14*Assumptions!$B$12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,Actuals!CZ8)</f>
        <v>0</v>
      </c>
      <c r="CZ10" s="14" t="n">
        <f aca="false">IF(ISBLANK(Actuals!DA8),0+SUMPRODUCT((Projects!$G$7:$G$14="Yes")*(100&gt;=Projects!$C$7:$C$14)*(100&lt;Projects!$C$7:$C$14+Projects!$D$7:$D$14)*Projects!$B$7:$B$14*Assumptions!$B$10/Projects!$D$7:$D$14*0.95)+SUMPRODUCT((Projects!$G$7:$G$14="Yes")*(100=Projects!$C$7:$C$14+Projects!$D$7:$D$14-1)*Projects!$B$7:$B$14*Assumptions!$B$10*0.05)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$7:$G$14="Yes")*(100&gt;=Projects!$C$7:$C$14)*(100&lt;Projects!$C$7:$C$14+Projects!$D$7:$D$14)*Projects!$B$7:$B$14*Assumptions!$B$12/Projects!$D$7:$D$14*0.95)+SUMPRODUCT((Projects!$G$7:$G$14="Yes")*(100=Projects!$C$7:$C$14+Projects!$D$7:$D$14-1)*Projects!$B$7:$B$14*Assumptions!$B$12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,Actuals!DA8)</f>
        <v>0</v>
      </c>
      <c r="DA10" s="14" t="n">
        <f aca="false">IF(ISBLANK(Actuals!DB8),0+SUMPRODUCT((Projects!$G$7:$G$14="Yes")*(101&gt;=Projects!$C$7:$C$14)*(101&lt;Projects!$C$7:$C$14+Projects!$D$7:$D$14)*Projects!$B$7:$B$14*Assumptions!$B$10/Projects!$D$7:$D$14*0.95)+SUMPRODUCT((Projects!$G$7:$G$14="Yes")*(101=Projects!$C$7:$C$14+Projects!$D$7:$D$14-1)*Projects!$B$7:$B$14*Assumptions!$B$10*0.05)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$7:$G$14="Yes")*(101&gt;=Projects!$C$7:$C$14)*(101&lt;Projects!$C$7:$C$14+Projects!$D$7:$D$14)*Projects!$B$7:$B$14*Assumptions!$B$12/Projects!$D$7:$D$14*0.95)+SUMPRODUCT((Projects!$G$7:$G$14="Yes")*(101=Projects!$C$7:$C$14+Projects!$D$7:$D$14-1)*Projects!$B$7:$B$14*Assumptions!$B$12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,Actuals!DB8)</f>
        <v>0</v>
      </c>
      <c r="DB10" s="14" t="n">
        <f aca="false">IF(ISBLANK(Actuals!DC8),0+SUMPRODUCT((Projects!$G$7:$G$14="Yes")*(102&gt;=Projects!$C$7:$C$14)*(102&lt;Projects!$C$7:$C$14+Projects!$D$7:$D$14)*Projects!$B$7:$B$14*Assumptions!$B$10/Projects!$D$7:$D$14*0.95)+SUMPRODUCT((Projects!$G$7:$G$14="Yes")*(102=Projects!$C$7:$C$14+Projects!$D$7:$D$14-1)*Projects!$B$7:$B$14*Assumptions!$B$10*0.05)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$7:$G$14="Yes")*(102&gt;=Projects!$C$7:$C$14)*(102&lt;Projects!$C$7:$C$14+Projects!$D$7:$D$14)*Projects!$B$7:$B$14*Assumptions!$B$12/Projects!$D$7:$D$14*0.95)+SUMPRODUCT((Projects!$G$7:$G$14="Yes")*(102=Projects!$C$7:$C$14+Projects!$D$7:$D$14-1)*Projects!$B$7:$B$14*Assumptions!$B$12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,Actuals!DC8)</f>
        <v>0</v>
      </c>
      <c r="DC10" s="14" t="n">
        <f aca="false">IF(ISBLANK(Actuals!DD8),0+SUMPRODUCT((Projects!$G$7:$G$14="Yes")*(103&gt;=Projects!$C$7:$C$14)*(103&lt;Projects!$C$7:$C$14+Projects!$D$7:$D$14)*Projects!$B$7:$B$14*Assumptions!$B$10/Projects!$D$7:$D$14*0.95)+SUMPRODUCT((Projects!$G$7:$G$14="Yes")*(103=Projects!$C$7:$C$14+Projects!$D$7:$D$14-1)*Projects!$B$7:$B$14*Assumptions!$B$10*0.05)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$7:$G$14="Yes")*(103&gt;=Projects!$C$7:$C$14)*(103&lt;Projects!$C$7:$C$14+Projects!$D$7:$D$14)*Projects!$B$7:$B$14*Assumptions!$B$12/Projects!$D$7:$D$14*0.95)+SUMPRODUCT((Projects!$G$7:$G$14="Yes")*(103=Projects!$C$7:$C$14+Projects!$D$7:$D$14-1)*Projects!$B$7:$B$14*Assumptions!$B$12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,Actuals!DD8)</f>
        <v>0</v>
      </c>
      <c r="DD10" s="14" t="n">
        <f aca="false">IF(ISBLANK(Actuals!DE8),0+SUMPRODUCT((Projects!$G$7:$G$14="Yes")*(104&gt;=Projects!$C$7:$C$14)*(104&lt;Projects!$C$7:$C$14+Projects!$D$7:$D$14)*Projects!$B$7:$B$14*Assumptions!$B$10/Projects!$D$7:$D$14*0.95)+SUMPRODUCT((Projects!$G$7:$G$14="Yes")*(104=Projects!$C$7:$C$14+Projects!$D$7:$D$14-1)*Projects!$B$7:$B$14*Assumptions!$B$10*0.05)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$7:$G$14="Yes")*(104&gt;=Projects!$C$7:$C$14)*(104&lt;Projects!$C$7:$C$14+Projects!$D$7:$D$14)*Projects!$B$7:$B$14*Assumptions!$B$12/Projects!$D$7:$D$14*0.95)+SUMPRODUCT((Projects!$G$7:$G$14="Yes")*(104=Projects!$C$7:$C$14+Projects!$D$7:$D$14-1)*Projects!$B$7:$B$14*Assumptions!$B$12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,Actuals!DE8)</f>
        <v>0</v>
      </c>
      <c r="DE10" s="14" t="n">
        <f aca="false">IF(ISBLANK(Actuals!DF8),0+SUMPRODUCT((Projects!$G$7:$G$14="Yes")*(105&gt;=Projects!$C$7:$C$14)*(105&lt;Projects!$C$7:$C$14+Projects!$D$7:$D$14)*Projects!$B$7:$B$14*Assumptions!$B$10/Projects!$D$7:$D$14*0.95)+SUMPRODUCT((Projects!$G$7:$G$14="Yes")*(105=Projects!$C$7:$C$14+Projects!$D$7:$D$14-1)*Projects!$B$7:$B$14*Assumptions!$B$10*0.05)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$7:$G$14="Yes")*(105&gt;=Projects!$C$7:$C$14)*(105&lt;Projects!$C$7:$C$14+Projects!$D$7:$D$14)*Projects!$B$7:$B$14*Assumptions!$B$12/Projects!$D$7:$D$14*0.95)+SUMPRODUCT((Projects!$G$7:$G$14="Yes")*(105=Projects!$C$7:$C$14+Projects!$D$7:$D$14-1)*Projects!$B$7:$B$14*Assumptions!$B$12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,Actuals!DF8)</f>
        <v>0</v>
      </c>
    </row>
    <row r="11" customFormat="false" ht="15" hidden="false" customHeight="true" outlineLevel="0" collapsed="false">
      <c r="A11" s="29" t="s">
        <v>5</v>
      </c>
      <c r="B11" s="14" t="n">
        <f aca="false">IF(ISBLANK(Actuals!C10),0,Actuals!C10)</f>
        <v>95370.25</v>
      </c>
      <c r="C11" s="14" t="n">
        <f aca="false">IF(ISBLANK(Actuals!D10),0,Actuals!D10)</f>
        <v>173282.89</v>
      </c>
      <c r="D11" s="14" t="n">
        <f aca="false">IF(ISBLANK(Actuals!E10),0,Actuals!E10)</f>
        <v>50438.85</v>
      </c>
      <c r="E11" s="14" t="n">
        <f aca="false">IF(ISBLANK(Actuals!F10),SUMPRODUCT((Projects!$G$2:$G$14="Yes")*(1&gt;=Projects!$C$2:$C$14)*(1&lt;Projects!$C$2:$C$14+Projects!$D$2:$D$14)*Projects!$B$2:$B$14*Assumptions!$B$11/Projects!$D$2:$D$14*0.95)+SUMPRODUCT((Projects!$G$2:$G$14="Yes")*(1=Projects!$C$2:$C$14+Projects!$D$2:$D$14-1)*Projects!$B$2:$B$14*Assumptions!$B$11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,Actuals!F10)</f>
        <v>167518.85</v>
      </c>
      <c r="F11" s="14" t="n">
        <f aca="false">IF(ISBLANK(Actuals!G10),291059.35*Curves!C$6/SUM(Curves!$C$6:$I$6)+890698.1*Curves!C$7/SUM(Curves!$C$7:$Q$7)+581071.09*Curves!C$8/SUM(Curves!$C$8:$P$8)+708999.51*Curves!C$9/SUM(Curves!$C$9:$P$9)+277408.54*Curves!C$4/SUM(Curves!$C$4:$T$4)+SUMPRODUCT((Projects!$G$7:$G$14="Yes")*(2&gt;=Projects!$C$7:$C$14)*(2&lt;Projects!$C$7:$C$14+Projects!$D$7:$D$14)*Projects!$B$7:$B$14*Assumptions!$B$11/Projects!$D$7:$D$14*0.95)+SUMPRODUCT((Projects!$G$7:$G$14="Yes")*(2=Projects!$C$7:$C$14+Projects!$D$7:$D$14-1)*Projects!$B$7:$B$14*Assumptions!$B$11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,Actuals!G10)</f>
        <v>209057.26</v>
      </c>
      <c r="G11" s="14" t="n">
        <f aca="false">IF(ISBLANK(Actuals!H10),210070.22*Curves!D$6/SUM(Curves!$E$6:$I$6)+735478.88*Curves!D$7/SUM(Curves!$E$7:$Q$7)+443593.08*Curves!D$8/SUM(Curves!$E$8:$P$8)+595501.12*Curves!D$9/SUM(Curves!$E$9:$P$9)+226689.92*Curves!D$4/SUM(Curves!$E$4:$T$4)+SUMPRODUCT((Projects!$G$7:$G$14="Yes")*(3&gt;=Projects!$C$7:$C$14)*(3&lt;Projects!$C$7:$C$14+Projects!$D$7:$D$14)*Projects!$B$7:$B$14*Assumptions!$B$11/Projects!$D$7:$D$14*0.95)+SUMPRODUCT((Projects!$G$7:$G$14="Yes")*(3=Projects!$C$7:$C$14+Projects!$D$7:$D$14-1)*Projects!$B$7:$B$14*Assumptions!$B$11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,Actuals!H10)</f>
        <v>292966.36</v>
      </c>
      <c r="H11" s="14" t="n">
        <f aca="false">IF(ISBLANK(Actuals!I10),210070.22*Curves!E$6/SUM(Curves!$E$6:$I$6)+735478.88*Curves!E$7/SUM(Curves!$E$7:$Q$7)+443593.08*Curves!E$8/SUM(Curves!$E$8:$P$8)+595501.12*Curves!E$9/SUM(Curves!$E$9:$P$9)+226689.92*Curves!E$4/SUM(Curves!$E$4:$T$4)+SUMPRODUCT((Projects!$G$7:$G$14="Yes")*(4&gt;=Projects!$C$7:$C$14)*(4&lt;Projects!$C$7:$C$14+Projects!$D$7:$D$14)*Projects!$B$7:$B$14*Assumptions!$B$11/Projects!$D$7:$D$14*0.95)+SUMPRODUCT((Projects!$G$7:$G$14="Yes")*(4=Projects!$C$7:$C$14+Projects!$D$7:$D$14-1)*Projects!$B$7:$B$14*Assumptions!$B$11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,Actuals!I10)</f>
        <v>247907.207280058</v>
      </c>
      <c r="I11" s="14" t="n">
        <f aca="false">IF(ISBLANK(Actuals!J10),210070.22*Curves!F$6/SUM(Curves!$E$6:$I$6)+735478.88*Curves!F$7/SUM(Curves!$E$7:$Q$7)+443593.08*Curves!F$8/SUM(Curves!$E$8:$P$8)+595501.12*Curves!F$9/SUM(Curves!$E$9:$P$9)+226689.92*Curves!F$4/SUM(Curves!$E$4:$T$4)+SUMPRODUCT((Projects!$G$7:$G$14="Yes")*(5&gt;=Projects!$C$7:$C$14)*(5&lt;Projects!$C$7:$C$14+Projects!$D$7:$D$14)*Projects!$B$7:$B$14*Assumptions!$B$11/Projects!$D$7:$D$14*0.95)+SUMPRODUCT((Projects!$G$7:$G$14="Yes")*(5=Projects!$C$7:$C$14+Projects!$D$7:$D$14-1)*Projects!$B$7:$B$14*Assumptions!$B$11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,Actuals!J10)</f>
        <v>374130.527491506</v>
      </c>
      <c r="J11" s="14" t="n">
        <f aca="false">IF(ISBLANK(Actuals!K10),210070.22*Curves!G$6/SUM(Curves!$E$6:$I$6)+735478.88*Curves!G$7/SUM(Curves!$E$7:$Q$7)+443593.08*Curves!G$8/SUM(Curves!$E$8:$P$8)+595501.12*Curves!G$9/SUM(Curves!$E$9:$P$9)+226689.92*Curves!G$4/SUM(Curves!$E$4:$T$4)+SUMPRODUCT((Projects!$G$7:$G$14="Yes")*(6&gt;=Projects!$C$7:$C$14)*(6&lt;Projects!$C$7:$C$14+Projects!$D$7:$D$14)*Projects!$B$7:$B$14*Assumptions!$B$11/Projects!$D$7:$D$14*0.95)+SUMPRODUCT((Projects!$G$7:$G$14="Yes")*(6=Projects!$C$7:$C$14+Projects!$D$7:$D$14-1)*Projects!$B$7:$B$14*Assumptions!$B$11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,Actuals!K10)</f>
        <v>413050.60416324</v>
      </c>
      <c r="K11" s="14" t="n">
        <f aca="false">IF(ISBLANK(Actuals!L10),210070.22*Curves!H$6/SUM(Curves!$E$6:$I$6)+735478.88*Curves!H$7/SUM(Curves!$E$7:$Q$7)+443593.08*Curves!H$8/SUM(Curves!$E$8:$P$8)+595501.12*Curves!H$9/SUM(Curves!$E$9:$P$9)+226689.92*Curves!H$4/SUM(Curves!$E$4:$T$4)+SUMPRODUCT((Projects!$G$7:$G$14="Yes")*(7&gt;=Projects!$C$7:$C$14)*(7&lt;Projects!$C$7:$C$14+Projects!$D$7:$D$14)*Projects!$B$7:$B$14*Assumptions!$B$11/Projects!$D$7:$D$14*0.95)+SUMPRODUCT((Projects!$G$7:$G$14="Yes")*(7=Projects!$C$7:$C$14+Projects!$D$7:$D$14-1)*Projects!$B$7:$B$14*Assumptions!$B$11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,Actuals!L10)</f>
        <v>448882.8994435</v>
      </c>
      <c r="L11" s="14" t="n">
        <f aca="false">IF(ISBLANK(Actuals!M10),210070.22*Curves!I$6/SUM(Curves!$E$6:$I$6)+735478.88*Curves!I$7/SUM(Curves!$E$7:$Q$7)+443593.08*Curves!I$8/SUM(Curves!$E$8:$P$8)+595501.12*Curves!I$9/SUM(Curves!$E$9:$P$9)+226689.92*Curves!I$4/SUM(Curves!$E$4:$T$4)+SUMPRODUCT((Projects!$G$7:$G$14="Yes")*(8&gt;=Projects!$C$7:$C$14)*(8&lt;Projects!$C$7:$C$14+Projects!$D$7:$D$14)*Projects!$B$7:$B$14*Assumptions!$B$11/Projects!$D$7:$D$14*0.95)+SUMPRODUCT((Projects!$G$7:$G$14="Yes")*(8=Projects!$C$7:$C$14+Projects!$D$7:$D$14-1)*Projects!$B$7:$B$14*Assumptions!$B$11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,Actuals!M10)</f>
        <v>436957.456689645</v>
      </c>
      <c r="M11" s="14" t="n">
        <f aca="false">IF(ISBLANK(Actuals!N10),786650.7*Curves!J$7/SUM(Curves!$E$7:$Q$7)+423567.58*Curves!J$8/SUM(Curves!$E$8:$P$8)+587411.37*Curves!J$9/SUM(Curves!$E$9:$P$9)+188608.6*Curves!J$4/SUM(Curves!$E$4:$T$4)+SUMPRODUCT((Projects!$G$7:$G$14="Yes")*(9&gt;=Projects!$C$7:$C$14)*(9&lt;Projects!$C$7:$C$14+Projects!$D$7:$D$14)*Projects!$B$7:$B$14*Assumptions!$B$11/Projects!$D$7:$D$14*0.95)+SUMPRODUCT((Projects!$G$7:$G$14="Yes")*(9=Projects!$C$7:$C$14+Projects!$D$7:$D$14-1)*Projects!$B$7:$B$14*Assumptions!$B$11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,Actuals!N10)</f>
        <v>395741.542129584</v>
      </c>
      <c r="N11" s="14" t="n">
        <f aca="false">IF(ISBLANK(Actuals!O10),786650.7*Curves!K$7/SUM(Curves!$E$7:$Q$7)+423567.58*Curves!K$8/SUM(Curves!$E$8:$P$8)+587411.37*Curves!K$9/SUM(Curves!$E$9:$P$9)+188608.6*Curves!K$4/SUM(Curves!$E$4:$T$4)+SUMPRODUCT((Projects!$G$7:$G$14="Yes")*(10&gt;=Projects!$C$7:$C$14)*(10&lt;Projects!$C$7:$C$14+Projects!$D$7:$D$14)*Projects!$B$7:$B$14*Assumptions!$B$11/Projects!$D$7:$D$14*0.95)+SUMPRODUCT((Projects!$G$7:$G$14="Yes")*(10=Projects!$C$7:$C$14+Projects!$D$7:$D$14-1)*Projects!$B$7:$B$14*Assumptions!$B$11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,Actuals!O10)</f>
        <v>382643.022158314</v>
      </c>
      <c r="O11" s="14" t="n">
        <f aca="false">IF(ISBLANK(Actuals!P10),786650.7*Curves!L$7/SUM(Curves!$E$7:$Q$7)+423567.58*Curves!L$8/SUM(Curves!$E$8:$P$8)+587411.37*Curves!L$9/SUM(Curves!$E$9:$P$9)+188608.6*Curves!L$4/SUM(Curves!$E$4:$T$4)+SUMPRODUCT((Projects!$G$7:$G$14="Yes")*(11&gt;=Projects!$C$7:$C$14)*(11&lt;Projects!$C$7:$C$14+Projects!$D$7:$D$14)*Projects!$B$7:$B$14*Assumptions!$B$11/Projects!$D$7:$D$14*0.95)+SUMPRODUCT((Projects!$G$7:$G$14="Yes")*(11=Projects!$C$7:$C$14+Projects!$D$7:$D$14-1)*Projects!$B$7:$B$14*Assumptions!$B$11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,Actuals!P10)</f>
        <v>367313.561574119</v>
      </c>
      <c r="P11" s="14" t="n">
        <f aca="false">IF(ISBLANK(Actuals!Q10),786650.7*Curves!M$7/SUM(Curves!$E$7:$Q$7)+423567.58*Curves!M$8/SUM(Curves!$E$8:$P$8)+587411.37*Curves!M$9/SUM(Curves!$E$9:$P$9)+188608.6*Curves!M$4/SUM(Curves!$E$4:$T$4)+SUMPRODUCT((Projects!$G$7:$G$14="Yes")*(12&gt;=Projects!$C$7:$C$14)*(12&lt;Projects!$C$7:$C$14+Projects!$D$7:$D$14)*Projects!$B$7:$B$14*Assumptions!$B$11/Projects!$D$7:$D$14*0.95)+SUMPRODUCT((Projects!$G$7:$G$14="Yes")*(12=Projects!$C$7:$C$14+Projects!$D$7:$D$14-1)*Projects!$B$7:$B$14*Assumptions!$B$11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,Actuals!Q10)</f>
        <v>350560.682601426</v>
      </c>
      <c r="Q11" s="14" t="n">
        <f aca="false">IF(ISBLANK(Actuals!R10),786650.7*Curves!N$7/SUM(Curves!$E$7:$Q$7)+423567.58*Curves!N$8/SUM(Curves!$E$8:$P$8)+587411.37*Curves!N$9/SUM(Curves!$E$9:$P$9)+188608.6*Curves!N$4/SUM(Curves!$E$4:$T$4)+SUMPRODUCT((Projects!$G$7:$G$14="Yes")*(13&gt;=Projects!$C$7:$C$14)*(13&lt;Projects!$C$7:$C$14+Projects!$D$7:$D$14)*Projects!$B$7:$B$14*Assumptions!$B$11/Projects!$D$7:$D$14*0.95)+SUMPRODUCT((Projects!$G$7:$G$14="Yes")*(13=Projects!$C$7:$C$14+Projects!$D$7:$D$14-1)*Projects!$B$7:$B$14*Assumptions!$B$11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,Actuals!R10)</f>
        <v>407160.564761147</v>
      </c>
      <c r="R11" s="14" t="n">
        <f aca="false">IF(ISBLANK(Actuals!S10),786650.7*Curves!O$7/SUM(Curves!$E$7:$Q$7)+423567.58*Curves!O$8/SUM(Curves!$E$8:$P$8)+587411.37*Curves!O$9/SUM(Curves!$E$9:$P$9)+188608.6*Curves!O$4/SUM(Curves!$E$4:$T$4)+SUMPRODUCT((Projects!$G$7:$G$14="Yes")*(14&gt;=Projects!$C$7:$C$14)*(14&lt;Projects!$C$7:$C$14+Projects!$D$7:$D$14)*Projects!$B$7:$B$14*Assumptions!$B$11/Projects!$D$7:$D$14*0.95)+SUMPRODUCT((Projects!$G$7:$G$14="Yes")*(14=Projects!$C$7:$C$14+Projects!$D$7:$D$14-1)*Projects!$B$7:$B$14*Assumptions!$B$11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,Actuals!S10)</f>
        <v>389938.634111092</v>
      </c>
      <c r="S11" s="14" t="n">
        <f aca="false">IF(ISBLANK(Actuals!T10),786650.7*Curves!P$7/SUM(Curves!$E$7:$Q$7)+423567.58*Curves!P$8/SUM(Curves!$E$8:$P$8)+587411.37*Curves!P$9/SUM(Curves!$E$9:$P$9)+188608.6*Curves!P$4/SUM(Curves!$E$4:$T$4)+SUMPRODUCT((Projects!$G$7:$G$14="Yes")*(15&gt;=Projects!$C$7:$C$14)*(15&lt;Projects!$C$7:$C$14+Projects!$D$7:$D$14)*Projects!$B$7:$B$14*Assumptions!$B$11/Projects!$D$7:$D$14*0.95)+SUMPRODUCT((Projects!$G$7:$G$14="Yes")*(15=Projects!$C$7:$C$14+Projects!$D$7:$D$14-1)*Projects!$B$7:$B$14*Assumptions!$B$11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,Actuals!T10)</f>
        <v>373498.250734309</v>
      </c>
      <c r="T11" s="14" t="n">
        <f aca="false">IF(ISBLANK(Actuals!U10),786650.7*Curves!Q$7/SUM(Curves!$E$7:$Q$7)+160493.35*Curves!Q$4/SUM(Curves!$E$4:$T$4)+SUMPRODUCT((Projects!$G$7:$G$14="Yes")*(16&gt;=Projects!$C$7:$C$14)*(16&lt;Projects!$C$7:$C$14+Projects!$D$7:$D$14)*Projects!$B$7:$B$14*Assumptions!$B$11/Projects!$D$7:$D$14*0.95)+SUMPRODUCT((Projects!$G$7:$G$14="Yes")*(16=Projects!$C$7:$C$14+Projects!$D$7:$D$14-1)*Projects!$B$7:$B$14*Assumptions!$B$11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,Actuals!U10)</f>
        <v>325618.609408401</v>
      </c>
      <c r="U11" s="14" t="n">
        <f aca="false">IF(ISBLANK(Actuals!V10),211665.17*Curves!R$4/SUM(Curves!$E$4:$T$4)+SUMPRODUCT((Projects!$G$7:$G$14="Yes")*(17&gt;=Projects!$C$7:$C$14)*(17&lt;Projects!$C$7:$C$14+Projects!$D$7:$D$14)*Projects!$B$7:$B$14*Assumptions!$B$11/Projects!$D$7:$D$14*0.95)+SUMPRODUCT((Projects!$G$7:$G$14="Yes")*(17=Projects!$C$7:$C$14+Projects!$D$7:$D$14-1)*Projects!$B$7:$B$14*Assumptions!$B$11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,Actuals!V10)</f>
        <v>297699.615362029</v>
      </c>
      <c r="V11" s="14" t="n">
        <f aca="false">IF(ISBLANK(Actuals!W10),211665.17*Curves!S$4/SUM(Curves!$E$4:$T$4)+SUMPRODUCT((Projects!$G$7:$G$14="Yes")*(18&gt;=Projects!$C$7:$C$14)*(18&lt;Projects!$C$7:$C$14+Projects!$D$7:$D$14)*Projects!$B$7:$B$14*Assumptions!$B$11/Projects!$D$7:$D$14*0.95)+SUMPRODUCT((Projects!$G$7:$G$14="Yes")*(18=Projects!$C$7:$C$14+Projects!$D$7:$D$14-1)*Projects!$B$7:$B$14*Assumptions!$B$11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,Actuals!W10)</f>
        <v>296121.121722632</v>
      </c>
      <c r="W11" s="14" t="n">
        <f aca="false">IF(ISBLANK(Actuals!X10),211665.17*Curves!T$4/SUM(Curves!$E$4:$T$4)+SUMPRODUCT((Projects!$G$7:$G$14="Yes")*(19&gt;=Projects!$C$7:$C$14)*(19&lt;Projects!$C$7:$C$14+Projects!$D$7:$D$14)*Projects!$B$7:$B$14*Assumptions!$B$11/Projects!$D$7:$D$14*0.95)+SUMPRODUCT((Projects!$G$7:$G$14="Yes")*(19=Projects!$C$7:$C$14+Projects!$D$7:$D$14-1)*Projects!$B$7:$B$14*Assumptions!$B$11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,Actuals!X10)</f>
        <v>294654.656273385</v>
      </c>
      <c r="X11" s="14" t="n">
        <f aca="false">IF(ISBLANK(Actuals!Y10),0+SUMPRODUCT((Projects!$G$7:$G$14="Yes")*(20&gt;=Projects!$C$7:$C$14)*(20&lt;Projects!$C$7:$C$14+Projects!$D$7:$D$14)*Projects!$B$7:$B$14*Assumptions!$B$11/Projects!$D$7:$D$14*0.95)+SUMPRODUCT((Projects!$G$7:$G$14="Yes")*(20=Projects!$C$7:$C$14+Projects!$D$7:$D$14-1)*Projects!$B$7:$B$14*Assumptions!$B$11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,Actuals!Y10)</f>
        <v>288426.87531283</v>
      </c>
      <c r="Y11" s="14" t="n">
        <f aca="false">IF(ISBLANK(Actuals!Z10),0+SUMPRODUCT((Projects!$G$7:$G$14="Yes")*(21&gt;=Projects!$C$7:$C$14)*(21&lt;Projects!$C$7:$C$14+Projects!$D$7:$D$14)*Projects!$B$7:$B$14*Assumptions!$B$11/Projects!$D$7:$D$14*0.95)+SUMPRODUCT((Projects!$G$7:$G$14="Yes")*(21=Projects!$C$7:$C$14+Projects!$D$7:$D$14-1)*Projects!$B$7:$B$14*Assumptions!$B$11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,Actuals!Z10)</f>
        <v>288426.87531283</v>
      </c>
      <c r="Z11" s="14" t="n">
        <f aca="false">IF(ISBLANK(Actuals!AA10),0+SUMPRODUCT((Projects!$G$7:$G$14="Yes")*(22&gt;=Projects!$C$7:$C$14)*(22&lt;Projects!$C$7:$C$14+Projects!$D$7:$D$14)*Projects!$B$7:$B$14*Assumptions!$B$11/Projects!$D$7:$D$14*0.95)+SUMPRODUCT((Projects!$G$7:$G$14="Yes")*(22=Projects!$C$7:$C$14+Projects!$D$7:$D$14-1)*Projects!$B$7:$B$14*Assumptions!$B$11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,Actuals!AA10)</f>
        <v>288426.87531283</v>
      </c>
      <c r="AA11" s="14" t="n">
        <f aca="false">IF(ISBLANK(Actuals!AB10),0+SUMPRODUCT((Projects!$G$7:$G$14="Yes")*(23&gt;=Projects!$C$7:$C$14)*(23&lt;Projects!$C$7:$C$14+Projects!$D$7:$D$14)*Projects!$B$7:$B$14*Assumptions!$B$11/Projects!$D$7:$D$14*0.95)+SUMPRODUCT((Projects!$G$7:$G$14="Yes")*(23=Projects!$C$7:$C$14+Projects!$D$7:$D$14-1)*Projects!$B$7:$B$14*Assumptions!$B$11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,Actuals!AB10)</f>
        <v>321948.21876662</v>
      </c>
      <c r="AB11" s="14" t="n">
        <f aca="false">IF(ISBLANK(Actuals!AC10),0+SUMPRODUCT((Projects!$G$7:$G$14="Yes")*(24&gt;=Projects!$C$7:$C$14)*(24&lt;Projects!$C$7:$C$14+Projects!$D$7:$D$14)*Projects!$B$7:$B$14*Assumptions!$B$11/Projects!$D$7:$D$14*0.95)+SUMPRODUCT((Projects!$G$7:$G$14="Yes")*(24=Projects!$C$7:$C$14+Projects!$D$7:$D$14-1)*Projects!$B$7:$B$14*Assumptions!$B$11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,Actuals!AC10)</f>
        <v>254905.53185904</v>
      </c>
      <c r="AC11" s="14" t="n">
        <f aca="false">IF(ISBLANK(Actuals!AD10),0+SUMPRODUCT((Projects!$G$7:$G$14="Yes")*(25&gt;=Projects!$C$7:$C$14)*(25&lt;Projects!$C$7:$C$14+Projects!$D$7:$D$14)*Projects!$B$7:$B$14*Assumptions!$B$11/Projects!$D$7:$D$14*0.95)+SUMPRODUCT((Projects!$G$7:$G$14="Yes")*(25=Projects!$C$7:$C$14+Projects!$D$7:$D$14-1)*Projects!$B$7:$B$14*Assumptions!$B$11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,Actuals!AD10)</f>
        <v>299077.67235664</v>
      </c>
      <c r="AD11" s="14" t="n">
        <f aca="false">IF(ISBLANK(Actuals!AE10),0+SUMPRODUCT((Projects!$G$7:$G$14="Yes")*(26&gt;=Projects!$C$7:$C$14)*(26&lt;Projects!$C$7:$C$14+Projects!$D$7:$D$14)*Projects!$B$7:$B$14*Assumptions!$B$11/Projects!$D$7:$D$14*0.95)+SUMPRODUCT((Projects!$G$7:$G$14="Yes")*(26=Projects!$C$7:$C$14+Projects!$D$7:$D$14-1)*Projects!$B$7:$B$14*Assumptions!$B$11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,Actuals!AE10)</f>
        <v>210733.39136144</v>
      </c>
      <c r="AE11" s="14" t="n">
        <f aca="false">IF(ISBLANK(Actuals!AF10),0+SUMPRODUCT((Projects!$G$7:$G$14="Yes")*(27&gt;=Projects!$C$7:$C$14)*(27&lt;Projects!$C$7:$C$14+Projects!$D$7:$D$14)*Projects!$B$7:$B$14*Assumptions!$B$11/Projects!$D$7:$D$14*0.95)+SUMPRODUCT((Projects!$G$7:$G$14="Yes")*(27=Projects!$C$7:$C$14+Projects!$D$7:$D$14-1)*Projects!$B$7:$B$14*Assumptions!$B$11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,Actuals!AF10)</f>
        <v>278301.621796054</v>
      </c>
      <c r="AF11" s="14" t="n">
        <f aca="false">IF(ISBLANK(Actuals!AG10),0+SUMPRODUCT((Projects!$G$7:$G$14="Yes")*(28&gt;=Projects!$C$7:$C$14)*(28&lt;Projects!$C$7:$C$14+Projects!$D$7:$D$14)*Projects!$B$7:$B$14*Assumptions!$B$11/Projects!$D$7:$D$14*0.95)+SUMPRODUCT((Projects!$G$7:$G$14="Yes")*(28=Projects!$C$7:$C$14+Projects!$D$7:$D$14-1)*Projects!$B$7:$B$14*Assumptions!$B$11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,Actuals!AG10)</f>
        <v>278301.621796054</v>
      </c>
      <c r="AG11" s="14" t="n">
        <f aca="false">IF(ISBLANK(Actuals!AH10),0+SUMPRODUCT((Projects!$G$7:$G$14="Yes")*(29&gt;=Projects!$C$7:$C$14)*(29&lt;Projects!$C$7:$C$14+Projects!$D$7:$D$14)*Projects!$B$7:$B$14*Assumptions!$B$11/Projects!$D$7:$D$14*0.95)+SUMPRODUCT((Projects!$G$7:$G$14="Yes")*(29=Projects!$C$7:$C$14+Projects!$D$7:$D$14-1)*Projects!$B$7:$B$14*Assumptions!$B$11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,Actuals!AH10)</f>
        <v>333156.954015054</v>
      </c>
      <c r="AH11" s="14" t="n">
        <f aca="false">IF(ISBLANK(Actuals!AI10),0+SUMPRODUCT((Projects!$G$7:$G$14="Yes")*(30&gt;=Projects!$C$7:$C$14)*(30&lt;Projects!$C$7:$C$14+Projects!$D$7:$D$14)*Projects!$B$7:$B$14*Assumptions!$B$11/Projects!$D$7:$D$14*0.95)+SUMPRODUCT((Projects!$G$7:$G$14="Yes")*(30=Projects!$C$7:$C$14+Projects!$D$7:$D$14-1)*Projects!$B$7:$B$14*Assumptions!$B$11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,Actuals!AI10)</f>
        <v>234874.483789345</v>
      </c>
      <c r="AI11" s="14" t="n">
        <f aca="false">IF(ISBLANK(Actuals!AJ10),0+SUMPRODUCT((Projects!$G$7:$G$14="Yes")*(31&gt;=Projects!$C$7:$C$14)*(31&lt;Projects!$C$7:$C$14+Projects!$D$7:$D$14)*Projects!$B$7:$B$14*Assumptions!$B$11/Projects!$D$7:$D$14*0.95)+SUMPRODUCT((Projects!$G$7:$G$14="Yes")*(31=Projects!$C$7:$C$14+Projects!$D$7:$D$14-1)*Projects!$B$7:$B$14*Assumptions!$B$11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,Actuals!AJ10)</f>
        <v>234874.483789345</v>
      </c>
      <c r="AJ11" s="14" t="n">
        <f aca="false">IF(ISBLANK(Actuals!AK10),0+SUMPRODUCT((Projects!$G$7:$G$14="Yes")*(32&gt;=Projects!$C$7:$C$14)*(32&lt;Projects!$C$7:$C$14+Projects!$D$7:$D$14)*Projects!$B$7:$B$14*Assumptions!$B$11/Projects!$D$7:$D$14*0.95)+SUMPRODUCT((Projects!$G$7:$G$14="Yes")*(32=Projects!$C$7:$C$14+Projects!$D$7:$D$14-1)*Projects!$B$7:$B$14*Assumptions!$B$11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,Actuals!AK10)</f>
        <v>234874.483789345</v>
      </c>
      <c r="AK11" s="14" t="n">
        <f aca="false">IF(ISBLANK(Actuals!AL10),0+SUMPRODUCT((Projects!$G$7:$G$14="Yes")*(33&gt;=Projects!$C$7:$C$14)*(33&lt;Projects!$C$7:$C$14+Projects!$D$7:$D$14)*Projects!$B$7:$B$14*Assumptions!$B$11/Projects!$D$7:$D$14*0.95)+SUMPRODUCT((Projects!$G$7:$G$14="Yes")*(33=Projects!$C$7:$C$14+Projects!$D$7:$D$14-1)*Projects!$B$7:$B$14*Assumptions!$B$11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,Actuals!AL10)</f>
        <v>234874.483789345</v>
      </c>
      <c r="AL11" s="14" t="n">
        <f aca="false">IF(ISBLANK(Actuals!AM10),0+SUMPRODUCT((Projects!$G$7:$G$14="Yes")*(34&gt;=Projects!$C$7:$C$14)*(34&lt;Projects!$C$7:$C$14+Projects!$D$7:$D$14)*Projects!$B$7:$B$14*Assumptions!$B$11/Projects!$D$7:$D$14*0.95)+SUMPRODUCT((Projects!$G$7:$G$14="Yes")*(34=Projects!$C$7:$C$14+Projects!$D$7:$D$14-1)*Projects!$B$7:$B$14*Assumptions!$B$11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,Actuals!AM10)</f>
        <v>382263.038998185</v>
      </c>
      <c r="AM11" s="14" t="n">
        <f aca="false">IF(ISBLANK(Actuals!AN10),0+SUMPRODUCT((Projects!$G$7:$G$14="Yes")*(35&gt;=Projects!$C$7:$C$14)*(35&lt;Projects!$C$7:$C$14+Projects!$D$7:$D$14)*Projects!$B$7:$B$14*Assumptions!$B$11/Projects!$D$7:$D$14*0.95)+SUMPRODUCT((Projects!$G$7:$G$14="Yes")*(35=Projects!$C$7:$C$14+Projects!$D$7:$D$14-1)*Projects!$B$7:$B$14*Assumptions!$B$11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,Actuals!AN10)</f>
        <v>141528.398823747</v>
      </c>
      <c r="AN11" s="14" t="n">
        <f aca="false">IF(ISBLANK(Actuals!AO10),0+SUMPRODUCT((Projects!$G$7:$G$14="Yes")*(36&gt;=Projects!$C$7:$C$14)*(36&lt;Projects!$C$7:$C$14+Projects!$D$7:$D$14)*Projects!$B$7:$B$14*Assumptions!$B$11/Projects!$D$7:$D$14*0.95)+SUMPRODUCT((Projects!$G$7:$G$14="Yes")*(36=Projects!$C$7:$C$14+Projects!$D$7:$D$14-1)*Projects!$B$7:$B$14*Assumptions!$B$11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,Actuals!AO10)</f>
        <v>141528.398823747</v>
      </c>
      <c r="AO11" s="14" t="n">
        <f aca="false">IF(ISBLANK(Actuals!AP10),0+SUMPRODUCT((Projects!$G$7:$G$14="Yes")*(37&gt;=Projects!$C$7:$C$14)*(37&lt;Projects!$C$7:$C$14+Projects!$D$7:$D$14)*Projects!$B$7:$B$14*Assumptions!$B$11/Projects!$D$7:$D$14*0.95)+SUMPRODUCT((Projects!$G$7:$G$14="Yes")*(37=Projects!$C$7:$C$14+Projects!$D$7:$D$14-1)*Projects!$B$7:$B$14*Assumptions!$B$11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,Actuals!AP10)</f>
        <v>141528.398823747</v>
      </c>
      <c r="AP11" s="14" t="n">
        <f aca="false">IF(ISBLANK(Actuals!AQ10),0+SUMPRODUCT((Projects!$G$7:$G$14="Yes")*(38&gt;=Projects!$C$7:$C$14)*(38&lt;Projects!$C$7:$C$14+Projects!$D$7:$D$14)*Projects!$B$7:$B$14*Assumptions!$B$11/Projects!$D$7:$D$14*0.95)+SUMPRODUCT((Projects!$G$7:$G$14="Yes")*(38=Projects!$C$7:$C$14+Projects!$D$7:$D$14-1)*Projects!$B$7:$B$14*Assumptions!$B$11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,Actuals!AQ10)</f>
        <v>141528.398823747</v>
      </c>
      <c r="AQ11" s="14" t="n">
        <f aca="false">IF(ISBLANK(Actuals!AR10),0+SUMPRODUCT((Projects!$G$7:$G$14="Yes")*(39&gt;=Projects!$C$7:$C$14)*(39&lt;Projects!$C$7:$C$14+Projects!$D$7:$D$14)*Projects!$B$7:$B$14*Assumptions!$B$11/Projects!$D$7:$D$14*0.95)+SUMPRODUCT((Projects!$G$7:$G$14="Yes")*(39=Projects!$C$7:$C$14+Projects!$D$7:$D$14-1)*Projects!$B$7:$B$14*Assumptions!$B$11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,Actuals!AR10)</f>
        <v>141528.398823747</v>
      </c>
      <c r="AR11" s="14" t="n">
        <f aca="false">IF(ISBLANK(Actuals!AS10),0+SUMPRODUCT((Projects!$G$7:$G$14="Yes")*(40&gt;=Projects!$C$7:$C$14)*(40&lt;Projects!$C$7:$C$14+Projects!$D$7:$D$14)*Projects!$B$7:$B$14*Assumptions!$B$11/Projects!$D$7:$D$14*0.95)+SUMPRODUCT((Projects!$G$7:$G$14="Yes")*(40=Projects!$C$7:$C$14+Projects!$D$7:$D$14-1)*Projects!$B$7:$B$14*Assumptions!$B$11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,Actuals!AS10)</f>
        <v>141528.398823747</v>
      </c>
      <c r="AS11" s="14" t="n">
        <f aca="false">IF(ISBLANK(Actuals!AT10),0+SUMPRODUCT((Projects!$G$7:$G$14="Yes")*(41&gt;=Projects!$C$7:$C$14)*(41&lt;Projects!$C$7:$C$14+Projects!$D$7:$D$14)*Projects!$B$7:$B$14*Assumptions!$B$11/Projects!$D$7:$D$14*0.95)+SUMPRODUCT((Projects!$G$7:$G$14="Yes")*(41=Projects!$C$7:$C$14+Projects!$D$7:$D$14-1)*Projects!$B$7:$B$14*Assumptions!$B$11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,Actuals!AT10)</f>
        <v>141528.398823747</v>
      </c>
      <c r="AT11" s="14" t="n">
        <f aca="false">IF(ISBLANK(Actuals!AU10),0+SUMPRODUCT((Projects!$G$7:$G$14="Yes")*(42&gt;=Projects!$C$7:$C$14)*(42&lt;Projects!$C$7:$C$14+Projects!$D$7:$D$14)*Projects!$B$7:$B$14*Assumptions!$B$11/Projects!$D$7:$D$14*0.95)+SUMPRODUCT((Projects!$G$7:$G$14="Yes")*(42=Projects!$C$7:$C$14+Projects!$D$7:$D$14-1)*Projects!$B$7:$B$14*Assumptions!$B$11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,Actuals!AU10)</f>
        <v>258307.612069747</v>
      </c>
      <c r="AU11" s="14" t="n">
        <f aca="false">IF(ISBLANK(Actuals!AV10),0+SUMPRODUCT((Projects!$G$7:$G$14="Yes")*(43&gt;=Projects!$C$7:$C$14)*(43&lt;Projects!$C$7:$C$14+Projects!$D$7:$D$14)*Projects!$B$7:$B$14*Assumptions!$B$11/Projects!$D$7:$D$14*0.95)+SUMPRODUCT((Projects!$G$7:$G$14="Yes")*(43=Projects!$C$7:$C$14+Projects!$D$7:$D$14-1)*Projects!$B$7:$B$14*Assumptions!$B$11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,Actuals!AV10)</f>
        <v>67568.2304346134</v>
      </c>
      <c r="AV11" s="14" t="n">
        <f aca="false">IF(ISBLANK(Actuals!AW10),0+SUMPRODUCT((Projects!$G$7:$G$14="Yes")*(44&gt;=Projects!$C$7:$C$14)*(44&lt;Projects!$C$7:$C$14+Projects!$D$7:$D$14)*Projects!$B$7:$B$14*Assumptions!$B$11/Projects!$D$7:$D$14*0.95)+SUMPRODUCT((Projects!$G$7:$G$14="Yes")*(44=Projects!$C$7:$C$14+Projects!$D$7:$D$14-1)*Projects!$B$7:$B$14*Assumptions!$B$11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,Actuals!AW10)</f>
        <v>67568.2304346134</v>
      </c>
      <c r="AW11" s="14" t="n">
        <f aca="false">IF(ISBLANK(Actuals!AX10),0+SUMPRODUCT((Projects!$G$7:$G$14="Yes")*(45&gt;=Projects!$C$7:$C$14)*(45&lt;Projects!$C$7:$C$14+Projects!$D$7:$D$14)*Projects!$B$7:$B$14*Assumptions!$B$11/Projects!$D$7:$D$14*0.95)+SUMPRODUCT((Projects!$G$7:$G$14="Yes")*(45=Projects!$C$7:$C$14+Projects!$D$7:$D$14-1)*Projects!$B$7:$B$14*Assumptions!$B$11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,Actuals!AX10)</f>
        <v>67568.2304346134</v>
      </c>
      <c r="AX11" s="14" t="n">
        <f aca="false">IF(ISBLANK(Actuals!AY10),0+SUMPRODUCT((Projects!$G$7:$G$14="Yes")*(46&gt;=Projects!$C$7:$C$14)*(46&lt;Projects!$C$7:$C$14+Projects!$D$7:$D$14)*Projects!$B$7:$B$14*Assumptions!$B$11/Projects!$D$7:$D$14*0.95)+SUMPRODUCT((Projects!$G$7:$G$14="Yes")*(46=Projects!$C$7:$C$14+Projects!$D$7:$D$14-1)*Projects!$B$7:$B$14*Assumptions!$B$11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,Actuals!AY10)</f>
        <v>67568.2304346134</v>
      </c>
      <c r="AY11" s="14" t="n">
        <f aca="false">IF(ISBLANK(Actuals!AZ10),0+SUMPRODUCT((Projects!$G$7:$G$14="Yes")*(47&gt;=Projects!$C$7:$C$14)*(47&lt;Projects!$C$7:$C$14+Projects!$D$7:$D$14)*Projects!$B$7:$B$14*Assumptions!$B$11/Projects!$D$7:$D$14*0.95)+SUMPRODUCT((Projects!$G$7:$G$14="Yes")*(47=Projects!$C$7:$C$14+Projects!$D$7:$D$14-1)*Projects!$B$7:$B$14*Assumptions!$B$11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,Actuals!AZ10)</f>
        <v>67568.2304346134</v>
      </c>
      <c r="AZ11" s="14" t="n">
        <f aca="false">IF(ISBLANK(Actuals!BA10),0+SUMPRODUCT((Projects!$G$7:$G$14="Yes")*(48&gt;=Projects!$C$7:$C$14)*(48&lt;Projects!$C$7:$C$14+Projects!$D$7:$D$14)*Projects!$B$7:$B$14*Assumptions!$B$11/Projects!$D$7:$D$14*0.95)+SUMPRODUCT((Projects!$G$7:$G$14="Yes")*(48=Projects!$C$7:$C$14+Projects!$D$7:$D$14-1)*Projects!$B$7:$B$14*Assumptions!$B$11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,Actuals!BA10)</f>
        <v>67568.2304346134</v>
      </c>
      <c r="BA11" s="14" t="n">
        <f aca="false">IF(ISBLANK(Actuals!BB10),0+SUMPRODUCT((Projects!$G$7:$G$14="Yes")*(49&gt;=Projects!$C$7:$C$14)*(49&lt;Projects!$C$7:$C$14+Projects!$D$7:$D$14)*Projects!$B$7:$B$14*Assumptions!$B$11/Projects!$D$7:$D$14*0.95)+SUMPRODUCT((Projects!$G$7:$G$14="Yes")*(49=Projects!$C$7:$C$14+Projects!$D$7:$D$14-1)*Projects!$B$7:$B$14*Assumptions!$B$11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,Actuals!BB10)</f>
        <v>67568.2304346134</v>
      </c>
      <c r="BB11" s="14" t="n">
        <f aca="false">IF(ISBLANK(Actuals!BC10),0+SUMPRODUCT((Projects!$G$7:$G$14="Yes")*(50&gt;=Projects!$C$7:$C$14)*(50&lt;Projects!$C$7:$C$14+Projects!$D$7:$D$14)*Projects!$B$7:$B$14*Assumptions!$B$11/Projects!$D$7:$D$14*0.95)+SUMPRODUCT((Projects!$G$7:$G$14="Yes")*(50=Projects!$C$7:$C$14+Projects!$D$7:$D$14-1)*Projects!$B$7:$B$14*Assumptions!$B$11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,Actuals!BC10)</f>
        <v>67568.2304346134</v>
      </c>
      <c r="BC11" s="14" t="n">
        <f aca="false">IF(ISBLANK(Actuals!BD10),0+SUMPRODUCT((Projects!$G$7:$G$14="Yes")*(51&gt;=Projects!$C$7:$C$14)*(51&lt;Projects!$C$7:$C$14+Projects!$D$7:$D$14)*Projects!$B$7:$B$14*Assumptions!$B$11/Projects!$D$7:$D$14*0.95)+SUMPRODUCT((Projects!$G$7:$G$14="Yes")*(51=Projects!$C$7:$C$14+Projects!$D$7:$D$14-1)*Projects!$B$7:$B$14*Assumptions!$B$11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,Actuals!BD10)</f>
        <v>67568.2304346134</v>
      </c>
      <c r="BD11" s="14" t="n">
        <f aca="false">IF(ISBLANK(Actuals!BE10),0+SUMPRODUCT((Projects!$G$7:$G$14="Yes")*(52&gt;=Projects!$C$7:$C$14)*(52&lt;Projects!$C$7:$C$14+Projects!$D$7:$D$14)*Projects!$B$7:$B$14*Assumptions!$B$11/Projects!$D$7:$D$14*0.95)+SUMPRODUCT((Projects!$G$7:$G$14="Yes")*(52=Projects!$C$7:$C$14+Projects!$D$7:$D$14-1)*Projects!$B$7:$B$14*Assumptions!$B$11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,Actuals!BE10)</f>
        <v>67568.2304346134</v>
      </c>
      <c r="BE11" s="14" t="n">
        <f aca="false">IF(ISBLANK(Actuals!BF10),0+SUMPRODUCT((Projects!$G$7:$G$14="Yes")*(53&gt;=Projects!$C$7:$C$14)*(53&lt;Projects!$C$7:$C$14+Projects!$D$7:$D$14)*Projects!$B$7:$B$14*Assumptions!$B$11/Projects!$D$7:$D$14*0.95)+SUMPRODUCT((Projects!$G$7:$G$14="Yes")*(53=Projects!$C$7:$C$14+Projects!$D$7:$D$14-1)*Projects!$B$7:$B$14*Assumptions!$B$11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,Actuals!BF10)</f>
        <v>67568.2304346134</v>
      </c>
      <c r="BF11" s="14" t="n">
        <f aca="false">IF(ISBLANK(Actuals!BG10),0+SUMPRODUCT((Projects!$G$7:$G$14="Yes")*(54&gt;=Projects!$C$7:$C$14)*(54&lt;Projects!$C$7:$C$14+Projects!$D$7:$D$14)*Projects!$B$7:$B$14*Assumptions!$B$11/Projects!$D$7:$D$14*0.95)+SUMPRODUCT((Projects!$G$7:$G$14="Yes")*(54=Projects!$C$7:$C$14+Projects!$D$7:$D$14-1)*Projects!$B$7:$B$14*Assumptions!$B$11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,Actuals!BG10)</f>
        <v>67568.2304346134</v>
      </c>
      <c r="BG11" s="14" t="n">
        <f aca="false">IF(ISBLANK(Actuals!BH10),0+SUMPRODUCT((Projects!$G$7:$G$14="Yes")*(55&gt;=Projects!$C$7:$C$14)*(55&lt;Projects!$C$7:$C$14+Projects!$D$7:$D$14)*Projects!$B$7:$B$14*Assumptions!$B$11/Projects!$D$7:$D$14*0.95)+SUMPRODUCT((Projects!$G$7:$G$14="Yes")*(55=Projects!$C$7:$C$14+Projects!$D$7:$D$14-1)*Projects!$B$7:$B$14*Assumptions!$B$11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,Actuals!BH10)</f>
        <v>67568.2304346134</v>
      </c>
      <c r="BH11" s="14" t="n">
        <f aca="false">IF(ISBLANK(Actuals!BI10),0+SUMPRODUCT((Projects!$G$7:$G$14="Yes")*(56&gt;=Projects!$C$7:$C$14)*(56&lt;Projects!$C$7:$C$14+Projects!$D$7:$D$14)*Projects!$B$7:$B$14*Assumptions!$B$11/Projects!$D$7:$D$14*0.95)+SUMPRODUCT((Projects!$G$7:$G$14="Yes")*(56=Projects!$C$7:$C$14+Projects!$D$7:$D$14-1)*Projects!$B$7:$B$14*Assumptions!$B$11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,Actuals!BI10)</f>
        <v>174254.910068213</v>
      </c>
      <c r="BI11" s="14" t="n">
        <f aca="false">IF(ISBLANK(Actuals!BJ10),0+SUMPRODUCT((Projects!$G$7:$G$14="Yes")*(57&gt;=Projects!$C$7:$C$14)*(57&lt;Projects!$C$7:$C$14+Projects!$D$7:$D$14)*Projects!$B$7:$B$14*Assumptions!$B$11/Projects!$D$7:$D$14*0.95)+SUMPRODUCT((Projects!$G$7:$G$14="Yes")*(57=Projects!$C$7:$C$14+Projects!$D$7:$D$14-1)*Projects!$B$7:$B$14*Assumptions!$B$11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,Actuals!BJ10)</f>
        <v>0</v>
      </c>
      <c r="BJ11" s="14" t="n">
        <f aca="false">IF(ISBLANK(Actuals!BK10),0+SUMPRODUCT((Projects!$G$7:$G$14="Yes")*(58&gt;=Projects!$C$7:$C$14)*(58&lt;Projects!$C$7:$C$14+Projects!$D$7:$D$14)*Projects!$B$7:$B$14*Assumptions!$B$11/Projects!$D$7:$D$14*0.95)+SUMPRODUCT((Projects!$G$7:$G$14="Yes")*(58=Projects!$C$7:$C$14+Projects!$D$7:$D$14-1)*Projects!$B$7:$B$14*Assumptions!$B$11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,Actuals!BK10)</f>
        <v>0</v>
      </c>
      <c r="BK11" s="14" t="n">
        <f aca="false">IF(ISBLANK(Actuals!BL10),0+SUMPRODUCT((Projects!$G$7:$G$14="Yes")*(59&gt;=Projects!$C$7:$C$14)*(59&lt;Projects!$C$7:$C$14+Projects!$D$7:$D$14)*Projects!$B$7:$B$14*Assumptions!$B$11/Projects!$D$7:$D$14*0.95)+SUMPRODUCT((Projects!$G$7:$G$14="Yes")*(59=Projects!$C$7:$C$14+Projects!$D$7:$D$14-1)*Projects!$B$7:$B$14*Assumptions!$B$11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,Actuals!BL10)</f>
        <v>0</v>
      </c>
      <c r="BL11" s="14" t="n">
        <f aca="false">IF(ISBLANK(Actuals!BM10),0+SUMPRODUCT((Projects!$G$7:$G$14="Yes")*(60&gt;=Projects!$C$7:$C$14)*(60&lt;Projects!$C$7:$C$14+Projects!$D$7:$D$14)*Projects!$B$7:$B$14*Assumptions!$B$11/Projects!$D$7:$D$14*0.95)+SUMPRODUCT((Projects!$G$7:$G$14="Yes")*(60=Projects!$C$7:$C$14+Projects!$D$7:$D$14-1)*Projects!$B$7:$B$14*Assumptions!$B$11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,Actuals!BM10)</f>
        <v>0</v>
      </c>
      <c r="BM11" s="14" t="n">
        <f aca="false">IF(ISBLANK(Actuals!BN10),0+SUMPRODUCT((Projects!$G$7:$G$14="Yes")*(61&gt;=Projects!$C$7:$C$14)*(61&lt;Projects!$C$7:$C$14+Projects!$D$7:$D$14)*Projects!$B$7:$B$14*Assumptions!$B$11/Projects!$D$7:$D$14*0.95)+SUMPRODUCT((Projects!$G$7:$G$14="Yes")*(61=Projects!$C$7:$C$14+Projects!$D$7:$D$14-1)*Projects!$B$7:$B$14*Assumptions!$B$11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,Actuals!BN10)</f>
        <v>0</v>
      </c>
      <c r="BN11" s="14" t="n">
        <f aca="false">IF(ISBLANK(Actuals!BO10),0+SUMPRODUCT((Projects!$G$7:$G$14="Yes")*(62&gt;=Projects!$C$7:$C$14)*(62&lt;Projects!$C$7:$C$14+Projects!$D$7:$D$14)*Projects!$B$7:$B$14*Assumptions!$B$11/Projects!$D$7:$D$14*0.95)+SUMPRODUCT((Projects!$G$7:$G$14="Yes")*(62=Projects!$C$7:$C$14+Projects!$D$7:$D$14-1)*Projects!$B$7:$B$14*Assumptions!$B$11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,Actuals!BO10)</f>
        <v>0</v>
      </c>
      <c r="BO11" s="14" t="n">
        <f aca="false">IF(ISBLANK(Actuals!BP10),0+SUMPRODUCT((Projects!$G$7:$G$14="Yes")*(63&gt;=Projects!$C$7:$C$14)*(63&lt;Projects!$C$7:$C$14+Projects!$D$7:$D$14)*Projects!$B$7:$B$14*Assumptions!$B$11/Projects!$D$7:$D$14*0.95)+SUMPRODUCT((Projects!$G$7:$G$14="Yes")*(63=Projects!$C$7:$C$14+Projects!$D$7:$D$14-1)*Projects!$B$7:$B$14*Assumptions!$B$11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,Actuals!BP10)</f>
        <v>0</v>
      </c>
      <c r="BP11" s="14" t="n">
        <f aca="false">IF(ISBLANK(Actuals!BQ10),0+SUMPRODUCT((Projects!$G$7:$G$14="Yes")*(64&gt;=Projects!$C$7:$C$14)*(64&lt;Projects!$C$7:$C$14+Projects!$D$7:$D$14)*Projects!$B$7:$B$14*Assumptions!$B$11/Projects!$D$7:$D$14*0.95)+SUMPRODUCT((Projects!$G$7:$G$14="Yes")*(64=Projects!$C$7:$C$14+Projects!$D$7:$D$14-1)*Projects!$B$7:$B$14*Assumptions!$B$11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,Actuals!BQ10)</f>
        <v>0</v>
      </c>
      <c r="BQ11" s="14" t="n">
        <f aca="false">IF(ISBLANK(Actuals!BR10),0+SUMPRODUCT((Projects!$G$7:$G$14="Yes")*(65&gt;=Projects!$C$7:$C$14)*(65&lt;Projects!$C$7:$C$14+Projects!$D$7:$D$14)*Projects!$B$7:$B$14*Assumptions!$B$11/Projects!$D$7:$D$14*0.95)+SUMPRODUCT((Projects!$G$7:$G$14="Yes")*(65=Projects!$C$7:$C$14+Projects!$D$7:$D$14-1)*Projects!$B$7:$B$14*Assumptions!$B$11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,Actuals!BR10)</f>
        <v>0</v>
      </c>
      <c r="BR11" s="14" t="n">
        <f aca="false">IF(ISBLANK(Actuals!BS10),0+SUMPRODUCT((Projects!$G$7:$G$14="Yes")*(66&gt;=Projects!$C$7:$C$14)*(66&lt;Projects!$C$7:$C$14+Projects!$D$7:$D$14)*Projects!$B$7:$B$14*Assumptions!$B$11/Projects!$D$7:$D$14*0.95)+SUMPRODUCT((Projects!$G$7:$G$14="Yes")*(66=Projects!$C$7:$C$14+Projects!$D$7:$D$14-1)*Projects!$B$7:$B$14*Assumptions!$B$11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,Actuals!BS10)</f>
        <v>0</v>
      </c>
      <c r="BS11" s="14" t="n">
        <f aca="false">IF(ISBLANK(Actuals!BT10),0+SUMPRODUCT((Projects!$G$7:$G$14="Yes")*(67&gt;=Projects!$C$7:$C$14)*(67&lt;Projects!$C$7:$C$14+Projects!$D$7:$D$14)*Projects!$B$7:$B$14*Assumptions!$B$11/Projects!$D$7:$D$14*0.95)+SUMPRODUCT((Projects!$G$7:$G$14="Yes")*(67=Projects!$C$7:$C$14+Projects!$D$7:$D$14-1)*Projects!$B$7:$B$14*Assumptions!$B$11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,Actuals!BT10)</f>
        <v>0</v>
      </c>
      <c r="BT11" s="14" t="n">
        <f aca="false">IF(ISBLANK(Actuals!BU10),0+SUMPRODUCT((Projects!$G$7:$G$14="Yes")*(68&gt;=Projects!$C$7:$C$14)*(68&lt;Projects!$C$7:$C$14+Projects!$D$7:$D$14)*Projects!$B$7:$B$14*Assumptions!$B$11/Projects!$D$7:$D$14*0.95)+SUMPRODUCT((Projects!$G$7:$G$14="Yes")*(68=Projects!$C$7:$C$14+Projects!$D$7:$D$14-1)*Projects!$B$7:$B$14*Assumptions!$B$11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,Actuals!BU10)</f>
        <v>0</v>
      </c>
      <c r="BU11" s="14" t="n">
        <f aca="false">IF(ISBLANK(Actuals!BV10),0+SUMPRODUCT((Projects!$G$7:$G$14="Yes")*(69&gt;=Projects!$C$7:$C$14)*(69&lt;Projects!$C$7:$C$14+Projects!$D$7:$D$14)*Projects!$B$7:$B$14*Assumptions!$B$11/Projects!$D$7:$D$14*0.95)+SUMPRODUCT((Projects!$G$7:$G$14="Yes")*(69=Projects!$C$7:$C$14+Projects!$D$7:$D$14-1)*Projects!$B$7:$B$14*Assumptions!$B$11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,Actuals!BV10)</f>
        <v>0</v>
      </c>
      <c r="BV11" s="14" t="n">
        <f aca="false">IF(ISBLANK(Actuals!BW10),0+SUMPRODUCT((Projects!$G$7:$G$14="Yes")*(70&gt;=Projects!$C$7:$C$14)*(70&lt;Projects!$C$7:$C$14+Projects!$D$7:$D$14)*Projects!$B$7:$B$14*Assumptions!$B$11/Projects!$D$7:$D$14*0.95)+SUMPRODUCT((Projects!$G$7:$G$14="Yes")*(70=Projects!$C$7:$C$14+Projects!$D$7:$D$14-1)*Projects!$B$7:$B$14*Assumptions!$B$11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,Actuals!BW10)</f>
        <v>0</v>
      </c>
      <c r="BW11" s="14" t="n">
        <f aca="false">IF(ISBLANK(Actuals!BX10),0+SUMPRODUCT((Projects!$G$7:$G$14="Yes")*(71&gt;=Projects!$C$7:$C$14)*(71&lt;Projects!$C$7:$C$14+Projects!$D$7:$D$14)*Projects!$B$7:$B$14*Assumptions!$B$11/Projects!$D$7:$D$14*0.95)+SUMPRODUCT((Projects!$G$7:$G$14="Yes")*(71=Projects!$C$7:$C$14+Projects!$D$7:$D$14-1)*Projects!$B$7:$B$14*Assumptions!$B$11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,Actuals!BX10)</f>
        <v>0</v>
      </c>
      <c r="BX11" s="14" t="n">
        <f aca="false">IF(ISBLANK(Actuals!BY10),0+SUMPRODUCT((Projects!$G$7:$G$14="Yes")*(72&gt;=Projects!$C$7:$C$14)*(72&lt;Projects!$C$7:$C$14+Projects!$D$7:$D$14)*Projects!$B$7:$B$14*Assumptions!$B$11/Projects!$D$7:$D$14*0.95)+SUMPRODUCT((Projects!$G$7:$G$14="Yes")*(72=Projects!$C$7:$C$14+Projects!$D$7:$D$14-1)*Projects!$B$7:$B$14*Assumptions!$B$11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,Actuals!BY10)</f>
        <v>0</v>
      </c>
      <c r="BY11" s="14" t="n">
        <f aca="false">IF(ISBLANK(Actuals!BZ10),0+SUMPRODUCT((Projects!$G$7:$G$14="Yes")*(73&gt;=Projects!$C$7:$C$14)*(73&lt;Projects!$C$7:$C$14+Projects!$D$7:$D$14)*Projects!$B$7:$B$14*Assumptions!$B$11/Projects!$D$7:$D$14*0.95)+SUMPRODUCT((Projects!$G$7:$G$14="Yes")*(73=Projects!$C$7:$C$14+Projects!$D$7:$D$14-1)*Projects!$B$7:$B$14*Assumptions!$B$11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,Actuals!BZ10)</f>
        <v>0</v>
      </c>
      <c r="BZ11" s="14" t="n">
        <f aca="false">IF(ISBLANK(Actuals!CA10),0+SUMPRODUCT((Projects!$G$7:$G$14="Yes")*(74&gt;=Projects!$C$7:$C$14)*(74&lt;Projects!$C$7:$C$14+Projects!$D$7:$D$14)*Projects!$B$7:$B$14*Assumptions!$B$11/Projects!$D$7:$D$14*0.95)+SUMPRODUCT((Projects!$G$7:$G$14="Yes")*(74=Projects!$C$7:$C$14+Projects!$D$7:$D$14-1)*Projects!$B$7:$B$14*Assumptions!$B$11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,Actuals!CA10)</f>
        <v>0</v>
      </c>
      <c r="CA11" s="14" t="n">
        <f aca="false">IF(ISBLANK(Actuals!CB10),0+SUMPRODUCT((Projects!$G$7:$G$14="Yes")*(75&gt;=Projects!$C$7:$C$14)*(75&lt;Projects!$C$7:$C$14+Projects!$D$7:$D$14)*Projects!$B$7:$B$14*Assumptions!$B$11/Projects!$D$7:$D$14*0.95)+SUMPRODUCT((Projects!$G$7:$G$14="Yes")*(75=Projects!$C$7:$C$14+Projects!$D$7:$D$14-1)*Projects!$B$7:$B$14*Assumptions!$B$11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,Actuals!CB10)</f>
        <v>0</v>
      </c>
      <c r="CB11" s="14" t="n">
        <f aca="false">IF(ISBLANK(Actuals!CC10),0+SUMPRODUCT((Projects!$G$7:$G$14="Yes")*(76&gt;=Projects!$C$7:$C$14)*(76&lt;Projects!$C$7:$C$14+Projects!$D$7:$D$14)*Projects!$B$7:$B$14*Assumptions!$B$11/Projects!$D$7:$D$14*0.95)+SUMPRODUCT((Projects!$G$7:$G$14="Yes")*(76=Projects!$C$7:$C$14+Projects!$D$7:$D$14-1)*Projects!$B$7:$B$14*Assumptions!$B$11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,Actuals!CC10)</f>
        <v>0</v>
      </c>
      <c r="CC11" s="14" t="n">
        <f aca="false">IF(ISBLANK(Actuals!CD10),0+SUMPRODUCT((Projects!$G$7:$G$14="Yes")*(77&gt;=Projects!$C$7:$C$14)*(77&lt;Projects!$C$7:$C$14+Projects!$D$7:$D$14)*Projects!$B$7:$B$14*Assumptions!$B$11/Projects!$D$7:$D$14*0.95)+SUMPRODUCT((Projects!$G$7:$G$14="Yes")*(77=Projects!$C$7:$C$14+Projects!$D$7:$D$14-1)*Projects!$B$7:$B$14*Assumptions!$B$11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,Actuals!CD10)</f>
        <v>0</v>
      </c>
      <c r="CD11" s="14" t="n">
        <f aca="false">IF(ISBLANK(Actuals!CE10),0+SUMPRODUCT((Projects!$G$7:$G$14="Yes")*(78&gt;=Projects!$C$7:$C$14)*(78&lt;Projects!$C$7:$C$14+Projects!$D$7:$D$14)*Projects!$B$7:$B$14*Assumptions!$B$11/Projects!$D$7:$D$14*0.95)+SUMPRODUCT((Projects!$G$7:$G$14="Yes")*(78=Projects!$C$7:$C$14+Projects!$D$7:$D$14-1)*Projects!$B$7:$B$14*Assumptions!$B$11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,Actuals!CE10)</f>
        <v>0</v>
      </c>
      <c r="CE11" s="14" t="n">
        <f aca="false">IF(ISBLANK(Actuals!CF10),0+SUMPRODUCT((Projects!$G$7:$G$14="Yes")*(79&gt;=Projects!$C$7:$C$14)*(79&lt;Projects!$C$7:$C$14+Projects!$D$7:$D$14)*Projects!$B$7:$B$14*Assumptions!$B$11/Projects!$D$7:$D$14*0.95)+SUMPRODUCT((Projects!$G$7:$G$14="Yes")*(79=Projects!$C$7:$C$14+Projects!$D$7:$D$14-1)*Projects!$B$7:$B$14*Assumptions!$B$11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,Actuals!CF10)</f>
        <v>0</v>
      </c>
      <c r="CF11" s="14" t="n">
        <f aca="false">IF(ISBLANK(Actuals!CG10),0+SUMPRODUCT((Projects!$G$7:$G$14="Yes")*(80&gt;=Projects!$C$7:$C$14)*(80&lt;Projects!$C$7:$C$14+Projects!$D$7:$D$14)*Projects!$B$7:$B$14*Assumptions!$B$11/Projects!$D$7:$D$14*0.95)+SUMPRODUCT((Projects!$G$7:$G$14="Yes")*(80=Projects!$C$7:$C$14+Projects!$D$7:$D$14-1)*Projects!$B$7:$B$14*Assumptions!$B$11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,Actuals!CG10)</f>
        <v>0</v>
      </c>
      <c r="CG11" s="14" t="n">
        <f aca="false">IF(ISBLANK(Actuals!CH10),0+SUMPRODUCT((Projects!$G$7:$G$14="Yes")*(81&gt;=Projects!$C$7:$C$14)*(81&lt;Projects!$C$7:$C$14+Projects!$D$7:$D$14)*Projects!$B$7:$B$14*Assumptions!$B$11/Projects!$D$7:$D$14*0.95)+SUMPRODUCT((Projects!$G$7:$G$14="Yes")*(81=Projects!$C$7:$C$14+Projects!$D$7:$D$14-1)*Projects!$B$7:$B$14*Assumptions!$B$11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,Actuals!CH10)</f>
        <v>0</v>
      </c>
      <c r="CH11" s="14" t="n">
        <f aca="false">IF(ISBLANK(Actuals!CI10),0+SUMPRODUCT((Projects!$G$7:$G$14="Yes")*(82&gt;=Projects!$C$7:$C$14)*(82&lt;Projects!$C$7:$C$14+Projects!$D$7:$D$14)*Projects!$B$7:$B$14*Assumptions!$B$11/Projects!$D$7:$D$14*0.95)+SUMPRODUCT((Projects!$G$7:$G$14="Yes")*(82=Projects!$C$7:$C$14+Projects!$D$7:$D$14-1)*Projects!$B$7:$B$14*Assumptions!$B$11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,Actuals!CI10)</f>
        <v>0</v>
      </c>
      <c r="CI11" s="14" t="n">
        <f aca="false">IF(ISBLANK(Actuals!CJ10),0+SUMPRODUCT((Projects!$G$7:$G$14="Yes")*(83&gt;=Projects!$C$7:$C$14)*(83&lt;Projects!$C$7:$C$14+Projects!$D$7:$D$14)*Projects!$B$7:$B$14*Assumptions!$B$11/Projects!$D$7:$D$14*0.95)+SUMPRODUCT((Projects!$G$7:$G$14="Yes")*(83=Projects!$C$7:$C$14+Projects!$D$7:$D$14-1)*Projects!$B$7:$B$14*Assumptions!$B$11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,Actuals!CJ10)</f>
        <v>0</v>
      </c>
      <c r="CJ11" s="14" t="n">
        <f aca="false">IF(ISBLANK(Actuals!CK10),0+SUMPRODUCT((Projects!$G$7:$G$14="Yes")*(84&gt;=Projects!$C$7:$C$14)*(84&lt;Projects!$C$7:$C$14+Projects!$D$7:$D$14)*Projects!$B$7:$B$14*Assumptions!$B$11/Projects!$D$7:$D$14*0.95)+SUMPRODUCT((Projects!$G$7:$G$14="Yes")*(84=Projects!$C$7:$C$14+Projects!$D$7:$D$14-1)*Projects!$B$7:$B$14*Assumptions!$B$11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,Actuals!CK10)</f>
        <v>0</v>
      </c>
      <c r="CK11" s="14" t="n">
        <f aca="false">IF(ISBLANK(Actuals!CL10),0+SUMPRODUCT((Projects!$G$7:$G$14="Yes")*(85&gt;=Projects!$C$7:$C$14)*(85&lt;Projects!$C$7:$C$14+Projects!$D$7:$D$14)*Projects!$B$7:$B$14*Assumptions!$B$11/Projects!$D$7:$D$14*0.95)+SUMPRODUCT((Projects!$G$7:$G$14="Yes")*(85=Projects!$C$7:$C$14+Projects!$D$7:$D$14-1)*Projects!$B$7:$B$14*Assumptions!$B$11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,Actuals!CL10)</f>
        <v>0</v>
      </c>
      <c r="CL11" s="14" t="n">
        <f aca="false">IF(ISBLANK(Actuals!CM10),0+SUMPRODUCT((Projects!$G$7:$G$14="Yes")*(86&gt;=Projects!$C$7:$C$14)*(86&lt;Projects!$C$7:$C$14+Projects!$D$7:$D$14)*Projects!$B$7:$B$14*Assumptions!$B$11/Projects!$D$7:$D$14*0.95)+SUMPRODUCT((Projects!$G$7:$G$14="Yes")*(86=Projects!$C$7:$C$14+Projects!$D$7:$D$14-1)*Projects!$B$7:$B$14*Assumptions!$B$11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,Actuals!CM10)</f>
        <v>0</v>
      </c>
      <c r="CM11" s="14" t="n">
        <f aca="false">IF(ISBLANK(Actuals!CN10),0+SUMPRODUCT((Projects!$G$7:$G$14="Yes")*(87&gt;=Projects!$C$7:$C$14)*(87&lt;Projects!$C$7:$C$14+Projects!$D$7:$D$14)*Projects!$B$7:$B$14*Assumptions!$B$11/Projects!$D$7:$D$14*0.95)+SUMPRODUCT((Projects!$G$7:$G$14="Yes")*(87=Projects!$C$7:$C$14+Projects!$D$7:$D$14-1)*Projects!$B$7:$B$14*Assumptions!$B$11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,Actuals!CN10)</f>
        <v>0</v>
      </c>
      <c r="CN11" s="14" t="n">
        <f aca="false">IF(ISBLANK(Actuals!CO10),0+SUMPRODUCT((Projects!$G$7:$G$14="Yes")*(88&gt;=Projects!$C$7:$C$14)*(88&lt;Projects!$C$7:$C$14+Projects!$D$7:$D$14)*Projects!$B$7:$B$14*Assumptions!$B$11/Projects!$D$7:$D$14*0.95)+SUMPRODUCT((Projects!$G$7:$G$14="Yes")*(88=Projects!$C$7:$C$14+Projects!$D$7:$D$14-1)*Projects!$B$7:$B$14*Assumptions!$B$11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,Actuals!CO10)</f>
        <v>0</v>
      </c>
      <c r="CO11" s="14" t="n">
        <f aca="false">IF(ISBLANK(Actuals!CP10),0+SUMPRODUCT((Projects!$G$7:$G$14="Yes")*(89&gt;=Projects!$C$7:$C$14)*(89&lt;Projects!$C$7:$C$14+Projects!$D$7:$D$14)*Projects!$B$7:$B$14*Assumptions!$B$11/Projects!$D$7:$D$14*0.95)+SUMPRODUCT((Projects!$G$7:$G$14="Yes")*(89=Projects!$C$7:$C$14+Projects!$D$7:$D$14-1)*Projects!$B$7:$B$14*Assumptions!$B$11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,Actuals!CP10)</f>
        <v>0</v>
      </c>
      <c r="CP11" s="14" t="n">
        <f aca="false">IF(ISBLANK(Actuals!CQ10),0+SUMPRODUCT((Projects!$G$7:$G$14="Yes")*(90&gt;=Projects!$C$7:$C$14)*(90&lt;Projects!$C$7:$C$14+Projects!$D$7:$D$14)*Projects!$B$7:$B$14*Assumptions!$B$11/Projects!$D$7:$D$14*0.95)+SUMPRODUCT((Projects!$G$7:$G$14="Yes")*(90=Projects!$C$7:$C$14+Projects!$D$7:$D$14-1)*Projects!$B$7:$B$14*Assumptions!$B$11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,Actuals!CQ10)</f>
        <v>0</v>
      </c>
      <c r="CQ11" s="14" t="n">
        <f aca="false">IF(ISBLANK(Actuals!CR10),0+SUMPRODUCT((Projects!$G$7:$G$14="Yes")*(91&gt;=Projects!$C$7:$C$14)*(91&lt;Projects!$C$7:$C$14+Projects!$D$7:$D$14)*Projects!$B$7:$B$14*Assumptions!$B$11/Projects!$D$7:$D$14*0.95)+SUMPRODUCT((Projects!$G$7:$G$14="Yes")*(91=Projects!$C$7:$C$14+Projects!$D$7:$D$14-1)*Projects!$B$7:$B$14*Assumptions!$B$11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,Actuals!CR10)</f>
        <v>0</v>
      </c>
      <c r="CR11" s="14" t="n">
        <f aca="false">IF(ISBLANK(Actuals!CS10),0+SUMPRODUCT((Projects!$G$7:$G$14="Yes")*(92&gt;=Projects!$C$7:$C$14)*(92&lt;Projects!$C$7:$C$14+Projects!$D$7:$D$14)*Projects!$B$7:$B$14*Assumptions!$B$11/Projects!$D$7:$D$14*0.95)+SUMPRODUCT((Projects!$G$7:$G$14="Yes")*(92=Projects!$C$7:$C$14+Projects!$D$7:$D$14-1)*Projects!$B$7:$B$14*Assumptions!$B$11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,Actuals!CS10)</f>
        <v>0</v>
      </c>
      <c r="CS11" s="14" t="n">
        <f aca="false">IF(ISBLANK(Actuals!CT10),0+SUMPRODUCT((Projects!$G$7:$G$14="Yes")*(93&gt;=Projects!$C$7:$C$14)*(93&lt;Projects!$C$7:$C$14+Projects!$D$7:$D$14)*Projects!$B$7:$B$14*Assumptions!$B$11/Projects!$D$7:$D$14*0.95)+SUMPRODUCT((Projects!$G$7:$G$14="Yes")*(93=Projects!$C$7:$C$14+Projects!$D$7:$D$14-1)*Projects!$B$7:$B$14*Assumptions!$B$11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,Actuals!CT10)</f>
        <v>0</v>
      </c>
      <c r="CT11" s="14" t="n">
        <f aca="false">IF(ISBLANK(Actuals!CU10),0+SUMPRODUCT((Projects!$G$7:$G$14="Yes")*(94&gt;=Projects!$C$7:$C$14)*(94&lt;Projects!$C$7:$C$14+Projects!$D$7:$D$14)*Projects!$B$7:$B$14*Assumptions!$B$11/Projects!$D$7:$D$14*0.95)+SUMPRODUCT((Projects!$G$7:$G$14="Yes")*(94=Projects!$C$7:$C$14+Projects!$D$7:$D$14-1)*Projects!$B$7:$B$14*Assumptions!$B$11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,Actuals!CU10)</f>
        <v>0</v>
      </c>
      <c r="CU11" s="14" t="n">
        <f aca="false">IF(ISBLANK(Actuals!CV10),0+SUMPRODUCT((Projects!$G$7:$G$14="Yes")*(95&gt;=Projects!$C$7:$C$14)*(95&lt;Projects!$C$7:$C$14+Projects!$D$7:$D$14)*Projects!$B$7:$B$14*Assumptions!$B$11/Projects!$D$7:$D$14*0.95)+SUMPRODUCT((Projects!$G$7:$G$14="Yes")*(95=Projects!$C$7:$C$14+Projects!$D$7:$D$14-1)*Projects!$B$7:$B$14*Assumptions!$B$11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,Actuals!CV10)</f>
        <v>0</v>
      </c>
      <c r="CV11" s="14" t="n">
        <f aca="false">IF(ISBLANK(Actuals!CW10),0+SUMPRODUCT((Projects!$G$7:$G$14="Yes")*(96&gt;=Projects!$C$7:$C$14)*(96&lt;Projects!$C$7:$C$14+Projects!$D$7:$D$14)*Projects!$B$7:$B$14*Assumptions!$B$11/Projects!$D$7:$D$14*0.95)+SUMPRODUCT((Projects!$G$7:$G$14="Yes")*(96=Projects!$C$7:$C$14+Projects!$D$7:$D$14-1)*Projects!$B$7:$B$14*Assumptions!$B$11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,Actuals!CW10)</f>
        <v>0</v>
      </c>
      <c r="CW11" s="14" t="n">
        <f aca="false">IF(ISBLANK(Actuals!CX10),0+SUMPRODUCT((Projects!$G$7:$G$14="Yes")*(97&gt;=Projects!$C$7:$C$14)*(97&lt;Projects!$C$7:$C$14+Projects!$D$7:$D$14)*Projects!$B$7:$B$14*Assumptions!$B$11/Projects!$D$7:$D$14*0.95)+SUMPRODUCT((Projects!$G$7:$G$14="Yes")*(97=Projects!$C$7:$C$14+Projects!$D$7:$D$14-1)*Projects!$B$7:$B$14*Assumptions!$B$11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,Actuals!CX10)</f>
        <v>0</v>
      </c>
      <c r="CX11" s="14" t="n">
        <f aca="false">IF(ISBLANK(Actuals!CY10),0+SUMPRODUCT((Projects!$G$7:$G$14="Yes")*(98&gt;=Projects!$C$7:$C$14)*(98&lt;Projects!$C$7:$C$14+Projects!$D$7:$D$14)*Projects!$B$7:$B$14*Assumptions!$B$11/Projects!$D$7:$D$14*0.95)+SUMPRODUCT((Projects!$G$7:$G$14="Yes")*(98=Projects!$C$7:$C$14+Projects!$D$7:$D$14-1)*Projects!$B$7:$B$14*Assumptions!$B$11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,Actuals!CY10)</f>
        <v>0</v>
      </c>
      <c r="CY11" s="14" t="n">
        <f aca="false">IF(ISBLANK(Actuals!CZ10),0+SUMPRODUCT((Projects!$G$7:$G$14="Yes")*(99&gt;=Projects!$C$7:$C$14)*(99&lt;Projects!$C$7:$C$14+Projects!$D$7:$D$14)*Projects!$B$7:$B$14*Assumptions!$B$11/Projects!$D$7:$D$14*0.95)+SUMPRODUCT((Projects!$G$7:$G$14="Yes")*(99=Projects!$C$7:$C$14+Projects!$D$7:$D$14-1)*Projects!$B$7:$B$14*Assumptions!$B$11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,Actuals!CZ10)</f>
        <v>0</v>
      </c>
      <c r="CZ11" s="14" t="n">
        <f aca="false">IF(ISBLANK(Actuals!DA10),0+SUMPRODUCT((Projects!$G$7:$G$14="Yes")*(100&gt;=Projects!$C$7:$C$14)*(100&lt;Projects!$C$7:$C$14+Projects!$D$7:$D$14)*Projects!$B$7:$B$14*Assumptions!$B$11/Projects!$D$7:$D$14*0.95)+SUMPRODUCT((Projects!$G$7:$G$14="Yes")*(100=Projects!$C$7:$C$14+Projects!$D$7:$D$14-1)*Projects!$B$7:$B$14*Assumptions!$B$11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,Actuals!DA10)</f>
        <v>0</v>
      </c>
      <c r="DA11" s="14" t="n">
        <f aca="false">IF(ISBLANK(Actuals!DB10),0+SUMPRODUCT((Projects!$G$7:$G$14="Yes")*(101&gt;=Projects!$C$7:$C$14)*(101&lt;Projects!$C$7:$C$14+Projects!$D$7:$D$14)*Projects!$B$7:$B$14*Assumptions!$B$11/Projects!$D$7:$D$14*0.95)+SUMPRODUCT((Projects!$G$7:$G$14="Yes")*(101=Projects!$C$7:$C$14+Projects!$D$7:$D$14-1)*Projects!$B$7:$B$14*Assumptions!$B$11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,Actuals!DB10)</f>
        <v>0</v>
      </c>
      <c r="DB11" s="14" t="n">
        <f aca="false">IF(ISBLANK(Actuals!DC10),0+SUMPRODUCT((Projects!$G$7:$G$14="Yes")*(102&gt;=Projects!$C$7:$C$14)*(102&lt;Projects!$C$7:$C$14+Projects!$D$7:$D$14)*Projects!$B$7:$B$14*Assumptions!$B$11/Projects!$D$7:$D$14*0.95)+SUMPRODUCT((Projects!$G$7:$G$14="Yes")*(102=Projects!$C$7:$C$14+Projects!$D$7:$D$14-1)*Projects!$B$7:$B$14*Assumptions!$B$11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,Actuals!DC10)</f>
        <v>0</v>
      </c>
      <c r="DC11" s="14" t="n">
        <f aca="false">IF(ISBLANK(Actuals!DD10),0+SUMPRODUCT((Projects!$G$7:$G$14="Yes")*(103&gt;=Projects!$C$7:$C$14)*(103&lt;Projects!$C$7:$C$14+Projects!$D$7:$D$14)*Projects!$B$7:$B$14*Assumptions!$B$11/Projects!$D$7:$D$14*0.95)+SUMPRODUCT((Projects!$G$7:$G$14="Yes")*(103=Projects!$C$7:$C$14+Projects!$D$7:$D$14-1)*Projects!$B$7:$B$14*Assumptions!$B$11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,Actuals!DD10)</f>
        <v>0</v>
      </c>
      <c r="DD11" s="14" t="n">
        <f aca="false">IF(ISBLANK(Actuals!DE10),0+SUMPRODUCT((Projects!$G$7:$G$14="Yes")*(104&gt;=Projects!$C$7:$C$14)*(104&lt;Projects!$C$7:$C$14+Projects!$D$7:$D$14)*Projects!$B$7:$B$14*Assumptions!$B$11/Projects!$D$7:$D$14*0.95)+SUMPRODUCT((Projects!$G$7:$G$14="Yes")*(104=Projects!$C$7:$C$14+Projects!$D$7:$D$14-1)*Projects!$B$7:$B$14*Assumptions!$B$11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,Actuals!DE10)</f>
        <v>0</v>
      </c>
      <c r="DE11" s="14" t="n">
        <f aca="false">IF(ISBLANK(Actuals!DF10),0+SUMPRODUCT((Projects!$G$7:$G$14="Yes")*(105&gt;=Projects!$C$7:$C$14)*(105&lt;Projects!$C$7:$C$14+Projects!$D$7:$D$14)*Projects!$B$7:$B$14*Assumptions!$B$11/Projects!$D$7:$D$14*0.95)+SUMPRODUCT((Projects!$G$7:$G$14="Yes")*(105=Projects!$C$7:$C$14+Projects!$D$7:$D$14-1)*Projects!$B$7:$B$14*Assumptions!$B$11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,Actuals!DF10)</f>
        <v>0</v>
      </c>
    </row>
    <row r="12" customFormat="false" ht="15" hidden="false" customHeight="true" outlineLevel="0" collapsed="false">
      <c r="A12" s="31" t="s">
        <v>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</row>
    <row r="13" customFormat="false" ht="15" hidden="true" customHeight="true" outlineLevel="1" collapsed="false">
      <c r="A13" s="32" t="s">
        <v>7</v>
      </c>
      <c r="B13" s="30" t="n">
        <v>392800.48</v>
      </c>
      <c r="C13" s="30" t="n">
        <v>636911.23</v>
      </c>
      <c r="D13" s="30" t="n">
        <v>648749.35</v>
      </c>
      <c r="E13" s="30" t="n">
        <v>704050.62</v>
      </c>
      <c r="F13" s="30" t="n">
        <v>711605.75</v>
      </c>
      <c r="G13" s="30" t="n">
        <v>887472.42</v>
      </c>
      <c r="H13" s="30" t="n">
        <f aca="false">4190687.77*Curves!E$6/SUM(Curves!$E$6:$I$6)</f>
        <v>1086093.90164913</v>
      </c>
      <c r="I13" s="30" t="n">
        <f aca="false">4190687.77*Curves!F$6/SUM(Curves!$E$6:$I$6)</f>
        <v>958645.451788609</v>
      </c>
      <c r="J13" s="30" t="n">
        <f aca="false">4190687.77*Curves!G$6/SUM(Curves!$E$6:$I$6)</f>
        <v>833012.67377813</v>
      </c>
      <c r="K13" s="30" t="n">
        <f aca="false">4190687.77*Curves!H$6/SUM(Curves!$E$6:$I$6)</f>
        <v>712680.486168552</v>
      </c>
      <c r="L13" s="30" t="n">
        <f aca="false">4190687.77*Curves!I$6/SUM(Curves!$E$6:$I$6)</f>
        <v>600255.256615582</v>
      </c>
      <c r="M13" s="30" t="n">
        <f aca="false">IF(AND(Projects!$G$2="Yes",M$3&gt;=Projects!$C$2,M$3&lt;Projects!$C$2+Projects!$D$2),Projects!$B$2*INDEX(Curves!$B$6:$AR$6,1,M$3-Projects!$C$2+1),0)-IF(AND(Projects!$G$2="Yes",M$3&gt;=Projects!$C$2,M$3&lt;Projects!$C$2+Projects!$D$2),Projects!$B$2*(Assumptions!$B$10+Assumptions!$B$11+Assumptions!$B$12)/Projects!$D$2*0.95,0)-IF(AND(Projects!$G$2="Yes",M$3=Projects!$C$2+Projects!$D$2-1),Projects!$B$2*(Assumptions!$B$10+Assumptions!$B$11+Assumptions!$B$12)*0.05,0)</f>
        <v>0</v>
      </c>
      <c r="N13" s="30" t="n">
        <f aca="false">IF(AND(Projects!$G$2="Yes",N$3&gt;=Projects!$C$2,N$3&lt;Projects!$C$2+Projects!$D$2),Projects!$B$2*INDEX(Curves!$B$6:$AR$6,1,N$3-Projects!$C$2+1),0)-IF(AND(Projects!$G$2="Yes",N$3&gt;=Projects!$C$2,N$3&lt;Projects!$C$2+Projects!$D$2),Projects!$B$2*(Assumptions!$B$10+Assumptions!$B$11+Assumptions!$B$12)/Projects!$D$2*0.95,0)-IF(AND(Projects!$G$2="Yes",N$3=Projects!$C$2+Projects!$D$2-1),Projects!$B$2*(Assumptions!$B$10+Assumptions!$B$11+Assumptions!$B$12)*0.05,0)</f>
        <v>0</v>
      </c>
      <c r="O13" s="30" t="n">
        <f aca="false">IF(AND(Projects!$G$2="Yes",O$3&gt;=Projects!$C$2,O$3&lt;Projects!$C$2+Projects!$D$2),Projects!$B$2*INDEX(Curves!$B$6:$AR$6,1,O$3-Projects!$C$2+1),0)-IF(AND(Projects!$G$2="Yes",O$3&gt;=Projects!$C$2,O$3&lt;Projects!$C$2+Projects!$D$2),Projects!$B$2*(Assumptions!$B$10+Assumptions!$B$11+Assumptions!$B$12)/Projects!$D$2*0.95,0)-IF(AND(Projects!$G$2="Yes",O$3=Projects!$C$2+Projects!$D$2-1),Projects!$B$2*(Assumptions!$B$10+Assumptions!$B$11+Assumptions!$B$12)*0.05,0)</f>
        <v>0</v>
      </c>
      <c r="P13" s="30" t="n">
        <f aca="false">IF(AND(Projects!$G$2="Yes",P$3&gt;=Projects!$C$2,P$3&lt;Projects!$C$2+Projects!$D$2),Projects!$B$2*INDEX(Curves!$B$6:$AR$6,1,P$3-Projects!$C$2+1),0)-IF(AND(Projects!$G$2="Yes",P$3&gt;=Projects!$C$2,P$3&lt;Projects!$C$2+Projects!$D$2),Projects!$B$2*(Assumptions!$B$10+Assumptions!$B$11+Assumptions!$B$12)/Projects!$D$2*0.95,0)-IF(AND(Projects!$G$2="Yes",P$3=Projects!$C$2+Projects!$D$2-1),Projects!$B$2*(Assumptions!$B$10+Assumptions!$B$11+Assumptions!$B$12)*0.05,0)</f>
        <v>0</v>
      </c>
      <c r="Q13" s="30" t="n">
        <f aca="false">IF(AND(Projects!$G$2="Yes",Q$3&gt;=Projects!$C$2,Q$3&lt;Projects!$C$2+Projects!$D$2),Projects!$B$2*INDEX(Curves!$B$6:$AR$6,1,Q$3-Projects!$C$2+1),0)-IF(AND(Projects!$G$2="Yes",Q$3&gt;=Projects!$C$2,Q$3&lt;Projects!$C$2+Projects!$D$2),Projects!$B$2*(Assumptions!$B$10+Assumptions!$B$11+Assumptions!$B$12)/Projects!$D$2*0.95,0)-IF(AND(Projects!$G$2="Yes",Q$3=Projects!$C$2+Projects!$D$2-1),Projects!$B$2*(Assumptions!$B$10+Assumptions!$B$11+Assumptions!$B$12)*0.05,0)</f>
        <v>0</v>
      </c>
      <c r="R13" s="30" t="n">
        <f aca="false">IF(AND(Projects!$G$2="Yes",R$3&gt;=Projects!$C$2,R$3&lt;Projects!$C$2+Projects!$D$2),Projects!$B$2*INDEX(Curves!$B$6:$AR$6,1,R$3-Projects!$C$2+1),0)-IF(AND(Projects!$G$2="Yes",R$3&gt;=Projects!$C$2,R$3&lt;Projects!$C$2+Projects!$D$2),Projects!$B$2*(Assumptions!$B$10+Assumptions!$B$11+Assumptions!$B$12)/Projects!$D$2*0.95,0)-IF(AND(Projects!$G$2="Yes",R$3=Projects!$C$2+Projects!$D$2-1),Projects!$B$2*(Assumptions!$B$10+Assumptions!$B$11+Assumptions!$B$12)*0.05,0)</f>
        <v>0</v>
      </c>
      <c r="S13" s="30" t="n">
        <f aca="false">IF(AND(Projects!$G$2="Yes",S$3&gt;=Projects!$C$2,S$3&lt;Projects!$C$2+Projects!$D$2),Projects!$B$2*INDEX(Curves!$B$6:$AR$6,1,S$3-Projects!$C$2+1),0)-IF(AND(Projects!$G$2="Yes",S$3&gt;=Projects!$C$2,S$3&lt;Projects!$C$2+Projects!$D$2),Projects!$B$2*(Assumptions!$B$10+Assumptions!$B$11+Assumptions!$B$12)/Projects!$D$2*0.95,0)-IF(AND(Projects!$G$2="Yes",S$3=Projects!$C$2+Projects!$D$2-1),Projects!$B$2*(Assumptions!$B$10+Assumptions!$B$11+Assumptions!$B$12)*0.05,0)</f>
        <v>0</v>
      </c>
      <c r="T13" s="30" t="n">
        <f aca="false">IF(AND(Projects!$G$2="Yes",T$3&gt;=Projects!$C$2,T$3&lt;Projects!$C$2+Projects!$D$2),Projects!$B$2*INDEX(Curves!$B$6:$AR$6,1,T$3-Projects!$C$2+1),0)-IF(AND(Projects!$G$2="Yes",T$3&gt;=Projects!$C$2,T$3&lt;Projects!$C$2+Projects!$D$2),Projects!$B$2*(Assumptions!$B$10+Assumptions!$B$11+Assumptions!$B$12)/Projects!$D$2*0.95,0)-IF(AND(Projects!$G$2="Yes",T$3=Projects!$C$2+Projects!$D$2-1),Projects!$B$2*(Assumptions!$B$10+Assumptions!$B$11+Assumptions!$B$12)*0.05,0)</f>
        <v>0</v>
      </c>
      <c r="U13" s="30" t="n">
        <f aca="false">IF(AND(Projects!$G$2="Yes",U$3&gt;=Projects!$C$2,U$3&lt;Projects!$C$2+Projects!$D$2),Projects!$B$2*INDEX(Curves!$B$6:$AR$6,1,U$3-Projects!$C$2+1),0)-IF(AND(Projects!$G$2="Yes",U$3&gt;=Projects!$C$2,U$3&lt;Projects!$C$2+Projects!$D$2),Projects!$B$2*(Assumptions!$B$10+Assumptions!$B$11+Assumptions!$B$12)/Projects!$D$2*0.95,0)-IF(AND(Projects!$G$2="Yes",U$3=Projects!$C$2+Projects!$D$2-1),Projects!$B$2*(Assumptions!$B$10+Assumptions!$B$11+Assumptions!$B$12)*0.05,0)</f>
        <v>0</v>
      </c>
      <c r="V13" s="30" t="n">
        <f aca="false">IF(AND(Projects!$G$2="Yes",V$3&gt;=Projects!$C$2,V$3&lt;Projects!$C$2+Projects!$D$2),Projects!$B$2*INDEX(Curves!$B$6:$AR$6,1,V$3-Projects!$C$2+1),0)-IF(AND(Projects!$G$2="Yes",V$3&gt;=Projects!$C$2,V$3&lt;Projects!$C$2+Projects!$D$2),Projects!$B$2*(Assumptions!$B$10+Assumptions!$B$11+Assumptions!$B$12)/Projects!$D$2*0.95,0)-IF(AND(Projects!$G$2="Yes",V$3=Projects!$C$2+Projects!$D$2-1),Projects!$B$2*(Assumptions!$B$10+Assumptions!$B$11+Assumptions!$B$12)*0.05,0)</f>
        <v>0</v>
      </c>
      <c r="W13" s="30" t="n">
        <f aca="false">IF(AND(Projects!$G$2="Yes",W$3&gt;=Projects!$C$2,W$3&lt;Projects!$C$2+Projects!$D$2),Projects!$B$2*INDEX(Curves!$B$6:$AR$6,1,W$3-Projects!$C$2+1),0)-IF(AND(Projects!$G$2="Yes",W$3&gt;=Projects!$C$2,W$3&lt;Projects!$C$2+Projects!$D$2),Projects!$B$2*(Assumptions!$B$10+Assumptions!$B$11+Assumptions!$B$12)/Projects!$D$2*0.95,0)-IF(AND(Projects!$G$2="Yes",W$3=Projects!$C$2+Projects!$D$2-1),Projects!$B$2*(Assumptions!$B$10+Assumptions!$B$11+Assumptions!$B$12)*0.05,0)</f>
        <v>0</v>
      </c>
      <c r="X13" s="30" t="n">
        <f aca="false">IF(AND(Projects!$G$2="Yes",X$3&gt;=Projects!$C$2,X$3&lt;Projects!$C$2+Projects!$D$2),Projects!$B$2*INDEX(Curves!$B$6:$AR$6,1,X$3-Projects!$C$2+1),0)-IF(AND(Projects!$G$2="Yes",X$3&gt;=Projects!$C$2,X$3&lt;Projects!$C$2+Projects!$D$2),Projects!$B$2*(Assumptions!$B$10+Assumptions!$B$11+Assumptions!$B$12)/Projects!$D$2*0.95,0)-IF(AND(Projects!$G$2="Yes",X$3=Projects!$C$2+Projects!$D$2-1),Projects!$B$2*(Assumptions!$B$10+Assumptions!$B$11+Assumptions!$B$12)*0.05,0)</f>
        <v>0</v>
      </c>
      <c r="Y13" s="30" t="n">
        <f aca="false">IF(AND(Projects!$G$2="Yes",Y$3&gt;=Projects!$C$2,Y$3&lt;Projects!$C$2+Projects!$D$2),Projects!$B$2*INDEX(Curves!$B$6:$AR$6,1,Y$3-Projects!$C$2+1),0)-IF(AND(Projects!$G$2="Yes",Y$3&gt;=Projects!$C$2,Y$3&lt;Projects!$C$2+Projects!$D$2),Projects!$B$2*(Assumptions!$B$10+Assumptions!$B$11+Assumptions!$B$12)/Projects!$D$2*0.95,0)-IF(AND(Projects!$G$2="Yes",Y$3=Projects!$C$2+Projects!$D$2-1),Projects!$B$2*(Assumptions!$B$10+Assumptions!$B$11+Assumptions!$B$12)*0.05,0)</f>
        <v>0</v>
      </c>
      <c r="Z13" s="30" t="n">
        <f aca="false">IF(AND(Projects!$G$2="Yes",Z$3&gt;=Projects!$C$2,Z$3&lt;Projects!$C$2+Projects!$D$2),Projects!$B$2*INDEX(Curves!$B$6:$AR$6,1,Z$3-Projects!$C$2+1),0)-IF(AND(Projects!$G$2="Yes",Z$3&gt;=Projects!$C$2,Z$3&lt;Projects!$C$2+Projects!$D$2),Projects!$B$2*(Assumptions!$B$10+Assumptions!$B$11+Assumptions!$B$12)/Projects!$D$2*0.95,0)-IF(AND(Projects!$G$2="Yes",Z$3=Projects!$C$2+Projects!$D$2-1),Projects!$B$2*(Assumptions!$B$10+Assumptions!$B$11+Assumptions!$B$12)*0.05,0)</f>
        <v>0</v>
      </c>
      <c r="AA13" s="30" t="n">
        <f aca="false">IF(AND(Projects!$G$2="Yes",AA$3&gt;=Projects!$C$2,AA$3&lt;Projects!$C$2+Projects!$D$2),Projects!$B$2*INDEX(Curves!$B$6:$AR$6,1,AA$3-Projects!$C$2+1),0)-IF(AND(Projects!$G$2="Yes",AA$3&gt;=Projects!$C$2,AA$3&lt;Projects!$C$2+Projects!$D$2),Projects!$B$2*(Assumptions!$B$10+Assumptions!$B$11+Assumptions!$B$12)/Projects!$D$2*0.95,0)-IF(AND(Projects!$G$2="Yes",AA$3=Projects!$C$2+Projects!$D$2-1),Projects!$B$2*(Assumptions!$B$10+Assumptions!$B$11+Assumptions!$B$12)*0.05,0)</f>
        <v>0</v>
      </c>
      <c r="AB13" s="30" t="n">
        <f aca="false">IF(AND(Projects!$G$2="Yes",AB$3&gt;=Projects!$C$2,AB$3&lt;Projects!$C$2+Projects!$D$2),Projects!$B$2*INDEX(Curves!$B$6:$AR$6,1,AB$3-Projects!$C$2+1),0)-IF(AND(Projects!$G$2="Yes",AB$3&gt;=Projects!$C$2,AB$3&lt;Projects!$C$2+Projects!$D$2),Projects!$B$2*(Assumptions!$B$10+Assumptions!$B$11+Assumptions!$B$12)/Projects!$D$2*0.95,0)-IF(AND(Projects!$G$2="Yes",AB$3=Projects!$C$2+Projects!$D$2-1),Projects!$B$2*(Assumptions!$B$10+Assumptions!$B$11+Assumptions!$B$12)*0.05,0)</f>
        <v>0</v>
      </c>
      <c r="AC13" s="30" t="n">
        <f aca="false">IF(AND(Projects!$G$2="Yes",AC$3&gt;=Projects!$C$2,AC$3&lt;Projects!$C$2+Projects!$D$2),Projects!$B$2*INDEX(Curves!$B$6:$AR$6,1,AC$3-Projects!$C$2+1),0)-IF(AND(Projects!$G$2="Yes",AC$3&gt;=Projects!$C$2,AC$3&lt;Projects!$C$2+Projects!$D$2),Projects!$B$2*(Assumptions!$B$10+Assumptions!$B$11+Assumptions!$B$12)/Projects!$D$2*0.95,0)-IF(AND(Projects!$G$2="Yes",AC$3=Projects!$C$2+Projects!$D$2-1),Projects!$B$2*(Assumptions!$B$10+Assumptions!$B$11+Assumptions!$B$12)*0.05,0)</f>
        <v>0</v>
      </c>
      <c r="AD13" s="30" t="n">
        <f aca="false">IF(AND(Projects!$G$2="Yes",AD$3&gt;=Projects!$C$2,AD$3&lt;Projects!$C$2+Projects!$D$2),Projects!$B$2*INDEX(Curves!$B$6:$AR$6,1,AD$3-Projects!$C$2+1),0)-IF(AND(Projects!$G$2="Yes",AD$3&gt;=Projects!$C$2,AD$3&lt;Projects!$C$2+Projects!$D$2),Projects!$B$2*(Assumptions!$B$10+Assumptions!$B$11+Assumptions!$B$12)/Projects!$D$2*0.95,0)-IF(AND(Projects!$G$2="Yes",AD$3=Projects!$C$2+Projects!$D$2-1),Projects!$B$2*(Assumptions!$B$10+Assumptions!$B$11+Assumptions!$B$12)*0.05,0)</f>
        <v>0</v>
      </c>
      <c r="AE13" s="30" t="n">
        <f aca="false">IF(AND(Projects!$G$2="Yes",AE$3&gt;=Projects!$C$2,AE$3&lt;Projects!$C$2+Projects!$D$2),Projects!$B$2*INDEX(Curves!$B$6:$AR$6,1,AE$3-Projects!$C$2+1),0)-IF(AND(Projects!$G$2="Yes",AE$3&gt;=Projects!$C$2,AE$3&lt;Projects!$C$2+Projects!$D$2),Projects!$B$2*(Assumptions!$B$10+Assumptions!$B$11+Assumptions!$B$12)/Projects!$D$2*0.95,0)-IF(AND(Projects!$G$2="Yes",AE$3=Projects!$C$2+Projects!$D$2-1),Projects!$B$2*(Assumptions!$B$10+Assumptions!$B$11+Assumptions!$B$12)*0.05,0)</f>
        <v>0</v>
      </c>
      <c r="AF13" s="30" t="n">
        <f aca="false">IF(AND(Projects!$G$2="Yes",AF$3&gt;=Projects!$C$2,AF$3&lt;Projects!$C$2+Projects!$D$2),Projects!$B$2*INDEX(Curves!$B$6:$AR$6,1,AF$3-Projects!$C$2+1),0)-IF(AND(Projects!$G$2="Yes",AF$3&gt;=Projects!$C$2,AF$3&lt;Projects!$C$2+Projects!$D$2),Projects!$B$2*(Assumptions!$B$10+Assumptions!$B$11+Assumptions!$B$12)/Projects!$D$2*0.95,0)-IF(AND(Projects!$G$2="Yes",AF$3=Projects!$C$2+Projects!$D$2-1),Projects!$B$2*(Assumptions!$B$10+Assumptions!$B$11+Assumptions!$B$12)*0.05,0)</f>
        <v>0</v>
      </c>
      <c r="AG13" s="30" t="n">
        <f aca="false">IF(AND(Projects!$G$2="Yes",AG$3&gt;=Projects!$C$2,AG$3&lt;Projects!$C$2+Projects!$D$2),Projects!$B$2*INDEX(Curves!$B$6:$AR$6,1,AG$3-Projects!$C$2+1),0)-IF(AND(Projects!$G$2="Yes",AG$3&gt;=Projects!$C$2,AG$3&lt;Projects!$C$2+Projects!$D$2),Projects!$B$2*(Assumptions!$B$10+Assumptions!$B$11+Assumptions!$B$12)/Projects!$D$2*0.95,0)-IF(AND(Projects!$G$2="Yes",AG$3=Projects!$C$2+Projects!$D$2-1),Projects!$B$2*(Assumptions!$B$10+Assumptions!$B$11+Assumptions!$B$12)*0.05,0)</f>
        <v>0</v>
      </c>
      <c r="AH13" s="30" t="n">
        <f aca="false">IF(AND(Projects!$G$2="Yes",AH$3&gt;=Projects!$C$2,AH$3&lt;Projects!$C$2+Projects!$D$2),Projects!$B$2*INDEX(Curves!$B$6:$AR$6,1,AH$3-Projects!$C$2+1),0)-IF(AND(Projects!$G$2="Yes",AH$3&gt;=Projects!$C$2,AH$3&lt;Projects!$C$2+Projects!$D$2),Projects!$B$2*(Assumptions!$B$10+Assumptions!$B$11+Assumptions!$B$12)/Projects!$D$2*0.95,0)-IF(AND(Projects!$G$2="Yes",AH$3=Projects!$C$2+Projects!$D$2-1),Projects!$B$2*(Assumptions!$B$10+Assumptions!$B$11+Assumptions!$B$12)*0.05,0)</f>
        <v>0</v>
      </c>
      <c r="AI13" s="30" t="n">
        <f aca="false">IF(AND(Projects!$G$2="Yes",AI$3&gt;=Projects!$C$2,AI$3&lt;Projects!$C$2+Projects!$D$2),Projects!$B$2*INDEX(Curves!$B$6:$AR$6,1,AI$3-Projects!$C$2+1),0)-IF(AND(Projects!$G$2="Yes",AI$3&gt;=Projects!$C$2,AI$3&lt;Projects!$C$2+Projects!$D$2),Projects!$B$2*(Assumptions!$B$10+Assumptions!$B$11+Assumptions!$B$12)/Projects!$D$2*0.95,0)-IF(AND(Projects!$G$2="Yes",AI$3=Projects!$C$2+Projects!$D$2-1),Projects!$B$2*(Assumptions!$B$10+Assumptions!$B$11+Assumptions!$B$12)*0.05,0)</f>
        <v>0</v>
      </c>
      <c r="AJ13" s="30" t="n">
        <f aca="false">IF(AND(Projects!$G$2="Yes",AJ$3&gt;=Projects!$C$2,AJ$3&lt;Projects!$C$2+Projects!$D$2),Projects!$B$2*INDEX(Curves!$B$6:$AR$6,1,AJ$3-Projects!$C$2+1),0)-IF(AND(Projects!$G$2="Yes",AJ$3&gt;=Projects!$C$2,AJ$3&lt;Projects!$C$2+Projects!$D$2),Projects!$B$2*(Assumptions!$B$10+Assumptions!$B$11+Assumptions!$B$12)/Projects!$D$2*0.95,0)-IF(AND(Projects!$G$2="Yes",AJ$3=Projects!$C$2+Projects!$D$2-1),Projects!$B$2*(Assumptions!$B$10+Assumptions!$B$11+Assumptions!$B$12)*0.05,0)</f>
        <v>0</v>
      </c>
      <c r="AK13" s="30" t="n">
        <f aca="false">IF(AND(Projects!$G$2="Yes",AK$3&gt;=Projects!$C$2,AK$3&lt;Projects!$C$2+Projects!$D$2),Projects!$B$2*INDEX(Curves!$B$6:$AR$6,1,AK$3-Projects!$C$2+1),0)-IF(AND(Projects!$G$2="Yes",AK$3&gt;=Projects!$C$2,AK$3&lt;Projects!$C$2+Projects!$D$2),Projects!$B$2*(Assumptions!$B$10+Assumptions!$B$11+Assumptions!$B$12)/Projects!$D$2*0.95,0)-IF(AND(Projects!$G$2="Yes",AK$3=Projects!$C$2+Projects!$D$2-1),Projects!$B$2*(Assumptions!$B$10+Assumptions!$B$11+Assumptions!$B$12)*0.05,0)</f>
        <v>0</v>
      </c>
      <c r="AL13" s="30" t="n">
        <f aca="false">IF(AND(Projects!$G$2="Yes",AL$3&gt;=Projects!$C$2,AL$3&lt;Projects!$C$2+Projects!$D$2),Projects!$B$2*INDEX(Curves!$B$6:$AR$6,1,AL$3-Projects!$C$2+1),0)-IF(AND(Projects!$G$2="Yes",AL$3&gt;=Projects!$C$2,AL$3&lt;Projects!$C$2+Projects!$D$2),Projects!$B$2*(Assumptions!$B$10+Assumptions!$B$11+Assumptions!$B$12)/Projects!$D$2*0.95,0)-IF(AND(Projects!$G$2="Yes",AL$3=Projects!$C$2+Projects!$D$2-1),Projects!$B$2*(Assumptions!$B$10+Assumptions!$B$11+Assumptions!$B$12)*0.05,0)</f>
        <v>0</v>
      </c>
      <c r="AM13" s="30" t="n">
        <f aca="false">IF(AND(Projects!$G$2="Yes",AM$3&gt;=Projects!$C$2,AM$3&lt;Projects!$C$2+Projects!$D$2),Projects!$B$2*INDEX(Curves!$B$6:$AR$6,1,AM$3-Projects!$C$2+1),0)-IF(AND(Projects!$G$2="Yes",AM$3&gt;=Projects!$C$2,AM$3&lt;Projects!$C$2+Projects!$D$2),Projects!$B$2*(Assumptions!$B$10+Assumptions!$B$11+Assumptions!$B$12)/Projects!$D$2*0.95,0)-IF(AND(Projects!$G$2="Yes",AM$3=Projects!$C$2+Projects!$D$2-1),Projects!$B$2*(Assumptions!$B$10+Assumptions!$B$11+Assumptions!$B$12)*0.05,0)</f>
        <v>0</v>
      </c>
      <c r="AN13" s="30" t="n">
        <f aca="false">IF(AND(Projects!$G$2="Yes",AN$3&gt;=Projects!$C$2,AN$3&lt;Projects!$C$2+Projects!$D$2),Projects!$B$2*INDEX(Curves!$B$6:$AR$6,1,AN$3-Projects!$C$2+1),0)-IF(AND(Projects!$G$2="Yes",AN$3&gt;=Projects!$C$2,AN$3&lt;Projects!$C$2+Projects!$D$2),Projects!$B$2*(Assumptions!$B$10+Assumptions!$B$11+Assumptions!$B$12)/Projects!$D$2*0.95,0)-IF(AND(Projects!$G$2="Yes",AN$3=Projects!$C$2+Projects!$D$2-1),Projects!$B$2*(Assumptions!$B$10+Assumptions!$B$11+Assumptions!$B$12)*0.05,0)</f>
        <v>0</v>
      </c>
      <c r="AO13" s="30" t="n">
        <f aca="false">IF(AND(Projects!$G$2="Yes",AO$3&gt;=Projects!$C$2,AO$3&lt;Projects!$C$2+Projects!$D$2),Projects!$B$2*INDEX(Curves!$B$6:$AR$6,1,AO$3-Projects!$C$2+1),0)-IF(AND(Projects!$G$2="Yes",AO$3&gt;=Projects!$C$2,AO$3&lt;Projects!$C$2+Projects!$D$2),Projects!$B$2*(Assumptions!$B$10+Assumptions!$B$11+Assumptions!$B$12)/Projects!$D$2*0.95,0)-IF(AND(Projects!$G$2="Yes",AO$3=Projects!$C$2+Projects!$D$2-1),Projects!$B$2*(Assumptions!$B$10+Assumptions!$B$11+Assumptions!$B$12)*0.05,0)</f>
        <v>0</v>
      </c>
      <c r="AP13" s="30" t="n">
        <f aca="false">IF(AND(Projects!$G$2="Yes",AP$3&gt;=Projects!$C$2,AP$3&lt;Projects!$C$2+Projects!$D$2),Projects!$B$2*INDEX(Curves!$B$6:$AR$6,1,AP$3-Projects!$C$2+1),0)-IF(AND(Projects!$G$2="Yes",AP$3&gt;=Projects!$C$2,AP$3&lt;Projects!$C$2+Projects!$D$2),Projects!$B$2*(Assumptions!$B$10+Assumptions!$B$11+Assumptions!$B$12)/Projects!$D$2*0.95,0)-IF(AND(Projects!$G$2="Yes",AP$3=Projects!$C$2+Projects!$D$2-1),Projects!$B$2*(Assumptions!$B$10+Assumptions!$B$11+Assumptions!$B$12)*0.05,0)</f>
        <v>0</v>
      </c>
      <c r="AQ13" s="30" t="n">
        <f aca="false">IF(AND(Projects!$G$2="Yes",AQ$3&gt;=Projects!$C$2,AQ$3&lt;Projects!$C$2+Projects!$D$2),Projects!$B$2*INDEX(Curves!$B$6:$AR$6,1,AQ$3-Projects!$C$2+1),0)-IF(AND(Projects!$G$2="Yes",AQ$3&gt;=Projects!$C$2,AQ$3&lt;Projects!$C$2+Projects!$D$2),Projects!$B$2*(Assumptions!$B$10+Assumptions!$B$11+Assumptions!$B$12)/Projects!$D$2*0.95,0)-IF(AND(Projects!$G$2="Yes",AQ$3=Projects!$C$2+Projects!$D$2-1),Projects!$B$2*(Assumptions!$B$10+Assumptions!$B$11+Assumptions!$B$12)*0.05,0)</f>
        <v>0</v>
      </c>
      <c r="AR13" s="30" t="n">
        <f aca="false">IF(AND(Projects!$G$2="Yes",AR$3&gt;=Projects!$C$2,AR$3&lt;Projects!$C$2+Projects!$D$2),Projects!$B$2*INDEX(Curves!$B$6:$AR$6,1,AR$3-Projects!$C$2+1),0)-IF(AND(Projects!$G$2="Yes",AR$3&gt;=Projects!$C$2,AR$3&lt;Projects!$C$2+Projects!$D$2),Projects!$B$2*(Assumptions!$B$10+Assumptions!$B$11+Assumptions!$B$12)/Projects!$D$2*0.95,0)-IF(AND(Projects!$G$2="Yes",AR$3=Projects!$C$2+Projects!$D$2-1),Projects!$B$2*(Assumptions!$B$10+Assumptions!$B$11+Assumptions!$B$12)*0.05,0)</f>
        <v>0</v>
      </c>
      <c r="AS13" s="30" t="n">
        <f aca="false">IF(AND(Projects!$G$2="Yes",AS$3&gt;=Projects!$C$2,AS$3&lt;Projects!$C$2+Projects!$D$2),Projects!$B$2*INDEX(Curves!$B$6:$AR$6,1,AS$3-Projects!$C$2+1),0)-IF(AND(Projects!$G$2="Yes",AS$3&gt;=Projects!$C$2,AS$3&lt;Projects!$C$2+Projects!$D$2),Projects!$B$2*(Assumptions!$B$10+Assumptions!$B$11+Assumptions!$B$12)/Projects!$D$2*0.95,0)-IF(AND(Projects!$G$2="Yes",AS$3=Projects!$C$2+Projects!$D$2-1),Projects!$B$2*(Assumptions!$B$10+Assumptions!$B$11+Assumptions!$B$12)*0.05,0)</f>
        <v>0</v>
      </c>
      <c r="AT13" s="30" t="n">
        <f aca="false">IF(AND(Projects!$G$2="Yes",AT$3&gt;=Projects!$C$2,AT$3&lt;Projects!$C$2+Projects!$D$2),Projects!$B$2*INDEX(Curves!$B$6:$AR$6,1,AT$3-Projects!$C$2+1),0)-IF(AND(Projects!$G$2="Yes",AT$3&gt;=Projects!$C$2,AT$3&lt;Projects!$C$2+Projects!$D$2),Projects!$B$2*(Assumptions!$B$10+Assumptions!$B$11+Assumptions!$B$12)/Projects!$D$2*0.95,0)-IF(AND(Projects!$G$2="Yes",AT$3=Projects!$C$2+Projects!$D$2-1),Projects!$B$2*(Assumptions!$B$10+Assumptions!$B$11+Assumptions!$B$12)*0.05,0)</f>
        <v>0</v>
      </c>
      <c r="AU13" s="30" t="n">
        <f aca="false">IF(AND(Projects!$G$2="Yes",AU$3&gt;=Projects!$C$2,AU$3&lt;Projects!$C$2+Projects!$D$2),Projects!$B$2*INDEX(Curves!$B$6:$AR$6,1,AU$3-Projects!$C$2+1),0)-IF(AND(Projects!$G$2="Yes",AU$3&gt;=Projects!$C$2,AU$3&lt;Projects!$C$2+Projects!$D$2),Projects!$B$2*(Assumptions!$B$10+Assumptions!$B$11+Assumptions!$B$12)/Projects!$D$2*0.95,0)-IF(AND(Projects!$G$2="Yes",AU$3=Projects!$C$2+Projects!$D$2-1),Projects!$B$2*(Assumptions!$B$10+Assumptions!$B$11+Assumptions!$B$12)*0.05,0)</f>
        <v>0</v>
      </c>
      <c r="AV13" s="30" t="n">
        <f aca="false">IF(AND(Projects!$G$2="Yes",AV$3&gt;=Projects!$C$2,AV$3&lt;Projects!$C$2+Projects!$D$2),Projects!$B$2*INDEX(Curves!$B$6:$AR$6,1,AV$3-Projects!$C$2+1),0)-IF(AND(Projects!$G$2="Yes",AV$3&gt;=Projects!$C$2,AV$3&lt;Projects!$C$2+Projects!$D$2),Projects!$B$2*(Assumptions!$B$10+Assumptions!$B$11+Assumptions!$B$12)/Projects!$D$2*0.95,0)-IF(AND(Projects!$G$2="Yes",AV$3=Projects!$C$2+Projects!$D$2-1),Projects!$B$2*(Assumptions!$B$10+Assumptions!$B$11+Assumptions!$B$12)*0.05,0)</f>
        <v>0</v>
      </c>
      <c r="AW13" s="30" t="n">
        <f aca="false">IF(AND(Projects!$G$2="Yes",AW$3&gt;=Projects!$C$2,AW$3&lt;Projects!$C$2+Projects!$D$2),Projects!$B$2*INDEX(Curves!$B$6:$AR$6,1,AW$3-Projects!$C$2+1),0)-IF(AND(Projects!$G$2="Yes",AW$3&gt;=Projects!$C$2,AW$3&lt;Projects!$C$2+Projects!$D$2),Projects!$B$2*(Assumptions!$B$10+Assumptions!$B$11+Assumptions!$B$12)/Projects!$D$2*0.95,0)-IF(AND(Projects!$G$2="Yes",AW$3=Projects!$C$2+Projects!$D$2-1),Projects!$B$2*(Assumptions!$B$10+Assumptions!$B$11+Assumptions!$B$12)*0.05,0)</f>
        <v>0</v>
      </c>
      <c r="AX13" s="30" t="n">
        <f aca="false">IF(AND(Projects!$G$2="Yes",AX$3&gt;=Projects!$C$2,AX$3&lt;Projects!$C$2+Projects!$D$2),Projects!$B$2*INDEX(Curves!$B$6:$AR$6,1,AX$3-Projects!$C$2+1),0)-IF(AND(Projects!$G$2="Yes",AX$3&gt;=Projects!$C$2,AX$3&lt;Projects!$C$2+Projects!$D$2),Projects!$B$2*(Assumptions!$B$10+Assumptions!$B$11+Assumptions!$B$12)/Projects!$D$2*0.95,0)-IF(AND(Projects!$G$2="Yes",AX$3=Projects!$C$2+Projects!$D$2-1),Projects!$B$2*(Assumptions!$B$10+Assumptions!$B$11+Assumptions!$B$12)*0.05,0)</f>
        <v>0</v>
      </c>
      <c r="AY13" s="30" t="n">
        <f aca="false">IF(AND(Projects!$G$2="Yes",AY$3&gt;=Projects!$C$2,AY$3&lt;Projects!$C$2+Projects!$D$2),Projects!$B$2*INDEX(Curves!$B$6:$AR$6,1,AY$3-Projects!$C$2+1),0)-IF(AND(Projects!$G$2="Yes",AY$3&gt;=Projects!$C$2,AY$3&lt;Projects!$C$2+Projects!$D$2),Projects!$B$2*(Assumptions!$B$10+Assumptions!$B$11+Assumptions!$B$12)/Projects!$D$2*0.95,0)-IF(AND(Projects!$G$2="Yes",AY$3=Projects!$C$2+Projects!$D$2-1),Projects!$B$2*(Assumptions!$B$10+Assumptions!$B$11+Assumptions!$B$12)*0.05,0)</f>
        <v>0</v>
      </c>
      <c r="AZ13" s="30" t="n">
        <f aca="false">IF(AND(Projects!$G$2="Yes",AZ$3&gt;=Projects!$C$2,AZ$3&lt;Projects!$C$2+Projects!$D$2),Projects!$B$2*INDEX(Curves!$B$6:$AR$6,1,AZ$3-Projects!$C$2+1),0)-IF(AND(Projects!$G$2="Yes",AZ$3&gt;=Projects!$C$2,AZ$3&lt;Projects!$C$2+Projects!$D$2),Projects!$B$2*(Assumptions!$B$10+Assumptions!$B$11+Assumptions!$B$12)/Projects!$D$2*0.95,0)-IF(AND(Projects!$G$2="Yes",AZ$3=Projects!$C$2+Projects!$D$2-1),Projects!$B$2*(Assumptions!$B$10+Assumptions!$B$11+Assumptions!$B$12)*0.05,0)</f>
        <v>0</v>
      </c>
      <c r="BA13" s="30" t="n">
        <f aca="false">IF(AND(Projects!$G$2="Yes",BA$3&gt;=Projects!$C$2,BA$3&lt;Projects!$C$2+Projects!$D$2),Projects!$B$2*INDEX(Curves!$B$6:$AR$6,1,BA$3-Projects!$C$2+1),0)-IF(AND(Projects!$G$2="Yes",BA$3&gt;=Projects!$C$2,BA$3&lt;Projects!$C$2+Projects!$D$2),Projects!$B$2*(Assumptions!$B$10+Assumptions!$B$11+Assumptions!$B$12)/Projects!$D$2*0.95,0)-IF(AND(Projects!$G$2="Yes",BA$3=Projects!$C$2+Projects!$D$2-1),Projects!$B$2*(Assumptions!$B$10+Assumptions!$B$11+Assumptions!$B$12)*0.05,0)</f>
        <v>0</v>
      </c>
      <c r="BB13" s="30" t="n">
        <f aca="false">IF(AND(Projects!$G$2="Yes",BB$3&gt;=Projects!$C$2,BB$3&lt;Projects!$C$2+Projects!$D$2),Projects!$B$2*INDEX(Curves!$B$6:$AR$6,1,BB$3-Projects!$C$2+1),0)-IF(AND(Projects!$G$2="Yes",BB$3&gt;=Projects!$C$2,BB$3&lt;Projects!$C$2+Projects!$D$2),Projects!$B$2*(Assumptions!$B$10+Assumptions!$B$11+Assumptions!$B$12)/Projects!$D$2*0.95,0)-IF(AND(Projects!$G$2="Yes",BB$3=Projects!$C$2+Projects!$D$2-1),Projects!$B$2*(Assumptions!$B$10+Assumptions!$B$11+Assumptions!$B$12)*0.05,0)</f>
        <v>0</v>
      </c>
      <c r="BC13" s="30" t="n">
        <f aca="false">IF(AND(Projects!$G$2="Yes",BC$3&gt;=Projects!$C$2,BC$3&lt;Projects!$C$2+Projects!$D$2),Projects!$B$2*INDEX(Curves!$B$6:$AR$6,1,BC$3-Projects!$C$2+1),0)-IF(AND(Projects!$G$2="Yes",BC$3&gt;=Projects!$C$2,BC$3&lt;Projects!$C$2+Projects!$D$2),Projects!$B$2*(Assumptions!$B$10+Assumptions!$B$11+Assumptions!$B$12)/Projects!$D$2*0.95,0)-IF(AND(Projects!$G$2="Yes",BC$3=Projects!$C$2+Projects!$D$2-1),Projects!$B$2*(Assumptions!$B$10+Assumptions!$B$11+Assumptions!$B$12)*0.05,0)</f>
        <v>0</v>
      </c>
      <c r="BD13" s="30" t="n">
        <f aca="false">IF(AND(Projects!$G$2="Yes",BD$3&gt;=Projects!$C$2,BD$3&lt;Projects!$C$2+Projects!$D$2),Projects!$B$2*INDEX(Curves!$B$6:$AR$6,1,BD$3-Projects!$C$2+1),0)-IF(AND(Projects!$G$2="Yes",BD$3&gt;=Projects!$C$2,BD$3&lt;Projects!$C$2+Projects!$D$2),Projects!$B$2*(Assumptions!$B$10+Assumptions!$B$11+Assumptions!$B$12)/Projects!$D$2*0.95,0)-IF(AND(Projects!$G$2="Yes",BD$3=Projects!$C$2+Projects!$D$2-1),Projects!$B$2*(Assumptions!$B$10+Assumptions!$B$11+Assumptions!$B$12)*0.05,0)</f>
        <v>0</v>
      </c>
      <c r="BE13" s="30" t="n">
        <f aca="false">IF(AND(Projects!$G$2="Yes",BE$3&gt;=Projects!$C$2,BE$3&lt;Projects!$C$2+Projects!$D$2),Projects!$B$2*INDEX(Curves!$B$6:$AR$6,1,BE$3-Projects!$C$2+1),0)-IF(AND(Projects!$G$2="Yes",BE$3&gt;=Projects!$C$2,BE$3&lt;Projects!$C$2+Projects!$D$2),Projects!$B$2*(Assumptions!$B$10+Assumptions!$B$11+Assumptions!$B$12)/Projects!$D$2*0.95,0)-IF(AND(Projects!$G$2="Yes",BE$3=Projects!$C$2+Projects!$D$2-1),Projects!$B$2*(Assumptions!$B$10+Assumptions!$B$11+Assumptions!$B$12)*0.05,0)</f>
        <v>0</v>
      </c>
      <c r="BF13" s="30" t="n">
        <f aca="false">IF(AND(Projects!$G$2="Yes",BF$3&gt;=Projects!$C$2,BF$3&lt;Projects!$C$2+Projects!$D$2),Projects!$B$2*INDEX(Curves!$B$6:$AR$6,1,BF$3-Projects!$C$2+1),0)-IF(AND(Projects!$G$2="Yes",BF$3&gt;=Projects!$C$2,BF$3&lt;Projects!$C$2+Projects!$D$2),Projects!$B$2*(Assumptions!$B$10+Assumptions!$B$11+Assumptions!$B$12)/Projects!$D$2*0.95,0)-IF(AND(Projects!$G$2="Yes",BF$3=Projects!$C$2+Projects!$D$2-1),Projects!$B$2*(Assumptions!$B$10+Assumptions!$B$11+Assumptions!$B$12)*0.05,0)</f>
        <v>0</v>
      </c>
      <c r="BG13" s="30" t="n">
        <f aca="false">IF(AND(Projects!$G$2="Yes",BG$3&gt;=Projects!$C$2,BG$3&lt;Projects!$C$2+Projects!$D$2),Projects!$B$2*INDEX(Curves!$B$6:$AR$6,1,BG$3-Projects!$C$2+1),0)-IF(AND(Projects!$G$2="Yes",BG$3&gt;=Projects!$C$2,BG$3&lt;Projects!$C$2+Projects!$D$2),Projects!$B$2*(Assumptions!$B$10+Assumptions!$B$11+Assumptions!$B$12)/Projects!$D$2*0.95,0)-IF(AND(Projects!$G$2="Yes",BG$3=Projects!$C$2+Projects!$D$2-1),Projects!$B$2*(Assumptions!$B$10+Assumptions!$B$11+Assumptions!$B$12)*0.05,0)</f>
        <v>0</v>
      </c>
      <c r="BH13" s="30" t="n">
        <f aca="false">IF(AND(Projects!$G$2="Yes",BH$3&gt;=Projects!$C$2,BH$3&lt;Projects!$C$2+Projects!$D$2),Projects!$B$2*INDEX(Curves!$B$6:$AR$6,1,BH$3-Projects!$C$2+1),0)-IF(AND(Projects!$G$2="Yes",BH$3&gt;=Projects!$C$2,BH$3&lt;Projects!$C$2+Projects!$D$2),Projects!$B$2*(Assumptions!$B$10+Assumptions!$B$11+Assumptions!$B$12)/Projects!$D$2*0.95,0)-IF(AND(Projects!$G$2="Yes",BH$3=Projects!$C$2+Projects!$D$2-1),Projects!$B$2*(Assumptions!$B$10+Assumptions!$B$11+Assumptions!$B$12)*0.05,0)</f>
        <v>0</v>
      </c>
      <c r="BI13" s="30" t="n">
        <f aca="false">IF(AND(Projects!$G$2="Yes",BI$3&gt;=Projects!$C$2,BI$3&lt;Projects!$C$2+Projects!$D$2),Projects!$B$2*INDEX(Curves!$B$6:$AR$6,1,BI$3-Projects!$C$2+1),0)-IF(AND(Projects!$G$2="Yes",BI$3&gt;=Projects!$C$2,BI$3&lt;Projects!$C$2+Projects!$D$2),Projects!$B$2*(Assumptions!$B$10+Assumptions!$B$11+Assumptions!$B$12)/Projects!$D$2*0.95,0)-IF(AND(Projects!$G$2="Yes",BI$3=Projects!$C$2+Projects!$D$2-1),Projects!$B$2*(Assumptions!$B$10+Assumptions!$B$11+Assumptions!$B$12)*0.05,0)</f>
        <v>0</v>
      </c>
      <c r="BJ13" s="30" t="n">
        <f aca="false">IF(AND(Projects!$G$2="Yes",BJ$3&gt;=Projects!$C$2,BJ$3&lt;Projects!$C$2+Projects!$D$2),Projects!$B$2*INDEX(Curves!$B$6:$AR$6,1,BJ$3-Projects!$C$2+1),0)-IF(AND(Projects!$G$2="Yes",BJ$3&gt;=Projects!$C$2,BJ$3&lt;Projects!$C$2+Projects!$D$2),Projects!$B$2*(Assumptions!$B$10+Assumptions!$B$11+Assumptions!$B$12)/Projects!$D$2*0.95,0)-IF(AND(Projects!$G$2="Yes",BJ$3=Projects!$C$2+Projects!$D$2-1),Projects!$B$2*(Assumptions!$B$10+Assumptions!$B$11+Assumptions!$B$12)*0.05,0)</f>
        <v>0</v>
      </c>
      <c r="BK13" s="30" t="n">
        <f aca="false">IF(AND(Projects!$G$2="Yes",BK$3&gt;=Projects!$C$2,BK$3&lt;Projects!$C$2+Projects!$D$2),Projects!$B$2*INDEX(Curves!$B$6:$AR$6,1,BK$3-Projects!$C$2+1),0)-IF(AND(Projects!$G$2="Yes",BK$3&gt;=Projects!$C$2,BK$3&lt;Projects!$C$2+Projects!$D$2),Projects!$B$2*(Assumptions!$B$10+Assumptions!$B$11+Assumptions!$B$12)/Projects!$D$2*0.95,0)-IF(AND(Projects!$G$2="Yes",BK$3=Projects!$C$2+Projects!$D$2-1),Projects!$B$2*(Assumptions!$B$10+Assumptions!$B$11+Assumptions!$B$12)*0.05,0)</f>
        <v>0</v>
      </c>
      <c r="BL13" s="30" t="n">
        <f aca="false">IF(AND(Projects!$G$2="Yes",BL$3&gt;=Projects!$C$2,BL$3&lt;Projects!$C$2+Projects!$D$2),Projects!$B$2*INDEX(Curves!$B$6:$AR$6,1,BL$3-Projects!$C$2+1),0)-IF(AND(Projects!$G$2="Yes",BL$3&gt;=Projects!$C$2,BL$3&lt;Projects!$C$2+Projects!$D$2),Projects!$B$2*(Assumptions!$B$10+Assumptions!$B$11+Assumptions!$B$12)/Projects!$D$2*0.95,0)-IF(AND(Projects!$G$2="Yes",BL$3=Projects!$C$2+Projects!$D$2-1),Projects!$B$2*(Assumptions!$B$10+Assumptions!$B$11+Assumptions!$B$12)*0.05,0)</f>
        <v>0</v>
      </c>
      <c r="BM13" s="30" t="n">
        <f aca="false">IF(AND(Projects!$G$2="Yes",BM$3&gt;=Projects!$C$2,BM$3&lt;Projects!$C$2+Projects!$D$2),Projects!$B$2*INDEX(Curves!$B$6:$AR$6,1,BM$3-Projects!$C$2+1),0)-IF(AND(Projects!$G$2="Yes",BM$3&gt;=Projects!$C$2,BM$3&lt;Projects!$C$2+Projects!$D$2),Projects!$B$2*(Assumptions!$B$10+Assumptions!$B$11+Assumptions!$B$12)/Projects!$D$2*0.95,0)-IF(AND(Projects!$G$2="Yes",BM$3=Projects!$C$2+Projects!$D$2-1),Projects!$B$2*(Assumptions!$B$10+Assumptions!$B$11+Assumptions!$B$12)*0.05,0)</f>
        <v>0</v>
      </c>
      <c r="BN13" s="30" t="n">
        <f aca="false">IF(AND(Projects!$G$2="Yes",BN$3&gt;=Projects!$C$2,BN$3&lt;Projects!$C$2+Projects!$D$2),Projects!$B$2*INDEX(Curves!$B$6:$AR$6,1,BN$3-Projects!$C$2+1),0)-IF(AND(Projects!$G$2="Yes",BN$3&gt;=Projects!$C$2,BN$3&lt;Projects!$C$2+Projects!$D$2),Projects!$B$2*(Assumptions!$B$10+Assumptions!$B$11+Assumptions!$B$12)/Projects!$D$2*0.95,0)-IF(AND(Projects!$G$2="Yes",BN$3=Projects!$C$2+Projects!$D$2-1),Projects!$B$2*(Assumptions!$B$10+Assumptions!$B$11+Assumptions!$B$12)*0.05,0)</f>
        <v>0</v>
      </c>
      <c r="BO13" s="30" t="n">
        <f aca="false">IF(AND(Projects!$G$2="Yes",BO$3&gt;=Projects!$C$2,BO$3&lt;Projects!$C$2+Projects!$D$2),Projects!$B$2*INDEX(Curves!$B$6:$AR$6,1,BO$3-Projects!$C$2+1),0)-IF(AND(Projects!$G$2="Yes",BO$3&gt;=Projects!$C$2,BO$3&lt;Projects!$C$2+Projects!$D$2),Projects!$B$2*(Assumptions!$B$10+Assumptions!$B$11+Assumptions!$B$12)/Projects!$D$2*0.95,0)-IF(AND(Projects!$G$2="Yes",BO$3=Projects!$C$2+Projects!$D$2-1),Projects!$B$2*(Assumptions!$B$10+Assumptions!$B$11+Assumptions!$B$12)*0.05,0)</f>
        <v>0</v>
      </c>
      <c r="BP13" s="30" t="n">
        <f aca="false">IF(AND(Projects!$G$2="Yes",BP$3&gt;=Projects!$C$2,BP$3&lt;Projects!$C$2+Projects!$D$2),Projects!$B$2*INDEX(Curves!$B$6:$AR$6,1,BP$3-Projects!$C$2+1),0)-IF(AND(Projects!$G$2="Yes",BP$3&gt;=Projects!$C$2,BP$3&lt;Projects!$C$2+Projects!$D$2),Projects!$B$2*(Assumptions!$B$10+Assumptions!$B$11+Assumptions!$B$12)/Projects!$D$2*0.95,0)-IF(AND(Projects!$G$2="Yes",BP$3=Projects!$C$2+Projects!$D$2-1),Projects!$B$2*(Assumptions!$B$10+Assumptions!$B$11+Assumptions!$B$12)*0.05,0)</f>
        <v>0</v>
      </c>
      <c r="BQ13" s="30" t="n">
        <f aca="false">IF(AND(Projects!$G$2="Yes",BQ$3&gt;=Projects!$C$2,BQ$3&lt;Projects!$C$2+Projects!$D$2),Projects!$B$2*INDEX(Curves!$B$6:$AR$6,1,BQ$3-Projects!$C$2+1),0)-IF(AND(Projects!$G$2="Yes",BQ$3&gt;=Projects!$C$2,BQ$3&lt;Projects!$C$2+Projects!$D$2),Projects!$B$2*(Assumptions!$B$10+Assumptions!$B$11+Assumptions!$B$12)/Projects!$D$2*0.95,0)-IF(AND(Projects!$G$2="Yes",BQ$3=Projects!$C$2+Projects!$D$2-1),Projects!$B$2*(Assumptions!$B$10+Assumptions!$B$11+Assumptions!$B$12)*0.05,0)</f>
        <v>0</v>
      </c>
      <c r="BR13" s="30" t="n">
        <f aca="false">IF(AND(Projects!$G$2="Yes",BR$3&gt;=Projects!$C$2,BR$3&lt;Projects!$C$2+Projects!$D$2),Projects!$B$2*INDEX(Curves!$B$6:$AR$6,1,BR$3-Projects!$C$2+1),0)-IF(AND(Projects!$G$2="Yes",BR$3&gt;=Projects!$C$2,BR$3&lt;Projects!$C$2+Projects!$D$2),Projects!$B$2*(Assumptions!$B$10+Assumptions!$B$11+Assumptions!$B$12)/Projects!$D$2*0.95,0)-IF(AND(Projects!$G$2="Yes",BR$3=Projects!$C$2+Projects!$D$2-1),Projects!$B$2*(Assumptions!$B$10+Assumptions!$B$11+Assumptions!$B$12)*0.05,0)</f>
        <v>0</v>
      </c>
      <c r="BS13" s="30" t="n">
        <f aca="false">IF(AND(Projects!$G$2="Yes",BS$3&gt;=Projects!$C$2,BS$3&lt;Projects!$C$2+Projects!$D$2),Projects!$B$2*INDEX(Curves!$B$6:$AR$6,1,BS$3-Projects!$C$2+1),0)-IF(AND(Projects!$G$2="Yes",BS$3&gt;=Projects!$C$2,BS$3&lt;Projects!$C$2+Projects!$D$2),Projects!$B$2*(Assumptions!$B$10+Assumptions!$B$11+Assumptions!$B$12)/Projects!$D$2*0.95,0)-IF(AND(Projects!$G$2="Yes",BS$3=Projects!$C$2+Projects!$D$2-1),Projects!$B$2*(Assumptions!$B$10+Assumptions!$B$11+Assumptions!$B$12)*0.05,0)</f>
        <v>0</v>
      </c>
      <c r="BT13" s="30" t="n">
        <f aca="false">IF(AND(Projects!$G$2="Yes",BT$3&gt;=Projects!$C$2,BT$3&lt;Projects!$C$2+Projects!$D$2),Projects!$B$2*INDEX(Curves!$B$6:$AR$6,1,BT$3-Projects!$C$2+1),0)-IF(AND(Projects!$G$2="Yes",BT$3&gt;=Projects!$C$2,BT$3&lt;Projects!$C$2+Projects!$D$2),Projects!$B$2*(Assumptions!$B$10+Assumptions!$B$11+Assumptions!$B$12)/Projects!$D$2*0.95,0)-IF(AND(Projects!$G$2="Yes",BT$3=Projects!$C$2+Projects!$D$2-1),Projects!$B$2*(Assumptions!$B$10+Assumptions!$B$11+Assumptions!$B$12)*0.05,0)</f>
        <v>0</v>
      </c>
      <c r="BU13" s="30" t="n">
        <f aca="false">IF(AND(Projects!$G$2="Yes",BU$3&gt;=Projects!$C$2,BU$3&lt;Projects!$C$2+Projects!$D$2),Projects!$B$2*INDEX(Curves!$B$6:$AR$6,1,BU$3-Projects!$C$2+1),0)-IF(AND(Projects!$G$2="Yes",BU$3&gt;=Projects!$C$2,BU$3&lt;Projects!$C$2+Projects!$D$2),Projects!$B$2*(Assumptions!$B$10+Assumptions!$B$11+Assumptions!$B$12)/Projects!$D$2*0.95,0)-IF(AND(Projects!$G$2="Yes",BU$3=Projects!$C$2+Projects!$D$2-1),Projects!$B$2*(Assumptions!$B$10+Assumptions!$B$11+Assumptions!$B$12)*0.05,0)</f>
        <v>0</v>
      </c>
      <c r="BV13" s="30" t="n">
        <f aca="false">IF(AND(Projects!$G$2="Yes",BV$3&gt;=Projects!$C$2,BV$3&lt;Projects!$C$2+Projects!$D$2),Projects!$B$2*INDEX(Curves!$B$6:$AR$6,1,BV$3-Projects!$C$2+1),0)-IF(AND(Projects!$G$2="Yes",BV$3&gt;=Projects!$C$2,BV$3&lt;Projects!$C$2+Projects!$D$2),Projects!$B$2*(Assumptions!$B$10+Assumptions!$B$11+Assumptions!$B$12)/Projects!$D$2*0.95,0)-IF(AND(Projects!$G$2="Yes",BV$3=Projects!$C$2+Projects!$D$2-1),Projects!$B$2*(Assumptions!$B$10+Assumptions!$B$11+Assumptions!$B$12)*0.05,0)</f>
        <v>0</v>
      </c>
      <c r="BW13" s="30" t="n">
        <f aca="false">IF(AND(Projects!$G$2="Yes",BW$3&gt;=Projects!$C$2,BW$3&lt;Projects!$C$2+Projects!$D$2),Projects!$B$2*INDEX(Curves!$B$6:$AR$6,1,BW$3-Projects!$C$2+1),0)-IF(AND(Projects!$G$2="Yes",BW$3&gt;=Projects!$C$2,BW$3&lt;Projects!$C$2+Projects!$D$2),Projects!$B$2*(Assumptions!$B$10+Assumptions!$B$11+Assumptions!$B$12)/Projects!$D$2*0.95,0)-IF(AND(Projects!$G$2="Yes",BW$3=Projects!$C$2+Projects!$D$2-1),Projects!$B$2*(Assumptions!$B$10+Assumptions!$B$11+Assumptions!$B$12)*0.05,0)</f>
        <v>0</v>
      </c>
      <c r="BX13" s="30" t="n">
        <f aca="false">IF(AND(Projects!$G$2="Yes",BX$3&gt;=Projects!$C$2,BX$3&lt;Projects!$C$2+Projects!$D$2),Projects!$B$2*INDEX(Curves!$B$6:$AR$6,1,BX$3-Projects!$C$2+1),0)-IF(AND(Projects!$G$2="Yes",BX$3&gt;=Projects!$C$2,BX$3&lt;Projects!$C$2+Projects!$D$2),Projects!$B$2*(Assumptions!$B$10+Assumptions!$B$11+Assumptions!$B$12)/Projects!$D$2*0.95,0)-IF(AND(Projects!$G$2="Yes",BX$3=Projects!$C$2+Projects!$D$2-1),Projects!$B$2*(Assumptions!$B$10+Assumptions!$B$11+Assumptions!$B$12)*0.05,0)</f>
        <v>0</v>
      </c>
      <c r="BY13" s="30" t="n">
        <f aca="false">IF(AND(Projects!$G$2="Yes",BY$3&gt;=Projects!$C$2,BY$3&lt;Projects!$C$2+Projects!$D$2),Projects!$B$2*INDEX(Curves!$B$6:$AR$6,1,BY$3-Projects!$C$2+1),0)-IF(AND(Projects!$G$2="Yes",BY$3&gt;=Projects!$C$2,BY$3&lt;Projects!$C$2+Projects!$D$2),Projects!$B$2*(Assumptions!$B$10+Assumptions!$B$11+Assumptions!$B$12)/Projects!$D$2*0.95,0)-IF(AND(Projects!$G$2="Yes",BY$3=Projects!$C$2+Projects!$D$2-1),Projects!$B$2*(Assumptions!$B$10+Assumptions!$B$11+Assumptions!$B$12)*0.05,0)</f>
        <v>0</v>
      </c>
      <c r="BZ13" s="30" t="n">
        <f aca="false">IF(AND(Projects!$G$2="Yes",BZ$3&gt;=Projects!$C$2,BZ$3&lt;Projects!$C$2+Projects!$D$2),Projects!$B$2*INDEX(Curves!$B$6:$AR$6,1,BZ$3-Projects!$C$2+1),0)-IF(AND(Projects!$G$2="Yes",BZ$3&gt;=Projects!$C$2,BZ$3&lt;Projects!$C$2+Projects!$D$2),Projects!$B$2*(Assumptions!$B$10+Assumptions!$B$11+Assumptions!$B$12)/Projects!$D$2*0.95,0)-IF(AND(Projects!$G$2="Yes",BZ$3=Projects!$C$2+Projects!$D$2-1),Projects!$B$2*(Assumptions!$B$10+Assumptions!$B$11+Assumptions!$B$12)*0.05,0)</f>
        <v>0</v>
      </c>
      <c r="CA13" s="30" t="n">
        <f aca="false">IF(AND(Projects!$G$2="Yes",CA$3&gt;=Projects!$C$2,CA$3&lt;Projects!$C$2+Projects!$D$2),Projects!$B$2*INDEX(Curves!$B$6:$AR$6,1,CA$3-Projects!$C$2+1),0)-IF(AND(Projects!$G$2="Yes",CA$3&gt;=Projects!$C$2,CA$3&lt;Projects!$C$2+Projects!$D$2),Projects!$B$2*(Assumptions!$B$10+Assumptions!$B$11+Assumptions!$B$12)/Projects!$D$2*0.95,0)-IF(AND(Projects!$G$2="Yes",CA$3=Projects!$C$2+Projects!$D$2-1),Projects!$B$2*(Assumptions!$B$10+Assumptions!$B$11+Assumptions!$B$12)*0.05,0)</f>
        <v>0</v>
      </c>
      <c r="CB13" s="30" t="n">
        <f aca="false">IF(AND(Projects!$G$2="Yes",CB$3&gt;=Projects!$C$2,CB$3&lt;Projects!$C$2+Projects!$D$2),Projects!$B$2*INDEX(Curves!$B$6:$AR$6,1,CB$3-Projects!$C$2+1),0)-IF(AND(Projects!$G$2="Yes",CB$3&gt;=Projects!$C$2,CB$3&lt;Projects!$C$2+Projects!$D$2),Projects!$B$2*(Assumptions!$B$10+Assumptions!$B$11+Assumptions!$B$12)/Projects!$D$2*0.95,0)-IF(AND(Projects!$G$2="Yes",CB$3=Projects!$C$2+Projects!$D$2-1),Projects!$B$2*(Assumptions!$B$10+Assumptions!$B$11+Assumptions!$B$12)*0.05,0)</f>
        <v>0</v>
      </c>
      <c r="CC13" s="30" t="n">
        <f aca="false">IF(AND(Projects!$G$2="Yes",CC$3&gt;=Projects!$C$2,CC$3&lt;Projects!$C$2+Projects!$D$2),Projects!$B$2*INDEX(Curves!$B$6:$AR$6,1,CC$3-Projects!$C$2+1),0)-IF(AND(Projects!$G$2="Yes",CC$3&gt;=Projects!$C$2,CC$3&lt;Projects!$C$2+Projects!$D$2),Projects!$B$2*(Assumptions!$B$10+Assumptions!$B$11+Assumptions!$B$12)/Projects!$D$2*0.95,0)-IF(AND(Projects!$G$2="Yes",CC$3=Projects!$C$2+Projects!$D$2-1),Projects!$B$2*(Assumptions!$B$10+Assumptions!$B$11+Assumptions!$B$12)*0.05,0)</f>
        <v>0</v>
      </c>
      <c r="CD13" s="30" t="n">
        <f aca="false">IF(AND(Projects!$G$2="Yes",CD$3&gt;=Projects!$C$2,CD$3&lt;Projects!$C$2+Projects!$D$2),Projects!$B$2*INDEX(Curves!$B$6:$AR$6,1,CD$3-Projects!$C$2+1),0)-IF(AND(Projects!$G$2="Yes",CD$3&gt;=Projects!$C$2,CD$3&lt;Projects!$C$2+Projects!$D$2),Projects!$B$2*(Assumptions!$B$10+Assumptions!$B$11+Assumptions!$B$12)/Projects!$D$2*0.95,0)-IF(AND(Projects!$G$2="Yes",CD$3=Projects!$C$2+Projects!$D$2-1),Projects!$B$2*(Assumptions!$B$10+Assumptions!$B$11+Assumptions!$B$12)*0.05,0)</f>
        <v>0</v>
      </c>
      <c r="CE13" s="30" t="n">
        <f aca="false">IF(AND(Projects!$G$2="Yes",CE$3&gt;=Projects!$C$2,CE$3&lt;Projects!$C$2+Projects!$D$2),Projects!$B$2*INDEX(Curves!$B$6:$AR$6,1,CE$3-Projects!$C$2+1),0)-IF(AND(Projects!$G$2="Yes",CE$3&gt;=Projects!$C$2,CE$3&lt;Projects!$C$2+Projects!$D$2),Projects!$B$2*(Assumptions!$B$10+Assumptions!$B$11+Assumptions!$B$12)/Projects!$D$2*0.95,0)-IF(AND(Projects!$G$2="Yes",CE$3=Projects!$C$2+Projects!$D$2-1),Projects!$B$2*(Assumptions!$B$10+Assumptions!$B$11+Assumptions!$B$12)*0.05,0)</f>
        <v>0</v>
      </c>
      <c r="CF13" s="30" t="n">
        <f aca="false">IF(AND(Projects!$G$2="Yes",CF$3&gt;=Projects!$C$2,CF$3&lt;Projects!$C$2+Projects!$D$2),Projects!$B$2*INDEX(Curves!$B$6:$AR$6,1,CF$3-Projects!$C$2+1),0)-IF(AND(Projects!$G$2="Yes",CF$3&gt;=Projects!$C$2,CF$3&lt;Projects!$C$2+Projects!$D$2),Projects!$B$2*(Assumptions!$B$10+Assumptions!$B$11+Assumptions!$B$12)/Projects!$D$2*0.95,0)-IF(AND(Projects!$G$2="Yes",CF$3=Projects!$C$2+Projects!$D$2-1),Projects!$B$2*(Assumptions!$B$10+Assumptions!$B$11+Assumptions!$B$12)*0.05,0)</f>
        <v>0</v>
      </c>
      <c r="CG13" s="30" t="n">
        <f aca="false">IF(AND(Projects!$G$2="Yes",CG$3&gt;=Projects!$C$2,CG$3&lt;Projects!$C$2+Projects!$D$2),Projects!$B$2*INDEX(Curves!$B$6:$AR$6,1,CG$3-Projects!$C$2+1),0)-IF(AND(Projects!$G$2="Yes",CG$3&gt;=Projects!$C$2,CG$3&lt;Projects!$C$2+Projects!$D$2),Projects!$B$2*(Assumptions!$B$10+Assumptions!$B$11+Assumptions!$B$12)/Projects!$D$2*0.95,0)-IF(AND(Projects!$G$2="Yes",CG$3=Projects!$C$2+Projects!$D$2-1),Projects!$B$2*(Assumptions!$B$10+Assumptions!$B$11+Assumptions!$B$12)*0.05,0)</f>
        <v>0</v>
      </c>
      <c r="CH13" s="30" t="n">
        <f aca="false">IF(AND(Projects!$G$2="Yes",CH$3&gt;=Projects!$C$2,CH$3&lt;Projects!$C$2+Projects!$D$2),Projects!$B$2*INDEX(Curves!$B$6:$AR$6,1,CH$3-Projects!$C$2+1),0)-IF(AND(Projects!$G$2="Yes",CH$3&gt;=Projects!$C$2,CH$3&lt;Projects!$C$2+Projects!$D$2),Projects!$B$2*(Assumptions!$B$10+Assumptions!$B$11+Assumptions!$B$12)/Projects!$D$2*0.95,0)-IF(AND(Projects!$G$2="Yes",CH$3=Projects!$C$2+Projects!$D$2-1),Projects!$B$2*(Assumptions!$B$10+Assumptions!$B$11+Assumptions!$B$12)*0.05,0)</f>
        <v>0</v>
      </c>
      <c r="CI13" s="30" t="n">
        <f aca="false">IF(AND(Projects!$G$2="Yes",CI$3&gt;=Projects!$C$2,CI$3&lt;Projects!$C$2+Projects!$D$2),Projects!$B$2*INDEX(Curves!$B$6:$AR$6,1,CI$3-Projects!$C$2+1),0)-IF(AND(Projects!$G$2="Yes",CI$3&gt;=Projects!$C$2,CI$3&lt;Projects!$C$2+Projects!$D$2),Projects!$B$2*(Assumptions!$B$10+Assumptions!$B$11+Assumptions!$B$12)/Projects!$D$2*0.95,0)-IF(AND(Projects!$G$2="Yes",CI$3=Projects!$C$2+Projects!$D$2-1),Projects!$B$2*(Assumptions!$B$10+Assumptions!$B$11+Assumptions!$B$12)*0.05,0)</f>
        <v>0</v>
      </c>
      <c r="CJ13" s="30" t="n">
        <f aca="false">IF(AND(Projects!$G$2="Yes",CJ$3&gt;=Projects!$C$2,CJ$3&lt;Projects!$C$2+Projects!$D$2),Projects!$B$2*INDEX(Curves!$B$6:$AR$6,1,CJ$3-Projects!$C$2+1),0)-IF(AND(Projects!$G$2="Yes",CJ$3&gt;=Projects!$C$2,CJ$3&lt;Projects!$C$2+Projects!$D$2),Projects!$B$2*(Assumptions!$B$10+Assumptions!$B$11+Assumptions!$B$12)/Projects!$D$2*0.95,0)-IF(AND(Projects!$G$2="Yes",CJ$3=Projects!$C$2+Projects!$D$2-1),Projects!$B$2*(Assumptions!$B$10+Assumptions!$B$11+Assumptions!$B$12)*0.05,0)</f>
        <v>0</v>
      </c>
      <c r="CK13" s="30" t="n">
        <f aca="false">IF(AND(Projects!$G$2="Yes",CK$3&gt;=Projects!$C$2,CK$3&lt;Projects!$C$2+Projects!$D$2),Projects!$B$2*INDEX(Curves!$B$6:$AR$6,1,CK$3-Projects!$C$2+1),0)-IF(AND(Projects!$G$2="Yes",CK$3&gt;=Projects!$C$2,CK$3&lt;Projects!$C$2+Projects!$D$2),Projects!$B$2*(Assumptions!$B$10+Assumptions!$B$11+Assumptions!$B$12)/Projects!$D$2*0.95,0)-IF(AND(Projects!$G$2="Yes",CK$3=Projects!$C$2+Projects!$D$2-1),Projects!$B$2*(Assumptions!$B$10+Assumptions!$B$11+Assumptions!$B$12)*0.05,0)</f>
        <v>0</v>
      </c>
      <c r="CL13" s="30" t="n">
        <f aca="false">IF(AND(Projects!$G$2="Yes",CL$3&gt;=Projects!$C$2,CL$3&lt;Projects!$C$2+Projects!$D$2),Projects!$B$2*INDEX(Curves!$B$6:$AR$6,1,CL$3-Projects!$C$2+1),0)-IF(AND(Projects!$G$2="Yes",CL$3&gt;=Projects!$C$2,CL$3&lt;Projects!$C$2+Projects!$D$2),Projects!$B$2*(Assumptions!$B$10+Assumptions!$B$11+Assumptions!$B$12)/Projects!$D$2*0.95,0)-IF(AND(Projects!$G$2="Yes",CL$3=Projects!$C$2+Projects!$D$2-1),Projects!$B$2*(Assumptions!$B$10+Assumptions!$B$11+Assumptions!$B$12)*0.05,0)</f>
        <v>0</v>
      </c>
      <c r="CM13" s="30" t="n">
        <f aca="false">IF(AND(Projects!$G$2="Yes",CM$3&gt;=Projects!$C$2,CM$3&lt;Projects!$C$2+Projects!$D$2),Projects!$B$2*INDEX(Curves!$B$6:$AR$6,1,CM$3-Projects!$C$2+1),0)-IF(AND(Projects!$G$2="Yes",CM$3&gt;=Projects!$C$2,CM$3&lt;Projects!$C$2+Projects!$D$2),Projects!$B$2*(Assumptions!$B$10+Assumptions!$B$11+Assumptions!$B$12)/Projects!$D$2*0.95,0)-IF(AND(Projects!$G$2="Yes",CM$3=Projects!$C$2+Projects!$D$2-1),Projects!$B$2*(Assumptions!$B$10+Assumptions!$B$11+Assumptions!$B$12)*0.05,0)</f>
        <v>0</v>
      </c>
      <c r="CN13" s="30" t="n">
        <f aca="false">IF(AND(Projects!$G$2="Yes",CN$3&gt;=Projects!$C$2,CN$3&lt;Projects!$C$2+Projects!$D$2),Projects!$B$2*INDEX(Curves!$B$6:$AR$6,1,CN$3-Projects!$C$2+1),0)-IF(AND(Projects!$G$2="Yes",CN$3&gt;=Projects!$C$2,CN$3&lt;Projects!$C$2+Projects!$D$2),Projects!$B$2*(Assumptions!$B$10+Assumptions!$B$11+Assumptions!$B$12)/Projects!$D$2*0.95,0)-IF(AND(Projects!$G$2="Yes",CN$3=Projects!$C$2+Projects!$D$2-1),Projects!$B$2*(Assumptions!$B$10+Assumptions!$B$11+Assumptions!$B$12)*0.05,0)</f>
        <v>0</v>
      </c>
      <c r="CO13" s="30" t="n">
        <f aca="false">IF(AND(Projects!$G$2="Yes",CO$3&gt;=Projects!$C$2,CO$3&lt;Projects!$C$2+Projects!$D$2),Projects!$B$2*INDEX(Curves!$B$6:$AR$6,1,CO$3-Projects!$C$2+1),0)-IF(AND(Projects!$G$2="Yes",CO$3&gt;=Projects!$C$2,CO$3&lt;Projects!$C$2+Projects!$D$2),Projects!$B$2*(Assumptions!$B$10+Assumptions!$B$11+Assumptions!$B$12)/Projects!$D$2*0.95,0)-IF(AND(Projects!$G$2="Yes",CO$3=Projects!$C$2+Projects!$D$2-1),Projects!$B$2*(Assumptions!$B$10+Assumptions!$B$11+Assumptions!$B$12)*0.05,0)</f>
        <v>0</v>
      </c>
      <c r="CP13" s="30" t="n">
        <f aca="false">IF(AND(Projects!$G$2="Yes",CP$3&gt;=Projects!$C$2,CP$3&lt;Projects!$C$2+Projects!$D$2),Projects!$B$2*INDEX(Curves!$B$6:$AR$6,1,CP$3-Projects!$C$2+1),0)-IF(AND(Projects!$G$2="Yes",CP$3&gt;=Projects!$C$2,CP$3&lt;Projects!$C$2+Projects!$D$2),Projects!$B$2*(Assumptions!$B$10+Assumptions!$B$11+Assumptions!$B$12)/Projects!$D$2*0.95,0)-IF(AND(Projects!$G$2="Yes",CP$3=Projects!$C$2+Projects!$D$2-1),Projects!$B$2*(Assumptions!$B$10+Assumptions!$B$11+Assumptions!$B$12)*0.05,0)</f>
        <v>0</v>
      </c>
      <c r="CQ13" s="30" t="n">
        <f aca="false">IF(AND(Projects!$G$2="Yes",CQ$3&gt;=Projects!$C$2,CQ$3&lt;Projects!$C$2+Projects!$D$2),Projects!$B$2*INDEX(Curves!$B$6:$AR$6,1,CQ$3-Projects!$C$2+1),0)-IF(AND(Projects!$G$2="Yes",CQ$3&gt;=Projects!$C$2,CQ$3&lt;Projects!$C$2+Projects!$D$2),Projects!$B$2*(Assumptions!$B$10+Assumptions!$B$11+Assumptions!$B$12)/Projects!$D$2*0.95,0)-IF(AND(Projects!$G$2="Yes",CQ$3=Projects!$C$2+Projects!$D$2-1),Projects!$B$2*(Assumptions!$B$10+Assumptions!$B$11+Assumptions!$B$12)*0.05,0)</f>
        <v>0</v>
      </c>
      <c r="CR13" s="30" t="n">
        <f aca="false">IF(AND(Projects!$G$2="Yes",CR$3&gt;=Projects!$C$2,CR$3&lt;Projects!$C$2+Projects!$D$2),Projects!$B$2*INDEX(Curves!$B$6:$AR$6,1,CR$3-Projects!$C$2+1),0)-IF(AND(Projects!$G$2="Yes",CR$3&gt;=Projects!$C$2,CR$3&lt;Projects!$C$2+Projects!$D$2),Projects!$B$2*(Assumptions!$B$10+Assumptions!$B$11+Assumptions!$B$12)/Projects!$D$2*0.95,0)-IF(AND(Projects!$G$2="Yes",CR$3=Projects!$C$2+Projects!$D$2-1),Projects!$B$2*(Assumptions!$B$10+Assumptions!$B$11+Assumptions!$B$12)*0.05,0)</f>
        <v>0</v>
      </c>
      <c r="CS13" s="30" t="n">
        <f aca="false">IF(AND(Projects!$G$2="Yes",CS$3&gt;=Projects!$C$2,CS$3&lt;Projects!$C$2+Projects!$D$2),Projects!$B$2*INDEX(Curves!$B$6:$AR$6,1,CS$3-Projects!$C$2+1),0)-IF(AND(Projects!$G$2="Yes",CS$3&gt;=Projects!$C$2,CS$3&lt;Projects!$C$2+Projects!$D$2),Projects!$B$2*(Assumptions!$B$10+Assumptions!$B$11+Assumptions!$B$12)/Projects!$D$2*0.95,0)-IF(AND(Projects!$G$2="Yes",CS$3=Projects!$C$2+Projects!$D$2-1),Projects!$B$2*(Assumptions!$B$10+Assumptions!$B$11+Assumptions!$B$12)*0.05,0)</f>
        <v>0</v>
      </c>
      <c r="CT13" s="30" t="n">
        <f aca="false">IF(AND(Projects!$G$2="Yes",CT$3&gt;=Projects!$C$2,CT$3&lt;Projects!$C$2+Projects!$D$2),Projects!$B$2*INDEX(Curves!$B$6:$AR$6,1,CT$3-Projects!$C$2+1),0)-IF(AND(Projects!$G$2="Yes",CT$3&gt;=Projects!$C$2,CT$3&lt;Projects!$C$2+Projects!$D$2),Projects!$B$2*(Assumptions!$B$10+Assumptions!$B$11+Assumptions!$B$12)/Projects!$D$2*0.95,0)-IF(AND(Projects!$G$2="Yes",CT$3=Projects!$C$2+Projects!$D$2-1),Projects!$B$2*(Assumptions!$B$10+Assumptions!$B$11+Assumptions!$B$12)*0.05,0)</f>
        <v>0</v>
      </c>
      <c r="CU13" s="30" t="n">
        <f aca="false">IF(AND(Projects!$G$2="Yes",CU$3&gt;=Projects!$C$2,CU$3&lt;Projects!$C$2+Projects!$D$2),Projects!$B$2*INDEX(Curves!$B$6:$AR$6,1,CU$3-Projects!$C$2+1),0)-IF(AND(Projects!$G$2="Yes",CU$3&gt;=Projects!$C$2,CU$3&lt;Projects!$C$2+Projects!$D$2),Projects!$B$2*(Assumptions!$B$10+Assumptions!$B$11+Assumptions!$B$12)/Projects!$D$2*0.95,0)-IF(AND(Projects!$G$2="Yes",CU$3=Projects!$C$2+Projects!$D$2-1),Projects!$B$2*(Assumptions!$B$10+Assumptions!$B$11+Assumptions!$B$12)*0.05,0)</f>
        <v>0</v>
      </c>
      <c r="CV13" s="30" t="n">
        <f aca="false">IF(AND(Projects!$G$2="Yes",CV$3&gt;=Projects!$C$2,CV$3&lt;Projects!$C$2+Projects!$D$2),Projects!$B$2*INDEX(Curves!$B$6:$AR$6,1,CV$3-Projects!$C$2+1),0)-IF(AND(Projects!$G$2="Yes",CV$3&gt;=Projects!$C$2,CV$3&lt;Projects!$C$2+Projects!$D$2),Projects!$B$2*(Assumptions!$B$10+Assumptions!$B$11+Assumptions!$B$12)/Projects!$D$2*0.95,0)-IF(AND(Projects!$G$2="Yes",CV$3=Projects!$C$2+Projects!$D$2-1),Projects!$B$2*(Assumptions!$B$10+Assumptions!$B$11+Assumptions!$B$12)*0.05,0)</f>
        <v>0</v>
      </c>
      <c r="CW13" s="30" t="n">
        <f aca="false">IF(AND(Projects!$G$2="Yes",CW$3&gt;=Projects!$C$2,CW$3&lt;Projects!$C$2+Projects!$D$2),Projects!$B$2*INDEX(Curves!$B$6:$AR$6,1,CW$3-Projects!$C$2+1),0)-IF(AND(Projects!$G$2="Yes",CW$3&gt;=Projects!$C$2,CW$3&lt;Projects!$C$2+Projects!$D$2),Projects!$B$2*(Assumptions!$B$10+Assumptions!$B$11+Assumptions!$B$12)/Projects!$D$2*0.95,0)-IF(AND(Projects!$G$2="Yes",CW$3=Projects!$C$2+Projects!$D$2-1),Projects!$B$2*(Assumptions!$B$10+Assumptions!$B$11+Assumptions!$B$12)*0.05,0)</f>
        <v>0</v>
      </c>
      <c r="CX13" s="30" t="n">
        <f aca="false">IF(AND(Projects!$G$2="Yes",CX$3&gt;=Projects!$C$2,CX$3&lt;Projects!$C$2+Projects!$D$2),Projects!$B$2*INDEX(Curves!$B$6:$AR$6,1,CX$3-Projects!$C$2+1),0)-IF(AND(Projects!$G$2="Yes",CX$3&gt;=Projects!$C$2,CX$3&lt;Projects!$C$2+Projects!$D$2),Projects!$B$2*(Assumptions!$B$10+Assumptions!$B$11+Assumptions!$B$12)/Projects!$D$2*0.95,0)-IF(AND(Projects!$G$2="Yes",CX$3=Projects!$C$2+Projects!$D$2-1),Projects!$B$2*(Assumptions!$B$10+Assumptions!$B$11+Assumptions!$B$12)*0.05,0)</f>
        <v>0</v>
      </c>
      <c r="CY13" s="30" t="n">
        <f aca="false">IF(AND(Projects!$G$2="Yes",CY$3&gt;=Projects!$C$2,CY$3&lt;Projects!$C$2+Projects!$D$2),Projects!$B$2*INDEX(Curves!$B$6:$AR$6,1,CY$3-Projects!$C$2+1),0)-IF(AND(Projects!$G$2="Yes",CY$3&gt;=Projects!$C$2,CY$3&lt;Projects!$C$2+Projects!$D$2),Projects!$B$2*(Assumptions!$B$10+Assumptions!$B$11+Assumptions!$B$12)/Projects!$D$2*0.95,0)-IF(AND(Projects!$G$2="Yes",CY$3=Projects!$C$2+Projects!$D$2-1),Projects!$B$2*(Assumptions!$B$10+Assumptions!$B$11+Assumptions!$B$12)*0.05,0)</f>
        <v>0</v>
      </c>
      <c r="CZ13" s="30" t="n">
        <f aca="false">IF(AND(Projects!$G$2="Yes",CZ$3&gt;=Projects!$C$2,CZ$3&lt;Projects!$C$2+Projects!$D$2),Projects!$B$2*INDEX(Curves!$B$6:$AR$6,1,CZ$3-Projects!$C$2+1),0)-IF(AND(Projects!$G$2="Yes",CZ$3&gt;=Projects!$C$2,CZ$3&lt;Projects!$C$2+Projects!$D$2),Projects!$B$2*(Assumptions!$B$10+Assumptions!$B$11+Assumptions!$B$12)/Projects!$D$2*0.95,0)-IF(AND(Projects!$G$2="Yes",CZ$3=Projects!$C$2+Projects!$D$2-1),Projects!$B$2*(Assumptions!$B$10+Assumptions!$B$11+Assumptions!$B$12)*0.05,0)</f>
        <v>0</v>
      </c>
      <c r="DA13" s="30" t="n">
        <f aca="false">IF(AND(Projects!$G$2="Yes",DA$3&gt;=Projects!$C$2,DA$3&lt;Projects!$C$2+Projects!$D$2),Projects!$B$2*INDEX(Curves!$B$6:$AR$6,1,DA$3-Projects!$C$2+1),0)-IF(AND(Projects!$G$2="Yes",DA$3&gt;=Projects!$C$2,DA$3&lt;Projects!$C$2+Projects!$D$2),Projects!$B$2*(Assumptions!$B$10+Assumptions!$B$11+Assumptions!$B$12)/Projects!$D$2*0.95,0)-IF(AND(Projects!$G$2="Yes",DA$3=Projects!$C$2+Projects!$D$2-1),Projects!$B$2*(Assumptions!$B$10+Assumptions!$B$11+Assumptions!$B$12)*0.05,0)</f>
        <v>0</v>
      </c>
      <c r="DB13" s="30" t="n">
        <f aca="false">IF(AND(Projects!$G$2="Yes",DB$3&gt;=Projects!$C$2,DB$3&lt;Projects!$C$2+Projects!$D$2),Projects!$B$2*INDEX(Curves!$B$6:$AR$6,1,DB$3-Projects!$C$2+1),0)-IF(AND(Projects!$G$2="Yes",DB$3&gt;=Projects!$C$2,DB$3&lt;Projects!$C$2+Projects!$D$2),Projects!$B$2*(Assumptions!$B$10+Assumptions!$B$11+Assumptions!$B$12)/Projects!$D$2*0.95,0)-IF(AND(Projects!$G$2="Yes",DB$3=Projects!$C$2+Projects!$D$2-1),Projects!$B$2*(Assumptions!$B$10+Assumptions!$B$11+Assumptions!$B$12)*0.05,0)</f>
        <v>0</v>
      </c>
      <c r="DC13" s="30" t="n">
        <f aca="false">IF(AND(Projects!$G$2="Yes",DC$3&gt;=Projects!$C$2,DC$3&lt;Projects!$C$2+Projects!$D$2),Projects!$B$2*INDEX(Curves!$B$6:$AR$6,1,DC$3-Projects!$C$2+1),0)-IF(AND(Projects!$G$2="Yes",DC$3&gt;=Projects!$C$2,DC$3&lt;Projects!$C$2+Projects!$D$2),Projects!$B$2*(Assumptions!$B$10+Assumptions!$B$11+Assumptions!$B$12)/Projects!$D$2*0.95,0)-IF(AND(Projects!$G$2="Yes",DC$3=Projects!$C$2+Projects!$D$2-1),Projects!$B$2*(Assumptions!$B$10+Assumptions!$B$11+Assumptions!$B$12)*0.05,0)</f>
        <v>0</v>
      </c>
      <c r="DD13" s="30" t="n">
        <f aca="false">IF(AND(Projects!$G$2="Yes",DD$3&gt;=Projects!$C$2,DD$3&lt;Projects!$C$2+Projects!$D$2),Projects!$B$2*INDEX(Curves!$B$6:$AR$6,1,DD$3-Projects!$C$2+1),0)-IF(AND(Projects!$G$2="Yes",DD$3&gt;=Projects!$C$2,DD$3&lt;Projects!$C$2+Projects!$D$2),Projects!$B$2*(Assumptions!$B$10+Assumptions!$B$11+Assumptions!$B$12)/Projects!$D$2*0.95,0)-IF(AND(Projects!$G$2="Yes",DD$3=Projects!$C$2+Projects!$D$2-1),Projects!$B$2*(Assumptions!$B$10+Assumptions!$B$11+Assumptions!$B$12)*0.05,0)</f>
        <v>0</v>
      </c>
      <c r="DE13" s="30" t="n">
        <f aca="false">IF(AND(Projects!$G$2="Yes",DE$3&gt;=Projects!$C$2,DE$3&lt;Projects!$C$2+Projects!$D$2),Projects!$B$2*INDEX(Curves!$B$6:$AR$6,1,DE$3-Projects!$C$2+1),0)-IF(AND(Projects!$G$2="Yes",DE$3&gt;=Projects!$C$2,DE$3&lt;Projects!$C$2+Projects!$D$2),Projects!$B$2*(Assumptions!$B$10+Assumptions!$B$11+Assumptions!$B$12)/Projects!$D$2*0.95,0)-IF(AND(Projects!$G$2="Yes",DE$3=Projects!$C$2+Projects!$D$2-1),Projects!$B$2*(Assumptions!$B$10+Assumptions!$B$11+Assumptions!$B$12)*0.05,0)</f>
        <v>0</v>
      </c>
    </row>
    <row r="14" customFormat="false" ht="15" hidden="true" customHeight="true" outlineLevel="1" collapsed="false">
      <c r="A14" s="32" t="s">
        <v>8</v>
      </c>
      <c r="B14" s="30" t="n">
        <v>607376.6</v>
      </c>
      <c r="C14" s="30" t="n">
        <v>1291217.23</v>
      </c>
      <c r="D14" s="30" t="n">
        <v>951766.47</v>
      </c>
      <c r="E14" s="30" t="n">
        <v>1237428.59</v>
      </c>
      <c r="F14" s="30" t="n">
        <v>1120082.41</v>
      </c>
      <c r="G14" s="30" t="n">
        <v>1858219.93</v>
      </c>
      <c r="H14" s="30" t="n">
        <f aca="false">13856788.17*Curves!E$7/SUM(Curves!$E$7:$Q$7)</f>
        <v>1427146.58724838</v>
      </c>
      <c r="I14" s="30" t="n">
        <f aca="false">13856788.17*Curves!F$7/SUM(Curves!$E$7:$Q$7)</f>
        <v>1427146.58724838</v>
      </c>
      <c r="J14" s="30" t="n">
        <f aca="false">13856788.17*Curves!G$7/SUM(Curves!$E$7:$Q$7)</f>
        <v>1405046.68451424</v>
      </c>
      <c r="K14" s="30" t="n">
        <f aca="false">13856788.17*Curves!H$7/SUM(Curves!$E$7:$Q$7)</f>
        <v>1361866.10965576</v>
      </c>
      <c r="L14" s="30" t="n">
        <f aca="false">13856788.17*Curves!I$7/SUM(Curves!$E$7:$Q$7)</f>
        <v>1299593.60532618</v>
      </c>
      <c r="M14" s="30" t="n">
        <f aca="false">13856788.17*Curves!J$7/SUM(Curves!$E$7:$Q$7)</f>
        <v>1220938.83339053</v>
      </c>
      <c r="N14" s="30" t="n">
        <f aca="false">13856788.17*Curves!K$7/SUM(Curves!$E$7:$Q$7)</f>
        <v>1129307.51564248</v>
      </c>
      <c r="O14" s="30" t="n">
        <f aca="false">13856788.17*Curves!L$7/SUM(Curves!$E$7:$Q$7)</f>
        <v>1028378.82599054</v>
      </c>
      <c r="P14" s="30" t="n">
        <f aca="false">13856788.17*Curves!M$7/SUM(Curves!$E$7:$Q$7)</f>
        <v>921956.234759019</v>
      </c>
      <c r="Q14" s="30" t="n">
        <f aca="false">13856788.17*Curves!N$7/SUM(Curves!$E$7:$Q$7)</f>
        <v>813768.634422749</v>
      </c>
      <c r="R14" s="30" t="n">
        <f aca="false">13856788.17*Curves!O$7/SUM(Curves!$E$7:$Q$7)</f>
        <v>707122.30964274</v>
      </c>
      <c r="S14" s="30" t="n">
        <f aca="false">13856788.17*Curves!P$7/SUM(Curves!$E$7:$Q$7)</f>
        <v>604975.515115688</v>
      </c>
      <c r="T14" s="30" t="n">
        <f aca="false">13856788.17*Curves!Q$7/SUM(Curves!$E$7:$Q$7)</f>
        <v>509540.72704332</v>
      </c>
      <c r="U14" s="30" t="n">
        <f aca="false">IF(AND(Projects!$G$3="Yes",U$3&gt;=Projects!$C$3,U$3&lt;Projects!$C$3+Projects!$D$3),Projects!$B$3*INDEX(Curves!$B$7:$AR$7,1,U$3-Projects!$C$3+1),0)-IF(AND(Projects!$G$3="Yes",U$3&gt;=Projects!$C$3,U$3&lt;Projects!$C$3+Projects!$D$3),Projects!$B$3*(Assumptions!$B$10+Assumptions!$B$11+Assumptions!$B$12)/Projects!$D$3*0.95,0)-IF(AND(Projects!$G$3="Yes",U$3=Projects!$C$3+Projects!$D$3-1),Projects!$B$3*(Assumptions!$B$10+Assumptions!$B$11+Assumptions!$B$12)*0.05,0)</f>
        <v>0</v>
      </c>
      <c r="V14" s="30" t="n">
        <f aca="false">IF(AND(Projects!$G$3="Yes",V$3&gt;=Projects!$C$3,V$3&lt;Projects!$C$3+Projects!$D$3),Projects!$B$3*INDEX(Curves!$B$7:$AR$7,1,V$3-Projects!$C$3+1),0)-IF(AND(Projects!$G$3="Yes",V$3&gt;=Projects!$C$3,V$3&lt;Projects!$C$3+Projects!$D$3),Projects!$B$3*(Assumptions!$B$10+Assumptions!$B$11+Assumptions!$B$12)/Projects!$D$3*0.95,0)-IF(AND(Projects!$G$3="Yes",V$3=Projects!$C$3+Projects!$D$3-1),Projects!$B$3*(Assumptions!$B$10+Assumptions!$B$11+Assumptions!$B$12)*0.05,0)</f>
        <v>0</v>
      </c>
      <c r="W14" s="30" t="n">
        <f aca="false">IF(AND(Projects!$G$3="Yes",W$3&gt;=Projects!$C$3,W$3&lt;Projects!$C$3+Projects!$D$3),Projects!$B$3*INDEX(Curves!$B$7:$AR$7,1,W$3-Projects!$C$3+1),0)-IF(AND(Projects!$G$3="Yes",W$3&gt;=Projects!$C$3,W$3&lt;Projects!$C$3+Projects!$D$3),Projects!$B$3*(Assumptions!$B$10+Assumptions!$B$11+Assumptions!$B$12)/Projects!$D$3*0.95,0)-IF(AND(Projects!$G$3="Yes",W$3=Projects!$C$3+Projects!$D$3-1),Projects!$B$3*(Assumptions!$B$10+Assumptions!$B$11+Assumptions!$B$12)*0.05,0)</f>
        <v>0</v>
      </c>
      <c r="X14" s="30" t="n">
        <f aca="false">IF(AND(Projects!$G$3="Yes",X$3&gt;=Projects!$C$3,X$3&lt;Projects!$C$3+Projects!$D$3),Projects!$B$3*INDEX(Curves!$B$7:$AR$7,1,X$3-Projects!$C$3+1),0)-IF(AND(Projects!$G$3="Yes",X$3&gt;=Projects!$C$3,X$3&lt;Projects!$C$3+Projects!$D$3),Projects!$B$3*(Assumptions!$B$10+Assumptions!$B$11+Assumptions!$B$12)/Projects!$D$3*0.95,0)-IF(AND(Projects!$G$3="Yes",X$3=Projects!$C$3+Projects!$D$3-1),Projects!$B$3*(Assumptions!$B$10+Assumptions!$B$11+Assumptions!$B$12)*0.05,0)</f>
        <v>0</v>
      </c>
      <c r="Y14" s="30" t="n">
        <f aca="false">IF(AND(Projects!$G$3="Yes",Y$3&gt;=Projects!$C$3,Y$3&lt;Projects!$C$3+Projects!$D$3),Projects!$B$3*INDEX(Curves!$B$7:$AR$7,1,Y$3-Projects!$C$3+1),0)-IF(AND(Projects!$G$3="Yes",Y$3&gt;=Projects!$C$3,Y$3&lt;Projects!$C$3+Projects!$D$3),Projects!$B$3*(Assumptions!$B$10+Assumptions!$B$11+Assumptions!$B$12)/Projects!$D$3*0.95,0)-IF(AND(Projects!$G$3="Yes",Y$3=Projects!$C$3+Projects!$D$3-1),Projects!$B$3*(Assumptions!$B$10+Assumptions!$B$11+Assumptions!$B$12)*0.05,0)</f>
        <v>0</v>
      </c>
      <c r="Z14" s="30" t="n">
        <f aca="false">IF(AND(Projects!$G$3="Yes",Z$3&gt;=Projects!$C$3,Z$3&lt;Projects!$C$3+Projects!$D$3),Projects!$B$3*INDEX(Curves!$B$7:$AR$7,1,Z$3-Projects!$C$3+1),0)-IF(AND(Projects!$G$3="Yes",Z$3&gt;=Projects!$C$3,Z$3&lt;Projects!$C$3+Projects!$D$3),Projects!$B$3*(Assumptions!$B$10+Assumptions!$B$11+Assumptions!$B$12)/Projects!$D$3*0.95,0)-IF(AND(Projects!$G$3="Yes",Z$3=Projects!$C$3+Projects!$D$3-1),Projects!$B$3*(Assumptions!$B$10+Assumptions!$B$11+Assumptions!$B$12)*0.05,0)</f>
        <v>0</v>
      </c>
      <c r="AA14" s="30" t="n">
        <f aca="false">IF(AND(Projects!$G$3="Yes",AA$3&gt;=Projects!$C$3,AA$3&lt;Projects!$C$3+Projects!$D$3),Projects!$B$3*INDEX(Curves!$B$7:$AR$7,1,AA$3-Projects!$C$3+1),0)-IF(AND(Projects!$G$3="Yes",AA$3&gt;=Projects!$C$3,AA$3&lt;Projects!$C$3+Projects!$D$3),Projects!$B$3*(Assumptions!$B$10+Assumptions!$B$11+Assumptions!$B$12)/Projects!$D$3*0.95,0)-IF(AND(Projects!$G$3="Yes",AA$3=Projects!$C$3+Projects!$D$3-1),Projects!$B$3*(Assumptions!$B$10+Assumptions!$B$11+Assumptions!$B$12)*0.05,0)</f>
        <v>0</v>
      </c>
      <c r="AB14" s="30" t="n">
        <f aca="false">IF(AND(Projects!$G$3="Yes",AB$3&gt;=Projects!$C$3,AB$3&lt;Projects!$C$3+Projects!$D$3),Projects!$B$3*INDEX(Curves!$B$7:$AR$7,1,AB$3-Projects!$C$3+1),0)-IF(AND(Projects!$G$3="Yes",AB$3&gt;=Projects!$C$3,AB$3&lt;Projects!$C$3+Projects!$D$3),Projects!$B$3*(Assumptions!$B$10+Assumptions!$B$11+Assumptions!$B$12)/Projects!$D$3*0.95,0)-IF(AND(Projects!$G$3="Yes",AB$3=Projects!$C$3+Projects!$D$3-1),Projects!$B$3*(Assumptions!$B$10+Assumptions!$B$11+Assumptions!$B$12)*0.05,0)</f>
        <v>0</v>
      </c>
      <c r="AC14" s="30" t="n">
        <f aca="false">IF(AND(Projects!$G$3="Yes",AC$3&gt;=Projects!$C$3,AC$3&lt;Projects!$C$3+Projects!$D$3),Projects!$B$3*INDEX(Curves!$B$7:$AR$7,1,AC$3-Projects!$C$3+1),0)-IF(AND(Projects!$G$3="Yes",AC$3&gt;=Projects!$C$3,AC$3&lt;Projects!$C$3+Projects!$D$3),Projects!$B$3*(Assumptions!$B$10+Assumptions!$B$11+Assumptions!$B$12)/Projects!$D$3*0.95,0)-IF(AND(Projects!$G$3="Yes",AC$3=Projects!$C$3+Projects!$D$3-1),Projects!$B$3*(Assumptions!$B$10+Assumptions!$B$11+Assumptions!$B$12)*0.05,0)</f>
        <v>0</v>
      </c>
      <c r="AD14" s="30" t="n">
        <f aca="false">IF(AND(Projects!$G$3="Yes",AD$3&gt;=Projects!$C$3,AD$3&lt;Projects!$C$3+Projects!$D$3),Projects!$B$3*INDEX(Curves!$B$7:$AR$7,1,AD$3-Projects!$C$3+1),0)-IF(AND(Projects!$G$3="Yes",AD$3&gt;=Projects!$C$3,AD$3&lt;Projects!$C$3+Projects!$D$3),Projects!$B$3*(Assumptions!$B$10+Assumptions!$B$11+Assumptions!$B$12)/Projects!$D$3*0.95,0)-IF(AND(Projects!$G$3="Yes",AD$3=Projects!$C$3+Projects!$D$3-1),Projects!$B$3*(Assumptions!$B$10+Assumptions!$B$11+Assumptions!$B$12)*0.05,0)</f>
        <v>0</v>
      </c>
      <c r="AE14" s="30" t="n">
        <f aca="false">IF(AND(Projects!$G$3="Yes",AE$3&gt;=Projects!$C$3,AE$3&lt;Projects!$C$3+Projects!$D$3),Projects!$B$3*INDEX(Curves!$B$7:$AR$7,1,AE$3-Projects!$C$3+1),0)-IF(AND(Projects!$G$3="Yes",AE$3&gt;=Projects!$C$3,AE$3&lt;Projects!$C$3+Projects!$D$3),Projects!$B$3*(Assumptions!$B$10+Assumptions!$B$11+Assumptions!$B$12)/Projects!$D$3*0.95,0)-IF(AND(Projects!$G$3="Yes",AE$3=Projects!$C$3+Projects!$D$3-1),Projects!$B$3*(Assumptions!$B$10+Assumptions!$B$11+Assumptions!$B$12)*0.05,0)</f>
        <v>0</v>
      </c>
      <c r="AF14" s="30" t="n">
        <f aca="false">IF(AND(Projects!$G$3="Yes",AF$3&gt;=Projects!$C$3,AF$3&lt;Projects!$C$3+Projects!$D$3),Projects!$B$3*INDEX(Curves!$B$7:$AR$7,1,AF$3-Projects!$C$3+1),0)-IF(AND(Projects!$G$3="Yes",AF$3&gt;=Projects!$C$3,AF$3&lt;Projects!$C$3+Projects!$D$3),Projects!$B$3*(Assumptions!$B$10+Assumptions!$B$11+Assumptions!$B$12)/Projects!$D$3*0.95,0)-IF(AND(Projects!$G$3="Yes",AF$3=Projects!$C$3+Projects!$D$3-1),Projects!$B$3*(Assumptions!$B$10+Assumptions!$B$11+Assumptions!$B$12)*0.05,0)</f>
        <v>0</v>
      </c>
      <c r="AG14" s="30" t="n">
        <f aca="false">IF(AND(Projects!$G$3="Yes",AG$3&gt;=Projects!$C$3,AG$3&lt;Projects!$C$3+Projects!$D$3),Projects!$B$3*INDEX(Curves!$B$7:$AR$7,1,AG$3-Projects!$C$3+1),0)-IF(AND(Projects!$G$3="Yes",AG$3&gt;=Projects!$C$3,AG$3&lt;Projects!$C$3+Projects!$D$3),Projects!$B$3*(Assumptions!$B$10+Assumptions!$B$11+Assumptions!$B$12)/Projects!$D$3*0.95,0)-IF(AND(Projects!$G$3="Yes",AG$3=Projects!$C$3+Projects!$D$3-1),Projects!$B$3*(Assumptions!$B$10+Assumptions!$B$11+Assumptions!$B$12)*0.05,0)</f>
        <v>0</v>
      </c>
      <c r="AH14" s="30" t="n">
        <f aca="false">IF(AND(Projects!$G$3="Yes",AH$3&gt;=Projects!$C$3,AH$3&lt;Projects!$C$3+Projects!$D$3),Projects!$B$3*INDEX(Curves!$B$7:$AR$7,1,AH$3-Projects!$C$3+1),0)-IF(AND(Projects!$G$3="Yes",AH$3&gt;=Projects!$C$3,AH$3&lt;Projects!$C$3+Projects!$D$3),Projects!$B$3*(Assumptions!$B$10+Assumptions!$B$11+Assumptions!$B$12)/Projects!$D$3*0.95,0)-IF(AND(Projects!$G$3="Yes",AH$3=Projects!$C$3+Projects!$D$3-1),Projects!$B$3*(Assumptions!$B$10+Assumptions!$B$11+Assumptions!$B$12)*0.05,0)</f>
        <v>0</v>
      </c>
      <c r="AI14" s="30" t="n">
        <f aca="false">IF(AND(Projects!$G$3="Yes",AI$3&gt;=Projects!$C$3,AI$3&lt;Projects!$C$3+Projects!$D$3),Projects!$B$3*INDEX(Curves!$B$7:$AR$7,1,AI$3-Projects!$C$3+1),0)-IF(AND(Projects!$G$3="Yes",AI$3&gt;=Projects!$C$3,AI$3&lt;Projects!$C$3+Projects!$D$3),Projects!$B$3*(Assumptions!$B$10+Assumptions!$B$11+Assumptions!$B$12)/Projects!$D$3*0.95,0)-IF(AND(Projects!$G$3="Yes",AI$3=Projects!$C$3+Projects!$D$3-1),Projects!$B$3*(Assumptions!$B$10+Assumptions!$B$11+Assumptions!$B$12)*0.05,0)</f>
        <v>0</v>
      </c>
      <c r="AJ14" s="30" t="n">
        <f aca="false">IF(AND(Projects!$G$3="Yes",AJ$3&gt;=Projects!$C$3,AJ$3&lt;Projects!$C$3+Projects!$D$3),Projects!$B$3*INDEX(Curves!$B$7:$AR$7,1,AJ$3-Projects!$C$3+1),0)-IF(AND(Projects!$G$3="Yes",AJ$3&gt;=Projects!$C$3,AJ$3&lt;Projects!$C$3+Projects!$D$3),Projects!$B$3*(Assumptions!$B$10+Assumptions!$B$11+Assumptions!$B$12)/Projects!$D$3*0.95,0)-IF(AND(Projects!$G$3="Yes",AJ$3=Projects!$C$3+Projects!$D$3-1),Projects!$B$3*(Assumptions!$B$10+Assumptions!$B$11+Assumptions!$B$12)*0.05,0)</f>
        <v>0</v>
      </c>
      <c r="AK14" s="30" t="n">
        <f aca="false">IF(AND(Projects!$G$3="Yes",AK$3&gt;=Projects!$C$3,AK$3&lt;Projects!$C$3+Projects!$D$3),Projects!$B$3*INDEX(Curves!$B$7:$AR$7,1,AK$3-Projects!$C$3+1),0)-IF(AND(Projects!$G$3="Yes",AK$3&gt;=Projects!$C$3,AK$3&lt;Projects!$C$3+Projects!$D$3),Projects!$B$3*(Assumptions!$B$10+Assumptions!$B$11+Assumptions!$B$12)/Projects!$D$3*0.95,0)-IF(AND(Projects!$G$3="Yes",AK$3=Projects!$C$3+Projects!$D$3-1),Projects!$B$3*(Assumptions!$B$10+Assumptions!$B$11+Assumptions!$B$12)*0.05,0)</f>
        <v>0</v>
      </c>
      <c r="AL14" s="30" t="n">
        <f aca="false">IF(AND(Projects!$G$3="Yes",AL$3&gt;=Projects!$C$3,AL$3&lt;Projects!$C$3+Projects!$D$3),Projects!$B$3*INDEX(Curves!$B$7:$AR$7,1,AL$3-Projects!$C$3+1),0)-IF(AND(Projects!$G$3="Yes",AL$3&gt;=Projects!$C$3,AL$3&lt;Projects!$C$3+Projects!$D$3),Projects!$B$3*(Assumptions!$B$10+Assumptions!$B$11+Assumptions!$B$12)/Projects!$D$3*0.95,0)-IF(AND(Projects!$G$3="Yes",AL$3=Projects!$C$3+Projects!$D$3-1),Projects!$B$3*(Assumptions!$B$10+Assumptions!$B$11+Assumptions!$B$12)*0.05,0)</f>
        <v>0</v>
      </c>
      <c r="AM14" s="30" t="n">
        <f aca="false">IF(AND(Projects!$G$3="Yes",AM$3&gt;=Projects!$C$3,AM$3&lt;Projects!$C$3+Projects!$D$3),Projects!$B$3*INDEX(Curves!$B$7:$AR$7,1,AM$3-Projects!$C$3+1),0)-IF(AND(Projects!$G$3="Yes",AM$3&gt;=Projects!$C$3,AM$3&lt;Projects!$C$3+Projects!$D$3),Projects!$B$3*(Assumptions!$B$10+Assumptions!$B$11+Assumptions!$B$12)/Projects!$D$3*0.95,0)-IF(AND(Projects!$G$3="Yes",AM$3=Projects!$C$3+Projects!$D$3-1),Projects!$B$3*(Assumptions!$B$10+Assumptions!$B$11+Assumptions!$B$12)*0.05,0)</f>
        <v>0</v>
      </c>
      <c r="AN14" s="30" t="n">
        <f aca="false">IF(AND(Projects!$G$3="Yes",AN$3&gt;=Projects!$C$3,AN$3&lt;Projects!$C$3+Projects!$D$3),Projects!$B$3*INDEX(Curves!$B$7:$AR$7,1,AN$3-Projects!$C$3+1),0)-IF(AND(Projects!$G$3="Yes",AN$3&gt;=Projects!$C$3,AN$3&lt;Projects!$C$3+Projects!$D$3),Projects!$B$3*(Assumptions!$B$10+Assumptions!$B$11+Assumptions!$B$12)/Projects!$D$3*0.95,0)-IF(AND(Projects!$G$3="Yes",AN$3=Projects!$C$3+Projects!$D$3-1),Projects!$B$3*(Assumptions!$B$10+Assumptions!$B$11+Assumptions!$B$12)*0.05,0)</f>
        <v>0</v>
      </c>
      <c r="AO14" s="30" t="n">
        <f aca="false">IF(AND(Projects!$G$3="Yes",AO$3&gt;=Projects!$C$3,AO$3&lt;Projects!$C$3+Projects!$D$3),Projects!$B$3*INDEX(Curves!$B$7:$AR$7,1,AO$3-Projects!$C$3+1),0)-IF(AND(Projects!$G$3="Yes",AO$3&gt;=Projects!$C$3,AO$3&lt;Projects!$C$3+Projects!$D$3),Projects!$B$3*(Assumptions!$B$10+Assumptions!$B$11+Assumptions!$B$12)/Projects!$D$3*0.95,0)-IF(AND(Projects!$G$3="Yes",AO$3=Projects!$C$3+Projects!$D$3-1),Projects!$B$3*(Assumptions!$B$10+Assumptions!$B$11+Assumptions!$B$12)*0.05,0)</f>
        <v>0</v>
      </c>
      <c r="AP14" s="30" t="n">
        <f aca="false">IF(AND(Projects!$G$3="Yes",AP$3&gt;=Projects!$C$3,AP$3&lt;Projects!$C$3+Projects!$D$3),Projects!$B$3*INDEX(Curves!$B$7:$AR$7,1,AP$3-Projects!$C$3+1),0)-IF(AND(Projects!$G$3="Yes",AP$3&gt;=Projects!$C$3,AP$3&lt;Projects!$C$3+Projects!$D$3),Projects!$B$3*(Assumptions!$B$10+Assumptions!$B$11+Assumptions!$B$12)/Projects!$D$3*0.95,0)-IF(AND(Projects!$G$3="Yes",AP$3=Projects!$C$3+Projects!$D$3-1),Projects!$B$3*(Assumptions!$B$10+Assumptions!$B$11+Assumptions!$B$12)*0.05,0)</f>
        <v>0</v>
      </c>
      <c r="AQ14" s="30" t="n">
        <f aca="false">IF(AND(Projects!$G$3="Yes",AQ$3&gt;=Projects!$C$3,AQ$3&lt;Projects!$C$3+Projects!$D$3),Projects!$B$3*INDEX(Curves!$B$7:$AR$7,1,AQ$3-Projects!$C$3+1),0)-IF(AND(Projects!$G$3="Yes",AQ$3&gt;=Projects!$C$3,AQ$3&lt;Projects!$C$3+Projects!$D$3),Projects!$B$3*(Assumptions!$B$10+Assumptions!$B$11+Assumptions!$B$12)/Projects!$D$3*0.95,0)-IF(AND(Projects!$G$3="Yes",AQ$3=Projects!$C$3+Projects!$D$3-1),Projects!$B$3*(Assumptions!$B$10+Assumptions!$B$11+Assumptions!$B$12)*0.05,0)</f>
        <v>0</v>
      </c>
      <c r="AR14" s="30" t="n">
        <f aca="false">IF(AND(Projects!$G$3="Yes",AR$3&gt;=Projects!$C$3,AR$3&lt;Projects!$C$3+Projects!$D$3),Projects!$B$3*INDEX(Curves!$B$7:$AR$7,1,AR$3-Projects!$C$3+1),0)-IF(AND(Projects!$G$3="Yes",AR$3&gt;=Projects!$C$3,AR$3&lt;Projects!$C$3+Projects!$D$3),Projects!$B$3*(Assumptions!$B$10+Assumptions!$B$11+Assumptions!$B$12)/Projects!$D$3*0.95,0)-IF(AND(Projects!$G$3="Yes",AR$3=Projects!$C$3+Projects!$D$3-1),Projects!$B$3*(Assumptions!$B$10+Assumptions!$B$11+Assumptions!$B$12)*0.05,0)</f>
        <v>0</v>
      </c>
      <c r="AS14" s="30" t="n">
        <f aca="false">IF(AND(Projects!$G$3="Yes",AS$3&gt;=Projects!$C$3,AS$3&lt;Projects!$C$3+Projects!$D$3),Projects!$B$3*INDEX(Curves!$B$7:$AR$7,1,AS$3-Projects!$C$3+1),0)-IF(AND(Projects!$G$3="Yes",AS$3&gt;=Projects!$C$3,AS$3&lt;Projects!$C$3+Projects!$D$3),Projects!$B$3*(Assumptions!$B$10+Assumptions!$B$11+Assumptions!$B$12)/Projects!$D$3*0.95,0)-IF(AND(Projects!$G$3="Yes",AS$3=Projects!$C$3+Projects!$D$3-1),Projects!$B$3*(Assumptions!$B$10+Assumptions!$B$11+Assumptions!$B$12)*0.05,0)</f>
        <v>0</v>
      </c>
      <c r="AT14" s="30" t="n">
        <f aca="false">IF(AND(Projects!$G$3="Yes",AT$3&gt;=Projects!$C$3,AT$3&lt;Projects!$C$3+Projects!$D$3),Projects!$B$3*INDEX(Curves!$B$7:$AR$7,1,AT$3-Projects!$C$3+1),0)-IF(AND(Projects!$G$3="Yes",AT$3&gt;=Projects!$C$3,AT$3&lt;Projects!$C$3+Projects!$D$3),Projects!$B$3*(Assumptions!$B$10+Assumptions!$B$11+Assumptions!$B$12)/Projects!$D$3*0.95,0)-IF(AND(Projects!$G$3="Yes",AT$3=Projects!$C$3+Projects!$D$3-1),Projects!$B$3*(Assumptions!$B$10+Assumptions!$B$11+Assumptions!$B$12)*0.05,0)</f>
        <v>0</v>
      </c>
      <c r="AU14" s="30" t="n">
        <f aca="false">IF(AND(Projects!$G$3="Yes",AU$3&gt;=Projects!$C$3,AU$3&lt;Projects!$C$3+Projects!$D$3),Projects!$B$3*INDEX(Curves!$B$7:$AR$7,1,AU$3-Projects!$C$3+1),0)-IF(AND(Projects!$G$3="Yes",AU$3&gt;=Projects!$C$3,AU$3&lt;Projects!$C$3+Projects!$D$3),Projects!$B$3*(Assumptions!$B$10+Assumptions!$B$11+Assumptions!$B$12)/Projects!$D$3*0.95,0)-IF(AND(Projects!$G$3="Yes",AU$3=Projects!$C$3+Projects!$D$3-1),Projects!$B$3*(Assumptions!$B$10+Assumptions!$B$11+Assumptions!$B$12)*0.05,0)</f>
        <v>0</v>
      </c>
      <c r="AV14" s="30" t="n">
        <f aca="false">IF(AND(Projects!$G$3="Yes",AV$3&gt;=Projects!$C$3,AV$3&lt;Projects!$C$3+Projects!$D$3),Projects!$B$3*INDEX(Curves!$B$7:$AR$7,1,AV$3-Projects!$C$3+1),0)-IF(AND(Projects!$G$3="Yes",AV$3&gt;=Projects!$C$3,AV$3&lt;Projects!$C$3+Projects!$D$3),Projects!$B$3*(Assumptions!$B$10+Assumptions!$B$11+Assumptions!$B$12)/Projects!$D$3*0.95,0)-IF(AND(Projects!$G$3="Yes",AV$3=Projects!$C$3+Projects!$D$3-1),Projects!$B$3*(Assumptions!$B$10+Assumptions!$B$11+Assumptions!$B$12)*0.05,0)</f>
        <v>0</v>
      </c>
      <c r="AW14" s="30" t="n">
        <f aca="false">IF(AND(Projects!$G$3="Yes",AW$3&gt;=Projects!$C$3,AW$3&lt;Projects!$C$3+Projects!$D$3),Projects!$B$3*INDEX(Curves!$B$7:$AR$7,1,AW$3-Projects!$C$3+1),0)-IF(AND(Projects!$G$3="Yes",AW$3&gt;=Projects!$C$3,AW$3&lt;Projects!$C$3+Projects!$D$3),Projects!$B$3*(Assumptions!$B$10+Assumptions!$B$11+Assumptions!$B$12)/Projects!$D$3*0.95,0)-IF(AND(Projects!$G$3="Yes",AW$3=Projects!$C$3+Projects!$D$3-1),Projects!$B$3*(Assumptions!$B$10+Assumptions!$B$11+Assumptions!$B$12)*0.05,0)</f>
        <v>0</v>
      </c>
      <c r="AX14" s="30" t="n">
        <f aca="false">IF(AND(Projects!$G$3="Yes",AX$3&gt;=Projects!$C$3,AX$3&lt;Projects!$C$3+Projects!$D$3),Projects!$B$3*INDEX(Curves!$B$7:$AR$7,1,AX$3-Projects!$C$3+1),0)-IF(AND(Projects!$G$3="Yes",AX$3&gt;=Projects!$C$3,AX$3&lt;Projects!$C$3+Projects!$D$3),Projects!$B$3*(Assumptions!$B$10+Assumptions!$B$11+Assumptions!$B$12)/Projects!$D$3*0.95,0)-IF(AND(Projects!$G$3="Yes",AX$3=Projects!$C$3+Projects!$D$3-1),Projects!$B$3*(Assumptions!$B$10+Assumptions!$B$11+Assumptions!$B$12)*0.05,0)</f>
        <v>0</v>
      </c>
      <c r="AY14" s="30" t="n">
        <f aca="false">IF(AND(Projects!$G$3="Yes",AY$3&gt;=Projects!$C$3,AY$3&lt;Projects!$C$3+Projects!$D$3),Projects!$B$3*INDEX(Curves!$B$7:$AR$7,1,AY$3-Projects!$C$3+1),0)-IF(AND(Projects!$G$3="Yes",AY$3&gt;=Projects!$C$3,AY$3&lt;Projects!$C$3+Projects!$D$3),Projects!$B$3*(Assumptions!$B$10+Assumptions!$B$11+Assumptions!$B$12)/Projects!$D$3*0.95,0)-IF(AND(Projects!$G$3="Yes",AY$3=Projects!$C$3+Projects!$D$3-1),Projects!$B$3*(Assumptions!$B$10+Assumptions!$B$11+Assumptions!$B$12)*0.05,0)</f>
        <v>0</v>
      </c>
      <c r="AZ14" s="30" t="n">
        <f aca="false">IF(AND(Projects!$G$3="Yes",AZ$3&gt;=Projects!$C$3,AZ$3&lt;Projects!$C$3+Projects!$D$3),Projects!$B$3*INDEX(Curves!$B$7:$AR$7,1,AZ$3-Projects!$C$3+1),0)-IF(AND(Projects!$G$3="Yes",AZ$3&gt;=Projects!$C$3,AZ$3&lt;Projects!$C$3+Projects!$D$3),Projects!$B$3*(Assumptions!$B$10+Assumptions!$B$11+Assumptions!$B$12)/Projects!$D$3*0.95,0)-IF(AND(Projects!$G$3="Yes",AZ$3=Projects!$C$3+Projects!$D$3-1),Projects!$B$3*(Assumptions!$B$10+Assumptions!$B$11+Assumptions!$B$12)*0.05,0)</f>
        <v>0</v>
      </c>
      <c r="BA14" s="30" t="n">
        <f aca="false">IF(AND(Projects!$G$3="Yes",BA$3&gt;=Projects!$C$3,BA$3&lt;Projects!$C$3+Projects!$D$3),Projects!$B$3*INDEX(Curves!$B$7:$AR$7,1,BA$3-Projects!$C$3+1),0)-IF(AND(Projects!$G$3="Yes",BA$3&gt;=Projects!$C$3,BA$3&lt;Projects!$C$3+Projects!$D$3),Projects!$B$3*(Assumptions!$B$10+Assumptions!$B$11+Assumptions!$B$12)/Projects!$D$3*0.95,0)-IF(AND(Projects!$G$3="Yes",BA$3=Projects!$C$3+Projects!$D$3-1),Projects!$B$3*(Assumptions!$B$10+Assumptions!$B$11+Assumptions!$B$12)*0.05,0)</f>
        <v>0</v>
      </c>
      <c r="BB14" s="30" t="n">
        <f aca="false">IF(AND(Projects!$G$3="Yes",BB$3&gt;=Projects!$C$3,BB$3&lt;Projects!$C$3+Projects!$D$3),Projects!$B$3*INDEX(Curves!$B$7:$AR$7,1,BB$3-Projects!$C$3+1),0)-IF(AND(Projects!$G$3="Yes",BB$3&gt;=Projects!$C$3,BB$3&lt;Projects!$C$3+Projects!$D$3),Projects!$B$3*(Assumptions!$B$10+Assumptions!$B$11+Assumptions!$B$12)/Projects!$D$3*0.95,0)-IF(AND(Projects!$G$3="Yes",BB$3=Projects!$C$3+Projects!$D$3-1),Projects!$B$3*(Assumptions!$B$10+Assumptions!$B$11+Assumptions!$B$12)*0.05,0)</f>
        <v>0</v>
      </c>
      <c r="BC14" s="30" t="n">
        <f aca="false">IF(AND(Projects!$G$3="Yes",BC$3&gt;=Projects!$C$3,BC$3&lt;Projects!$C$3+Projects!$D$3),Projects!$B$3*INDEX(Curves!$B$7:$AR$7,1,BC$3-Projects!$C$3+1),0)-IF(AND(Projects!$G$3="Yes",BC$3&gt;=Projects!$C$3,BC$3&lt;Projects!$C$3+Projects!$D$3),Projects!$B$3*(Assumptions!$B$10+Assumptions!$B$11+Assumptions!$B$12)/Projects!$D$3*0.95,0)-IF(AND(Projects!$G$3="Yes",BC$3=Projects!$C$3+Projects!$D$3-1),Projects!$B$3*(Assumptions!$B$10+Assumptions!$B$11+Assumptions!$B$12)*0.05,0)</f>
        <v>0</v>
      </c>
      <c r="BD14" s="30" t="n">
        <f aca="false">IF(AND(Projects!$G$3="Yes",BD$3&gt;=Projects!$C$3,BD$3&lt;Projects!$C$3+Projects!$D$3),Projects!$B$3*INDEX(Curves!$B$7:$AR$7,1,BD$3-Projects!$C$3+1),0)-IF(AND(Projects!$G$3="Yes",BD$3&gt;=Projects!$C$3,BD$3&lt;Projects!$C$3+Projects!$D$3),Projects!$B$3*(Assumptions!$B$10+Assumptions!$B$11+Assumptions!$B$12)/Projects!$D$3*0.95,0)-IF(AND(Projects!$G$3="Yes",BD$3=Projects!$C$3+Projects!$D$3-1),Projects!$B$3*(Assumptions!$B$10+Assumptions!$B$11+Assumptions!$B$12)*0.05,0)</f>
        <v>0</v>
      </c>
      <c r="BE14" s="30" t="n">
        <f aca="false">IF(AND(Projects!$G$3="Yes",BE$3&gt;=Projects!$C$3,BE$3&lt;Projects!$C$3+Projects!$D$3),Projects!$B$3*INDEX(Curves!$B$7:$AR$7,1,BE$3-Projects!$C$3+1),0)-IF(AND(Projects!$G$3="Yes",BE$3&gt;=Projects!$C$3,BE$3&lt;Projects!$C$3+Projects!$D$3),Projects!$B$3*(Assumptions!$B$10+Assumptions!$B$11+Assumptions!$B$12)/Projects!$D$3*0.95,0)-IF(AND(Projects!$G$3="Yes",BE$3=Projects!$C$3+Projects!$D$3-1),Projects!$B$3*(Assumptions!$B$10+Assumptions!$B$11+Assumptions!$B$12)*0.05,0)</f>
        <v>0</v>
      </c>
      <c r="BF14" s="30" t="n">
        <f aca="false">IF(AND(Projects!$G$3="Yes",BF$3&gt;=Projects!$C$3,BF$3&lt;Projects!$C$3+Projects!$D$3),Projects!$B$3*INDEX(Curves!$B$7:$AR$7,1,BF$3-Projects!$C$3+1),0)-IF(AND(Projects!$G$3="Yes",BF$3&gt;=Projects!$C$3,BF$3&lt;Projects!$C$3+Projects!$D$3),Projects!$B$3*(Assumptions!$B$10+Assumptions!$B$11+Assumptions!$B$12)/Projects!$D$3*0.95,0)-IF(AND(Projects!$G$3="Yes",BF$3=Projects!$C$3+Projects!$D$3-1),Projects!$B$3*(Assumptions!$B$10+Assumptions!$B$11+Assumptions!$B$12)*0.05,0)</f>
        <v>0</v>
      </c>
      <c r="BG14" s="30" t="n">
        <f aca="false">IF(AND(Projects!$G$3="Yes",BG$3&gt;=Projects!$C$3,BG$3&lt;Projects!$C$3+Projects!$D$3),Projects!$B$3*INDEX(Curves!$B$7:$AR$7,1,BG$3-Projects!$C$3+1),0)-IF(AND(Projects!$G$3="Yes",BG$3&gt;=Projects!$C$3,BG$3&lt;Projects!$C$3+Projects!$D$3),Projects!$B$3*(Assumptions!$B$10+Assumptions!$B$11+Assumptions!$B$12)/Projects!$D$3*0.95,0)-IF(AND(Projects!$G$3="Yes",BG$3=Projects!$C$3+Projects!$D$3-1),Projects!$B$3*(Assumptions!$B$10+Assumptions!$B$11+Assumptions!$B$12)*0.05,0)</f>
        <v>0</v>
      </c>
      <c r="BH14" s="30" t="n">
        <f aca="false">IF(AND(Projects!$G$3="Yes",BH$3&gt;=Projects!$C$3,BH$3&lt;Projects!$C$3+Projects!$D$3),Projects!$B$3*INDEX(Curves!$B$7:$AR$7,1,BH$3-Projects!$C$3+1),0)-IF(AND(Projects!$G$3="Yes",BH$3&gt;=Projects!$C$3,BH$3&lt;Projects!$C$3+Projects!$D$3),Projects!$B$3*(Assumptions!$B$10+Assumptions!$B$11+Assumptions!$B$12)/Projects!$D$3*0.95,0)-IF(AND(Projects!$G$3="Yes",BH$3=Projects!$C$3+Projects!$D$3-1),Projects!$B$3*(Assumptions!$B$10+Assumptions!$B$11+Assumptions!$B$12)*0.05,0)</f>
        <v>0</v>
      </c>
      <c r="BI14" s="30" t="n">
        <f aca="false">IF(AND(Projects!$G$3="Yes",BI$3&gt;=Projects!$C$3,BI$3&lt;Projects!$C$3+Projects!$D$3),Projects!$B$3*INDEX(Curves!$B$7:$AR$7,1,BI$3-Projects!$C$3+1),0)-IF(AND(Projects!$G$3="Yes",BI$3&gt;=Projects!$C$3,BI$3&lt;Projects!$C$3+Projects!$D$3),Projects!$B$3*(Assumptions!$B$10+Assumptions!$B$11+Assumptions!$B$12)/Projects!$D$3*0.95,0)-IF(AND(Projects!$G$3="Yes",BI$3=Projects!$C$3+Projects!$D$3-1),Projects!$B$3*(Assumptions!$B$10+Assumptions!$B$11+Assumptions!$B$12)*0.05,0)</f>
        <v>0</v>
      </c>
      <c r="BJ14" s="30" t="n">
        <f aca="false">IF(AND(Projects!$G$3="Yes",BJ$3&gt;=Projects!$C$3,BJ$3&lt;Projects!$C$3+Projects!$D$3),Projects!$B$3*INDEX(Curves!$B$7:$AR$7,1,BJ$3-Projects!$C$3+1),0)-IF(AND(Projects!$G$3="Yes",BJ$3&gt;=Projects!$C$3,BJ$3&lt;Projects!$C$3+Projects!$D$3),Projects!$B$3*(Assumptions!$B$10+Assumptions!$B$11+Assumptions!$B$12)/Projects!$D$3*0.95,0)-IF(AND(Projects!$G$3="Yes",BJ$3=Projects!$C$3+Projects!$D$3-1),Projects!$B$3*(Assumptions!$B$10+Assumptions!$B$11+Assumptions!$B$12)*0.05,0)</f>
        <v>0</v>
      </c>
      <c r="BK14" s="30" t="n">
        <f aca="false">IF(AND(Projects!$G$3="Yes",BK$3&gt;=Projects!$C$3,BK$3&lt;Projects!$C$3+Projects!$D$3),Projects!$B$3*INDEX(Curves!$B$7:$AR$7,1,BK$3-Projects!$C$3+1),0)-IF(AND(Projects!$G$3="Yes",BK$3&gt;=Projects!$C$3,BK$3&lt;Projects!$C$3+Projects!$D$3),Projects!$B$3*(Assumptions!$B$10+Assumptions!$B$11+Assumptions!$B$12)/Projects!$D$3*0.95,0)-IF(AND(Projects!$G$3="Yes",BK$3=Projects!$C$3+Projects!$D$3-1),Projects!$B$3*(Assumptions!$B$10+Assumptions!$B$11+Assumptions!$B$12)*0.05,0)</f>
        <v>0</v>
      </c>
      <c r="BL14" s="30" t="n">
        <f aca="false">IF(AND(Projects!$G$3="Yes",BL$3&gt;=Projects!$C$3,BL$3&lt;Projects!$C$3+Projects!$D$3),Projects!$B$3*INDEX(Curves!$B$7:$AR$7,1,BL$3-Projects!$C$3+1),0)-IF(AND(Projects!$G$3="Yes",BL$3&gt;=Projects!$C$3,BL$3&lt;Projects!$C$3+Projects!$D$3),Projects!$B$3*(Assumptions!$B$10+Assumptions!$B$11+Assumptions!$B$12)/Projects!$D$3*0.95,0)-IF(AND(Projects!$G$3="Yes",BL$3=Projects!$C$3+Projects!$D$3-1),Projects!$B$3*(Assumptions!$B$10+Assumptions!$B$11+Assumptions!$B$12)*0.05,0)</f>
        <v>0</v>
      </c>
      <c r="BM14" s="30" t="n">
        <f aca="false">IF(AND(Projects!$G$3="Yes",BM$3&gt;=Projects!$C$3,BM$3&lt;Projects!$C$3+Projects!$D$3),Projects!$B$3*INDEX(Curves!$B$7:$AR$7,1,BM$3-Projects!$C$3+1),0)-IF(AND(Projects!$G$3="Yes",BM$3&gt;=Projects!$C$3,BM$3&lt;Projects!$C$3+Projects!$D$3),Projects!$B$3*(Assumptions!$B$10+Assumptions!$B$11+Assumptions!$B$12)/Projects!$D$3*0.95,0)-IF(AND(Projects!$G$3="Yes",BM$3=Projects!$C$3+Projects!$D$3-1),Projects!$B$3*(Assumptions!$B$10+Assumptions!$B$11+Assumptions!$B$12)*0.05,0)</f>
        <v>0</v>
      </c>
      <c r="BN14" s="30" t="n">
        <f aca="false">IF(AND(Projects!$G$3="Yes",BN$3&gt;=Projects!$C$3,BN$3&lt;Projects!$C$3+Projects!$D$3),Projects!$B$3*INDEX(Curves!$B$7:$AR$7,1,BN$3-Projects!$C$3+1),0)-IF(AND(Projects!$G$3="Yes",BN$3&gt;=Projects!$C$3,BN$3&lt;Projects!$C$3+Projects!$D$3),Projects!$B$3*(Assumptions!$B$10+Assumptions!$B$11+Assumptions!$B$12)/Projects!$D$3*0.95,0)-IF(AND(Projects!$G$3="Yes",BN$3=Projects!$C$3+Projects!$D$3-1),Projects!$B$3*(Assumptions!$B$10+Assumptions!$B$11+Assumptions!$B$12)*0.05,0)</f>
        <v>0</v>
      </c>
      <c r="BO14" s="30" t="n">
        <f aca="false">IF(AND(Projects!$G$3="Yes",BO$3&gt;=Projects!$C$3,BO$3&lt;Projects!$C$3+Projects!$D$3),Projects!$B$3*INDEX(Curves!$B$7:$AR$7,1,BO$3-Projects!$C$3+1),0)-IF(AND(Projects!$G$3="Yes",BO$3&gt;=Projects!$C$3,BO$3&lt;Projects!$C$3+Projects!$D$3),Projects!$B$3*(Assumptions!$B$10+Assumptions!$B$11+Assumptions!$B$12)/Projects!$D$3*0.95,0)-IF(AND(Projects!$G$3="Yes",BO$3=Projects!$C$3+Projects!$D$3-1),Projects!$B$3*(Assumptions!$B$10+Assumptions!$B$11+Assumptions!$B$12)*0.05,0)</f>
        <v>0</v>
      </c>
      <c r="BP14" s="30" t="n">
        <f aca="false">IF(AND(Projects!$G$3="Yes",BP$3&gt;=Projects!$C$3,BP$3&lt;Projects!$C$3+Projects!$D$3),Projects!$B$3*INDEX(Curves!$B$7:$AR$7,1,BP$3-Projects!$C$3+1),0)-IF(AND(Projects!$G$3="Yes",BP$3&gt;=Projects!$C$3,BP$3&lt;Projects!$C$3+Projects!$D$3),Projects!$B$3*(Assumptions!$B$10+Assumptions!$B$11+Assumptions!$B$12)/Projects!$D$3*0.95,0)-IF(AND(Projects!$G$3="Yes",BP$3=Projects!$C$3+Projects!$D$3-1),Projects!$B$3*(Assumptions!$B$10+Assumptions!$B$11+Assumptions!$B$12)*0.05,0)</f>
        <v>0</v>
      </c>
      <c r="BQ14" s="30" t="n">
        <f aca="false">IF(AND(Projects!$G$3="Yes",BQ$3&gt;=Projects!$C$3,BQ$3&lt;Projects!$C$3+Projects!$D$3),Projects!$B$3*INDEX(Curves!$B$7:$AR$7,1,BQ$3-Projects!$C$3+1),0)-IF(AND(Projects!$G$3="Yes",BQ$3&gt;=Projects!$C$3,BQ$3&lt;Projects!$C$3+Projects!$D$3),Projects!$B$3*(Assumptions!$B$10+Assumptions!$B$11+Assumptions!$B$12)/Projects!$D$3*0.95,0)-IF(AND(Projects!$G$3="Yes",BQ$3=Projects!$C$3+Projects!$D$3-1),Projects!$B$3*(Assumptions!$B$10+Assumptions!$B$11+Assumptions!$B$12)*0.05,0)</f>
        <v>0</v>
      </c>
      <c r="BR14" s="30" t="n">
        <f aca="false">IF(AND(Projects!$G$3="Yes",BR$3&gt;=Projects!$C$3,BR$3&lt;Projects!$C$3+Projects!$D$3),Projects!$B$3*INDEX(Curves!$B$7:$AR$7,1,BR$3-Projects!$C$3+1),0)-IF(AND(Projects!$G$3="Yes",BR$3&gt;=Projects!$C$3,BR$3&lt;Projects!$C$3+Projects!$D$3),Projects!$B$3*(Assumptions!$B$10+Assumptions!$B$11+Assumptions!$B$12)/Projects!$D$3*0.95,0)-IF(AND(Projects!$G$3="Yes",BR$3=Projects!$C$3+Projects!$D$3-1),Projects!$B$3*(Assumptions!$B$10+Assumptions!$B$11+Assumptions!$B$12)*0.05,0)</f>
        <v>0</v>
      </c>
      <c r="BS14" s="30" t="n">
        <f aca="false">IF(AND(Projects!$G$3="Yes",BS$3&gt;=Projects!$C$3,BS$3&lt;Projects!$C$3+Projects!$D$3),Projects!$B$3*INDEX(Curves!$B$7:$AR$7,1,BS$3-Projects!$C$3+1),0)-IF(AND(Projects!$G$3="Yes",BS$3&gt;=Projects!$C$3,BS$3&lt;Projects!$C$3+Projects!$D$3),Projects!$B$3*(Assumptions!$B$10+Assumptions!$B$11+Assumptions!$B$12)/Projects!$D$3*0.95,0)-IF(AND(Projects!$G$3="Yes",BS$3=Projects!$C$3+Projects!$D$3-1),Projects!$B$3*(Assumptions!$B$10+Assumptions!$B$11+Assumptions!$B$12)*0.05,0)</f>
        <v>0</v>
      </c>
      <c r="BT14" s="30" t="n">
        <f aca="false">IF(AND(Projects!$G$3="Yes",BT$3&gt;=Projects!$C$3,BT$3&lt;Projects!$C$3+Projects!$D$3),Projects!$B$3*INDEX(Curves!$B$7:$AR$7,1,BT$3-Projects!$C$3+1),0)-IF(AND(Projects!$G$3="Yes",BT$3&gt;=Projects!$C$3,BT$3&lt;Projects!$C$3+Projects!$D$3),Projects!$B$3*(Assumptions!$B$10+Assumptions!$B$11+Assumptions!$B$12)/Projects!$D$3*0.95,0)-IF(AND(Projects!$G$3="Yes",BT$3=Projects!$C$3+Projects!$D$3-1),Projects!$B$3*(Assumptions!$B$10+Assumptions!$B$11+Assumptions!$B$12)*0.05,0)</f>
        <v>0</v>
      </c>
      <c r="BU14" s="30" t="n">
        <f aca="false">IF(AND(Projects!$G$3="Yes",BU$3&gt;=Projects!$C$3,BU$3&lt;Projects!$C$3+Projects!$D$3),Projects!$B$3*INDEX(Curves!$B$7:$AR$7,1,BU$3-Projects!$C$3+1),0)-IF(AND(Projects!$G$3="Yes",BU$3&gt;=Projects!$C$3,BU$3&lt;Projects!$C$3+Projects!$D$3),Projects!$B$3*(Assumptions!$B$10+Assumptions!$B$11+Assumptions!$B$12)/Projects!$D$3*0.95,0)-IF(AND(Projects!$G$3="Yes",BU$3=Projects!$C$3+Projects!$D$3-1),Projects!$B$3*(Assumptions!$B$10+Assumptions!$B$11+Assumptions!$B$12)*0.05,0)</f>
        <v>0</v>
      </c>
      <c r="BV14" s="30" t="n">
        <f aca="false">IF(AND(Projects!$G$3="Yes",BV$3&gt;=Projects!$C$3,BV$3&lt;Projects!$C$3+Projects!$D$3),Projects!$B$3*INDEX(Curves!$B$7:$AR$7,1,BV$3-Projects!$C$3+1),0)-IF(AND(Projects!$G$3="Yes",BV$3&gt;=Projects!$C$3,BV$3&lt;Projects!$C$3+Projects!$D$3),Projects!$B$3*(Assumptions!$B$10+Assumptions!$B$11+Assumptions!$B$12)/Projects!$D$3*0.95,0)-IF(AND(Projects!$G$3="Yes",BV$3=Projects!$C$3+Projects!$D$3-1),Projects!$B$3*(Assumptions!$B$10+Assumptions!$B$11+Assumptions!$B$12)*0.05,0)</f>
        <v>0</v>
      </c>
      <c r="BW14" s="30" t="n">
        <f aca="false">IF(AND(Projects!$G$3="Yes",BW$3&gt;=Projects!$C$3,BW$3&lt;Projects!$C$3+Projects!$D$3),Projects!$B$3*INDEX(Curves!$B$7:$AR$7,1,BW$3-Projects!$C$3+1),0)-IF(AND(Projects!$G$3="Yes",BW$3&gt;=Projects!$C$3,BW$3&lt;Projects!$C$3+Projects!$D$3),Projects!$B$3*(Assumptions!$B$10+Assumptions!$B$11+Assumptions!$B$12)/Projects!$D$3*0.95,0)-IF(AND(Projects!$G$3="Yes",BW$3=Projects!$C$3+Projects!$D$3-1),Projects!$B$3*(Assumptions!$B$10+Assumptions!$B$11+Assumptions!$B$12)*0.05,0)</f>
        <v>0</v>
      </c>
      <c r="BX14" s="30" t="n">
        <f aca="false">IF(AND(Projects!$G$3="Yes",BX$3&gt;=Projects!$C$3,BX$3&lt;Projects!$C$3+Projects!$D$3),Projects!$B$3*INDEX(Curves!$B$7:$AR$7,1,BX$3-Projects!$C$3+1),0)-IF(AND(Projects!$G$3="Yes",BX$3&gt;=Projects!$C$3,BX$3&lt;Projects!$C$3+Projects!$D$3),Projects!$B$3*(Assumptions!$B$10+Assumptions!$B$11+Assumptions!$B$12)/Projects!$D$3*0.95,0)-IF(AND(Projects!$G$3="Yes",BX$3=Projects!$C$3+Projects!$D$3-1),Projects!$B$3*(Assumptions!$B$10+Assumptions!$B$11+Assumptions!$B$12)*0.05,0)</f>
        <v>0</v>
      </c>
      <c r="BY14" s="30" t="n">
        <f aca="false">IF(AND(Projects!$G$3="Yes",BY$3&gt;=Projects!$C$3,BY$3&lt;Projects!$C$3+Projects!$D$3),Projects!$B$3*INDEX(Curves!$B$7:$AR$7,1,BY$3-Projects!$C$3+1),0)-IF(AND(Projects!$G$3="Yes",BY$3&gt;=Projects!$C$3,BY$3&lt;Projects!$C$3+Projects!$D$3),Projects!$B$3*(Assumptions!$B$10+Assumptions!$B$11+Assumptions!$B$12)/Projects!$D$3*0.95,0)-IF(AND(Projects!$G$3="Yes",BY$3=Projects!$C$3+Projects!$D$3-1),Projects!$B$3*(Assumptions!$B$10+Assumptions!$B$11+Assumptions!$B$12)*0.05,0)</f>
        <v>0</v>
      </c>
      <c r="BZ14" s="30" t="n">
        <f aca="false">IF(AND(Projects!$G$3="Yes",BZ$3&gt;=Projects!$C$3,BZ$3&lt;Projects!$C$3+Projects!$D$3),Projects!$B$3*INDEX(Curves!$B$7:$AR$7,1,BZ$3-Projects!$C$3+1),0)-IF(AND(Projects!$G$3="Yes",BZ$3&gt;=Projects!$C$3,BZ$3&lt;Projects!$C$3+Projects!$D$3),Projects!$B$3*(Assumptions!$B$10+Assumptions!$B$11+Assumptions!$B$12)/Projects!$D$3*0.95,0)-IF(AND(Projects!$G$3="Yes",BZ$3=Projects!$C$3+Projects!$D$3-1),Projects!$B$3*(Assumptions!$B$10+Assumptions!$B$11+Assumptions!$B$12)*0.05,0)</f>
        <v>0</v>
      </c>
      <c r="CA14" s="30" t="n">
        <f aca="false">IF(AND(Projects!$G$3="Yes",CA$3&gt;=Projects!$C$3,CA$3&lt;Projects!$C$3+Projects!$D$3),Projects!$B$3*INDEX(Curves!$B$7:$AR$7,1,CA$3-Projects!$C$3+1),0)-IF(AND(Projects!$G$3="Yes",CA$3&gt;=Projects!$C$3,CA$3&lt;Projects!$C$3+Projects!$D$3),Projects!$B$3*(Assumptions!$B$10+Assumptions!$B$11+Assumptions!$B$12)/Projects!$D$3*0.95,0)-IF(AND(Projects!$G$3="Yes",CA$3=Projects!$C$3+Projects!$D$3-1),Projects!$B$3*(Assumptions!$B$10+Assumptions!$B$11+Assumptions!$B$12)*0.05,0)</f>
        <v>0</v>
      </c>
      <c r="CB14" s="30" t="n">
        <f aca="false">IF(AND(Projects!$G$3="Yes",CB$3&gt;=Projects!$C$3,CB$3&lt;Projects!$C$3+Projects!$D$3),Projects!$B$3*INDEX(Curves!$B$7:$AR$7,1,CB$3-Projects!$C$3+1),0)-IF(AND(Projects!$G$3="Yes",CB$3&gt;=Projects!$C$3,CB$3&lt;Projects!$C$3+Projects!$D$3),Projects!$B$3*(Assumptions!$B$10+Assumptions!$B$11+Assumptions!$B$12)/Projects!$D$3*0.95,0)-IF(AND(Projects!$G$3="Yes",CB$3=Projects!$C$3+Projects!$D$3-1),Projects!$B$3*(Assumptions!$B$10+Assumptions!$B$11+Assumptions!$B$12)*0.05,0)</f>
        <v>0</v>
      </c>
      <c r="CC14" s="30" t="n">
        <f aca="false">IF(AND(Projects!$G$3="Yes",CC$3&gt;=Projects!$C$3,CC$3&lt;Projects!$C$3+Projects!$D$3),Projects!$B$3*INDEX(Curves!$B$7:$AR$7,1,CC$3-Projects!$C$3+1),0)-IF(AND(Projects!$G$3="Yes",CC$3&gt;=Projects!$C$3,CC$3&lt;Projects!$C$3+Projects!$D$3),Projects!$B$3*(Assumptions!$B$10+Assumptions!$B$11+Assumptions!$B$12)/Projects!$D$3*0.95,0)-IF(AND(Projects!$G$3="Yes",CC$3=Projects!$C$3+Projects!$D$3-1),Projects!$B$3*(Assumptions!$B$10+Assumptions!$B$11+Assumptions!$B$12)*0.05,0)</f>
        <v>0</v>
      </c>
      <c r="CD14" s="30" t="n">
        <f aca="false">IF(AND(Projects!$G$3="Yes",CD$3&gt;=Projects!$C$3,CD$3&lt;Projects!$C$3+Projects!$D$3),Projects!$B$3*INDEX(Curves!$B$7:$AR$7,1,CD$3-Projects!$C$3+1),0)-IF(AND(Projects!$G$3="Yes",CD$3&gt;=Projects!$C$3,CD$3&lt;Projects!$C$3+Projects!$D$3),Projects!$B$3*(Assumptions!$B$10+Assumptions!$B$11+Assumptions!$B$12)/Projects!$D$3*0.95,0)-IF(AND(Projects!$G$3="Yes",CD$3=Projects!$C$3+Projects!$D$3-1),Projects!$B$3*(Assumptions!$B$10+Assumptions!$B$11+Assumptions!$B$12)*0.05,0)</f>
        <v>0</v>
      </c>
      <c r="CE14" s="30" t="n">
        <f aca="false">IF(AND(Projects!$G$3="Yes",CE$3&gt;=Projects!$C$3,CE$3&lt;Projects!$C$3+Projects!$D$3),Projects!$B$3*INDEX(Curves!$B$7:$AR$7,1,CE$3-Projects!$C$3+1),0)-IF(AND(Projects!$G$3="Yes",CE$3&gt;=Projects!$C$3,CE$3&lt;Projects!$C$3+Projects!$D$3),Projects!$B$3*(Assumptions!$B$10+Assumptions!$B$11+Assumptions!$B$12)/Projects!$D$3*0.95,0)-IF(AND(Projects!$G$3="Yes",CE$3=Projects!$C$3+Projects!$D$3-1),Projects!$B$3*(Assumptions!$B$10+Assumptions!$B$11+Assumptions!$B$12)*0.05,0)</f>
        <v>0</v>
      </c>
      <c r="CF14" s="30" t="n">
        <f aca="false">IF(AND(Projects!$G$3="Yes",CF$3&gt;=Projects!$C$3,CF$3&lt;Projects!$C$3+Projects!$D$3),Projects!$B$3*INDEX(Curves!$B$7:$AR$7,1,CF$3-Projects!$C$3+1),0)-IF(AND(Projects!$G$3="Yes",CF$3&gt;=Projects!$C$3,CF$3&lt;Projects!$C$3+Projects!$D$3),Projects!$B$3*(Assumptions!$B$10+Assumptions!$B$11+Assumptions!$B$12)/Projects!$D$3*0.95,0)-IF(AND(Projects!$G$3="Yes",CF$3=Projects!$C$3+Projects!$D$3-1),Projects!$B$3*(Assumptions!$B$10+Assumptions!$B$11+Assumptions!$B$12)*0.05,0)</f>
        <v>0</v>
      </c>
      <c r="CG14" s="30" t="n">
        <f aca="false">IF(AND(Projects!$G$3="Yes",CG$3&gt;=Projects!$C$3,CG$3&lt;Projects!$C$3+Projects!$D$3),Projects!$B$3*INDEX(Curves!$B$7:$AR$7,1,CG$3-Projects!$C$3+1),0)-IF(AND(Projects!$G$3="Yes",CG$3&gt;=Projects!$C$3,CG$3&lt;Projects!$C$3+Projects!$D$3),Projects!$B$3*(Assumptions!$B$10+Assumptions!$B$11+Assumptions!$B$12)/Projects!$D$3*0.95,0)-IF(AND(Projects!$G$3="Yes",CG$3=Projects!$C$3+Projects!$D$3-1),Projects!$B$3*(Assumptions!$B$10+Assumptions!$B$11+Assumptions!$B$12)*0.05,0)</f>
        <v>0</v>
      </c>
      <c r="CH14" s="30" t="n">
        <f aca="false">IF(AND(Projects!$G$3="Yes",CH$3&gt;=Projects!$C$3,CH$3&lt;Projects!$C$3+Projects!$D$3),Projects!$B$3*INDEX(Curves!$B$7:$AR$7,1,CH$3-Projects!$C$3+1),0)-IF(AND(Projects!$G$3="Yes",CH$3&gt;=Projects!$C$3,CH$3&lt;Projects!$C$3+Projects!$D$3),Projects!$B$3*(Assumptions!$B$10+Assumptions!$B$11+Assumptions!$B$12)/Projects!$D$3*0.95,0)-IF(AND(Projects!$G$3="Yes",CH$3=Projects!$C$3+Projects!$D$3-1),Projects!$B$3*(Assumptions!$B$10+Assumptions!$B$11+Assumptions!$B$12)*0.05,0)</f>
        <v>0</v>
      </c>
      <c r="CI14" s="30" t="n">
        <f aca="false">IF(AND(Projects!$G$3="Yes",CI$3&gt;=Projects!$C$3,CI$3&lt;Projects!$C$3+Projects!$D$3),Projects!$B$3*INDEX(Curves!$B$7:$AR$7,1,CI$3-Projects!$C$3+1),0)-IF(AND(Projects!$G$3="Yes",CI$3&gt;=Projects!$C$3,CI$3&lt;Projects!$C$3+Projects!$D$3),Projects!$B$3*(Assumptions!$B$10+Assumptions!$B$11+Assumptions!$B$12)/Projects!$D$3*0.95,0)-IF(AND(Projects!$G$3="Yes",CI$3=Projects!$C$3+Projects!$D$3-1),Projects!$B$3*(Assumptions!$B$10+Assumptions!$B$11+Assumptions!$B$12)*0.05,0)</f>
        <v>0</v>
      </c>
      <c r="CJ14" s="30" t="n">
        <f aca="false">IF(AND(Projects!$G$3="Yes",CJ$3&gt;=Projects!$C$3,CJ$3&lt;Projects!$C$3+Projects!$D$3),Projects!$B$3*INDEX(Curves!$B$7:$AR$7,1,CJ$3-Projects!$C$3+1),0)-IF(AND(Projects!$G$3="Yes",CJ$3&gt;=Projects!$C$3,CJ$3&lt;Projects!$C$3+Projects!$D$3),Projects!$B$3*(Assumptions!$B$10+Assumptions!$B$11+Assumptions!$B$12)/Projects!$D$3*0.95,0)-IF(AND(Projects!$G$3="Yes",CJ$3=Projects!$C$3+Projects!$D$3-1),Projects!$B$3*(Assumptions!$B$10+Assumptions!$B$11+Assumptions!$B$12)*0.05,0)</f>
        <v>0</v>
      </c>
      <c r="CK14" s="30" t="n">
        <f aca="false">IF(AND(Projects!$G$3="Yes",CK$3&gt;=Projects!$C$3,CK$3&lt;Projects!$C$3+Projects!$D$3),Projects!$B$3*INDEX(Curves!$B$7:$AR$7,1,CK$3-Projects!$C$3+1),0)-IF(AND(Projects!$G$3="Yes",CK$3&gt;=Projects!$C$3,CK$3&lt;Projects!$C$3+Projects!$D$3),Projects!$B$3*(Assumptions!$B$10+Assumptions!$B$11+Assumptions!$B$12)/Projects!$D$3*0.95,0)-IF(AND(Projects!$G$3="Yes",CK$3=Projects!$C$3+Projects!$D$3-1),Projects!$B$3*(Assumptions!$B$10+Assumptions!$B$11+Assumptions!$B$12)*0.05,0)</f>
        <v>0</v>
      </c>
      <c r="CL14" s="30" t="n">
        <f aca="false">IF(AND(Projects!$G$3="Yes",CL$3&gt;=Projects!$C$3,CL$3&lt;Projects!$C$3+Projects!$D$3),Projects!$B$3*INDEX(Curves!$B$7:$AR$7,1,CL$3-Projects!$C$3+1),0)-IF(AND(Projects!$G$3="Yes",CL$3&gt;=Projects!$C$3,CL$3&lt;Projects!$C$3+Projects!$D$3),Projects!$B$3*(Assumptions!$B$10+Assumptions!$B$11+Assumptions!$B$12)/Projects!$D$3*0.95,0)-IF(AND(Projects!$G$3="Yes",CL$3=Projects!$C$3+Projects!$D$3-1),Projects!$B$3*(Assumptions!$B$10+Assumptions!$B$11+Assumptions!$B$12)*0.05,0)</f>
        <v>0</v>
      </c>
      <c r="CM14" s="30" t="n">
        <f aca="false">IF(AND(Projects!$G$3="Yes",CM$3&gt;=Projects!$C$3,CM$3&lt;Projects!$C$3+Projects!$D$3),Projects!$B$3*INDEX(Curves!$B$7:$AR$7,1,CM$3-Projects!$C$3+1),0)-IF(AND(Projects!$G$3="Yes",CM$3&gt;=Projects!$C$3,CM$3&lt;Projects!$C$3+Projects!$D$3),Projects!$B$3*(Assumptions!$B$10+Assumptions!$B$11+Assumptions!$B$12)/Projects!$D$3*0.95,0)-IF(AND(Projects!$G$3="Yes",CM$3=Projects!$C$3+Projects!$D$3-1),Projects!$B$3*(Assumptions!$B$10+Assumptions!$B$11+Assumptions!$B$12)*0.05,0)</f>
        <v>0</v>
      </c>
      <c r="CN14" s="30" t="n">
        <f aca="false">IF(AND(Projects!$G$3="Yes",CN$3&gt;=Projects!$C$3,CN$3&lt;Projects!$C$3+Projects!$D$3),Projects!$B$3*INDEX(Curves!$B$7:$AR$7,1,CN$3-Projects!$C$3+1),0)-IF(AND(Projects!$G$3="Yes",CN$3&gt;=Projects!$C$3,CN$3&lt;Projects!$C$3+Projects!$D$3),Projects!$B$3*(Assumptions!$B$10+Assumptions!$B$11+Assumptions!$B$12)/Projects!$D$3*0.95,0)-IF(AND(Projects!$G$3="Yes",CN$3=Projects!$C$3+Projects!$D$3-1),Projects!$B$3*(Assumptions!$B$10+Assumptions!$B$11+Assumptions!$B$12)*0.05,0)</f>
        <v>0</v>
      </c>
      <c r="CO14" s="30" t="n">
        <f aca="false">IF(AND(Projects!$G$3="Yes",CO$3&gt;=Projects!$C$3,CO$3&lt;Projects!$C$3+Projects!$D$3),Projects!$B$3*INDEX(Curves!$B$7:$AR$7,1,CO$3-Projects!$C$3+1),0)-IF(AND(Projects!$G$3="Yes",CO$3&gt;=Projects!$C$3,CO$3&lt;Projects!$C$3+Projects!$D$3),Projects!$B$3*(Assumptions!$B$10+Assumptions!$B$11+Assumptions!$B$12)/Projects!$D$3*0.95,0)-IF(AND(Projects!$G$3="Yes",CO$3=Projects!$C$3+Projects!$D$3-1),Projects!$B$3*(Assumptions!$B$10+Assumptions!$B$11+Assumptions!$B$12)*0.05,0)</f>
        <v>0</v>
      </c>
      <c r="CP14" s="30" t="n">
        <f aca="false">IF(AND(Projects!$G$3="Yes",CP$3&gt;=Projects!$C$3,CP$3&lt;Projects!$C$3+Projects!$D$3),Projects!$B$3*INDEX(Curves!$B$7:$AR$7,1,CP$3-Projects!$C$3+1),0)-IF(AND(Projects!$G$3="Yes",CP$3&gt;=Projects!$C$3,CP$3&lt;Projects!$C$3+Projects!$D$3),Projects!$B$3*(Assumptions!$B$10+Assumptions!$B$11+Assumptions!$B$12)/Projects!$D$3*0.95,0)-IF(AND(Projects!$G$3="Yes",CP$3=Projects!$C$3+Projects!$D$3-1),Projects!$B$3*(Assumptions!$B$10+Assumptions!$B$11+Assumptions!$B$12)*0.05,0)</f>
        <v>0</v>
      </c>
      <c r="CQ14" s="30" t="n">
        <f aca="false">IF(AND(Projects!$G$3="Yes",CQ$3&gt;=Projects!$C$3,CQ$3&lt;Projects!$C$3+Projects!$D$3),Projects!$B$3*INDEX(Curves!$B$7:$AR$7,1,CQ$3-Projects!$C$3+1),0)-IF(AND(Projects!$G$3="Yes",CQ$3&gt;=Projects!$C$3,CQ$3&lt;Projects!$C$3+Projects!$D$3),Projects!$B$3*(Assumptions!$B$10+Assumptions!$B$11+Assumptions!$B$12)/Projects!$D$3*0.95,0)-IF(AND(Projects!$G$3="Yes",CQ$3=Projects!$C$3+Projects!$D$3-1),Projects!$B$3*(Assumptions!$B$10+Assumptions!$B$11+Assumptions!$B$12)*0.05,0)</f>
        <v>0</v>
      </c>
      <c r="CR14" s="30" t="n">
        <f aca="false">IF(AND(Projects!$G$3="Yes",CR$3&gt;=Projects!$C$3,CR$3&lt;Projects!$C$3+Projects!$D$3),Projects!$B$3*INDEX(Curves!$B$7:$AR$7,1,CR$3-Projects!$C$3+1),0)-IF(AND(Projects!$G$3="Yes",CR$3&gt;=Projects!$C$3,CR$3&lt;Projects!$C$3+Projects!$D$3),Projects!$B$3*(Assumptions!$B$10+Assumptions!$B$11+Assumptions!$B$12)/Projects!$D$3*0.95,0)-IF(AND(Projects!$G$3="Yes",CR$3=Projects!$C$3+Projects!$D$3-1),Projects!$B$3*(Assumptions!$B$10+Assumptions!$B$11+Assumptions!$B$12)*0.05,0)</f>
        <v>0</v>
      </c>
      <c r="CS14" s="30" t="n">
        <f aca="false">IF(AND(Projects!$G$3="Yes",CS$3&gt;=Projects!$C$3,CS$3&lt;Projects!$C$3+Projects!$D$3),Projects!$B$3*INDEX(Curves!$B$7:$AR$7,1,CS$3-Projects!$C$3+1),0)-IF(AND(Projects!$G$3="Yes",CS$3&gt;=Projects!$C$3,CS$3&lt;Projects!$C$3+Projects!$D$3),Projects!$B$3*(Assumptions!$B$10+Assumptions!$B$11+Assumptions!$B$12)/Projects!$D$3*0.95,0)-IF(AND(Projects!$G$3="Yes",CS$3=Projects!$C$3+Projects!$D$3-1),Projects!$B$3*(Assumptions!$B$10+Assumptions!$B$11+Assumptions!$B$12)*0.05,0)</f>
        <v>0</v>
      </c>
      <c r="CT14" s="30" t="n">
        <f aca="false">IF(AND(Projects!$G$3="Yes",CT$3&gt;=Projects!$C$3,CT$3&lt;Projects!$C$3+Projects!$D$3),Projects!$B$3*INDEX(Curves!$B$7:$AR$7,1,CT$3-Projects!$C$3+1),0)-IF(AND(Projects!$G$3="Yes",CT$3&gt;=Projects!$C$3,CT$3&lt;Projects!$C$3+Projects!$D$3),Projects!$B$3*(Assumptions!$B$10+Assumptions!$B$11+Assumptions!$B$12)/Projects!$D$3*0.95,0)-IF(AND(Projects!$G$3="Yes",CT$3=Projects!$C$3+Projects!$D$3-1),Projects!$B$3*(Assumptions!$B$10+Assumptions!$B$11+Assumptions!$B$12)*0.05,0)</f>
        <v>0</v>
      </c>
      <c r="CU14" s="30" t="n">
        <f aca="false">IF(AND(Projects!$G$3="Yes",CU$3&gt;=Projects!$C$3,CU$3&lt;Projects!$C$3+Projects!$D$3),Projects!$B$3*INDEX(Curves!$B$7:$AR$7,1,CU$3-Projects!$C$3+1),0)-IF(AND(Projects!$G$3="Yes",CU$3&gt;=Projects!$C$3,CU$3&lt;Projects!$C$3+Projects!$D$3),Projects!$B$3*(Assumptions!$B$10+Assumptions!$B$11+Assumptions!$B$12)/Projects!$D$3*0.95,0)-IF(AND(Projects!$G$3="Yes",CU$3=Projects!$C$3+Projects!$D$3-1),Projects!$B$3*(Assumptions!$B$10+Assumptions!$B$11+Assumptions!$B$12)*0.05,0)</f>
        <v>0</v>
      </c>
      <c r="CV14" s="30" t="n">
        <f aca="false">IF(AND(Projects!$G$3="Yes",CV$3&gt;=Projects!$C$3,CV$3&lt;Projects!$C$3+Projects!$D$3),Projects!$B$3*INDEX(Curves!$B$7:$AR$7,1,CV$3-Projects!$C$3+1),0)-IF(AND(Projects!$G$3="Yes",CV$3&gt;=Projects!$C$3,CV$3&lt;Projects!$C$3+Projects!$D$3),Projects!$B$3*(Assumptions!$B$10+Assumptions!$B$11+Assumptions!$B$12)/Projects!$D$3*0.95,0)-IF(AND(Projects!$G$3="Yes",CV$3=Projects!$C$3+Projects!$D$3-1),Projects!$B$3*(Assumptions!$B$10+Assumptions!$B$11+Assumptions!$B$12)*0.05,0)</f>
        <v>0</v>
      </c>
      <c r="CW14" s="30" t="n">
        <f aca="false">IF(AND(Projects!$G$3="Yes",CW$3&gt;=Projects!$C$3,CW$3&lt;Projects!$C$3+Projects!$D$3),Projects!$B$3*INDEX(Curves!$B$7:$AR$7,1,CW$3-Projects!$C$3+1),0)-IF(AND(Projects!$G$3="Yes",CW$3&gt;=Projects!$C$3,CW$3&lt;Projects!$C$3+Projects!$D$3),Projects!$B$3*(Assumptions!$B$10+Assumptions!$B$11+Assumptions!$B$12)/Projects!$D$3*0.95,0)-IF(AND(Projects!$G$3="Yes",CW$3=Projects!$C$3+Projects!$D$3-1),Projects!$B$3*(Assumptions!$B$10+Assumptions!$B$11+Assumptions!$B$12)*0.05,0)</f>
        <v>0</v>
      </c>
      <c r="CX14" s="30" t="n">
        <f aca="false">IF(AND(Projects!$G$3="Yes",CX$3&gt;=Projects!$C$3,CX$3&lt;Projects!$C$3+Projects!$D$3),Projects!$B$3*INDEX(Curves!$B$7:$AR$7,1,CX$3-Projects!$C$3+1),0)-IF(AND(Projects!$G$3="Yes",CX$3&gt;=Projects!$C$3,CX$3&lt;Projects!$C$3+Projects!$D$3),Projects!$B$3*(Assumptions!$B$10+Assumptions!$B$11+Assumptions!$B$12)/Projects!$D$3*0.95,0)-IF(AND(Projects!$G$3="Yes",CX$3=Projects!$C$3+Projects!$D$3-1),Projects!$B$3*(Assumptions!$B$10+Assumptions!$B$11+Assumptions!$B$12)*0.05,0)</f>
        <v>0</v>
      </c>
      <c r="CY14" s="30" t="n">
        <f aca="false">IF(AND(Projects!$G$3="Yes",CY$3&gt;=Projects!$C$3,CY$3&lt;Projects!$C$3+Projects!$D$3),Projects!$B$3*INDEX(Curves!$B$7:$AR$7,1,CY$3-Projects!$C$3+1),0)-IF(AND(Projects!$G$3="Yes",CY$3&gt;=Projects!$C$3,CY$3&lt;Projects!$C$3+Projects!$D$3),Projects!$B$3*(Assumptions!$B$10+Assumptions!$B$11+Assumptions!$B$12)/Projects!$D$3*0.95,0)-IF(AND(Projects!$G$3="Yes",CY$3=Projects!$C$3+Projects!$D$3-1),Projects!$B$3*(Assumptions!$B$10+Assumptions!$B$11+Assumptions!$B$12)*0.05,0)</f>
        <v>0</v>
      </c>
      <c r="CZ14" s="30" t="n">
        <f aca="false">IF(AND(Projects!$G$3="Yes",CZ$3&gt;=Projects!$C$3,CZ$3&lt;Projects!$C$3+Projects!$D$3),Projects!$B$3*INDEX(Curves!$B$7:$AR$7,1,CZ$3-Projects!$C$3+1),0)-IF(AND(Projects!$G$3="Yes",CZ$3&gt;=Projects!$C$3,CZ$3&lt;Projects!$C$3+Projects!$D$3),Projects!$B$3*(Assumptions!$B$10+Assumptions!$B$11+Assumptions!$B$12)/Projects!$D$3*0.95,0)-IF(AND(Projects!$G$3="Yes",CZ$3=Projects!$C$3+Projects!$D$3-1),Projects!$B$3*(Assumptions!$B$10+Assumptions!$B$11+Assumptions!$B$12)*0.05,0)</f>
        <v>0</v>
      </c>
      <c r="DA14" s="30" t="n">
        <f aca="false">IF(AND(Projects!$G$3="Yes",DA$3&gt;=Projects!$C$3,DA$3&lt;Projects!$C$3+Projects!$D$3),Projects!$B$3*INDEX(Curves!$B$7:$AR$7,1,DA$3-Projects!$C$3+1),0)-IF(AND(Projects!$G$3="Yes",DA$3&gt;=Projects!$C$3,DA$3&lt;Projects!$C$3+Projects!$D$3),Projects!$B$3*(Assumptions!$B$10+Assumptions!$B$11+Assumptions!$B$12)/Projects!$D$3*0.95,0)-IF(AND(Projects!$G$3="Yes",DA$3=Projects!$C$3+Projects!$D$3-1),Projects!$B$3*(Assumptions!$B$10+Assumptions!$B$11+Assumptions!$B$12)*0.05,0)</f>
        <v>0</v>
      </c>
      <c r="DB14" s="30" t="n">
        <f aca="false">IF(AND(Projects!$G$3="Yes",DB$3&gt;=Projects!$C$3,DB$3&lt;Projects!$C$3+Projects!$D$3),Projects!$B$3*INDEX(Curves!$B$7:$AR$7,1,DB$3-Projects!$C$3+1),0)-IF(AND(Projects!$G$3="Yes",DB$3&gt;=Projects!$C$3,DB$3&lt;Projects!$C$3+Projects!$D$3),Projects!$B$3*(Assumptions!$B$10+Assumptions!$B$11+Assumptions!$B$12)/Projects!$D$3*0.95,0)-IF(AND(Projects!$G$3="Yes",DB$3=Projects!$C$3+Projects!$D$3-1),Projects!$B$3*(Assumptions!$B$10+Assumptions!$B$11+Assumptions!$B$12)*0.05,0)</f>
        <v>0</v>
      </c>
      <c r="DC14" s="30" t="n">
        <f aca="false">IF(AND(Projects!$G$3="Yes",DC$3&gt;=Projects!$C$3,DC$3&lt;Projects!$C$3+Projects!$D$3),Projects!$B$3*INDEX(Curves!$B$7:$AR$7,1,DC$3-Projects!$C$3+1),0)-IF(AND(Projects!$G$3="Yes",DC$3&gt;=Projects!$C$3,DC$3&lt;Projects!$C$3+Projects!$D$3),Projects!$B$3*(Assumptions!$B$10+Assumptions!$B$11+Assumptions!$B$12)/Projects!$D$3*0.95,0)-IF(AND(Projects!$G$3="Yes",DC$3=Projects!$C$3+Projects!$D$3-1),Projects!$B$3*(Assumptions!$B$10+Assumptions!$B$11+Assumptions!$B$12)*0.05,0)</f>
        <v>0</v>
      </c>
      <c r="DD14" s="30" t="n">
        <f aca="false">IF(AND(Projects!$G$3="Yes",DD$3&gt;=Projects!$C$3,DD$3&lt;Projects!$C$3+Projects!$D$3),Projects!$B$3*INDEX(Curves!$B$7:$AR$7,1,DD$3-Projects!$C$3+1),0)-IF(AND(Projects!$G$3="Yes",DD$3&gt;=Projects!$C$3,DD$3&lt;Projects!$C$3+Projects!$D$3),Projects!$B$3*(Assumptions!$B$10+Assumptions!$B$11+Assumptions!$B$12)/Projects!$D$3*0.95,0)-IF(AND(Projects!$G$3="Yes",DD$3=Projects!$C$3+Projects!$D$3-1),Projects!$B$3*(Assumptions!$B$10+Assumptions!$B$11+Assumptions!$B$12)*0.05,0)</f>
        <v>0</v>
      </c>
      <c r="DE14" s="30" t="n">
        <f aca="false">IF(AND(Projects!$G$3="Yes",DE$3&gt;=Projects!$C$3,DE$3&lt;Projects!$C$3+Projects!$D$3),Projects!$B$3*INDEX(Curves!$B$7:$AR$7,1,DE$3-Projects!$C$3+1),0)-IF(AND(Projects!$G$3="Yes",DE$3&gt;=Projects!$C$3,DE$3&lt;Projects!$C$3+Projects!$D$3),Projects!$B$3*(Assumptions!$B$10+Assumptions!$B$11+Assumptions!$B$12)/Projects!$D$3*0.95,0)-IF(AND(Projects!$G$3="Yes",DE$3=Projects!$C$3+Projects!$D$3-1),Projects!$B$3*(Assumptions!$B$10+Assumptions!$B$11+Assumptions!$B$12)*0.05,0)</f>
        <v>0</v>
      </c>
    </row>
    <row r="15" customFormat="false" ht="15" hidden="true" customHeight="true" outlineLevel="1" collapsed="false">
      <c r="A15" s="32" t="s">
        <v>9</v>
      </c>
      <c r="B15" s="30" t="n">
        <v>144989.08</v>
      </c>
      <c r="C15" s="30" t="n">
        <v>518671.92</v>
      </c>
      <c r="D15" s="30" t="n">
        <v>287093.58</v>
      </c>
      <c r="E15" s="30" t="n">
        <v>571051.61</v>
      </c>
      <c r="F15" s="30" t="n">
        <v>1099379.66</v>
      </c>
      <c r="G15" s="30" t="n">
        <v>1315355.15</v>
      </c>
      <c r="H15" s="30" t="n">
        <f aca="false">7241491.08*Curves!E$8/SUM(Curves!$E$8:$P$8)</f>
        <v>739002.083128165</v>
      </c>
      <c r="I15" s="30" t="n">
        <f aca="false">7241491.08*Curves!F$8/SUM(Curves!$E$8:$P$8)</f>
        <v>767106.063714829</v>
      </c>
      <c r="J15" s="30" t="n">
        <f aca="false">7241491.08*Curves!G$8/SUM(Curves!$E$8:$P$8)</f>
        <v>776709.326487593</v>
      </c>
      <c r="K15" s="30" t="n">
        <f aca="false">7241491.08*Curves!H$8/SUM(Curves!$E$8:$P$8)</f>
        <v>767106.063714829</v>
      </c>
      <c r="L15" s="30" t="n">
        <f aca="false">7241491.08*Curves!I$8/SUM(Curves!$E$8:$P$8)</f>
        <v>739002.083128165</v>
      </c>
      <c r="M15" s="30" t="n">
        <f aca="false">7241491.08*Curves!J$8/SUM(Curves!$E$8:$P$8)</f>
        <v>694439.949526708</v>
      </c>
      <c r="N15" s="30" t="n">
        <f aca="false">7241491.08*Curves!K$8/SUM(Curves!$E$8:$P$8)</f>
        <v>636531.633363548</v>
      </c>
      <c r="O15" s="30" t="n">
        <f aca="false">7241491.08*Curves!L$8/SUM(Curves!$E$8:$P$8)</f>
        <v>569116.300936482</v>
      </c>
      <c r="P15" s="30" t="n">
        <f aca="false">7241491.08*Curves!M$8/SUM(Curves!$E$8:$P$8)</f>
        <v>496332.552126424</v>
      </c>
      <c r="Q15" s="30" t="n">
        <f aca="false">7241491.08*Curves!N$8/SUM(Curves!$E$8:$P$8)</f>
        <v>422222.740305427</v>
      </c>
      <c r="R15" s="30" t="n">
        <f aca="false">7241491.08*Curves!O$8/SUM(Curves!$E$8:$P$8)</f>
        <v>350347.986301253</v>
      </c>
      <c r="S15" s="30" t="n">
        <f aca="false">7241491.08*Curves!P$8/SUM(Curves!$E$8:$P$8)</f>
        <v>283574.297266578</v>
      </c>
      <c r="T15" s="30" t="n">
        <f aca="false">IF(AND(Projects!$G$4="Yes",T$3&gt;=Projects!$C$4,T$3&lt;Projects!$C$4+Projects!$D$4),Projects!$B$4*INDEX(Curves!$B$8:$AR$8,1,T$3-Projects!$C$4+1),0)-IF(AND(Projects!$G$4="Yes",T$3&gt;=Projects!$C$4,T$3&lt;Projects!$C$4+Projects!$D$4),Projects!$B$4*(Assumptions!$B$10+Assumptions!$B$11+Assumptions!$B$12)/Projects!$D$4*0.95,0)-IF(AND(Projects!$G$4="Yes",T$3=Projects!$C$4+Projects!$D$4-1),Projects!$B$4*(Assumptions!$B$10+Assumptions!$B$11+Assumptions!$B$12)*0.05,0)</f>
        <v>0</v>
      </c>
      <c r="U15" s="30" t="n">
        <f aca="false">IF(AND(Projects!$G$4="Yes",U$3&gt;=Projects!$C$4,U$3&lt;Projects!$C$4+Projects!$D$4),Projects!$B$4*INDEX(Curves!$B$8:$AR$8,1,U$3-Projects!$C$4+1),0)-IF(AND(Projects!$G$4="Yes",U$3&gt;=Projects!$C$4,U$3&lt;Projects!$C$4+Projects!$D$4),Projects!$B$4*(Assumptions!$B$10+Assumptions!$B$11+Assumptions!$B$12)/Projects!$D$4*0.95,0)-IF(AND(Projects!$G$4="Yes",U$3=Projects!$C$4+Projects!$D$4-1),Projects!$B$4*(Assumptions!$B$10+Assumptions!$B$11+Assumptions!$B$12)*0.05,0)</f>
        <v>0</v>
      </c>
      <c r="V15" s="30" t="n">
        <f aca="false">IF(AND(Projects!$G$4="Yes",V$3&gt;=Projects!$C$4,V$3&lt;Projects!$C$4+Projects!$D$4),Projects!$B$4*INDEX(Curves!$B$8:$AR$8,1,V$3-Projects!$C$4+1),0)-IF(AND(Projects!$G$4="Yes",V$3&gt;=Projects!$C$4,V$3&lt;Projects!$C$4+Projects!$D$4),Projects!$B$4*(Assumptions!$B$10+Assumptions!$B$11+Assumptions!$B$12)/Projects!$D$4*0.95,0)-IF(AND(Projects!$G$4="Yes",V$3=Projects!$C$4+Projects!$D$4-1),Projects!$B$4*(Assumptions!$B$10+Assumptions!$B$11+Assumptions!$B$12)*0.05,0)</f>
        <v>0</v>
      </c>
      <c r="W15" s="30" t="n">
        <f aca="false">IF(AND(Projects!$G$4="Yes",W$3&gt;=Projects!$C$4,W$3&lt;Projects!$C$4+Projects!$D$4),Projects!$B$4*INDEX(Curves!$B$8:$AR$8,1,W$3-Projects!$C$4+1),0)-IF(AND(Projects!$G$4="Yes",W$3&gt;=Projects!$C$4,W$3&lt;Projects!$C$4+Projects!$D$4),Projects!$B$4*(Assumptions!$B$10+Assumptions!$B$11+Assumptions!$B$12)/Projects!$D$4*0.95,0)-IF(AND(Projects!$G$4="Yes",W$3=Projects!$C$4+Projects!$D$4-1),Projects!$B$4*(Assumptions!$B$10+Assumptions!$B$11+Assumptions!$B$12)*0.05,0)</f>
        <v>0</v>
      </c>
      <c r="X15" s="30" t="n">
        <f aca="false">IF(AND(Projects!$G$4="Yes",X$3&gt;=Projects!$C$4,X$3&lt;Projects!$C$4+Projects!$D$4),Projects!$B$4*INDEX(Curves!$B$8:$AR$8,1,X$3-Projects!$C$4+1),0)-IF(AND(Projects!$G$4="Yes",X$3&gt;=Projects!$C$4,X$3&lt;Projects!$C$4+Projects!$D$4),Projects!$B$4*(Assumptions!$B$10+Assumptions!$B$11+Assumptions!$B$12)/Projects!$D$4*0.95,0)-IF(AND(Projects!$G$4="Yes",X$3=Projects!$C$4+Projects!$D$4-1),Projects!$B$4*(Assumptions!$B$10+Assumptions!$B$11+Assumptions!$B$12)*0.05,0)</f>
        <v>0</v>
      </c>
      <c r="Y15" s="30" t="n">
        <f aca="false">IF(AND(Projects!$G$4="Yes",Y$3&gt;=Projects!$C$4,Y$3&lt;Projects!$C$4+Projects!$D$4),Projects!$B$4*INDEX(Curves!$B$8:$AR$8,1,Y$3-Projects!$C$4+1),0)-IF(AND(Projects!$G$4="Yes",Y$3&gt;=Projects!$C$4,Y$3&lt;Projects!$C$4+Projects!$D$4),Projects!$B$4*(Assumptions!$B$10+Assumptions!$B$11+Assumptions!$B$12)/Projects!$D$4*0.95,0)-IF(AND(Projects!$G$4="Yes",Y$3=Projects!$C$4+Projects!$D$4-1),Projects!$B$4*(Assumptions!$B$10+Assumptions!$B$11+Assumptions!$B$12)*0.05,0)</f>
        <v>0</v>
      </c>
      <c r="Z15" s="30" t="n">
        <f aca="false">IF(AND(Projects!$G$4="Yes",Z$3&gt;=Projects!$C$4,Z$3&lt;Projects!$C$4+Projects!$D$4),Projects!$B$4*INDEX(Curves!$B$8:$AR$8,1,Z$3-Projects!$C$4+1),0)-IF(AND(Projects!$G$4="Yes",Z$3&gt;=Projects!$C$4,Z$3&lt;Projects!$C$4+Projects!$D$4),Projects!$B$4*(Assumptions!$B$10+Assumptions!$B$11+Assumptions!$B$12)/Projects!$D$4*0.95,0)-IF(AND(Projects!$G$4="Yes",Z$3=Projects!$C$4+Projects!$D$4-1),Projects!$B$4*(Assumptions!$B$10+Assumptions!$B$11+Assumptions!$B$12)*0.05,0)</f>
        <v>0</v>
      </c>
      <c r="AA15" s="30" t="n">
        <f aca="false">IF(AND(Projects!$G$4="Yes",AA$3&gt;=Projects!$C$4,AA$3&lt;Projects!$C$4+Projects!$D$4),Projects!$B$4*INDEX(Curves!$B$8:$AR$8,1,AA$3-Projects!$C$4+1),0)-IF(AND(Projects!$G$4="Yes",AA$3&gt;=Projects!$C$4,AA$3&lt;Projects!$C$4+Projects!$D$4),Projects!$B$4*(Assumptions!$B$10+Assumptions!$B$11+Assumptions!$B$12)/Projects!$D$4*0.95,0)-IF(AND(Projects!$G$4="Yes",AA$3=Projects!$C$4+Projects!$D$4-1),Projects!$B$4*(Assumptions!$B$10+Assumptions!$B$11+Assumptions!$B$12)*0.05,0)</f>
        <v>0</v>
      </c>
      <c r="AB15" s="30" t="n">
        <f aca="false">IF(AND(Projects!$G$4="Yes",AB$3&gt;=Projects!$C$4,AB$3&lt;Projects!$C$4+Projects!$D$4),Projects!$B$4*INDEX(Curves!$B$8:$AR$8,1,AB$3-Projects!$C$4+1),0)-IF(AND(Projects!$G$4="Yes",AB$3&gt;=Projects!$C$4,AB$3&lt;Projects!$C$4+Projects!$D$4),Projects!$B$4*(Assumptions!$B$10+Assumptions!$B$11+Assumptions!$B$12)/Projects!$D$4*0.95,0)-IF(AND(Projects!$G$4="Yes",AB$3=Projects!$C$4+Projects!$D$4-1),Projects!$B$4*(Assumptions!$B$10+Assumptions!$B$11+Assumptions!$B$12)*0.05,0)</f>
        <v>0</v>
      </c>
      <c r="AC15" s="30" t="n">
        <f aca="false">IF(AND(Projects!$G$4="Yes",AC$3&gt;=Projects!$C$4,AC$3&lt;Projects!$C$4+Projects!$D$4),Projects!$B$4*INDEX(Curves!$B$8:$AR$8,1,AC$3-Projects!$C$4+1),0)-IF(AND(Projects!$G$4="Yes",AC$3&gt;=Projects!$C$4,AC$3&lt;Projects!$C$4+Projects!$D$4),Projects!$B$4*(Assumptions!$B$10+Assumptions!$B$11+Assumptions!$B$12)/Projects!$D$4*0.95,0)-IF(AND(Projects!$G$4="Yes",AC$3=Projects!$C$4+Projects!$D$4-1),Projects!$B$4*(Assumptions!$B$10+Assumptions!$B$11+Assumptions!$B$12)*0.05,0)</f>
        <v>0</v>
      </c>
      <c r="AD15" s="30" t="n">
        <f aca="false">IF(AND(Projects!$G$4="Yes",AD$3&gt;=Projects!$C$4,AD$3&lt;Projects!$C$4+Projects!$D$4),Projects!$B$4*INDEX(Curves!$B$8:$AR$8,1,AD$3-Projects!$C$4+1),0)-IF(AND(Projects!$G$4="Yes",AD$3&gt;=Projects!$C$4,AD$3&lt;Projects!$C$4+Projects!$D$4),Projects!$B$4*(Assumptions!$B$10+Assumptions!$B$11+Assumptions!$B$12)/Projects!$D$4*0.95,0)-IF(AND(Projects!$G$4="Yes",AD$3=Projects!$C$4+Projects!$D$4-1),Projects!$B$4*(Assumptions!$B$10+Assumptions!$B$11+Assumptions!$B$12)*0.05,0)</f>
        <v>0</v>
      </c>
      <c r="AE15" s="30" t="n">
        <f aca="false">IF(AND(Projects!$G$4="Yes",AE$3&gt;=Projects!$C$4,AE$3&lt;Projects!$C$4+Projects!$D$4),Projects!$B$4*INDEX(Curves!$B$8:$AR$8,1,AE$3-Projects!$C$4+1),0)-IF(AND(Projects!$G$4="Yes",AE$3&gt;=Projects!$C$4,AE$3&lt;Projects!$C$4+Projects!$D$4),Projects!$B$4*(Assumptions!$B$10+Assumptions!$B$11+Assumptions!$B$12)/Projects!$D$4*0.95,0)-IF(AND(Projects!$G$4="Yes",AE$3=Projects!$C$4+Projects!$D$4-1),Projects!$B$4*(Assumptions!$B$10+Assumptions!$B$11+Assumptions!$B$12)*0.05,0)</f>
        <v>0</v>
      </c>
      <c r="AF15" s="30" t="n">
        <f aca="false">IF(AND(Projects!$G$4="Yes",AF$3&gt;=Projects!$C$4,AF$3&lt;Projects!$C$4+Projects!$D$4),Projects!$B$4*INDEX(Curves!$B$8:$AR$8,1,AF$3-Projects!$C$4+1),0)-IF(AND(Projects!$G$4="Yes",AF$3&gt;=Projects!$C$4,AF$3&lt;Projects!$C$4+Projects!$D$4),Projects!$B$4*(Assumptions!$B$10+Assumptions!$B$11+Assumptions!$B$12)/Projects!$D$4*0.95,0)-IF(AND(Projects!$G$4="Yes",AF$3=Projects!$C$4+Projects!$D$4-1),Projects!$B$4*(Assumptions!$B$10+Assumptions!$B$11+Assumptions!$B$12)*0.05,0)</f>
        <v>0</v>
      </c>
      <c r="AG15" s="30" t="n">
        <f aca="false">IF(AND(Projects!$G$4="Yes",AG$3&gt;=Projects!$C$4,AG$3&lt;Projects!$C$4+Projects!$D$4),Projects!$B$4*INDEX(Curves!$B$8:$AR$8,1,AG$3-Projects!$C$4+1),0)-IF(AND(Projects!$G$4="Yes",AG$3&gt;=Projects!$C$4,AG$3&lt;Projects!$C$4+Projects!$D$4),Projects!$B$4*(Assumptions!$B$10+Assumptions!$B$11+Assumptions!$B$12)/Projects!$D$4*0.95,0)-IF(AND(Projects!$G$4="Yes",AG$3=Projects!$C$4+Projects!$D$4-1),Projects!$B$4*(Assumptions!$B$10+Assumptions!$B$11+Assumptions!$B$12)*0.05,0)</f>
        <v>0</v>
      </c>
      <c r="AH15" s="30" t="n">
        <f aca="false">IF(AND(Projects!$G$4="Yes",AH$3&gt;=Projects!$C$4,AH$3&lt;Projects!$C$4+Projects!$D$4),Projects!$B$4*INDEX(Curves!$B$8:$AR$8,1,AH$3-Projects!$C$4+1),0)-IF(AND(Projects!$G$4="Yes",AH$3&gt;=Projects!$C$4,AH$3&lt;Projects!$C$4+Projects!$D$4),Projects!$B$4*(Assumptions!$B$10+Assumptions!$B$11+Assumptions!$B$12)/Projects!$D$4*0.95,0)-IF(AND(Projects!$G$4="Yes",AH$3=Projects!$C$4+Projects!$D$4-1),Projects!$B$4*(Assumptions!$B$10+Assumptions!$B$11+Assumptions!$B$12)*0.05,0)</f>
        <v>0</v>
      </c>
      <c r="AI15" s="30" t="n">
        <f aca="false">IF(AND(Projects!$G$4="Yes",AI$3&gt;=Projects!$C$4,AI$3&lt;Projects!$C$4+Projects!$D$4),Projects!$B$4*INDEX(Curves!$B$8:$AR$8,1,AI$3-Projects!$C$4+1),0)-IF(AND(Projects!$G$4="Yes",AI$3&gt;=Projects!$C$4,AI$3&lt;Projects!$C$4+Projects!$D$4),Projects!$B$4*(Assumptions!$B$10+Assumptions!$B$11+Assumptions!$B$12)/Projects!$D$4*0.95,0)-IF(AND(Projects!$G$4="Yes",AI$3=Projects!$C$4+Projects!$D$4-1),Projects!$B$4*(Assumptions!$B$10+Assumptions!$B$11+Assumptions!$B$12)*0.05,0)</f>
        <v>0</v>
      </c>
      <c r="AJ15" s="30" t="n">
        <f aca="false">IF(AND(Projects!$G$4="Yes",AJ$3&gt;=Projects!$C$4,AJ$3&lt;Projects!$C$4+Projects!$D$4),Projects!$B$4*INDEX(Curves!$B$8:$AR$8,1,AJ$3-Projects!$C$4+1),0)-IF(AND(Projects!$G$4="Yes",AJ$3&gt;=Projects!$C$4,AJ$3&lt;Projects!$C$4+Projects!$D$4),Projects!$B$4*(Assumptions!$B$10+Assumptions!$B$11+Assumptions!$B$12)/Projects!$D$4*0.95,0)-IF(AND(Projects!$G$4="Yes",AJ$3=Projects!$C$4+Projects!$D$4-1),Projects!$B$4*(Assumptions!$B$10+Assumptions!$B$11+Assumptions!$B$12)*0.05,0)</f>
        <v>0</v>
      </c>
      <c r="AK15" s="30" t="n">
        <f aca="false">IF(AND(Projects!$G$4="Yes",AK$3&gt;=Projects!$C$4,AK$3&lt;Projects!$C$4+Projects!$D$4),Projects!$B$4*INDEX(Curves!$B$8:$AR$8,1,AK$3-Projects!$C$4+1),0)-IF(AND(Projects!$G$4="Yes",AK$3&gt;=Projects!$C$4,AK$3&lt;Projects!$C$4+Projects!$D$4),Projects!$B$4*(Assumptions!$B$10+Assumptions!$B$11+Assumptions!$B$12)/Projects!$D$4*0.95,0)-IF(AND(Projects!$G$4="Yes",AK$3=Projects!$C$4+Projects!$D$4-1),Projects!$B$4*(Assumptions!$B$10+Assumptions!$B$11+Assumptions!$B$12)*0.05,0)</f>
        <v>0</v>
      </c>
      <c r="AL15" s="30" t="n">
        <f aca="false">IF(AND(Projects!$G$4="Yes",AL$3&gt;=Projects!$C$4,AL$3&lt;Projects!$C$4+Projects!$D$4),Projects!$B$4*INDEX(Curves!$B$8:$AR$8,1,AL$3-Projects!$C$4+1),0)-IF(AND(Projects!$G$4="Yes",AL$3&gt;=Projects!$C$4,AL$3&lt;Projects!$C$4+Projects!$D$4),Projects!$B$4*(Assumptions!$B$10+Assumptions!$B$11+Assumptions!$B$12)/Projects!$D$4*0.95,0)-IF(AND(Projects!$G$4="Yes",AL$3=Projects!$C$4+Projects!$D$4-1),Projects!$B$4*(Assumptions!$B$10+Assumptions!$B$11+Assumptions!$B$12)*0.05,0)</f>
        <v>0</v>
      </c>
      <c r="AM15" s="30" t="n">
        <f aca="false">IF(AND(Projects!$G$4="Yes",AM$3&gt;=Projects!$C$4,AM$3&lt;Projects!$C$4+Projects!$D$4),Projects!$B$4*INDEX(Curves!$B$8:$AR$8,1,AM$3-Projects!$C$4+1),0)-IF(AND(Projects!$G$4="Yes",AM$3&gt;=Projects!$C$4,AM$3&lt;Projects!$C$4+Projects!$D$4),Projects!$B$4*(Assumptions!$B$10+Assumptions!$B$11+Assumptions!$B$12)/Projects!$D$4*0.95,0)-IF(AND(Projects!$G$4="Yes",AM$3=Projects!$C$4+Projects!$D$4-1),Projects!$B$4*(Assumptions!$B$10+Assumptions!$B$11+Assumptions!$B$12)*0.05,0)</f>
        <v>0</v>
      </c>
      <c r="AN15" s="30" t="n">
        <f aca="false">IF(AND(Projects!$G$4="Yes",AN$3&gt;=Projects!$C$4,AN$3&lt;Projects!$C$4+Projects!$D$4),Projects!$B$4*INDEX(Curves!$B$8:$AR$8,1,AN$3-Projects!$C$4+1),0)-IF(AND(Projects!$G$4="Yes",AN$3&gt;=Projects!$C$4,AN$3&lt;Projects!$C$4+Projects!$D$4),Projects!$B$4*(Assumptions!$B$10+Assumptions!$B$11+Assumptions!$B$12)/Projects!$D$4*0.95,0)-IF(AND(Projects!$G$4="Yes",AN$3=Projects!$C$4+Projects!$D$4-1),Projects!$B$4*(Assumptions!$B$10+Assumptions!$B$11+Assumptions!$B$12)*0.05,0)</f>
        <v>0</v>
      </c>
      <c r="AO15" s="30" t="n">
        <f aca="false">IF(AND(Projects!$G$4="Yes",AO$3&gt;=Projects!$C$4,AO$3&lt;Projects!$C$4+Projects!$D$4),Projects!$B$4*INDEX(Curves!$B$8:$AR$8,1,AO$3-Projects!$C$4+1),0)-IF(AND(Projects!$G$4="Yes",AO$3&gt;=Projects!$C$4,AO$3&lt;Projects!$C$4+Projects!$D$4),Projects!$B$4*(Assumptions!$B$10+Assumptions!$B$11+Assumptions!$B$12)/Projects!$D$4*0.95,0)-IF(AND(Projects!$G$4="Yes",AO$3=Projects!$C$4+Projects!$D$4-1),Projects!$B$4*(Assumptions!$B$10+Assumptions!$B$11+Assumptions!$B$12)*0.05,0)</f>
        <v>0</v>
      </c>
      <c r="AP15" s="30" t="n">
        <f aca="false">IF(AND(Projects!$G$4="Yes",AP$3&gt;=Projects!$C$4,AP$3&lt;Projects!$C$4+Projects!$D$4),Projects!$B$4*INDEX(Curves!$B$8:$AR$8,1,AP$3-Projects!$C$4+1),0)-IF(AND(Projects!$G$4="Yes",AP$3&gt;=Projects!$C$4,AP$3&lt;Projects!$C$4+Projects!$D$4),Projects!$B$4*(Assumptions!$B$10+Assumptions!$B$11+Assumptions!$B$12)/Projects!$D$4*0.95,0)-IF(AND(Projects!$G$4="Yes",AP$3=Projects!$C$4+Projects!$D$4-1),Projects!$B$4*(Assumptions!$B$10+Assumptions!$B$11+Assumptions!$B$12)*0.05,0)</f>
        <v>0</v>
      </c>
      <c r="AQ15" s="30" t="n">
        <f aca="false">IF(AND(Projects!$G$4="Yes",AQ$3&gt;=Projects!$C$4,AQ$3&lt;Projects!$C$4+Projects!$D$4),Projects!$B$4*INDEX(Curves!$B$8:$AR$8,1,AQ$3-Projects!$C$4+1),0)-IF(AND(Projects!$G$4="Yes",AQ$3&gt;=Projects!$C$4,AQ$3&lt;Projects!$C$4+Projects!$D$4),Projects!$B$4*(Assumptions!$B$10+Assumptions!$B$11+Assumptions!$B$12)/Projects!$D$4*0.95,0)-IF(AND(Projects!$G$4="Yes",AQ$3=Projects!$C$4+Projects!$D$4-1),Projects!$B$4*(Assumptions!$B$10+Assumptions!$B$11+Assumptions!$B$12)*0.05,0)</f>
        <v>0</v>
      </c>
      <c r="AR15" s="30" t="n">
        <f aca="false">IF(AND(Projects!$G$4="Yes",AR$3&gt;=Projects!$C$4,AR$3&lt;Projects!$C$4+Projects!$D$4),Projects!$B$4*INDEX(Curves!$B$8:$AR$8,1,AR$3-Projects!$C$4+1),0)-IF(AND(Projects!$G$4="Yes",AR$3&gt;=Projects!$C$4,AR$3&lt;Projects!$C$4+Projects!$D$4),Projects!$B$4*(Assumptions!$B$10+Assumptions!$B$11+Assumptions!$B$12)/Projects!$D$4*0.95,0)-IF(AND(Projects!$G$4="Yes",AR$3=Projects!$C$4+Projects!$D$4-1),Projects!$B$4*(Assumptions!$B$10+Assumptions!$B$11+Assumptions!$B$12)*0.05,0)</f>
        <v>0</v>
      </c>
      <c r="AS15" s="30" t="n">
        <f aca="false">IF(AND(Projects!$G$4="Yes",AS$3&gt;=Projects!$C$4,AS$3&lt;Projects!$C$4+Projects!$D$4),Projects!$B$4*INDEX(Curves!$B$8:$AR$8,1,AS$3-Projects!$C$4+1),0)-IF(AND(Projects!$G$4="Yes",AS$3&gt;=Projects!$C$4,AS$3&lt;Projects!$C$4+Projects!$D$4),Projects!$B$4*(Assumptions!$B$10+Assumptions!$B$11+Assumptions!$B$12)/Projects!$D$4*0.95,0)-IF(AND(Projects!$G$4="Yes",AS$3=Projects!$C$4+Projects!$D$4-1),Projects!$B$4*(Assumptions!$B$10+Assumptions!$B$11+Assumptions!$B$12)*0.05,0)</f>
        <v>0</v>
      </c>
      <c r="AT15" s="30" t="n">
        <f aca="false">IF(AND(Projects!$G$4="Yes",AT$3&gt;=Projects!$C$4,AT$3&lt;Projects!$C$4+Projects!$D$4),Projects!$B$4*INDEX(Curves!$B$8:$AR$8,1,AT$3-Projects!$C$4+1),0)-IF(AND(Projects!$G$4="Yes",AT$3&gt;=Projects!$C$4,AT$3&lt;Projects!$C$4+Projects!$D$4),Projects!$B$4*(Assumptions!$B$10+Assumptions!$B$11+Assumptions!$B$12)/Projects!$D$4*0.95,0)-IF(AND(Projects!$G$4="Yes",AT$3=Projects!$C$4+Projects!$D$4-1),Projects!$B$4*(Assumptions!$B$10+Assumptions!$B$11+Assumptions!$B$12)*0.05,0)</f>
        <v>0</v>
      </c>
      <c r="AU15" s="30" t="n">
        <f aca="false">IF(AND(Projects!$G$4="Yes",AU$3&gt;=Projects!$C$4,AU$3&lt;Projects!$C$4+Projects!$D$4),Projects!$B$4*INDEX(Curves!$B$8:$AR$8,1,AU$3-Projects!$C$4+1),0)-IF(AND(Projects!$G$4="Yes",AU$3&gt;=Projects!$C$4,AU$3&lt;Projects!$C$4+Projects!$D$4),Projects!$B$4*(Assumptions!$B$10+Assumptions!$B$11+Assumptions!$B$12)/Projects!$D$4*0.95,0)-IF(AND(Projects!$G$4="Yes",AU$3=Projects!$C$4+Projects!$D$4-1),Projects!$B$4*(Assumptions!$B$10+Assumptions!$B$11+Assumptions!$B$12)*0.05,0)</f>
        <v>0</v>
      </c>
      <c r="AV15" s="30" t="n">
        <f aca="false">IF(AND(Projects!$G$4="Yes",AV$3&gt;=Projects!$C$4,AV$3&lt;Projects!$C$4+Projects!$D$4),Projects!$B$4*INDEX(Curves!$B$8:$AR$8,1,AV$3-Projects!$C$4+1),0)-IF(AND(Projects!$G$4="Yes",AV$3&gt;=Projects!$C$4,AV$3&lt;Projects!$C$4+Projects!$D$4),Projects!$B$4*(Assumptions!$B$10+Assumptions!$B$11+Assumptions!$B$12)/Projects!$D$4*0.95,0)-IF(AND(Projects!$G$4="Yes",AV$3=Projects!$C$4+Projects!$D$4-1),Projects!$B$4*(Assumptions!$B$10+Assumptions!$B$11+Assumptions!$B$12)*0.05,0)</f>
        <v>0</v>
      </c>
      <c r="AW15" s="30" t="n">
        <f aca="false">IF(AND(Projects!$G$4="Yes",AW$3&gt;=Projects!$C$4,AW$3&lt;Projects!$C$4+Projects!$D$4),Projects!$B$4*INDEX(Curves!$B$8:$AR$8,1,AW$3-Projects!$C$4+1),0)-IF(AND(Projects!$G$4="Yes",AW$3&gt;=Projects!$C$4,AW$3&lt;Projects!$C$4+Projects!$D$4),Projects!$B$4*(Assumptions!$B$10+Assumptions!$B$11+Assumptions!$B$12)/Projects!$D$4*0.95,0)-IF(AND(Projects!$G$4="Yes",AW$3=Projects!$C$4+Projects!$D$4-1),Projects!$B$4*(Assumptions!$B$10+Assumptions!$B$11+Assumptions!$B$12)*0.05,0)</f>
        <v>0</v>
      </c>
      <c r="AX15" s="30" t="n">
        <f aca="false">IF(AND(Projects!$G$4="Yes",AX$3&gt;=Projects!$C$4,AX$3&lt;Projects!$C$4+Projects!$D$4),Projects!$B$4*INDEX(Curves!$B$8:$AR$8,1,AX$3-Projects!$C$4+1),0)-IF(AND(Projects!$G$4="Yes",AX$3&gt;=Projects!$C$4,AX$3&lt;Projects!$C$4+Projects!$D$4),Projects!$B$4*(Assumptions!$B$10+Assumptions!$B$11+Assumptions!$B$12)/Projects!$D$4*0.95,0)-IF(AND(Projects!$G$4="Yes",AX$3=Projects!$C$4+Projects!$D$4-1),Projects!$B$4*(Assumptions!$B$10+Assumptions!$B$11+Assumptions!$B$12)*0.05,0)</f>
        <v>0</v>
      </c>
      <c r="AY15" s="30" t="n">
        <f aca="false">IF(AND(Projects!$G$4="Yes",AY$3&gt;=Projects!$C$4,AY$3&lt;Projects!$C$4+Projects!$D$4),Projects!$B$4*INDEX(Curves!$B$8:$AR$8,1,AY$3-Projects!$C$4+1),0)-IF(AND(Projects!$G$4="Yes",AY$3&gt;=Projects!$C$4,AY$3&lt;Projects!$C$4+Projects!$D$4),Projects!$B$4*(Assumptions!$B$10+Assumptions!$B$11+Assumptions!$B$12)/Projects!$D$4*0.95,0)-IF(AND(Projects!$G$4="Yes",AY$3=Projects!$C$4+Projects!$D$4-1),Projects!$B$4*(Assumptions!$B$10+Assumptions!$B$11+Assumptions!$B$12)*0.05,0)</f>
        <v>0</v>
      </c>
      <c r="AZ15" s="30" t="n">
        <f aca="false">IF(AND(Projects!$G$4="Yes",AZ$3&gt;=Projects!$C$4,AZ$3&lt;Projects!$C$4+Projects!$D$4),Projects!$B$4*INDEX(Curves!$B$8:$AR$8,1,AZ$3-Projects!$C$4+1),0)-IF(AND(Projects!$G$4="Yes",AZ$3&gt;=Projects!$C$4,AZ$3&lt;Projects!$C$4+Projects!$D$4),Projects!$B$4*(Assumptions!$B$10+Assumptions!$B$11+Assumptions!$B$12)/Projects!$D$4*0.95,0)-IF(AND(Projects!$G$4="Yes",AZ$3=Projects!$C$4+Projects!$D$4-1),Projects!$B$4*(Assumptions!$B$10+Assumptions!$B$11+Assumptions!$B$12)*0.05,0)</f>
        <v>0</v>
      </c>
      <c r="BA15" s="30" t="n">
        <f aca="false">IF(AND(Projects!$G$4="Yes",BA$3&gt;=Projects!$C$4,BA$3&lt;Projects!$C$4+Projects!$D$4),Projects!$B$4*INDEX(Curves!$B$8:$AR$8,1,BA$3-Projects!$C$4+1),0)-IF(AND(Projects!$G$4="Yes",BA$3&gt;=Projects!$C$4,BA$3&lt;Projects!$C$4+Projects!$D$4),Projects!$B$4*(Assumptions!$B$10+Assumptions!$B$11+Assumptions!$B$12)/Projects!$D$4*0.95,0)-IF(AND(Projects!$G$4="Yes",BA$3=Projects!$C$4+Projects!$D$4-1),Projects!$B$4*(Assumptions!$B$10+Assumptions!$B$11+Assumptions!$B$12)*0.05,0)</f>
        <v>0</v>
      </c>
      <c r="BB15" s="30" t="n">
        <f aca="false">IF(AND(Projects!$G$4="Yes",BB$3&gt;=Projects!$C$4,BB$3&lt;Projects!$C$4+Projects!$D$4),Projects!$B$4*INDEX(Curves!$B$8:$AR$8,1,BB$3-Projects!$C$4+1),0)-IF(AND(Projects!$G$4="Yes",BB$3&gt;=Projects!$C$4,BB$3&lt;Projects!$C$4+Projects!$D$4),Projects!$B$4*(Assumptions!$B$10+Assumptions!$B$11+Assumptions!$B$12)/Projects!$D$4*0.95,0)-IF(AND(Projects!$G$4="Yes",BB$3=Projects!$C$4+Projects!$D$4-1),Projects!$B$4*(Assumptions!$B$10+Assumptions!$B$11+Assumptions!$B$12)*0.05,0)</f>
        <v>0</v>
      </c>
      <c r="BC15" s="30" t="n">
        <f aca="false">IF(AND(Projects!$G$4="Yes",BC$3&gt;=Projects!$C$4,BC$3&lt;Projects!$C$4+Projects!$D$4),Projects!$B$4*INDEX(Curves!$B$8:$AR$8,1,BC$3-Projects!$C$4+1),0)-IF(AND(Projects!$G$4="Yes",BC$3&gt;=Projects!$C$4,BC$3&lt;Projects!$C$4+Projects!$D$4),Projects!$B$4*(Assumptions!$B$10+Assumptions!$B$11+Assumptions!$B$12)/Projects!$D$4*0.95,0)-IF(AND(Projects!$G$4="Yes",BC$3=Projects!$C$4+Projects!$D$4-1),Projects!$B$4*(Assumptions!$B$10+Assumptions!$B$11+Assumptions!$B$12)*0.05,0)</f>
        <v>0</v>
      </c>
      <c r="BD15" s="30" t="n">
        <f aca="false">IF(AND(Projects!$G$4="Yes",BD$3&gt;=Projects!$C$4,BD$3&lt;Projects!$C$4+Projects!$D$4),Projects!$B$4*INDEX(Curves!$B$8:$AR$8,1,BD$3-Projects!$C$4+1),0)-IF(AND(Projects!$G$4="Yes",BD$3&gt;=Projects!$C$4,BD$3&lt;Projects!$C$4+Projects!$D$4),Projects!$B$4*(Assumptions!$B$10+Assumptions!$B$11+Assumptions!$B$12)/Projects!$D$4*0.95,0)-IF(AND(Projects!$G$4="Yes",BD$3=Projects!$C$4+Projects!$D$4-1),Projects!$B$4*(Assumptions!$B$10+Assumptions!$B$11+Assumptions!$B$12)*0.05,0)</f>
        <v>0</v>
      </c>
      <c r="BE15" s="30" t="n">
        <f aca="false">IF(AND(Projects!$G$4="Yes",BE$3&gt;=Projects!$C$4,BE$3&lt;Projects!$C$4+Projects!$D$4),Projects!$B$4*INDEX(Curves!$B$8:$AR$8,1,BE$3-Projects!$C$4+1),0)-IF(AND(Projects!$G$4="Yes",BE$3&gt;=Projects!$C$4,BE$3&lt;Projects!$C$4+Projects!$D$4),Projects!$B$4*(Assumptions!$B$10+Assumptions!$B$11+Assumptions!$B$12)/Projects!$D$4*0.95,0)-IF(AND(Projects!$G$4="Yes",BE$3=Projects!$C$4+Projects!$D$4-1),Projects!$B$4*(Assumptions!$B$10+Assumptions!$B$11+Assumptions!$B$12)*0.05,0)</f>
        <v>0</v>
      </c>
      <c r="BF15" s="30" t="n">
        <f aca="false">IF(AND(Projects!$G$4="Yes",BF$3&gt;=Projects!$C$4,BF$3&lt;Projects!$C$4+Projects!$D$4),Projects!$B$4*INDEX(Curves!$B$8:$AR$8,1,BF$3-Projects!$C$4+1),0)-IF(AND(Projects!$G$4="Yes",BF$3&gt;=Projects!$C$4,BF$3&lt;Projects!$C$4+Projects!$D$4),Projects!$B$4*(Assumptions!$B$10+Assumptions!$B$11+Assumptions!$B$12)/Projects!$D$4*0.95,0)-IF(AND(Projects!$G$4="Yes",BF$3=Projects!$C$4+Projects!$D$4-1),Projects!$B$4*(Assumptions!$B$10+Assumptions!$B$11+Assumptions!$B$12)*0.05,0)</f>
        <v>0</v>
      </c>
      <c r="BG15" s="30" t="n">
        <f aca="false">IF(AND(Projects!$G$4="Yes",BG$3&gt;=Projects!$C$4,BG$3&lt;Projects!$C$4+Projects!$D$4),Projects!$B$4*INDEX(Curves!$B$8:$AR$8,1,BG$3-Projects!$C$4+1),0)-IF(AND(Projects!$G$4="Yes",BG$3&gt;=Projects!$C$4,BG$3&lt;Projects!$C$4+Projects!$D$4),Projects!$B$4*(Assumptions!$B$10+Assumptions!$B$11+Assumptions!$B$12)/Projects!$D$4*0.95,0)-IF(AND(Projects!$G$4="Yes",BG$3=Projects!$C$4+Projects!$D$4-1),Projects!$B$4*(Assumptions!$B$10+Assumptions!$B$11+Assumptions!$B$12)*0.05,0)</f>
        <v>0</v>
      </c>
      <c r="BH15" s="30" t="n">
        <f aca="false">IF(AND(Projects!$G$4="Yes",BH$3&gt;=Projects!$C$4,BH$3&lt;Projects!$C$4+Projects!$D$4),Projects!$B$4*INDEX(Curves!$B$8:$AR$8,1,BH$3-Projects!$C$4+1),0)-IF(AND(Projects!$G$4="Yes",BH$3&gt;=Projects!$C$4,BH$3&lt;Projects!$C$4+Projects!$D$4),Projects!$B$4*(Assumptions!$B$10+Assumptions!$B$11+Assumptions!$B$12)/Projects!$D$4*0.95,0)-IF(AND(Projects!$G$4="Yes",BH$3=Projects!$C$4+Projects!$D$4-1),Projects!$B$4*(Assumptions!$B$10+Assumptions!$B$11+Assumptions!$B$12)*0.05,0)</f>
        <v>0</v>
      </c>
      <c r="BI15" s="30" t="n">
        <f aca="false">IF(AND(Projects!$G$4="Yes",BI$3&gt;=Projects!$C$4,BI$3&lt;Projects!$C$4+Projects!$D$4),Projects!$B$4*INDEX(Curves!$B$8:$AR$8,1,BI$3-Projects!$C$4+1),0)-IF(AND(Projects!$G$4="Yes",BI$3&gt;=Projects!$C$4,BI$3&lt;Projects!$C$4+Projects!$D$4),Projects!$B$4*(Assumptions!$B$10+Assumptions!$B$11+Assumptions!$B$12)/Projects!$D$4*0.95,0)-IF(AND(Projects!$G$4="Yes",BI$3=Projects!$C$4+Projects!$D$4-1),Projects!$B$4*(Assumptions!$B$10+Assumptions!$B$11+Assumptions!$B$12)*0.05,0)</f>
        <v>0</v>
      </c>
      <c r="BJ15" s="30" t="n">
        <f aca="false">IF(AND(Projects!$G$4="Yes",BJ$3&gt;=Projects!$C$4,BJ$3&lt;Projects!$C$4+Projects!$D$4),Projects!$B$4*INDEX(Curves!$B$8:$AR$8,1,BJ$3-Projects!$C$4+1),0)-IF(AND(Projects!$G$4="Yes",BJ$3&gt;=Projects!$C$4,BJ$3&lt;Projects!$C$4+Projects!$D$4),Projects!$B$4*(Assumptions!$B$10+Assumptions!$B$11+Assumptions!$B$12)/Projects!$D$4*0.95,0)-IF(AND(Projects!$G$4="Yes",BJ$3=Projects!$C$4+Projects!$D$4-1),Projects!$B$4*(Assumptions!$B$10+Assumptions!$B$11+Assumptions!$B$12)*0.05,0)</f>
        <v>0</v>
      </c>
      <c r="BK15" s="30" t="n">
        <f aca="false">IF(AND(Projects!$G$4="Yes",BK$3&gt;=Projects!$C$4,BK$3&lt;Projects!$C$4+Projects!$D$4),Projects!$B$4*INDEX(Curves!$B$8:$AR$8,1,BK$3-Projects!$C$4+1),0)-IF(AND(Projects!$G$4="Yes",BK$3&gt;=Projects!$C$4,BK$3&lt;Projects!$C$4+Projects!$D$4),Projects!$B$4*(Assumptions!$B$10+Assumptions!$B$11+Assumptions!$B$12)/Projects!$D$4*0.95,0)-IF(AND(Projects!$G$4="Yes",BK$3=Projects!$C$4+Projects!$D$4-1),Projects!$B$4*(Assumptions!$B$10+Assumptions!$B$11+Assumptions!$B$12)*0.05,0)</f>
        <v>0</v>
      </c>
      <c r="BL15" s="30" t="n">
        <f aca="false">IF(AND(Projects!$G$4="Yes",BL$3&gt;=Projects!$C$4,BL$3&lt;Projects!$C$4+Projects!$D$4),Projects!$B$4*INDEX(Curves!$B$8:$AR$8,1,BL$3-Projects!$C$4+1),0)-IF(AND(Projects!$G$4="Yes",BL$3&gt;=Projects!$C$4,BL$3&lt;Projects!$C$4+Projects!$D$4),Projects!$B$4*(Assumptions!$B$10+Assumptions!$B$11+Assumptions!$B$12)/Projects!$D$4*0.95,0)-IF(AND(Projects!$G$4="Yes",BL$3=Projects!$C$4+Projects!$D$4-1),Projects!$B$4*(Assumptions!$B$10+Assumptions!$B$11+Assumptions!$B$12)*0.05,0)</f>
        <v>0</v>
      </c>
      <c r="BM15" s="30" t="n">
        <f aca="false">IF(AND(Projects!$G$4="Yes",BM$3&gt;=Projects!$C$4,BM$3&lt;Projects!$C$4+Projects!$D$4),Projects!$B$4*INDEX(Curves!$B$8:$AR$8,1,BM$3-Projects!$C$4+1),0)-IF(AND(Projects!$G$4="Yes",BM$3&gt;=Projects!$C$4,BM$3&lt;Projects!$C$4+Projects!$D$4),Projects!$B$4*(Assumptions!$B$10+Assumptions!$B$11+Assumptions!$B$12)/Projects!$D$4*0.95,0)-IF(AND(Projects!$G$4="Yes",BM$3=Projects!$C$4+Projects!$D$4-1),Projects!$B$4*(Assumptions!$B$10+Assumptions!$B$11+Assumptions!$B$12)*0.05,0)</f>
        <v>0</v>
      </c>
      <c r="BN15" s="30" t="n">
        <f aca="false">IF(AND(Projects!$G$4="Yes",BN$3&gt;=Projects!$C$4,BN$3&lt;Projects!$C$4+Projects!$D$4),Projects!$B$4*INDEX(Curves!$B$8:$AR$8,1,BN$3-Projects!$C$4+1),0)-IF(AND(Projects!$G$4="Yes",BN$3&gt;=Projects!$C$4,BN$3&lt;Projects!$C$4+Projects!$D$4),Projects!$B$4*(Assumptions!$B$10+Assumptions!$B$11+Assumptions!$B$12)/Projects!$D$4*0.95,0)-IF(AND(Projects!$G$4="Yes",BN$3=Projects!$C$4+Projects!$D$4-1),Projects!$B$4*(Assumptions!$B$10+Assumptions!$B$11+Assumptions!$B$12)*0.05,0)</f>
        <v>0</v>
      </c>
      <c r="BO15" s="30" t="n">
        <f aca="false">IF(AND(Projects!$G$4="Yes",BO$3&gt;=Projects!$C$4,BO$3&lt;Projects!$C$4+Projects!$D$4),Projects!$B$4*INDEX(Curves!$B$8:$AR$8,1,BO$3-Projects!$C$4+1),0)-IF(AND(Projects!$G$4="Yes",BO$3&gt;=Projects!$C$4,BO$3&lt;Projects!$C$4+Projects!$D$4),Projects!$B$4*(Assumptions!$B$10+Assumptions!$B$11+Assumptions!$B$12)/Projects!$D$4*0.95,0)-IF(AND(Projects!$G$4="Yes",BO$3=Projects!$C$4+Projects!$D$4-1),Projects!$B$4*(Assumptions!$B$10+Assumptions!$B$11+Assumptions!$B$12)*0.05,0)</f>
        <v>0</v>
      </c>
      <c r="BP15" s="30" t="n">
        <f aca="false">IF(AND(Projects!$G$4="Yes",BP$3&gt;=Projects!$C$4,BP$3&lt;Projects!$C$4+Projects!$D$4),Projects!$B$4*INDEX(Curves!$B$8:$AR$8,1,BP$3-Projects!$C$4+1),0)-IF(AND(Projects!$G$4="Yes",BP$3&gt;=Projects!$C$4,BP$3&lt;Projects!$C$4+Projects!$D$4),Projects!$B$4*(Assumptions!$B$10+Assumptions!$B$11+Assumptions!$B$12)/Projects!$D$4*0.95,0)-IF(AND(Projects!$G$4="Yes",BP$3=Projects!$C$4+Projects!$D$4-1),Projects!$B$4*(Assumptions!$B$10+Assumptions!$B$11+Assumptions!$B$12)*0.05,0)</f>
        <v>0</v>
      </c>
      <c r="BQ15" s="30" t="n">
        <f aca="false">IF(AND(Projects!$G$4="Yes",BQ$3&gt;=Projects!$C$4,BQ$3&lt;Projects!$C$4+Projects!$D$4),Projects!$B$4*INDEX(Curves!$B$8:$AR$8,1,BQ$3-Projects!$C$4+1),0)-IF(AND(Projects!$G$4="Yes",BQ$3&gt;=Projects!$C$4,BQ$3&lt;Projects!$C$4+Projects!$D$4),Projects!$B$4*(Assumptions!$B$10+Assumptions!$B$11+Assumptions!$B$12)/Projects!$D$4*0.95,0)-IF(AND(Projects!$G$4="Yes",BQ$3=Projects!$C$4+Projects!$D$4-1),Projects!$B$4*(Assumptions!$B$10+Assumptions!$B$11+Assumptions!$B$12)*0.05,0)</f>
        <v>0</v>
      </c>
      <c r="BR15" s="30" t="n">
        <f aca="false">IF(AND(Projects!$G$4="Yes",BR$3&gt;=Projects!$C$4,BR$3&lt;Projects!$C$4+Projects!$D$4),Projects!$B$4*INDEX(Curves!$B$8:$AR$8,1,BR$3-Projects!$C$4+1),0)-IF(AND(Projects!$G$4="Yes",BR$3&gt;=Projects!$C$4,BR$3&lt;Projects!$C$4+Projects!$D$4),Projects!$B$4*(Assumptions!$B$10+Assumptions!$B$11+Assumptions!$B$12)/Projects!$D$4*0.95,0)-IF(AND(Projects!$G$4="Yes",BR$3=Projects!$C$4+Projects!$D$4-1),Projects!$B$4*(Assumptions!$B$10+Assumptions!$B$11+Assumptions!$B$12)*0.05,0)</f>
        <v>0</v>
      </c>
      <c r="BS15" s="30" t="n">
        <f aca="false">IF(AND(Projects!$G$4="Yes",BS$3&gt;=Projects!$C$4,BS$3&lt;Projects!$C$4+Projects!$D$4),Projects!$B$4*INDEX(Curves!$B$8:$AR$8,1,BS$3-Projects!$C$4+1),0)-IF(AND(Projects!$G$4="Yes",BS$3&gt;=Projects!$C$4,BS$3&lt;Projects!$C$4+Projects!$D$4),Projects!$B$4*(Assumptions!$B$10+Assumptions!$B$11+Assumptions!$B$12)/Projects!$D$4*0.95,0)-IF(AND(Projects!$G$4="Yes",BS$3=Projects!$C$4+Projects!$D$4-1),Projects!$B$4*(Assumptions!$B$10+Assumptions!$B$11+Assumptions!$B$12)*0.05,0)</f>
        <v>0</v>
      </c>
      <c r="BT15" s="30" t="n">
        <f aca="false">IF(AND(Projects!$G$4="Yes",BT$3&gt;=Projects!$C$4,BT$3&lt;Projects!$C$4+Projects!$D$4),Projects!$B$4*INDEX(Curves!$B$8:$AR$8,1,BT$3-Projects!$C$4+1),0)-IF(AND(Projects!$G$4="Yes",BT$3&gt;=Projects!$C$4,BT$3&lt;Projects!$C$4+Projects!$D$4),Projects!$B$4*(Assumptions!$B$10+Assumptions!$B$11+Assumptions!$B$12)/Projects!$D$4*0.95,0)-IF(AND(Projects!$G$4="Yes",BT$3=Projects!$C$4+Projects!$D$4-1),Projects!$B$4*(Assumptions!$B$10+Assumptions!$B$11+Assumptions!$B$12)*0.05,0)</f>
        <v>0</v>
      </c>
      <c r="BU15" s="30" t="n">
        <f aca="false">IF(AND(Projects!$G$4="Yes",BU$3&gt;=Projects!$C$4,BU$3&lt;Projects!$C$4+Projects!$D$4),Projects!$B$4*INDEX(Curves!$B$8:$AR$8,1,BU$3-Projects!$C$4+1),0)-IF(AND(Projects!$G$4="Yes",BU$3&gt;=Projects!$C$4,BU$3&lt;Projects!$C$4+Projects!$D$4),Projects!$B$4*(Assumptions!$B$10+Assumptions!$B$11+Assumptions!$B$12)/Projects!$D$4*0.95,0)-IF(AND(Projects!$G$4="Yes",BU$3=Projects!$C$4+Projects!$D$4-1),Projects!$B$4*(Assumptions!$B$10+Assumptions!$B$11+Assumptions!$B$12)*0.05,0)</f>
        <v>0</v>
      </c>
      <c r="BV15" s="30" t="n">
        <f aca="false">IF(AND(Projects!$G$4="Yes",BV$3&gt;=Projects!$C$4,BV$3&lt;Projects!$C$4+Projects!$D$4),Projects!$B$4*INDEX(Curves!$B$8:$AR$8,1,BV$3-Projects!$C$4+1),0)-IF(AND(Projects!$G$4="Yes",BV$3&gt;=Projects!$C$4,BV$3&lt;Projects!$C$4+Projects!$D$4),Projects!$B$4*(Assumptions!$B$10+Assumptions!$B$11+Assumptions!$B$12)/Projects!$D$4*0.95,0)-IF(AND(Projects!$G$4="Yes",BV$3=Projects!$C$4+Projects!$D$4-1),Projects!$B$4*(Assumptions!$B$10+Assumptions!$B$11+Assumptions!$B$12)*0.05,0)</f>
        <v>0</v>
      </c>
      <c r="BW15" s="30" t="n">
        <f aca="false">IF(AND(Projects!$G$4="Yes",BW$3&gt;=Projects!$C$4,BW$3&lt;Projects!$C$4+Projects!$D$4),Projects!$B$4*INDEX(Curves!$B$8:$AR$8,1,BW$3-Projects!$C$4+1),0)-IF(AND(Projects!$G$4="Yes",BW$3&gt;=Projects!$C$4,BW$3&lt;Projects!$C$4+Projects!$D$4),Projects!$B$4*(Assumptions!$B$10+Assumptions!$B$11+Assumptions!$B$12)/Projects!$D$4*0.95,0)-IF(AND(Projects!$G$4="Yes",BW$3=Projects!$C$4+Projects!$D$4-1),Projects!$B$4*(Assumptions!$B$10+Assumptions!$B$11+Assumptions!$B$12)*0.05,0)</f>
        <v>0</v>
      </c>
      <c r="BX15" s="30" t="n">
        <f aca="false">IF(AND(Projects!$G$4="Yes",BX$3&gt;=Projects!$C$4,BX$3&lt;Projects!$C$4+Projects!$D$4),Projects!$B$4*INDEX(Curves!$B$8:$AR$8,1,BX$3-Projects!$C$4+1),0)-IF(AND(Projects!$G$4="Yes",BX$3&gt;=Projects!$C$4,BX$3&lt;Projects!$C$4+Projects!$D$4),Projects!$B$4*(Assumptions!$B$10+Assumptions!$B$11+Assumptions!$B$12)/Projects!$D$4*0.95,0)-IF(AND(Projects!$G$4="Yes",BX$3=Projects!$C$4+Projects!$D$4-1),Projects!$B$4*(Assumptions!$B$10+Assumptions!$B$11+Assumptions!$B$12)*0.05,0)</f>
        <v>0</v>
      </c>
      <c r="BY15" s="30" t="n">
        <f aca="false">IF(AND(Projects!$G$4="Yes",BY$3&gt;=Projects!$C$4,BY$3&lt;Projects!$C$4+Projects!$D$4),Projects!$B$4*INDEX(Curves!$B$8:$AR$8,1,BY$3-Projects!$C$4+1),0)-IF(AND(Projects!$G$4="Yes",BY$3&gt;=Projects!$C$4,BY$3&lt;Projects!$C$4+Projects!$D$4),Projects!$B$4*(Assumptions!$B$10+Assumptions!$B$11+Assumptions!$B$12)/Projects!$D$4*0.95,0)-IF(AND(Projects!$G$4="Yes",BY$3=Projects!$C$4+Projects!$D$4-1),Projects!$B$4*(Assumptions!$B$10+Assumptions!$B$11+Assumptions!$B$12)*0.05,0)</f>
        <v>0</v>
      </c>
      <c r="BZ15" s="30" t="n">
        <f aca="false">IF(AND(Projects!$G$4="Yes",BZ$3&gt;=Projects!$C$4,BZ$3&lt;Projects!$C$4+Projects!$D$4),Projects!$B$4*INDEX(Curves!$B$8:$AR$8,1,BZ$3-Projects!$C$4+1),0)-IF(AND(Projects!$G$4="Yes",BZ$3&gt;=Projects!$C$4,BZ$3&lt;Projects!$C$4+Projects!$D$4),Projects!$B$4*(Assumptions!$B$10+Assumptions!$B$11+Assumptions!$B$12)/Projects!$D$4*0.95,0)-IF(AND(Projects!$G$4="Yes",BZ$3=Projects!$C$4+Projects!$D$4-1),Projects!$B$4*(Assumptions!$B$10+Assumptions!$B$11+Assumptions!$B$12)*0.05,0)</f>
        <v>0</v>
      </c>
      <c r="CA15" s="30" t="n">
        <f aca="false">IF(AND(Projects!$G$4="Yes",CA$3&gt;=Projects!$C$4,CA$3&lt;Projects!$C$4+Projects!$D$4),Projects!$B$4*INDEX(Curves!$B$8:$AR$8,1,CA$3-Projects!$C$4+1),0)-IF(AND(Projects!$G$4="Yes",CA$3&gt;=Projects!$C$4,CA$3&lt;Projects!$C$4+Projects!$D$4),Projects!$B$4*(Assumptions!$B$10+Assumptions!$B$11+Assumptions!$B$12)/Projects!$D$4*0.95,0)-IF(AND(Projects!$G$4="Yes",CA$3=Projects!$C$4+Projects!$D$4-1),Projects!$B$4*(Assumptions!$B$10+Assumptions!$B$11+Assumptions!$B$12)*0.05,0)</f>
        <v>0</v>
      </c>
      <c r="CB15" s="30" t="n">
        <f aca="false">IF(AND(Projects!$G$4="Yes",CB$3&gt;=Projects!$C$4,CB$3&lt;Projects!$C$4+Projects!$D$4),Projects!$B$4*INDEX(Curves!$B$8:$AR$8,1,CB$3-Projects!$C$4+1),0)-IF(AND(Projects!$G$4="Yes",CB$3&gt;=Projects!$C$4,CB$3&lt;Projects!$C$4+Projects!$D$4),Projects!$B$4*(Assumptions!$B$10+Assumptions!$B$11+Assumptions!$B$12)/Projects!$D$4*0.95,0)-IF(AND(Projects!$G$4="Yes",CB$3=Projects!$C$4+Projects!$D$4-1),Projects!$B$4*(Assumptions!$B$10+Assumptions!$B$11+Assumptions!$B$12)*0.05,0)</f>
        <v>0</v>
      </c>
      <c r="CC15" s="30" t="n">
        <f aca="false">IF(AND(Projects!$G$4="Yes",CC$3&gt;=Projects!$C$4,CC$3&lt;Projects!$C$4+Projects!$D$4),Projects!$B$4*INDEX(Curves!$B$8:$AR$8,1,CC$3-Projects!$C$4+1),0)-IF(AND(Projects!$G$4="Yes",CC$3&gt;=Projects!$C$4,CC$3&lt;Projects!$C$4+Projects!$D$4),Projects!$B$4*(Assumptions!$B$10+Assumptions!$B$11+Assumptions!$B$12)/Projects!$D$4*0.95,0)-IF(AND(Projects!$G$4="Yes",CC$3=Projects!$C$4+Projects!$D$4-1),Projects!$B$4*(Assumptions!$B$10+Assumptions!$B$11+Assumptions!$B$12)*0.05,0)</f>
        <v>0</v>
      </c>
      <c r="CD15" s="30" t="n">
        <f aca="false">IF(AND(Projects!$G$4="Yes",CD$3&gt;=Projects!$C$4,CD$3&lt;Projects!$C$4+Projects!$D$4),Projects!$B$4*INDEX(Curves!$B$8:$AR$8,1,CD$3-Projects!$C$4+1),0)-IF(AND(Projects!$G$4="Yes",CD$3&gt;=Projects!$C$4,CD$3&lt;Projects!$C$4+Projects!$D$4),Projects!$B$4*(Assumptions!$B$10+Assumptions!$B$11+Assumptions!$B$12)/Projects!$D$4*0.95,0)-IF(AND(Projects!$G$4="Yes",CD$3=Projects!$C$4+Projects!$D$4-1),Projects!$B$4*(Assumptions!$B$10+Assumptions!$B$11+Assumptions!$B$12)*0.05,0)</f>
        <v>0</v>
      </c>
      <c r="CE15" s="30" t="n">
        <f aca="false">IF(AND(Projects!$G$4="Yes",CE$3&gt;=Projects!$C$4,CE$3&lt;Projects!$C$4+Projects!$D$4),Projects!$B$4*INDEX(Curves!$B$8:$AR$8,1,CE$3-Projects!$C$4+1),0)-IF(AND(Projects!$G$4="Yes",CE$3&gt;=Projects!$C$4,CE$3&lt;Projects!$C$4+Projects!$D$4),Projects!$B$4*(Assumptions!$B$10+Assumptions!$B$11+Assumptions!$B$12)/Projects!$D$4*0.95,0)-IF(AND(Projects!$G$4="Yes",CE$3=Projects!$C$4+Projects!$D$4-1),Projects!$B$4*(Assumptions!$B$10+Assumptions!$B$11+Assumptions!$B$12)*0.05,0)</f>
        <v>0</v>
      </c>
      <c r="CF15" s="30" t="n">
        <f aca="false">IF(AND(Projects!$G$4="Yes",CF$3&gt;=Projects!$C$4,CF$3&lt;Projects!$C$4+Projects!$D$4),Projects!$B$4*INDEX(Curves!$B$8:$AR$8,1,CF$3-Projects!$C$4+1),0)-IF(AND(Projects!$G$4="Yes",CF$3&gt;=Projects!$C$4,CF$3&lt;Projects!$C$4+Projects!$D$4),Projects!$B$4*(Assumptions!$B$10+Assumptions!$B$11+Assumptions!$B$12)/Projects!$D$4*0.95,0)-IF(AND(Projects!$G$4="Yes",CF$3=Projects!$C$4+Projects!$D$4-1),Projects!$B$4*(Assumptions!$B$10+Assumptions!$B$11+Assumptions!$B$12)*0.05,0)</f>
        <v>0</v>
      </c>
      <c r="CG15" s="30" t="n">
        <f aca="false">IF(AND(Projects!$G$4="Yes",CG$3&gt;=Projects!$C$4,CG$3&lt;Projects!$C$4+Projects!$D$4),Projects!$B$4*INDEX(Curves!$B$8:$AR$8,1,CG$3-Projects!$C$4+1),0)-IF(AND(Projects!$G$4="Yes",CG$3&gt;=Projects!$C$4,CG$3&lt;Projects!$C$4+Projects!$D$4),Projects!$B$4*(Assumptions!$B$10+Assumptions!$B$11+Assumptions!$B$12)/Projects!$D$4*0.95,0)-IF(AND(Projects!$G$4="Yes",CG$3=Projects!$C$4+Projects!$D$4-1),Projects!$B$4*(Assumptions!$B$10+Assumptions!$B$11+Assumptions!$B$12)*0.05,0)</f>
        <v>0</v>
      </c>
      <c r="CH15" s="30" t="n">
        <f aca="false">IF(AND(Projects!$G$4="Yes",CH$3&gt;=Projects!$C$4,CH$3&lt;Projects!$C$4+Projects!$D$4),Projects!$B$4*INDEX(Curves!$B$8:$AR$8,1,CH$3-Projects!$C$4+1),0)-IF(AND(Projects!$G$4="Yes",CH$3&gt;=Projects!$C$4,CH$3&lt;Projects!$C$4+Projects!$D$4),Projects!$B$4*(Assumptions!$B$10+Assumptions!$B$11+Assumptions!$B$12)/Projects!$D$4*0.95,0)-IF(AND(Projects!$G$4="Yes",CH$3=Projects!$C$4+Projects!$D$4-1),Projects!$B$4*(Assumptions!$B$10+Assumptions!$B$11+Assumptions!$B$12)*0.05,0)</f>
        <v>0</v>
      </c>
      <c r="CI15" s="30" t="n">
        <f aca="false">IF(AND(Projects!$G$4="Yes",CI$3&gt;=Projects!$C$4,CI$3&lt;Projects!$C$4+Projects!$D$4),Projects!$B$4*INDEX(Curves!$B$8:$AR$8,1,CI$3-Projects!$C$4+1),0)-IF(AND(Projects!$G$4="Yes",CI$3&gt;=Projects!$C$4,CI$3&lt;Projects!$C$4+Projects!$D$4),Projects!$B$4*(Assumptions!$B$10+Assumptions!$B$11+Assumptions!$B$12)/Projects!$D$4*0.95,0)-IF(AND(Projects!$G$4="Yes",CI$3=Projects!$C$4+Projects!$D$4-1),Projects!$B$4*(Assumptions!$B$10+Assumptions!$B$11+Assumptions!$B$12)*0.05,0)</f>
        <v>0</v>
      </c>
      <c r="CJ15" s="30" t="n">
        <f aca="false">IF(AND(Projects!$G$4="Yes",CJ$3&gt;=Projects!$C$4,CJ$3&lt;Projects!$C$4+Projects!$D$4),Projects!$B$4*INDEX(Curves!$B$8:$AR$8,1,CJ$3-Projects!$C$4+1),0)-IF(AND(Projects!$G$4="Yes",CJ$3&gt;=Projects!$C$4,CJ$3&lt;Projects!$C$4+Projects!$D$4),Projects!$B$4*(Assumptions!$B$10+Assumptions!$B$11+Assumptions!$B$12)/Projects!$D$4*0.95,0)-IF(AND(Projects!$G$4="Yes",CJ$3=Projects!$C$4+Projects!$D$4-1),Projects!$B$4*(Assumptions!$B$10+Assumptions!$B$11+Assumptions!$B$12)*0.05,0)</f>
        <v>0</v>
      </c>
      <c r="CK15" s="30" t="n">
        <f aca="false">IF(AND(Projects!$G$4="Yes",CK$3&gt;=Projects!$C$4,CK$3&lt;Projects!$C$4+Projects!$D$4),Projects!$B$4*INDEX(Curves!$B$8:$AR$8,1,CK$3-Projects!$C$4+1),0)-IF(AND(Projects!$G$4="Yes",CK$3&gt;=Projects!$C$4,CK$3&lt;Projects!$C$4+Projects!$D$4),Projects!$B$4*(Assumptions!$B$10+Assumptions!$B$11+Assumptions!$B$12)/Projects!$D$4*0.95,0)-IF(AND(Projects!$G$4="Yes",CK$3=Projects!$C$4+Projects!$D$4-1),Projects!$B$4*(Assumptions!$B$10+Assumptions!$B$11+Assumptions!$B$12)*0.05,0)</f>
        <v>0</v>
      </c>
      <c r="CL15" s="30" t="n">
        <f aca="false">IF(AND(Projects!$G$4="Yes",CL$3&gt;=Projects!$C$4,CL$3&lt;Projects!$C$4+Projects!$D$4),Projects!$B$4*INDEX(Curves!$B$8:$AR$8,1,CL$3-Projects!$C$4+1),0)-IF(AND(Projects!$G$4="Yes",CL$3&gt;=Projects!$C$4,CL$3&lt;Projects!$C$4+Projects!$D$4),Projects!$B$4*(Assumptions!$B$10+Assumptions!$B$11+Assumptions!$B$12)/Projects!$D$4*0.95,0)-IF(AND(Projects!$G$4="Yes",CL$3=Projects!$C$4+Projects!$D$4-1),Projects!$B$4*(Assumptions!$B$10+Assumptions!$B$11+Assumptions!$B$12)*0.05,0)</f>
        <v>0</v>
      </c>
      <c r="CM15" s="30" t="n">
        <f aca="false">IF(AND(Projects!$G$4="Yes",CM$3&gt;=Projects!$C$4,CM$3&lt;Projects!$C$4+Projects!$D$4),Projects!$B$4*INDEX(Curves!$B$8:$AR$8,1,CM$3-Projects!$C$4+1),0)-IF(AND(Projects!$G$4="Yes",CM$3&gt;=Projects!$C$4,CM$3&lt;Projects!$C$4+Projects!$D$4),Projects!$B$4*(Assumptions!$B$10+Assumptions!$B$11+Assumptions!$B$12)/Projects!$D$4*0.95,0)-IF(AND(Projects!$G$4="Yes",CM$3=Projects!$C$4+Projects!$D$4-1),Projects!$B$4*(Assumptions!$B$10+Assumptions!$B$11+Assumptions!$B$12)*0.05,0)</f>
        <v>0</v>
      </c>
      <c r="CN15" s="30" t="n">
        <f aca="false">IF(AND(Projects!$G$4="Yes",CN$3&gt;=Projects!$C$4,CN$3&lt;Projects!$C$4+Projects!$D$4),Projects!$B$4*INDEX(Curves!$B$8:$AR$8,1,CN$3-Projects!$C$4+1),0)-IF(AND(Projects!$G$4="Yes",CN$3&gt;=Projects!$C$4,CN$3&lt;Projects!$C$4+Projects!$D$4),Projects!$B$4*(Assumptions!$B$10+Assumptions!$B$11+Assumptions!$B$12)/Projects!$D$4*0.95,0)-IF(AND(Projects!$G$4="Yes",CN$3=Projects!$C$4+Projects!$D$4-1),Projects!$B$4*(Assumptions!$B$10+Assumptions!$B$11+Assumptions!$B$12)*0.05,0)</f>
        <v>0</v>
      </c>
      <c r="CO15" s="30" t="n">
        <f aca="false">IF(AND(Projects!$G$4="Yes",CO$3&gt;=Projects!$C$4,CO$3&lt;Projects!$C$4+Projects!$D$4),Projects!$B$4*INDEX(Curves!$B$8:$AR$8,1,CO$3-Projects!$C$4+1),0)-IF(AND(Projects!$G$4="Yes",CO$3&gt;=Projects!$C$4,CO$3&lt;Projects!$C$4+Projects!$D$4),Projects!$B$4*(Assumptions!$B$10+Assumptions!$B$11+Assumptions!$B$12)/Projects!$D$4*0.95,0)-IF(AND(Projects!$G$4="Yes",CO$3=Projects!$C$4+Projects!$D$4-1),Projects!$B$4*(Assumptions!$B$10+Assumptions!$B$11+Assumptions!$B$12)*0.05,0)</f>
        <v>0</v>
      </c>
      <c r="CP15" s="30" t="n">
        <f aca="false">IF(AND(Projects!$G$4="Yes",CP$3&gt;=Projects!$C$4,CP$3&lt;Projects!$C$4+Projects!$D$4),Projects!$B$4*INDEX(Curves!$B$8:$AR$8,1,CP$3-Projects!$C$4+1),0)-IF(AND(Projects!$G$4="Yes",CP$3&gt;=Projects!$C$4,CP$3&lt;Projects!$C$4+Projects!$D$4),Projects!$B$4*(Assumptions!$B$10+Assumptions!$B$11+Assumptions!$B$12)/Projects!$D$4*0.95,0)-IF(AND(Projects!$G$4="Yes",CP$3=Projects!$C$4+Projects!$D$4-1),Projects!$B$4*(Assumptions!$B$10+Assumptions!$B$11+Assumptions!$B$12)*0.05,0)</f>
        <v>0</v>
      </c>
      <c r="CQ15" s="30" t="n">
        <f aca="false">IF(AND(Projects!$G$4="Yes",CQ$3&gt;=Projects!$C$4,CQ$3&lt;Projects!$C$4+Projects!$D$4),Projects!$B$4*INDEX(Curves!$B$8:$AR$8,1,CQ$3-Projects!$C$4+1),0)-IF(AND(Projects!$G$4="Yes",CQ$3&gt;=Projects!$C$4,CQ$3&lt;Projects!$C$4+Projects!$D$4),Projects!$B$4*(Assumptions!$B$10+Assumptions!$B$11+Assumptions!$B$12)/Projects!$D$4*0.95,0)-IF(AND(Projects!$G$4="Yes",CQ$3=Projects!$C$4+Projects!$D$4-1),Projects!$B$4*(Assumptions!$B$10+Assumptions!$B$11+Assumptions!$B$12)*0.05,0)</f>
        <v>0</v>
      </c>
      <c r="CR15" s="30" t="n">
        <f aca="false">IF(AND(Projects!$G$4="Yes",CR$3&gt;=Projects!$C$4,CR$3&lt;Projects!$C$4+Projects!$D$4),Projects!$B$4*INDEX(Curves!$B$8:$AR$8,1,CR$3-Projects!$C$4+1),0)-IF(AND(Projects!$G$4="Yes",CR$3&gt;=Projects!$C$4,CR$3&lt;Projects!$C$4+Projects!$D$4),Projects!$B$4*(Assumptions!$B$10+Assumptions!$B$11+Assumptions!$B$12)/Projects!$D$4*0.95,0)-IF(AND(Projects!$G$4="Yes",CR$3=Projects!$C$4+Projects!$D$4-1),Projects!$B$4*(Assumptions!$B$10+Assumptions!$B$11+Assumptions!$B$12)*0.05,0)</f>
        <v>0</v>
      </c>
      <c r="CS15" s="30" t="n">
        <f aca="false">IF(AND(Projects!$G$4="Yes",CS$3&gt;=Projects!$C$4,CS$3&lt;Projects!$C$4+Projects!$D$4),Projects!$B$4*INDEX(Curves!$B$8:$AR$8,1,CS$3-Projects!$C$4+1),0)-IF(AND(Projects!$G$4="Yes",CS$3&gt;=Projects!$C$4,CS$3&lt;Projects!$C$4+Projects!$D$4),Projects!$B$4*(Assumptions!$B$10+Assumptions!$B$11+Assumptions!$B$12)/Projects!$D$4*0.95,0)-IF(AND(Projects!$G$4="Yes",CS$3=Projects!$C$4+Projects!$D$4-1),Projects!$B$4*(Assumptions!$B$10+Assumptions!$B$11+Assumptions!$B$12)*0.05,0)</f>
        <v>0</v>
      </c>
      <c r="CT15" s="30" t="n">
        <f aca="false">IF(AND(Projects!$G$4="Yes",CT$3&gt;=Projects!$C$4,CT$3&lt;Projects!$C$4+Projects!$D$4),Projects!$B$4*INDEX(Curves!$B$8:$AR$8,1,CT$3-Projects!$C$4+1),0)-IF(AND(Projects!$G$4="Yes",CT$3&gt;=Projects!$C$4,CT$3&lt;Projects!$C$4+Projects!$D$4),Projects!$B$4*(Assumptions!$B$10+Assumptions!$B$11+Assumptions!$B$12)/Projects!$D$4*0.95,0)-IF(AND(Projects!$G$4="Yes",CT$3=Projects!$C$4+Projects!$D$4-1),Projects!$B$4*(Assumptions!$B$10+Assumptions!$B$11+Assumptions!$B$12)*0.05,0)</f>
        <v>0</v>
      </c>
      <c r="CU15" s="30" t="n">
        <f aca="false">IF(AND(Projects!$G$4="Yes",CU$3&gt;=Projects!$C$4,CU$3&lt;Projects!$C$4+Projects!$D$4),Projects!$B$4*INDEX(Curves!$B$8:$AR$8,1,CU$3-Projects!$C$4+1),0)-IF(AND(Projects!$G$4="Yes",CU$3&gt;=Projects!$C$4,CU$3&lt;Projects!$C$4+Projects!$D$4),Projects!$B$4*(Assumptions!$B$10+Assumptions!$B$11+Assumptions!$B$12)/Projects!$D$4*0.95,0)-IF(AND(Projects!$G$4="Yes",CU$3=Projects!$C$4+Projects!$D$4-1),Projects!$B$4*(Assumptions!$B$10+Assumptions!$B$11+Assumptions!$B$12)*0.05,0)</f>
        <v>0</v>
      </c>
      <c r="CV15" s="30" t="n">
        <f aca="false">IF(AND(Projects!$G$4="Yes",CV$3&gt;=Projects!$C$4,CV$3&lt;Projects!$C$4+Projects!$D$4),Projects!$B$4*INDEX(Curves!$B$8:$AR$8,1,CV$3-Projects!$C$4+1),0)-IF(AND(Projects!$G$4="Yes",CV$3&gt;=Projects!$C$4,CV$3&lt;Projects!$C$4+Projects!$D$4),Projects!$B$4*(Assumptions!$B$10+Assumptions!$B$11+Assumptions!$B$12)/Projects!$D$4*0.95,0)-IF(AND(Projects!$G$4="Yes",CV$3=Projects!$C$4+Projects!$D$4-1),Projects!$B$4*(Assumptions!$B$10+Assumptions!$B$11+Assumptions!$B$12)*0.05,0)</f>
        <v>0</v>
      </c>
      <c r="CW15" s="30" t="n">
        <f aca="false">IF(AND(Projects!$G$4="Yes",CW$3&gt;=Projects!$C$4,CW$3&lt;Projects!$C$4+Projects!$D$4),Projects!$B$4*INDEX(Curves!$B$8:$AR$8,1,CW$3-Projects!$C$4+1),0)-IF(AND(Projects!$G$4="Yes",CW$3&gt;=Projects!$C$4,CW$3&lt;Projects!$C$4+Projects!$D$4),Projects!$B$4*(Assumptions!$B$10+Assumptions!$B$11+Assumptions!$B$12)/Projects!$D$4*0.95,0)-IF(AND(Projects!$G$4="Yes",CW$3=Projects!$C$4+Projects!$D$4-1),Projects!$B$4*(Assumptions!$B$10+Assumptions!$B$11+Assumptions!$B$12)*0.05,0)</f>
        <v>0</v>
      </c>
      <c r="CX15" s="30" t="n">
        <f aca="false">IF(AND(Projects!$G$4="Yes",CX$3&gt;=Projects!$C$4,CX$3&lt;Projects!$C$4+Projects!$D$4),Projects!$B$4*INDEX(Curves!$B$8:$AR$8,1,CX$3-Projects!$C$4+1),0)-IF(AND(Projects!$G$4="Yes",CX$3&gt;=Projects!$C$4,CX$3&lt;Projects!$C$4+Projects!$D$4),Projects!$B$4*(Assumptions!$B$10+Assumptions!$B$11+Assumptions!$B$12)/Projects!$D$4*0.95,0)-IF(AND(Projects!$G$4="Yes",CX$3=Projects!$C$4+Projects!$D$4-1),Projects!$B$4*(Assumptions!$B$10+Assumptions!$B$11+Assumptions!$B$12)*0.05,0)</f>
        <v>0</v>
      </c>
      <c r="CY15" s="30" t="n">
        <f aca="false">IF(AND(Projects!$G$4="Yes",CY$3&gt;=Projects!$C$4,CY$3&lt;Projects!$C$4+Projects!$D$4),Projects!$B$4*INDEX(Curves!$B$8:$AR$8,1,CY$3-Projects!$C$4+1),0)-IF(AND(Projects!$G$4="Yes",CY$3&gt;=Projects!$C$4,CY$3&lt;Projects!$C$4+Projects!$D$4),Projects!$B$4*(Assumptions!$B$10+Assumptions!$B$11+Assumptions!$B$12)/Projects!$D$4*0.95,0)-IF(AND(Projects!$G$4="Yes",CY$3=Projects!$C$4+Projects!$D$4-1),Projects!$B$4*(Assumptions!$B$10+Assumptions!$B$11+Assumptions!$B$12)*0.05,0)</f>
        <v>0</v>
      </c>
      <c r="CZ15" s="30" t="n">
        <f aca="false">IF(AND(Projects!$G$4="Yes",CZ$3&gt;=Projects!$C$4,CZ$3&lt;Projects!$C$4+Projects!$D$4),Projects!$B$4*INDEX(Curves!$B$8:$AR$8,1,CZ$3-Projects!$C$4+1),0)-IF(AND(Projects!$G$4="Yes",CZ$3&gt;=Projects!$C$4,CZ$3&lt;Projects!$C$4+Projects!$D$4),Projects!$B$4*(Assumptions!$B$10+Assumptions!$B$11+Assumptions!$B$12)/Projects!$D$4*0.95,0)-IF(AND(Projects!$G$4="Yes",CZ$3=Projects!$C$4+Projects!$D$4-1),Projects!$B$4*(Assumptions!$B$10+Assumptions!$B$11+Assumptions!$B$12)*0.05,0)</f>
        <v>0</v>
      </c>
      <c r="DA15" s="30" t="n">
        <f aca="false">IF(AND(Projects!$G$4="Yes",DA$3&gt;=Projects!$C$4,DA$3&lt;Projects!$C$4+Projects!$D$4),Projects!$B$4*INDEX(Curves!$B$8:$AR$8,1,DA$3-Projects!$C$4+1),0)-IF(AND(Projects!$G$4="Yes",DA$3&gt;=Projects!$C$4,DA$3&lt;Projects!$C$4+Projects!$D$4),Projects!$B$4*(Assumptions!$B$10+Assumptions!$B$11+Assumptions!$B$12)/Projects!$D$4*0.95,0)-IF(AND(Projects!$G$4="Yes",DA$3=Projects!$C$4+Projects!$D$4-1),Projects!$B$4*(Assumptions!$B$10+Assumptions!$B$11+Assumptions!$B$12)*0.05,0)</f>
        <v>0</v>
      </c>
      <c r="DB15" s="30" t="n">
        <f aca="false">IF(AND(Projects!$G$4="Yes",DB$3&gt;=Projects!$C$4,DB$3&lt;Projects!$C$4+Projects!$D$4),Projects!$B$4*INDEX(Curves!$B$8:$AR$8,1,DB$3-Projects!$C$4+1),0)-IF(AND(Projects!$G$4="Yes",DB$3&gt;=Projects!$C$4,DB$3&lt;Projects!$C$4+Projects!$D$4),Projects!$B$4*(Assumptions!$B$10+Assumptions!$B$11+Assumptions!$B$12)/Projects!$D$4*0.95,0)-IF(AND(Projects!$G$4="Yes",DB$3=Projects!$C$4+Projects!$D$4-1),Projects!$B$4*(Assumptions!$B$10+Assumptions!$B$11+Assumptions!$B$12)*0.05,0)</f>
        <v>0</v>
      </c>
      <c r="DC15" s="30" t="n">
        <f aca="false">IF(AND(Projects!$G$4="Yes",DC$3&gt;=Projects!$C$4,DC$3&lt;Projects!$C$4+Projects!$D$4),Projects!$B$4*INDEX(Curves!$B$8:$AR$8,1,DC$3-Projects!$C$4+1),0)-IF(AND(Projects!$G$4="Yes",DC$3&gt;=Projects!$C$4,DC$3&lt;Projects!$C$4+Projects!$D$4),Projects!$B$4*(Assumptions!$B$10+Assumptions!$B$11+Assumptions!$B$12)/Projects!$D$4*0.95,0)-IF(AND(Projects!$G$4="Yes",DC$3=Projects!$C$4+Projects!$D$4-1),Projects!$B$4*(Assumptions!$B$10+Assumptions!$B$11+Assumptions!$B$12)*0.05,0)</f>
        <v>0</v>
      </c>
      <c r="DD15" s="30" t="n">
        <f aca="false">IF(AND(Projects!$G$4="Yes",DD$3&gt;=Projects!$C$4,DD$3&lt;Projects!$C$4+Projects!$D$4),Projects!$B$4*INDEX(Curves!$B$8:$AR$8,1,DD$3-Projects!$C$4+1),0)-IF(AND(Projects!$G$4="Yes",DD$3&gt;=Projects!$C$4,DD$3&lt;Projects!$C$4+Projects!$D$4),Projects!$B$4*(Assumptions!$B$10+Assumptions!$B$11+Assumptions!$B$12)/Projects!$D$4*0.95,0)-IF(AND(Projects!$G$4="Yes",DD$3=Projects!$C$4+Projects!$D$4-1),Projects!$B$4*(Assumptions!$B$10+Assumptions!$B$11+Assumptions!$B$12)*0.05,0)</f>
        <v>0</v>
      </c>
      <c r="DE15" s="30" t="n">
        <f aca="false">IF(AND(Projects!$G$4="Yes",DE$3&gt;=Projects!$C$4,DE$3&lt;Projects!$C$4+Projects!$D$4),Projects!$B$4*INDEX(Curves!$B$8:$AR$8,1,DE$3-Projects!$C$4+1),0)-IF(AND(Projects!$G$4="Yes",DE$3&gt;=Projects!$C$4,DE$3&lt;Projects!$C$4+Projects!$D$4),Projects!$B$4*(Assumptions!$B$10+Assumptions!$B$11+Assumptions!$B$12)/Projects!$D$4*0.95,0)-IF(AND(Projects!$G$4="Yes",DE$3=Projects!$C$4+Projects!$D$4-1),Projects!$B$4*(Assumptions!$B$10+Assumptions!$B$11+Assumptions!$B$12)*0.05,0)</f>
        <v>0</v>
      </c>
    </row>
    <row r="16" customFormat="false" ht="15" hidden="true" customHeight="true" outlineLevel="1" collapsed="false">
      <c r="A16" s="32" t="s">
        <v>10</v>
      </c>
      <c r="B16" s="30" t="n">
        <v>96887.03</v>
      </c>
      <c r="C16" s="30" t="n">
        <v>107170.8</v>
      </c>
      <c r="D16" s="30" t="n">
        <v>229126.73</v>
      </c>
      <c r="E16" s="30" t="n">
        <v>577813.6</v>
      </c>
      <c r="F16" s="30" t="n">
        <v>785971.45</v>
      </c>
      <c r="G16" s="30" t="n">
        <v>1198349.29</v>
      </c>
      <c r="H16" s="30" t="n">
        <f aca="false">9874176.97*Curves!E$9/SUM(Curves!$E$9:$P$9)</f>
        <v>1007670.55698785</v>
      </c>
      <c r="I16" s="30" t="n">
        <f aca="false">9874176.97*Curves!F$9/SUM(Curves!$E$9:$P$9)</f>
        <v>1045991.9019717</v>
      </c>
      <c r="J16" s="30" t="n">
        <f aca="false">9874176.97*Curves!G$9/SUM(Curves!$E$9:$P$9)</f>
        <v>1059086.48636877</v>
      </c>
      <c r="K16" s="30" t="n">
        <f aca="false">9874176.97*Curves!H$9/SUM(Curves!$E$9:$P$9)</f>
        <v>1045991.9019717</v>
      </c>
      <c r="L16" s="30" t="n">
        <f aca="false">9874176.97*Curves!I$9/SUM(Curves!$E$9:$P$9)</f>
        <v>1007670.55698785</v>
      </c>
      <c r="M16" s="30" t="n">
        <f aca="false">9874176.97*Curves!J$9/SUM(Curves!$E$9:$P$9)</f>
        <v>946907.602441538</v>
      </c>
      <c r="N16" s="30" t="n">
        <f aca="false">9874176.97*Curves!K$9/SUM(Curves!$E$9:$P$9)</f>
        <v>867946.383610657</v>
      </c>
      <c r="O16" s="30" t="n">
        <f aca="false">9874176.97*Curves!L$9/SUM(Curves!$E$9:$P$9)</f>
        <v>776021.817865527</v>
      </c>
      <c r="P16" s="30" t="n">
        <f aca="false">9874176.97*Curves!M$9/SUM(Curves!$E$9:$P$9)</f>
        <v>676777.116967471</v>
      </c>
      <c r="Q16" s="30" t="n">
        <f aca="false">9874176.97*Curves!N$9/SUM(Curves!$E$9:$P$9)</f>
        <v>575724.255194986</v>
      </c>
      <c r="R16" s="30" t="n">
        <f aca="false">9874176.97*Curves!O$9/SUM(Curves!$E$9:$P$9)</f>
        <v>477719.019412465</v>
      </c>
      <c r="S16" s="30" t="n">
        <f aca="false">9874176.97*Curves!P$9/SUM(Curves!$E$9:$P$9)</f>
        <v>386669.370219479</v>
      </c>
      <c r="T16" s="30" t="n">
        <f aca="false">IF(AND(Projects!$G$5="Yes",T$3&gt;=Projects!$C$5,T$3&lt;Projects!$C$5+Projects!$D$5),Projects!$B$5*INDEX(Curves!$B$9:$AR$9,1,T$3-Projects!$C$5+1),0)-IF(AND(Projects!$G$5="Yes",T$3&gt;=Projects!$C$5,T$3&lt;Projects!$C$5+Projects!$D$5),Projects!$B$5*(Assumptions!$B$10+Assumptions!$B$11+Assumptions!$B$12)/Projects!$D$5*0.95,0)-IF(AND(Projects!$G$5="Yes",T$3=Projects!$C$5+Projects!$D$5-1),Projects!$B$5*(Assumptions!$B$10+Assumptions!$B$11+Assumptions!$B$12)*0.05,0)</f>
        <v>0</v>
      </c>
      <c r="U16" s="30" t="n">
        <f aca="false">IF(AND(Projects!$G$5="Yes",U$3&gt;=Projects!$C$5,U$3&lt;Projects!$C$5+Projects!$D$5),Projects!$B$5*INDEX(Curves!$B$9:$AR$9,1,U$3-Projects!$C$5+1),0)-IF(AND(Projects!$G$5="Yes",U$3&gt;=Projects!$C$5,U$3&lt;Projects!$C$5+Projects!$D$5),Projects!$B$5*(Assumptions!$B$10+Assumptions!$B$11+Assumptions!$B$12)/Projects!$D$5*0.95,0)-IF(AND(Projects!$G$5="Yes",U$3=Projects!$C$5+Projects!$D$5-1),Projects!$B$5*(Assumptions!$B$10+Assumptions!$B$11+Assumptions!$B$12)*0.05,0)</f>
        <v>0</v>
      </c>
      <c r="V16" s="30" t="n">
        <f aca="false">IF(AND(Projects!$G$5="Yes",V$3&gt;=Projects!$C$5,V$3&lt;Projects!$C$5+Projects!$D$5),Projects!$B$5*INDEX(Curves!$B$9:$AR$9,1,V$3-Projects!$C$5+1),0)-IF(AND(Projects!$G$5="Yes",V$3&gt;=Projects!$C$5,V$3&lt;Projects!$C$5+Projects!$D$5),Projects!$B$5*(Assumptions!$B$10+Assumptions!$B$11+Assumptions!$B$12)/Projects!$D$5*0.95,0)-IF(AND(Projects!$G$5="Yes",V$3=Projects!$C$5+Projects!$D$5-1),Projects!$B$5*(Assumptions!$B$10+Assumptions!$B$11+Assumptions!$B$12)*0.05,0)</f>
        <v>0</v>
      </c>
      <c r="W16" s="30" t="n">
        <f aca="false">IF(AND(Projects!$G$5="Yes",W$3&gt;=Projects!$C$5,W$3&lt;Projects!$C$5+Projects!$D$5),Projects!$B$5*INDEX(Curves!$B$9:$AR$9,1,W$3-Projects!$C$5+1),0)-IF(AND(Projects!$G$5="Yes",W$3&gt;=Projects!$C$5,W$3&lt;Projects!$C$5+Projects!$D$5),Projects!$B$5*(Assumptions!$B$10+Assumptions!$B$11+Assumptions!$B$12)/Projects!$D$5*0.95,0)-IF(AND(Projects!$G$5="Yes",W$3=Projects!$C$5+Projects!$D$5-1),Projects!$B$5*(Assumptions!$B$10+Assumptions!$B$11+Assumptions!$B$12)*0.05,0)</f>
        <v>0</v>
      </c>
      <c r="X16" s="30" t="n">
        <f aca="false">IF(AND(Projects!$G$5="Yes",X$3&gt;=Projects!$C$5,X$3&lt;Projects!$C$5+Projects!$D$5),Projects!$B$5*INDEX(Curves!$B$9:$AR$9,1,X$3-Projects!$C$5+1),0)-IF(AND(Projects!$G$5="Yes",X$3&gt;=Projects!$C$5,X$3&lt;Projects!$C$5+Projects!$D$5),Projects!$B$5*(Assumptions!$B$10+Assumptions!$B$11+Assumptions!$B$12)/Projects!$D$5*0.95,0)-IF(AND(Projects!$G$5="Yes",X$3=Projects!$C$5+Projects!$D$5-1),Projects!$B$5*(Assumptions!$B$10+Assumptions!$B$11+Assumptions!$B$12)*0.05,0)</f>
        <v>0</v>
      </c>
      <c r="Y16" s="30" t="n">
        <f aca="false">IF(AND(Projects!$G$5="Yes",Y$3&gt;=Projects!$C$5,Y$3&lt;Projects!$C$5+Projects!$D$5),Projects!$B$5*INDEX(Curves!$B$9:$AR$9,1,Y$3-Projects!$C$5+1),0)-IF(AND(Projects!$G$5="Yes",Y$3&gt;=Projects!$C$5,Y$3&lt;Projects!$C$5+Projects!$D$5),Projects!$B$5*(Assumptions!$B$10+Assumptions!$B$11+Assumptions!$B$12)/Projects!$D$5*0.95,0)-IF(AND(Projects!$G$5="Yes",Y$3=Projects!$C$5+Projects!$D$5-1),Projects!$B$5*(Assumptions!$B$10+Assumptions!$B$11+Assumptions!$B$12)*0.05,0)</f>
        <v>0</v>
      </c>
      <c r="Z16" s="30" t="n">
        <f aca="false">IF(AND(Projects!$G$5="Yes",Z$3&gt;=Projects!$C$5,Z$3&lt;Projects!$C$5+Projects!$D$5),Projects!$B$5*INDEX(Curves!$B$9:$AR$9,1,Z$3-Projects!$C$5+1),0)-IF(AND(Projects!$G$5="Yes",Z$3&gt;=Projects!$C$5,Z$3&lt;Projects!$C$5+Projects!$D$5),Projects!$B$5*(Assumptions!$B$10+Assumptions!$B$11+Assumptions!$B$12)/Projects!$D$5*0.95,0)-IF(AND(Projects!$G$5="Yes",Z$3=Projects!$C$5+Projects!$D$5-1),Projects!$B$5*(Assumptions!$B$10+Assumptions!$B$11+Assumptions!$B$12)*0.05,0)</f>
        <v>0</v>
      </c>
      <c r="AA16" s="30" t="n">
        <f aca="false">IF(AND(Projects!$G$5="Yes",AA$3&gt;=Projects!$C$5,AA$3&lt;Projects!$C$5+Projects!$D$5),Projects!$B$5*INDEX(Curves!$B$9:$AR$9,1,AA$3-Projects!$C$5+1),0)-IF(AND(Projects!$G$5="Yes",AA$3&gt;=Projects!$C$5,AA$3&lt;Projects!$C$5+Projects!$D$5),Projects!$B$5*(Assumptions!$B$10+Assumptions!$B$11+Assumptions!$B$12)/Projects!$D$5*0.95,0)-IF(AND(Projects!$G$5="Yes",AA$3=Projects!$C$5+Projects!$D$5-1),Projects!$B$5*(Assumptions!$B$10+Assumptions!$B$11+Assumptions!$B$12)*0.05,0)</f>
        <v>0</v>
      </c>
      <c r="AB16" s="30" t="n">
        <f aca="false">IF(AND(Projects!$G$5="Yes",AB$3&gt;=Projects!$C$5,AB$3&lt;Projects!$C$5+Projects!$D$5),Projects!$B$5*INDEX(Curves!$B$9:$AR$9,1,AB$3-Projects!$C$5+1),0)-IF(AND(Projects!$G$5="Yes",AB$3&gt;=Projects!$C$5,AB$3&lt;Projects!$C$5+Projects!$D$5),Projects!$B$5*(Assumptions!$B$10+Assumptions!$B$11+Assumptions!$B$12)/Projects!$D$5*0.95,0)-IF(AND(Projects!$G$5="Yes",AB$3=Projects!$C$5+Projects!$D$5-1),Projects!$B$5*(Assumptions!$B$10+Assumptions!$B$11+Assumptions!$B$12)*0.05,0)</f>
        <v>0</v>
      </c>
      <c r="AC16" s="30" t="n">
        <f aca="false">IF(AND(Projects!$G$5="Yes",AC$3&gt;=Projects!$C$5,AC$3&lt;Projects!$C$5+Projects!$D$5),Projects!$B$5*INDEX(Curves!$B$9:$AR$9,1,AC$3-Projects!$C$5+1),0)-IF(AND(Projects!$G$5="Yes",AC$3&gt;=Projects!$C$5,AC$3&lt;Projects!$C$5+Projects!$D$5),Projects!$B$5*(Assumptions!$B$10+Assumptions!$B$11+Assumptions!$B$12)/Projects!$D$5*0.95,0)-IF(AND(Projects!$G$5="Yes",AC$3=Projects!$C$5+Projects!$D$5-1),Projects!$B$5*(Assumptions!$B$10+Assumptions!$B$11+Assumptions!$B$12)*0.05,0)</f>
        <v>0</v>
      </c>
      <c r="AD16" s="30" t="n">
        <f aca="false">IF(AND(Projects!$G$5="Yes",AD$3&gt;=Projects!$C$5,AD$3&lt;Projects!$C$5+Projects!$D$5),Projects!$B$5*INDEX(Curves!$B$9:$AR$9,1,AD$3-Projects!$C$5+1),0)-IF(AND(Projects!$G$5="Yes",AD$3&gt;=Projects!$C$5,AD$3&lt;Projects!$C$5+Projects!$D$5),Projects!$B$5*(Assumptions!$B$10+Assumptions!$B$11+Assumptions!$B$12)/Projects!$D$5*0.95,0)-IF(AND(Projects!$G$5="Yes",AD$3=Projects!$C$5+Projects!$D$5-1),Projects!$B$5*(Assumptions!$B$10+Assumptions!$B$11+Assumptions!$B$12)*0.05,0)</f>
        <v>0</v>
      </c>
      <c r="AE16" s="30" t="n">
        <f aca="false">IF(AND(Projects!$G$5="Yes",AE$3&gt;=Projects!$C$5,AE$3&lt;Projects!$C$5+Projects!$D$5),Projects!$B$5*INDEX(Curves!$B$9:$AR$9,1,AE$3-Projects!$C$5+1),0)-IF(AND(Projects!$G$5="Yes",AE$3&gt;=Projects!$C$5,AE$3&lt;Projects!$C$5+Projects!$D$5),Projects!$B$5*(Assumptions!$B$10+Assumptions!$B$11+Assumptions!$B$12)/Projects!$D$5*0.95,0)-IF(AND(Projects!$G$5="Yes",AE$3=Projects!$C$5+Projects!$D$5-1),Projects!$B$5*(Assumptions!$B$10+Assumptions!$B$11+Assumptions!$B$12)*0.05,0)</f>
        <v>0</v>
      </c>
      <c r="AF16" s="30" t="n">
        <f aca="false">IF(AND(Projects!$G$5="Yes",AF$3&gt;=Projects!$C$5,AF$3&lt;Projects!$C$5+Projects!$D$5),Projects!$B$5*INDEX(Curves!$B$9:$AR$9,1,AF$3-Projects!$C$5+1),0)-IF(AND(Projects!$G$5="Yes",AF$3&gt;=Projects!$C$5,AF$3&lt;Projects!$C$5+Projects!$D$5),Projects!$B$5*(Assumptions!$B$10+Assumptions!$B$11+Assumptions!$B$12)/Projects!$D$5*0.95,0)-IF(AND(Projects!$G$5="Yes",AF$3=Projects!$C$5+Projects!$D$5-1),Projects!$B$5*(Assumptions!$B$10+Assumptions!$B$11+Assumptions!$B$12)*0.05,0)</f>
        <v>0</v>
      </c>
      <c r="AG16" s="30" t="n">
        <f aca="false">IF(AND(Projects!$G$5="Yes",AG$3&gt;=Projects!$C$5,AG$3&lt;Projects!$C$5+Projects!$D$5),Projects!$B$5*INDEX(Curves!$B$9:$AR$9,1,AG$3-Projects!$C$5+1),0)-IF(AND(Projects!$G$5="Yes",AG$3&gt;=Projects!$C$5,AG$3&lt;Projects!$C$5+Projects!$D$5),Projects!$B$5*(Assumptions!$B$10+Assumptions!$B$11+Assumptions!$B$12)/Projects!$D$5*0.95,0)-IF(AND(Projects!$G$5="Yes",AG$3=Projects!$C$5+Projects!$D$5-1),Projects!$B$5*(Assumptions!$B$10+Assumptions!$B$11+Assumptions!$B$12)*0.05,0)</f>
        <v>0</v>
      </c>
      <c r="AH16" s="30" t="n">
        <f aca="false">IF(AND(Projects!$G$5="Yes",AH$3&gt;=Projects!$C$5,AH$3&lt;Projects!$C$5+Projects!$D$5),Projects!$B$5*INDEX(Curves!$B$9:$AR$9,1,AH$3-Projects!$C$5+1),0)-IF(AND(Projects!$G$5="Yes",AH$3&gt;=Projects!$C$5,AH$3&lt;Projects!$C$5+Projects!$D$5),Projects!$B$5*(Assumptions!$B$10+Assumptions!$B$11+Assumptions!$B$12)/Projects!$D$5*0.95,0)-IF(AND(Projects!$G$5="Yes",AH$3=Projects!$C$5+Projects!$D$5-1),Projects!$B$5*(Assumptions!$B$10+Assumptions!$B$11+Assumptions!$B$12)*0.05,0)</f>
        <v>0</v>
      </c>
      <c r="AI16" s="30" t="n">
        <f aca="false">IF(AND(Projects!$G$5="Yes",AI$3&gt;=Projects!$C$5,AI$3&lt;Projects!$C$5+Projects!$D$5),Projects!$B$5*INDEX(Curves!$B$9:$AR$9,1,AI$3-Projects!$C$5+1),0)-IF(AND(Projects!$G$5="Yes",AI$3&gt;=Projects!$C$5,AI$3&lt;Projects!$C$5+Projects!$D$5),Projects!$B$5*(Assumptions!$B$10+Assumptions!$B$11+Assumptions!$B$12)/Projects!$D$5*0.95,0)-IF(AND(Projects!$G$5="Yes",AI$3=Projects!$C$5+Projects!$D$5-1),Projects!$B$5*(Assumptions!$B$10+Assumptions!$B$11+Assumptions!$B$12)*0.05,0)</f>
        <v>0</v>
      </c>
      <c r="AJ16" s="30" t="n">
        <f aca="false">IF(AND(Projects!$G$5="Yes",AJ$3&gt;=Projects!$C$5,AJ$3&lt;Projects!$C$5+Projects!$D$5),Projects!$B$5*INDEX(Curves!$B$9:$AR$9,1,AJ$3-Projects!$C$5+1),0)-IF(AND(Projects!$G$5="Yes",AJ$3&gt;=Projects!$C$5,AJ$3&lt;Projects!$C$5+Projects!$D$5),Projects!$B$5*(Assumptions!$B$10+Assumptions!$B$11+Assumptions!$B$12)/Projects!$D$5*0.95,0)-IF(AND(Projects!$G$5="Yes",AJ$3=Projects!$C$5+Projects!$D$5-1),Projects!$B$5*(Assumptions!$B$10+Assumptions!$B$11+Assumptions!$B$12)*0.05,0)</f>
        <v>0</v>
      </c>
      <c r="AK16" s="30" t="n">
        <f aca="false">IF(AND(Projects!$G$5="Yes",AK$3&gt;=Projects!$C$5,AK$3&lt;Projects!$C$5+Projects!$D$5),Projects!$B$5*INDEX(Curves!$B$9:$AR$9,1,AK$3-Projects!$C$5+1),0)-IF(AND(Projects!$G$5="Yes",AK$3&gt;=Projects!$C$5,AK$3&lt;Projects!$C$5+Projects!$D$5),Projects!$B$5*(Assumptions!$B$10+Assumptions!$B$11+Assumptions!$B$12)/Projects!$D$5*0.95,0)-IF(AND(Projects!$G$5="Yes",AK$3=Projects!$C$5+Projects!$D$5-1),Projects!$B$5*(Assumptions!$B$10+Assumptions!$B$11+Assumptions!$B$12)*0.05,0)</f>
        <v>0</v>
      </c>
      <c r="AL16" s="30" t="n">
        <f aca="false">IF(AND(Projects!$G$5="Yes",AL$3&gt;=Projects!$C$5,AL$3&lt;Projects!$C$5+Projects!$D$5),Projects!$B$5*INDEX(Curves!$B$9:$AR$9,1,AL$3-Projects!$C$5+1),0)-IF(AND(Projects!$G$5="Yes",AL$3&gt;=Projects!$C$5,AL$3&lt;Projects!$C$5+Projects!$D$5),Projects!$B$5*(Assumptions!$B$10+Assumptions!$B$11+Assumptions!$B$12)/Projects!$D$5*0.95,0)-IF(AND(Projects!$G$5="Yes",AL$3=Projects!$C$5+Projects!$D$5-1),Projects!$B$5*(Assumptions!$B$10+Assumptions!$B$11+Assumptions!$B$12)*0.05,0)</f>
        <v>0</v>
      </c>
      <c r="AM16" s="30" t="n">
        <f aca="false">IF(AND(Projects!$G$5="Yes",AM$3&gt;=Projects!$C$5,AM$3&lt;Projects!$C$5+Projects!$D$5),Projects!$B$5*INDEX(Curves!$B$9:$AR$9,1,AM$3-Projects!$C$5+1),0)-IF(AND(Projects!$G$5="Yes",AM$3&gt;=Projects!$C$5,AM$3&lt;Projects!$C$5+Projects!$D$5),Projects!$B$5*(Assumptions!$B$10+Assumptions!$B$11+Assumptions!$B$12)/Projects!$D$5*0.95,0)-IF(AND(Projects!$G$5="Yes",AM$3=Projects!$C$5+Projects!$D$5-1),Projects!$B$5*(Assumptions!$B$10+Assumptions!$B$11+Assumptions!$B$12)*0.05,0)</f>
        <v>0</v>
      </c>
      <c r="AN16" s="30" t="n">
        <f aca="false">IF(AND(Projects!$G$5="Yes",AN$3&gt;=Projects!$C$5,AN$3&lt;Projects!$C$5+Projects!$D$5),Projects!$B$5*INDEX(Curves!$B$9:$AR$9,1,AN$3-Projects!$C$5+1),0)-IF(AND(Projects!$G$5="Yes",AN$3&gt;=Projects!$C$5,AN$3&lt;Projects!$C$5+Projects!$D$5),Projects!$B$5*(Assumptions!$B$10+Assumptions!$B$11+Assumptions!$B$12)/Projects!$D$5*0.95,0)-IF(AND(Projects!$G$5="Yes",AN$3=Projects!$C$5+Projects!$D$5-1),Projects!$B$5*(Assumptions!$B$10+Assumptions!$B$11+Assumptions!$B$12)*0.05,0)</f>
        <v>0</v>
      </c>
      <c r="AO16" s="30" t="n">
        <f aca="false">IF(AND(Projects!$G$5="Yes",AO$3&gt;=Projects!$C$5,AO$3&lt;Projects!$C$5+Projects!$D$5),Projects!$B$5*INDEX(Curves!$B$9:$AR$9,1,AO$3-Projects!$C$5+1),0)-IF(AND(Projects!$G$5="Yes",AO$3&gt;=Projects!$C$5,AO$3&lt;Projects!$C$5+Projects!$D$5),Projects!$B$5*(Assumptions!$B$10+Assumptions!$B$11+Assumptions!$B$12)/Projects!$D$5*0.95,0)-IF(AND(Projects!$G$5="Yes",AO$3=Projects!$C$5+Projects!$D$5-1),Projects!$B$5*(Assumptions!$B$10+Assumptions!$B$11+Assumptions!$B$12)*0.05,0)</f>
        <v>0</v>
      </c>
      <c r="AP16" s="30" t="n">
        <f aca="false">IF(AND(Projects!$G$5="Yes",AP$3&gt;=Projects!$C$5,AP$3&lt;Projects!$C$5+Projects!$D$5),Projects!$B$5*INDEX(Curves!$B$9:$AR$9,1,AP$3-Projects!$C$5+1),0)-IF(AND(Projects!$G$5="Yes",AP$3&gt;=Projects!$C$5,AP$3&lt;Projects!$C$5+Projects!$D$5),Projects!$B$5*(Assumptions!$B$10+Assumptions!$B$11+Assumptions!$B$12)/Projects!$D$5*0.95,0)-IF(AND(Projects!$G$5="Yes",AP$3=Projects!$C$5+Projects!$D$5-1),Projects!$B$5*(Assumptions!$B$10+Assumptions!$B$11+Assumptions!$B$12)*0.05,0)</f>
        <v>0</v>
      </c>
      <c r="AQ16" s="30" t="n">
        <f aca="false">IF(AND(Projects!$G$5="Yes",AQ$3&gt;=Projects!$C$5,AQ$3&lt;Projects!$C$5+Projects!$D$5),Projects!$B$5*INDEX(Curves!$B$9:$AR$9,1,AQ$3-Projects!$C$5+1),0)-IF(AND(Projects!$G$5="Yes",AQ$3&gt;=Projects!$C$5,AQ$3&lt;Projects!$C$5+Projects!$D$5),Projects!$B$5*(Assumptions!$B$10+Assumptions!$B$11+Assumptions!$B$12)/Projects!$D$5*0.95,0)-IF(AND(Projects!$G$5="Yes",AQ$3=Projects!$C$5+Projects!$D$5-1),Projects!$B$5*(Assumptions!$B$10+Assumptions!$B$11+Assumptions!$B$12)*0.05,0)</f>
        <v>0</v>
      </c>
      <c r="AR16" s="30" t="n">
        <f aca="false">IF(AND(Projects!$G$5="Yes",AR$3&gt;=Projects!$C$5,AR$3&lt;Projects!$C$5+Projects!$D$5),Projects!$B$5*INDEX(Curves!$B$9:$AR$9,1,AR$3-Projects!$C$5+1),0)-IF(AND(Projects!$G$5="Yes",AR$3&gt;=Projects!$C$5,AR$3&lt;Projects!$C$5+Projects!$D$5),Projects!$B$5*(Assumptions!$B$10+Assumptions!$B$11+Assumptions!$B$12)/Projects!$D$5*0.95,0)-IF(AND(Projects!$G$5="Yes",AR$3=Projects!$C$5+Projects!$D$5-1),Projects!$B$5*(Assumptions!$B$10+Assumptions!$B$11+Assumptions!$B$12)*0.05,0)</f>
        <v>0</v>
      </c>
      <c r="AS16" s="30" t="n">
        <f aca="false">IF(AND(Projects!$G$5="Yes",AS$3&gt;=Projects!$C$5,AS$3&lt;Projects!$C$5+Projects!$D$5),Projects!$B$5*INDEX(Curves!$B$9:$AR$9,1,AS$3-Projects!$C$5+1),0)-IF(AND(Projects!$G$5="Yes",AS$3&gt;=Projects!$C$5,AS$3&lt;Projects!$C$5+Projects!$D$5),Projects!$B$5*(Assumptions!$B$10+Assumptions!$B$11+Assumptions!$B$12)/Projects!$D$5*0.95,0)-IF(AND(Projects!$G$5="Yes",AS$3=Projects!$C$5+Projects!$D$5-1),Projects!$B$5*(Assumptions!$B$10+Assumptions!$B$11+Assumptions!$B$12)*0.05,0)</f>
        <v>0</v>
      </c>
      <c r="AT16" s="30" t="n">
        <f aca="false">IF(AND(Projects!$G$5="Yes",AT$3&gt;=Projects!$C$5,AT$3&lt;Projects!$C$5+Projects!$D$5),Projects!$B$5*INDEX(Curves!$B$9:$AR$9,1,AT$3-Projects!$C$5+1),0)-IF(AND(Projects!$G$5="Yes",AT$3&gt;=Projects!$C$5,AT$3&lt;Projects!$C$5+Projects!$D$5),Projects!$B$5*(Assumptions!$B$10+Assumptions!$B$11+Assumptions!$B$12)/Projects!$D$5*0.95,0)-IF(AND(Projects!$G$5="Yes",AT$3=Projects!$C$5+Projects!$D$5-1),Projects!$B$5*(Assumptions!$B$10+Assumptions!$B$11+Assumptions!$B$12)*0.05,0)</f>
        <v>0</v>
      </c>
      <c r="AU16" s="30" t="n">
        <f aca="false">IF(AND(Projects!$G$5="Yes",AU$3&gt;=Projects!$C$5,AU$3&lt;Projects!$C$5+Projects!$D$5),Projects!$B$5*INDEX(Curves!$B$9:$AR$9,1,AU$3-Projects!$C$5+1),0)-IF(AND(Projects!$G$5="Yes",AU$3&gt;=Projects!$C$5,AU$3&lt;Projects!$C$5+Projects!$D$5),Projects!$B$5*(Assumptions!$B$10+Assumptions!$B$11+Assumptions!$B$12)/Projects!$D$5*0.95,0)-IF(AND(Projects!$G$5="Yes",AU$3=Projects!$C$5+Projects!$D$5-1),Projects!$B$5*(Assumptions!$B$10+Assumptions!$B$11+Assumptions!$B$12)*0.05,0)</f>
        <v>0</v>
      </c>
      <c r="AV16" s="30" t="n">
        <f aca="false">IF(AND(Projects!$G$5="Yes",AV$3&gt;=Projects!$C$5,AV$3&lt;Projects!$C$5+Projects!$D$5),Projects!$B$5*INDEX(Curves!$B$9:$AR$9,1,AV$3-Projects!$C$5+1),0)-IF(AND(Projects!$G$5="Yes",AV$3&gt;=Projects!$C$5,AV$3&lt;Projects!$C$5+Projects!$D$5),Projects!$B$5*(Assumptions!$B$10+Assumptions!$B$11+Assumptions!$B$12)/Projects!$D$5*0.95,0)-IF(AND(Projects!$G$5="Yes",AV$3=Projects!$C$5+Projects!$D$5-1),Projects!$B$5*(Assumptions!$B$10+Assumptions!$B$11+Assumptions!$B$12)*0.05,0)</f>
        <v>0</v>
      </c>
      <c r="AW16" s="30" t="n">
        <f aca="false">IF(AND(Projects!$G$5="Yes",AW$3&gt;=Projects!$C$5,AW$3&lt;Projects!$C$5+Projects!$D$5),Projects!$B$5*INDEX(Curves!$B$9:$AR$9,1,AW$3-Projects!$C$5+1),0)-IF(AND(Projects!$G$5="Yes",AW$3&gt;=Projects!$C$5,AW$3&lt;Projects!$C$5+Projects!$D$5),Projects!$B$5*(Assumptions!$B$10+Assumptions!$B$11+Assumptions!$B$12)/Projects!$D$5*0.95,0)-IF(AND(Projects!$G$5="Yes",AW$3=Projects!$C$5+Projects!$D$5-1),Projects!$B$5*(Assumptions!$B$10+Assumptions!$B$11+Assumptions!$B$12)*0.05,0)</f>
        <v>0</v>
      </c>
      <c r="AX16" s="30" t="n">
        <f aca="false">IF(AND(Projects!$G$5="Yes",AX$3&gt;=Projects!$C$5,AX$3&lt;Projects!$C$5+Projects!$D$5),Projects!$B$5*INDEX(Curves!$B$9:$AR$9,1,AX$3-Projects!$C$5+1),0)-IF(AND(Projects!$G$5="Yes",AX$3&gt;=Projects!$C$5,AX$3&lt;Projects!$C$5+Projects!$D$5),Projects!$B$5*(Assumptions!$B$10+Assumptions!$B$11+Assumptions!$B$12)/Projects!$D$5*0.95,0)-IF(AND(Projects!$G$5="Yes",AX$3=Projects!$C$5+Projects!$D$5-1),Projects!$B$5*(Assumptions!$B$10+Assumptions!$B$11+Assumptions!$B$12)*0.05,0)</f>
        <v>0</v>
      </c>
      <c r="AY16" s="30" t="n">
        <f aca="false">IF(AND(Projects!$G$5="Yes",AY$3&gt;=Projects!$C$5,AY$3&lt;Projects!$C$5+Projects!$D$5),Projects!$B$5*INDEX(Curves!$B$9:$AR$9,1,AY$3-Projects!$C$5+1),0)-IF(AND(Projects!$G$5="Yes",AY$3&gt;=Projects!$C$5,AY$3&lt;Projects!$C$5+Projects!$D$5),Projects!$B$5*(Assumptions!$B$10+Assumptions!$B$11+Assumptions!$B$12)/Projects!$D$5*0.95,0)-IF(AND(Projects!$G$5="Yes",AY$3=Projects!$C$5+Projects!$D$5-1),Projects!$B$5*(Assumptions!$B$10+Assumptions!$B$11+Assumptions!$B$12)*0.05,0)</f>
        <v>0</v>
      </c>
      <c r="AZ16" s="30" t="n">
        <f aca="false">IF(AND(Projects!$G$5="Yes",AZ$3&gt;=Projects!$C$5,AZ$3&lt;Projects!$C$5+Projects!$D$5),Projects!$B$5*INDEX(Curves!$B$9:$AR$9,1,AZ$3-Projects!$C$5+1),0)-IF(AND(Projects!$G$5="Yes",AZ$3&gt;=Projects!$C$5,AZ$3&lt;Projects!$C$5+Projects!$D$5),Projects!$B$5*(Assumptions!$B$10+Assumptions!$B$11+Assumptions!$B$12)/Projects!$D$5*0.95,0)-IF(AND(Projects!$G$5="Yes",AZ$3=Projects!$C$5+Projects!$D$5-1),Projects!$B$5*(Assumptions!$B$10+Assumptions!$B$11+Assumptions!$B$12)*0.05,0)</f>
        <v>0</v>
      </c>
      <c r="BA16" s="30" t="n">
        <f aca="false">IF(AND(Projects!$G$5="Yes",BA$3&gt;=Projects!$C$5,BA$3&lt;Projects!$C$5+Projects!$D$5),Projects!$B$5*INDEX(Curves!$B$9:$AR$9,1,BA$3-Projects!$C$5+1),0)-IF(AND(Projects!$G$5="Yes",BA$3&gt;=Projects!$C$5,BA$3&lt;Projects!$C$5+Projects!$D$5),Projects!$B$5*(Assumptions!$B$10+Assumptions!$B$11+Assumptions!$B$12)/Projects!$D$5*0.95,0)-IF(AND(Projects!$G$5="Yes",BA$3=Projects!$C$5+Projects!$D$5-1),Projects!$B$5*(Assumptions!$B$10+Assumptions!$B$11+Assumptions!$B$12)*0.05,0)</f>
        <v>0</v>
      </c>
      <c r="BB16" s="30" t="n">
        <f aca="false">IF(AND(Projects!$G$5="Yes",BB$3&gt;=Projects!$C$5,BB$3&lt;Projects!$C$5+Projects!$D$5),Projects!$B$5*INDEX(Curves!$B$9:$AR$9,1,BB$3-Projects!$C$5+1),0)-IF(AND(Projects!$G$5="Yes",BB$3&gt;=Projects!$C$5,BB$3&lt;Projects!$C$5+Projects!$D$5),Projects!$B$5*(Assumptions!$B$10+Assumptions!$B$11+Assumptions!$B$12)/Projects!$D$5*0.95,0)-IF(AND(Projects!$G$5="Yes",BB$3=Projects!$C$5+Projects!$D$5-1),Projects!$B$5*(Assumptions!$B$10+Assumptions!$B$11+Assumptions!$B$12)*0.05,0)</f>
        <v>0</v>
      </c>
      <c r="BC16" s="30" t="n">
        <f aca="false">IF(AND(Projects!$G$5="Yes",BC$3&gt;=Projects!$C$5,BC$3&lt;Projects!$C$5+Projects!$D$5),Projects!$B$5*INDEX(Curves!$B$9:$AR$9,1,BC$3-Projects!$C$5+1),0)-IF(AND(Projects!$G$5="Yes",BC$3&gt;=Projects!$C$5,BC$3&lt;Projects!$C$5+Projects!$D$5),Projects!$B$5*(Assumptions!$B$10+Assumptions!$B$11+Assumptions!$B$12)/Projects!$D$5*0.95,0)-IF(AND(Projects!$G$5="Yes",BC$3=Projects!$C$5+Projects!$D$5-1),Projects!$B$5*(Assumptions!$B$10+Assumptions!$B$11+Assumptions!$B$12)*0.05,0)</f>
        <v>0</v>
      </c>
      <c r="BD16" s="30" t="n">
        <f aca="false">IF(AND(Projects!$G$5="Yes",BD$3&gt;=Projects!$C$5,BD$3&lt;Projects!$C$5+Projects!$D$5),Projects!$B$5*INDEX(Curves!$B$9:$AR$9,1,BD$3-Projects!$C$5+1),0)-IF(AND(Projects!$G$5="Yes",BD$3&gt;=Projects!$C$5,BD$3&lt;Projects!$C$5+Projects!$D$5),Projects!$B$5*(Assumptions!$B$10+Assumptions!$B$11+Assumptions!$B$12)/Projects!$D$5*0.95,0)-IF(AND(Projects!$G$5="Yes",BD$3=Projects!$C$5+Projects!$D$5-1),Projects!$B$5*(Assumptions!$B$10+Assumptions!$B$11+Assumptions!$B$12)*0.05,0)</f>
        <v>0</v>
      </c>
      <c r="BE16" s="30" t="n">
        <f aca="false">IF(AND(Projects!$G$5="Yes",BE$3&gt;=Projects!$C$5,BE$3&lt;Projects!$C$5+Projects!$D$5),Projects!$B$5*INDEX(Curves!$B$9:$AR$9,1,BE$3-Projects!$C$5+1),0)-IF(AND(Projects!$G$5="Yes",BE$3&gt;=Projects!$C$5,BE$3&lt;Projects!$C$5+Projects!$D$5),Projects!$B$5*(Assumptions!$B$10+Assumptions!$B$11+Assumptions!$B$12)/Projects!$D$5*0.95,0)-IF(AND(Projects!$G$5="Yes",BE$3=Projects!$C$5+Projects!$D$5-1),Projects!$B$5*(Assumptions!$B$10+Assumptions!$B$11+Assumptions!$B$12)*0.05,0)</f>
        <v>0</v>
      </c>
      <c r="BF16" s="30" t="n">
        <f aca="false">IF(AND(Projects!$G$5="Yes",BF$3&gt;=Projects!$C$5,BF$3&lt;Projects!$C$5+Projects!$D$5),Projects!$B$5*INDEX(Curves!$B$9:$AR$9,1,BF$3-Projects!$C$5+1),0)-IF(AND(Projects!$G$5="Yes",BF$3&gt;=Projects!$C$5,BF$3&lt;Projects!$C$5+Projects!$D$5),Projects!$B$5*(Assumptions!$B$10+Assumptions!$B$11+Assumptions!$B$12)/Projects!$D$5*0.95,0)-IF(AND(Projects!$G$5="Yes",BF$3=Projects!$C$5+Projects!$D$5-1),Projects!$B$5*(Assumptions!$B$10+Assumptions!$B$11+Assumptions!$B$12)*0.05,0)</f>
        <v>0</v>
      </c>
      <c r="BG16" s="30" t="n">
        <f aca="false">IF(AND(Projects!$G$5="Yes",BG$3&gt;=Projects!$C$5,BG$3&lt;Projects!$C$5+Projects!$D$5),Projects!$B$5*INDEX(Curves!$B$9:$AR$9,1,BG$3-Projects!$C$5+1),0)-IF(AND(Projects!$G$5="Yes",BG$3&gt;=Projects!$C$5,BG$3&lt;Projects!$C$5+Projects!$D$5),Projects!$B$5*(Assumptions!$B$10+Assumptions!$B$11+Assumptions!$B$12)/Projects!$D$5*0.95,0)-IF(AND(Projects!$G$5="Yes",BG$3=Projects!$C$5+Projects!$D$5-1),Projects!$B$5*(Assumptions!$B$10+Assumptions!$B$11+Assumptions!$B$12)*0.05,0)</f>
        <v>0</v>
      </c>
      <c r="BH16" s="30" t="n">
        <f aca="false">IF(AND(Projects!$G$5="Yes",BH$3&gt;=Projects!$C$5,BH$3&lt;Projects!$C$5+Projects!$D$5),Projects!$B$5*INDEX(Curves!$B$9:$AR$9,1,BH$3-Projects!$C$5+1),0)-IF(AND(Projects!$G$5="Yes",BH$3&gt;=Projects!$C$5,BH$3&lt;Projects!$C$5+Projects!$D$5),Projects!$B$5*(Assumptions!$B$10+Assumptions!$B$11+Assumptions!$B$12)/Projects!$D$5*0.95,0)-IF(AND(Projects!$G$5="Yes",BH$3=Projects!$C$5+Projects!$D$5-1),Projects!$B$5*(Assumptions!$B$10+Assumptions!$B$11+Assumptions!$B$12)*0.05,0)</f>
        <v>0</v>
      </c>
      <c r="BI16" s="30" t="n">
        <f aca="false">IF(AND(Projects!$G$5="Yes",BI$3&gt;=Projects!$C$5,BI$3&lt;Projects!$C$5+Projects!$D$5),Projects!$B$5*INDEX(Curves!$B$9:$AR$9,1,BI$3-Projects!$C$5+1),0)-IF(AND(Projects!$G$5="Yes",BI$3&gt;=Projects!$C$5,BI$3&lt;Projects!$C$5+Projects!$D$5),Projects!$B$5*(Assumptions!$B$10+Assumptions!$B$11+Assumptions!$B$12)/Projects!$D$5*0.95,0)-IF(AND(Projects!$G$5="Yes",BI$3=Projects!$C$5+Projects!$D$5-1),Projects!$B$5*(Assumptions!$B$10+Assumptions!$B$11+Assumptions!$B$12)*0.05,0)</f>
        <v>0</v>
      </c>
      <c r="BJ16" s="30" t="n">
        <f aca="false">IF(AND(Projects!$G$5="Yes",BJ$3&gt;=Projects!$C$5,BJ$3&lt;Projects!$C$5+Projects!$D$5),Projects!$B$5*INDEX(Curves!$B$9:$AR$9,1,BJ$3-Projects!$C$5+1),0)-IF(AND(Projects!$G$5="Yes",BJ$3&gt;=Projects!$C$5,BJ$3&lt;Projects!$C$5+Projects!$D$5),Projects!$B$5*(Assumptions!$B$10+Assumptions!$B$11+Assumptions!$B$12)/Projects!$D$5*0.95,0)-IF(AND(Projects!$G$5="Yes",BJ$3=Projects!$C$5+Projects!$D$5-1),Projects!$B$5*(Assumptions!$B$10+Assumptions!$B$11+Assumptions!$B$12)*0.05,0)</f>
        <v>0</v>
      </c>
      <c r="BK16" s="30" t="n">
        <f aca="false">IF(AND(Projects!$G$5="Yes",BK$3&gt;=Projects!$C$5,BK$3&lt;Projects!$C$5+Projects!$D$5),Projects!$B$5*INDEX(Curves!$B$9:$AR$9,1,BK$3-Projects!$C$5+1),0)-IF(AND(Projects!$G$5="Yes",BK$3&gt;=Projects!$C$5,BK$3&lt;Projects!$C$5+Projects!$D$5),Projects!$B$5*(Assumptions!$B$10+Assumptions!$B$11+Assumptions!$B$12)/Projects!$D$5*0.95,0)-IF(AND(Projects!$G$5="Yes",BK$3=Projects!$C$5+Projects!$D$5-1),Projects!$B$5*(Assumptions!$B$10+Assumptions!$B$11+Assumptions!$B$12)*0.05,0)</f>
        <v>0</v>
      </c>
      <c r="BL16" s="30" t="n">
        <f aca="false">IF(AND(Projects!$G$5="Yes",BL$3&gt;=Projects!$C$5,BL$3&lt;Projects!$C$5+Projects!$D$5),Projects!$B$5*INDEX(Curves!$B$9:$AR$9,1,BL$3-Projects!$C$5+1),0)-IF(AND(Projects!$G$5="Yes",BL$3&gt;=Projects!$C$5,BL$3&lt;Projects!$C$5+Projects!$D$5),Projects!$B$5*(Assumptions!$B$10+Assumptions!$B$11+Assumptions!$B$12)/Projects!$D$5*0.95,0)-IF(AND(Projects!$G$5="Yes",BL$3=Projects!$C$5+Projects!$D$5-1),Projects!$B$5*(Assumptions!$B$10+Assumptions!$B$11+Assumptions!$B$12)*0.05,0)</f>
        <v>0</v>
      </c>
      <c r="BM16" s="30" t="n">
        <f aca="false">IF(AND(Projects!$G$5="Yes",BM$3&gt;=Projects!$C$5,BM$3&lt;Projects!$C$5+Projects!$D$5),Projects!$B$5*INDEX(Curves!$B$9:$AR$9,1,BM$3-Projects!$C$5+1),0)-IF(AND(Projects!$G$5="Yes",BM$3&gt;=Projects!$C$5,BM$3&lt;Projects!$C$5+Projects!$D$5),Projects!$B$5*(Assumptions!$B$10+Assumptions!$B$11+Assumptions!$B$12)/Projects!$D$5*0.95,0)-IF(AND(Projects!$G$5="Yes",BM$3=Projects!$C$5+Projects!$D$5-1),Projects!$B$5*(Assumptions!$B$10+Assumptions!$B$11+Assumptions!$B$12)*0.05,0)</f>
        <v>0</v>
      </c>
      <c r="BN16" s="30" t="n">
        <f aca="false">IF(AND(Projects!$G$5="Yes",BN$3&gt;=Projects!$C$5,BN$3&lt;Projects!$C$5+Projects!$D$5),Projects!$B$5*INDEX(Curves!$B$9:$AR$9,1,BN$3-Projects!$C$5+1),0)-IF(AND(Projects!$G$5="Yes",BN$3&gt;=Projects!$C$5,BN$3&lt;Projects!$C$5+Projects!$D$5),Projects!$B$5*(Assumptions!$B$10+Assumptions!$B$11+Assumptions!$B$12)/Projects!$D$5*0.95,0)-IF(AND(Projects!$G$5="Yes",BN$3=Projects!$C$5+Projects!$D$5-1),Projects!$B$5*(Assumptions!$B$10+Assumptions!$B$11+Assumptions!$B$12)*0.05,0)</f>
        <v>0</v>
      </c>
      <c r="BO16" s="30" t="n">
        <f aca="false">IF(AND(Projects!$G$5="Yes",BO$3&gt;=Projects!$C$5,BO$3&lt;Projects!$C$5+Projects!$D$5),Projects!$B$5*INDEX(Curves!$B$9:$AR$9,1,BO$3-Projects!$C$5+1),0)-IF(AND(Projects!$G$5="Yes",BO$3&gt;=Projects!$C$5,BO$3&lt;Projects!$C$5+Projects!$D$5),Projects!$B$5*(Assumptions!$B$10+Assumptions!$B$11+Assumptions!$B$12)/Projects!$D$5*0.95,0)-IF(AND(Projects!$G$5="Yes",BO$3=Projects!$C$5+Projects!$D$5-1),Projects!$B$5*(Assumptions!$B$10+Assumptions!$B$11+Assumptions!$B$12)*0.05,0)</f>
        <v>0</v>
      </c>
      <c r="BP16" s="30" t="n">
        <f aca="false">IF(AND(Projects!$G$5="Yes",BP$3&gt;=Projects!$C$5,BP$3&lt;Projects!$C$5+Projects!$D$5),Projects!$B$5*INDEX(Curves!$B$9:$AR$9,1,BP$3-Projects!$C$5+1),0)-IF(AND(Projects!$G$5="Yes",BP$3&gt;=Projects!$C$5,BP$3&lt;Projects!$C$5+Projects!$D$5),Projects!$B$5*(Assumptions!$B$10+Assumptions!$B$11+Assumptions!$B$12)/Projects!$D$5*0.95,0)-IF(AND(Projects!$G$5="Yes",BP$3=Projects!$C$5+Projects!$D$5-1),Projects!$B$5*(Assumptions!$B$10+Assumptions!$B$11+Assumptions!$B$12)*0.05,0)</f>
        <v>0</v>
      </c>
      <c r="BQ16" s="30" t="n">
        <f aca="false">IF(AND(Projects!$G$5="Yes",BQ$3&gt;=Projects!$C$5,BQ$3&lt;Projects!$C$5+Projects!$D$5),Projects!$B$5*INDEX(Curves!$B$9:$AR$9,1,BQ$3-Projects!$C$5+1),0)-IF(AND(Projects!$G$5="Yes",BQ$3&gt;=Projects!$C$5,BQ$3&lt;Projects!$C$5+Projects!$D$5),Projects!$B$5*(Assumptions!$B$10+Assumptions!$B$11+Assumptions!$B$12)/Projects!$D$5*0.95,0)-IF(AND(Projects!$G$5="Yes",BQ$3=Projects!$C$5+Projects!$D$5-1),Projects!$B$5*(Assumptions!$B$10+Assumptions!$B$11+Assumptions!$B$12)*0.05,0)</f>
        <v>0</v>
      </c>
      <c r="BR16" s="30" t="n">
        <f aca="false">IF(AND(Projects!$G$5="Yes",BR$3&gt;=Projects!$C$5,BR$3&lt;Projects!$C$5+Projects!$D$5),Projects!$B$5*INDEX(Curves!$B$9:$AR$9,1,BR$3-Projects!$C$5+1),0)-IF(AND(Projects!$G$5="Yes",BR$3&gt;=Projects!$C$5,BR$3&lt;Projects!$C$5+Projects!$D$5),Projects!$B$5*(Assumptions!$B$10+Assumptions!$B$11+Assumptions!$B$12)/Projects!$D$5*0.95,0)-IF(AND(Projects!$G$5="Yes",BR$3=Projects!$C$5+Projects!$D$5-1),Projects!$B$5*(Assumptions!$B$10+Assumptions!$B$11+Assumptions!$B$12)*0.05,0)</f>
        <v>0</v>
      </c>
      <c r="BS16" s="30" t="n">
        <f aca="false">IF(AND(Projects!$G$5="Yes",BS$3&gt;=Projects!$C$5,BS$3&lt;Projects!$C$5+Projects!$D$5),Projects!$B$5*INDEX(Curves!$B$9:$AR$9,1,BS$3-Projects!$C$5+1),0)-IF(AND(Projects!$G$5="Yes",BS$3&gt;=Projects!$C$5,BS$3&lt;Projects!$C$5+Projects!$D$5),Projects!$B$5*(Assumptions!$B$10+Assumptions!$B$11+Assumptions!$B$12)/Projects!$D$5*0.95,0)-IF(AND(Projects!$G$5="Yes",BS$3=Projects!$C$5+Projects!$D$5-1),Projects!$B$5*(Assumptions!$B$10+Assumptions!$B$11+Assumptions!$B$12)*0.05,0)</f>
        <v>0</v>
      </c>
      <c r="BT16" s="30" t="n">
        <f aca="false">IF(AND(Projects!$G$5="Yes",BT$3&gt;=Projects!$C$5,BT$3&lt;Projects!$C$5+Projects!$D$5),Projects!$B$5*INDEX(Curves!$B$9:$AR$9,1,BT$3-Projects!$C$5+1),0)-IF(AND(Projects!$G$5="Yes",BT$3&gt;=Projects!$C$5,BT$3&lt;Projects!$C$5+Projects!$D$5),Projects!$B$5*(Assumptions!$B$10+Assumptions!$B$11+Assumptions!$B$12)/Projects!$D$5*0.95,0)-IF(AND(Projects!$G$5="Yes",BT$3=Projects!$C$5+Projects!$D$5-1),Projects!$B$5*(Assumptions!$B$10+Assumptions!$B$11+Assumptions!$B$12)*0.05,0)</f>
        <v>0</v>
      </c>
      <c r="BU16" s="30" t="n">
        <f aca="false">IF(AND(Projects!$G$5="Yes",BU$3&gt;=Projects!$C$5,BU$3&lt;Projects!$C$5+Projects!$D$5),Projects!$B$5*INDEX(Curves!$B$9:$AR$9,1,BU$3-Projects!$C$5+1),0)-IF(AND(Projects!$G$5="Yes",BU$3&gt;=Projects!$C$5,BU$3&lt;Projects!$C$5+Projects!$D$5),Projects!$B$5*(Assumptions!$B$10+Assumptions!$B$11+Assumptions!$B$12)/Projects!$D$5*0.95,0)-IF(AND(Projects!$G$5="Yes",BU$3=Projects!$C$5+Projects!$D$5-1),Projects!$B$5*(Assumptions!$B$10+Assumptions!$B$11+Assumptions!$B$12)*0.05,0)</f>
        <v>0</v>
      </c>
      <c r="BV16" s="30" t="n">
        <f aca="false">IF(AND(Projects!$G$5="Yes",BV$3&gt;=Projects!$C$5,BV$3&lt;Projects!$C$5+Projects!$D$5),Projects!$B$5*INDEX(Curves!$B$9:$AR$9,1,BV$3-Projects!$C$5+1),0)-IF(AND(Projects!$G$5="Yes",BV$3&gt;=Projects!$C$5,BV$3&lt;Projects!$C$5+Projects!$D$5),Projects!$B$5*(Assumptions!$B$10+Assumptions!$B$11+Assumptions!$B$12)/Projects!$D$5*0.95,0)-IF(AND(Projects!$G$5="Yes",BV$3=Projects!$C$5+Projects!$D$5-1),Projects!$B$5*(Assumptions!$B$10+Assumptions!$B$11+Assumptions!$B$12)*0.05,0)</f>
        <v>0</v>
      </c>
      <c r="BW16" s="30" t="n">
        <f aca="false">IF(AND(Projects!$G$5="Yes",BW$3&gt;=Projects!$C$5,BW$3&lt;Projects!$C$5+Projects!$D$5),Projects!$B$5*INDEX(Curves!$B$9:$AR$9,1,BW$3-Projects!$C$5+1),0)-IF(AND(Projects!$G$5="Yes",BW$3&gt;=Projects!$C$5,BW$3&lt;Projects!$C$5+Projects!$D$5),Projects!$B$5*(Assumptions!$B$10+Assumptions!$B$11+Assumptions!$B$12)/Projects!$D$5*0.95,0)-IF(AND(Projects!$G$5="Yes",BW$3=Projects!$C$5+Projects!$D$5-1),Projects!$B$5*(Assumptions!$B$10+Assumptions!$B$11+Assumptions!$B$12)*0.05,0)</f>
        <v>0</v>
      </c>
      <c r="BX16" s="30" t="n">
        <f aca="false">IF(AND(Projects!$G$5="Yes",BX$3&gt;=Projects!$C$5,BX$3&lt;Projects!$C$5+Projects!$D$5),Projects!$B$5*INDEX(Curves!$B$9:$AR$9,1,BX$3-Projects!$C$5+1),0)-IF(AND(Projects!$G$5="Yes",BX$3&gt;=Projects!$C$5,BX$3&lt;Projects!$C$5+Projects!$D$5),Projects!$B$5*(Assumptions!$B$10+Assumptions!$B$11+Assumptions!$B$12)/Projects!$D$5*0.95,0)-IF(AND(Projects!$G$5="Yes",BX$3=Projects!$C$5+Projects!$D$5-1),Projects!$B$5*(Assumptions!$B$10+Assumptions!$B$11+Assumptions!$B$12)*0.05,0)</f>
        <v>0</v>
      </c>
      <c r="BY16" s="30" t="n">
        <f aca="false">IF(AND(Projects!$G$5="Yes",BY$3&gt;=Projects!$C$5,BY$3&lt;Projects!$C$5+Projects!$D$5),Projects!$B$5*INDEX(Curves!$B$9:$AR$9,1,BY$3-Projects!$C$5+1),0)-IF(AND(Projects!$G$5="Yes",BY$3&gt;=Projects!$C$5,BY$3&lt;Projects!$C$5+Projects!$D$5),Projects!$B$5*(Assumptions!$B$10+Assumptions!$B$11+Assumptions!$B$12)/Projects!$D$5*0.95,0)-IF(AND(Projects!$G$5="Yes",BY$3=Projects!$C$5+Projects!$D$5-1),Projects!$B$5*(Assumptions!$B$10+Assumptions!$B$11+Assumptions!$B$12)*0.05,0)</f>
        <v>0</v>
      </c>
      <c r="BZ16" s="30" t="n">
        <f aca="false">IF(AND(Projects!$G$5="Yes",BZ$3&gt;=Projects!$C$5,BZ$3&lt;Projects!$C$5+Projects!$D$5),Projects!$B$5*INDEX(Curves!$B$9:$AR$9,1,BZ$3-Projects!$C$5+1),0)-IF(AND(Projects!$G$5="Yes",BZ$3&gt;=Projects!$C$5,BZ$3&lt;Projects!$C$5+Projects!$D$5),Projects!$B$5*(Assumptions!$B$10+Assumptions!$B$11+Assumptions!$B$12)/Projects!$D$5*0.95,0)-IF(AND(Projects!$G$5="Yes",BZ$3=Projects!$C$5+Projects!$D$5-1),Projects!$B$5*(Assumptions!$B$10+Assumptions!$B$11+Assumptions!$B$12)*0.05,0)</f>
        <v>0</v>
      </c>
      <c r="CA16" s="30" t="n">
        <f aca="false">IF(AND(Projects!$G$5="Yes",CA$3&gt;=Projects!$C$5,CA$3&lt;Projects!$C$5+Projects!$D$5),Projects!$B$5*INDEX(Curves!$B$9:$AR$9,1,CA$3-Projects!$C$5+1),0)-IF(AND(Projects!$G$5="Yes",CA$3&gt;=Projects!$C$5,CA$3&lt;Projects!$C$5+Projects!$D$5),Projects!$B$5*(Assumptions!$B$10+Assumptions!$B$11+Assumptions!$B$12)/Projects!$D$5*0.95,0)-IF(AND(Projects!$G$5="Yes",CA$3=Projects!$C$5+Projects!$D$5-1),Projects!$B$5*(Assumptions!$B$10+Assumptions!$B$11+Assumptions!$B$12)*0.05,0)</f>
        <v>0</v>
      </c>
      <c r="CB16" s="30" t="n">
        <f aca="false">IF(AND(Projects!$G$5="Yes",CB$3&gt;=Projects!$C$5,CB$3&lt;Projects!$C$5+Projects!$D$5),Projects!$B$5*INDEX(Curves!$B$9:$AR$9,1,CB$3-Projects!$C$5+1),0)-IF(AND(Projects!$G$5="Yes",CB$3&gt;=Projects!$C$5,CB$3&lt;Projects!$C$5+Projects!$D$5),Projects!$B$5*(Assumptions!$B$10+Assumptions!$B$11+Assumptions!$B$12)/Projects!$D$5*0.95,0)-IF(AND(Projects!$G$5="Yes",CB$3=Projects!$C$5+Projects!$D$5-1),Projects!$B$5*(Assumptions!$B$10+Assumptions!$B$11+Assumptions!$B$12)*0.05,0)</f>
        <v>0</v>
      </c>
      <c r="CC16" s="30" t="n">
        <f aca="false">IF(AND(Projects!$G$5="Yes",CC$3&gt;=Projects!$C$5,CC$3&lt;Projects!$C$5+Projects!$D$5),Projects!$B$5*INDEX(Curves!$B$9:$AR$9,1,CC$3-Projects!$C$5+1),0)-IF(AND(Projects!$G$5="Yes",CC$3&gt;=Projects!$C$5,CC$3&lt;Projects!$C$5+Projects!$D$5),Projects!$B$5*(Assumptions!$B$10+Assumptions!$B$11+Assumptions!$B$12)/Projects!$D$5*0.95,0)-IF(AND(Projects!$G$5="Yes",CC$3=Projects!$C$5+Projects!$D$5-1),Projects!$B$5*(Assumptions!$B$10+Assumptions!$B$11+Assumptions!$B$12)*0.05,0)</f>
        <v>0</v>
      </c>
      <c r="CD16" s="30" t="n">
        <f aca="false">IF(AND(Projects!$G$5="Yes",CD$3&gt;=Projects!$C$5,CD$3&lt;Projects!$C$5+Projects!$D$5),Projects!$B$5*INDEX(Curves!$B$9:$AR$9,1,CD$3-Projects!$C$5+1),0)-IF(AND(Projects!$G$5="Yes",CD$3&gt;=Projects!$C$5,CD$3&lt;Projects!$C$5+Projects!$D$5),Projects!$B$5*(Assumptions!$B$10+Assumptions!$B$11+Assumptions!$B$12)/Projects!$D$5*0.95,0)-IF(AND(Projects!$G$5="Yes",CD$3=Projects!$C$5+Projects!$D$5-1),Projects!$B$5*(Assumptions!$B$10+Assumptions!$B$11+Assumptions!$B$12)*0.05,0)</f>
        <v>0</v>
      </c>
      <c r="CE16" s="30" t="n">
        <f aca="false">IF(AND(Projects!$G$5="Yes",CE$3&gt;=Projects!$C$5,CE$3&lt;Projects!$C$5+Projects!$D$5),Projects!$B$5*INDEX(Curves!$B$9:$AR$9,1,CE$3-Projects!$C$5+1),0)-IF(AND(Projects!$G$5="Yes",CE$3&gt;=Projects!$C$5,CE$3&lt;Projects!$C$5+Projects!$D$5),Projects!$B$5*(Assumptions!$B$10+Assumptions!$B$11+Assumptions!$B$12)/Projects!$D$5*0.95,0)-IF(AND(Projects!$G$5="Yes",CE$3=Projects!$C$5+Projects!$D$5-1),Projects!$B$5*(Assumptions!$B$10+Assumptions!$B$11+Assumptions!$B$12)*0.05,0)</f>
        <v>0</v>
      </c>
      <c r="CF16" s="30" t="n">
        <f aca="false">IF(AND(Projects!$G$5="Yes",CF$3&gt;=Projects!$C$5,CF$3&lt;Projects!$C$5+Projects!$D$5),Projects!$B$5*INDEX(Curves!$B$9:$AR$9,1,CF$3-Projects!$C$5+1),0)-IF(AND(Projects!$G$5="Yes",CF$3&gt;=Projects!$C$5,CF$3&lt;Projects!$C$5+Projects!$D$5),Projects!$B$5*(Assumptions!$B$10+Assumptions!$B$11+Assumptions!$B$12)/Projects!$D$5*0.95,0)-IF(AND(Projects!$G$5="Yes",CF$3=Projects!$C$5+Projects!$D$5-1),Projects!$B$5*(Assumptions!$B$10+Assumptions!$B$11+Assumptions!$B$12)*0.05,0)</f>
        <v>0</v>
      </c>
      <c r="CG16" s="30" t="n">
        <f aca="false">IF(AND(Projects!$G$5="Yes",CG$3&gt;=Projects!$C$5,CG$3&lt;Projects!$C$5+Projects!$D$5),Projects!$B$5*INDEX(Curves!$B$9:$AR$9,1,CG$3-Projects!$C$5+1),0)-IF(AND(Projects!$G$5="Yes",CG$3&gt;=Projects!$C$5,CG$3&lt;Projects!$C$5+Projects!$D$5),Projects!$B$5*(Assumptions!$B$10+Assumptions!$B$11+Assumptions!$B$12)/Projects!$D$5*0.95,0)-IF(AND(Projects!$G$5="Yes",CG$3=Projects!$C$5+Projects!$D$5-1),Projects!$B$5*(Assumptions!$B$10+Assumptions!$B$11+Assumptions!$B$12)*0.05,0)</f>
        <v>0</v>
      </c>
      <c r="CH16" s="30" t="n">
        <f aca="false">IF(AND(Projects!$G$5="Yes",CH$3&gt;=Projects!$C$5,CH$3&lt;Projects!$C$5+Projects!$D$5),Projects!$B$5*INDEX(Curves!$B$9:$AR$9,1,CH$3-Projects!$C$5+1),0)-IF(AND(Projects!$G$5="Yes",CH$3&gt;=Projects!$C$5,CH$3&lt;Projects!$C$5+Projects!$D$5),Projects!$B$5*(Assumptions!$B$10+Assumptions!$B$11+Assumptions!$B$12)/Projects!$D$5*0.95,0)-IF(AND(Projects!$G$5="Yes",CH$3=Projects!$C$5+Projects!$D$5-1),Projects!$B$5*(Assumptions!$B$10+Assumptions!$B$11+Assumptions!$B$12)*0.05,0)</f>
        <v>0</v>
      </c>
      <c r="CI16" s="30" t="n">
        <f aca="false">IF(AND(Projects!$G$5="Yes",CI$3&gt;=Projects!$C$5,CI$3&lt;Projects!$C$5+Projects!$D$5),Projects!$B$5*INDEX(Curves!$B$9:$AR$9,1,CI$3-Projects!$C$5+1),0)-IF(AND(Projects!$G$5="Yes",CI$3&gt;=Projects!$C$5,CI$3&lt;Projects!$C$5+Projects!$D$5),Projects!$B$5*(Assumptions!$B$10+Assumptions!$B$11+Assumptions!$B$12)/Projects!$D$5*0.95,0)-IF(AND(Projects!$G$5="Yes",CI$3=Projects!$C$5+Projects!$D$5-1),Projects!$B$5*(Assumptions!$B$10+Assumptions!$B$11+Assumptions!$B$12)*0.05,0)</f>
        <v>0</v>
      </c>
      <c r="CJ16" s="30" t="n">
        <f aca="false">IF(AND(Projects!$G$5="Yes",CJ$3&gt;=Projects!$C$5,CJ$3&lt;Projects!$C$5+Projects!$D$5),Projects!$B$5*INDEX(Curves!$B$9:$AR$9,1,CJ$3-Projects!$C$5+1),0)-IF(AND(Projects!$G$5="Yes",CJ$3&gt;=Projects!$C$5,CJ$3&lt;Projects!$C$5+Projects!$D$5),Projects!$B$5*(Assumptions!$B$10+Assumptions!$B$11+Assumptions!$B$12)/Projects!$D$5*0.95,0)-IF(AND(Projects!$G$5="Yes",CJ$3=Projects!$C$5+Projects!$D$5-1),Projects!$B$5*(Assumptions!$B$10+Assumptions!$B$11+Assumptions!$B$12)*0.05,0)</f>
        <v>0</v>
      </c>
      <c r="CK16" s="30" t="n">
        <f aca="false">IF(AND(Projects!$G$5="Yes",CK$3&gt;=Projects!$C$5,CK$3&lt;Projects!$C$5+Projects!$D$5),Projects!$B$5*INDEX(Curves!$B$9:$AR$9,1,CK$3-Projects!$C$5+1),0)-IF(AND(Projects!$G$5="Yes",CK$3&gt;=Projects!$C$5,CK$3&lt;Projects!$C$5+Projects!$D$5),Projects!$B$5*(Assumptions!$B$10+Assumptions!$B$11+Assumptions!$B$12)/Projects!$D$5*0.95,0)-IF(AND(Projects!$G$5="Yes",CK$3=Projects!$C$5+Projects!$D$5-1),Projects!$B$5*(Assumptions!$B$10+Assumptions!$B$11+Assumptions!$B$12)*0.05,0)</f>
        <v>0</v>
      </c>
      <c r="CL16" s="30" t="n">
        <f aca="false">IF(AND(Projects!$G$5="Yes",CL$3&gt;=Projects!$C$5,CL$3&lt;Projects!$C$5+Projects!$D$5),Projects!$B$5*INDEX(Curves!$B$9:$AR$9,1,CL$3-Projects!$C$5+1),0)-IF(AND(Projects!$G$5="Yes",CL$3&gt;=Projects!$C$5,CL$3&lt;Projects!$C$5+Projects!$D$5),Projects!$B$5*(Assumptions!$B$10+Assumptions!$B$11+Assumptions!$B$12)/Projects!$D$5*0.95,0)-IF(AND(Projects!$G$5="Yes",CL$3=Projects!$C$5+Projects!$D$5-1),Projects!$B$5*(Assumptions!$B$10+Assumptions!$B$11+Assumptions!$B$12)*0.05,0)</f>
        <v>0</v>
      </c>
      <c r="CM16" s="30" t="n">
        <f aca="false">IF(AND(Projects!$G$5="Yes",CM$3&gt;=Projects!$C$5,CM$3&lt;Projects!$C$5+Projects!$D$5),Projects!$B$5*INDEX(Curves!$B$9:$AR$9,1,CM$3-Projects!$C$5+1),0)-IF(AND(Projects!$G$5="Yes",CM$3&gt;=Projects!$C$5,CM$3&lt;Projects!$C$5+Projects!$D$5),Projects!$B$5*(Assumptions!$B$10+Assumptions!$B$11+Assumptions!$B$12)/Projects!$D$5*0.95,0)-IF(AND(Projects!$G$5="Yes",CM$3=Projects!$C$5+Projects!$D$5-1),Projects!$B$5*(Assumptions!$B$10+Assumptions!$B$11+Assumptions!$B$12)*0.05,0)</f>
        <v>0</v>
      </c>
      <c r="CN16" s="30" t="n">
        <f aca="false">IF(AND(Projects!$G$5="Yes",CN$3&gt;=Projects!$C$5,CN$3&lt;Projects!$C$5+Projects!$D$5),Projects!$B$5*INDEX(Curves!$B$9:$AR$9,1,CN$3-Projects!$C$5+1),0)-IF(AND(Projects!$G$5="Yes",CN$3&gt;=Projects!$C$5,CN$3&lt;Projects!$C$5+Projects!$D$5),Projects!$B$5*(Assumptions!$B$10+Assumptions!$B$11+Assumptions!$B$12)/Projects!$D$5*0.95,0)-IF(AND(Projects!$G$5="Yes",CN$3=Projects!$C$5+Projects!$D$5-1),Projects!$B$5*(Assumptions!$B$10+Assumptions!$B$11+Assumptions!$B$12)*0.05,0)</f>
        <v>0</v>
      </c>
      <c r="CO16" s="30" t="n">
        <f aca="false">IF(AND(Projects!$G$5="Yes",CO$3&gt;=Projects!$C$5,CO$3&lt;Projects!$C$5+Projects!$D$5),Projects!$B$5*INDEX(Curves!$B$9:$AR$9,1,CO$3-Projects!$C$5+1),0)-IF(AND(Projects!$G$5="Yes",CO$3&gt;=Projects!$C$5,CO$3&lt;Projects!$C$5+Projects!$D$5),Projects!$B$5*(Assumptions!$B$10+Assumptions!$B$11+Assumptions!$B$12)/Projects!$D$5*0.95,0)-IF(AND(Projects!$G$5="Yes",CO$3=Projects!$C$5+Projects!$D$5-1),Projects!$B$5*(Assumptions!$B$10+Assumptions!$B$11+Assumptions!$B$12)*0.05,0)</f>
        <v>0</v>
      </c>
      <c r="CP16" s="30" t="n">
        <f aca="false">IF(AND(Projects!$G$5="Yes",CP$3&gt;=Projects!$C$5,CP$3&lt;Projects!$C$5+Projects!$D$5),Projects!$B$5*INDEX(Curves!$B$9:$AR$9,1,CP$3-Projects!$C$5+1),0)-IF(AND(Projects!$G$5="Yes",CP$3&gt;=Projects!$C$5,CP$3&lt;Projects!$C$5+Projects!$D$5),Projects!$B$5*(Assumptions!$B$10+Assumptions!$B$11+Assumptions!$B$12)/Projects!$D$5*0.95,0)-IF(AND(Projects!$G$5="Yes",CP$3=Projects!$C$5+Projects!$D$5-1),Projects!$B$5*(Assumptions!$B$10+Assumptions!$B$11+Assumptions!$B$12)*0.05,0)</f>
        <v>0</v>
      </c>
      <c r="CQ16" s="30" t="n">
        <f aca="false">IF(AND(Projects!$G$5="Yes",CQ$3&gt;=Projects!$C$5,CQ$3&lt;Projects!$C$5+Projects!$D$5),Projects!$B$5*INDEX(Curves!$B$9:$AR$9,1,CQ$3-Projects!$C$5+1),0)-IF(AND(Projects!$G$5="Yes",CQ$3&gt;=Projects!$C$5,CQ$3&lt;Projects!$C$5+Projects!$D$5),Projects!$B$5*(Assumptions!$B$10+Assumptions!$B$11+Assumptions!$B$12)/Projects!$D$5*0.95,0)-IF(AND(Projects!$G$5="Yes",CQ$3=Projects!$C$5+Projects!$D$5-1),Projects!$B$5*(Assumptions!$B$10+Assumptions!$B$11+Assumptions!$B$12)*0.05,0)</f>
        <v>0</v>
      </c>
      <c r="CR16" s="30" t="n">
        <f aca="false">IF(AND(Projects!$G$5="Yes",CR$3&gt;=Projects!$C$5,CR$3&lt;Projects!$C$5+Projects!$D$5),Projects!$B$5*INDEX(Curves!$B$9:$AR$9,1,CR$3-Projects!$C$5+1),0)-IF(AND(Projects!$G$5="Yes",CR$3&gt;=Projects!$C$5,CR$3&lt;Projects!$C$5+Projects!$D$5),Projects!$B$5*(Assumptions!$B$10+Assumptions!$B$11+Assumptions!$B$12)/Projects!$D$5*0.95,0)-IF(AND(Projects!$G$5="Yes",CR$3=Projects!$C$5+Projects!$D$5-1),Projects!$B$5*(Assumptions!$B$10+Assumptions!$B$11+Assumptions!$B$12)*0.05,0)</f>
        <v>0</v>
      </c>
      <c r="CS16" s="30" t="n">
        <f aca="false">IF(AND(Projects!$G$5="Yes",CS$3&gt;=Projects!$C$5,CS$3&lt;Projects!$C$5+Projects!$D$5),Projects!$B$5*INDEX(Curves!$B$9:$AR$9,1,CS$3-Projects!$C$5+1),0)-IF(AND(Projects!$G$5="Yes",CS$3&gt;=Projects!$C$5,CS$3&lt;Projects!$C$5+Projects!$D$5),Projects!$B$5*(Assumptions!$B$10+Assumptions!$B$11+Assumptions!$B$12)/Projects!$D$5*0.95,0)-IF(AND(Projects!$G$5="Yes",CS$3=Projects!$C$5+Projects!$D$5-1),Projects!$B$5*(Assumptions!$B$10+Assumptions!$B$11+Assumptions!$B$12)*0.05,0)</f>
        <v>0</v>
      </c>
      <c r="CT16" s="30" t="n">
        <f aca="false">IF(AND(Projects!$G$5="Yes",CT$3&gt;=Projects!$C$5,CT$3&lt;Projects!$C$5+Projects!$D$5),Projects!$B$5*INDEX(Curves!$B$9:$AR$9,1,CT$3-Projects!$C$5+1),0)-IF(AND(Projects!$G$5="Yes",CT$3&gt;=Projects!$C$5,CT$3&lt;Projects!$C$5+Projects!$D$5),Projects!$B$5*(Assumptions!$B$10+Assumptions!$B$11+Assumptions!$B$12)/Projects!$D$5*0.95,0)-IF(AND(Projects!$G$5="Yes",CT$3=Projects!$C$5+Projects!$D$5-1),Projects!$B$5*(Assumptions!$B$10+Assumptions!$B$11+Assumptions!$B$12)*0.05,0)</f>
        <v>0</v>
      </c>
      <c r="CU16" s="30" t="n">
        <f aca="false">IF(AND(Projects!$G$5="Yes",CU$3&gt;=Projects!$C$5,CU$3&lt;Projects!$C$5+Projects!$D$5),Projects!$B$5*INDEX(Curves!$B$9:$AR$9,1,CU$3-Projects!$C$5+1),0)-IF(AND(Projects!$G$5="Yes",CU$3&gt;=Projects!$C$5,CU$3&lt;Projects!$C$5+Projects!$D$5),Projects!$B$5*(Assumptions!$B$10+Assumptions!$B$11+Assumptions!$B$12)/Projects!$D$5*0.95,0)-IF(AND(Projects!$G$5="Yes",CU$3=Projects!$C$5+Projects!$D$5-1),Projects!$B$5*(Assumptions!$B$10+Assumptions!$B$11+Assumptions!$B$12)*0.05,0)</f>
        <v>0</v>
      </c>
      <c r="CV16" s="30" t="n">
        <f aca="false">IF(AND(Projects!$G$5="Yes",CV$3&gt;=Projects!$C$5,CV$3&lt;Projects!$C$5+Projects!$D$5),Projects!$B$5*INDEX(Curves!$B$9:$AR$9,1,CV$3-Projects!$C$5+1),0)-IF(AND(Projects!$G$5="Yes",CV$3&gt;=Projects!$C$5,CV$3&lt;Projects!$C$5+Projects!$D$5),Projects!$B$5*(Assumptions!$B$10+Assumptions!$B$11+Assumptions!$B$12)/Projects!$D$5*0.95,0)-IF(AND(Projects!$G$5="Yes",CV$3=Projects!$C$5+Projects!$D$5-1),Projects!$B$5*(Assumptions!$B$10+Assumptions!$B$11+Assumptions!$B$12)*0.05,0)</f>
        <v>0</v>
      </c>
      <c r="CW16" s="30" t="n">
        <f aca="false">IF(AND(Projects!$G$5="Yes",CW$3&gt;=Projects!$C$5,CW$3&lt;Projects!$C$5+Projects!$D$5),Projects!$B$5*INDEX(Curves!$B$9:$AR$9,1,CW$3-Projects!$C$5+1),0)-IF(AND(Projects!$G$5="Yes",CW$3&gt;=Projects!$C$5,CW$3&lt;Projects!$C$5+Projects!$D$5),Projects!$B$5*(Assumptions!$B$10+Assumptions!$B$11+Assumptions!$B$12)/Projects!$D$5*0.95,0)-IF(AND(Projects!$G$5="Yes",CW$3=Projects!$C$5+Projects!$D$5-1),Projects!$B$5*(Assumptions!$B$10+Assumptions!$B$11+Assumptions!$B$12)*0.05,0)</f>
        <v>0</v>
      </c>
      <c r="CX16" s="30" t="n">
        <f aca="false">IF(AND(Projects!$G$5="Yes",CX$3&gt;=Projects!$C$5,CX$3&lt;Projects!$C$5+Projects!$D$5),Projects!$B$5*INDEX(Curves!$B$9:$AR$9,1,CX$3-Projects!$C$5+1),0)-IF(AND(Projects!$G$5="Yes",CX$3&gt;=Projects!$C$5,CX$3&lt;Projects!$C$5+Projects!$D$5),Projects!$B$5*(Assumptions!$B$10+Assumptions!$B$11+Assumptions!$B$12)/Projects!$D$5*0.95,0)-IF(AND(Projects!$G$5="Yes",CX$3=Projects!$C$5+Projects!$D$5-1),Projects!$B$5*(Assumptions!$B$10+Assumptions!$B$11+Assumptions!$B$12)*0.05,0)</f>
        <v>0</v>
      </c>
      <c r="CY16" s="30" t="n">
        <f aca="false">IF(AND(Projects!$G$5="Yes",CY$3&gt;=Projects!$C$5,CY$3&lt;Projects!$C$5+Projects!$D$5),Projects!$B$5*INDEX(Curves!$B$9:$AR$9,1,CY$3-Projects!$C$5+1),0)-IF(AND(Projects!$G$5="Yes",CY$3&gt;=Projects!$C$5,CY$3&lt;Projects!$C$5+Projects!$D$5),Projects!$B$5*(Assumptions!$B$10+Assumptions!$B$11+Assumptions!$B$12)/Projects!$D$5*0.95,0)-IF(AND(Projects!$G$5="Yes",CY$3=Projects!$C$5+Projects!$D$5-1),Projects!$B$5*(Assumptions!$B$10+Assumptions!$B$11+Assumptions!$B$12)*0.05,0)</f>
        <v>0</v>
      </c>
      <c r="CZ16" s="30" t="n">
        <f aca="false">IF(AND(Projects!$G$5="Yes",CZ$3&gt;=Projects!$C$5,CZ$3&lt;Projects!$C$5+Projects!$D$5),Projects!$B$5*INDEX(Curves!$B$9:$AR$9,1,CZ$3-Projects!$C$5+1),0)-IF(AND(Projects!$G$5="Yes",CZ$3&gt;=Projects!$C$5,CZ$3&lt;Projects!$C$5+Projects!$D$5),Projects!$B$5*(Assumptions!$B$10+Assumptions!$B$11+Assumptions!$B$12)/Projects!$D$5*0.95,0)-IF(AND(Projects!$G$5="Yes",CZ$3=Projects!$C$5+Projects!$D$5-1),Projects!$B$5*(Assumptions!$B$10+Assumptions!$B$11+Assumptions!$B$12)*0.05,0)</f>
        <v>0</v>
      </c>
      <c r="DA16" s="30" t="n">
        <f aca="false">IF(AND(Projects!$G$5="Yes",DA$3&gt;=Projects!$C$5,DA$3&lt;Projects!$C$5+Projects!$D$5),Projects!$B$5*INDEX(Curves!$B$9:$AR$9,1,DA$3-Projects!$C$5+1),0)-IF(AND(Projects!$G$5="Yes",DA$3&gt;=Projects!$C$5,DA$3&lt;Projects!$C$5+Projects!$D$5),Projects!$B$5*(Assumptions!$B$10+Assumptions!$B$11+Assumptions!$B$12)/Projects!$D$5*0.95,0)-IF(AND(Projects!$G$5="Yes",DA$3=Projects!$C$5+Projects!$D$5-1),Projects!$B$5*(Assumptions!$B$10+Assumptions!$B$11+Assumptions!$B$12)*0.05,0)</f>
        <v>0</v>
      </c>
      <c r="DB16" s="30" t="n">
        <f aca="false">IF(AND(Projects!$G$5="Yes",DB$3&gt;=Projects!$C$5,DB$3&lt;Projects!$C$5+Projects!$D$5),Projects!$B$5*INDEX(Curves!$B$9:$AR$9,1,DB$3-Projects!$C$5+1),0)-IF(AND(Projects!$G$5="Yes",DB$3&gt;=Projects!$C$5,DB$3&lt;Projects!$C$5+Projects!$D$5),Projects!$B$5*(Assumptions!$B$10+Assumptions!$B$11+Assumptions!$B$12)/Projects!$D$5*0.95,0)-IF(AND(Projects!$G$5="Yes",DB$3=Projects!$C$5+Projects!$D$5-1),Projects!$B$5*(Assumptions!$B$10+Assumptions!$B$11+Assumptions!$B$12)*0.05,0)</f>
        <v>0</v>
      </c>
      <c r="DC16" s="30" t="n">
        <f aca="false">IF(AND(Projects!$G$5="Yes",DC$3&gt;=Projects!$C$5,DC$3&lt;Projects!$C$5+Projects!$D$5),Projects!$B$5*INDEX(Curves!$B$9:$AR$9,1,DC$3-Projects!$C$5+1),0)-IF(AND(Projects!$G$5="Yes",DC$3&gt;=Projects!$C$5,DC$3&lt;Projects!$C$5+Projects!$D$5),Projects!$B$5*(Assumptions!$B$10+Assumptions!$B$11+Assumptions!$B$12)/Projects!$D$5*0.95,0)-IF(AND(Projects!$G$5="Yes",DC$3=Projects!$C$5+Projects!$D$5-1),Projects!$B$5*(Assumptions!$B$10+Assumptions!$B$11+Assumptions!$B$12)*0.05,0)</f>
        <v>0</v>
      </c>
      <c r="DD16" s="30" t="n">
        <f aca="false">IF(AND(Projects!$G$5="Yes",DD$3&gt;=Projects!$C$5,DD$3&lt;Projects!$C$5+Projects!$D$5),Projects!$B$5*INDEX(Curves!$B$9:$AR$9,1,DD$3-Projects!$C$5+1),0)-IF(AND(Projects!$G$5="Yes",DD$3&gt;=Projects!$C$5,DD$3&lt;Projects!$C$5+Projects!$D$5),Projects!$B$5*(Assumptions!$B$10+Assumptions!$B$11+Assumptions!$B$12)/Projects!$D$5*0.95,0)-IF(AND(Projects!$G$5="Yes",DD$3=Projects!$C$5+Projects!$D$5-1),Projects!$B$5*(Assumptions!$B$10+Assumptions!$B$11+Assumptions!$B$12)*0.05,0)</f>
        <v>0</v>
      </c>
      <c r="DE16" s="30" t="n">
        <f aca="false">IF(AND(Projects!$G$5="Yes",DE$3&gt;=Projects!$C$5,DE$3&lt;Projects!$C$5+Projects!$D$5),Projects!$B$5*INDEX(Curves!$B$9:$AR$9,1,DE$3-Projects!$C$5+1),0)-IF(AND(Projects!$G$5="Yes",DE$3&gt;=Projects!$C$5,DE$3&lt;Projects!$C$5+Projects!$D$5),Projects!$B$5*(Assumptions!$B$10+Assumptions!$B$11+Assumptions!$B$12)/Projects!$D$5*0.95,0)-IF(AND(Projects!$G$5="Yes",DE$3=Projects!$C$5+Projects!$D$5-1),Projects!$B$5*(Assumptions!$B$10+Assumptions!$B$11+Assumptions!$B$12)*0.05,0)</f>
        <v>0</v>
      </c>
    </row>
    <row r="17" customFormat="false" ht="15" hidden="true" customHeight="true" outlineLevel="1" collapsed="false">
      <c r="A17" s="32" t="s">
        <v>11</v>
      </c>
      <c r="B17" s="30" t="n">
        <v>0</v>
      </c>
      <c r="C17" s="30" t="n">
        <v>156463.3</v>
      </c>
      <c r="D17" s="30" t="n">
        <v>285674.3</v>
      </c>
      <c r="E17" s="30" t="n">
        <v>222415.49</v>
      </c>
      <c r="F17" s="30" t="n">
        <v>222238.96</v>
      </c>
      <c r="G17" s="30" t="n">
        <v>325125.94</v>
      </c>
      <c r="H17" s="30" t="n">
        <f aca="false">2401345.01*Curves!E$4/SUM(Curves!$E$4:$T$4)</f>
        <v>123664.312063512</v>
      </c>
      <c r="I17" s="30" t="n">
        <f aca="false">2401345.01*Curves!F$4/SUM(Curves!$E$4:$T$4)</f>
        <v>141798.83132371</v>
      </c>
      <c r="J17" s="30" t="n">
        <f aca="false">2401345.01*Curves!G$4/SUM(Curves!$E$4:$T$4)</f>
        <v>158595.776580289</v>
      </c>
      <c r="K17" s="30" t="n">
        <f aca="false">2401345.01*Curves!H$4/SUM(Curves!$E$4:$T$4)</f>
        <v>173023.990185045</v>
      </c>
      <c r="L17" s="30" t="n">
        <f aca="false">2401345.01*Curves!I$4/SUM(Curves!$E$4:$T$4)</f>
        <v>184126.920211087</v>
      </c>
      <c r="M17" s="30" t="n">
        <f aca="false">2401345.01*Curves!J$4/SUM(Curves!$E$4:$T$4)</f>
        <v>191129.200054725</v>
      </c>
      <c r="N17" s="30" t="n">
        <f aca="false">2401345.01*Curves!K$4/SUM(Curves!$E$4:$T$4)</f>
        <v>193521.912116972</v>
      </c>
      <c r="O17" s="30" t="n">
        <f aca="false">2401345.01*Curves!L$4/SUM(Curves!$E$4:$T$4)</f>
        <v>191129.200054725</v>
      </c>
      <c r="P17" s="30" t="n">
        <f aca="false">2401345.01*Curves!M$4/SUM(Curves!$E$4:$T$4)</f>
        <v>184126.920211087</v>
      </c>
      <c r="Q17" s="30" t="n">
        <f aca="false">2401345.01*Curves!N$4/SUM(Curves!$E$4:$T$4)</f>
        <v>173023.990185045</v>
      </c>
      <c r="R17" s="30" t="n">
        <f aca="false">2401345.01*Curves!O$4/SUM(Curves!$E$4:$T$4)</f>
        <v>158595.776580289</v>
      </c>
      <c r="S17" s="30" t="n">
        <f aca="false">2401345.01*Curves!P$4/SUM(Curves!$E$4:$T$4)</f>
        <v>141798.83132371</v>
      </c>
      <c r="T17" s="30" t="n">
        <f aca="false">2401345.01*Curves!Q$4/SUM(Curves!$E$4:$T$4)</f>
        <v>123664.312063512</v>
      </c>
      <c r="U17" s="30" t="n">
        <f aca="false">2401345.01*Curves!R$4/SUM(Curves!$E$4:$T$4)</f>
        <v>105199.396037482</v>
      </c>
      <c r="V17" s="30" t="n">
        <f aca="false">2401345.01*Curves!S$4/SUM(Curves!$E$4:$T$4)</f>
        <v>87291.3584312836</v>
      </c>
      <c r="W17" s="30" t="n">
        <f aca="false">2401345.01*Curves!T$4/SUM(Curves!$E$4:$T$4)</f>
        <v>70654.2825775265</v>
      </c>
      <c r="X17" s="30" t="n">
        <f aca="false">IF(AND(Projects!$G$6="Yes",X$3&gt;=Projects!$C$6,X$3&lt;Projects!$C$6+Projects!$D$6),Projects!$B$6*INDEX(Curves!$B$4:$AR$4,1,X$3-Projects!$C$6+1),0)-IF(AND(Projects!$G$6="Yes",X$3&gt;=Projects!$C$6,X$3&lt;Projects!$C$6+Projects!$D$6),Projects!$B$6*(Assumptions!$B$10+Assumptions!$B$11+Assumptions!$B$12)/Projects!$D$6*0.95,0)-IF(AND(Projects!$G$6="Yes",X$3=Projects!$C$6+Projects!$D$6-1),Projects!$B$6*(Assumptions!$B$10+Assumptions!$B$11+Assumptions!$B$12)*0.05,0)</f>
        <v>0</v>
      </c>
      <c r="Y17" s="30" t="n">
        <f aca="false">IF(AND(Projects!$G$6="Yes",Y$3&gt;=Projects!$C$6,Y$3&lt;Projects!$C$6+Projects!$D$6),Projects!$B$6*INDEX(Curves!$B$4:$AR$4,1,Y$3-Projects!$C$6+1),0)-IF(AND(Projects!$G$6="Yes",Y$3&gt;=Projects!$C$6,Y$3&lt;Projects!$C$6+Projects!$D$6),Projects!$B$6*(Assumptions!$B$10+Assumptions!$B$11+Assumptions!$B$12)/Projects!$D$6*0.95,0)-IF(AND(Projects!$G$6="Yes",Y$3=Projects!$C$6+Projects!$D$6-1),Projects!$B$6*(Assumptions!$B$10+Assumptions!$B$11+Assumptions!$B$12)*0.05,0)</f>
        <v>0</v>
      </c>
      <c r="Z17" s="30" t="n">
        <f aca="false">IF(AND(Projects!$G$6="Yes",Z$3&gt;=Projects!$C$6,Z$3&lt;Projects!$C$6+Projects!$D$6),Projects!$B$6*INDEX(Curves!$B$4:$AR$4,1,Z$3-Projects!$C$6+1),0)-IF(AND(Projects!$G$6="Yes",Z$3&gt;=Projects!$C$6,Z$3&lt;Projects!$C$6+Projects!$D$6),Projects!$B$6*(Assumptions!$B$10+Assumptions!$B$11+Assumptions!$B$12)/Projects!$D$6*0.95,0)-IF(AND(Projects!$G$6="Yes",Z$3=Projects!$C$6+Projects!$D$6-1),Projects!$B$6*(Assumptions!$B$10+Assumptions!$B$11+Assumptions!$B$12)*0.05,0)</f>
        <v>0</v>
      </c>
      <c r="AA17" s="30" t="n">
        <f aca="false">IF(AND(Projects!$G$6="Yes",AA$3&gt;=Projects!$C$6,AA$3&lt;Projects!$C$6+Projects!$D$6),Projects!$B$6*INDEX(Curves!$B$4:$AR$4,1,AA$3-Projects!$C$6+1),0)-IF(AND(Projects!$G$6="Yes",AA$3&gt;=Projects!$C$6,AA$3&lt;Projects!$C$6+Projects!$D$6),Projects!$B$6*(Assumptions!$B$10+Assumptions!$B$11+Assumptions!$B$12)/Projects!$D$6*0.95,0)-IF(AND(Projects!$G$6="Yes",AA$3=Projects!$C$6+Projects!$D$6-1),Projects!$B$6*(Assumptions!$B$10+Assumptions!$B$11+Assumptions!$B$12)*0.05,0)</f>
        <v>0</v>
      </c>
      <c r="AB17" s="30" t="n">
        <f aca="false">IF(AND(Projects!$G$6="Yes",AB$3&gt;=Projects!$C$6,AB$3&lt;Projects!$C$6+Projects!$D$6),Projects!$B$6*INDEX(Curves!$B$4:$AR$4,1,AB$3-Projects!$C$6+1),0)-IF(AND(Projects!$G$6="Yes",AB$3&gt;=Projects!$C$6,AB$3&lt;Projects!$C$6+Projects!$D$6),Projects!$B$6*(Assumptions!$B$10+Assumptions!$B$11+Assumptions!$B$12)/Projects!$D$6*0.95,0)-IF(AND(Projects!$G$6="Yes",AB$3=Projects!$C$6+Projects!$D$6-1),Projects!$B$6*(Assumptions!$B$10+Assumptions!$B$11+Assumptions!$B$12)*0.05,0)</f>
        <v>0</v>
      </c>
      <c r="AC17" s="30" t="n">
        <f aca="false">IF(AND(Projects!$G$6="Yes",AC$3&gt;=Projects!$C$6,AC$3&lt;Projects!$C$6+Projects!$D$6),Projects!$B$6*INDEX(Curves!$B$4:$AR$4,1,AC$3-Projects!$C$6+1),0)-IF(AND(Projects!$G$6="Yes",AC$3&gt;=Projects!$C$6,AC$3&lt;Projects!$C$6+Projects!$D$6),Projects!$B$6*(Assumptions!$B$10+Assumptions!$B$11+Assumptions!$B$12)/Projects!$D$6*0.95,0)-IF(AND(Projects!$G$6="Yes",AC$3=Projects!$C$6+Projects!$D$6-1),Projects!$B$6*(Assumptions!$B$10+Assumptions!$B$11+Assumptions!$B$12)*0.05,0)</f>
        <v>0</v>
      </c>
      <c r="AD17" s="30" t="n">
        <f aca="false">IF(AND(Projects!$G$6="Yes",AD$3&gt;=Projects!$C$6,AD$3&lt;Projects!$C$6+Projects!$D$6),Projects!$B$6*INDEX(Curves!$B$4:$AR$4,1,AD$3-Projects!$C$6+1),0)-IF(AND(Projects!$G$6="Yes",AD$3&gt;=Projects!$C$6,AD$3&lt;Projects!$C$6+Projects!$D$6),Projects!$B$6*(Assumptions!$B$10+Assumptions!$B$11+Assumptions!$B$12)/Projects!$D$6*0.95,0)-IF(AND(Projects!$G$6="Yes",AD$3=Projects!$C$6+Projects!$D$6-1),Projects!$B$6*(Assumptions!$B$10+Assumptions!$B$11+Assumptions!$B$12)*0.05,0)</f>
        <v>0</v>
      </c>
      <c r="AE17" s="30" t="n">
        <f aca="false">IF(AND(Projects!$G$6="Yes",AE$3&gt;=Projects!$C$6,AE$3&lt;Projects!$C$6+Projects!$D$6),Projects!$B$6*INDEX(Curves!$B$4:$AR$4,1,AE$3-Projects!$C$6+1),0)-IF(AND(Projects!$G$6="Yes",AE$3&gt;=Projects!$C$6,AE$3&lt;Projects!$C$6+Projects!$D$6),Projects!$B$6*(Assumptions!$B$10+Assumptions!$B$11+Assumptions!$B$12)/Projects!$D$6*0.95,0)-IF(AND(Projects!$G$6="Yes",AE$3=Projects!$C$6+Projects!$D$6-1),Projects!$B$6*(Assumptions!$B$10+Assumptions!$B$11+Assumptions!$B$12)*0.05,0)</f>
        <v>0</v>
      </c>
      <c r="AF17" s="30" t="n">
        <f aca="false">IF(AND(Projects!$G$6="Yes",AF$3&gt;=Projects!$C$6,AF$3&lt;Projects!$C$6+Projects!$D$6),Projects!$B$6*INDEX(Curves!$B$4:$AR$4,1,AF$3-Projects!$C$6+1),0)-IF(AND(Projects!$G$6="Yes",AF$3&gt;=Projects!$C$6,AF$3&lt;Projects!$C$6+Projects!$D$6),Projects!$B$6*(Assumptions!$B$10+Assumptions!$B$11+Assumptions!$B$12)/Projects!$D$6*0.95,0)-IF(AND(Projects!$G$6="Yes",AF$3=Projects!$C$6+Projects!$D$6-1),Projects!$B$6*(Assumptions!$B$10+Assumptions!$B$11+Assumptions!$B$12)*0.05,0)</f>
        <v>0</v>
      </c>
      <c r="AG17" s="30" t="n">
        <f aca="false">IF(AND(Projects!$G$6="Yes",AG$3&gt;=Projects!$C$6,AG$3&lt;Projects!$C$6+Projects!$D$6),Projects!$B$6*INDEX(Curves!$B$4:$AR$4,1,AG$3-Projects!$C$6+1),0)-IF(AND(Projects!$G$6="Yes",AG$3&gt;=Projects!$C$6,AG$3&lt;Projects!$C$6+Projects!$D$6),Projects!$B$6*(Assumptions!$B$10+Assumptions!$B$11+Assumptions!$B$12)/Projects!$D$6*0.95,0)-IF(AND(Projects!$G$6="Yes",AG$3=Projects!$C$6+Projects!$D$6-1),Projects!$B$6*(Assumptions!$B$10+Assumptions!$B$11+Assumptions!$B$12)*0.05,0)</f>
        <v>0</v>
      </c>
      <c r="AH17" s="30" t="n">
        <f aca="false">IF(AND(Projects!$G$6="Yes",AH$3&gt;=Projects!$C$6,AH$3&lt;Projects!$C$6+Projects!$D$6),Projects!$B$6*INDEX(Curves!$B$4:$AR$4,1,AH$3-Projects!$C$6+1),0)-IF(AND(Projects!$G$6="Yes",AH$3&gt;=Projects!$C$6,AH$3&lt;Projects!$C$6+Projects!$D$6),Projects!$B$6*(Assumptions!$B$10+Assumptions!$B$11+Assumptions!$B$12)/Projects!$D$6*0.95,0)-IF(AND(Projects!$G$6="Yes",AH$3=Projects!$C$6+Projects!$D$6-1),Projects!$B$6*(Assumptions!$B$10+Assumptions!$B$11+Assumptions!$B$12)*0.05,0)</f>
        <v>0</v>
      </c>
      <c r="AI17" s="30" t="n">
        <f aca="false">IF(AND(Projects!$G$6="Yes",AI$3&gt;=Projects!$C$6,AI$3&lt;Projects!$C$6+Projects!$D$6),Projects!$B$6*INDEX(Curves!$B$4:$AR$4,1,AI$3-Projects!$C$6+1),0)-IF(AND(Projects!$G$6="Yes",AI$3&gt;=Projects!$C$6,AI$3&lt;Projects!$C$6+Projects!$D$6),Projects!$B$6*(Assumptions!$B$10+Assumptions!$B$11+Assumptions!$B$12)/Projects!$D$6*0.95,0)-IF(AND(Projects!$G$6="Yes",AI$3=Projects!$C$6+Projects!$D$6-1),Projects!$B$6*(Assumptions!$B$10+Assumptions!$B$11+Assumptions!$B$12)*0.05,0)</f>
        <v>0</v>
      </c>
      <c r="AJ17" s="30" t="n">
        <f aca="false">IF(AND(Projects!$G$6="Yes",AJ$3&gt;=Projects!$C$6,AJ$3&lt;Projects!$C$6+Projects!$D$6),Projects!$B$6*INDEX(Curves!$B$4:$AR$4,1,AJ$3-Projects!$C$6+1),0)-IF(AND(Projects!$G$6="Yes",AJ$3&gt;=Projects!$C$6,AJ$3&lt;Projects!$C$6+Projects!$D$6),Projects!$B$6*(Assumptions!$B$10+Assumptions!$B$11+Assumptions!$B$12)/Projects!$D$6*0.95,0)-IF(AND(Projects!$G$6="Yes",AJ$3=Projects!$C$6+Projects!$D$6-1),Projects!$B$6*(Assumptions!$B$10+Assumptions!$B$11+Assumptions!$B$12)*0.05,0)</f>
        <v>0</v>
      </c>
      <c r="AK17" s="30" t="n">
        <f aca="false">IF(AND(Projects!$G$6="Yes",AK$3&gt;=Projects!$C$6,AK$3&lt;Projects!$C$6+Projects!$D$6),Projects!$B$6*INDEX(Curves!$B$4:$AR$4,1,AK$3-Projects!$C$6+1),0)-IF(AND(Projects!$G$6="Yes",AK$3&gt;=Projects!$C$6,AK$3&lt;Projects!$C$6+Projects!$D$6),Projects!$B$6*(Assumptions!$B$10+Assumptions!$B$11+Assumptions!$B$12)/Projects!$D$6*0.95,0)-IF(AND(Projects!$G$6="Yes",AK$3=Projects!$C$6+Projects!$D$6-1),Projects!$B$6*(Assumptions!$B$10+Assumptions!$B$11+Assumptions!$B$12)*0.05,0)</f>
        <v>0</v>
      </c>
      <c r="AL17" s="30" t="n">
        <f aca="false">IF(AND(Projects!$G$6="Yes",AL$3&gt;=Projects!$C$6,AL$3&lt;Projects!$C$6+Projects!$D$6),Projects!$B$6*INDEX(Curves!$B$4:$AR$4,1,AL$3-Projects!$C$6+1),0)-IF(AND(Projects!$G$6="Yes",AL$3&gt;=Projects!$C$6,AL$3&lt;Projects!$C$6+Projects!$D$6),Projects!$B$6*(Assumptions!$B$10+Assumptions!$B$11+Assumptions!$B$12)/Projects!$D$6*0.95,0)-IF(AND(Projects!$G$6="Yes",AL$3=Projects!$C$6+Projects!$D$6-1),Projects!$B$6*(Assumptions!$B$10+Assumptions!$B$11+Assumptions!$B$12)*0.05,0)</f>
        <v>0</v>
      </c>
      <c r="AM17" s="30" t="n">
        <f aca="false">IF(AND(Projects!$G$6="Yes",AM$3&gt;=Projects!$C$6,AM$3&lt;Projects!$C$6+Projects!$D$6),Projects!$B$6*INDEX(Curves!$B$4:$AR$4,1,AM$3-Projects!$C$6+1),0)-IF(AND(Projects!$G$6="Yes",AM$3&gt;=Projects!$C$6,AM$3&lt;Projects!$C$6+Projects!$D$6),Projects!$B$6*(Assumptions!$B$10+Assumptions!$B$11+Assumptions!$B$12)/Projects!$D$6*0.95,0)-IF(AND(Projects!$G$6="Yes",AM$3=Projects!$C$6+Projects!$D$6-1),Projects!$B$6*(Assumptions!$B$10+Assumptions!$B$11+Assumptions!$B$12)*0.05,0)</f>
        <v>0</v>
      </c>
      <c r="AN17" s="30" t="n">
        <f aca="false">IF(AND(Projects!$G$6="Yes",AN$3&gt;=Projects!$C$6,AN$3&lt;Projects!$C$6+Projects!$D$6),Projects!$B$6*INDEX(Curves!$B$4:$AR$4,1,AN$3-Projects!$C$6+1),0)-IF(AND(Projects!$G$6="Yes",AN$3&gt;=Projects!$C$6,AN$3&lt;Projects!$C$6+Projects!$D$6),Projects!$B$6*(Assumptions!$B$10+Assumptions!$B$11+Assumptions!$B$12)/Projects!$D$6*0.95,0)-IF(AND(Projects!$G$6="Yes",AN$3=Projects!$C$6+Projects!$D$6-1),Projects!$B$6*(Assumptions!$B$10+Assumptions!$B$11+Assumptions!$B$12)*0.05,0)</f>
        <v>0</v>
      </c>
      <c r="AO17" s="30" t="n">
        <f aca="false">IF(AND(Projects!$G$6="Yes",AO$3&gt;=Projects!$C$6,AO$3&lt;Projects!$C$6+Projects!$D$6),Projects!$B$6*INDEX(Curves!$B$4:$AR$4,1,AO$3-Projects!$C$6+1),0)-IF(AND(Projects!$G$6="Yes",AO$3&gt;=Projects!$C$6,AO$3&lt;Projects!$C$6+Projects!$D$6),Projects!$B$6*(Assumptions!$B$10+Assumptions!$B$11+Assumptions!$B$12)/Projects!$D$6*0.95,0)-IF(AND(Projects!$G$6="Yes",AO$3=Projects!$C$6+Projects!$D$6-1),Projects!$B$6*(Assumptions!$B$10+Assumptions!$B$11+Assumptions!$B$12)*0.05,0)</f>
        <v>0</v>
      </c>
      <c r="AP17" s="30" t="n">
        <f aca="false">IF(AND(Projects!$G$6="Yes",AP$3&gt;=Projects!$C$6,AP$3&lt;Projects!$C$6+Projects!$D$6),Projects!$B$6*INDEX(Curves!$B$4:$AR$4,1,AP$3-Projects!$C$6+1),0)-IF(AND(Projects!$G$6="Yes",AP$3&gt;=Projects!$C$6,AP$3&lt;Projects!$C$6+Projects!$D$6),Projects!$B$6*(Assumptions!$B$10+Assumptions!$B$11+Assumptions!$B$12)/Projects!$D$6*0.95,0)-IF(AND(Projects!$G$6="Yes",AP$3=Projects!$C$6+Projects!$D$6-1),Projects!$B$6*(Assumptions!$B$10+Assumptions!$B$11+Assumptions!$B$12)*0.05,0)</f>
        <v>0</v>
      </c>
      <c r="AQ17" s="30" t="n">
        <f aca="false">IF(AND(Projects!$G$6="Yes",AQ$3&gt;=Projects!$C$6,AQ$3&lt;Projects!$C$6+Projects!$D$6),Projects!$B$6*INDEX(Curves!$B$4:$AR$4,1,AQ$3-Projects!$C$6+1),0)-IF(AND(Projects!$G$6="Yes",AQ$3&gt;=Projects!$C$6,AQ$3&lt;Projects!$C$6+Projects!$D$6),Projects!$B$6*(Assumptions!$B$10+Assumptions!$B$11+Assumptions!$B$12)/Projects!$D$6*0.95,0)-IF(AND(Projects!$G$6="Yes",AQ$3=Projects!$C$6+Projects!$D$6-1),Projects!$B$6*(Assumptions!$B$10+Assumptions!$B$11+Assumptions!$B$12)*0.05,0)</f>
        <v>0</v>
      </c>
      <c r="AR17" s="30" t="n">
        <f aca="false">IF(AND(Projects!$G$6="Yes",AR$3&gt;=Projects!$C$6,AR$3&lt;Projects!$C$6+Projects!$D$6),Projects!$B$6*INDEX(Curves!$B$4:$AR$4,1,AR$3-Projects!$C$6+1),0)-IF(AND(Projects!$G$6="Yes",AR$3&gt;=Projects!$C$6,AR$3&lt;Projects!$C$6+Projects!$D$6),Projects!$B$6*(Assumptions!$B$10+Assumptions!$B$11+Assumptions!$B$12)/Projects!$D$6*0.95,0)-IF(AND(Projects!$G$6="Yes",AR$3=Projects!$C$6+Projects!$D$6-1),Projects!$B$6*(Assumptions!$B$10+Assumptions!$B$11+Assumptions!$B$12)*0.05,0)</f>
        <v>0</v>
      </c>
      <c r="AS17" s="30" t="n">
        <f aca="false">IF(AND(Projects!$G$6="Yes",AS$3&gt;=Projects!$C$6,AS$3&lt;Projects!$C$6+Projects!$D$6),Projects!$B$6*INDEX(Curves!$B$4:$AR$4,1,AS$3-Projects!$C$6+1),0)-IF(AND(Projects!$G$6="Yes",AS$3&gt;=Projects!$C$6,AS$3&lt;Projects!$C$6+Projects!$D$6),Projects!$B$6*(Assumptions!$B$10+Assumptions!$B$11+Assumptions!$B$12)/Projects!$D$6*0.95,0)-IF(AND(Projects!$G$6="Yes",AS$3=Projects!$C$6+Projects!$D$6-1),Projects!$B$6*(Assumptions!$B$10+Assumptions!$B$11+Assumptions!$B$12)*0.05,0)</f>
        <v>0</v>
      </c>
      <c r="AT17" s="30" t="n">
        <f aca="false">IF(AND(Projects!$G$6="Yes",AT$3&gt;=Projects!$C$6,AT$3&lt;Projects!$C$6+Projects!$D$6),Projects!$B$6*INDEX(Curves!$B$4:$AR$4,1,AT$3-Projects!$C$6+1),0)-IF(AND(Projects!$G$6="Yes",AT$3&gt;=Projects!$C$6,AT$3&lt;Projects!$C$6+Projects!$D$6),Projects!$B$6*(Assumptions!$B$10+Assumptions!$B$11+Assumptions!$B$12)/Projects!$D$6*0.95,0)-IF(AND(Projects!$G$6="Yes",AT$3=Projects!$C$6+Projects!$D$6-1),Projects!$B$6*(Assumptions!$B$10+Assumptions!$B$11+Assumptions!$B$12)*0.05,0)</f>
        <v>0</v>
      </c>
      <c r="AU17" s="30" t="n">
        <f aca="false">IF(AND(Projects!$G$6="Yes",AU$3&gt;=Projects!$C$6,AU$3&lt;Projects!$C$6+Projects!$D$6),Projects!$B$6*INDEX(Curves!$B$4:$AR$4,1,AU$3-Projects!$C$6+1),0)-IF(AND(Projects!$G$6="Yes",AU$3&gt;=Projects!$C$6,AU$3&lt;Projects!$C$6+Projects!$D$6),Projects!$B$6*(Assumptions!$B$10+Assumptions!$B$11+Assumptions!$B$12)/Projects!$D$6*0.95,0)-IF(AND(Projects!$G$6="Yes",AU$3=Projects!$C$6+Projects!$D$6-1),Projects!$B$6*(Assumptions!$B$10+Assumptions!$B$11+Assumptions!$B$12)*0.05,0)</f>
        <v>0</v>
      </c>
      <c r="AV17" s="30" t="n">
        <f aca="false">IF(AND(Projects!$G$6="Yes",AV$3&gt;=Projects!$C$6,AV$3&lt;Projects!$C$6+Projects!$D$6),Projects!$B$6*INDEX(Curves!$B$4:$AR$4,1,AV$3-Projects!$C$6+1),0)-IF(AND(Projects!$G$6="Yes",AV$3&gt;=Projects!$C$6,AV$3&lt;Projects!$C$6+Projects!$D$6),Projects!$B$6*(Assumptions!$B$10+Assumptions!$B$11+Assumptions!$B$12)/Projects!$D$6*0.95,0)-IF(AND(Projects!$G$6="Yes",AV$3=Projects!$C$6+Projects!$D$6-1),Projects!$B$6*(Assumptions!$B$10+Assumptions!$B$11+Assumptions!$B$12)*0.05,0)</f>
        <v>0</v>
      </c>
      <c r="AW17" s="30" t="n">
        <f aca="false">IF(AND(Projects!$G$6="Yes",AW$3&gt;=Projects!$C$6,AW$3&lt;Projects!$C$6+Projects!$D$6),Projects!$B$6*INDEX(Curves!$B$4:$AR$4,1,AW$3-Projects!$C$6+1),0)-IF(AND(Projects!$G$6="Yes",AW$3&gt;=Projects!$C$6,AW$3&lt;Projects!$C$6+Projects!$D$6),Projects!$B$6*(Assumptions!$B$10+Assumptions!$B$11+Assumptions!$B$12)/Projects!$D$6*0.95,0)-IF(AND(Projects!$G$6="Yes",AW$3=Projects!$C$6+Projects!$D$6-1),Projects!$B$6*(Assumptions!$B$10+Assumptions!$B$11+Assumptions!$B$12)*0.05,0)</f>
        <v>0</v>
      </c>
      <c r="AX17" s="30" t="n">
        <f aca="false">IF(AND(Projects!$G$6="Yes",AX$3&gt;=Projects!$C$6,AX$3&lt;Projects!$C$6+Projects!$D$6),Projects!$B$6*INDEX(Curves!$B$4:$AR$4,1,AX$3-Projects!$C$6+1),0)-IF(AND(Projects!$G$6="Yes",AX$3&gt;=Projects!$C$6,AX$3&lt;Projects!$C$6+Projects!$D$6),Projects!$B$6*(Assumptions!$B$10+Assumptions!$B$11+Assumptions!$B$12)/Projects!$D$6*0.95,0)-IF(AND(Projects!$G$6="Yes",AX$3=Projects!$C$6+Projects!$D$6-1),Projects!$B$6*(Assumptions!$B$10+Assumptions!$B$11+Assumptions!$B$12)*0.05,0)</f>
        <v>0</v>
      </c>
      <c r="AY17" s="30" t="n">
        <f aca="false">IF(AND(Projects!$G$6="Yes",AY$3&gt;=Projects!$C$6,AY$3&lt;Projects!$C$6+Projects!$D$6),Projects!$B$6*INDEX(Curves!$B$4:$AR$4,1,AY$3-Projects!$C$6+1),0)-IF(AND(Projects!$G$6="Yes",AY$3&gt;=Projects!$C$6,AY$3&lt;Projects!$C$6+Projects!$D$6),Projects!$B$6*(Assumptions!$B$10+Assumptions!$B$11+Assumptions!$B$12)/Projects!$D$6*0.95,0)-IF(AND(Projects!$G$6="Yes",AY$3=Projects!$C$6+Projects!$D$6-1),Projects!$B$6*(Assumptions!$B$10+Assumptions!$B$11+Assumptions!$B$12)*0.05,0)</f>
        <v>0</v>
      </c>
      <c r="AZ17" s="30" t="n">
        <f aca="false">IF(AND(Projects!$G$6="Yes",AZ$3&gt;=Projects!$C$6,AZ$3&lt;Projects!$C$6+Projects!$D$6),Projects!$B$6*INDEX(Curves!$B$4:$AR$4,1,AZ$3-Projects!$C$6+1),0)-IF(AND(Projects!$G$6="Yes",AZ$3&gt;=Projects!$C$6,AZ$3&lt;Projects!$C$6+Projects!$D$6),Projects!$B$6*(Assumptions!$B$10+Assumptions!$B$11+Assumptions!$B$12)/Projects!$D$6*0.95,0)-IF(AND(Projects!$G$6="Yes",AZ$3=Projects!$C$6+Projects!$D$6-1),Projects!$B$6*(Assumptions!$B$10+Assumptions!$B$11+Assumptions!$B$12)*0.05,0)</f>
        <v>0</v>
      </c>
      <c r="BA17" s="30" t="n">
        <f aca="false">IF(AND(Projects!$G$6="Yes",BA$3&gt;=Projects!$C$6,BA$3&lt;Projects!$C$6+Projects!$D$6),Projects!$B$6*INDEX(Curves!$B$4:$AR$4,1,BA$3-Projects!$C$6+1),0)-IF(AND(Projects!$G$6="Yes",BA$3&gt;=Projects!$C$6,BA$3&lt;Projects!$C$6+Projects!$D$6),Projects!$B$6*(Assumptions!$B$10+Assumptions!$B$11+Assumptions!$B$12)/Projects!$D$6*0.95,0)-IF(AND(Projects!$G$6="Yes",BA$3=Projects!$C$6+Projects!$D$6-1),Projects!$B$6*(Assumptions!$B$10+Assumptions!$B$11+Assumptions!$B$12)*0.05,0)</f>
        <v>0</v>
      </c>
      <c r="BB17" s="30" t="n">
        <f aca="false">IF(AND(Projects!$G$6="Yes",BB$3&gt;=Projects!$C$6,BB$3&lt;Projects!$C$6+Projects!$D$6),Projects!$B$6*INDEX(Curves!$B$4:$AR$4,1,BB$3-Projects!$C$6+1),0)-IF(AND(Projects!$G$6="Yes",BB$3&gt;=Projects!$C$6,BB$3&lt;Projects!$C$6+Projects!$D$6),Projects!$B$6*(Assumptions!$B$10+Assumptions!$B$11+Assumptions!$B$12)/Projects!$D$6*0.95,0)-IF(AND(Projects!$G$6="Yes",BB$3=Projects!$C$6+Projects!$D$6-1),Projects!$B$6*(Assumptions!$B$10+Assumptions!$B$11+Assumptions!$B$12)*0.05,0)</f>
        <v>0</v>
      </c>
      <c r="BC17" s="30" t="n">
        <f aca="false">IF(AND(Projects!$G$6="Yes",BC$3&gt;=Projects!$C$6,BC$3&lt;Projects!$C$6+Projects!$D$6),Projects!$B$6*INDEX(Curves!$B$4:$AR$4,1,BC$3-Projects!$C$6+1),0)-IF(AND(Projects!$G$6="Yes",BC$3&gt;=Projects!$C$6,BC$3&lt;Projects!$C$6+Projects!$D$6),Projects!$B$6*(Assumptions!$B$10+Assumptions!$B$11+Assumptions!$B$12)/Projects!$D$6*0.95,0)-IF(AND(Projects!$G$6="Yes",BC$3=Projects!$C$6+Projects!$D$6-1),Projects!$B$6*(Assumptions!$B$10+Assumptions!$B$11+Assumptions!$B$12)*0.05,0)</f>
        <v>0</v>
      </c>
      <c r="BD17" s="30" t="n">
        <f aca="false">IF(AND(Projects!$G$6="Yes",BD$3&gt;=Projects!$C$6,BD$3&lt;Projects!$C$6+Projects!$D$6),Projects!$B$6*INDEX(Curves!$B$4:$AR$4,1,BD$3-Projects!$C$6+1),0)-IF(AND(Projects!$G$6="Yes",BD$3&gt;=Projects!$C$6,BD$3&lt;Projects!$C$6+Projects!$D$6),Projects!$B$6*(Assumptions!$B$10+Assumptions!$B$11+Assumptions!$B$12)/Projects!$D$6*0.95,0)-IF(AND(Projects!$G$6="Yes",BD$3=Projects!$C$6+Projects!$D$6-1),Projects!$B$6*(Assumptions!$B$10+Assumptions!$B$11+Assumptions!$B$12)*0.05,0)</f>
        <v>0</v>
      </c>
      <c r="BE17" s="30" t="n">
        <f aca="false">IF(AND(Projects!$G$6="Yes",BE$3&gt;=Projects!$C$6,BE$3&lt;Projects!$C$6+Projects!$D$6),Projects!$B$6*INDEX(Curves!$B$4:$AR$4,1,BE$3-Projects!$C$6+1),0)-IF(AND(Projects!$G$6="Yes",BE$3&gt;=Projects!$C$6,BE$3&lt;Projects!$C$6+Projects!$D$6),Projects!$B$6*(Assumptions!$B$10+Assumptions!$B$11+Assumptions!$B$12)/Projects!$D$6*0.95,0)-IF(AND(Projects!$G$6="Yes",BE$3=Projects!$C$6+Projects!$D$6-1),Projects!$B$6*(Assumptions!$B$10+Assumptions!$B$11+Assumptions!$B$12)*0.05,0)</f>
        <v>0</v>
      </c>
      <c r="BF17" s="30" t="n">
        <f aca="false">IF(AND(Projects!$G$6="Yes",BF$3&gt;=Projects!$C$6,BF$3&lt;Projects!$C$6+Projects!$D$6),Projects!$B$6*INDEX(Curves!$B$4:$AR$4,1,BF$3-Projects!$C$6+1),0)-IF(AND(Projects!$G$6="Yes",BF$3&gt;=Projects!$C$6,BF$3&lt;Projects!$C$6+Projects!$D$6),Projects!$B$6*(Assumptions!$B$10+Assumptions!$B$11+Assumptions!$B$12)/Projects!$D$6*0.95,0)-IF(AND(Projects!$G$6="Yes",BF$3=Projects!$C$6+Projects!$D$6-1),Projects!$B$6*(Assumptions!$B$10+Assumptions!$B$11+Assumptions!$B$12)*0.05,0)</f>
        <v>0</v>
      </c>
      <c r="BG17" s="30" t="n">
        <f aca="false">IF(AND(Projects!$G$6="Yes",BG$3&gt;=Projects!$C$6,BG$3&lt;Projects!$C$6+Projects!$D$6),Projects!$B$6*INDEX(Curves!$B$4:$AR$4,1,BG$3-Projects!$C$6+1),0)-IF(AND(Projects!$G$6="Yes",BG$3&gt;=Projects!$C$6,BG$3&lt;Projects!$C$6+Projects!$D$6),Projects!$B$6*(Assumptions!$B$10+Assumptions!$B$11+Assumptions!$B$12)/Projects!$D$6*0.95,0)-IF(AND(Projects!$G$6="Yes",BG$3=Projects!$C$6+Projects!$D$6-1),Projects!$B$6*(Assumptions!$B$10+Assumptions!$B$11+Assumptions!$B$12)*0.05,0)</f>
        <v>0</v>
      </c>
      <c r="BH17" s="30" t="n">
        <f aca="false">IF(AND(Projects!$G$6="Yes",BH$3&gt;=Projects!$C$6,BH$3&lt;Projects!$C$6+Projects!$D$6),Projects!$B$6*INDEX(Curves!$B$4:$AR$4,1,BH$3-Projects!$C$6+1),0)-IF(AND(Projects!$G$6="Yes",BH$3&gt;=Projects!$C$6,BH$3&lt;Projects!$C$6+Projects!$D$6),Projects!$B$6*(Assumptions!$B$10+Assumptions!$B$11+Assumptions!$B$12)/Projects!$D$6*0.95,0)-IF(AND(Projects!$G$6="Yes",BH$3=Projects!$C$6+Projects!$D$6-1),Projects!$B$6*(Assumptions!$B$10+Assumptions!$B$11+Assumptions!$B$12)*0.05,0)</f>
        <v>0</v>
      </c>
      <c r="BI17" s="30" t="n">
        <f aca="false">IF(AND(Projects!$G$6="Yes",BI$3&gt;=Projects!$C$6,BI$3&lt;Projects!$C$6+Projects!$D$6),Projects!$B$6*INDEX(Curves!$B$4:$AR$4,1,BI$3-Projects!$C$6+1),0)-IF(AND(Projects!$G$6="Yes",BI$3&gt;=Projects!$C$6,BI$3&lt;Projects!$C$6+Projects!$D$6),Projects!$B$6*(Assumptions!$B$10+Assumptions!$B$11+Assumptions!$B$12)/Projects!$D$6*0.95,0)-IF(AND(Projects!$G$6="Yes",BI$3=Projects!$C$6+Projects!$D$6-1),Projects!$B$6*(Assumptions!$B$10+Assumptions!$B$11+Assumptions!$B$12)*0.05,0)</f>
        <v>0</v>
      </c>
      <c r="BJ17" s="30" t="n">
        <f aca="false">IF(AND(Projects!$G$6="Yes",BJ$3&gt;=Projects!$C$6,BJ$3&lt;Projects!$C$6+Projects!$D$6),Projects!$B$6*INDEX(Curves!$B$4:$AR$4,1,BJ$3-Projects!$C$6+1),0)-IF(AND(Projects!$G$6="Yes",BJ$3&gt;=Projects!$C$6,BJ$3&lt;Projects!$C$6+Projects!$D$6),Projects!$B$6*(Assumptions!$B$10+Assumptions!$B$11+Assumptions!$B$12)/Projects!$D$6*0.95,0)-IF(AND(Projects!$G$6="Yes",BJ$3=Projects!$C$6+Projects!$D$6-1),Projects!$B$6*(Assumptions!$B$10+Assumptions!$B$11+Assumptions!$B$12)*0.05,0)</f>
        <v>0</v>
      </c>
      <c r="BK17" s="30" t="n">
        <f aca="false">IF(AND(Projects!$G$6="Yes",BK$3&gt;=Projects!$C$6,BK$3&lt;Projects!$C$6+Projects!$D$6),Projects!$B$6*INDEX(Curves!$B$4:$AR$4,1,BK$3-Projects!$C$6+1),0)-IF(AND(Projects!$G$6="Yes",BK$3&gt;=Projects!$C$6,BK$3&lt;Projects!$C$6+Projects!$D$6),Projects!$B$6*(Assumptions!$B$10+Assumptions!$B$11+Assumptions!$B$12)/Projects!$D$6*0.95,0)-IF(AND(Projects!$G$6="Yes",BK$3=Projects!$C$6+Projects!$D$6-1),Projects!$B$6*(Assumptions!$B$10+Assumptions!$B$11+Assumptions!$B$12)*0.05,0)</f>
        <v>0</v>
      </c>
      <c r="BL17" s="30" t="n">
        <f aca="false">IF(AND(Projects!$G$6="Yes",BL$3&gt;=Projects!$C$6,BL$3&lt;Projects!$C$6+Projects!$D$6),Projects!$B$6*INDEX(Curves!$B$4:$AR$4,1,BL$3-Projects!$C$6+1),0)-IF(AND(Projects!$G$6="Yes",BL$3&gt;=Projects!$C$6,BL$3&lt;Projects!$C$6+Projects!$D$6),Projects!$B$6*(Assumptions!$B$10+Assumptions!$B$11+Assumptions!$B$12)/Projects!$D$6*0.95,0)-IF(AND(Projects!$G$6="Yes",BL$3=Projects!$C$6+Projects!$D$6-1),Projects!$B$6*(Assumptions!$B$10+Assumptions!$B$11+Assumptions!$B$12)*0.05,0)</f>
        <v>0</v>
      </c>
      <c r="BM17" s="30" t="n">
        <f aca="false">IF(AND(Projects!$G$6="Yes",BM$3&gt;=Projects!$C$6,BM$3&lt;Projects!$C$6+Projects!$D$6),Projects!$B$6*INDEX(Curves!$B$4:$AR$4,1,BM$3-Projects!$C$6+1),0)-IF(AND(Projects!$G$6="Yes",BM$3&gt;=Projects!$C$6,BM$3&lt;Projects!$C$6+Projects!$D$6),Projects!$B$6*(Assumptions!$B$10+Assumptions!$B$11+Assumptions!$B$12)/Projects!$D$6*0.95,0)-IF(AND(Projects!$G$6="Yes",BM$3=Projects!$C$6+Projects!$D$6-1),Projects!$B$6*(Assumptions!$B$10+Assumptions!$B$11+Assumptions!$B$12)*0.05,0)</f>
        <v>0</v>
      </c>
      <c r="BN17" s="30" t="n">
        <f aca="false">IF(AND(Projects!$G$6="Yes",BN$3&gt;=Projects!$C$6,BN$3&lt;Projects!$C$6+Projects!$D$6),Projects!$B$6*INDEX(Curves!$B$4:$AR$4,1,BN$3-Projects!$C$6+1),0)-IF(AND(Projects!$G$6="Yes",BN$3&gt;=Projects!$C$6,BN$3&lt;Projects!$C$6+Projects!$D$6),Projects!$B$6*(Assumptions!$B$10+Assumptions!$B$11+Assumptions!$B$12)/Projects!$D$6*0.95,0)-IF(AND(Projects!$G$6="Yes",BN$3=Projects!$C$6+Projects!$D$6-1),Projects!$B$6*(Assumptions!$B$10+Assumptions!$B$11+Assumptions!$B$12)*0.05,0)</f>
        <v>0</v>
      </c>
      <c r="BO17" s="30" t="n">
        <f aca="false">IF(AND(Projects!$G$6="Yes",BO$3&gt;=Projects!$C$6,BO$3&lt;Projects!$C$6+Projects!$D$6),Projects!$B$6*INDEX(Curves!$B$4:$AR$4,1,BO$3-Projects!$C$6+1),0)-IF(AND(Projects!$G$6="Yes",BO$3&gt;=Projects!$C$6,BO$3&lt;Projects!$C$6+Projects!$D$6),Projects!$B$6*(Assumptions!$B$10+Assumptions!$B$11+Assumptions!$B$12)/Projects!$D$6*0.95,0)-IF(AND(Projects!$G$6="Yes",BO$3=Projects!$C$6+Projects!$D$6-1),Projects!$B$6*(Assumptions!$B$10+Assumptions!$B$11+Assumptions!$B$12)*0.05,0)</f>
        <v>0</v>
      </c>
      <c r="BP17" s="30" t="n">
        <f aca="false">IF(AND(Projects!$G$6="Yes",BP$3&gt;=Projects!$C$6,BP$3&lt;Projects!$C$6+Projects!$D$6),Projects!$B$6*INDEX(Curves!$B$4:$AR$4,1,BP$3-Projects!$C$6+1),0)-IF(AND(Projects!$G$6="Yes",BP$3&gt;=Projects!$C$6,BP$3&lt;Projects!$C$6+Projects!$D$6),Projects!$B$6*(Assumptions!$B$10+Assumptions!$B$11+Assumptions!$B$12)/Projects!$D$6*0.95,0)-IF(AND(Projects!$G$6="Yes",BP$3=Projects!$C$6+Projects!$D$6-1),Projects!$B$6*(Assumptions!$B$10+Assumptions!$B$11+Assumptions!$B$12)*0.05,0)</f>
        <v>0</v>
      </c>
      <c r="BQ17" s="30" t="n">
        <f aca="false">IF(AND(Projects!$G$6="Yes",BQ$3&gt;=Projects!$C$6,BQ$3&lt;Projects!$C$6+Projects!$D$6),Projects!$B$6*INDEX(Curves!$B$4:$AR$4,1,BQ$3-Projects!$C$6+1),0)-IF(AND(Projects!$G$6="Yes",BQ$3&gt;=Projects!$C$6,BQ$3&lt;Projects!$C$6+Projects!$D$6),Projects!$B$6*(Assumptions!$B$10+Assumptions!$B$11+Assumptions!$B$12)/Projects!$D$6*0.95,0)-IF(AND(Projects!$G$6="Yes",BQ$3=Projects!$C$6+Projects!$D$6-1),Projects!$B$6*(Assumptions!$B$10+Assumptions!$B$11+Assumptions!$B$12)*0.05,0)</f>
        <v>0</v>
      </c>
      <c r="BR17" s="30" t="n">
        <f aca="false">IF(AND(Projects!$G$6="Yes",BR$3&gt;=Projects!$C$6,BR$3&lt;Projects!$C$6+Projects!$D$6),Projects!$B$6*INDEX(Curves!$B$4:$AR$4,1,BR$3-Projects!$C$6+1),0)-IF(AND(Projects!$G$6="Yes",BR$3&gt;=Projects!$C$6,BR$3&lt;Projects!$C$6+Projects!$D$6),Projects!$B$6*(Assumptions!$B$10+Assumptions!$B$11+Assumptions!$B$12)/Projects!$D$6*0.95,0)-IF(AND(Projects!$G$6="Yes",BR$3=Projects!$C$6+Projects!$D$6-1),Projects!$B$6*(Assumptions!$B$10+Assumptions!$B$11+Assumptions!$B$12)*0.05,0)</f>
        <v>0</v>
      </c>
      <c r="BS17" s="30" t="n">
        <f aca="false">IF(AND(Projects!$G$6="Yes",BS$3&gt;=Projects!$C$6,BS$3&lt;Projects!$C$6+Projects!$D$6),Projects!$B$6*INDEX(Curves!$B$4:$AR$4,1,BS$3-Projects!$C$6+1),0)-IF(AND(Projects!$G$6="Yes",BS$3&gt;=Projects!$C$6,BS$3&lt;Projects!$C$6+Projects!$D$6),Projects!$B$6*(Assumptions!$B$10+Assumptions!$B$11+Assumptions!$B$12)/Projects!$D$6*0.95,0)-IF(AND(Projects!$G$6="Yes",BS$3=Projects!$C$6+Projects!$D$6-1),Projects!$B$6*(Assumptions!$B$10+Assumptions!$B$11+Assumptions!$B$12)*0.05,0)</f>
        <v>0</v>
      </c>
      <c r="BT17" s="30" t="n">
        <f aca="false">IF(AND(Projects!$G$6="Yes",BT$3&gt;=Projects!$C$6,BT$3&lt;Projects!$C$6+Projects!$D$6),Projects!$B$6*INDEX(Curves!$B$4:$AR$4,1,BT$3-Projects!$C$6+1),0)-IF(AND(Projects!$G$6="Yes",BT$3&gt;=Projects!$C$6,BT$3&lt;Projects!$C$6+Projects!$D$6),Projects!$B$6*(Assumptions!$B$10+Assumptions!$B$11+Assumptions!$B$12)/Projects!$D$6*0.95,0)-IF(AND(Projects!$G$6="Yes",BT$3=Projects!$C$6+Projects!$D$6-1),Projects!$B$6*(Assumptions!$B$10+Assumptions!$B$11+Assumptions!$B$12)*0.05,0)</f>
        <v>0</v>
      </c>
      <c r="BU17" s="30" t="n">
        <f aca="false">IF(AND(Projects!$G$6="Yes",BU$3&gt;=Projects!$C$6,BU$3&lt;Projects!$C$6+Projects!$D$6),Projects!$B$6*INDEX(Curves!$B$4:$AR$4,1,BU$3-Projects!$C$6+1),0)-IF(AND(Projects!$G$6="Yes",BU$3&gt;=Projects!$C$6,BU$3&lt;Projects!$C$6+Projects!$D$6),Projects!$B$6*(Assumptions!$B$10+Assumptions!$B$11+Assumptions!$B$12)/Projects!$D$6*0.95,0)-IF(AND(Projects!$G$6="Yes",BU$3=Projects!$C$6+Projects!$D$6-1),Projects!$B$6*(Assumptions!$B$10+Assumptions!$B$11+Assumptions!$B$12)*0.05,0)</f>
        <v>0</v>
      </c>
      <c r="BV17" s="30" t="n">
        <f aca="false">IF(AND(Projects!$G$6="Yes",BV$3&gt;=Projects!$C$6,BV$3&lt;Projects!$C$6+Projects!$D$6),Projects!$B$6*INDEX(Curves!$B$4:$AR$4,1,BV$3-Projects!$C$6+1),0)-IF(AND(Projects!$G$6="Yes",BV$3&gt;=Projects!$C$6,BV$3&lt;Projects!$C$6+Projects!$D$6),Projects!$B$6*(Assumptions!$B$10+Assumptions!$B$11+Assumptions!$B$12)/Projects!$D$6*0.95,0)-IF(AND(Projects!$G$6="Yes",BV$3=Projects!$C$6+Projects!$D$6-1),Projects!$B$6*(Assumptions!$B$10+Assumptions!$B$11+Assumptions!$B$12)*0.05,0)</f>
        <v>0</v>
      </c>
      <c r="BW17" s="30" t="n">
        <f aca="false">IF(AND(Projects!$G$6="Yes",BW$3&gt;=Projects!$C$6,BW$3&lt;Projects!$C$6+Projects!$D$6),Projects!$B$6*INDEX(Curves!$B$4:$AR$4,1,BW$3-Projects!$C$6+1),0)-IF(AND(Projects!$G$6="Yes",BW$3&gt;=Projects!$C$6,BW$3&lt;Projects!$C$6+Projects!$D$6),Projects!$B$6*(Assumptions!$B$10+Assumptions!$B$11+Assumptions!$B$12)/Projects!$D$6*0.95,0)-IF(AND(Projects!$G$6="Yes",BW$3=Projects!$C$6+Projects!$D$6-1),Projects!$B$6*(Assumptions!$B$10+Assumptions!$B$11+Assumptions!$B$12)*0.05,0)</f>
        <v>0</v>
      </c>
      <c r="BX17" s="30" t="n">
        <f aca="false">IF(AND(Projects!$G$6="Yes",BX$3&gt;=Projects!$C$6,BX$3&lt;Projects!$C$6+Projects!$D$6),Projects!$B$6*INDEX(Curves!$B$4:$AR$4,1,BX$3-Projects!$C$6+1),0)-IF(AND(Projects!$G$6="Yes",BX$3&gt;=Projects!$C$6,BX$3&lt;Projects!$C$6+Projects!$D$6),Projects!$B$6*(Assumptions!$B$10+Assumptions!$B$11+Assumptions!$B$12)/Projects!$D$6*0.95,0)-IF(AND(Projects!$G$6="Yes",BX$3=Projects!$C$6+Projects!$D$6-1),Projects!$B$6*(Assumptions!$B$10+Assumptions!$B$11+Assumptions!$B$12)*0.05,0)</f>
        <v>0</v>
      </c>
      <c r="BY17" s="30" t="n">
        <f aca="false">IF(AND(Projects!$G$6="Yes",BY$3&gt;=Projects!$C$6,BY$3&lt;Projects!$C$6+Projects!$D$6),Projects!$B$6*INDEX(Curves!$B$4:$AR$4,1,BY$3-Projects!$C$6+1),0)-IF(AND(Projects!$G$6="Yes",BY$3&gt;=Projects!$C$6,BY$3&lt;Projects!$C$6+Projects!$D$6),Projects!$B$6*(Assumptions!$B$10+Assumptions!$B$11+Assumptions!$B$12)/Projects!$D$6*0.95,0)-IF(AND(Projects!$G$6="Yes",BY$3=Projects!$C$6+Projects!$D$6-1),Projects!$B$6*(Assumptions!$B$10+Assumptions!$B$11+Assumptions!$B$12)*0.05,0)</f>
        <v>0</v>
      </c>
      <c r="BZ17" s="30" t="n">
        <f aca="false">IF(AND(Projects!$G$6="Yes",BZ$3&gt;=Projects!$C$6,BZ$3&lt;Projects!$C$6+Projects!$D$6),Projects!$B$6*INDEX(Curves!$B$4:$AR$4,1,BZ$3-Projects!$C$6+1),0)-IF(AND(Projects!$G$6="Yes",BZ$3&gt;=Projects!$C$6,BZ$3&lt;Projects!$C$6+Projects!$D$6),Projects!$B$6*(Assumptions!$B$10+Assumptions!$B$11+Assumptions!$B$12)/Projects!$D$6*0.95,0)-IF(AND(Projects!$G$6="Yes",BZ$3=Projects!$C$6+Projects!$D$6-1),Projects!$B$6*(Assumptions!$B$10+Assumptions!$B$11+Assumptions!$B$12)*0.05,0)</f>
        <v>0</v>
      </c>
      <c r="CA17" s="30" t="n">
        <f aca="false">IF(AND(Projects!$G$6="Yes",CA$3&gt;=Projects!$C$6,CA$3&lt;Projects!$C$6+Projects!$D$6),Projects!$B$6*INDEX(Curves!$B$4:$AR$4,1,CA$3-Projects!$C$6+1),0)-IF(AND(Projects!$G$6="Yes",CA$3&gt;=Projects!$C$6,CA$3&lt;Projects!$C$6+Projects!$D$6),Projects!$B$6*(Assumptions!$B$10+Assumptions!$B$11+Assumptions!$B$12)/Projects!$D$6*0.95,0)-IF(AND(Projects!$G$6="Yes",CA$3=Projects!$C$6+Projects!$D$6-1),Projects!$B$6*(Assumptions!$B$10+Assumptions!$B$11+Assumptions!$B$12)*0.05,0)</f>
        <v>0</v>
      </c>
      <c r="CB17" s="30" t="n">
        <f aca="false">IF(AND(Projects!$G$6="Yes",CB$3&gt;=Projects!$C$6,CB$3&lt;Projects!$C$6+Projects!$D$6),Projects!$B$6*INDEX(Curves!$B$4:$AR$4,1,CB$3-Projects!$C$6+1),0)-IF(AND(Projects!$G$6="Yes",CB$3&gt;=Projects!$C$6,CB$3&lt;Projects!$C$6+Projects!$D$6),Projects!$B$6*(Assumptions!$B$10+Assumptions!$B$11+Assumptions!$B$12)/Projects!$D$6*0.95,0)-IF(AND(Projects!$G$6="Yes",CB$3=Projects!$C$6+Projects!$D$6-1),Projects!$B$6*(Assumptions!$B$10+Assumptions!$B$11+Assumptions!$B$12)*0.05,0)</f>
        <v>0</v>
      </c>
      <c r="CC17" s="30" t="n">
        <f aca="false">IF(AND(Projects!$G$6="Yes",CC$3&gt;=Projects!$C$6,CC$3&lt;Projects!$C$6+Projects!$D$6),Projects!$B$6*INDEX(Curves!$B$4:$AR$4,1,CC$3-Projects!$C$6+1),0)-IF(AND(Projects!$G$6="Yes",CC$3&gt;=Projects!$C$6,CC$3&lt;Projects!$C$6+Projects!$D$6),Projects!$B$6*(Assumptions!$B$10+Assumptions!$B$11+Assumptions!$B$12)/Projects!$D$6*0.95,0)-IF(AND(Projects!$G$6="Yes",CC$3=Projects!$C$6+Projects!$D$6-1),Projects!$B$6*(Assumptions!$B$10+Assumptions!$B$11+Assumptions!$B$12)*0.05,0)</f>
        <v>0</v>
      </c>
      <c r="CD17" s="30" t="n">
        <f aca="false">IF(AND(Projects!$G$6="Yes",CD$3&gt;=Projects!$C$6,CD$3&lt;Projects!$C$6+Projects!$D$6),Projects!$B$6*INDEX(Curves!$B$4:$AR$4,1,CD$3-Projects!$C$6+1),0)-IF(AND(Projects!$G$6="Yes",CD$3&gt;=Projects!$C$6,CD$3&lt;Projects!$C$6+Projects!$D$6),Projects!$B$6*(Assumptions!$B$10+Assumptions!$B$11+Assumptions!$B$12)/Projects!$D$6*0.95,0)-IF(AND(Projects!$G$6="Yes",CD$3=Projects!$C$6+Projects!$D$6-1),Projects!$B$6*(Assumptions!$B$10+Assumptions!$B$11+Assumptions!$B$12)*0.05,0)</f>
        <v>0</v>
      </c>
      <c r="CE17" s="30" t="n">
        <f aca="false">IF(AND(Projects!$G$6="Yes",CE$3&gt;=Projects!$C$6,CE$3&lt;Projects!$C$6+Projects!$D$6),Projects!$B$6*INDEX(Curves!$B$4:$AR$4,1,CE$3-Projects!$C$6+1),0)-IF(AND(Projects!$G$6="Yes",CE$3&gt;=Projects!$C$6,CE$3&lt;Projects!$C$6+Projects!$D$6),Projects!$B$6*(Assumptions!$B$10+Assumptions!$B$11+Assumptions!$B$12)/Projects!$D$6*0.95,0)-IF(AND(Projects!$G$6="Yes",CE$3=Projects!$C$6+Projects!$D$6-1),Projects!$B$6*(Assumptions!$B$10+Assumptions!$B$11+Assumptions!$B$12)*0.05,0)</f>
        <v>0</v>
      </c>
      <c r="CF17" s="30" t="n">
        <f aca="false">IF(AND(Projects!$G$6="Yes",CF$3&gt;=Projects!$C$6,CF$3&lt;Projects!$C$6+Projects!$D$6),Projects!$B$6*INDEX(Curves!$B$4:$AR$4,1,CF$3-Projects!$C$6+1),0)-IF(AND(Projects!$G$6="Yes",CF$3&gt;=Projects!$C$6,CF$3&lt;Projects!$C$6+Projects!$D$6),Projects!$B$6*(Assumptions!$B$10+Assumptions!$B$11+Assumptions!$B$12)/Projects!$D$6*0.95,0)-IF(AND(Projects!$G$6="Yes",CF$3=Projects!$C$6+Projects!$D$6-1),Projects!$B$6*(Assumptions!$B$10+Assumptions!$B$11+Assumptions!$B$12)*0.05,0)</f>
        <v>0</v>
      </c>
      <c r="CG17" s="30" t="n">
        <f aca="false">IF(AND(Projects!$G$6="Yes",CG$3&gt;=Projects!$C$6,CG$3&lt;Projects!$C$6+Projects!$D$6),Projects!$B$6*INDEX(Curves!$B$4:$AR$4,1,CG$3-Projects!$C$6+1),0)-IF(AND(Projects!$G$6="Yes",CG$3&gt;=Projects!$C$6,CG$3&lt;Projects!$C$6+Projects!$D$6),Projects!$B$6*(Assumptions!$B$10+Assumptions!$B$11+Assumptions!$B$12)/Projects!$D$6*0.95,0)-IF(AND(Projects!$G$6="Yes",CG$3=Projects!$C$6+Projects!$D$6-1),Projects!$B$6*(Assumptions!$B$10+Assumptions!$B$11+Assumptions!$B$12)*0.05,0)</f>
        <v>0</v>
      </c>
      <c r="CH17" s="30" t="n">
        <f aca="false">IF(AND(Projects!$G$6="Yes",CH$3&gt;=Projects!$C$6,CH$3&lt;Projects!$C$6+Projects!$D$6),Projects!$B$6*INDEX(Curves!$B$4:$AR$4,1,CH$3-Projects!$C$6+1),0)-IF(AND(Projects!$G$6="Yes",CH$3&gt;=Projects!$C$6,CH$3&lt;Projects!$C$6+Projects!$D$6),Projects!$B$6*(Assumptions!$B$10+Assumptions!$B$11+Assumptions!$B$12)/Projects!$D$6*0.95,0)-IF(AND(Projects!$G$6="Yes",CH$3=Projects!$C$6+Projects!$D$6-1),Projects!$B$6*(Assumptions!$B$10+Assumptions!$B$11+Assumptions!$B$12)*0.05,0)</f>
        <v>0</v>
      </c>
      <c r="CI17" s="30" t="n">
        <f aca="false">IF(AND(Projects!$G$6="Yes",CI$3&gt;=Projects!$C$6,CI$3&lt;Projects!$C$6+Projects!$D$6),Projects!$B$6*INDEX(Curves!$B$4:$AR$4,1,CI$3-Projects!$C$6+1),0)-IF(AND(Projects!$G$6="Yes",CI$3&gt;=Projects!$C$6,CI$3&lt;Projects!$C$6+Projects!$D$6),Projects!$B$6*(Assumptions!$B$10+Assumptions!$B$11+Assumptions!$B$12)/Projects!$D$6*0.95,0)-IF(AND(Projects!$G$6="Yes",CI$3=Projects!$C$6+Projects!$D$6-1),Projects!$B$6*(Assumptions!$B$10+Assumptions!$B$11+Assumptions!$B$12)*0.05,0)</f>
        <v>0</v>
      </c>
      <c r="CJ17" s="30" t="n">
        <f aca="false">IF(AND(Projects!$G$6="Yes",CJ$3&gt;=Projects!$C$6,CJ$3&lt;Projects!$C$6+Projects!$D$6),Projects!$B$6*INDEX(Curves!$B$4:$AR$4,1,CJ$3-Projects!$C$6+1),0)-IF(AND(Projects!$G$6="Yes",CJ$3&gt;=Projects!$C$6,CJ$3&lt;Projects!$C$6+Projects!$D$6),Projects!$B$6*(Assumptions!$B$10+Assumptions!$B$11+Assumptions!$B$12)/Projects!$D$6*0.95,0)-IF(AND(Projects!$G$6="Yes",CJ$3=Projects!$C$6+Projects!$D$6-1),Projects!$B$6*(Assumptions!$B$10+Assumptions!$B$11+Assumptions!$B$12)*0.05,0)</f>
        <v>0</v>
      </c>
      <c r="CK17" s="30" t="n">
        <f aca="false">IF(AND(Projects!$G$6="Yes",CK$3&gt;=Projects!$C$6,CK$3&lt;Projects!$C$6+Projects!$D$6),Projects!$B$6*INDEX(Curves!$B$4:$AR$4,1,CK$3-Projects!$C$6+1),0)-IF(AND(Projects!$G$6="Yes",CK$3&gt;=Projects!$C$6,CK$3&lt;Projects!$C$6+Projects!$D$6),Projects!$B$6*(Assumptions!$B$10+Assumptions!$B$11+Assumptions!$B$12)/Projects!$D$6*0.95,0)-IF(AND(Projects!$G$6="Yes",CK$3=Projects!$C$6+Projects!$D$6-1),Projects!$B$6*(Assumptions!$B$10+Assumptions!$B$11+Assumptions!$B$12)*0.05,0)</f>
        <v>0</v>
      </c>
      <c r="CL17" s="30" t="n">
        <f aca="false">IF(AND(Projects!$G$6="Yes",CL$3&gt;=Projects!$C$6,CL$3&lt;Projects!$C$6+Projects!$D$6),Projects!$B$6*INDEX(Curves!$B$4:$AR$4,1,CL$3-Projects!$C$6+1),0)-IF(AND(Projects!$G$6="Yes",CL$3&gt;=Projects!$C$6,CL$3&lt;Projects!$C$6+Projects!$D$6),Projects!$B$6*(Assumptions!$B$10+Assumptions!$B$11+Assumptions!$B$12)/Projects!$D$6*0.95,0)-IF(AND(Projects!$G$6="Yes",CL$3=Projects!$C$6+Projects!$D$6-1),Projects!$B$6*(Assumptions!$B$10+Assumptions!$B$11+Assumptions!$B$12)*0.05,0)</f>
        <v>0</v>
      </c>
      <c r="CM17" s="30" t="n">
        <f aca="false">IF(AND(Projects!$G$6="Yes",CM$3&gt;=Projects!$C$6,CM$3&lt;Projects!$C$6+Projects!$D$6),Projects!$B$6*INDEX(Curves!$B$4:$AR$4,1,CM$3-Projects!$C$6+1),0)-IF(AND(Projects!$G$6="Yes",CM$3&gt;=Projects!$C$6,CM$3&lt;Projects!$C$6+Projects!$D$6),Projects!$B$6*(Assumptions!$B$10+Assumptions!$B$11+Assumptions!$B$12)/Projects!$D$6*0.95,0)-IF(AND(Projects!$G$6="Yes",CM$3=Projects!$C$6+Projects!$D$6-1),Projects!$B$6*(Assumptions!$B$10+Assumptions!$B$11+Assumptions!$B$12)*0.05,0)</f>
        <v>0</v>
      </c>
      <c r="CN17" s="30" t="n">
        <f aca="false">IF(AND(Projects!$G$6="Yes",CN$3&gt;=Projects!$C$6,CN$3&lt;Projects!$C$6+Projects!$D$6),Projects!$B$6*INDEX(Curves!$B$4:$AR$4,1,CN$3-Projects!$C$6+1),0)-IF(AND(Projects!$G$6="Yes",CN$3&gt;=Projects!$C$6,CN$3&lt;Projects!$C$6+Projects!$D$6),Projects!$B$6*(Assumptions!$B$10+Assumptions!$B$11+Assumptions!$B$12)/Projects!$D$6*0.95,0)-IF(AND(Projects!$G$6="Yes",CN$3=Projects!$C$6+Projects!$D$6-1),Projects!$B$6*(Assumptions!$B$10+Assumptions!$B$11+Assumptions!$B$12)*0.05,0)</f>
        <v>0</v>
      </c>
      <c r="CO17" s="30" t="n">
        <f aca="false">IF(AND(Projects!$G$6="Yes",CO$3&gt;=Projects!$C$6,CO$3&lt;Projects!$C$6+Projects!$D$6),Projects!$B$6*INDEX(Curves!$B$4:$AR$4,1,CO$3-Projects!$C$6+1),0)-IF(AND(Projects!$G$6="Yes",CO$3&gt;=Projects!$C$6,CO$3&lt;Projects!$C$6+Projects!$D$6),Projects!$B$6*(Assumptions!$B$10+Assumptions!$B$11+Assumptions!$B$12)/Projects!$D$6*0.95,0)-IF(AND(Projects!$G$6="Yes",CO$3=Projects!$C$6+Projects!$D$6-1),Projects!$B$6*(Assumptions!$B$10+Assumptions!$B$11+Assumptions!$B$12)*0.05,0)</f>
        <v>0</v>
      </c>
      <c r="CP17" s="30" t="n">
        <f aca="false">IF(AND(Projects!$G$6="Yes",CP$3&gt;=Projects!$C$6,CP$3&lt;Projects!$C$6+Projects!$D$6),Projects!$B$6*INDEX(Curves!$B$4:$AR$4,1,CP$3-Projects!$C$6+1),0)-IF(AND(Projects!$G$6="Yes",CP$3&gt;=Projects!$C$6,CP$3&lt;Projects!$C$6+Projects!$D$6),Projects!$B$6*(Assumptions!$B$10+Assumptions!$B$11+Assumptions!$B$12)/Projects!$D$6*0.95,0)-IF(AND(Projects!$G$6="Yes",CP$3=Projects!$C$6+Projects!$D$6-1),Projects!$B$6*(Assumptions!$B$10+Assumptions!$B$11+Assumptions!$B$12)*0.05,0)</f>
        <v>0</v>
      </c>
      <c r="CQ17" s="30" t="n">
        <f aca="false">IF(AND(Projects!$G$6="Yes",CQ$3&gt;=Projects!$C$6,CQ$3&lt;Projects!$C$6+Projects!$D$6),Projects!$B$6*INDEX(Curves!$B$4:$AR$4,1,CQ$3-Projects!$C$6+1),0)-IF(AND(Projects!$G$6="Yes",CQ$3&gt;=Projects!$C$6,CQ$3&lt;Projects!$C$6+Projects!$D$6),Projects!$B$6*(Assumptions!$B$10+Assumptions!$B$11+Assumptions!$B$12)/Projects!$D$6*0.95,0)-IF(AND(Projects!$G$6="Yes",CQ$3=Projects!$C$6+Projects!$D$6-1),Projects!$B$6*(Assumptions!$B$10+Assumptions!$B$11+Assumptions!$B$12)*0.05,0)</f>
        <v>0</v>
      </c>
      <c r="CR17" s="30" t="n">
        <f aca="false">IF(AND(Projects!$G$6="Yes",CR$3&gt;=Projects!$C$6,CR$3&lt;Projects!$C$6+Projects!$D$6),Projects!$B$6*INDEX(Curves!$B$4:$AR$4,1,CR$3-Projects!$C$6+1),0)-IF(AND(Projects!$G$6="Yes",CR$3&gt;=Projects!$C$6,CR$3&lt;Projects!$C$6+Projects!$D$6),Projects!$B$6*(Assumptions!$B$10+Assumptions!$B$11+Assumptions!$B$12)/Projects!$D$6*0.95,0)-IF(AND(Projects!$G$6="Yes",CR$3=Projects!$C$6+Projects!$D$6-1),Projects!$B$6*(Assumptions!$B$10+Assumptions!$B$11+Assumptions!$B$12)*0.05,0)</f>
        <v>0</v>
      </c>
      <c r="CS17" s="30" t="n">
        <f aca="false">IF(AND(Projects!$G$6="Yes",CS$3&gt;=Projects!$C$6,CS$3&lt;Projects!$C$6+Projects!$D$6),Projects!$B$6*INDEX(Curves!$B$4:$AR$4,1,CS$3-Projects!$C$6+1),0)-IF(AND(Projects!$G$6="Yes",CS$3&gt;=Projects!$C$6,CS$3&lt;Projects!$C$6+Projects!$D$6),Projects!$B$6*(Assumptions!$B$10+Assumptions!$B$11+Assumptions!$B$12)/Projects!$D$6*0.95,0)-IF(AND(Projects!$G$6="Yes",CS$3=Projects!$C$6+Projects!$D$6-1),Projects!$B$6*(Assumptions!$B$10+Assumptions!$B$11+Assumptions!$B$12)*0.05,0)</f>
        <v>0</v>
      </c>
      <c r="CT17" s="30" t="n">
        <f aca="false">IF(AND(Projects!$G$6="Yes",CT$3&gt;=Projects!$C$6,CT$3&lt;Projects!$C$6+Projects!$D$6),Projects!$B$6*INDEX(Curves!$B$4:$AR$4,1,CT$3-Projects!$C$6+1),0)-IF(AND(Projects!$G$6="Yes",CT$3&gt;=Projects!$C$6,CT$3&lt;Projects!$C$6+Projects!$D$6),Projects!$B$6*(Assumptions!$B$10+Assumptions!$B$11+Assumptions!$B$12)/Projects!$D$6*0.95,0)-IF(AND(Projects!$G$6="Yes",CT$3=Projects!$C$6+Projects!$D$6-1),Projects!$B$6*(Assumptions!$B$10+Assumptions!$B$11+Assumptions!$B$12)*0.05,0)</f>
        <v>0</v>
      </c>
      <c r="CU17" s="30" t="n">
        <f aca="false">IF(AND(Projects!$G$6="Yes",CU$3&gt;=Projects!$C$6,CU$3&lt;Projects!$C$6+Projects!$D$6),Projects!$B$6*INDEX(Curves!$B$4:$AR$4,1,CU$3-Projects!$C$6+1),0)-IF(AND(Projects!$G$6="Yes",CU$3&gt;=Projects!$C$6,CU$3&lt;Projects!$C$6+Projects!$D$6),Projects!$B$6*(Assumptions!$B$10+Assumptions!$B$11+Assumptions!$B$12)/Projects!$D$6*0.95,0)-IF(AND(Projects!$G$6="Yes",CU$3=Projects!$C$6+Projects!$D$6-1),Projects!$B$6*(Assumptions!$B$10+Assumptions!$B$11+Assumptions!$B$12)*0.05,0)</f>
        <v>0</v>
      </c>
      <c r="CV17" s="30" t="n">
        <f aca="false">IF(AND(Projects!$G$6="Yes",CV$3&gt;=Projects!$C$6,CV$3&lt;Projects!$C$6+Projects!$D$6),Projects!$B$6*INDEX(Curves!$B$4:$AR$4,1,CV$3-Projects!$C$6+1),0)-IF(AND(Projects!$G$6="Yes",CV$3&gt;=Projects!$C$6,CV$3&lt;Projects!$C$6+Projects!$D$6),Projects!$B$6*(Assumptions!$B$10+Assumptions!$B$11+Assumptions!$B$12)/Projects!$D$6*0.95,0)-IF(AND(Projects!$G$6="Yes",CV$3=Projects!$C$6+Projects!$D$6-1),Projects!$B$6*(Assumptions!$B$10+Assumptions!$B$11+Assumptions!$B$12)*0.05,0)</f>
        <v>0</v>
      </c>
      <c r="CW17" s="30" t="n">
        <f aca="false">IF(AND(Projects!$G$6="Yes",CW$3&gt;=Projects!$C$6,CW$3&lt;Projects!$C$6+Projects!$D$6),Projects!$B$6*INDEX(Curves!$B$4:$AR$4,1,CW$3-Projects!$C$6+1),0)-IF(AND(Projects!$G$6="Yes",CW$3&gt;=Projects!$C$6,CW$3&lt;Projects!$C$6+Projects!$D$6),Projects!$B$6*(Assumptions!$B$10+Assumptions!$B$11+Assumptions!$B$12)/Projects!$D$6*0.95,0)-IF(AND(Projects!$G$6="Yes",CW$3=Projects!$C$6+Projects!$D$6-1),Projects!$B$6*(Assumptions!$B$10+Assumptions!$B$11+Assumptions!$B$12)*0.05,0)</f>
        <v>0</v>
      </c>
      <c r="CX17" s="30" t="n">
        <f aca="false">IF(AND(Projects!$G$6="Yes",CX$3&gt;=Projects!$C$6,CX$3&lt;Projects!$C$6+Projects!$D$6),Projects!$B$6*INDEX(Curves!$B$4:$AR$4,1,CX$3-Projects!$C$6+1),0)-IF(AND(Projects!$G$6="Yes",CX$3&gt;=Projects!$C$6,CX$3&lt;Projects!$C$6+Projects!$D$6),Projects!$B$6*(Assumptions!$B$10+Assumptions!$B$11+Assumptions!$B$12)/Projects!$D$6*0.95,0)-IF(AND(Projects!$G$6="Yes",CX$3=Projects!$C$6+Projects!$D$6-1),Projects!$B$6*(Assumptions!$B$10+Assumptions!$B$11+Assumptions!$B$12)*0.05,0)</f>
        <v>0</v>
      </c>
      <c r="CY17" s="30" t="n">
        <f aca="false">IF(AND(Projects!$G$6="Yes",CY$3&gt;=Projects!$C$6,CY$3&lt;Projects!$C$6+Projects!$D$6),Projects!$B$6*INDEX(Curves!$B$4:$AR$4,1,CY$3-Projects!$C$6+1),0)-IF(AND(Projects!$G$6="Yes",CY$3&gt;=Projects!$C$6,CY$3&lt;Projects!$C$6+Projects!$D$6),Projects!$B$6*(Assumptions!$B$10+Assumptions!$B$11+Assumptions!$B$12)/Projects!$D$6*0.95,0)-IF(AND(Projects!$G$6="Yes",CY$3=Projects!$C$6+Projects!$D$6-1),Projects!$B$6*(Assumptions!$B$10+Assumptions!$B$11+Assumptions!$B$12)*0.05,0)</f>
        <v>0</v>
      </c>
      <c r="CZ17" s="30" t="n">
        <f aca="false">IF(AND(Projects!$G$6="Yes",CZ$3&gt;=Projects!$C$6,CZ$3&lt;Projects!$C$6+Projects!$D$6),Projects!$B$6*INDEX(Curves!$B$4:$AR$4,1,CZ$3-Projects!$C$6+1),0)-IF(AND(Projects!$G$6="Yes",CZ$3&gt;=Projects!$C$6,CZ$3&lt;Projects!$C$6+Projects!$D$6),Projects!$B$6*(Assumptions!$B$10+Assumptions!$B$11+Assumptions!$B$12)/Projects!$D$6*0.95,0)-IF(AND(Projects!$G$6="Yes",CZ$3=Projects!$C$6+Projects!$D$6-1),Projects!$B$6*(Assumptions!$B$10+Assumptions!$B$11+Assumptions!$B$12)*0.05,0)</f>
        <v>0</v>
      </c>
      <c r="DA17" s="30" t="n">
        <f aca="false">IF(AND(Projects!$G$6="Yes",DA$3&gt;=Projects!$C$6,DA$3&lt;Projects!$C$6+Projects!$D$6),Projects!$B$6*INDEX(Curves!$B$4:$AR$4,1,DA$3-Projects!$C$6+1),0)-IF(AND(Projects!$G$6="Yes",DA$3&gt;=Projects!$C$6,DA$3&lt;Projects!$C$6+Projects!$D$6),Projects!$B$6*(Assumptions!$B$10+Assumptions!$B$11+Assumptions!$B$12)/Projects!$D$6*0.95,0)-IF(AND(Projects!$G$6="Yes",DA$3=Projects!$C$6+Projects!$D$6-1),Projects!$B$6*(Assumptions!$B$10+Assumptions!$B$11+Assumptions!$B$12)*0.05,0)</f>
        <v>0</v>
      </c>
      <c r="DB17" s="30" t="n">
        <f aca="false">IF(AND(Projects!$G$6="Yes",DB$3&gt;=Projects!$C$6,DB$3&lt;Projects!$C$6+Projects!$D$6),Projects!$B$6*INDEX(Curves!$B$4:$AR$4,1,DB$3-Projects!$C$6+1),0)-IF(AND(Projects!$G$6="Yes",DB$3&gt;=Projects!$C$6,DB$3&lt;Projects!$C$6+Projects!$D$6),Projects!$B$6*(Assumptions!$B$10+Assumptions!$B$11+Assumptions!$B$12)/Projects!$D$6*0.95,0)-IF(AND(Projects!$G$6="Yes",DB$3=Projects!$C$6+Projects!$D$6-1),Projects!$B$6*(Assumptions!$B$10+Assumptions!$B$11+Assumptions!$B$12)*0.05,0)</f>
        <v>0</v>
      </c>
      <c r="DC17" s="30" t="n">
        <f aca="false">IF(AND(Projects!$G$6="Yes",DC$3&gt;=Projects!$C$6,DC$3&lt;Projects!$C$6+Projects!$D$6),Projects!$B$6*INDEX(Curves!$B$4:$AR$4,1,DC$3-Projects!$C$6+1),0)-IF(AND(Projects!$G$6="Yes",DC$3&gt;=Projects!$C$6,DC$3&lt;Projects!$C$6+Projects!$D$6),Projects!$B$6*(Assumptions!$B$10+Assumptions!$B$11+Assumptions!$B$12)/Projects!$D$6*0.95,0)-IF(AND(Projects!$G$6="Yes",DC$3=Projects!$C$6+Projects!$D$6-1),Projects!$B$6*(Assumptions!$B$10+Assumptions!$B$11+Assumptions!$B$12)*0.05,0)</f>
        <v>0</v>
      </c>
      <c r="DD17" s="30" t="n">
        <f aca="false">IF(AND(Projects!$G$6="Yes",DD$3&gt;=Projects!$C$6,DD$3&lt;Projects!$C$6+Projects!$D$6),Projects!$B$6*INDEX(Curves!$B$4:$AR$4,1,DD$3-Projects!$C$6+1),0)-IF(AND(Projects!$G$6="Yes",DD$3&gt;=Projects!$C$6,DD$3&lt;Projects!$C$6+Projects!$D$6),Projects!$B$6*(Assumptions!$B$10+Assumptions!$B$11+Assumptions!$B$12)/Projects!$D$6*0.95,0)-IF(AND(Projects!$G$6="Yes",DD$3=Projects!$C$6+Projects!$D$6-1),Projects!$B$6*(Assumptions!$B$10+Assumptions!$B$11+Assumptions!$B$12)*0.05,0)</f>
        <v>0</v>
      </c>
      <c r="DE17" s="30" t="n">
        <f aca="false">IF(AND(Projects!$G$6="Yes",DE$3&gt;=Projects!$C$6,DE$3&lt;Projects!$C$6+Projects!$D$6),Projects!$B$6*INDEX(Curves!$B$4:$AR$4,1,DE$3-Projects!$C$6+1),0)-IF(AND(Projects!$G$6="Yes",DE$3&gt;=Projects!$C$6,DE$3&lt;Projects!$C$6+Projects!$D$6),Projects!$B$6*(Assumptions!$B$10+Assumptions!$B$11+Assumptions!$B$12)/Projects!$D$6*0.95,0)-IF(AND(Projects!$G$6="Yes",DE$3=Projects!$C$6+Projects!$D$6-1),Projects!$B$6*(Assumptions!$B$10+Assumptions!$B$11+Assumptions!$B$12)*0.05,0)</f>
        <v>0</v>
      </c>
    </row>
    <row r="18" customFormat="false" ht="15" hidden="true" customHeight="true" outlineLevel="1" collapsed="false">
      <c r="A18" s="32" t="s">
        <v>12</v>
      </c>
      <c r="B18" s="30" t="n">
        <v>0</v>
      </c>
      <c r="C18" s="30" t="n">
        <v>0</v>
      </c>
      <c r="D18" s="30" t="n">
        <v>0</v>
      </c>
      <c r="E18" s="30" t="n">
        <v>0</v>
      </c>
      <c r="F18" s="30" t="n">
        <f aca="false">IF(AND(Projects!$G$7="Yes",F$3&gt;=Projects!$C$7,F$3&lt;Projects!$C$7+Projects!$D$7),Projects!$B$7*INDEX(Curves!$B$2:$AR$2,1,F$3-Projects!$C$7+1),0)-IF(AND(Projects!$G$7="Yes",F$3&gt;=Projects!$C$7,F$3&lt;Projects!$C$7+Projects!$D$7),Projects!$B$7*(Assumptions!$B$10+Assumptions!$B$11+Assumptions!$B$12)/Projects!$D$7*0.95,0)-IF(AND(Projects!$G$7="Yes",F$3=Projects!$C$7+Projects!$D$7-1),Projects!$B$7*(Assumptions!$B$10+Assumptions!$B$11+Assumptions!$B$12)*0.05,0)</f>
        <v>0</v>
      </c>
      <c r="G18" s="30" t="n">
        <f aca="false">IF(AND(Projects!$G$7="Yes",G$3&gt;=Projects!$C$7,G$3&lt;Projects!$C$7+Projects!$D$7),Projects!$B$7*INDEX(Curves!$B$2:$AR$2,1,G$3-Projects!$C$7+1),0)-IF(AND(Projects!$G$7="Yes",G$3&gt;=Projects!$C$7,G$3&lt;Projects!$C$7+Projects!$D$7),Projects!$B$7*(Assumptions!$B$10+Assumptions!$B$11+Assumptions!$B$12)/Projects!$D$7*0.95,0)-IF(AND(Projects!$G$7="Yes",G$3=Projects!$C$7+Projects!$D$7-1),Projects!$B$7*(Assumptions!$B$10+Assumptions!$B$11+Assumptions!$B$12)*0.05,0)</f>
        <v>0</v>
      </c>
      <c r="H18" s="30" t="n">
        <f aca="false">IF(AND(Projects!$G$7="Yes",H$3&gt;=Projects!$C$7,H$3&lt;Projects!$C$7+Projects!$D$7),Projects!$B$7*INDEX(Curves!$B$2:$AR$2,1,H$3-Projects!$C$7+1),0)-IF(AND(Projects!$G$7="Yes",H$3&gt;=Projects!$C$7,H$3&lt;Projects!$C$7+Projects!$D$7),Projects!$B$7*(Assumptions!$B$10+Assumptions!$B$11+Assumptions!$B$12)/Projects!$D$7*0.95,0)-IF(AND(Projects!$G$7="Yes",H$3=Projects!$C$7+Projects!$D$7-1),Projects!$B$7*(Assumptions!$B$10+Assumptions!$B$11+Assumptions!$B$12)*0.05,0)</f>
        <v>0</v>
      </c>
      <c r="I18" s="30" t="n">
        <f aca="false">IF(AND(Projects!$G$7="Yes",I$3&gt;=Projects!$C$7,I$3&lt;Projects!$C$7+Projects!$D$7),Projects!$B$7*INDEX(Curves!$B$2:$AR$2,1,I$3-Projects!$C$7+1),0)-IF(AND(Projects!$G$7="Yes",I$3&gt;=Projects!$C$7,I$3&lt;Projects!$C$7+Projects!$D$7),Projects!$B$7*(Assumptions!$B$10+Assumptions!$B$11+Assumptions!$B$12)/Projects!$D$7*0.95,0)-IF(AND(Projects!$G$7="Yes",I$3=Projects!$C$7+Projects!$D$7-1),Projects!$B$7*(Assumptions!$B$10+Assumptions!$B$11+Assumptions!$B$12)*0.05,0)</f>
        <v>525888.533749692</v>
      </c>
      <c r="J18" s="30" t="n">
        <f aca="false">IF(AND(Projects!$G$7="Yes",J$3&gt;=Projects!$C$7,J$3&lt;Projects!$C$7+Projects!$D$7),Projects!$B$7*INDEX(Curves!$B$2:$AR$2,1,J$3-Projects!$C$7+1),0)-IF(AND(Projects!$G$7="Yes",J$3&gt;=Projects!$C$7,J$3&lt;Projects!$C$7+Projects!$D$7),Projects!$B$7*(Assumptions!$B$10+Assumptions!$B$11+Assumptions!$B$12)/Projects!$D$7*0.95,0)-IF(AND(Projects!$G$7="Yes",J$3=Projects!$C$7+Projects!$D$7-1),Projects!$B$7*(Assumptions!$B$10+Assumptions!$B$11+Assumptions!$B$12)*0.05,0)</f>
        <v>629323.480754692</v>
      </c>
      <c r="K18" s="30" t="n">
        <f aca="false">IF(AND(Projects!$G$7="Yes",K$3&gt;=Projects!$C$7,K$3&lt;Projects!$C$7+Projects!$D$7),Projects!$B$7*INDEX(Curves!$B$2:$AR$2,1,K$3-Projects!$C$7+1),0)-IF(AND(Projects!$G$7="Yes",K$3&gt;=Projects!$C$7,K$3&lt;Projects!$C$7+Projects!$D$7),Projects!$B$7*(Assumptions!$B$10+Assumptions!$B$11+Assumptions!$B$12)/Projects!$D$7*0.95,0)-IF(AND(Projects!$G$7="Yes",K$3=Projects!$C$7+Projects!$D$7-1),Projects!$B$7*(Assumptions!$B$10+Assumptions!$B$11+Assumptions!$B$12)*0.05,0)</f>
        <v>739263.232039692</v>
      </c>
      <c r="L18" s="30" t="n">
        <f aca="false">IF(AND(Projects!$G$7="Yes",L$3&gt;=Projects!$C$7,L$3&lt;Projects!$C$7+Projects!$D$7),Projects!$B$7*INDEX(Curves!$B$2:$AR$2,1,L$3-Projects!$C$7+1),0)-IF(AND(Projects!$G$7="Yes",L$3&gt;=Projects!$C$7,L$3&lt;Projects!$C$7+Projects!$D$7),Projects!$B$7*(Assumptions!$B$10+Assumptions!$B$11+Assumptions!$B$12)/Projects!$D$7*0.95,0)-IF(AND(Projects!$G$7="Yes",L$3=Projects!$C$7+Projects!$D$7-1),Projects!$B$7*(Assumptions!$B$10+Assumptions!$B$11+Assumptions!$B$12)*0.05,0)</f>
        <v>854209.970829692</v>
      </c>
      <c r="M18" s="30" t="n">
        <f aca="false">IF(AND(Projects!$G$7="Yes",M$3&gt;=Projects!$C$7,M$3&lt;Projects!$C$7+Projects!$D$7),Projects!$B$7*INDEX(Curves!$B$2:$AR$2,1,M$3-Projects!$C$7+1),0)-IF(AND(Projects!$G$7="Yes",M$3&gt;=Projects!$C$7,M$3&lt;Projects!$C$7+Projects!$D$7),Projects!$B$7*(Assumptions!$B$10+Assumptions!$B$11+Assumptions!$B$12)/Projects!$D$7*0.95,0)-IF(AND(Projects!$G$7="Yes",M$3=Projects!$C$7+Projects!$D$7-1),Projects!$B$7*(Assumptions!$B$10+Assumptions!$B$11+Assumptions!$B$12)*0.05,0)</f>
        <v>972409.111759692</v>
      </c>
      <c r="N18" s="30" t="n">
        <f aca="false">IF(AND(Projects!$G$7="Yes",N$3&gt;=Projects!$C$7,N$3&lt;Projects!$C$7+Projects!$D$7),Projects!$B$7*INDEX(Curves!$B$2:$AR$2,1,N$3-Projects!$C$7+1),0)-IF(AND(Projects!$G$7="Yes",N$3&gt;=Projects!$C$7,N$3&lt;Projects!$C$7+Projects!$D$7),Projects!$B$7*(Assumptions!$B$10+Assumptions!$B$11+Assumptions!$B$12)/Projects!$D$7*0.95,0)-IF(AND(Projects!$G$7="Yes",N$3=Projects!$C$7+Projects!$D$7-1),Projects!$B$7*(Assumptions!$B$10+Assumptions!$B$11+Assumptions!$B$12)*0.05,0)</f>
        <v>1091720.91657969</v>
      </c>
      <c r="O18" s="30" t="n">
        <f aca="false">IF(AND(Projects!$G$7="Yes",O$3&gt;=Projects!$C$7,O$3&lt;Projects!$C$7+Projects!$D$7),Projects!$B$7*INDEX(Curves!$B$2:$AR$2,1,O$3-Projects!$C$7+1),0)-IF(AND(Projects!$G$7="Yes",O$3&gt;=Projects!$C$7,O$3&lt;Projects!$C$7+Projects!$D$7),Projects!$B$7*(Assumptions!$B$10+Assumptions!$B$11+Assumptions!$B$12)/Projects!$D$7*0.95,0)-IF(AND(Projects!$G$7="Yes",O$3=Projects!$C$7+Projects!$D$7-1),Projects!$B$7*(Assumptions!$B$10+Assumptions!$B$11+Assumptions!$B$12)*0.05,0)</f>
        <v>1209791.67321469</v>
      </c>
      <c r="P18" s="30" t="n">
        <f aca="false">IF(AND(Projects!$G$7="Yes",P$3&gt;=Projects!$C$7,P$3&lt;Projects!$C$7+Projects!$D$7),Projects!$B$7*INDEX(Curves!$B$2:$AR$2,1,P$3-Projects!$C$7+1),0)-IF(AND(Projects!$G$7="Yes",P$3&gt;=Projects!$C$7,P$3&lt;Projects!$C$7+Projects!$D$7),Projects!$B$7*(Assumptions!$B$10+Assumptions!$B$11+Assumptions!$B$12)/Projects!$D$7*0.95,0)-IF(AND(Projects!$G$7="Yes",P$3=Projects!$C$7+Projects!$D$7-1),Projects!$B$7*(Assumptions!$B$10+Assumptions!$B$11+Assumptions!$B$12)*0.05,0)</f>
        <v>1324053.69576469</v>
      </c>
      <c r="Q18" s="30" t="n">
        <f aca="false">IF(AND(Projects!$G$7="Yes",Q$3&gt;=Projects!$C$7,Q$3&lt;Projects!$C$7+Projects!$D$7),Projects!$B$7*INDEX(Curves!$B$2:$AR$2,1,Q$3-Projects!$C$7+1),0)-IF(AND(Projects!$G$7="Yes",Q$3&gt;=Projects!$C$7,Q$3&lt;Projects!$C$7+Projects!$D$7),Projects!$B$7*(Assumptions!$B$10+Assumptions!$B$11+Assumptions!$B$12)/Projects!$D$7*0.95,0)-IF(AND(Projects!$G$7="Yes",Q$3=Projects!$C$7+Projects!$D$7-1),Projects!$B$7*(Assumptions!$B$10+Assumptions!$B$11+Assumptions!$B$12)*0.05,0)</f>
        <v>1431768.11926969</v>
      </c>
      <c r="R18" s="30" t="n">
        <f aca="false">IF(AND(Projects!$G$7="Yes",R$3&gt;=Projects!$C$7,R$3&lt;Projects!$C$7+Projects!$D$7),Projects!$B$7*INDEX(Curves!$B$2:$AR$2,1,R$3-Projects!$C$7+1),0)-IF(AND(Projects!$G$7="Yes",R$3&gt;=Projects!$C$7,R$3&lt;Projects!$C$7+Projects!$D$7),Projects!$B$7*(Assumptions!$B$10+Assumptions!$B$11+Assumptions!$B$12)/Projects!$D$7*0.95,0)-IF(AND(Projects!$G$7="Yes",R$3=Projects!$C$7+Projects!$D$7-1),Projects!$B$7*(Assumptions!$B$10+Assumptions!$B$11+Assumptions!$B$12)*0.05,0)</f>
        <v>1530324.46306469</v>
      </c>
      <c r="S18" s="30" t="n">
        <f aca="false">IF(AND(Projects!$G$7="Yes",S$3&gt;=Projects!$C$7,S$3&lt;Projects!$C$7+Projects!$D$7),Projects!$B$7*INDEX(Curves!$B$2:$AR$2,1,S$3-Projects!$C$7+1),0)-IF(AND(Projects!$G$7="Yes",S$3&gt;=Projects!$C$7,S$3&lt;Projects!$C$7+Projects!$D$7),Projects!$B$7*(Assumptions!$B$10+Assumptions!$B$11+Assumptions!$B$12)/Projects!$D$7*0.95,0)-IF(AND(Projects!$G$7="Yes",S$3=Projects!$C$7+Projects!$D$7-1),Projects!$B$7*(Assumptions!$B$10+Assumptions!$B$11+Assumptions!$B$12)*0.05,0)</f>
        <v>1617069.45171969</v>
      </c>
      <c r="T18" s="30" t="n">
        <f aca="false">IF(AND(Projects!$G$7="Yes",T$3&gt;=Projects!$C$7,T$3&lt;Projects!$C$7+Projects!$D$7),Projects!$B$7*INDEX(Curves!$B$2:$AR$2,1,T$3-Projects!$C$7+1),0)-IF(AND(Projects!$G$7="Yes",T$3&gt;=Projects!$C$7,T$3&lt;Projects!$C$7+Projects!$D$7),Projects!$B$7*(Assumptions!$B$10+Assumptions!$B$11+Assumptions!$B$12)/Projects!$D$7*0.95,0)-IF(AND(Projects!$G$7="Yes",T$3=Projects!$C$7+Projects!$D$7-1),Projects!$B$7*(Assumptions!$B$10+Assumptions!$B$11+Assumptions!$B$12)*0.05,0)</f>
        <v>1689649.37315969</v>
      </c>
      <c r="U18" s="30" t="n">
        <f aca="false">IF(AND(Projects!$G$7="Yes",U$3&gt;=Projects!$C$7,U$3&lt;Projects!$C$7+Projects!$D$7),Projects!$B$7*INDEX(Curves!$B$2:$AR$2,1,U$3-Projects!$C$7+1),0)-IF(AND(Projects!$G$7="Yes",U$3&gt;=Projects!$C$7,U$3&lt;Projects!$C$7+Projects!$D$7),Projects!$B$7*(Assumptions!$B$10+Assumptions!$B$11+Assumptions!$B$12)/Projects!$D$7*0.95,0)-IF(AND(Projects!$G$7="Yes",U$3=Projects!$C$7+Projects!$D$7-1),Projects!$B$7*(Assumptions!$B$10+Assumptions!$B$11+Assumptions!$B$12)*0.05,0)</f>
        <v>1746052.87342969</v>
      </c>
      <c r="V18" s="30" t="n">
        <f aca="false">IF(AND(Projects!$G$7="Yes",V$3&gt;=Projects!$C$7,V$3&lt;Projects!$C$7+Projects!$D$7),Projects!$B$7*INDEX(Curves!$B$2:$AR$2,1,V$3-Projects!$C$7+1),0)-IF(AND(Projects!$G$7="Yes",V$3&gt;=Projects!$C$7,V$3&lt;Projects!$C$7+Projects!$D$7),Projects!$B$7*(Assumptions!$B$10+Assumptions!$B$11+Assumptions!$B$12)/Projects!$D$7*0.95,0)-IF(AND(Projects!$G$7="Yes",V$3=Projects!$C$7+Projects!$D$7-1),Projects!$B$7*(Assumptions!$B$10+Assumptions!$B$11+Assumptions!$B$12)*0.05,0)</f>
        <v>1784568.16192969</v>
      </c>
      <c r="W18" s="30" t="n">
        <f aca="false">IF(AND(Projects!$G$7="Yes",W$3&gt;=Projects!$C$7,W$3&lt;Projects!$C$7+Projects!$D$7),Projects!$B$7*INDEX(Curves!$B$2:$AR$2,1,W$3-Projects!$C$7+1),0)-IF(AND(Projects!$G$7="Yes",W$3&gt;=Projects!$C$7,W$3&lt;Projects!$C$7+Projects!$D$7),Projects!$B$7*(Assumptions!$B$10+Assumptions!$B$11+Assumptions!$B$12)/Projects!$D$7*0.95,0)-IF(AND(Projects!$G$7="Yes",W$3=Projects!$C$7+Projects!$D$7-1),Projects!$B$7*(Assumptions!$B$10+Assumptions!$B$11+Assumptions!$B$12)*0.05,0)</f>
        <v>1804125.36953469</v>
      </c>
      <c r="X18" s="30" t="n">
        <f aca="false">IF(AND(Projects!$G$7="Yes",X$3&gt;=Projects!$C$7,X$3&lt;Projects!$C$7+Projects!$D$7),Projects!$B$7*INDEX(Curves!$B$2:$AR$2,1,X$3-Projects!$C$7+1),0)-IF(AND(Projects!$G$7="Yes",X$3&gt;=Projects!$C$7,X$3&lt;Projects!$C$7+Projects!$D$7),Projects!$B$7*(Assumptions!$B$10+Assumptions!$B$11+Assumptions!$B$12)/Projects!$D$7*0.95,0)-IF(AND(Projects!$G$7="Yes",X$3=Projects!$C$7+Projects!$D$7-1),Projects!$B$7*(Assumptions!$B$10+Assumptions!$B$11+Assumptions!$B$12)*0.05,0)</f>
        <v>1804125.36953469</v>
      </c>
      <c r="Y18" s="30" t="n">
        <f aca="false">IF(AND(Projects!$G$7="Yes",Y$3&gt;=Projects!$C$7,Y$3&lt;Projects!$C$7+Projects!$D$7),Projects!$B$7*INDEX(Curves!$B$2:$AR$2,1,Y$3-Projects!$C$7+1),0)-IF(AND(Projects!$G$7="Yes",Y$3&gt;=Projects!$C$7,Y$3&lt;Projects!$C$7+Projects!$D$7),Projects!$B$7*(Assumptions!$B$10+Assumptions!$B$11+Assumptions!$B$12)/Projects!$D$7*0.95,0)-IF(AND(Projects!$G$7="Yes",Y$3=Projects!$C$7+Projects!$D$7-1),Projects!$B$7*(Assumptions!$B$10+Assumptions!$B$11+Assumptions!$B$12)*0.05,0)</f>
        <v>1784568.16192969</v>
      </c>
      <c r="Z18" s="30" t="n">
        <f aca="false">IF(AND(Projects!$G$7="Yes",Z$3&gt;=Projects!$C$7,Z$3&lt;Projects!$C$7+Projects!$D$7),Projects!$B$7*INDEX(Curves!$B$2:$AR$2,1,Z$3-Projects!$C$7+1),0)-IF(AND(Projects!$G$7="Yes",Z$3&gt;=Projects!$C$7,Z$3&lt;Projects!$C$7+Projects!$D$7),Projects!$B$7*(Assumptions!$B$10+Assumptions!$B$11+Assumptions!$B$12)/Projects!$D$7*0.95,0)-IF(AND(Projects!$G$7="Yes",Z$3=Projects!$C$7+Projects!$D$7-1),Projects!$B$7*(Assumptions!$B$10+Assumptions!$B$11+Assumptions!$B$12)*0.05,0)</f>
        <v>1746052.87342969</v>
      </c>
      <c r="AA18" s="30" t="n">
        <f aca="false">IF(AND(Projects!$G$7="Yes",AA$3&gt;=Projects!$C$7,AA$3&lt;Projects!$C$7+Projects!$D$7),Projects!$B$7*INDEX(Curves!$B$2:$AR$2,1,AA$3-Projects!$C$7+1),0)-IF(AND(Projects!$G$7="Yes",AA$3&gt;=Projects!$C$7,AA$3&lt;Projects!$C$7+Projects!$D$7),Projects!$B$7*(Assumptions!$B$10+Assumptions!$B$11+Assumptions!$B$12)/Projects!$D$7*0.95,0)-IF(AND(Projects!$G$7="Yes",AA$3=Projects!$C$7+Projects!$D$7-1),Projects!$B$7*(Assumptions!$B$10+Assumptions!$B$11+Assumptions!$B$12)*0.05,0)</f>
        <v>1689649.37315969</v>
      </c>
      <c r="AB18" s="30" t="n">
        <f aca="false">IF(AND(Projects!$G$7="Yes",AB$3&gt;=Projects!$C$7,AB$3&lt;Projects!$C$7+Projects!$D$7),Projects!$B$7*INDEX(Curves!$B$2:$AR$2,1,AB$3-Projects!$C$7+1),0)-IF(AND(Projects!$G$7="Yes",AB$3&gt;=Projects!$C$7,AB$3&lt;Projects!$C$7+Projects!$D$7),Projects!$B$7*(Assumptions!$B$10+Assumptions!$B$11+Assumptions!$B$12)/Projects!$D$7*0.95,0)-IF(AND(Projects!$G$7="Yes",AB$3=Projects!$C$7+Projects!$D$7-1),Projects!$B$7*(Assumptions!$B$10+Assumptions!$B$11+Assumptions!$B$12)*0.05,0)</f>
        <v>1617069.45171969</v>
      </c>
      <c r="AC18" s="30" t="n">
        <f aca="false">IF(AND(Projects!$G$7="Yes",AC$3&gt;=Projects!$C$7,AC$3&lt;Projects!$C$7+Projects!$D$7),Projects!$B$7*INDEX(Curves!$B$2:$AR$2,1,AC$3-Projects!$C$7+1),0)-IF(AND(Projects!$G$7="Yes",AC$3&gt;=Projects!$C$7,AC$3&lt;Projects!$C$7+Projects!$D$7),Projects!$B$7*(Assumptions!$B$10+Assumptions!$B$11+Assumptions!$B$12)/Projects!$D$7*0.95,0)-IF(AND(Projects!$G$7="Yes",AC$3=Projects!$C$7+Projects!$D$7-1),Projects!$B$7*(Assumptions!$B$10+Assumptions!$B$11+Assumptions!$B$12)*0.05,0)</f>
        <v>1530324.46306469</v>
      </c>
      <c r="AD18" s="30" t="n">
        <f aca="false">IF(AND(Projects!$G$7="Yes",AD$3&gt;=Projects!$C$7,AD$3&lt;Projects!$C$7+Projects!$D$7),Projects!$B$7*INDEX(Curves!$B$2:$AR$2,1,AD$3-Projects!$C$7+1),0)-IF(AND(Projects!$G$7="Yes",AD$3&gt;=Projects!$C$7,AD$3&lt;Projects!$C$7+Projects!$D$7),Projects!$B$7*(Assumptions!$B$10+Assumptions!$B$11+Assumptions!$B$12)/Projects!$D$7*0.95,0)-IF(AND(Projects!$G$7="Yes",AD$3=Projects!$C$7+Projects!$D$7-1),Projects!$B$7*(Assumptions!$B$10+Assumptions!$B$11+Assumptions!$B$12)*0.05,0)</f>
        <v>1431768.11926969</v>
      </c>
      <c r="AE18" s="30" t="n">
        <f aca="false">IF(AND(Projects!$G$7="Yes",AE$3&gt;=Projects!$C$7,AE$3&lt;Projects!$C$7+Projects!$D$7),Projects!$B$7*INDEX(Curves!$B$2:$AR$2,1,AE$3-Projects!$C$7+1),0)-IF(AND(Projects!$G$7="Yes",AE$3&gt;=Projects!$C$7,AE$3&lt;Projects!$C$7+Projects!$D$7),Projects!$B$7*(Assumptions!$B$10+Assumptions!$B$11+Assumptions!$B$12)/Projects!$D$7*0.95,0)-IF(AND(Projects!$G$7="Yes",AE$3=Projects!$C$7+Projects!$D$7-1),Projects!$B$7*(Assumptions!$B$10+Assumptions!$B$11+Assumptions!$B$12)*0.05,0)</f>
        <v>1324053.69576469</v>
      </c>
      <c r="AF18" s="30" t="n">
        <f aca="false">IF(AND(Projects!$G$7="Yes",AF$3&gt;=Projects!$C$7,AF$3&lt;Projects!$C$7+Projects!$D$7),Projects!$B$7*INDEX(Curves!$B$2:$AR$2,1,AF$3-Projects!$C$7+1),0)-IF(AND(Projects!$G$7="Yes",AF$3&gt;=Projects!$C$7,AF$3&lt;Projects!$C$7+Projects!$D$7),Projects!$B$7*(Assumptions!$B$10+Assumptions!$B$11+Assumptions!$B$12)/Projects!$D$7*0.95,0)-IF(AND(Projects!$G$7="Yes",AF$3=Projects!$C$7+Projects!$D$7-1),Projects!$B$7*(Assumptions!$B$10+Assumptions!$B$11+Assumptions!$B$12)*0.05,0)</f>
        <v>1209791.67321469</v>
      </c>
      <c r="AG18" s="30" t="n">
        <f aca="false">IF(AND(Projects!$G$7="Yes",AG$3&gt;=Projects!$C$7,AG$3&lt;Projects!$C$7+Projects!$D$7),Projects!$B$7*INDEX(Curves!$B$2:$AR$2,1,AG$3-Projects!$C$7+1),0)-IF(AND(Projects!$G$7="Yes",AG$3&gt;=Projects!$C$7,AG$3&lt;Projects!$C$7+Projects!$D$7),Projects!$B$7*(Assumptions!$B$10+Assumptions!$B$11+Assumptions!$B$12)/Projects!$D$7*0.95,0)-IF(AND(Projects!$G$7="Yes",AG$3=Projects!$C$7+Projects!$D$7-1),Projects!$B$7*(Assumptions!$B$10+Assumptions!$B$11+Assumptions!$B$12)*0.05,0)</f>
        <v>1091720.91657969</v>
      </c>
      <c r="AH18" s="30" t="n">
        <f aca="false">IF(AND(Projects!$G$7="Yes",AH$3&gt;=Projects!$C$7,AH$3&lt;Projects!$C$7+Projects!$D$7),Projects!$B$7*INDEX(Curves!$B$2:$AR$2,1,AH$3-Projects!$C$7+1),0)-IF(AND(Projects!$G$7="Yes",AH$3&gt;=Projects!$C$7,AH$3&lt;Projects!$C$7+Projects!$D$7),Projects!$B$7*(Assumptions!$B$10+Assumptions!$B$11+Assumptions!$B$12)/Projects!$D$7*0.95,0)-IF(AND(Projects!$G$7="Yes",AH$3=Projects!$C$7+Projects!$D$7-1),Projects!$B$7*(Assumptions!$B$10+Assumptions!$B$11+Assumptions!$B$12)*0.05,0)</f>
        <v>972409.111759692</v>
      </c>
      <c r="AI18" s="30" t="n">
        <f aca="false">IF(AND(Projects!$G$7="Yes",AI$3&gt;=Projects!$C$7,AI$3&lt;Projects!$C$7+Projects!$D$7),Projects!$B$7*INDEX(Curves!$B$2:$AR$2,1,AI$3-Projects!$C$7+1),0)-IF(AND(Projects!$G$7="Yes",AI$3&gt;=Projects!$C$7,AI$3&lt;Projects!$C$7+Projects!$D$7),Projects!$B$7*(Assumptions!$B$10+Assumptions!$B$11+Assumptions!$B$12)/Projects!$D$7*0.95,0)-IF(AND(Projects!$G$7="Yes",AI$3=Projects!$C$7+Projects!$D$7-1),Projects!$B$7*(Assumptions!$B$10+Assumptions!$B$11+Assumptions!$B$12)*0.05,0)</f>
        <v>854209.970829692</v>
      </c>
      <c r="AJ18" s="30" t="n">
        <f aca="false">IF(AND(Projects!$G$7="Yes",AJ$3&gt;=Projects!$C$7,AJ$3&lt;Projects!$C$7+Projects!$D$7),Projects!$B$7*INDEX(Curves!$B$2:$AR$2,1,AJ$3-Projects!$C$7+1),0)-IF(AND(Projects!$G$7="Yes",AJ$3&gt;=Projects!$C$7,AJ$3&lt;Projects!$C$7+Projects!$D$7),Projects!$B$7*(Assumptions!$B$10+Assumptions!$B$11+Assumptions!$B$12)/Projects!$D$7*0.95,0)-IF(AND(Projects!$G$7="Yes",AJ$3=Projects!$C$7+Projects!$D$7-1),Projects!$B$7*(Assumptions!$B$10+Assumptions!$B$11+Assumptions!$B$12)*0.05,0)</f>
        <v>739263.232039692</v>
      </c>
      <c r="AK18" s="30" t="n">
        <f aca="false">IF(AND(Projects!$G$7="Yes",AK$3&gt;=Projects!$C$7,AK$3&lt;Projects!$C$7+Projects!$D$7),Projects!$B$7*INDEX(Curves!$B$2:$AR$2,1,AK$3-Projects!$C$7+1),0)-IF(AND(Projects!$G$7="Yes",AK$3&gt;=Projects!$C$7,AK$3&lt;Projects!$C$7+Projects!$D$7),Projects!$B$7*(Assumptions!$B$10+Assumptions!$B$11+Assumptions!$B$12)/Projects!$D$7*0.95,0)-IF(AND(Projects!$G$7="Yes",AK$3=Projects!$C$7+Projects!$D$7-1),Projects!$B$7*(Assumptions!$B$10+Assumptions!$B$11+Assumptions!$B$12)*0.05,0)</f>
        <v>629323.480754692</v>
      </c>
      <c r="AL18" s="30" t="n">
        <f aca="false">IF(AND(Projects!$G$7="Yes",AL$3&gt;=Projects!$C$7,AL$3&lt;Projects!$C$7+Projects!$D$7),Projects!$B$7*INDEX(Curves!$B$2:$AR$2,1,AL$3-Projects!$C$7+1),0)-IF(AND(Projects!$G$7="Yes",AL$3&gt;=Projects!$C$7,AL$3&lt;Projects!$C$7+Projects!$D$7),Projects!$B$7*(Assumptions!$B$10+Assumptions!$B$11+Assumptions!$B$12)/Projects!$D$7*0.95,0)-IF(AND(Projects!$G$7="Yes",AL$3=Projects!$C$7+Projects!$D$7-1),Projects!$B$7*(Assumptions!$B$10+Assumptions!$B$11+Assumptions!$B$12)*0.05,0)</f>
        <v>268283.306093942</v>
      </c>
      <c r="AM18" s="30" t="n">
        <f aca="false">IF(AND(Projects!$G$7="Yes",AM$3&gt;=Projects!$C$7,AM$3&lt;Projects!$C$7+Projects!$D$7),Projects!$B$7*INDEX(Curves!$B$2:$AR$2,1,AM$3-Projects!$C$7+1),0)-IF(AND(Projects!$G$7="Yes",AM$3&gt;=Projects!$C$7,AM$3&lt;Projects!$C$7+Projects!$D$7),Projects!$B$7*(Assumptions!$B$10+Assumptions!$B$11+Assumptions!$B$12)/Projects!$D$7*0.95,0)-IF(AND(Projects!$G$7="Yes",AM$3=Projects!$C$7+Projects!$D$7-1),Projects!$B$7*(Assumptions!$B$10+Assumptions!$B$11+Assumptions!$B$12)*0.05,0)</f>
        <v>0</v>
      </c>
      <c r="AN18" s="30" t="n">
        <f aca="false">IF(AND(Projects!$G$7="Yes",AN$3&gt;=Projects!$C$7,AN$3&lt;Projects!$C$7+Projects!$D$7),Projects!$B$7*INDEX(Curves!$B$2:$AR$2,1,AN$3-Projects!$C$7+1),0)-IF(AND(Projects!$G$7="Yes",AN$3&gt;=Projects!$C$7,AN$3&lt;Projects!$C$7+Projects!$D$7),Projects!$B$7*(Assumptions!$B$10+Assumptions!$B$11+Assumptions!$B$12)/Projects!$D$7*0.95,0)-IF(AND(Projects!$G$7="Yes",AN$3=Projects!$C$7+Projects!$D$7-1),Projects!$B$7*(Assumptions!$B$10+Assumptions!$B$11+Assumptions!$B$12)*0.05,0)</f>
        <v>0</v>
      </c>
      <c r="AO18" s="30" t="n">
        <f aca="false">IF(AND(Projects!$G$7="Yes",AO$3&gt;=Projects!$C$7,AO$3&lt;Projects!$C$7+Projects!$D$7),Projects!$B$7*INDEX(Curves!$B$2:$AR$2,1,AO$3-Projects!$C$7+1),0)-IF(AND(Projects!$G$7="Yes",AO$3&gt;=Projects!$C$7,AO$3&lt;Projects!$C$7+Projects!$D$7),Projects!$B$7*(Assumptions!$B$10+Assumptions!$B$11+Assumptions!$B$12)/Projects!$D$7*0.95,0)-IF(AND(Projects!$G$7="Yes",AO$3=Projects!$C$7+Projects!$D$7-1),Projects!$B$7*(Assumptions!$B$10+Assumptions!$B$11+Assumptions!$B$12)*0.05,0)</f>
        <v>0</v>
      </c>
      <c r="AP18" s="30" t="n">
        <f aca="false">IF(AND(Projects!$G$7="Yes",AP$3&gt;=Projects!$C$7,AP$3&lt;Projects!$C$7+Projects!$D$7),Projects!$B$7*INDEX(Curves!$B$2:$AR$2,1,AP$3-Projects!$C$7+1),0)-IF(AND(Projects!$G$7="Yes",AP$3&gt;=Projects!$C$7,AP$3&lt;Projects!$C$7+Projects!$D$7),Projects!$B$7*(Assumptions!$B$10+Assumptions!$B$11+Assumptions!$B$12)/Projects!$D$7*0.95,0)-IF(AND(Projects!$G$7="Yes",AP$3=Projects!$C$7+Projects!$D$7-1),Projects!$B$7*(Assumptions!$B$10+Assumptions!$B$11+Assumptions!$B$12)*0.05,0)</f>
        <v>0</v>
      </c>
      <c r="AQ18" s="30" t="n">
        <f aca="false">IF(AND(Projects!$G$7="Yes",AQ$3&gt;=Projects!$C$7,AQ$3&lt;Projects!$C$7+Projects!$D$7),Projects!$B$7*INDEX(Curves!$B$2:$AR$2,1,AQ$3-Projects!$C$7+1),0)-IF(AND(Projects!$G$7="Yes",AQ$3&gt;=Projects!$C$7,AQ$3&lt;Projects!$C$7+Projects!$D$7),Projects!$B$7*(Assumptions!$B$10+Assumptions!$B$11+Assumptions!$B$12)/Projects!$D$7*0.95,0)-IF(AND(Projects!$G$7="Yes",AQ$3=Projects!$C$7+Projects!$D$7-1),Projects!$B$7*(Assumptions!$B$10+Assumptions!$B$11+Assumptions!$B$12)*0.05,0)</f>
        <v>0</v>
      </c>
      <c r="AR18" s="30" t="n">
        <f aca="false">IF(AND(Projects!$G$7="Yes",AR$3&gt;=Projects!$C$7,AR$3&lt;Projects!$C$7+Projects!$D$7),Projects!$B$7*INDEX(Curves!$B$2:$AR$2,1,AR$3-Projects!$C$7+1),0)-IF(AND(Projects!$G$7="Yes",AR$3&gt;=Projects!$C$7,AR$3&lt;Projects!$C$7+Projects!$D$7),Projects!$B$7*(Assumptions!$B$10+Assumptions!$B$11+Assumptions!$B$12)/Projects!$D$7*0.95,0)-IF(AND(Projects!$G$7="Yes",AR$3=Projects!$C$7+Projects!$D$7-1),Projects!$B$7*(Assumptions!$B$10+Assumptions!$B$11+Assumptions!$B$12)*0.05,0)</f>
        <v>0</v>
      </c>
      <c r="AS18" s="30" t="n">
        <f aca="false">IF(AND(Projects!$G$7="Yes",AS$3&gt;=Projects!$C$7,AS$3&lt;Projects!$C$7+Projects!$D$7),Projects!$B$7*INDEX(Curves!$B$2:$AR$2,1,AS$3-Projects!$C$7+1),0)-IF(AND(Projects!$G$7="Yes",AS$3&gt;=Projects!$C$7,AS$3&lt;Projects!$C$7+Projects!$D$7),Projects!$B$7*(Assumptions!$B$10+Assumptions!$B$11+Assumptions!$B$12)/Projects!$D$7*0.95,0)-IF(AND(Projects!$G$7="Yes",AS$3=Projects!$C$7+Projects!$D$7-1),Projects!$B$7*(Assumptions!$B$10+Assumptions!$B$11+Assumptions!$B$12)*0.05,0)</f>
        <v>0</v>
      </c>
      <c r="AT18" s="30" t="n">
        <f aca="false">IF(AND(Projects!$G$7="Yes",AT$3&gt;=Projects!$C$7,AT$3&lt;Projects!$C$7+Projects!$D$7),Projects!$B$7*INDEX(Curves!$B$2:$AR$2,1,AT$3-Projects!$C$7+1),0)-IF(AND(Projects!$G$7="Yes",AT$3&gt;=Projects!$C$7,AT$3&lt;Projects!$C$7+Projects!$D$7),Projects!$B$7*(Assumptions!$B$10+Assumptions!$B$11+Assumptions!$B$12)/Projects!$D$7*0.95,0)-IF(AND(Projects!$G$7="Yes",AT$3=Projects!$C$7+Projects!$D$7-1),Projects!$B$7*(Assumptions!$B$10+Assumptions!$B$11+Assumptions!$B$12)*0.05,0)</f>
        <v>0</v>
      </c>
      <c r="AU18" s="30" t="n">
        <f aca="false">IF(AND(Projects!$G$7="Yes",AU$3&gt;=Projects!$C$7,AU$3&lt;Projects!$C$7+Projects!$D$7),Projects!$B$7*INDEX(Curves!$B$2:$AR$2,1,AU$3-Projects!$C$7+1),0)-IF(AND(Projects!$G$7="Yes",AU$3&gt;=Projects!$C$7,AU$3&lt;Projects!$C$7+Projects!$D$7),Projects!$B$7*(Assumptions!$B$10+Assumptions!$B$11+Assumptions!$B$12)/Projects!$D$7*0.95,0)-IF(AND(Projects!$G$7="Yes",AU$3=Projects!$C$7+Projects!$D$7-1),Projects!$B$7*(Assumptions!$B$10+Assumptions!$B$11+Assumptions!$B$12)*0.05,0)</f>
        <v>0</v>
      </c>
      <c r="AV18" s="30" t="n">
        <f aca="false">IF(AND(Projects!$G$7="Yes",AV$3&gt;=Projects!$C$7,AV$3&lt;Projects!$C$7+Projects!$D$7),Projects!$B$7*INDEX(Curves!$B$2:$AR$2,1,AV$3-Projects!$C$7+1),0)-IF(AND(Projects!$G$7="Yes",AV$3&gt;=Projects!$C$7,AV$3&lt;Projects!$C$7+Projects!$D$7),Projects!$B$7*(Assumptions!$B$10+Assumptions!$B$11+Assumptions!$B$12)/Projects!$D$7*0.95,0)-IF(AND(Projects!$G$7="Yes",AV$3=Projects!$C$7+Projects!$D$7-1),Projects!$B$7*(Assumptions!$B$10+Assumptions!$B$11+Assumptions!$B$12)*0.05,0)</f>
        <v>0</v>
      </c>
      <c r="AW18" s="30" t="n">
        <f aca="false">IF(AND(Projects!$G$7="Yes",AW$3&gt;=Projects!$C$7,AW$3&lt;Projects!$C$7+Projects!$D$7),Projects!$B$7*INDEX(Curves!$B$2:$AR$2,1,AW$3-Projects!$C$7+1),0)-IF(AND(Projects!$G$7="Yes",AW$3&gt;=Projects!$C$7,AW$3&lt;Projects!$C$7+Projects!$D$7),Projects!$B$7*(Assumptions!$B$10+Assumptions!$B$11+Assumptions!$B$12)/Projects!$D$7*0.95,0)-IF(AND(Projects!$G$7="Yes",AW$3=Projects!$C$7+Projects!$D$7-1),Projects!$B$7*(Assumptions!$B$10+Assumptions!$B$11+Assumptions!$B$12)*0.05,0)</f>
        <v>0</v>
      </c>
      <c r="AX18" s="30" t="n">
        <f aca="false">IF(AND(Projects!$G$7="Yes",AX$3&gt;=Projects!$C$7,AX$3&lt;Projects!$C$7+Projects!$D$7),Projects!$B$7*INDEX(Curves!$B$2:$AR$2,1,AX$3-Projects!$C$7+1),0)-IF(AND(Projects!$G$7="Yes",AX$3&gt;=Projects!$C$7,AX$3&lt;Projects!$C$7+Projects!$D$7),Projects!$B$7*(Assumptions!$B$10+Assumptions!$B$11+Assumptions!$B$12)/Projects!$D$7*0.95,0)-IF(AND(Projects!$G$7="Yes",AX$3=Projects!$C$7+Projects!$D$7-1),Projects!$B$7*(Assumptions!$B$10+Assumptions!$B$11+Assumptions!$B$12)*0.05,0)</f>
        <v>0</v>
      </c>
      <c r="AY18" s="30" t="n">
        <f aca="false">IF(AND(Projects!$G$7="Yes",AY$3&gt;=Projects!$C$7,AY$3&lt;Projects!$C$7+Projects!$D$7),Projects!$B$7*INDEX(Curves!$B$2:$AR$2,1,AY$3-Projects!$C$7+1),0)-IF(AND(Projects!$G$7="Yes",AY$3&gt;=Projects!$C$7,AY$3&lt;Projects!$C$7+Projects!$D$7),Projects!$B$7*(Assumptions!$B$10+Assumptions!$B$11+Assumptions!$B$12)/Projects!$D$7*0.95,0)-IF(AND(Projects!$G$7="Yes",AY$3=Projects!$C$7+Projects!$D$7-1),Projects!$B$7*(Assumptions!$B$10+Assumptions!$B$11+Assumptions!$B$12)*0.05,0)</f>
        <v>0</v>
      </c>
      <c r="AZ18" s="30" t="n">
        <f aca="false">IF(AND(Projects!$G$7="Yes",AZ$3&gt;=Projects!$C$7,AZ$3&lt;Projects!$C$7+Projects!$D$7),Projects!$B$7*INDEX(Curves!$B$2:$AR$2,1,AZ$3-Projects!$C$7+1),0)-IF(AND(Projects!$G$7="Yes",AZ$3&gt;=Projects!$C$7,AZ$3&lt;Projects!$C$7+Projects!$D$7),Projects!$B$7*(Assumptions!$B$10+Assumptions!$B$11+Assumptions!$B$12)/Projects!$D$7*0.95,0)-IF(AND(Projects!$G$7="Yes",AZ$3=Projects!$C$7+Projects!$D$7-1),Projects!$B$7*(Assumptions!$B$10+Assumptions!$B$11+Assumptions!$B$12)*0.05,0)</f>
        <v>0</v>
      </c>
      <c r="BA18" s="30" t="n">
        <f aca="false">IF(AND(Projects!$G$7="Yes",BA$3&gt;=Projects!$C$7,BA$3&lt;Projects!$C$7+Projects!$D$7),Projects!$B$7*INDEX(Curves!$B$2:$AR$2,1,BA$3-Projects!$C$7+1),0)-IF(AND(Projects!$G$7="Yes",BA$3&gt;=Projects!$C$7,BA$3&lt;Projects!$C$7+Projects!$D$7),Projects!$B$7*(Assumptions!$B$10+Assumptions!$B$11+Assumptions!$B$12)/Projects!$D$7*0.95,0)-IF(AND(Projects!$G$7="Yes",BA$3=Projects!$C$7+Projects!$D$7-1),Projects!$B$7*(Assumptions!$B$10+Assumptions!$B$11+Assumptions!$B$12)*0.05,0)</f>
        <v>0</v>
      </c>
      <c r="BB18" s="30" t="n">
        <f aca="false">IF(AND(Projects!$G$7="Yes",BB$3&gt;=Projects!$C$7,BB$3&lt;Projects!$C$7+Projects!$D$7),Projects!$B$7*INDEX(Curves!$B$2:$AR$2,1,BB$3-Projects!$C$7+1),0)-IF(AND(Projects!$G$7="Yes",BB$3&gt;=Projects!$C$7,BB$3&lt;Projects!$C$7+Projects!$D$7),Projects!$B$7*(Assumptions!$B$10+Assumptions!$B$11+Assumptions!$B$12)/Projects!$D$7*0.95,0)-IF(AND(Projects!$G$7="Yes",BB$3=Projects!$C$7+Projects!$D$7-1),Projects!$B$7*(Assumptions!$B$10+Assumptions!$B$11+Assumptions!$B$12)*0.05,0)</f>
        <v>0</v>
      </c>
      <c r="BC18" s="30" t="n">
        <f aca="false">IF(AND(Projects!$G$7="Yes",BC$3&gt;=Projects!$C$7,BC$3&lt;Projects!$C$7+Projects!$D$7),Projects!$B$7*INDEX(Curves!$B$2:$AR$2,1,BC$3-Projects!$C$7+1),0)-IF(AND(Projects!$G$7="Yes",BC$3&gt;=Projects!$C$7,BC$3&lt;Projects!$C$7+Projects!$D$7),Projects!$B$7*(Assumptions!$B$10+Assumptions!$B$11+Assumptions!$B$12)/Projects!$D$7*0.95,0)-IF(AND(Projects!$G$7="Yes",BC$3=Projects!$C$7+Projects!$D$7-1),Projects!$B$7*(Assumptions!$B$10+Assumptions!$B$11+Assumptions!$B$12)*0.05,0)</f>
        <v>0</v>
      </c>
      <c r="BD18" s="30" t="n">
        <f aca="false">IF(AND(Projects!$G$7="Yes",BD$3&gt;=Projects!$C$7,BD$3&lt;Projects!$C$7+Projects!$D$7),Projects!$B$7*INDEX(Curves!$B$2:$AR$2,1,BD$3-Projects!$C$7+1),0)-IF(AND(Projects!$G$7="Yes",BD$3&gt;=Projects!$C$7,BD$3&lt;Projects!$C$7+Projects!$D$7),Projects!$B$7*(Assumptions!$B$10+Assumptions!$B$11+Assumptions!$B$12)/Projects!$D$7*0.95,0)-IF(AND(Projects!$G$7="Yes",BD$3=Projects!$C$7+Projects!$D$7-1),Projects!$B$7*(Assumptions!$B$10+Assumptions!$B$11+Assumptions!$B$12)*0.05,0)</f>
        <v>0</v>
      </c>
      <c r="BE18" s="30" t="n">
        <f aca="false">IF(AND(Projects!$G$7="Yes",BE$3&gt;=Projects!$C$7,BE$3&lt;Projects!$C$7+Projects!$D$7),Projects!$B$7*INDEX(Curves!$B$2:$AR$2,1,BE$3-Projects!$C$7+1),0)-IF(AND(Projects!$G$7="Yes",BE$3&gt;=Projects!$C$7,BE$3&lt;Projects!$C$7+Projects!$D$7),Projects!$B$7*(Assumptions!$B$10+Assumptions!$B$11+Assumptions!$B$12)/Projects!$D$7*0.95,0)-IF(AND(Projects!$G$7="Yes",BE$3=Projects!$C$7+Projects!$D$7-1),Projects!$B$7*(Assumptions!$B$10+Assumptions!$B$11+Assumptions!$B$12)*0.05,0)</f>
        <v>0</v>
      </c>
      <c r="BF18" s="30" t="n">
        <f aca="false">IF(AND(Projects!$G$7="Yes",BF$3&gt;=Projects!$C$7,BF$3&lt;Projects!$C$7+Projects!$D$7),Projects!$B$7*INDEX(Curves!$B$2:$AR$2,1,BF$3-Projects!$C$7+1),0)-IF(AND(Projects!$G$7="Yes",BF$3&gt;=Projects!$C$7,BF$3&lt;Projects!$C$7+Projects!$D$7),Projects!$B$7*(Assumptions!$B$10+Assumptions!$B$11+Assumptions!$B$12)/Projects!$D$7*0.95,0)-IF(AND(Projects!$G$7="Yes",BF$3=Projects!$C$7+Projects!$D$7-1),Projects!$B$7*(Assumptions!$B$10+Assumptions!$B$11+Assumptions!$B$12)*0.05,0)</f>
        <v>0</v>
      </c>
      <c r="BG18" s="30" t="n">
        <f aca="false">IF(AND(Projects!$G$7="Yes",BG$3&gt;=Projects!$C$7,BG$3&lt;Projects!$C$7+Projects!$D$7),Projects!$B$7*INDEX(Curves!$B$2:$AR$2,1,BG$3-Projects!$C$7+1),0)-IF(AND(Projects!$G$7="Yes",BG$3&gt;=Projects!$C$7,BG$3&lt;Projects!$C$7+Projects!$D$7),Projects!$B$7*(Assumptions!$B$10+Assumptions!$B$11+Assumptions!$B$12)/Projects!$D$7*0.95,0)-IF(AND(Projects!$G$7="Yes",BG$3=Projects!$C$7+Projects!$D$7-1),Projects!$B$7*(Assumptions!$B$10+Assumptions!$B$11+Assumptions!$B$12)*0.05,0)</f>
        <v>0</v>
      </c>
      <c r="BH18" s="30" t="n">
        <f aca="false">IF(AND(Projects!$G$7="Yes",BH$3&gt;=Projects!$C$7,BH$3&lt;Projects!$C$7+Projects!$D$7),Projects!$B$7*INDEX(Curves!$B$2:$AR$2,1,BH$3-Projects!$C$7+1),0)-IF(AND(Projects!$G$7="Yes",BH$3&gt;=Projects!$C$7,BH$3&lt;Projects!$C$7+Projects!$D$7),Projects!$B$7*(Assumptions!$B$10+Assumptions!$B$11+Assumptions!$B$12)/Projects!$D$7*0.95,0)-IF(AND(Projects!$G$7="Yes",BH$3=Projects!$C$7+Projects!$D$7-1),Projects!$B$7*(Assumptions!$B$10+Assumptions!$B$11+Assumptions!$B$12)*0.05,0)</f>
        <v>0</v>
      </c>
      <c r="BI18" s="30" t="n">
        <f aca="false">IF(AND(Projects!$G$7="Yes",BI$3&gt;=Projects!$C$7,BI$3&lt;Projects!$C$7+Projects!$D$7),Projects!$B$7*INDEX(Curves!$B$2:$AR$2,1,BI$3-Projects!$C$7+1),0)-IF(AND(Projects!$G$7="Yes",BI$3&gt;=Projects!$C$7,BI$3&lt;Projects!$C$7+Projects!$D$7),Projects!$B$7*(Assumptions!$B$10+Assumptions!$B$11+Assumptions!$B$12)/Projects!$D$7*0.95,0)-IF(AND(Projects!$G$7="Yes",BI$3=Projects!$C$7+Projects!$D$7-1),Projects!$B$7*(Assumptions!$B$10+Assumptions!$B$11+Assumptions!$B$12)*0.05,0)</f>
        <v>0</v>
      </c>
      <c r="BJ18" s="30" t="n">
        <f aca="false">IF(AND(Projects!$G$7="Yes",BJ$3&gt;=Projects!$C$7,BJ$3&lt;Projects!$C$7+Projects!$D$7),Projects!$B$7*INDEX(Curves!$B$2:$AR$2,1,BJ$3-Projects!$C$7+1),0)-IF(AND(Projects!$G$7="Yes",BJ$3&gt;=Projects!$C$7,BJ$3&lt;Projects!$C$7+Projects!$D$7),Projects!$B$7*(Assumptions!$B$10+Assumptions!$B$11+Assumptions!$B$12)/Projects!$D$7*0.95,0)-IF(AND(Projects!$G$7="Yes",BJ$3=Projects!$C$7+Projects!$D$7-1),Projects!$B$7*(Assumptions!$B$10+Assumptions!$B$11+Assumptions!$B$12)*0.05,0)</f>
        <v>0</v>
      </c>
      <c r="BK18" s="30" t="n">
        <f aca="false">IF(AND(Projects!$G$7="Yes",BK$3&gt;=Projects!$C$7,BK$3&lt;Projects!$C$7+Projects!$D$7),Projects!$B$7*INDEX(Curves!$B$2:$AR$2,1,BK$3-Projects!$C$7+1),0)-IF(AND(Projects!$G$7="Yes",BK$3&gt;=Projects!$C$7,BK$3&lt;Projects!$C$7+Projects!$D$7),Projects!$B$7*(Assumptions!$B$10+Assumptions!$B$11+Assumptions!$B$12)/Projects!$D$7*0.95,0)-IF(AND(Projects!$G$7="Yes",BK$3=Projects!$C$7+Projects!$D$7-1),Projects!$B$7*(Assumptions!$B$10+Assumptions!$B$11+Assumptions!$B$12)*0.05,0)</f>
        <v>0</v>
      </c>
      <c r="BL18" s="30" t="n">
        <f aca="false">IF(AND(Projects!$G$7="Yes",BL$3&gt;=Projects!$C$7,BL$3&lt;Projects!$C$7+Projects!$D$7),Projects!$B$7*INDEX(Curves!$B$2:$AR$2,1,BL$3-Projects!$C$7+1),0)-IF(AND(Projects!$G$7="Yes",BL$3&gt;=Projects!$C$7,BL$3&lt;Projects!$C$7+Projects!$D$7),Projects!$B$7*(Assumptions!$B$10+Assumptions!$B$11+Assumptions!$B$12)/Projects!$D$7*0.95,0)-IF(AND(Projects!$G$7="Yes",BL$3=Projects!$C$7+Projects!$D$7-1),Projects!$B$7*(Assumptions!$B$10+Assumptions!$B$11+Assumptions!$B$12)*0.05,0)</f>
        <v>0</v>
      </c>
      <c r="BM18" s="30" t="n">
        <f aca="false">IF(AND(Projects!$G$7="Yes",BM$3&gt;=Projects!$C$7,BM$3&lt;Projects!$C$7+Projects!$D$7),Projects!$B$7*INDEX(Curves!$B$2:$AR$2,1,BM$3-Projects!$C$7+1),0)-IF(AND(Projects!$G$7="Yes",BM$3&gt;=Projects!$C$7,BM$3&lt;Projects!$C$7+Projects!$D$7),Projects!$B$7*(Assumptions!$B$10+Assumptions!$B$11+Assumptions!$B$12)/Projects!$D$7*0.95,0)-IF(AND(Projects!$G$7="Yes",BM$3=Projects!$C$7+Projects!$D$7-1),Projects!$B$7*(Assumptions!$B$10+Assumptions!$B$11+Assumptions!$B$12)*0.05,0)</f>
        <v>0</v>
      </c>
      <c r="BN18" s="30" t="n">
        <f aca="false">IF(AND(Projects!$G$7="Yes",BN$3&gt;=Projects!$C$7,BN$3&lt;Projects!$C$7+Projects!$D$7),Projects!$B$7*INDEX(Curves!$B$2:$AR$2,1,BN$3-Projects!$C$7+1),0)-IF(AND(Projects!$G$7="Yes",BN$3&gt;=Projects!$C$7,BN$3&lt;Projects!$C$7+Projects!$D$7),Projects!$B$7*(Assumptions!$B$10+Assumptions!$B$11+Assumptions!$B$12)/Projects!$D$7*0.95,0)-IF(AND(Projects!$G$7="Yes",BN$3=Projects!$C$7+Projects!$D$7-1),Projects!$B$7*(Assumptions!$B$10+Assumptions!$B$11+Assumptions!$B$12)*0.05,0)</f>
        <v>0</v>
      </c>
      <c r="BO18" s="30" t="n">
        <f aca="false">IF(AND(Projects!$G$7="Yes",BO$3&gt;=Projects!$C$7,BO$3&lt;Projects!$C$7+Projects!$D$7),Projects!$B$7*INDEX(Curves!$B$2:$AR$2,1,BO$3-Projects!$C$7+1),0)-IF(AND(Projects!$G$7="Yes",BO$3&gt;=Projects!$C$7,BO$3&lt;Projects!$C$7+Projects!$D$7),Projects!$B$7*(Assumptions!$B$10+Assumptions!$B$11+Assumptions!$B$12)/Projects!$D$7*0.95,0)-IF(AND(Projects!$G$7="Yes",BO$3=Projects!$C$7+Projects!$D$7-1),Projects!$B$7*(Assumptions!$B$10+Assumptions!$B$11+Assumptions!$B$12)*0.05,0)</f>
        <v>0</v>
      </c>
      <c r="BP18" s="30" t="n">
        <f aca="false">IF(AND(Projects!$G$7="Yes",BP$3&gt;=Projects!$C$7,BP$3&lt;Projects!$C$7+Projects!$D$7),Projects!$B$7*INDEX(Curves!$B$2:$AR$2,1,BP$3-Projects!$C$7+1),0)-IF(AND(Projects!$G$7="Yes",BP$3&gt;=Projects!$C$7,BP$3&lt;Projects!$C$7+Projects!$D$7),Projects!$B$7*(Assumptions!$B$10+Assumptions!$B$11+Assumptions!$B$12)/Projects!$D$7*0.95,0)-IF(AND(Projects!$G$7="Yes",BP$3=Projects!$C$7+Projects!$D$7-1),Projects!$B$7*(Assumptions!$B$10+Assumptions!$B$11+Assumptions!$B$12)*0.05,0)</f>
        <v>0</v>
      </c>
      <c r="BQ18" s="30" t="n">
        <f aca="false">IF(AND(Projects!$G$7="Yes",BQ$3&gt;=Projects!$C$7,BQ$3&lt;Projects!$C$7+Projects!$D$7),Projects!$B$7*INDEX(Curves!$B$2:$AR$2,1,BQ$3-Projects!$C$7+1),0)-IF(AND(Projects!$G$7="Yes",BQ$3&gt;=Projects!$C$7,BQ$3&lt;Projects!$C$7+Projects!$D$7),Projects!$B$7*(Assumptions!$B$10+Assumptions!$B$11+Assumptions!$B$12)/Projects!$D$7*0.95,0)-IF(AND(Projects!$G$7="Yes",BQ$3=Projects!$C$7+Projects!$D$7-1),Projects!$B$7*(Assumptions!$B$10+Assumptions!$B$11+Assumptions!$B$12)*0.05,0)</f>
        <v>0</v>
      </c>
      <c r="BR18" s="30" t="n">
        <f aca="false">IF(AND(Projects!$G$7="Yes",BR$3&gt;=Projects!$C$7,BR$3&lt;Projects!$C$7+Projects!$D$7),Projects!$B$7*INDEX(Curves!$B$2:$AR$2,1,BR$3-Projects!$C$7+1),0)-IF(AND(Projects!$G$7="Yes",BR$3&gt;=Projects!$C$7,BR$3&lt;Projects!$C$7+Projects!$D$7),Projects!$B$7*(Assumptions!$B$10+Assumptions!$B$11+Assumptions!$B$12)/Projects!$D$7*0.95,0)-IF(AND(Projects!$G$7="Yes",BR$3=Projects!$C$7+Projects!$D$7-1),Projects!$B$7*(Assumptions!$B$10+Assumptions!$B$11+Assumptions!$B$12)*0.05,0)</f>
        <v>0</v>
      </c>
      <c r="BS18" s="30" t="n">
        <f aca="false">IF(AND(Projects!$G$7="Yes",BS$3&gt;=Projects!$C$7,BS$3&lt;Projects!$C$7+Projects!$D$7),Projects!$B$7*INDEX(Curves!$B$2:$AR$2,1,BS$3-Projects!$C$7+1),0)-IF(AND(Projects!$G$7="Yes",BS$3&gt;=Projects!$C$7,BS$3&lt;Projects!$C$7+Projects!$D$7),Projects!$B$7*(Assumptions!$B$10+Assumptions!$B$11+Assumptions!$B$12)/Projects!$D$7*0.95,0)-IF(AND(Projects!$G$7="Yes",BS$3=Projects!$C$7+Projects!$D$7-1),Projects!$B$7*(Assumptions!$B$10+Assumptions!$B$11+Assumptions!$B$12)*0.05,0)</f>
        <v>0</v>
      </c>
      <c r="BT18" s="30" t="n">
        <f aca="false">IF(AND(Projects!$G$7="Yes",BT$3&gt;=Projects!$C$7,BT$3&lt;Projects!$C$7+Projects!$D$7),Projects!$B$7*INDEX(Curves!$B$2:$AR$2,1,BT$3-Projects!$C$7+1),0)-IF(AND(Projects!$G$7="Yes",BT$3&gt;=Projects!$C$7,BT$3&lt;Projects!$C$7+Projects!$D$7),Projects!$B$7*(Assumptions!$B$10+Assumptions!$B$11+Assumptions!$B$12)/Projects!$D$7*0.95,0)-IF(AND(Projects!$G$7="Yes",BT$3=Projects!$C$7+Projects!$D$7-1),Projects!$B$7*(Assumptions!$B$10+Assumptions!$B$11+Assumptions!$B$12)*0.05,0)</f>
        <v>0</v>
      </c>
      <c r="BU18" s="30" t="n">
        <f aca="false">IF(AND(Projects!$G$7="Yes",BU$3&gt;=Projects!$C$7,BU$3&lt;Projects!$C$7+Projects!$D$7),Projects!$B$7*INDEX(Curves!$B$2:$AR$2,1,BU$3-Projects!$C$7+1),0)-IF(AND(Projects!$G$7="Yes",BU$3&gt;=Projects!$C$7,BU$3&lt;Projects!$C$7+Projects!$D$7),Projects!$B$7*(Assumptions!$B$10+Assumptions!$B$11+Assumptions!$B$12)/Projects!$D$7*0.95,0)-IF(AND(Projects!$G$7="Yes",BU$3=Projects!$C$7+Projects!$D$7-1),Projects!$B$7*(Assumptions!$B$10+Assumptions!$B$11+Assumptions!$B$12)*0.05,0)</f>
        <v>0</v>
      </c>
      <c r="BV18" s="30" t="n">
        <f aca="false">IF(AND(Projects!$G$7="Yes",BV$3&gt;=Projects!$C$7,BV$3&lt;Projects!$C$7+Projects!$D$7),Projects!$B$7*INDEX(Curves!$B$2:$AR$2,1,BV$3-Projects!$C$7+1),0)-IF(AND(Projects!$G$7="Yes",BV$3&gt;=Projects!$C$7,BV$3&lt;Projects!$C$7+Projects!$D$7),Projects!$B$7*(Assumptions!$B$10+Assumptions!$B$11+Assumptions!$B$12)/Projects!$D$7*0.95,0)-IF(AND(Projects!$G$7="Yes",BV$3=Projects!$C$7+Projects!$D$7-1),Projects!$B$7*(Assumptions!$B$10+Assumptions!$B$11+Assumptions!$B$12)*0.05,0)</f>
        <v>0</v>
      </c>
      <c r="BW18" s="30" t="n">
        <f aca="false">IF(AND(Projects!$G$7="Yes",BW$3&gt;=Projects!$C$7,BW$3&lt;Projects!$C$7+Projects!$D$7),Projects!$B$7*INDEX(Curves!$B$2:$AR$2,1,BW$3-Projects!$C$7+1),0)-IF(AND(Projects!$G$7="Yes",BW$3&gt;=Projects!$C$7,BW$3&lt;Projects!$C$7+Projects!$D$7),Projects!$B$7*(Assumptions!$B$10+Assumptions!$B$11+Assumptions!$B$12)/Projects!$D$7*0.95,0)-IF(AND(Projects!$G$7="Yes",BW$3=Projects!$C$7+Projects!$D$7-1),Projects!$B$7*(Assumptions!$B$10+Assumptions!$B$11+Assumptions!$B$12)*0.05,0)</f>
        <v>0</v>
      </c>
      <c r="BX18" s="30" t="n">
        <f aca="false">IF(AND(Projects!$G$7="Yes",BX$3&gt;=Projects!$C$7,BX$3&lt;Projects!$C$7+Projects!$D$7),Projects!$B$7*INDEX(Curves!$B$2:$AR$2,1,BX$3-Projects!$C$7+1),0)-IF(AND(Projects!$G$7="Yes",BX$3&gt;=Projects!$C$7,BX$3&lt;Projects!$C$7+Projects!$D$7),Projects!$B$7*(Assumptions!$B$10+Assumptions!$B$11+Assumptions!$B$12)/Projects!$D$7*0.95,0)-IF(AND(Projects!$G$7="Yes",BX$3=Projects!$C$7+Projects!$D$7-1),Projects!$B$7*(Assumptions!$B$10+Assumptions!$B$11+Assumptions!$B$12)*0.05,0)</f>
        <v>0</v>
      </c>
      <c r="BY18" s="30" t="n">
        <f aca="false">IF(AND(Projects!$G$7="Yes",BY$3&gt;=Projects!$C$7,BY$3&lt;Projects!$C$7+Projects!$D$7),Projects!$B$7*INDEX(Curves!$B$2:$AR$2,1,BY$3-Projects!$C$7+1),0)-IF(AND(Projects!$G$7="Yes",BY$3&gt;=Projects!$C$7,BY$3&lt;Projects!$C$7+Projects!$D$7),Projects!$B$7*(Assumptions!$B$10+Assumptions!$B$11+Assumptions!$B$12)/Projects!$D$7*0.95,0)-IF(AND(Projects!$G$7="Yes",BY$3=Projects!$C$7+Projects!$D$7-1),Projects!$B$7*(Assumptions!$B$10+Assumptions!$B$11+Assumptions!$B$12)*0.05,0)</f>
        <v>0</v>
      </c>
      <c r="BZ18" s="30" t="n">
        <f aca="false">IF(AND(Projects!$G$7="Yes",BZ$3&gt;=Projects!$C$7,BZ$3&lt;Projects!$C$7+Projects!$D$7),Projects!$B$7*INDEX(Curves!$B$2:$AR$2,1,BZ$3-Projects!$C$7+1),0)-IF(AND(Projects!$G$7="Yes",BZ$3&gt;=Projects!$C$7,BZ$3&lt;Projects!$C$7+Projects!$D$7),Projects!$B$7*(Assumptions!$B$10+Assumptions!$B$11+Assumptions!$B$12)/Projects!$D$7*0.95,0)-IF(AND(Projects!$G$7="Yes",BZ$3=Projects!$C$7+Projects!$D$7-1),Projects!$B$7*(Assumptions!$B$10+Assumptions!$B$11+Assumptions!$B$12)*0.05,0)</f>
        <v>0</v>
      </c>
      <c r="CA18" s="30" t="n">
        <f aca="false">IF(AND(Projects!$G$7="Yes",CA$3&gt;=Projects!$C$7,CA$3&lt;Projects!$C$7+Projects!$D$7),Projects!$B$7*INDEX(Curves!$B$2:$AR$2,1,CA$3-Projects!$C$7+1),0)-IF(AND(Projects!$G$7="Yes",CA$3&gt;=Projects!$C$7,CA$3&lt;Projects!$C$7+Projects!$D$7),Projects!$B$7*(Assumptions!$B$10+Assumptions!$B$11+Assumptions!$B$12)/Projects!$D$7*0.95,0)-IF(AND(Projects!$G$7="Yes",CA$3=Projects!$C$7+Projects!$D$7-1),Projects!$B$7*(Assumptions!$B$10+Assumptions!$B$11+Assumptions!$B$12)*0.05,0)</f>
        <v>0</v>
      </c>
      <c r="CB18" s="30" t="n">
        <f aca="false">IF(AND(Projects!$G$7="Yes",CB$3&gt;=Projects!$C$7,CB$3&lt;Projects!$C$7+Projects!$D$7),Projects!$B$7*INDEX(Curves!$B$2:$AR$2,1,CB$3-Projects!$C$7+1),0)-IF(AND(Projects!$G$7="Yes",CB$3&gt;=Projects!$C$7,CB$3&lt;Projects!$C$7+Projects!$D$7),Projects!$B$7*(Assumptions!$B$10+Assumptions!$B$11+Assumptions!$B$12)/Projects!$D$7*0.95,0)-IF(AND(Projects!$G$7="Yes",CB$3=Projects!$C$7+Projects!$D$7-1),Projects!$B$7*(Assumptions!$B$10+Assumptions!$B$11+Assumptions!$B$12)*0.05,0)</f>
        <v>0</v>
      </c>
      <c r="CC18" s="30" t="n">
        <f aca="false">IF(AND(Projects!$G$7="Yes",CC$3&gt;=Projects!$C$7,CC$3&lt;Projects!$C$7+Projects!$D$7),Projects!$B$7*INDEX(Curves!$B$2:$AR$2,1,CC$3-Projects!$C$7+1),0)-IF(AND(Projects!$G$7="Yes",CC$3&gt;=Projects!$C$7,CC$3&lt;Projects!$C$7+Projects!$D$7),Projects!$B$7*(Assumptions!$B$10+Assumptions!$B$11+Assumptions!$B$12)/Projects!$D$7*0.95,0)-IF(AND(Projects!$G$7="Yes",CC$3=Projects!$C$7+Projects!$D$7-1),Projects!$B$7*(Assumptions!$B$10+Assumptions!$B$11+Assumptions!$B$12)*0.05,0)</f>
        <v>0</v>
      </c>
      <c r="CD18" s="30" t="n">
        <f aca="false">IF(AND(Projects!$G$7="Yes",CD$3&gt;=Projects!$C$7,CD$3&lt;Projects!$C$7+Projects!$D$7),Projects!$B$7*INDEX(Curves!$B$2:$AR$2,1,CD$3-Projects!$C$7+1),0)-IF(AND(Projects!$G$7="Yes",CD$3&gt;=Projects!$C$7,CD$3&lt;Projects!$C$7+Projects!$D$7),Projects!$B$7*(Assumptions!$B$10+Assumptions!$B$11+Assumptions!$B$12)/Projects!$D$7*0.95,0)-IF(AND(Projects!$G$7="Yes",CD$3=Projects!$C$7+Projects!$D$7-1),Projects!$B$7*(Assumptions!$B$10+Assumptions!$B$11+Assumptions!$B$12)*0.05,0)</f>
        <v>0</v>
      </c>
      <c r="CE18" s="30" t="n">
        <f aca="false">IF(AND(Projects!$G$7="Yes",CE$3&gt;=Projects!$C$7,CE$3&lt;Projects!$C$7+Projects!$D$7),Projects!$B$7*INDEX(Curves!$B$2:$AR$2,1,CE$3-Projects!$C$7+1),0)-IF(AND(Projects!$G$7="Yes",CE$3&gt;=Projects!$C$7,CE$3&lt;Projects!$C$7+Projects!$D$7),Projects!$B$7*(Assumptions!$B$10+Assumptions!$B$11+Assumptions!$B$12)/Projects!$D$7*0.95,0)-IF(AND(Projects!$G$7="Yes",CE$3=Projects!$C$7+Projects!$D$7-1),Projects!$B$7*(Assumptions!$B$10+Assumptions!$B$11+Assumptions!$B$12)*0.05,0)</f>
        <v>0</v>
      </c>
      <c r="CF18" s="30" t="n">
        <f aca="false">IF(AND(Projects!$G$7="Yes",CF$3&gt;=Projects!$C$7,CF$3&lt;Projects!$C$7+Projects!$D$7),Projects!$B$7*INDEX(Curves!$B$2:$AR$2,1,CF$3-Projects!$C$7+1),0)-IF(AND(Projects!$G$7="Yes",CF$3&gt;=Projects!$C$7,CF$3&lt;Projects!$C$7+Projects!$D$7),Projects!$B$7*(Assumptions!$B$10+Assumptions!$B$11+Assumptions!$B$12)/Projects!$D$7*0.95,0)-IF(AND(Projects!$G$7="Yes",CF$3=Projects!$C$7+Projects!$D$7-1),Projects!$B$7*(Assumptions!$B$10+Assumptions!$B$11+Assumptions!$B$12)*0.05,0)</f>
        <v>0</v>
      </c>
      <c r="CG18" s="30" t="n">
        <f aca="false">IF(AND(Projects!$G$7="Yes",CG$3&gt;=Projects!$C$7,CG$3&lt;Projects!$C$7+Projects!$D$7),Projects!$B$7*INDEX(Curves!$B$2:$AR$2,1,CG$3-Projects!$C$7+1),0)-IF(AND(Projects!$G$7="Yes",CG$3&gt;=Projects!$C$7,CG$3&lt;Projects!$C$7+Projects!$D$7),Projects!$B$7*(Assumptions!$B$10+Assumptions!$B$11+Assumptions!$B$12)/Projects!$D$7*0.95,0)-IF(AND(Projects!$G$7="Yes",CG$3=Projects!$C$7+Projects!$D$7-1),Projects!$B$7*(Assumptions!$B$10+Assumptions!$B$11+Assumptions!$B$12)*0.05,0)</f>
        <v>0</v>
      </c>
      <c r="CH18" s="30" t="n">
        <f aca="false">IF(AND(Projects!$G$7="Yes",CH$3&gt;=Projects!$C$7,CH$3&lt;Projects!$C$7+Projects!$D$7),Projects!$B$7*INDEX(Curves!$B$2:$AR$2,1,CH$3-Projects!$C$7+1),0)-IF(AND(Projects!$G$7="Yes",CH$3&gt;=Projects!$C$7,CH$3&lt;Projects!$C$7+Projects!$D$7),Projects!$B$7*(Assumptions!$B$10+Assumptions!$B$11+Assumptions!$B$12)/Projects!$D$7*0.95,0)-IF(AND(Projects!$G$7="Yes",CH$3=Projects!$C$7+Projects!$D$7-1),Projects!$B$7*(Assumptions!$B$10+Assumptions!$B$11+Assumptions!$B$12)*0.05,0)</f>
        <v>0</v>
      </c>
      <c r="CI18" s="30" t="n">
        <f aca="false">IF(AND(Projects!$G$7="Yes",CI$3&gt;=Projects!$C$7,CI$3&lt;Projects!$C$7+Projects!$D$7),Projects!$B$7*INDEX(Curves!$B$2:$AR$2,1,CI$3-Projects!$C$7+1),0)-IF(AND(Projects!$G$7="Yes",CI$3&gt;=Projects!$C$7,CI$3&lt;Projects!$C$7+Projects!$D$7),Projects!$B$7*(Assumptions!$B$10+Assumptions!$B$11+Assumptions!$B$12)/Projects!$D$7*0.95,0)-IF(AND(Projects!$G$7="Yes",CI$3=Projects!$C$7+Projects!$D$7-1),Projects!$B$7*(Assumptions!$B$10+Assumptions!$B$11+Assumptions!$B$12)*0.05,0)</f>
        <v>0</v>
      </c>
      <c r="CJ18" s="30" t="n">
        <f aca="false">IF(AND(Projects!$G$7="Yes",CJ$3&gt;=Projects!$C$7,CJ$3&lt;Projects!$C$7+Projects!$D$7),Projects!$B$7*INDEX(Curves!$B$2:$AR$2,1,CJ$3-Projects!$C$7+1),0)-IF(AND(Projects!$G$7="Yes",CJ$3&gt;=Projects!$C$7,CJ$3&lt;Projects!$C$7+Projects!$D$7),Projects!$B$7*(Assumptions!$B$10+Assumptions!$B$11+Assumptions!$B$12)/Projects!$D$7*0.95,0)-IF(AND(Projects!$G$7="Yes",CJ$3=Projects!$C$7+Projects!$D$7-1),Projects!$B$7*(Assumptions!$B$10+Assumptions!$B$11+Assumptions!$B$12)*0.05,0)</f>
        <v>0</v>
      </c>
      <c r="CK18" s="30" t="n">
        <f aca="false">IF(AND(Projects!$G$7="Yes",CK$3&gt;=Projects!$C$7,CK$3&lt;Projects!$C$7+Projects!$D$7),Projects!$B$7*INDEX(Curves!$B$2:$AR$2,1,CK$3-Projects!$C$7+1),0)-IF(AND(Projects!$G$7="Yes",CK$3&gt;=Projects!$C$7,CK$3&lt;Projects!$C$7+Projects!$D$7),Projects!$B$7*(Assumptions!$B$10+Assumptions!$B$11+Assumptions!$B$12)/Projects!$D$7*0.95,0)-IF(AND(Projects!$G$7="Yes",CK$3=Projects!$C$7+Projects!$D$7-1),Projects!$B$7*(Assumptions!$B$10+Assumptions!$B$11+Assumptions!$B$12)*0.05,0)</f>
        <v>0</v>
      </c>
      <c r="CL18" s="30" t="n">
        <f aca="false">IF(AND(Projects!$G$7="Yes",CL$3&gt;=Projects!$C$7,CL$3&lt;Projects!$C$7+Projects!$D$7),Projects!$B$7*INDEX(Curves!$B$2:$AR$2,1,CL$3-Projects!$C$7+1),0)-IF(AND(Projects!$G$7="Yes",CL$3&gt;=Projects!$C$7,CL$3&lt;Projects!$C$7+Projects!$D$7),Projects!$B$7*(Assumptions!$B$10+Assumptions!$B$11+Assumptions!$B$12)/Projects!$D$7*0.95,0)-IF(AND(Projects!$G$7="Yes",CL$3=Projects!$C$7+Projects!$D$7-1),Projects!$B$7*(Assumptions!$B$10+Assumptions!$B$11+Assumptions!$B$12)*0.05,0)</f>
        <v>0</v>
      </c>
      <c r="CM18" s="30" t="n">
        <f aca="false">IF(AND(Projects!$G$7="Yes",CM$3&gt;=Projects!$C$7,CM$3&lt;Projects!$C$7+Projects!$D$7),Projects!$B$7*INDEX(Curves!$B$2:$AR$2,1,CM$3-Projects!$C$7+1),0)-IF(AND(Projects!$G$7="Yes",CM$3&gt;=Projects!$C$7,CM$3&lt;Projects!$C$7+Projects!$D$7),Projects!$B$7*(Assumptions!$B$10+Assumptions!$B$11+Assumptions!$B$12)/Projects!$D$7*0.95,0)-IF(AND(Projects!$G$7="Yes",CM$3=Projects!$C$7+Projects!$D$7-1),Projects!$B$7*(Assumptions!$B$10+Assumptions!$B$11+Assumptions!$B$12)*0.05,0)</f>
        <v>0</v>
      </c>
      <c r="CN18" s="30" t="n">
        <f aca="false">IF(AND(Projects!$G$7="Yes",CN$3&gt;=Projects!$C$7,CN$3&lt;Projects!$C$7+Projects!$D$7),Projects!$B$7*INDEX(Curves!$B$2:$AR$2,1,CN$3-Projects!$C$7+1),0)-IF(AND(Projects!$G$7="Yes",CN$3&gt;=Projects!$C$7,CN$3&lt;Projects!$C$7+Projects!$D$7),Projects!$B$7*(Assumptions!$B$10+Assumptions!$B$11+Assumptions!$B$12)/Projects!$D$7*0.95,0)-IF(AND(Projects!$G$7="Yes",CN$3=Projects!$C$7+Projects!$D$7-1),Projects!$B$7*(Assumptions!$B$10+Assumptions!$B$11+Assumptions!$B$12)*0.05,0)</f>
        <v>0</v>
      </c>
      <c r="CO18" s="30" t="n">
        <f aca="false">IF(AND(Projects!$G$7="Yes",CO$3&gt;=Projects!$C$7,CO$3&lt;Projects!$C$7+Projects!$D$7),Projects!$B$7*INDEX(Curves!$B$2:$AR$2,1,CO$3-Projects!$C$7+1),0)-IF(AND(Projects!$G$7="Yes",CO$3&gt;=Projects!$C$7,CO$3&lt;Projects!$C$7+Projects!$D$7),Projects!$B$7*(Assumptions!$B$10+Assumptions!$B$11+Assumptions!$B$12)/Projects!$D$7*0.95,0)-IF(AND(Projects!$G$7="Yes",CO$3=Projects!$C$7+Projects!$D$7-1),Projects!$B$7*(Assumptions!$B$10+Assumptions!$B$11+Assumptions!$B$12)*0.05,0)</f>
        <v>0</v>
      </c>
      <c r="CP18" s="30" t="n">
        <f aca="false">IF(AND(Projects!$G$7="Yes",CP$3&gt;=Projects!$C$7,CP$3&lt;Projects!$C$7+Projects!$D$7),Projects!$B$7*INDEX(Curves!$B$2:$AR$2,1,CP$3-Projects!$C$7+1),0)-IF(AND(Projects!$G$7="Yes",CP$3&gt;=Projects!$C$7,CP$3&lt;Projects!$C$7+Projects!$D$7),Projects!$B$7*(Assumptions!$B$10+Assumptions!$B$11+Assumptions!$B$12)/Projects!$D$7*0.95,0)-IF(AND(Projects!$G$7="Yes",CP$3=Projects!$C$7+Projects!$D$7-1),Projects!$B$7*(Assumptions!$B$10+Assumptions!$B$11+Assumptions!$B$12)*0.05,0)</f>
        <v>0</v>
      </c>
      <c r="CQ18" s="30" t="n">
        <f aca="false">IF(AND(Projects!$G$7="Yes",CQ$3&gt;=Projects!$C$7,CQ$3&lt;Projects!$C$7+Projects!$D$7),Projects!$B$7*INDEX(Curves!$B$2:$AR$2,1,CQ$3-Projects!$C$7+1),0)-IF(AND(Projects!$G$7="Yes",CQ$3&gt;=Projects!$C$7,CQ$3&lt;Projects!$C$7+Projects!$D$7),Projects!$B$7*(Assumptions!$B$10+Assumptions!$B$11+Assumptions!$B$12)/Projects!$D$7*0.95,0)-IF(AND(Projects!$G$7="Yes",CQ$3=Projects!$C$7+Projects!$D$7-1),Projects!$B$7*(Assumptions!$B$10+Assumptions!$B$11+Assumptions!$B$12)*0.05,0)</f>
        <v>0</v>
      </c>
      <c r="CR18" s="30" t="n">
        <f aca="false">IF(AND(Projects!$G$7="Yes",CR$3&gt;=Projects!$C$7,CR$3&lt;Projects!$C$7+Projects!$D$7),Projects!$B$7*INDEX(Curves!$B$2:$AR$2,1,CR$3-Projects!$C$7+1),0)-IF(AND(Projects!$G$7="Yes",CR$3&gt;=Projects!$C$7,CR$3&lt;Projects!$C$7+Projects!$D$7),Projects!$B$7*(Assumptions!$B$10+Assumptions!$B$11+Assumptions!$B$12)/Projects!$D$7*0.95,0)-IF(AND(Projects!$G$7="Yes",CR$3=Projects!$C$7+Projects!$D$7-1),Projects!$B$7*(Assumptions!$B$10+Assumptions!$B$11+Assumptions!$B$12)*0.05,0)</f>
        <v>0</v>
      </c>
      <c r="CS18" s="30" t="n">
        <f aca="false">IF(AND(Projects!$G$7="Yes",CS$3&gt;=Projects!$C$7,CS$3&lt;Projects!$C$7+Projects!$D$7),Projects!$B$7*INDEX(Curves!$B$2:$AR$2,1,CS$3-Projects!$C$7+1),0)-IF(AND(Projects!$G$7="Yes",CS$3&gt;=Projects!$C$7,CS$3&lt;Projects!$C$7+Projects!$D$7),Projects!$B$7*(Assumptions!$B$10+Assumptions!$B$11+Assumptions!$B$12)/Projects!$D$7*0.95,0)-IF(AND(Projects!$G$7="Yes",CS$3=Projects!$C$7+Projects!$D$7-1),Projects!$B$7*(Assumptions!$B$10+Assumptions!$B$11+Assumptions!$B$12)*0.05,0)</f>
        <v>0</v>
      </c>
      <c r="CT18" s="30" t="n">
        <f aca="false">IF(AND(Projects!$G$7="Yes",CT$3&gt;=Projects!$C$7,CT$3&lt;Projects!$C$7+Projects!$D$7),Projects!$B$7*INDEX(Curves!$B$2:$AR$2,1,CT$3-Projects!$C$7+1),0)-IF(AND(Projects!$G$7="Yes",CT$3&gt;=Projects!$C$7,CT$3&lt;Projects!$C$7+Projects!$D$7),Projects!$B$7*(Assumptions!$B$10+Assumptions!$B$11+Assumptions!$B$12)/Projects!$D$7*0.95,0)-IF(AND(Projects!$G$7="Yes",CT$3=Projects!$C$7+Projects!$D$7-1),Projects!$B$7*(Assumptions!$B$10+Assumptions!$B$11+Assumptions!$B$12)*0.05,0)</f>
        <v>0</v>
      </c>
      <c r="CU18" s="30" t="n">
        <f aca="false">IF(AND(Projects!$G$7="Yes",CU$3&gt;=Projects!$C$7,CU$3&lt;Projects!$C$7+Projects!$D$7),Projects!$B$7*INDEX(Curves!$B$2:$AR$2,1,CU$3-Projects!$C$7+1),0)-IF(AND(Projects!$G$7="Yes",CU$3&gt;=Projects!$C$7,CU$3&lt;Projects!$C$7+Projects!$D$7),Projects!$B$7*(Assumptions!$B$10+Assumptions!$B$11+Assumptions!$B$12)/Projects!$D$7*0.95,0)-IF(AND(Projects!$G$7="Yes",CU$3=Projects!$C$7+Projects!$D$7-1),Projects!$B$7*(Assumptions!$B$10+Assumptions!$B$11+Assumptions!$B$12)*0.05,0)</f>
        <v>0</v>
      </c>
      <c r="CV18" s="30" t="n">
        <f aca="false">IF(AND(Projects!$G$7="Yes",CV$3&gt;=Projects!$C$7,CV$3&lt;Projects!$C$7+Projects!$D$7),Projects!$B$7*INDEX(Curves!$B$2:$AR$2,1,CV$3-Projects!$C$7+1),0)-IF(AND(Projects!$G$7="Yes",CV$3&gt;=Projects!$C$7,CV$3&lt;Projects!$C$7+Projects!$D$7),Projects!$B$7*(Assumptions!$B$10+Assumptions!$B$11+Assumptions!$B$12)/Projects!$D$7*0.95,0)-IF(AND(Projects!$G$7="Yes",CV$3=Projects!$C$7+Projects!$D$7-1),Projects!$B$7*(Assumptions!$B$10+Assumptions!$B$11+Assumptions!$B$12)*0.05,0)</f>
        <v>0</v>
      </c>
      <c r="CW18" s="30" t="n">
        <f aca="false">IF(AND(Projects!$G$7="Yes",CW$3&gt;=Projects!$C$7,CW$3&lt;Projects!$C$7+Projects!$D$7),Projects!$B$7*INDEX(Curves!$B$2:$AR$2,1,CW$3-Projects!$C$7+1),0)-IF(AND(Projects!$G$7="Yes",CW$3&gt;=Projects!$C$7,CW$3&lt;Projects!$C$7+Projects!$D$7),Projects!$B$7*(Assumptions!$B$10+Assumptions!$B$11+Assumptions!$B$12)/Projects!$D$7*0.95,0)-IF(AND(Projects!$G$7="Yes",CW$3=Projects!$C$7+Projects!$D$7-1),Projects!$B$7*(Assumptions!$B$10+Assumptions!$B$11+Assumptions!$B$12)*0.05,0)</f>
        <v>0</v>
      </c>
      <c r="CX18" s="30" t="n">
        <f aca="false">IF(AND(Projects!$G$7="Yes",CX$3&gt;=Projects!$C$7,CX$3&lt;Projects!$C$7+Projects!$D$7),Projects!$B$7*INDEX(Curves!$B$2:$AR$2,1,CX$3-Projects!$C$7+1),0)-IF(AND(Projects!$G$7="Yes",CX$3&gt;=Projects!$C$7,CX$3&lt;Projects!$C$7+Projects!$D$7),Projects!$B$7*(Assumptions!$B$10+Assumptions!$B$11+Assumptions!$B$12)/Projects!$D$7*0.95,0)-IF(AND(Projects!$G$7="Yes",CX$3=Projects!$C$7+Projects!$D$7-1),Projects!$B$7*(Assumptions!$B$10+Assumptions!$B$11+Assumptions!$B$12)*0.05,0)</f>
        <v>0</v>
      </c>
      <c r="CY18" s="30" t="n">
        <f aca="false">IF(AND(Projects!$G$7="Yes",CY$3&gt;=Projects!$C$7,CY$3&lt;Projects!$C$7+Projects!$D$7),Projects!$B$7*INDEX(Curves!$B$2:$AR$2,1,CY$3-Projects!$C$7+1),0)-IF(AND(Projects!$G$7="Yes",CY$3&gt;=Projects!$C$7,CY$3&lt;Projects!$C$7+Projects!$D$7),Projects!$B$7*(Assumptions!$B$10+Assumptions!$B$11+Assumptions!$B$12)/Projects!$D$7*0.95,0)-IF(AND(Projects!$G$7="Yes",CY$3=Projects!$C$7+Projects!$D$7-1),Projects!$B$7*(Assumptions!$B$10+Assumptions!$B$11+Assumptions!$B$12)*0.05,0)</f>
        <v>0</v>
      </c>
      <c r="CZ18" s="30" t="n">
        <f aca="false">IF(AND(Projects!$G$7="Yes",CZ$3&gt;=Projects!$C$7,CZ$3&lt;Projects!$C$7+Projects!$D$7),Projects!$B$7*INDEX(Curves!$B$2:$AR$2,1,CZ$3-Projects!$C$7+1),0)-IF(AND(Projects!$G$7="Yes",CZ$3&gt;=Projects!$C$7,CZ$3&lt;Projects!$C$7+Projects!$D$7),Projects!$B$7*(Assumptions!$B$10+Assumptions!$B$11+Assumptions!$B$12)/Projects!$D$7*0.95,0)-IF(AND(Projects!$G$7="Yes",CZ$3=Projects!$C$7+Projects!$D$7-1),Projects!$B$7*(Assumptions!$B$10+Assumptions!$B$11+Assumptions!$B$12)*0.05,0)</f>
        <v>0</v>
      </c>
      <c r="DA18" s="30" t="n">
        <f aca="false">IF(AND(Projects!$G$7="Yes",DA$3&gt;=Projects!$C$7,DA$3&lt;Projects!$C$7+Projects!$D$7),Projects!$B$7*INDEX(Curves!$B$2:$AR$2,1,DA$3-Projects!$C$7+1),0)-IF(AND(Projects!$G$7="Yes",DA$3&gt;=Projects!$C$7,DA$3&lt;Projects!$C$7+Projects!$D$7),Projects!$B$7*(Assumptions!$B$10+Assumptions!$B$11+Assumptions!$B$12)/Projects!$D$7*0.95,0)-IF(AND(Projects!$G$7="Yes",DA$3=Projects!$C$7+Projects!$D$7-1),Projects!$B$7*(Assumptions!$B$10+Assumptions!$B$11+Assumptions!$B$12)*0.05,0)</f>
        <v>0</v>
      </c>
      <c r="DB18" s="30" t="n">
        <f aca="false">IF(AND(Projects!$G$7="Yes",DB$3&gt;=Projects!$C$7,DB$3&lt;Projects!$C$7+Projects!$D$7),Projects!$B$7*INDEX(Curves!$B$2:$AR$2,1,DB$3-Projects!$C$7+1),0)-IF(AND(Projects!$G$7="Yes",DB$3&gt;=Projects!$C$7,DB$3&lt;Projects!$C$7+Projects!$D$7),Projects!$B$7*(Assumptions!$B$10+Assumptions!$B$11+Assumptions!$B$12)/Projects!$D$7*0.95,0)-IF(AND(Projects!$G$7="Yes",DB$3=Projects!$C$7+Projects!$D$7-1),Projects!$B$7*(Assumptions!$B$10+Assumptions!$B$11+Assumptions!$B$12)*0.05,0)</f>
        <v>0</v>
      </c>
      <c r="DC18" s="30" t="n">
        <f aca="false">IF(AND(Projects!$G$7="Yes",DC$3&gt;=Projects!$C$7,DC$3&lt;Projects!$C$7+Projects!$D$7),Projects!$B$7*INDEX(Curves!$B$2:$AR$2,1,DC$3-Projects!$C$7+1),0)-IF(AND(Projects!$G$7="Yes",DC$3&gt;=Projects!$C$7,DC$3&lt;Projects!$C$7+Projects!$D$7),Projects!$B$7*(Assumptions!$B$10+Assumptions!$B$11+Assumptions!$B$12)/Projects!$D$7*0.95,0)-IF(AND(Projects!$G$7="Yes",DC$3=Projects!$C$7+Projects!$D$7-1),Projects!$B$7*(Assumptions!$B$10+Assumptions!$B$11+Assumptions!$B$12)*0.05,0)</f>
        <v>0</v>
      </c>
      <c r="DD18" s="30" t="n">
        <f aca="false">IF(AND(Projects!$G$7="Yes",DD$3&gt;=Projects!$C$7,DD$3&lt;Projects!$C$7+Projects!$D$7),Projects!$B$7*INDEX(Curves!$B$2:$AR$2,1,DD$3-Projects!$C$7+1),0)-IF(AND(Projects!$G$7="Yes",DD$3&gt;=Projects!$C$7,DD$3&lt;Projects!$C$7+Projects!$D$7),Projects!$B$7*(Assumptions!$B$10+Assumptions!$B$11+Assumptions!$B$12)/Projects!$D$7*0.95,0)-IF(AND(Projects!$G$7="Yes",DD$3=Projects!$C$7+Projects!$D$7-1),Projects!$B$7*(Assumptions!$B$10+Assumptions!$B$11+Assumptions!$B$12)*0.05,0)</f>
        <v>0</v>
      </c>
      <c r="DE18" s="30" t="n">
        <f aca="false">IF(AND(Projects!$G$7="Yes",DE$3&gt;=Projects!$C$7,DE$3&lt;Projects!$C$7+Projects!$D$7),Projects!$B$7*INDEX(Curves!$B$2:$AR$2,1,DE$3-Projects!$C$7+1),0)-IF(AND(Projects!$G$7="Yes",DE$3&gt;=Projects!$C$7,DE$3&lt;Projects!$C$7+Projects!$D$7),Projects!$B$7*(Assumptions!$B$10+Assumptions!$B$11+Assumptions!$B$12)/Projects!$D$7*0.95,0)-IF(AND(Projects!$G$7="Yes",DE$3=Projects!$C$7+Projects!$D$7-1),Projects!$B$7*(Assumptions!$B$10+Assumptions!$B$11+Assumptions!$B$12)*0.05,0)</f>
        <v>0</v>
      </c>
    </row>
    <row r="19" customFormat="false" ht="15" hidden="true" customHeight="true" outlineLevel="1" collapsed="false">
      <c r="A19" s="32" t="s">
        <v>13</v>
      </c>
      <c r="B19" s="30" t="n">
        <v>0</v>
      </c>
      <c r="C19" s="30" t="n">
        <v>0</v>
      </c>
      <c r="D19" s="30" t="n">
        <v>0</v>
      </c>
      <c r="E19" s="30" t="n">
        <v>0</v>
      </c>
      <c r="F19" s="30" t="n">
        <f aca="false">IF(AND(Projects!$G$8="Yes",F$3&gt;=Projects!$C$8,F$3&lt;Projects!$C$8+Projects!$D$8),Projects!$B$8*INDEX(Curves!$B$4:$AR$4,1,F$3-Projects!$C$8+1),0)-IF(AND(Projects!$G$8="Yes",F$3&gt;=Projects!$C$8,F$3&lt;Projects!$C$8+Projects!$D$8),Projects!$B$8*(Assumptions!$B$10+Assumptions!$B$11+Assumptions!$B$12)/Projects!$D$8*0.95,0)-IF(AND(Projects!$G$8="Yes",F$3=Projects!$C$8+Projects!$D$8-1),Projects!$B$8*(Assumptions!$B$10+Assumptions!$B$11+Assumptions!$B$12)*0.05,0)</f>
        <v>0</v>
      </c>
      <c r="G19" s="30" t="n">
        <f aca="false">IF(AND(Projects!$G$8="Yes",G$3&gt;=Projects!$C$8,G$3&lt;Projects!$C$8+Projects!$D$8),Projects!$B$8*INDEX(Curves!$B$4:$AR$4,1,G$3-Projects!$C$8+1),0)-IF(AND(Projects!$G$8="Yes",G$3&gt;=Projects!$C$8,G$3&lt;Projects!$C$8+Projects!$D$8),Projects!$B$8*(Assumptions!$B$10+Assumptions!$B$11+Assumptions!$B$12)/Projects!$D$8*0.95,0)-IF(AND(Projects!$G$8="Yes",G$3=Projects!$C$8+Projects!$D$8-1),Projects!$B$8*(Assumptions!$B$10+Assumptions!$B$11+Assumptions!$B$12)*0.05,0)</f>
        <v>0</v>
      </c>
      <c r="H19" s="30" t="n">
        <f aca="false">IF(AND(Projects!$G$8="Yes",H$3&gt;=Projects!$C$8,H$3&lt;Projects!$C$8+Projects!$D$8),Projects!$B$8*INDEX(Curves!$B$4:$AR$4,1,H$3-Projects!$C$8+1),0)-IF(AND(Projects!$G$8="Yes",H$3&gt;=Projects!$C$8,H$3&lt;Projects!$C$8+Projects!$D$8),Projects!$B$8*(Assumptions!$B$10+Assumptions!$B$11+Assumptions!$B$12)/Projects!$D$8*0.95,0)-IF(AND(Projects!$G$8="Yes",H$3=Projects!$C$8+Projects!$D$8-1),Projects!$B$8*(Assumptions!$B$10+Assumptions!$B$11+Assumptions!$B$12)*0.05,0)</f>
        <v>0</v>
      </c>
      <c r="I19" s="30" t="n">
        <f aca="false">IF(AND(Projects!$G$8="Yes",I$3&gt;=Projects!$C$8,I$3&lt;Projects!$C$8+Projects!$D$8),Projects!$B$8*INDEX(Curves!$B$4:$AR$4,1,I$3-Projects!$C$8+1),0)-IF(AND(Projects!$G$8="Yes",I$3&gt;=Projects!$C$8,I$3&lt;Projects!$C$8+Projects!$D$8),Projects!$B$8*(Assumptions!$B$10+Assumptions!$B$11+Assumptions!$B$12)/Projects!$D$8*0.95,0)-IF(AND(Projects!$G$8="Yes",I$3=Projects!$C$8+Projects!$D$8-1),Projects!$B$8*(Assumptions!$B$10+Assumptions!$B$11+Assumptions!$B$12)*0.05,0)</f>
        <v>266339.274896073</v>
      </c>
      <c r="J19" s="30" t="n">
        <f aca="false">IF(AND(Projects!$G$8="Yes",J$3&gt;=Projects!$C$8,J$3&lt;Projects!$C$8+Projects!$D$8),Projects!$B$8*INDEX(Curves!$B$4:$AR$4,1,J$3-Projects!$C$8+1),0)-IF(AND(Projects!$G$8="Yes",J$3&gt;=Projects!$C$8,J$3&lt;Projects!$C$8+Projects!$D$8),Projects!$B$8*(Assumptions!$B$10+Assumptions!$B$11+Assumptions!$B$12)/Projects!$D$8*0.95,0)-IF(AND(Projects!$G$8="Yes",J$3=Projects!$C$8+Projects!$D$8-1),Projects!$B$8*(Assumptions!$B$10+Assumptions!$B$11+Assumptions!$B$12)*0.05,0)</f>
        <v>347472.412552273</v>
      </c>
      <c r="K19" s="30" t="n">
        <f aca="false">IF(AND(Projects!$G$8="Yes",K$3&gt;=Projects!$C$8,K$3&lt;Projects!$C$8+Projects!$D$8),Projects!$B$8*INDEX(Curves!$B$4:$AR$4,1,K$3-Projects!$C$8+1),0)-IF(AND(Projects!$G$8="Yes",K$3&gt;=Projects!$C$8,K$3&lt;Projects!$C$8+Projects!$D$8),Projects!$B$8*(Assumptions!$B$10+Assumptions!$B$11+Assumptions!$B$12)/Projects!$D$8*0.95,0)-IF(AND(Projects!$G$8="Yes",K$3=Projects!$C$8+Projects!$D$8-1),Projects!$B$8*(Assumptions!$B$10+Assumptions!$B$11+Assumptions!$B$12)*0.05,0)</f>
        <v>434803.581384323</v>
      </c>
      <c r="L19" s="30" t="n">
        <f aca="false">IF(AND(Projects!$G$8="Yes",L$3&gt;=Projects!$C$8,L$3&lt;Projects!$C$8+Projects!$D$8),Projects!$B$8*INDEX(Curves!$B$4:$AR$4,1,L$3-Projects!$C$8+1),0)-IF(AND(Projects!$G$8="Yes",L$3&gt;=Projects!$C$8,L$3&lt;Projects!$C$8+Projects!$D$8),Projects!$B$8*(Assumptions!$B$10+Assumptions!$B$11+Assumptions!$B$12)/Projects!$D$8*0.95,0)-IF(AND(Projects!$G$8="Yes",L$3=Projects!$C$8+Projects!$D$8-1),Projects!$B$8*(Assumptions!$B$10+Assumptions!$B$11+Assumptions!$B$12)*0.05,0)</f>
        <v>524850.449410823</v>
      </c>
      <c r="M19" s="30" t="n">
        <f aca="false">IF(AND(Projects!$G$8="Yes",M$3&gt;=Projects!$C$8,M$3&lt;Projects!$C$8+Projects!$D$8),Projects!$B$8*INDEX(Curves!$B$4:$AR$4,1,M$3-Projects!$C$8+1),0)-IF(AND(Projects!$G$8="Yes",M$3&gt;=Projects!$C$8,M$3&lt;Projects!$C$8+Projects!$D$8),Projects!$B$8*(Assumptions!$B$10+Assumptions!$B$11+Assumptions!$B$12)/Projects!$D$8*0.95,0)-IF(AND(Projects!$G$8="Yes",M$3=Projects!$C$8+Projects!$D$8-1),Projects!$B$8*(Assumptions!$B$10+Assumptions!$B$11+Assumptions!$B$12)*0.05,0)</f>
        <v>613286.089207123</v>
      </c>
      <c r="N19" s="30" t="n">
        <f aca="false">IF(AND(Projects!$G$8="Yes",N$3&gt;=Projects!$C$8,N$3&lt;Projects!$C$8+Projects!$D$8),Projects!$B$8*INDEX(Curves!$B$4:$AR$4,1,N$3-Projects!$C$8+1),0)-IF(AND(Projects!$G$8="Yes",N$3&gt;=Projects!$C$8,N$3&lt;Projects!$C$8+Projects!$D$8),Projects!$B$8*(Assumptions!$B$10+Assumptions!$B$11+Assumptions!$B$12)/Projects!$D$8*0.95,0)-IF(AND(Projects!$G$8="Yes",N$3=Projects!$C$8+Projects!$D$8-1),Projects!$B$8*(Assumptions!$B$10+Assumptions!$B$11+Assumptions!$B$12)*0.05,0)</f>
        <v>695198.853426323</v>
      </c>
      <c r="O19" s="30" t="n">
        <f aca="false">IF(AND(Projects!$G$8="Yes",O$3&gt;=Projects!$C$8,O$3&lt;Projects!$C$8+Projects!$D$8),Projects!$B$8*INDEX(Curves!$B$4:$AR$4,1,O$3-Projects!$C$8+1),0)-IF(AND(Projects!$G$8="Yes",O$3&gt;=Projects!$C$8,O$3&lt;Projects!$C$8+Projects!$D$8),Projects!$B$8*(Assumptions!$B$10+Assumptions!$B$11+Assumptions!$B$12)/Projects!$D$8*0.95,0)-IF(AND(Projects!$G$8="Yes",O$3=Projects!$C$8+Projects!$D$8-1),Projects!$B$8*(Assumptions!$B$10+Assumptions!$B$11+Assumptions!$B$12)*0.05,0)</f>
        <v>765560.150737073</v>
      </c>
      <c r="P19" s="30" t="n">
        <f aca="false">IF(AND(Projects!$G$8="Yes",P$3&gt;=Projects!$C$8,P$3&lt;Projects!$C$8+Projects!$D$8),Projects!$B$8*INDEX(Curves!$B$4:$AR$4,1,P$3-Projects!$C$8+1),0)-IF(AND(Projects!$G$8="Yes",P$3&gt;=Projects!$C$8,P$3&lt;Projects!$C$8+Projects!$D$8),Projects!$B$8*(Assumptions!$B$10+Assumptions!$B$11+Assumptions!$B$12)/Projects!$D$8*0.95,0)-IF(AND(Projects!$G$8="Yes",P$3=Projects!$C$8+Projects!$D$8-1),Projects!$B$8*(Assumptions!$B$10+Assumptions!$B$11+Assumptions!$B$12)*0.05,0)</f>
        <v>819705.215537423</v>
      </c>
      <c r="Q19" s="30" t="n">
        <f aca="false">IF(AND(Projects!$G$8="Yes",Q$3&gt;=Projects!$C$8,Q$3&lt;Projects!$C$8+Projects!$D$8),Projects!$B$8*INDEX(Curves!$B$4:$AR$4,1,Q$3-Projects!$C$8+1),0)-IF(AND(Projects!$G$8="Yes",Q$3&gt;=Projects!$C$8,Q$3&lt;Projects!$C$8+Projects!$D$8),Projects!$B$8*(Assumptions!$B$10+Assumptions!$B$11+Assumptions!$B$12)/Projects!$D$8*0.95,0)-IF(AND(Projects!$G$8="Yes",Q$3=Projects!$C$8+Projects!$D$8-1),Projects!$B$8*(Assumptions!$B$10+Assumptions!$B$11+Assumptions!$B$12)*0.05,0)</f>
        <v>853852.858996823</v>
      </c>
      <c r="R19" s="30" t="n">
        <f aca="false">IF(AND(Projects!$G$8="Yes",R$3&gt;=Projects!$C$8,R$3&lt;Projects!$C$8+Projects!$D$8),Projects!$B$8*INDEX(Curves!$B$4:$AR$4,1,R$3-Projects!$C$8+1),0)-IF(AND(Projects!$G$8="Yes",R$3&gt;=Projects!$C$8,R$3&lt;Projects!$C$8+Projects!$D$8),Projects!$B$8*(Assumptions!$B$10+Assumptions!$B$11+Assumptions!$B$12)/Projects!$D$8*0.95,0)-IF(AND(Projects!$G$8="Yes",R$3=Projects!$C$8+Projects!$D$8-1),Projects!$B$8*(Assumptions!$B$10+Assumptions!$B$11+Assumptions!$B$12)*0.05,0)</f>
        <v>865521.269889723</v>
      </c>
      <c r="S19" s="30" t="n">
        <f aca="false">IF(AND(Projects!$G$8="Yes",S$3&gt;=Projects!$C$8,S$3&lt;Projects!$C$8+Projects!$D$8),Projects!$B$8*INDEX(Curves!$B$4:$AR$4,1,S$3-Projects!$C$8+1),0)-IF(AND(Projects!$G$8="Yes",S$3&gt;=Projects!$C$8,S$3&lt;Projects!$C$8+Projects!$D$8),Projects!$B$8*(Assumptions!$B$10+Assumptions!$B$11+Assumptions!$B$12)/Projects!$D$8*0.95,0)-IF(AND(Projects!$G$8="Yes",S$3=Projects!$C$8+Projects!$D$8-1),Projects!$B$8*(Assumptions!$B$10+Assumptions!$B$11+Assumptions!$B$12)*0.05,0)</f>
        <v>853852.858996823</v>
      </c>
      <c r="T19" s="30" t="n">
        <f aca="false">IF(AND(Projects!$G$8="Yes",T$3&gt;=Projects!$C$8,T$3&lt;Projects!$C$8+Projects!$D$8),Projects!$B$8*INDEX(Curves!$B$4:$AR$4,1,T$3-Projects!$C$8+1),0)-IF(AND(Projects!$G$8="Yes",T$3&gt;=Projects!$C$8,T$3&lt;Projects!$C$8+Projects!$D$8),Projects!$B$8*(Assumptions!$B$10+Assumptions!$B$11+Assumptions!$B$12)/Projects!$D$8*0.95,0)-IF(AND(Projects!$G$8="Yes",T$3=Projects!$C$8+Projects!$D$8-1),Projects!$B$8*(Assumptions!$B$10+Assumptions!$B$11+Assumptions!$B$12)*0.05,0)</f>
        <v>819705.215537423</v>
      </c>
      <c r="U19" s="30" t="n">
        <f aca="false">IF(AND(Projects!$G$8="Yes",U$3&gt;=Projects!$C$8,U$3&lt;Projects!$C$8+Projects!$D$8),Projects!$B$8*INDEX(Curves!$B$4:$AR$4,1,U$3-Projects!$C$8+1),0)-IF(AND(Projects!$G$8="Yes",U$3&gt;=Projects!$C$8,U$3&lt;Projects!$C$8+Projects!$D$8),Projects!$B$8*(Assumptions!$B$10+Assumptions!$B$11+Assumptions!$B$12)/Projects!$D$8*0.95,0)-IF(AND(Projects!$G$8="Yes",U$3=Projects!$C$8+Projects!$D$8-1),Projects!$B$8*(Assumptions!$B$10+Assumptions!$B$11+Assumptions!$B$12)*0.05,0)</f>
        <v>765560.150737073</v>
      </c>
      <c r="V19" s="30" t="n">
        <f aca="false">IF(AND(Projects!$G$8="Yes",V$3&gt;=Projects!$C$8,V$3&lt;Projects!$C$8+Projects!$D$8),Projects!$B$8*INDEX(Curves!$B$4:$AR$4,1,V$3-Projects!$C$8+1),0)-IF(AND(Projects!$G$8="Yes",V$3&gt;=Projects!$C$8,V$3&lt;Projects!$C$8+Projects!$D$8),Projects!$B$8*(Assumptions!$B$10+Assumptions!$B$11+Assumptions!$B$12)/Projects!$D$8*0.95,0)-IF(AND(Projects!$G$8="Yes",V$3=Projects!$C$8+Projects!$D$8-1),Projects!$B$8*(Assumptions!$B$10+Assumptions!$B$11+Assumptions!$B$12)*0.05,0)</f>
        <v>695198.853426323</v>
      </c>
      <c r="W19" s="30" t="n">
        <f aca="false">IF(AND(Projects!$G$8="Yes",W$3&gt;=Projects!$C$8,W$3&lt;Projects!$C$8+Projects!$D$8),Projects!$B$8*INDEX(Curves!$B$4:$AR$4,1,W$3-Projects!$C$8+1),0)-IF(AND(Projects!$G$8="Yes",W$3&gt;=Projects!$C$8,W$3&lt;Projects!$C$8+Projects!$D$8),Projects!$B$8*(Assumptions!$B$10+Assumptions!$B$11+Assumptions!$B$12)/Projects!$D$8*0.95,0)-IF(AND(Projects!$G$8="Yes",W$3=Projects!$C$8+Projects!$D$8-1),Projects!$B$8*(Assumptions!$B$10+Assumptions!$B$11+Assumptions!$B$12)*0.05,0)</f>
        <v>613286.089207123</v>
      </c>
      <c r="X19" s="30" t="n">
        <f aca="false">IF(AND(Projects!$G$8="Yes",X$3&gt;=Projects!$C$8,X$3&lt;Projects!$C$8+Projects!$D$8),Projects!$B$8*INDEX(Curves!$B$4:$AR$4,1,X$3-Projects!$C$8+1),0)-IF(AND(Projects!$G$8="Yes",X$3&gt;=Projects!$C$8,X$3&lt;Projects!$C$8+Projects!$D$8),Projects!$B$8*(Assumptions!$B$10+Assumptions!$B$11+Assumptions!$B$12)/Projects!$D$8*0.95,0)-IF(AND(Projects!$G$8="Yes",X$3=Projects!$C$8+Projects!$D$8-1),Projects!$B$8*(Assumptions!$B$10+Assumptions!$B$11+Assumptions!$B$12)*0.05,0)</f>
        <v>524850.449410823</v>
      </c>
      <c r="Y19" s="30" t="n">
        <f aca="false">IF(AND(Projects!$G$8="Yes",Y$3&gt;=Projects!$C$8,Y$3&lt;Projects!$C$8+Projects!$D$8),Projects!$B$8*INDEX(Curves!$B$4:$AR$4,1,Y$3-Projects!$C$8+1),0)-IF(AND(Projects!$G$8="Yes",Y$3&gt;=Projects!$C$8,Y$3&lt;Projects!$C$8+Projects!$D$8),Projects!$B$8*(Assumptions!$B$10+Assumptions!$B$11+Assumptions!$B$12)/Projects!$D$8*0.95,0)-IF(AND(Projects!$G$8="Yes",Y$3=Projects!$C$8+Projects!$D$8-1),Projects!$B$8*(Assumptions!$B$10+Assumptions!$B$11+Assumptions!$B$12)*0.05,0)</f>
        <v>434803.581384323</v>
      </c>
      <c r="Z19" s="30" t="n">
        <f aca="false">IF(AND(Projects!$G$8="Yes",Z$3&gt;=Projects!$C$8,Z$3&lt;Projects!$C$8+Projects!$D$8),Projects!$B$8*INDEX(Curves!$B$4:$AR$4,1,Z$3-Projects!$C$8+1),0)-IF(AND(Projects!$G$8="Yes",Z$3&gt;=Projects!$C$8,Z$3&lt;Projects!$C$8+Projects!$D$8),Projects!$B$8*(Assumptions!$B$10+Assumptions!$B$11+Assumptions!$B$12)/Projects!$D$8*0.95,0)-IF(AND(Projects!$G$8="Yes",Z$3=Projects!$C$8+Projects!$D$8-1),Projects!$B$8*(Assumptions!$B$10+Assumptions!$B$11+Assumptions!$B$12)*0.05,0)</f>
        <v>347472.412552273</v>
      </c>
      <c r="AA19" s="30" t="n">
        <f aca="false">IF(AND(Projects!$G$8="Yes",AA$3&gt;=Projects!$C$8,AA$3&lt;Projects!$C$8+Projects!$D$8),Projects!$B$8*INDEX(Curves!$B$4:$AR$4,1,AA$3-Projects!$C$8+1),0)-IF(AND(Projects!$G$8="Yes",AA$3&gt;=Projects!$C$8,AA$3&lt;Projects!$C$8+Projects!$D$8),Projects!$B$8*(Assumptions!$B$10+Assumptions!$B$11+Assumptions!$B$12)/Projects!$D$8*0.95,0)-IF(AND(Projects!$G$8="Yes",AA$3=Projects!$C$8+Projects!$D$8-1),Projects!$B$8*(Assumptions!$B$10+Assumptions!$B$11+Assumptions!$B$12)*0.05,0)</f>
        <v>188122.590274295</v>
      </c>
      <c r="AB19" s="30" t="n">
        <f aca="false">IF(AND(Projects!$G$8="Yes",AB$3&gt;=Projects!$C$8,AB$3&lt;Projects!$C$8+Projects!$D$8),Projects!$B$8*INDEX(Curves!$B$4:$AR$4,1,AB$3-Projects!$C$8+1),0)-IF(AND(Projects!$G$8="Yes",AB$3&gt;=Projects!$C$8,AB$3&lt;Projects!$C$8+Projects!$D$8),Projects!$B$8*(Assumptions!$B$10+Assumptions!$B$11+Assumptions!$B$12)/Projects!$D$8*0.95,0)-IF(AND(Projects!$G$8="Yes",AB$3=Projects!$C$8+Projects!$D$8-1),Projects!$B$8*(Assumptions!$B$10+Assumptions!$B$11+Assumptions!$B$12)*0.05,0)</f>
        <v>0</v>
      </c>
      <c r="AC19" s="30" t="n">
        <f aca="false">IF(AND(Projects!$G$8="Yes",AC$3&gt;=Projects!$C$8,AC$3&lt;Projects!$C$8+Projects!$D$8),Projects!$B$8*INDEX(Curves!$B$4:$AR$4,1,AC$3-Projects!$C$8+1),0)-IF(AND(Projects!$G$8="Yes",AC$3&gt;=Projects!$C$8,AC$3&lt;Projects!$C$8+Projects!$D$8),Projects!$B$8*(Assumptions!$B$10+Assumptions!$B$11+Assumptions!$B$12)/Projects!$D$8*0.95,0)-IF(AND(Projects!$G$8="Yes",AC$3=Projects!$C$8+Projects!$D$8-1),Projects!$B$8*(Assumptions!$B$10+Assumptions!$B$11+Assumptions!$B$12)*0.05,0)</f>
        <v>0</v>
      </c>
      <c r="AD19" s="30" t="n">
        <f aca="false">IF(AND(Projects!$G$8="Yes",AD$3&gt;=Projects!$C$8,AD$3&lt;Projects!$C$8+Projects!$D$8),Projects!$B$8*INDEX(Curves!$B$4:$AR$4,1,AD$3-Projects!$C$8+1),0)-IF(AND(Projects!$G$8="Yes",AD$3&gt;=Projects!$C$8,AD$3&lt;Projects!$C$8+Projects!$D$8),Projects!$B$8*(Assumptions!$B$10+Assumptions!$B$11+Assumptions!$B$12)/Projects!$D$8*0.95,0)-IF(AND(Projects!$G$8="Yes",AD$3=Projects!$C$8+Projects!$D$8-1),Projects!$B$8*(Assumptions!$B$10+Assumptions!$B$11+Assumptions!$B$12)*0.05,0)</f>
        <v>0</v>
      </c>
      <c r="AE19" s="30" t="n">
        <f aca="false">IF(AND(Projects!$G$8="Yes",AE$3&gt;=Projects!$C$8,AE$3&lt;Projects!$C$8+Projects!$D$8),Projects!$B$8*INDEX(Curves!$B$4:$AR$4,1,AE$3-Projects!$C$8+1),0)-IF(AND(Projects!$G$8="Yes",AE$3&gt;=Projects!$C$8,AE$3&lt;Projects!$C$8+Projects!$D$8),Projects!$B$8*(Assumptions!$B$10+Assumptions!$B$11+Assumptions!$B$12)/Projects!$D$8*0.95,0)-IF(AND(Projects!$G$8="Yes",AE$3=Projects!$C$8+Projects!$D$8-1),Projects!$B$8*(Assumptions!$B$10+Assumptions!$B$11+Assumptions!$B$12)*0.05,0)</f>
        <v>0</v>
      </c>
      <c r="AF19" s="30" t="n">
        <f aca="false">IF(AND(Projects!$G$8="Yes",AF$3&gt;=Projects!$C$8,AF$3&lt;Projects!$C$8+Projects!$D$8),Projects!$B$8*INDEX(Curves!$B$4:$AR$4,1,AF$3-Projects!$C$8+1),0)-IF(AND(Projects!$G$8="Yes",AF$3&gt;=Projects!$C$8,AF$3&lt;Projects!$C$8+Projects!$D$8),Projects!$B$8*(Assumptions!$B$10+Assumptions!$B$11+Assumptions!$B$12)/Projects!$D$8*0.95,0)-IF(AND(Projects!$G$8="Yes",AF$3=Projects!$C$8+Projects!$D$8-1),Projects!$B$8*(Assumptions!$B$10+Assumptions!$B$11+Assumptions!$B$12)*0.05,0)</f>
        <v>0</v>
      </c>
      <c r="AG19" s="30" t="n">
        <f aca="false">IF(AND(Projects!$G$8="Yes",AG$3&gt;=Projects!$C$8,AG$3&lt;Projects!$C$8+Projects!$D$8),Projects!$B$8*INDEX(Curves!$B$4:$AR$4,1,AG$3-Projects!$C$8+1),0)-IF(AND(Projects!$G$8="Yes",AG$3&gt;=Projects!$C$8,AG$3&lt;Projects!$C$8+Projects!$D$8),Projects!$B$8*(Assumptions!$B$10+Assumptions!$B$11+Assumptions!$B$12)/Projects!$D$8*0.95,0)-IF(AND(Projects!$G$8="Yes",AG$3=Projects!$C$8+Projects!$D$8-1),Projects!$B$8*(Assumptions!$B$10+Assumptions!$B$11+Assumptions!$B$12)*0.05,0)</f>
        <v>0</v>
      </c>
      <c r="AH19" s="30" t="n">
        <f aca="false">IF(AND(Projects!$G$8="Yes",AH$3&gt;=Projects!$C$8,AH$3&lt;Projects!$C$8+Projects!$D$8),Projects!$B$8*INDEX(Curves!$B$4:$AR$4,1,AH$3-Projects!$C$8+1),0)-IF(AND(Projects!$G$8="Yes",AH$3&gt;=Projects!$C$8,AH$3&lt;Projects!$C$8+Projects!$D$8),Projects!$B$8*(Assumptions!$B$10+Assumptions!$B$11+Assumptions!$B$12)/Projects!$D$8*0.95,0)-IF(AND(Projects!$G$8="Yes",AH$3=Projects!$C$8+Projects!$D$8-1),Projects!$B$8*(Assumptions!$B$10+Assumptions!$B$11+Assumptions!$B$12)*0.05,0)</f>
        <v>0</v>
      </c>
      <c r="AI19" s="30" t="n">
        <f aca="false">IF(AND(Projects!$G$8="Yes",AI$3&gt;=Projects!$C$8,AI$3&lt;Projects!$C$8+Projects!$D$8),Projects!$B$8*INDEX(Curves!$B$4:$AR$4,1,AI$3-Projects!$C$8+1),0)-IF(AND(Projects!$G$8="Yes",AI$3&gt;=Projects!$C$8,AI$3&lt;Projects!$C$8+Projects!$D$8),Projects!$B$8*(Assumptions!$B$10+Assumptions!$B$11+Assumptions!$B$12)/Projects!$D$8*0.95,0)-IF(AND(Projects!$G$8="Yes",AI$3=Projects!$C$8+Projects!$D$8-1),Projects!$B$8*(Assumptions!$B$10+Assumptions!$B$11+Assumptions!$B$12)*0.05,0)</f>
        <v>0</v>
      </c>
      <c r="AJ19" s="30" t="n">
        <f aca="false">IF(AND(Projects!$G$8="Yes",AJ$3&gt;=Projects!$C$8,AJ$3&lt;Projects!$C$8+Projects!$D$8),Projects!$B$8*INDEX(Curves!$B$4:$AR$4,1,AJ$3-Projects!$C$8+1),0)-IF(AND(Projects!$G$8="Yes",AJ$3&gt;=Projects!$C$8,AJ$3&lt;Projects!$C$8+Projects!$D$8),Projects!$B$8*(Assumptions!$B$10+Assumptions!$B$11+Assumptions!$B$12)/Projects!$D$8*0.95,0)-IF(AND(Projects!$G$8="Yes",AJ$3=Projects!$C$8+Projects!$D$8-1),Projects!$B$8*(Assumptions!$B$10+Assumptions!$B$11+Assumptions!$B$12)*0.05,0)</f>
        <v>0</v>
      </c>
      <c r="AK19" s="30" t="n">
        <f aca="false">IF(AND(Projects!$G$8="Yes",AK$3&gt;=Projects!$C$8,AK$3&lt;Projects!$C$8+Projects!$D$8),Projects!$B$8*INDEX(Curves!$B$4:$AR$4,1,AK$3-Projects!$C$8+1),0)-IF(AND(Projects!$G$8="Yes",AK$3&gt;=Projects!$C$8,AK$3&lt;Projects!$C$8+Projects!$D$8),Projects!$B$8*(Assumptions!$B$10+Assumptions!$B$11+Assumptions!$B$12)/Projects!$D$8*0.95,0)-IF(AND(Projects!$G$8="Yes",AK$3=Projects!$C$8+Projects!$D$8-1),Projects!$B$8*(Assumptions!$B$10+Assumptions!$B$11+Assumptions!$B$12)*0.05,0)</f>
        <v>0</v>
      </c>
      <c r="AL19" s="30" t="n">
        <f aca="false">IF(AND(Projects!$G$8="Yes",AL$3&gt;=Projects!$C$8,AL$3&lt;Projects!$C$8+Projects!$D$8),Projects!$B$8*INDEX(Curves!$B$4:$AR$4,1,AL$3-Projects!$C$8+1),0)-IF(AND(Projects!$G$8="Yes",AL$3&gt;=Projects!$C$8,AL$3&lt;Projects!$C$8+Projects!$D$8),Projects!$B$8*(Assumptions!$B$10+Assumptions!$B$11+Assumptions!$B$12)/Projects!$D$8*0.95,0)-IF(AND(Projects!$G$8="Yes",AL$3=Projects!$C$8+Projects!$D$8-1),Projects!$B$8*(Assumptions!$B$10+Assumptions!$B$11+Assumptions!$B$12)*0.05,0)</f>
        <v>0</v>
      </c>
      <c r="AM19" s="30" t="n">
        <f aca="false">IF(AND(Projects!$G$8="Yes",AM$3&gt;=Projects!$C$8,AM$3&lt;Projects!$C$8+Projects!$D$8),Projects!$B$8*INDEX(Curves!$B$4:$AR$4,1,AM$3-Projects!$C$8+1),0)-IF(AND(Projects!$G$8="Yes",AM$3&gt;=Projects!$C$8,AM$3&lt;Projects!$C$8+Projects!$D$8),Projects!$B$8*(Assumptions!$B$10+Assumptions!$B$11+Assumptions!$B$12)/Projects!$D$8*0.95,0)-IF(AND(Projects!$G$8="Yes",AM$3=Projects!$C$8+Projects!$D$8-1),Projects!$B$8*(Assumptions!$B$10+Assumptions!$B$11+Assumptions!$B$12)*0.05,0)</f>
        <v>0</v>
      </c>
      <c r="AN19" s="30" t="n">
        <f aca="false">IF(AND(Projects!$G$8="Yes",AN$3&gt;=Projects!$C$8,AN$3&lt;Projects!$C$8+Projects!$D$8),Projects!$B$8*INDEX(Curves!$B$4:$AR$4,1,AN$3-Projects!$C$8+1),0)-IF(AND(Projects!$G$8="Yes",AN$3&gt;=Projects!$C$8,AN$3&lt;Projects!$C$8+Projects!$D$8),Projects!$B$8*(Assumptions!$B$10+Assumptions!$B$11+Assumptions!$B$12)/Projects!$D$8*0.95,0)-IF(AND(Projects!$G$8="Yes",AN$3=Projects!$C$8+Projects!$D$8-1),Projects!$B$8*(Assumptions!$B$10+Assumptions!$B$11+Assumptions!$B$12)*0.05,0)</f>
        <v>0</v>
      </c>
      <c r="AO19" s="30" t="n">
        <f aca="false">IF(AND(Projects!$G$8="Yes",AO$3&gt;=Projects!$C$8,AO$3&lt;Projects!$C$8+Projects!$D$8),Projects!$B$8*INDEX(Curves!$B$4:$AR$4,1,AO$3-Projects!$C$8+1),0)-IF(AND(Projects!$G$8="Yes",AO$3&gt;=Projects!$C$8,AO$3&lt;Projects!$C$8+Projects!$D$8),Projects!$B$8*(Assumptions!$B$10+Assumptions!$B$11+Assumptions!$B$12)/Projects!$D$8*0.95,0)-IF(AND(Projects!$G$8="Yes",AO$3=Projects!$C$8+Projects!$D$8-1),Projects!$B$8*(Assumptions!$B$10+Assumptions!$B$11+Assumptions!$B$12)*0.05,0)</f>
        <v>0</v>
      </c>
      <c r="AP19" s="30" t="n">
        <f aca="false">IF(AND(Projects!$G$8="Yes",AP$3&gt;=Projects!$C$8,AP$3&lt;Projects!$C$8+Projects!$D$8),Projects!$B$8*INDEX(Curves!$B$4:$AR$4,1,AP$3-Projects!$C$8+1),0)-IF(AND(Projects!$G$8="Yes",AP$3&gt;=Projects!$C$8,AP$3&lt;Projects!$C$8+Projects!$D$8),Projects!$B$8*(Assumptions!$B$10+Assumptions!$B$11+Assumptions!$B$12)/Projects!$D$8*0.95,0)-IF(AND(Projects!$G$8="Yes",AP$3=Projects!$C$8+Projects!$D$8-1),Projects!$B$8*(Assumptions!$B$10+Assumptions!$B$11+Assumptions!$B$12)*0.05,0)</f>
        <v>0</v>
      </c>
      <c r="AQ19" s="30" t="n">
        <f aca="false">IF(AND(Projects!$G$8="Yes",AQ$3&gt;=Projects!$C$8,AQ$3&lt;Projects!$C$8+Projects!$D$8),Projects!$B$8*INDEX(Curves!$B$4:$AR$4,1,AQ$3-Projects!$C$8+1),0)-IF(AND(Projects!$G$8="Yes",AQ$3&gt;=Projects!$C$8,AQ$3&lt;Projects!$C$8+Projects!$D$8),Projects!$B$8*(Assumptions!$B$10+Assumptions!$B$11+Assumptions!$B$12)/Projects!$D$8*0.95,0)-IF(AND(Projects!$G$8="Yes",AQ$3=Projects!$C$8+Projects!$D$8-1),Projects!$B$8*(Assumptions!$B$10+Assumptions!$B$11+Assumptions!$B$12)*0.05,0)</f>
        <v>0</v>
      </c>
      <c r="AR19" s="30" t="n">
        <f aca="false">IF(AND(Projects!$G$8="Yes",AR$3&gt;=Projects!$C$8,AR$3&lt;Projects!$C$8+Projects!$D$8),Projects!$B$8*INDEX(Curves!$B$4:$AR$4,1,AR$3-Projects!$C$8+1),0)-IF(AND(Projects!$G$8="Yes",AR$3&gt;=Projects!$C$8,AR$3&lt;Projects!$C$8+Projects!$D$8),Projects!$B$8*(Assumptions!$B$10+Assumptions!$B$11+Assumptions!$B$12)/Projects!$D$8*0.95,0)-IF(AND(Projects!$G$8="Yes",AR$3=Projects!$C$8+Projects!$D$8-1),Projects!$B$8*(Assumptions!$B$10+Assumptions!$B$11+Assumptions!$B$12)*0.05,0)</f>
        <v>0</v>
      </c>
      <c r="AS19" s="30" t="n">
        <f aca="false">IF(AND(Projects!$G$8="Yes",AS$3&gt;=Projects!$C$8,AS$3&lt;Projects!$C$8+Projects!$D$8),Projects!$B$8*INDEX(Curves!$B$4:$AR$4,1,AS$3-Projects!$C$8+1),0)-IF(AND(Projects!$G$8="Yes",AS$3&gt;=Projects!$C$8,AS$3&lt;Projects!$C$8+Projects!$D$8),Projects!$B$8*(Assumptions!$B$10+Assumptions!$B$11+Assumptions!$B$12)/Projects!$D$8*0.95,0)-IF(AND(Projects!$G$8="Yes",AS$3=Projects!$C$8+Projects!$D$8-1),Projects!$B$8*(Assumptions!$B$10+Assumptions!$B$11+Assumptions!$B$12)*0.05,0)</f>
        <v>0</v>
      </c>
      <c r="AT19" s="30" t="n">
        <f aca="false">IF(AND(Projects!$G$8="Yes",AT$3&gt;=Projects!$C$8,AT$3&lt;Projects!$C$8+Projects!$D$8),Projects!$B$8*INDEX(Curves!$B$4:$AR$4,1,AT$3-Projects!$C$8+1),0)-IF(AND(Projects!$G$8="Yes",AT$3&gt;=Projects!$C$8,AT$3&lt;Projects!$C$8+Projects!$D$8),Projects!$B$8*(Assumptions!$B$10+Assumptions!$B$11+Assumptions!$B$12)/Projects!$D$8*0.95,0)-IF(AND(Projects!$G$8="Yes",AT$3=Projects!$C$8+Projects!$D$8-1),Projects!$B$8*(Assumptions!$B$10+Assumptions!$B$11+Assumptions!$B$12)*0.05,0)</f>
        <v>0</v>
      </c>
      <c r="AU19" s="30" t="n">
        <f aca="false">IF(AND(Projects!$G$8="Yes",AU$3&gt;=Projects!$C$8,AU$3&lt;Projects!$C$8+Projects!$D$8),Projects!$B$8*INDEX(Curves!$B$4:$AR$4,1,AU$3-Projects!$C$8+1),0)-IF(AND(Projects!$G$8="Yes",AU$3&gt;=Projects!$C$8,AU$3&lt;Projects!$C$8+Projects!$D$8),Projects!$B$8*(Assumptions!$B$10+Assumptions!$B$11+Assumptions!$B$12)/Projects!$D$8*0.95,0)-IF(AND(Projects!$G$8="Yes",AU$3=Projects!$C$8+Projects!$D$8-1),Projects!$B$8*(Assumptions!$B$10+Assumptions!$B$11+Assumptions!$B$12)*0.05,0)</f>
        <v>0</v>
      </c>
      <c r="AV19" s="30" t="n">
        <f aca="false">IF(AND(Projects!$G$8="Yes",AV$3&gt;=Projects!$C$8,AV$3&lt;Projects!$C$8+Projects!$D$8),Projects!$B$8*INDEX(Curves!$B$4:$AR$4,1,AV$3-Projects!$C$8+1),0)-IF(AND(Projects!$G$8="Yes",AV$3&gt;=Projects!$C$8,AV$3&lt;Projects!$C$8+Projects!$D$8),Projects!$B$8*(Assumptions!$B$10+Assumptions!$B$11+Assumptions!$B$12)/Projects!$D$8*0.95,0)-IF(AND(Projects!$G$8="Yes",AV$3=Projects!$C$8+Projects!$D$8-1),Projects!$B$8*(Assumptions!$B$10+Assumptions!$B$11+Assumptions!$B$12)*0.05,0)</f>
        <v>0</v>
      </c>
      <c r="AW19" s="30" t="n">
        <f aca="false">IF(AND(Projects!$G$8="Yes",AW$3&gt;=Projects!$C$8,AW$3&lt;Projects!$C$8+Projects!$D$8),Projects!$B$8*INDEX(Curves!$B$4:$AR$4,1,AW$3-Projects!$C$8+1),0)-IF(AND(Projects!$G$8="Yes",AW$3&gt;=Projects!$C$8,AW$3&lt;Projects!$C$8+Projects!$D$8),Projects!$B$8*(Assumptions!$B$10+Assumptions!$B$11+Assumptions!$B$12)/Projects!$D$8*0.95,0)-IF(AND(Projects!$G$8="Yes",AW$3=Projects!$C$8+Projects!$D$8-1),Projects!$B$8*(Assumptions!$B$10+Assumptions!$B$11+Assumptions!$B$12)*0.05,0)</f>
        <v>0</v>
      </c>
      <c r="AX19" s="30" t="n">
        <f aca="false">IF(AND(Projects!$G$8="Yes",AX$3&gt;=Projects!$C$8,AX$3&lt;Projects!$C$8+Projects!$D$8),Projects!$B$8*INDEX(Curves!$B$4:$AR$4,1,AX$3-Projects!$C$8+1),0)-IF(AND(Projects!$G$8="Yes",AX$3&gt;=Projects!$C$8,AX$3&lt;Projects!$C$8+Projects!$D$8),Projects!$B$8*(Assumptions!$B$10+Assumptions!$B$11+Assumptions!$B$12)/Projects!$D$8*0.95,0)-IF(AND(Projects!$G$8="Yes",AX$3=Projects!$C$8+Projects!$D$8-1),Projects!$B$8*(Assumptions!$B$10+Assumptions!$B$11+Assumptions!$B$12)*0.05,0)</f>
        <v>0</v>
      </c>
      <c r="AY19" s="30" t="n">
        <f aca="false">IF(AND(Projects!$G$8="Yes",AY$3&gt;=Projects!$C$8,AY$3&lt;Projects!$C$8+Projects!$D$8),Projects!$B$8*INDEX(Curves!$B$4:$AR$4,1,AY$3-Projects!$C$8+1),0)-IF(AND(Projects!$G$8="Yes",AY$3&gt;=Projects!$C$8,AY$3&lt;Projects!$C$8+Projects!$D$8),Projects!$B$8*(Assumptions!$B$10+Assumptions!$B$11+Assumptions!$B$12)/Projects!$D$8*0.95,0)-IF(AND(Projects!$G$8="Yes",AY$3=Projects!$C$8+Projects!$D$8-1),Projects!$B$8*(Assumptions!$B$10+Assumptions!$B$11+Assumptions!$B$12)*0.05,0)</f>
        <v>0</v>
      </c>
      <c r="AZ19" s="30" t="n">
        <f aca="false">IF(AND(Projects!$G$8="Yes",AZ$3&gt;=Projects!$C$8,AZ$3&lt;Projects!$C$8+Projects!$D$8),Projects!$B$8*INDEX(Curves!$B$4:$AR$4,1,AZ$3-Projects!$C$8+1),0)-IF(AND(Projects!$G$8="Yes",AZ$3&gt;=Projects!$C$8,AZ$3&lt;Projects!$C$8+Projects!$D$8),Projects!$B$8*(Assumptions!$B$10+Assumptions!$B$11+Assumptions!$B$12)/Projects!$D$8*0.95,0)-IF(AND(Projects!$G$8="Yes",AZ$3=Projects!$C$8+Projects!$D$8-1),Projects!$B$8*(Assumptions!$B$10+Assumptions!$B$11+Assumptions!$B$12)*0.05,0)</f>
        <v>0</v>
      </c>
      <c r="BA19" s="30" t="n">
        <f aca="false">IF(AND(Projects!$G$8="Yes",BA$3&gt;=Projects!$C$8,BA$3&lt;Projects!$C$8+Projects!$D$8),Projects!$B$8*INDEX(Curves!$B$4:$AR$4,1,BA$3-Projects!$C$8+1),0)-IF(AND(Projects!$G$8="Yes",BA$3&gt;=Projects!$C$8,BA$3&lt;Projects!$C$8+Projects!$D$8),Projects!$B$8*(Assumptions!$B$10+Assumptions!$B$11+Assumptions!$B$12)/Projects!$D$8*0.95,0)-IF(AND(Projects!$G$8="Yes",BA$3=Projects!$C$8+Projects!$D$8-1),Projects!$B$8*(Assumptions!$B$10+Assumptions!$B$11+Assumptions!$B$12)*0.05,0)</f>
        <v>0</v>
      </c>
      <c r="BB19" s="30" t="n">
        <f aca="false">IF(AND(Projects!$G$8="Yes",BB$3&gt;=Projects!$C$8,BB$3&lt;Projects!$C$8+Projects!$D$8),Projects!$B$8*INDEX(Curves!$B$4:$AR$4,1,BB$3-Projects!$C$8+1),0)-IF(AND(Projects!$G$8="Yes",BB$3&gt;=Projects!$C$8,BB$3&lt;Projects!$C$8+Projects!$D$8),Projects!$B$8*(Assumptions!$B$10+Assumptions!$B$11+Assumptions!$B$12)/Projects!$D$8*0.95,0)-IF(AND(Projects!$G$8="Yes",BB$3=Projects!$C$8+Projects!$D$8-1),Projects!$B$8*(Assumptions!$B$10+Assumptions!$B$11+Assumptions!$B$12)*0.05,0)</f>
        <v>0</v>
      </c>
      <c r="BC19" s="30" t="n">
        <f aca="false">IF(AND(Projects!$G$8="Yes",BC$3&gt;=Projects!$C$8,BC$3&lt;Projects!$C$8+Projects!$D$8),Projects!$B$8*INDEX(Curves!$B$4:$AR$4,1,BC$3-Projects!$C$8+1),0)-IF(AND(Projects!$G$8="Yes",BC$3&gt;=Projects!$C$8,BC$3&lt;Projects!$C$8+Projects!$D$8),Projects!$B$8*(Assumptions!$B$10+Assumptions!$B$11+Assumptions!$B$12)/Projects!$D$8*0.95,0)-IF(AND(Projects!$G$8="Yes",BC$3=Projects!$C$8+Projects!$D$8-1),Projects!$B$8*(Assumptions!$B$10+Assumptions!$B$11+Assumptions!$B$12)*0.05,0)</f>
        <v>0</v>
      </c>
      <c r="BD19" s="30" t="n">
        <f aca="false">IF(AND(Projects!$G$8="Yes",BD$3&gt;=Projects!$C$8,BD$3&lt;Projects!$C$8+Projects!$D$8),Projects!$B$8*INDEX(Curves!$B$4:$AR$4,1,BD$3-Projects!$C$8+1),0)-IF(AND(Projects!$G$8="Yes",BD$3&gt;=Projects!$C$8,BD$3&lt;Projects!$C$8+Projects!$D$8),Projects!$B$8*(Assumptions!$B$10+Assumptions!$B$11+Assumptions!$B$12)/Projects!$D$8*0.95,0)-IF(AND(Projects!$G$8="Yes",BD$3=Projects!$C$8+Projects!$D$8-1),Projects!$B$8*(Assumptions!$B$10+Assumptions!$B$11+Assumptions!$B$12)*0.05,0)</f>
        <v>0</v>
      </c>
      <c r="BE19" s="30" t="n">
        <f aca="false">IF(AND(Projects!$G$8="Yes",BE$3&gt;=Projects!$C$8,BE$3&lt;Projects!$C$8+Projects!$D$8),Projects!$B$8*INDEX(Curves!$B$4:$AR$4,1,BE$3-Projects!$C$8+1),0)-IF(AND(Projects!$G$8="Yes",BE$3&gt;=Projects!$C$8,BE$3&lt;Projects!$C$8+Projects!$D$8),Projects!$B$8*(Assumptions!$B$10+Assumptions!$B$11+Assumptions!$B$12)/Projects!$D$8*0.95,0)-IF(AND(Projects!$G$8="Yes",BE$3=Projects!$C$8+Projects!$D$8-1),Projects!$B$8*(Assumptions!$B$10+Assumptions!$B$11+Assumptions!$B$12)*0.05,0)</f>
        <v>0</v>
      </c>
      <c r="BF19" s="30" t="n">
        <f aca="false">IF(AND(Projects!$G$8="Yes",BF$3&gt;=Projects!$C$8,BF$3&lt;Projects!$C$8+Projects!$D$8),Projects!$B$8*INDEX(Curves!$B$4:$AR$4,1,BF$3-Projects!$C$8+1),0)-IF(AND(Projects!$G$8="Yes",BF$3&gt;=Projects!$C$8,BF$3&lt;Projects!$C$8+Projects!$D$8),Projects!$B$8*(Assumptions!$B$10+Assumptions!$B$11+Assumptions!$B$12)/Projects!$D$8*0.95,0)-IF(AND(Projects!$G$8="Yes",BF$3=Projects!$C$8+Projects!$D$8-1),Projects!$B$8*(Assumptions!$B$10+Assumptions!$B$11+Assumptions!$B$12)*0.05,0)</f>
        <v>0</v>
      </c>
      <c r="BG19" s="30" t="n">
        <f aca="false">IF(AND(Projects!$G$8="Yes",BG$3&gt;=Projects!$C$8,BG$3&lt;Projects!$C$8+Projects!$D$8),Projects!$B$8*INDEX(Curves!$B$4:$AR$4,1,BG$3-Projects!$C$8+1),0)-IF(AND(Projects!$G$8="Yes",BG$3&gt;=Projects!$C$8,BG$3&lt;Projects!$C$8+Projects!$D$8),Projects!$B$8*(Assumptions!$B$10+Assumptions!$B$11+Assumptions!$B$12)/Projects!$D$8*0.95,0)-IF(AND(Projects!$G$8="Yes",BG$3=Projects!$C$8+Projects!$D$8-1),Projects!$B$8*(Assumptions!$B$10+Assumptions!$B$11+Assumptions!$B$12)*0.05,0)</f>
        <v>0</v>
      </c>
      <c r="BH19" s="30" t="n">
        <f aca="false">IF(AND(Projects!$G$8="Yes",BH$3&gt;=Projects!$C$8,BH$3&lt;Projects!$C$8+Projects!$D$8),Projects!$B$8*INDEX(Curves!$B$4:$AR$4,1,BH$3-Projects!$C$8+1),0)-IF(AND(Projects!$G$8="Yes",BH$3&gt;=Projects!$C$8,BH$3&lt;Projects!$C$8+Projects!$D$8),Projects!$B$8*(Assumptions!$B$10+Assumptions!$B$11+Assumptions!$B$12)/Projects!$D$8*0.95,0)-IF(AND(Projects!$G$8="Yes",BH$3=Projects!$C$8+Projects!$D$8-1),Projects!$B$8*(Assumptions!$B$10+Assumptions!$B$11+Assumptions!$B$12)*0.05,0)</f>
        <v>0</v>
      </c>
      <c r="BI19" s="30" t="n">
        <f aca="false">IF(AND(Projects!$G$8="Yes",BI$3&gt;=Projects!$C$8,BI$3&lt;Projects!$C$8+Projects!$D$8),Projects!$B$8*INDEX(Curves!$B$4:$AR$4,1,BI$3-Projects!$C$8+1),0)-IF(AND(Projects!$G$8="Yes",BI$3&gt;=Projects!$C$8,BI$3&lt;Projects!$C$8+Projects!$D$8),Projects!$B$8*(Assumptions!$B$10+Assumptions!$B$11+Assumptions!$B$12)/Projects!$D$8*0.95,0)-IF(AND(Projects!$G$8="Yes",BI$3=Projects!$C$8+Projects!$D$8-1),Projects!$B$8*(Assumptions!$B$10+Assumptions!$B$11+Assumptions!$B$12)*0.05,0)</f>
        <v>0</v>
      </c>
      <c r="BJ19" s="30" t="n">
        <f aca="false">IF(AND(Projects!$G$8="Yes",BJ$3&gt;=Projects!$C$8,BJ$3&lt;Projects!$C$8+Projects!$D$8),Projects!$B$8*INDEX(Curves!$B$4:$AR$4,1,BJ$3-Projects!$C$8+1),0)-IF(AND(Projects!$G$8="Yes",BJ$3&gt;=Projects!$C$8,BJ$3&lt;Projects!$C$8+Projects!$D$8),Projects!$B$8*(Assumptions!$B$10+Assumptions!$B$11+Assumptions!$B$12)/Projects!$D$8*0.95,0)-IF(AND(Projects!$G$8="Yes",BJ$3=Projects!$C$8+Projects!$D$8-1),Projects!$B$8*(Assumptions!$B$10+Assumptions!$B$11+Assumptions!$B$12)*0.05,0)</f>
        <v>0</v>
      </c>
      <c r="BK19" s="30" t="n">
        <f aca="false">IF(AND(Projects!$G$8="Yes",BK$3&gt;=Projects!$C$8,BK$3&lt;Projects!$C$8+Projects!$D$8),Projects!$B$8*INDEX(Curves!$B$4:$AR$4,1,BK$3-Projects!$C$8+1),0)-IF(AND(Projects!$G$8="Yes",BK$3&gt;=Projects!$C$8,BK$3&lt;Projects!$C$8+Projects!$D$8),Projects!$B$8*(Assumptions!$B$10+Assumptions!$B$11+Assumptions!$B$12)/Projects!$D$8*0.95,0)-IF(AND(Projects!$G$8="Yes",BK$3=Projects!$C$8+Projects!$D$8-1),Projects!$B$8*(Assumptions!$B$10+Assumptions!$B$11+Assumptions!$B$12)*0.05,0)</f>
        <v>0</v>
      </c>
      <c r="BL19" s="30" t="n">
        <f aca="false">IF(AND(Projects!$G$8="Yes",BL$3&gt;=Projects!$C$8,BL$3&lt;Projects!$C$8+Projects!$D$8),Projects!$B$8*INDEX(Curves!$B$4:$AR$4,1,BL$3-Projects!$C$8+1),0)-IF(AND(Projects!$G$8="Yes",BL$3&gt;=Projects!$C$8,BL$3&lt;Projects!$C$8+Projects!$D$8),Projects!$B$8*(Assumptions!$B$10+Assumptions!$B$11+Assumptions!$B$12)/Projects!$D$8*0.95,0)-IF(AND(Projects!$G$8="Yes",BL$3=Projects!$C$8+Projects!$D$8-1),Projects!$B$8*(Assumptions!$B$10+Assumptions!$B$11+Assumptions!$B$12)*0.05,0)</f>
        <v>0</v>
      </c>
      <c r="BM19" s="30" t="n">
        <f aca="false">IF(AND(Projects!$G$8="Yes",BM$3&gt;=Projects!$C$8,BM$3&lt;Projects!$C$8+Projects!$D$8),Projects!$B$8*INDEX(Curves!$B$4:$AR$4,1,BM$3-Projects!$C$8+1),0)-IF(AND(Projects!$G$8="Yes",BM$3&gt;=Projects!$C$8,BM$3&lt;Projects!$C$8+Projects!$D$8),Projects!$B$8*(Assumptions!$B$10+Assumptions!$B$11+Assumptions!$B$12)/Projects!$D$8*0.95,0)-IF(AND(Projects!$G$8="Yes",BM$3=Projects!$C$8+Projects!$D$8-1),Projects!$B$8*(Assumptions!$B$10+Assumptions!$B$11+Assumptions!$B$12)*0.05,0)</f>
        <v>0</v>
      </c>
      <c r="BN19" s="30" t="n">
        <f aca="false">IF(AND(Projects!$G$8="Yes",BN$3&gt;=Projects!$C$8,BN$3&lt;Projects!$C$8+Projects!$D$8),Projects!$B$8*INDEX(Curves!$B$4:$AR$4,1,BN$3-Projects!$C$8+1),0)-IF(AND(Projects!$G$8="Yes",BN$3&gt;=Projects!$C$8,BN$3&lt;Projects!$C$8+Projects!$D$8),Projects!$B$8*(Assumptions!$B$10+Assumptions!$B$11+Assumptions!$B$12)/Projects!$D$8*0.95,0)-IF(AND(Projects!$G$8="Yes",BN$3=Projects!$C$8+Projects!$D$8-1),Projects!$B$8*(Assumptions!$B$10+Assumptions!$B$11+Assumptions!$B$12)*0.05,0)</f>
        <v>0</v>
      </c>
      <c r="BO19" s="30" t="n">
        <f aca="false">IF(AND(Projects!$G$8="Yes",BO$3&gt;=Projects!$C$8,BO$3&lt;Projects!$C$8+Projects!$D$8),Projects!$B$8*INDEX(Curves!$B$4:$AR$4,1,BO$3-Projects!$C$8+1),0)-IF(AND(Projects!$G$8="Yes",BO$3&gt;=Projects!$C$8,BO$3&lt;Projects!$C$8+Projects!$D$8),Projects!$B$8*(Assumptions!$B$10+Assumptions!$B$11+Assumptions!$B$12)/Projects!$D$8*0.95,0)-IF(AND(Projects!$G$8="Yes",BO$3=Projects!$C$8+Projects!$D$8-1),Projects!$B$8*(Assumptions!$B$10+Assumptions!$B$11+Assumptions!$B$12)*0.05,0)</f>
        <v>0</v>
      </c>
      <c r="BP19" s="30" t="n">
        <f aca="false">IF(AND(Projects!$G$8="Yes",BP$3&gt;=Projects!$C$8,BP$3&lt;Projects!$C$8+Projects!$D$8),Projects!$B$8*INDEX(Curves!$B$4:$AR$4,1,BP$3-Projects!$C$8+1),0)-IF(AND(Projects!$G$8="Yes",BP$3&gt;=Projects!$C$8,BP$3&lt;Projects!$C$8+Projects!$D$8),Projects!$B$8*(Assumptions!$B$10+Assumptions!$B$11+Assumptions!$B$12)/Projects!$D$8*0.95,0)-IF(AND(Projects!$G$8="Yes",BP$3=Projects!$C$8+Projects!$D$8-1),Projects!$B$8*(Assumptions!$B$10+Assumptions!$B$11+Assumptions!$B$12)*0.05,0)</f>
        <v>0</v>
      </c>
      <c r="BQ19" s="30" t="n">
        <f aca="false">IF(AND(Projects!$G$8="Yes",BQ$3&gt;=Projects!$C$8,BQ$3&lt;Projects!$C$8+Projects!$D$8),Projects!$B$8*INDEX(Curves!$B$4:$AR$4,1,BQ$3-Projects!$C$8+1),0)-IF(AND(Projects!$G$8="Yes",BQ$3&gt;=Projects!$C$8,BQ$3&lt;Projects!$C$8+Projects!$D$8),Projects!$B$8*(Assumptions!$B$10+Assumptions!$B$11+Assumptions!$B$12)/Projects!$D$8*0.95,0)-IF(AND(Projects!$G$8="Yes",BQ$3=Projects!$C$8+Projects!$D$8-1),Projects!$B$8*(Assumptions!$B$10+Assumptions!$B$11+Assumptions!$B$12)*0.05,0)</f>
        <v>0</v>
      </c>
      <c r="BR19" s="30" t="n">
        <f aca="false">IF(AND(Projects!$G$8="Yes",BR$3&gt;=Projects!$C$8,BR$3&lt;Projects!$C$8+Projects!$D$8),Projects!$B$8*INDEX(Curves!$B$4:$AR$4,1,BR$3-Projects!$C$8+1),0)-IF(AND(Projects!$G$8="Yes",BR$3&gt;=Projects!$C$8,BR$3&lt;Projects!$C$8+Projects!$D$8),Projects!$B$8*(Assumptions!$B$10+Assumptions!$B$11+Assumptions!$B$12)/Projects!$D$8*0.95,0)-IF(AND(Projects!$G$8="Yes",BR$3=Projects!$C$8+Projects!$D$8-1),Projects!$B$8*(Assumptions!$B$10+Assumptions!$B$11+Assumptions!$B$12)*0.05,0)</f>
        <v>0</v>
      </c>
      <c r="BS19" s="30" t="n">
        <f aca="false">IF(AND(Projects!$G$8="Yes",BS$3&gt;=Projects!$C$8,BS$3&lt;Projects!$C$8+Projects!$D$8),Projects!$B$8*INDEX(Curves!$B$4:$AR$4,1,BS$3-Projects!$C$8+1),0)-IF(AND(Projects!$G$8="Yes",BS$3&gt;=Projects!$C$8,BS$3&lt;Projects!$C$8+Projects!$D$8),Projects!$B$8*(Assumptions!$B$10+Assumptions!$B$11+Assumptions!$B$12)/Projects!$D$8*0.95,0)-IF(AND(Projects!$G$8="Yes",BS$3=Projects!$C$8+Projects!$D$8-1),Projects!$B$8*(Assumptions!$B$10+Assumptions!$B$11+Assumptions!$B$12)*0.05,0)</f>
        <v>0</v>
      </c>
      <c r="BT19" s="30" t="n">
        <f aca="false">IF(AND(Projects!$G$8="Yes",BT$3&gt;=Projects!$C$8,BT$3&lt;Projects!$C$8+Projects!$D$8),Projects!$B$8*INDEX(Curves!$B$4:$AR$4,1,BT$3-Projects!$C$8+1),0)-IF(AND(Projects!$G$8="Yes",BT$3&gt;=Projects!$C$8,BT$3&lt;Projects!$C$8+Projects!$D$8),Projects!$B$8*(Assumptions!$B$10+Assumptions!$B$11+Assumptions!$B$12)/Projects!$D$8*0.95,0)-IF(AND(Projects!$G$8="Yes",BT$3=Projects!$C$8+Projects!$D$8-1),Projects!$B$8*(Assumptions!$B$10+Assumptions!$B$11+Assumptions!$B$12)*0.05,0)</f>
        <v>0</v>
      </c>
      <c r="BU19" s="30" t="n">
        <f aca="false">IF(AND(Projects!$G$8="Yes",BU$3&gt;=Projects!$C$8,BU$3&lt;Projects!$C$8+Projects!$D$8),Projects!$B$8*INDEX(Curves!$B$4:$AR$4,1,BU$3-Projects!$C$8+1),0)-IF(AND(Projects!$G$8="Yes",BU$3&gt;=Projects!$C$8,BU$3&lt;Projects!$C$8+Projects!$D$8),Projects!$B$8*(Assumptions!$B$10+Assumptions!$B$11+Assumptions!$B$12)/Projects!$D$8*0.95,0)-IF(AND(Projects!$G$8="Yes",BU$3=Projects!$C$8+Projects!$D$8-1),Projects!$B$8*(Assumptions!$B$10+Assumptions!$B$11+Assumptions!$B$12)*0.05,0)</f>
        <v>0</v>
      </c>
      <c r="BV19" s="30" t="n">
        <f aca="false">IF(AND(Projects!$G$8="Yes",BV$3&gt;=Projects!$C$8,BV$3&lt;Projects!$C$8+Projects!$D$8),Projects!$B$8*INDEX(Curves!$B$4:$AR$4,1,BV$3-Projects!$C$8+1),0)-IF(AND(Projects!$G$8="Yes",BV$3&gt;=Projects!$C$8,BV$3&lt;Projects!$C$8+Projects!$D$8),Projects!$B$8*(Assumptions!$B$10+Assumptions!$B$11+Assumptions!$B$12)/Projects!$D$8*0.95,0)-IF(AND(Projects!$G$8="Yes",BV$3=Projects!$C$8+Projects!$D$8-1),Projects!$B$8*(Assumptions!$B$10+Assumptions!$B$11+Assumptions!$B$12)*0.05,0)</f>
        <v>0</v>
      </c>
      <c r="BW19" s="30" t="n">
        <f aca="false">IF(AND(Projects!$G$8="Yes",BW$3&gt;=Projects!$C$8,BW$3&lt;Projects!$C$8+Projects!$D$8),Projects!$B$8*INDEX(Curves!$B$4:$AR$4,1,BW$3-Projects!$C$8+1),0)-IF(AND(Projects!$G$8="Yes",BW$3&gt;=Projects!$C$8,BW$3&lt;Projects!$C$8+Projects!$D$8),Projects!$B$8*(Assumptions!$B$10+Assumptions!$B$11+Assumptions!$B$12)/Projects!$D$8*0.95,0)-IF(AND(Projects!$G$8="Yes",BW$3=Projects!$C$8+Projects!$D$8-1),Projects!$B$8*(Assumptions!$B$10+Assumptions!$B$11+Assumptions!$B$12)*0.05,0)</f>
        <v>0</v>
      </c>
      <c r="BX19" s="30" t="n">
        <f aca="false">IF(AND(Projects!$G$8="Yes",BX$3&gt;=Projects!$C$8,BX$3&lt;Projects!$C$8+Projects!$D$8),Projects!$B$8*INDEX(Curves!$B$4:$AR$4,1,BX$3-Projects!$C$8+1),0)-IF(AND(Projects!$G$8="Yes",BX$3&gt;=Projects!$C$8,BX$3&lt;Projects!$C$8+Projects!$D$8),Projects!$B$8*(Assumptions!$B$10+Assumptions!$B$11+Assumptions!$B$12)/Projects!$D$8*0.95,0)-IF(AND(Projects!$G$8="Yes",BX$3=Projects!$C$8+Projects!$D$8-1),Projects!$B$8*(Assumptions!$B$10+Assumptions!$B$11+Assumptions!$B$12)*0.05,0)</f>
        <v>0</v>
      </c>
      <c r="BY19" s="30" t="n">
        <f aca="false">IF(AND(Projects!$G$8="Yes",BY$3&gt;=Projects!$C$8,BY$3&lt;Projects!$C$8+Projects!$D$8),Projects!$B$8*INDEX(Curves!$B$4:$AR$4,1,BY$3-Projects!$C$8+1),0)-IF(AND(Projects!$G$8="Yes",BY$3&gt;=Projects!$C$8,BY$3&lt;Projects!$C$8+Projects!$D$8),Projects!$B$8*(Assumptions!$B$10+Assumptions!$B$11+Assumptions!$B$12)/Projects!$D$8*0.95,0)-IF(AND(Projects!$G$8="Yes",BY$3=Projects!$C$8+Projects!$D$8-1),Projects!$B$8*(Assumptions!$B$10+Assumptions!$B$11+Assumptions!$B$12)*0.05,0)</f>
        <v>0</v>
      </c>
      <c r="BZ19" s="30" t="n">
        <f aca="false">IF(AND(Projects!$G$8="Yes",BZ$3&gt;=Projects!$C$8,BZ$3&lt;Projects!$C$8+Projects!$D$8),Projects!$B$8*INDEX(Curves!$B$4:$AR$4,1,BZ$3-Projects!$C$8+1),0)-IF(AND(Projects!$G$8="Yes",BZ$3&gt;=Projects!$C$8,BZ$3&lt;Projects!$C$8+Projects!$D$8),Projects!$B$8*(Assumptions!$B$10+Assumptions!$B$11+Assumptions!$B$12)/Projects!$D$8*0.95,0)-IF(AND(Projects!$G$8="Yes",BZ$3=Projects!$C$8+Projects!$D$8-1),Projects!$B$8*(Assumptions!$B$10+Assumptions!$B$11+Assumptions!$B$12)*0.05,0)</f>
        <v>0</v>
      </c>
      <c r="CA19" s="30" t="n">
        <f aca="false">IF(AND(Projects!$G$8="Yes",CA$3&gt;=Projects!$C$8,CA$3&lt;Projects!$C$8+Projects!$D$8),Projects!$B$8*INDEX(Curves!$B$4:$AR$4,1,CA$3-Projects!$C$8+1),0)-IF(AND(Projects!$G$8="Yes",CA$3&gt;=Projects!$C$8,CA$3&lt;Projects!$C$8+Projects!$D$8),Projects!$B$8*(Assumptions!$B$10+Assumptions!$B$11+Assumptions!$B$12)/Projects!$D$8*0.95,0)-IF(AND(Projects!$G$8="Yes",CA$3=Projects!$C$8+Projects!$D$8-1),Projects!$B$8*(Assumptions!$B$10+Assumptions!$B$11+Assumptions!$B$12)*0.05,0)</f>
        <v>0</v>
      </c>
      <c r="CB19" s="30" t="n">
        <f aca="false">IF(AND(Projects!$G$8="Yes",CB$3&gt;=Projects!$C$8,CB$3&lt;Projects!$C$8+Projects!$D$8),Projects!$B$8*INDEX(Curves!$B$4:$AR$4,1,CB$3-Projects!$C$8+1),0)-IF(AND(Projects!$G$8="Yes",CB$3&gt;=Projects!$C$8,CB$3&lt;Projects!$C$8+Projects!$D$8),Projects!$B$8*(Assumptions!$B$10+Assumptions!$B$11+Assumptions!$B$12)/Projects!$D$8*0.95,0)-IF(AND(Projects!$G$8="Yes",CB$3=Projects!$C$8+Projects!$D$8-1),Projects!$B$8*(Assumptions!$B$10+Assumptions!$B$11+Assumptions!$B$12)*0.05,0)</f>
        <v>0</v>
      </c>
      <c r="CC19" s="30" t="n">
        <f aca="false">IF(AND(Projects!$G$8="Yes",CC$3&gt;=Projects!$C$8,CC$3&lt;Projects!$C$8+Projects!$D$8),Projects!$B$8*INDEX(Curves!$B$4:$AR$4,1,CC$3-Projects!$C$8+1),0)-IF(AND(Projects!$G$8="Yes",CC$3&gt;=Projects!$C$8,CC$3&lt;Projects!$C$8+Projects!$D$8),Projects!$B$8*(Assumptions!$B$10+Assumptions!$B$11+Assumptions!$B$12)/Projects!$D$8*0.95,0)-IF(AND(Projects!$G$8="Yes",CC$3=Projects!$C$8+Projects!$D$8-1),Projects!$B$8*(Assumptions!$B$10+Assumptions!$B$11+Assumptions!$B$12)*0.05,0)</f>
        <v>0</v>
      </c>
      <c r="CD19" s="30" t="n">
        <f aca="false">IF(AND(Projects!$G$8="Yes",CD$3&gt;=Projects!$C$8,CD$3&lt;Projects!$C$8+Projects!$D$8),Projects!$B$8*INDEX(Curves!$B$4:$AR$4,1,CD$3-Projects!$C$8+1),0)-IF(AND(Projects!$G$8="Yes",CD$3&gt;=Projects!$C$8,CD$3&lt;Projects!$C$8+Projects!$D$8),Projects!$B$8*(Assumptions!$B$10+Assumptions!$B$11+Assumptions!$B$12)/Projects!$D$8*0.95,0)-IF(AND(Projects!$G$8="Yes",CD$3=Projects!$C$8+Projects!$D$8-1),Projects!$B$8*(Assumptions!$B$10+Assumptions!$B$11+Assumptions!$B$12)*0.05,0)</f>
        <v>0</v>
      </c>
      <c r="CE19" s="30" t="n">
        <f aca="false">IF(AND(Projects!$G$8="Yes",CE$3&gt;=Projects!$C$8,CE$3&lt;Projects!$C$8+Projects!$D$8),Projects!$B$8*INDEX(Curves!$B$4:$AR$4,1,CE$3-Projects!$C$8+1),0)-IF(AND(Projects!$G$8="Yes",CE$3&gt;=Projects!$C$8,CE$3&lt;Projects!$C$8+Projects!$D$8),Projects!$B$8*(Assumptions!$B$10+Assumptions!$B$11+Assumptions!$B$12)/Projects!$D$8*0.95,0)-IF(AND(Projects!$G$8="Yes",CE$3=Projects!$C$8+Projects!$D$8-1),Projects!$B$8*(Assumptions!$B$10+Assumptions!$B$11+Assumptions!$B$12)*0.05,0)</f>
        <v>0</v>
      </c>
      <c r="CF19" s="30" t="n">
        <f aca="false">IF(AND(Projects!$G$8="Yes",CF$3&gt;=Projects!$C$8,CF$3&lt;Projects!$C$8+Projects!$D$8),Projects!$B$8*INDEX(Curves!$B$4:$AR$4,1,CF$3-Projects!$C$8+1),0)-IF(AND(Projects!$G$8="Yes",CF$3&gt;=Projects!$C$8,CF$3&lt;Projects!$C$8+Projects!$D$8),Projects!$B$8*(Assumptions!$B$10+Assumptions!$B$11+Assumptions!$B$12)/Projects!$D$8*0.95,0)-IF(AND(Projects!$G$8="Yes",CF$3=Projects!$C$8+Projects!$D$8-1),Projects!$B$8*(Assumptions!$B$10+Assumptions!$B$11+Assumptions!$B$12)*0.05,0)</f>
        <v>0</v>
      </c>
      <c r="CG19" s="30" t="n">
        <f aca="false">IF(AND(Projects!$G$8="Yes",CG$3&gt;=Projects!$C$8,CG$3&lt;Projects!$C$8+Projects!$D$8),Projects!$B$8*INDEX(Curves!$B$4:$AR$4,1,CG$3-Projects!$C$8+1),0)-IF(AND(Projects!$G$8="Yes",CG$3&gt;=Projects!$C$8,CG$3&lt;Projects!$C$8+Projects!$D$8),Projects!$B$8*(Assumptions!$B$10+Assumptions!$B$11+Assumptions!$B$12)/Projects!$D$8*0.95,0)-IF(AND(Projects!$G$8="Yes",CG$3=Projects!$C$8+Projects!$D$8-1),Projects!$B$8*(Assumptions!$B$10+Assumptions!$B$11+Assumptions!$B$12)*0.05,0)</f>
        <v>0</v>
      </c>
      <c r="CH19" s="30" t="n">
        <f aca="false">IF(AND(Projects!$G$8="Yes",CH$3&gt;=Projects!$C$8,CH$3&lt;Projects!$C$8+Projects!$D$8),Projects!$B$8*INDEX(Curves!$B$4:$AR$4,1,CH$3-Projects!$C$8+1),0)-IF(AND(Projects!$G$8="Yes",CH$3&gt;=Projects!$C$8,CH$3&lt;Projects!$C$8+Projects!$D$8),Projects!$B$8*(Assumptions!$B$10+Assumptions!$B$11+Assumptions!$B$12)/Projects!$D$8*0.95,0)-IF(AND(Projects!$G$8="Yes",CH$3=Projects!$C$8+Projects!$D$8-1),Projects!$B$8*(Assumptions!$B$10+Assumptions!$B$11+Assumptions!$B$12)*0.05,0)</f>
        <v>0</v>
      </c>
      <c r="CI19" s="30" t="n">
        <f aca="false">IF(AND(Projects!$G$8="Yes",CI$3&gt;=Projects!$C$8,CI$3&lt;Projects!$C$8+Projects!$D$8),Projects!$B$8*INDEX(Curves!$B$4:$AR$4,1,CI$3-Projects!$C$8+1),0)-IF(AND(Projects!$G$8="Yes",CI$3&gt;=Projects!$C$8,CI$3&lt;Projects!$C$8+Projects!$D$8),Projects!$B$8*(Assumptions!$B$10+Assumptions!$B$11+Assumptions!$B$12)/Projects!$D$8*0.95,0)-IF(AND(Projects!$G$8="Yes",CI$3=Projects!$C$8+Projects!$D$8-1),Projects!$B$8*(Assumptions!$B$10+Assumptions!$B$11+Assumptions!$B$12)*0.05,0)</f>
        <v>0</v>
      </c>
      <c r="CJ19" s="30" t="n">
        <f aca="false">IF(AND(Projects!$G$8="Yes",CJ$3&gt;=Projects!$C$8,CJ$3&lt;Projects!$C$8+Projects!$D$8),Projects!$B$8*INDEX(Curves!$B$4:$AR$4,1,CJ$3-Projects!$C$8+1),0)-IF(AND(Projects!$G$8="Yes",CJ$3&gt;=Projects!$C$8,CJ$3&lt;Projects!$C$8+Projects!$D$8),Projects!$B$8*(Assumptions!$B$10+Assumptions!$B$11+Assumptions!$B$12)/Projects!$D$8*0.95,0)-IF(AND(Projects!$G$8="Yes",CJ$3=Projects!$C$8+Projects!$D$8-1),Projects!$B$8*(Assumptions!$B$10+Assumptions!$B$11+Assumptions!$B$12)*0.05,0)</f>
        <v>0</v>
      </c>
      <c r="CK19" s="30" t="n">
        <f aca="false">IF(AND(Projects!$G$8="Yes",CK$3&gt;=Projects!$C$8,CK$3&lt;Projects!$C$8+Projects!$D$8),Projects!$B$8*INDEX(Curves!$B$4:$AR$4,1,CK$3-Projects!$C$8+1),0)-IF(AND(Projects!$G$8="Yes",CK$3&gt;=Projects!$C$8,CK$3&lt;Projects!$C$8+Projects!$D$8),Projects!$B$8*(Assumptions!$B$10+Assumptions!$B$11+Assumptions!$B$12)/Projects!$D$8*0.95,0)-IF(AND(Projects!$G$8="Yes",CK$3=Projects!$C$8+Projects!$D$8-1),Projects!$B$8*(Assumptions!$B$10+Assumptions!$B$11+Assumptions!$B$12)*0.05,0)</f>
        <v>0</v>
      </c>
      <c r="CL19" s="30" t="n">
        <f aca="false">IF(AND(Projects!$G$8="Yes",CL$3&gt;=Projects!$C$8,CL$3&lt;Projects!$C$8+Projects!$D$8),Projects!$B$8*INDEX(Curves!$B$4:$AR$4,1,CL$3-Projects!$C$8+1),0)-IF(AND(Projects!$G$8="Yes",CL$3&gt;=Projects!$C$8,CL$3&lt;Projects!$C$8+Projects!$D$8),Projects!$B$8*(Assumptions!$B$10+Assumptions!$B$11+Assumptions!$B$12)/Projects!$D$8*0.95,0)-IF(AND(Projects!$G$8="Yes",CL$3=Projects!$C$8+Projects!$D$8-1),Projects!$B$8*(Assumptions!$B$10+Assumptions!$B$11+Assumptions!$B$12)*0.05,0)</f>
        <v>0</v>
      </c>
      <c r="CM19" s="30" t="n">
        <f aca="false">IF(AND(Projects!$G$8="Yes",CM$3&gt;=Projects!$C$8,CM$3&lt;Projects!$C$8+Projects!$D$8),Projects!$B$8*INDEX(Curves!$B$4:$AR$4,1,CM$3-Projects!$C$8+1),0)-IF(AND(Projects!$G$8="Yes",CM$3&gt;=Projects!$C$8,CM$3&lt;Projects!$C$8+Projects!$D$8),Projects!$B$8*(Assumptions!$B$10+Assumptions!$B$11+Assumptions!$B$12)/Projects!$D$8*0.95,0)-IF(AND(Projects!$G$8="Yes",CM$3=Projects!$C$8+Projects!$D$8-1),Projects!$B$8*(Assumptions!$B$10+Assumptions!$B$11+Assumptions!$B$12)*0.05,0)</f>
        <v>0</v>
      </c>
      <c r="CN19" s="30" t="n">
        <f aca="false">IF(AND(Projects!$G$8="Yes",CN$3&gt;=Projects!$C$8,CN$3&lt;Projects!$C$8+Projects!$D$8),Projects!$B$8*INDEX(Curves!$B$4:$AR$4,1,CN$3-Projects!$C$8+1),0)-IF(AND(Projects!$G$8="Yes",CN$3&gt;=Projects!$C$8,CN$3&lt;Projects!$C$8+Projects!$D$8),Projects!$B$8*(Assumptions!$B$10+Assumptions!$B$11+Assumptions!$B$12)/Projects!$D$8*0.95,0)-IF(AND(Projects!$G$8="Yes",CN$3=Projects!$C$8+Projects!$D$8-1),Projects!$B$8*(Assumptions!$B$10+Assumptions!$B$11+Assumptions!$B$12)*0.05,0)</f>
        <v>0</v>
      </c>
      <c r="CO19" s="30" t="n">
        <f aca="false">IF(AND(Projects!$G$8="Yes",CO$3&gt;=Projects!$C$8,CO$3&lt;Projects!$C$8+Projects!$D$8),Projects!$B$8*INDEX(Curves!$B$4:$AR$4,1,CO$3-Projects!$C$8+1),0)-IF(AND(Projects!$G$8="Yes",CO$3&gt;=Projects!$C$8,CO$3&lt;Projects!$C$8+Projects!$D$8),Projects!$B$8*(Assumptions!$B$10+Assumptions!$B$11+Assumptions!$B$12)/Projects!$D$8*0.95,0)-IF(AND(Projects!$G$8="Yes",CO$3=Projects!$C$8+Projects!$D$8-1),Projects!$B$8*(Assumptions!$B$10+Assumptions!$B$11+Assumptions!$B$12)*0.05,0)</f>
        <v>0</v>
      </c>
      <c r="CP19" s="30" t="n">
        <f aca="false">IF(AND(Projects!$G$8="Yes",CP$3&gt;=Projects!$C$8,CP$3&lt;Projects!$C$8+Projects!$D$8),Projects!$B$8*INDEX(Curves!$B$4:$AR$4,1,CP$3-Projects!$C$8+1),0)-IF(AND(Projects!$G$8="Yes",CP$3&gt;=Projects!$C$8,CP$3&lt;Projects!$C$8+Projects!$D$8),Projects!$B$8*(Assumptions!$B$10+Assumptions!$B$11+Assumptions!$B$12)/Projects!$D$8*0.95,0)-IF(AND(Projects!$G$8="Yes",CP$3=Projects!$C$8+Projects!$D$8-1),Projects!$B$8*(Assumptions!$B$10+Assumptions!$B$11+Assumptions!$B$12)*0.05,0)</f>
        <v>0</v>
      </c>
      <c r="CQ19" s="30" t="n">
        <f aca="false">IF(AND(Projects!$G$8="Yes",CQ$3&gt;=Projects!$C$8,CQ$3&lt;Projects!$C$8+Projects!$D$8),Projects!$B$8*INDEX(Curves!$B$4:$AR$4,1,CQ$3-Projects!$C$8+1),0)-IF(AND(Projects!$G$8="Yes",CQ$3&gt;=Projects!$C$8,CQ$3&lt;Projects!$C$8+Projects!$D$8),Projects!$B$8*(Assumptions!$B$10+Assumptions!$B$11+Assumptions!$B$12)/Projects!$D$8*0.95,0)-IF(AND(Projects!$G$8="Yes",CQ$3=Projects!$C$8+Projects!$D$8-1),Projects!$B$8*(Assumptions!$B$10+Assumptions!$B$11+Assumptions!$B$12)*0.05,0)</f>
        <v>0</v>
      </c>
      <c r="CR19" s="30" t="n">
        <f aca="false">IF(AND(Projects!$G$8="Yes",CR$3&gt;=Projects!$C$8,CR$3&lt;Projects!$C$8+Projects!$D$8),Projects!$B$8*INDEX(Curves!$B$4:$AR$4,1,CR$3-Projects!$C$8+1),0)-IF(AND(Projects!$G$8="Yes",CR$3&gt;=Projects!$C$8,CR$3&lt;Projects!$C$8+Projects!$D$8),Projects!$B$8*(Assumptions!$B$10+Assumptions!$B$11+Assumptions!$B$12)/Projects!$D$8*0.95,0)-IF(AND(Projects!$G$8="Yes",CR$3=Projects!$C$8+Projects!$D$8-1),Projects!$B$8*(Assumptions!$B$10+Assumptions!$B$11+Assumptions!$B$12)*0.05,0)</f>
        <v>0</v>
      </c>
      <c r="CS19" s="30" t="n">
        <f aca="false">IF(AND(Projects!$G$8="Yes",CS$3&gt;=Projects!$C$8,CS$3&lt;Projects!$C$8+Projects!$D$8),Projects!$B$8*INDEX(Curves!$B$4:$AR$4,1,CS$3-Projects!$C$8+1),0)-IF(AND(Projects!$G$8="Yes",CS$3&gt;=Projects!$C$8,CS$3&lt;Projects!$C$8+Projects!$D$8),Projects!$B$8*(Assumptions!$B$10+Assumptions!$B$11+Assumptions!$B$12)/Projects!$D$8*0.95,0)-IF(AND(Projects!$G$8="Yes",CS$3=Projects!$C$8+Projects!$D$8-1),Projects!$B$8*(Assumptions!$B$10+Assumptions!$B$11+Assumptions!$B$12)*0.05,0)</f>
        <v>0</v>
      </c>
      <c r="CT19" s="30" t="n">
        <f aca="false">IF(AND(Projects!$G$8="Yes",CT$3&gt;=Projects!$C$8,CT$3&lt;Projects!$C$8+Projects!$D$8),Projects!$B$8*INDEX(Curves!$B$4:$AR$4,1,CT$3-Projects!$C$8+1),0)-IF(AND(Projects!$G$8="Yes",CT$3&gt;=Projects!$C$8,CT$3&lt;Projects!$C$8+Projects!$D$8),Projects!$B$8*(Assumptions!$B$10+Assumptions!$B$11+Assumptions!$B$12)/Projects!$D$8*0.95,0)-IF(AND(Projects!$G$8="Yes",CT$3=Projects!$C$8+Projects!$D$8-1),Projects!$B$8*(Assumptions!$B$10+Assumptions!$B$11+Assumptions!$B$12)*0.05,0)</f>
        <v>0</v>
      </c>
      <c r="CU19" s="30" t="n">
        <f aca="false">IF(AND(Projects!$G$8="Yes",CU$3&gt;=Projects!$C$8,CU$3&lt;Projects!$C$8+Projects!$D$8),Projects!$B$8*INDEX(Curves!$B$4:$AR$4,1,CU$3-Projects!$C$8+1),0)-IF(AND(Projects!$G$8="Yes",CU$3&gt;=Projects!$C$8,CU$3&lt;Projects!$C$8+Projects!$D$8),Projects!$B$8*(Assumptions!$B$10+Assumptions!$B$11+Assumptions!$B$12)/Projects!$D$8*0.95,0)-IF(AND(Projects!$G$8="Yes",CU$3=Projects!$C$8+Projects!$D$8-1),Projects!$B$8*(Assumptions!$B$10+Assumptions!$B$11+Assumptions!$B$12)*0.05,0)</f>
        <v>0</v>
      </c>
      <c r="CV19" s="30" t="n">
        <f aca="false">IF(AND(Projects!$G$8="Yes",CV$3&gt;=Projects!$C$8,CV$3&lt;Projects!$C$8+Projects!$D$8),Projects!$B$8*INDEX(Curves!$B$4:$AR$4,1,CV$3-Projects!$C$8+1),0)-IF(AND(Projects!$G$8="Yes",CV$3&gt;=Projects!$C$8,CV$3&lt;Projects!$C$8+Projects!$D$8),Projects!$B$8*(Assumptions!$B$10+Assumptions!$B$11+Assumptions!$B$12)/Projects!$D$8*0.95,0)-IF(AND(Projects!$G$8="Yes",CV$3=Projects!$C$8+Projects!$D$8-1),Projects!$B$8*(Assumptions!$B$10+Assumptions!$B$11+Assumptions!$B$12)*0.05,0)</f>
        <v>0</v>
      </c>
      <c r="CW19" s="30" t="n">
        <f aca="false">IF(AND(Projects!$G$8="Yes",CW$3&gt;=Projects!$C$8,CW$3&lt;Projects!$C$8+Projects!$D$8),Projects!$B$8*INDEX(Curves!$B$4:$AR$4,1,CW$3-Projects!$C$8+1),0)-IF(AND(Projects!$G$8="Yes",CW$3&gt;=Projects!$C$8,CW$3&lt;Projects!$C$8+Projects!$D$8),Projects!$B$8*(Assumptions!$B$10+Assumptions!$B$11+Assumptions!$B$12)/Projects!$D$8*0.95,0)-IF(AND(Projects!$G$8="Yes",CW$3=Projects!$C$8+Projects!$D$8-1),Projects!$B$8*(Assumptions!$B$10+Assumptions!$B$11+Assumptions!$B$12)*0.05,0)</f>
        <v>0</v>
      </c>
      <c r="CX19" s="30" t="n">
        <f aca="false">IF(AND(Projects!$G$8="Yes",CX$3&gt;=Projects!$C$8,CX$3&lt;Projects!$C$8+Projects!$D$8),Projects!$B$8*INDEX(Curves!$B$4:$AR$4,1,CX$3-Projects!$C$8+1),0)-IF(AND(Projects!$G$8="Yes",CX$3&gt;=Projects!$C$8,CX$3&lt;Projects!$C$8+Projects!$D$8),Projects!$B$8*(Assumptions!$B$10+Assumptions!$B$11+Assumptions!$B$12)/Projects!$D$8*0.95,0)-IF(AND(Projects!$G$8="Yes",CX$3=Projects!$C$8+Projects!$D$8-1),Projects!$B$8*(Assumptions!$B$10+Assumptions!$B$11+Assumptions!$B$12)*0.05,0)</f>
        <v>0</v>
      </c>
      <c r="CY19" s="30" t="n">
        <f aca="false">IF(AND(Projects!$G$8="Yes",CY$3&gt;=Projects!$C$8,CY$3&lt;Projects!$C$8+Projects!$D$8),Projects!$B$8*INDEX(Curves!$B$4:$AR$4,1,CY$3-Projects!$C$8+1),0)-IF(AND(Projects!$G$8="Yes",CY$3&gt;=Projects!$C$8,CY$3&lt;Projects!$C$8+Projects!$D$8),Projects!$B$8*(Assumptions!$B$10+Assumptions!$B$11+Assumptions!$B$12)/Projects!$D$8*0.95,0)-IF(AND(Projects!$G$8="Yes",CY$3=Projects!$C$8+Projects!$D$8-1),Projects!$B$8*(Assumptions!$B$10+Assumptions!$B$11+Assumptions!$B$12)*0.05,0)</f>
        <v>0</v>
      </c>
      <c r="CZ19" s="30" t="n">
        <f aca="false">IF(AND(Projects!$G$8="Yes",CZ$3&gt;=Projects!$C$8,CZ$3&lt;Projects!$C$8+Projects!$D$8),Projects!$B$8*INDEX(Curves!$B$4:$AR$4,1,CZ$3-Projects!$C$8+1),0)-IF(AND(Projects!$G$8="Yes",CZ$3&gt;=Projects!$C$8,CZ$3&lt;Projects!$C$8+Projects!$D$8),Projects!$B$8*(Assumptions!$B$10+Assumptions!$B$11+Assumptions!$B$12)/Projects!$D$8*0.95,0)-IF(AND(Projects!$G$8="Yes",CZ$3=Projects!$C$8+Projects!$D$8-1),Projects!$B$8*(Assumptions!$B$10+Assumptions!$B$11+Assumptions!$B$12)*0.05,0)</f>
        <v>0</v>
      </c>
      <c r="DA19" s="30" t="n">
        <f aca="false">IF(AND(Projects!$G$8="Yes",DA$3&gt;=Projects!$C$8,DA$3&lt;Projects!$C$8+Projects!$D$8),Projects!$B$8*INDEX(Curves!$B$4:$AR$4,1,DA$3-Projects!$C$8+1),0)-IF(AND(Projects!$G$8="Yes",DA$3&gt;=Projects!$C$8,DA$3&lt;Projects!$C$8+Projects!$D$8),Projects!$B$8*(Assumptions!$B$10+Assumptions!$B$11+Assumptions!$B$12)/Projects!$D$8*0.95,0)-IF(AND(Projects!$G$8="Yes",DA$3=Projects!$C$8+Projects!$D$8-1),Projects!$B$8*(Assumptions!$B$10+Assumptions!$B$11+Assumptions!$B$12)*0.05,0)</f>
        <v>0</v>
      </c>
      <c r="DB19" s="30" t="n">
        <f aca="false">IF(AND(Projects!$G$8="Yes",DB$3&gt;=Projects!$C$8,DB$3&lt;Projects!$C$8+Projects!$D$8),Projects!$B$8*INDEX(Curves!$B$4:$AR$4,1,DB$3-Projects!$C$8+1),0)-IF(AND(Projects!$G$8="Yes",DB$3&gt;=Projects!$C$8,DB$3&lt;Projects!$C$8+Projects!$D$8),Projects!$B$8*(Assumptions!$B$10+Assumptions!$B$11+Assumptions!$B$12)/Projects!$D$8*0.95,0)-IF(AND(Projects!$G$8="Yes",DB$3=Projects!$C$8+Projects!$D$8-1),Projects!$B$8*(Assumptions!$B$10+Assumptions!$B$11+Assumptions!$B$12)*0.05,0)</f>
        <v>0</v>
      </c>
      <c r="DC19" s="30" t="n">
        <f aca="false">IF(AND(Projects!$G$8="Yes",DC$3&gt;=Projects!$C$8,DC$3&lt;Projects!$C$8+Projects!$D$8),Projects!$B$8*INDEX(Curves!$B$4:$AR$4,1,DC$3-Projects!$C$8+1),0)-IF(AND(Projects!$G$8="Yes",DC$3&gt;=Projects!$C$8,DC$3&lt;Projects!$C$8+Projects!$D$8),Projects!$B$8*(Assumptions!$B$10+Assumptions!$B$11+Assumptions!$B$12)/Projects!$D$8*0.95,0)-IF(AND(Projects!$G$8="Yes",DC$3=Projects!$C$8+Projects!$D$8-1),Projects!$B$8*(Assumptions!$B$10+Assumptions!$B$11+Assumptions!$B$12)*0.05,0)</f>
        <v>0</v>
      </c>
      <c r="DD19" s="30" t="n">
        <f aca="false">IF(AND(Projects!$G$8="Yes",DD$3&gt;=Projects!$C$8,DD$3&lt;Projects!$C$8+Projects!$D$8),Projects!$B$8*INDEX(Curves!$B$4:$AR$4,1,DD$3-Projects!$C$8+1),0)-IF(AND(Projects!$G$8="Yes",DD$3&gt;=Projects!$C$8,DD$3&lt;Projects!$C$8+Projects!$D$8),Projects!$B$8*(Assumptions!$B$10+Assumptions!$B$11+Assumptions!$B$12)/Projects!$D$8*0.95,0)-IF(AND(Projects!$G$8="Yes",DD$3=Projects!$C$8+Projects!$D$8-1),Projects!$B$8*(Assumptions!$B$10+Assumptions!$B$11+Assumptions!$B$12)*0.05,0)</f>
        <v>0</v>
      </c>
      <c r="DE19" s="30" t="n">
        <f aca="false">IF(AND(Projects!$G$8="Yes",DE$3&gt;=Projects!$C$8,DE$3&lt;Projects!$C$8+Projects!$D$8),Projects!$B$8*INDEX(Curves!$B$4:$AR$4,1,DE$3-Projects!$C$8+1),0)-IF(AND(Projects!$G$8="Yes",DE$3&gt;=Projects!$C$8,DE$3&lt;Projects!$C$8+Projects!$D$8),Projects!$B$8*(Assumptions!$B$10+Assumptions!$B$11+Assumptions!$B$12)/Projects!$D$8*0.95,0)-IF(AND(Projects!$G$8="Yes",DE$3=Projects!$C$8+Projects!$D$8-1),Projects!$B$8*(Assumptions!$B$10+Assumptions!$B$11+Assumptions!$B$12)*0.05,0)</f>
        <v>0</v>
      </c>
    </row>
    <row r="20" customFormat="false" ht="15" hidden="true" customHeight="true" outlineLevel="1" collapsed="false">
      <c r="A20" s="32" t="s">
        <v>14</v>
      </c>
      <c r="B20" s="30" t="n">
        <v>0</v>
      </c>
      <c r="C20" s="30" t="n">
        <v>0</v>
      </c>
      <c r="D20" s="30" t="n">
        <v>0</v>
      </c>
      <c r="E20" s="30" t="n">
        <v>0</v>
      </c>
      <c r="F20" s="30" t="n">
        <f aca="false">IF(AND(Projects!$G$9="Yes",F$3&gt;=Projects!$C$9,F$3&lt;Projects!$C$9+Projects!$D$9),Projects!$B$9*INDEX(Curves!$B$2:$AR$2,1,F$3-Projects!$C$9+1),0)-IF(AND(Projects!$G$9="Yes",F$3&gt;=Projects!$C$9,F$3&lt;Projects!$C$9+Projects!$D$9),Projects!$B$9*(Assumptions!$B$10+Assumptions!$B$11+Assumptions!$B$12)/Projects!$D$9*0.95,0)-IF(AND(Projects!$G$9="Yes",F$3=Projects!$C$9+Projects!$D$9-1),Projects!$B$9*(Assumptions!$B$10+Assumptions!$B$11+Assumptions!$B$12)*0.05,0)</f>
        <v>0</v>
      </c>
      <c r="G20" s="30" t="n">
        <f aca="false">IF(AND(Projects!$G$9="Yes",G$3&gt;=Projects!$C$9,G$3&lt;Projects!$C$9+Projects!$D$9),Projects!$B$9*INDEX(Curves!$B$2:$AR$2,1,G$3-Projects!$C$9+1),0)-IF(AND(Projects!$G$9="Yes",G$3&gt;=Projects!$C$9,G$3&lt;Projects!$C$9+Projects!$D$9),Projects!$B$9*(Assumptions!$B$10+Assumptions!$B$11+Assumptions!$B$12)/Projects!$D$9*0.95,0)-IF(AND(Projects!$G$9="Yes",G$3=Projects!$C$9+Projects!$D$9-1),Projects!$B$9*(Assumptions!$B$10+Assumptions!$B$11+Assumptions!$B$12)*0.05,0)</f>
        <v>0</v>
      </c>
      <c r="H20" s="30" t="n">
        <f aca="false">IF(AND(Projects!$G$9="Yes",H$3&gt;=Projects!$C$9,H$3&lt;Projects!$C$9+Projects!$D$9),Projects!$B$9*INDEX(Curves!$B$2:$AR$2,1,H$3-Projects!$C$9+1),0)-IF(AND(Projects!$G$9="Yes",H$3&gt;=Projects!$C$9,H$3&lt;Projects!$C$9+Projects!$D$9),Projects!$B$9*(Assumptions!$B$10+Assumptions!$B$11+Assumptions!$B$12)/Projects!$D$9*0.95,0)-IF(AND(Projects!$G$9="Yes",H$3=Projects!$C$9+Projects!$D$9-1),Projects!$B$9*(Assumptions!$B$10+Assumptions!$B$11+Assumptions!$B$12)*0.05,0)</f>
        <v>0</v>
      </c>
      <c r="I20" s="30" t="n">
        <f aca="false">IF(AND(Projects!$G$9="Yes",I$3&gt;=Projects!$C$9,I$3&lt;Projects!$C$9+Projects!$D$9),Projects!$B$9*INDEX(Curves!$B$2:$AR$2,1,I$3-Projects!$C$9+1),0)-IF(AND(Projects!$G$9="Yes",I$3&gt;=Projects!$C$9,I$3&lt;Projects!$C$9+Projects!$D$9),Projects!$B$9*(Assumptions!$B$10+Assumptions!$B$11+Assumptions!$B$12)/Projects!$D$9*0.95,0)-IF(AND(Projects!$G$9="Yes",I$3=Projects!$C$9+Projects!$D$9-1),Projects!$B$9*(Assumptions!$B$10+Assumptions!$B$11+Assumptions!$B$12)*0.05,0)</f>
        <v>176182.053762078</v>
      </c>
      <c r="J20" s="30" t="n">
        <f aca="false">IF(AND(Projects!$G$9="Yes",J$3&gt;=Projects!$C$9,J$3&lt;Projects!$C$9+Projects!$D$9),Projects!$B$9*INDEX(Curves!$B$2:$AR$2,1,J$3-Projects!$C$9+1),0)-IF(AND(Projects!$G$9="Yes",J$3&gt;=Projects!$C$9,J$3&lt;Projects!$C$9+Projects!$D$9),Projects!$B$9*(Assumptions!$B$10+Assumptions!$B$11+Assumptions!$B$12)/Projects!$D$9*0.95,0)-IF(AND(Projects!$G$9="Yes",J$3=Projects!$C$9+Projects!$D$9-1),Projects!$B$9*(Assumptions!$B$10+Assumptions!$B$11+Assumptions!$B$12)*0.05,0)</f>
        <v>210834.608865678</v>
      </c>
      <c r="K20" s="30" t="n">
        <f aca="false">IF(AND(Projects!$G$9="Yes",K$3&gt;=Projects!$C$9,K$3&lt;Projects!$C$9+Projects!$D$9),Projects!$B$9*INDEX(Curves!$B$2:$AR$2,1,K$3-Projects!$C$9+1),0)-IF(AND(Projects!$G$9="Yes",K$3&gt;=Projects!$C$9,K$3&lt;Projects!$C$9+Projects!$D$9),Projects!$B$9*(Assumptions!$B$10+Assumptions!$B$11+Assumptions!$B$12)/Projects!$D$9*0.95,0)-IF(AND(Projects!$G$9="Yes",K$3=Projects!$C$9+Projects!$D$9-1),Projects!$B$9*(Assumptions!$B$10+Assumptions!$B$11+Assumptions!$B$12)*0.05,0)</f>
        <v>247666.389610878</v>
      </c>
      <c r="L20" s="30" t="n">
        <f aca="false">IF(AND(Projects!$G$9="Yes",L$3&gt;=Projects!$C$9,L$3&lt;Projects!$C$9+Projects!$D$9),Projects!$B$9*INDEX(Curves!$B$2:$AR$2,1,L$3-Projects!$C$9+1),0)-IF(AND(Projects!$G$9="Yes",L$3&gt;=Projects!$C$9,L$3&lt;Projects!$C$9+Projects!$D$9),Projects!$B$9*(Assumptions!$B$10+Assumptions!$B$11+Assumptions!$B$12)/Projects!$D$9*0.95,0)-IF(AND(Projects!$G$9="Yes",L$3=Projects!$C$9+Projects!$D$9-1),Projects!$B$9*(Assumptions!$B$10+Assumptions!$B$11+Assumptions!$B$12)*0.05,0)</f>
        <v>286175.600619678</v>
      </c>
      <c r="M20" s="30" t="n">
        <f aca="false">IF(AND(Projects!$G$9="Yes",M$3&gt;=Projects!$C$9,M$3&lt;Projects!$C$9+Projects!$D$9),Projects!$B$9*INDEX(Curves!$B$2:$AR$2,1,M$3-Projects!$C$9+1),0)-IF(AND(Projects!$G$9="Yes",M$3&gt;=Projects!$C$9,M$3&lt;Projects!$C$9+Projects!$D$9),Projects!$B$9*(Assumptions!$B$10+Assumptions!$B$11+Assumptions!$B$12)/Projects!$D$9*0.95,0)-IF(AND(Projects!$G$9="Yes",M$3=Projects!$C$9+Projects!$D$9-1),Projects!$B$9*(Assumptions!$B$10+Assumptions!$B$11+Assumptions!$B$12)*0.05,0)</f>
        <v>325774.424449278</v>
      </c>
      <c r="N20" s="30" t="n">
        <f aca="false">IF(AND(Projects!$G$9="Yes",N$3&gt;=Projects!$C$9,N$3&lt;Projects!$C$9+Projects!$D$9),Projects!$B$9*INDEX(Curves!$B$2:$AR$2,1,N$3-Projects!$C$9+1),0)-IF(AND(Projects!$G$9="Yes",N$3&gt;=Projects!$C$9,N$3&lt;Projects!$C$9+Projects!$D$9),Projects!$B$9*(Assumptions!$B$10+Assumptions!$B$11+Assumptions!$B$12)/Projects!$D$9*0.95,0)-IF(AND(Projects!$G$9="Yes",N$3=Projects!$C$9+Projects!$D$9-1),Projects!$B$9*(Assumptions!$B$10+Assumptions!$B$11+Assumptions!$B$12)*0.05,0)</f>
        <v>365746.010559678</v>
      </c>
      <c r="O20" s="30" t="n">
        <f aca="false">IF(AND(Projects!$G$9="Yes",O$3&gt;=Projects!$C$9,O$3&lt;Projects!$C$9+Projects!$D$9),Projects!$B$9*INDEX(Curves!$B$2:$AR$2,1,O$3-Projects!$C$9+1),0)-IF(AND(Projects!$G$9="Yes",O$3&gt;=Projects!$C$9,O$3&lt;Projects!$C$9+Projects!$D$9),Projects!$B$9*(Assumptions!$B$10+Assumptions!$B$11+Assumptions!$B$12)/Projects!$D$9*0.95,0)-IF(AND(Projects!$G$9="Yes",O$3=Projects!$C$9+Projects!$D$9-1),Projects!$B$9*(Assumptions!$B$10+Assumptions!$B$11+Assumptions!$B$12)*0.05,0)</f>
        <v>405301.823356878</v>
      </c>
      <c r="P20" s="30" t="n">
        <f aca="false">IF(AND(Projects!$G$9="Yes",P$3&gt;=Projects!$C$9,P$3&lt;Projects!$C$9+Projects!$D$9),Projects!$B$9*INDEX(Curves!$B$2:$AR$2,1,P$3-Projects!$C$9+1),0)-IF(AND(Projects!$G$9="Yes",P$3&gt;=Projects!$C$9,P$3&lt;Projects!$C$9+Projects!$D$9),Projects!$B$9*(Assumptions!$B$10+Assumptions!$B$11+Assumptions!$B$12)/Projects!$D$9*0.95,0)-IF(AND(Projects!$G$9="Yes",P$3=Projects!$C$9+Projects!$D$9-1),Projects!$B$9*(Assumptions!$B$10+Assumptions!$B$11+Assumptions!$B$12)*0.05,0)</f>
        <v>443581.642192878</v>
      </c>
      <c r="Q20" s="30" t="n">
        <f aca="false">IF(AND(Projects!$G$9="Yes",Q$3&gt;=Projects!$C$9,Q$3&lt;Projects!$C$9+Projects!$D$9),Projects!$B$9*INDEX(Curves!$B$2:$AR$2,1,Q$3-Projects!$C$9+1),0)-IF(AND(Projects!$G$9="Yes",Q$3&gt;=Projects!$C$9,Q$3&lt;Projects!$C$9+Projects!$D$9),Projects!$B$9*(Assumptions!$B$10+Assumptions!$B$11+Assumptions!$B$12)/Projects!$D$9*0.95,0)-IF(AND(Projects!$G$9="Yes",Q$3=Projects!$C$9+Projects!$D$9-1),Projects!$B$9*(Assumptions!$B$10+Assumptions!$B$11+Assumptions!$B$12)*0.05,0)</f>
        <v>479667.898376478</v>
      </c>
      <c r="R20" s="30" t="n">
        <f aca="false">IF(AND(Projects!$G$9="Yes",R$3&gt;=Projects!$C$9,R$3&lt;Projects!$C$9+Projects!$D$9),Projects!$B$9*INDEX(Curves!$B$2:$AR$2,1,R$3-Projects!$C$9+1),0)-IF(AND(Projects!$G$9="Yes",R$3&gt;=Projects!$C$9,R$3&lt;Projects!$C$9+Projects!$D$9),Projects!$B$9*(Assumptions!$B$10+Assumptions!$B$11+Assumptions!$B$12)/Projects!$D$9*0.95,0)-IF(AND(Projects!$G$9="Yes",R$3=Projects!$C$9+Projects!$D$9-1),Projects!$B$9*(Assumptions!$B$10+Assumptions!$B$11+Assumptions!$B$12)*0.05,0)</f>
        <v>512686.034248878</v>
      </c>
      <c r="S20" s="30" t="n">
        <f aca="false">IF(AND(Projects!$G$9="Yes",S$3&gt;=Projects!$C$9,S$3&lt;Projects!$C$9+Projects!$D$9),Projects!$B$9*INDEX(Curves!$B$2:$AR$2,1,S$3-Projects!$C$9+1),0)-IF(AND(Projects!$G$9="Yes",S$3&gt;=Projects!$C$9,S$3&lt;Projects!$C$9+Projects!$D$9),Projects!$B$9*(Assumptions!$B$10+Assumptions!$B$11+Assumptions!$B$12)/Projects!$D$9*0.95,0)-IF(AND(Projects!$G$9="Yes",S$3=Projects!$C$9+Projects!$D$9-1),Projects!$B$9*(Assumptions!$B$10+Assumptions!$B$11+Assumptions!$B$12)*0.05,0)</f>
        <v>541747.155140478</v>
      </c>
      <c r="T20" s="30" t="n">
        <f aca="false">IF(AND(Projects!$G$9="Yes",T$3&gt;=Projects!$C$9,T$3&lt;Projects!$C$9+Projects!$D$9),Projects!$B$9*INDEX(Curves!$B$2:$AR$2,1,T$3-Projects!$C$9+1),0)-IF(AND(Projects!$G$9="Yes",T$3&gt;=Projects!$C$9,T$3&lt;Projects!$C$9+Projects!$D$9),Projects!$B$9*(Assumptions!$B$10+Assumptions!$B$11+Assumptions!$B$12)/Projects!$D$9*0.95,0)-IF(AND(Projects!$G$9="Yes",T$3=Projects!$C$9+Projects!$D$9-1),Projects!$B$9*(Assumptions!$B$10+Assumptions!$B$11+Assumptions!$B$12)*0.05,0)</f>
        <v>566062.725457278</v>
      </c>
      <c r="U20" s="30" t="n">
        <f aca="false">IF(AND(Projects!$G$9="Yes",U$3&gt;=Projects!$C$9,U$3&lt;Projects!$C$9+Projects!$D$9),Projects!$B$9*INDEX(Curves!$B$2:$AR$2,1,U$3-Projects!$C$9+1),0)-IF(AND(Projects!$G$9="Yes",U$3&gt;=Projects!$C$9,U$3&lt;Projects!$C$9+Projects!$D$9),Projects!$B$9*(Assumptions!$B$10+Assumptions!$B$11+Assumptions!$B$12)/Projects!$D$9*0.95,0)-IF(AND(Projects!$G$9="Yes",U$3=Projects!$C$9+Projects!$D$9-1),Projects!$B$9*(Assumptions!$B$10+Assumptions!$B$11+Assumptions!$B$12)*0.05,0)</f>
        <v>584958.905691678</v>
      </c>
      <c r="V20" s="30" t="n">
        <f aca="false">IF(AND(Projects!$G$9="Yes",V$3&gt;=Projects!$C$9,V$3&lt;Projects!$C$9+Projects!$D$9),Projects!$B$9*INDEX(Curves!$B$2:$AR$2,1,V$3-Projects!$C$9+1),0)-IF(AND(Projects!$G$9="Yes",V$3&gt;=Projects!$C$9,V$3&lt;Projects!$C$9+Projects!$D$9),Projects!$B$9*(Assumptions!$B$10+Assumptions!$B$11+Assumptions!$B$12)/Projects!$D$9*0.95,0)-IF(AND(Projects!$G$9="Yes",V$3=Projects!$C$9+Projects!$D$9-1),Projects!$B$9*(Assumptions!$B$10+Assumptions!$B$11+Assumptions!$B$12)*0.05,0)</f>
        <v>597862.215411678</v>
      </c>
      <c r="W20" s="30" t="n">
        <f aca="false">IF(AND(Projects!$G$9="Yes",W$3&gt;=Projects!$C$9,W$3&lt;Projects!$C$9+Projects!$D$9),Projects!$B$9*INDEX(Curves!$B$2:$AR$2,1,W$3-Projects!$C$9+1),0)-IF(AND(Projects!$G$9="Yes",W$3&gt;=Projects!$C$9,W$3&lt;Projects!$C$9+Projects!$D$9),Projects!$B$9*(Assumptions!$B$10+Assumptions!$B$11+Assumptions!$B$12)/Projects!$D$9*0.95,0)-IF(AND(Projects!$G$9="Yes",W$3=Projects!$C$9+Projects!$D$9-1),Projects!$B$9*(Assumptions!$B$10+Assumptions!$B$11+Assumptions!$B$12)*0.05,0)</f>
        <v>604414.229347278</v>
      </c>
      <c r="X20" s="30" t="n">
        <f aca="false">IF(AND(Projects!$G$9="Yes",X$3&gt;=Projects!$C$9,X$3&lt;Projects!$C$9+Projects!$D$9),Projects!$B$9*INDEX(Curves!$B$2:$AR$2,1,X$3-Projects!$C$9+1),0)-IF(AND(Projects!$G$9="Yes",X$3&gt;=Projects!$C$9,X$3&lt;Projects!$C$9+Projects!$D$9),Projects!$B$9*(Assumptions!$B$10+Assumptions!$B$11+Assumptions!$B$12)/Projects!$D$9*0.95,0)-IF(AND(Projects!$G$9="Yes",X$3=Projects!$C$9+Projects!$D$9-1),Projects!$B$9*(Assumptions!$B$10+Assumptions!$B$11+Assumptions!$B$12)*0.05,0)</f>
        <v>604414.229347278</v>
      </c>
      <c r="Y20" s="30" t="n">
        <f aca="false">IF(AND(Projects!$G$9="Yes",Y$3&gt;=Projects!$C$9,Y$3&lt;Projects!$C$9+Projects!$D$9),Projects!$B$9*INDEX(Curves!$B$2:$AR$2,1,Y$3-Projects!$C$9+1),0)-IF(AND(Projects!$G$9="Yes",Y$3&gt;=Projects!$C$9,Y$3&lt;Projects!$C$9+Projects!$D$9),Projects!$B$9*(Assumptions!$B$10+Assumptions!$B$11+Assumptions!$B$12)/Projects!$D$9*0.95,0)-IF(AND(Projects!$G$9="Yes",Y$3=Projects!$C$9+Projects!$D$9-1),Projects!$B$9*(Assumptions!$B$10+Assumptions!$B$11+Assumptions!$B$12)*0.05,0)</f>
        <v>597862.215411678</v>
      </c>
      <c r="Z20" s="30" t="n">
        <f aca="false">IF(AND(Projects!$G$9="Yes",Z$3&gt;=Projects!$C$9,Z$3&lt;Projects!$C$9+Projects!$D$9),Projects!$B$9*INDEX(Curves!$B$2:$AR$2,1,Z$3-Projects!$C$9+1),0)-IF(AND(Projects!$G$9="Yes",Z$3&gt;=Projects!$C$9,Z$3&lt;Projects!$C$9+Projects!$D$9),Projects!$B$9*(Assumptions!$B$10+Assumptions!$B$11+Assumptions!$B$12)/Projects!$D$9*0.95,0)-IF(AND(Projects!$G$9="Yes",Z$3=Projects!$C$9+Projects!$D$9-1),Projects!$B$9*(Assumptions!$B$10+Assumptions!$B$11+Assumptions!$B$12)*0.05,0)</f>
        <v>584958.905691678</v>
      </c>
      <c r="AA20" s="30" t="n">
        <f aca="false">IF(AND(Projects!$G$9="Yes",AA$3&gt;=Projects!$C$9,AA$3&lt;Projects!$C$9+Projects!$D$9),Projects!$B$9*INDEX(Curves!$B$2:$AR$2,1,AA$3-Projects!$C$9+1),0)-IF(AND(Projects!$G$9="Yes",AA$3&gt;=Projects!$C$9,AA$3&lt;Projects!$C$9+Projects!$D$9),Projects!$B$9*(Assumptions!$B$10+Assumptions!$B$11+Assumptions!$B$12)/Projects!$D$9*0.95,0)-IF(AND(Projects!$G$9="Yes",AA$3=Projects!$C$9+Projects!$D$9-1),Projects!$B$9*(Assumptions!$B$10+Assumptions!$B$11+Assumptions!$B$12)*0.05,0)</f>
        <v>566062.725457278</v>
      </c>
      <c r="AB20" s="30" t="n">
        <f aca="false">IF(AND(Projects!$G$9="Yes",AB$3&gt;=Projects!$C$9,AB$3&lt;Projects!$C$9+Projects!$D$9),Projects!$B$9*INDEX(Curves!$B$2:$AR$2,1,AB$3-Projects!$C$9+1),0)-IF(AND(Projects!$G$9="Yes",AB$3&gt;=Projects!$C$9,AB$3&lt;Projects!$C$9+Projects!$D$9),Projects!$B$9*(Assumptions!$B$10+Assumptions!$B$11+Assumptions!$B$12)/Projects!$D$9*0.95,0)-IF(AND(Projects!$G$9="Yes",AB$3=Projects!$C$9+Projects!$D$9-1),Projects!$B$9*(Assumptions!$B$10+Assumptions!$B$11+Assumptions!$B$12)*0.05,0)</f>
        <v>541747.155140478</v>
      </c>
      <c r="AC20" s="30" t="n">
        <f aca="false">IF(AND(Projects!$G$9="Yes",AC$3&gt;=Projects!$C$9,AC$3&lt;Projects!$C$9+Projects!$D$9),Projects!$B$9*INDEX(Curves!$B$2:$AR$2,1,AC$3-Projects!$C$9+1),0)-IF(AND(Projects!$G$9="Yes",AC$3&gt;=Projects!$C$9,AC$3&lt;Projects!$C$9+Projects!$D$9),Projects!$B$9*(Assumptions!$B$10+Assumptions!$B$11+Assumptions!$B$12)/Projects!$D$9*0.95,0)-IF(AND(Projects!$G$9="Yes",AC$3=Projects!$C$9+Projects!$D$9-1),Projects!$B$9*(Assumptions!$B$10+Assumptions!$B$11+Assumptions!$B$12)*0.05,0)</f>
        <v>512686.034248878</v>
      </c>
      <c r="AD20" s="30" t="n">
        <f aca="false">IF(AND(Projects!$G$9="Yes",AD$3&gt;=Projects!$C$9,AD$3&lt;Projects!$C$9+Projects!$D$9),Projects!$B$9*INDEX(Curves!$B$2:$AR$2,1,AD$3-Projects!$C$9+1),0)-IF(AND(Projects!$G$9="Yes",AD$3&gt;=Projects!$C$9,AD$3&lt;Projects!$C$9+Projects!$D$9),Projects!$B$9*(Assumptions!$B$10+Assumptions!$B$11+Assumptions!$B$12)/Projects!$D$9*0.95,0)-IF(AND(Projects!$G$9="Yes",AD$3=Projects!$C$9+Projects!$D$9-1),Projects!$B$9*(Assumptions!$B$10+Assumptions!$B$11+Assumptions!$B$12)*0.05,0)</f>
        <v>479667.898376478</v>
      </c>
      <c r="AE20" s="30" t="n">
        <f aca="false">IF(AND(Projects!$G$9="Yes",AE$3&gt;=Projects!$C$9,AE$3&lt;Projects!$C$9+Projects!$D$9),Projects!$B$9*INDEX(Curves!$B$2:$AR$2,1,AE$3-Projects!$C$9+1),0)-IF(AND(Projects!$G$9="Yes",AE$3&gt;=Projects!$C$9,AE$3&lt;Projects!$C$9+Projects!$D$9),Projects!$B$9*(Assumptions!$B$10+Assumptions!$B$11+Assumptions!$B$12)/Projects!$D$9*0.95,0)-IF(AND(Projects!$G$9="Yes",AE$3=Projects!$C$9+Projects!$D$9-1),Projects!$B$9*(Assumptions!$B$10+Assumptions!$B$11+Assumptions!$B$12)*0.05,0)</f>
        <v>443581.642192878</v>
      </c>
      <c r="AF20" s="30" t="n">
        <f aca="false">IF(AND(Projects!$G$9="Yes",AF$3&gt;=Projects!$C$9,AF$3&lt;Projects!$C$9+Projects!$D$9),Projects!$B$9*INDEX(Curves!$B$2:$AR$2,1,AF$3-Projects!$C$9+1),0)-IF(AND(Projects!$G$9="Yes",AF$3&gt;=Projects!$C$9,AF$3&lt;Projects!$C$9+Projects!$D$9),Projects!$B$9*(Assumptions!$B$10+Assumptions!$B$11+Assumptions!$B$12)/Projects!$D$9*0.95,0)-IF(AND(Projects!$G$9="Yes",AF$3=Projects!$C$9+Projects!$D$9-1),Projects!$B$9*(Assumptions!$B$10+Assumptions!$B$11+Assumptions!$B$12)*0.05,0)</f>
        <v>405301.823356878</v>
      </c>
      <c r="AG20" s="30" t="n">
        <f aca="false">IF(AND(Projects!$G$9="Yes",AG$3&gt;=Projects!$C$9,AG$3&lt;Projects!$C$9+Projects!$D$9),Projects!$B$9*INDEX(Curves!$B$2:$AR$2,1,AG$3-Projects!$C$9+1),0)-IF(AND(Projects!$G$9="Yes",AG$3&gt;=Projects!$C$9,AG$3&lt;Projects!$C$9+Projects!$D$9),Projects!$B$9*(Assumptions!$B$10+Assumptions!$B$11+Assumptions!$B$12)/Projects!$D$9*0.95,0)-IF(AND(Projects!$G$9="Yes",AG$3=Projects!$C$9+Projects!$D$9-1),Projects!$B$9*(Assumptions!$B$10+Assumptions!$B$11+Assumptions!$B$12)*0.05,0)</f>
        <v>365746.010559678</v>
      </c>
      <c r="AH20" s="30" t="n">
        <f aca="false">IF(AND(Projects!$G$9="Yes",AH$3&gt;=Projects!$C$9,AH$3&lt;Projects!$C$9+Projects!$D$9),Projects!$B$9*INDEX(Curves!$B$2:$AR$2,1,AH$3-Projects!$C$9+1),0)-IF(AND(Projects!$G$9="Yes",AH$3&gt;=Projects!$C$9,AH$3&lt;Projects!$C$9+Projects!$D$9),Projects!$B$9*(Assumptions!$B$10+Assumptions!$B$11+Assumptions!$B$12)/Projects!$D$9*0.95,0)-IF(AND(Projects!$G$9="Yes",AH$3=Projects!$C$9+Projects!$D$9-1),Projects!$B$9*(Assumptions!$B$10+Assumptions!$B$11+Assumptions!$B$12)*0.05,0)</f>
        <v>325774.424449278</v>
      </c>
      <c r="AI20" s="30" t="n">
        <f aca="false">IF(AND(Projects!$G$9="Yes",AI$3&gt;=Projects!$C$9,AI$3&lt;Projects!$C$9+Projects!$D$9),Projects!$B$9*INDEX(Curves!$B$2:$AR$2,1,AI$3-Projects!$C$9+1),0)-IF(AND(Projects!$G$9="Yes",AI$3&gt;=Projects!$C$9,AI$3&lt;Projects!$C$9+Projects!$D$9),Projects!$B$9*(Assumptions!$B$10+Assumptions!$B$11+Assumptions!$B$12)/Projects!$D$9*0.95,0)-IF(AND(Projects!$G$9="Yes",AI$3=Projects!$C$9+Projects!$D$9-1),Projects!$B$9*(Assumptions!$B$10+Assumptions!$B$11+Assumptions!$B$12)*0.05,0)</f>
        <v>286175.600619678</v>
      </c>
      <c r="AJ20" s="30" t="n">
        <f aca="false">IF(AND(Projects!$G$9="Yes",AJ$3&gt;=Projects!$C$9,AJ$3&lt;Projects!$C$9+Projects!$D$9),Projects!$B$9*INDEX(Curves!$B$2:$AR$2,1,AJ$3-Projects!$C$9+1),0)-IF(AND(Projects!$G$9="Yes",AJ$3&gt;=Projects!$C$9,AJ$3&lt;Projects!$C$9+Projects!$D$9),Projects!$B$9*(Assumptions!$B$10+Assumptions!$B$11+Assumptions!$B$12)/Projects!$D$9*0.95,0)-IF(AND(Projects!$G$9="Yes",AJ$3=Projects!$C$9+Projects!$D$9-1),Projects!$B$9*(Assumptions!$B$10+Assumptions!$B$11+Assumptions!$B$12)*0.05,0)</f>
        <v>247666.389610878</v>
      </c>
      <c r="AK20" s="30" t="n">
        <f aca="false">IF(AND(Projects!$G$9="Yes",AK$3&gt;=Projects!$C$9,AK$3&lt;Projects!$C$9+Projects!$D$9),Projects!$B$9*INDEX(Curves!$B$2:$AR$2,1,AK$3-Projects!$C$9+1),0)-IF(AND(Projects!$G$9="Yes",AK$3&gt;=Projects!$C$9,AK$3&lt;Projects!$C$9+Projects!$D$9),Projects!$B$9*(Assumptions!$B$10+Assumptions!$B$11+Assumptions!$B$12)/Projects!$D$9*0.95,0)-IF(AND(Projects!$G$9="Yes",AK$3=Projects!$C$9+Projects!$D$9-1),Projects!$B$9*(Assumptions!$B$10+Assumptions!$B$11+Assumptions!$B$12)*0.05,0)</f>
        <v>210834.608865678</v>
      </c>
      <c r="AL20" s="30" t="n">
        <f aca="false">IF(AND(Projects!$G$9="Yes",AL$3&gt;=Projects!$C$9,AL$3&lt;Projects!$C$9+Projects!$D$9),Projects!$B$9*INDEX(Curves!$B$2:$AR$2,1,AL$3-Projects!$C$9+1),0)-IF(AND(Projects!$G$9="Yes",AL$3&gt;=Projects!$C$9,AL$3&lt;Projects!$C$9+Projects!$D$9),Projects!$B$9*(Assumptions!$B$10+Assumptions!$B$11+Assumptions!$B$12)/Projects!$D$9*0.95,0)-IF(AND(Projects!$G$9="Yes",AL$3=Projects!$C$9+Projects!$D$9-1),Projects!$B$9*(Assumptions!$B$10+Assumptions!$B$11+Assumptions!$B$12)*0.05,0)</f>
        <v>89879.700400938</v>
      </c>
      <c r="AM20" s="30" t="n">
        <f aca="false">IF(AND(Projects!$G$9="Yes",AM$3&gt;=Projects!$C$9,AM$3&lt;Projects!$C$9+Projects!$D$9),Projects!$B$9*INDEX(Curves!$B$2:$AR$2,1,AM$3-Projects!$C$9+1),0)-IF(AND(Projects!$G$9="Yes",AM$3&gt;=Projects!$C$9,AM$3&lt;Projects!$C$9+Projects!$D$9),Projects!$B$9*(Assumptions!$B$10+Assumptions!$B$11+Assumptions!$B$12)/Projects!$D$9*0.95,0)-IF(AND(Projects!$G$9="Yes",AM$3=Projects!$C$9+Projects!$D$9-1),Projects!$B$9*(Assumptions!$B$10+Assumptions!$B$11+Assumptions!$B$12)*0.05,0)</f>
        <v>0</v>
      </c>
      <c r="AN20" s="30" t="n">
        <f aca="false">IF(AND(Projects!$G$9="Yes",AN$3&gt;=Projects!$C$9,AN$3&lt;Projects!$C$9+Projects!$D$9),Projects!$B$9*INDEX(Curves!$B$2:$AR$2,1,AN$3-Projects!$C$9+1),0)-IF(AND(Projects!$G$9="Yes",AN$3&gt;=Projects!$C$9,AN$3&lt;Projects!$C$9+Projects!$D$9),Projects!$B$9*(Assumptions!$B$10+Assumptions!$B$11+Assumptions!$B$12)/Projects!$D$9*0.95,0)-IF(AND(Projects!$G$9="Yes",AN$3=Projects!$C$9+Projects!$D$9-1),Projects!$B$9*(Assumptions!$B$10+Assumptions!$B$11+Assumptions!$B$12)*0.05,0)</f>
        <v>0</v>
      </c>
      <c r="AO20" s="30" t="n">
        <f aca="false">IF(AND(Projects!$G$9="Yes",AO$3&gt;=Projects!$C$9,AO$3&lt;Projects!$C$9+Projects!$D$9),Projects!$B$9*INDEX(Curves!$B$2:$AR$2,1,AO$3-Projects!$C$9+1),0)-IF(AND(Projects!$G$9="Yes",AO$3&gt;=Projects!$C$9,AO$3&lt;Projects!$C$9+Projects!$D$9),Projects!$B$9*(Assumptions!$B$10+Assumptions!$B$11+Assumptions!$B$12)/Projects!$D$9*0.95,0)-IF(AND(Projects!$G$9="Yes",AO$3=Projects!$C$9+Projects!$D$9-1),Projects!$B$9*(Assumptions!$B$10+Assumptions!$B$11+Assumptions!$B$12)*0.05,0)</f>
        <v>0</v>
      </c>
      <c r="AP20" s="30" t="n">
        <f aca="false">IF(AND(Projects!$G$9="Yes",AP$3&gt;=Projects!$C$9,AP$3&lt;Projects!$C$9+Projects!$D$9),Projects!$B$9*INDEX(Curves!$B$2:$AR$2,1,AP$3-Projects!$C$9+1),0)-IF(AND(Projects!$G$9="Yes",AP$3&gt;=Projects!$C$9,AP$3&lt;Projects!$C$9+Projects!$D$9),Projects!$B$9*(Assumptions!$B$10+Assumptions!$B$11+Assumptions!$B$12)/Projects!$D$9*0.95,0)-IF(AND(Projects!$G$9="Yes",AP$3=Projects!$C$9+Projects!$D$9-1),Projects!$B$9*(Assumptions!$B$10+Assumptions!$B$11+Assumptions!$B$12)*0.05,0)</f>
        <v>0</v>
      </c>
      <c r="AQ20" s="30" t="n">
        <f aca="false">IF(AND(Projects!$G$9="Yes",AQ$3&gt;=Projects!$C$9,AQ$3&lt;Projects!$C$9+Projects!$D$9),Projects!$B$9*INDEX(Curves!$B$2:$AR$2,1,AQ$3-Projects!$C$9+1),0)-IF(AND(Projects!$G$9="Yes",AQ$3&gt;=Projects!$C$9,AQ$3&lt;Projects!$C$9+Projects!$D$9),Projects!$B$9*(Assumptions!$B$10+Assumptions!$B$11+Assumptions!$B$12)/Projects!$D$9*0.95,0)-IF(AND(Projects!$G$9="Yes",AQ$3=Projects!$C$9+Projects!$D$9-1),Projects!$B$9*(Assumptions!$B$10+Assumptions!$B$11+Assumptions!$B$12)*0.05,0)</f>
        <v>0</v>
      </c>
      <c r="AR20" s="30" t="n">
        <f aca="false">IF(AND(Projects!$G$9="Yes",AR$3&gt;=Projects!$C$9,AR$3&lt;Projects!$C$9+Projects!$D$9),Projects!$B$9*INDEX(Curves!$B$2:$AR$2,1,AR$3-Projects!$C$9+1),0)-IF(AND(Projects!$G$9="Yes",AR$3&gt;=Projects!$C$9,AR$3&lt;Projects!$C$9+Projects!$D$9),Projects!$B$9*(Assumptions!$B$10+Assumptions!$B$11+Assumptions!$B$12)/Projects!$D$9*0.95,0)-IF(AND(Projects!$G$9="Yes",AR$3=Projects!$C$9+Projects!$D$9-1),Projects!$B$9*(Assumptions!$B$10+Assumptions!$B$11+Assumptions!$B$12)*0.05,0)</f>
        <v>0</v>
      </c>
      <c r="AS20" s="30" t="n">
        <f aca="false">IF(AND(Projects!$G$9="Yes",AS$3&gt;=Projects!$C$9,AS$3&lt;Projects!$C$9+Projects!$D$9),Projects!$B$9*INDEX(Curves!$B$2:$AR$2,1,AS$3-Projects!$C$9+1),0)-IF(AND(Projects!$G$9="Yes",AS$3&gt;=Projects!$C$9,AS$3&lt;Projects!$C$9+Projects!$D$9),Projects!$B$9*(Assumptions!$B$10+Assumptions!$B$11+Assumptions!$B$12)/Projects!$D$9*0.95,0)-IF(AND(Projects!$G$9="Yes",AS$3=Projects!$C$9+Projects!$D$9-1),Projects!$B$9*(Assumptions!$B$10+Assumptions!$B$11+Assumptions!$B$12)*0.05,0)</f>
        <v>0</v>
      </c>
      <c r="AT20" s="30" t="n">
        <f aca="false">IF(AND(Projects!$G$9="Yes",AT$3&gt;=Projects!$C$9,AT$3&lt;Projects!$C$9+Projects!$D$9),Projects!$B$9*INDEX(Curves!$B$2:$AR$2,1,AT$3-Projects!$C$9+1),0)-IF(AND(Projects!$G$9="Yes",AT$3&gt;=Projects!$C$9,AT$3&lt;Projects!$C$9+Projects!$D$9),Projects!$B$9*(Assumptions!$B$10+Assumptions!$B$11+Assumptions!$B$12)/Projects!$D$9*0.95,0)-IF(AND(Projects!$G$9="Yes",AT$3=Projects!$C$9+Projects!$D$9-1),Projects!$B$9*(Assumptions!$B$10+Assumptions!$B$11+Assumptions!$B$12)*0.05,0)</f>
        <v>0</v>
      </c>
      <c r="AU20" s="30" t="n">
        <f aca="false">IF(AND(Projects!$G$9="Yes",AU$3&gt;=Projects!$C$9,AU$3&lt;Projects!$C$9+Projects!$D$9),Projects!$B$9*INDEX(Curves!$B$2:$AR$2,1,AU$3-Projects!$C$9+1),0)-IF(AND(Projects!$G$9="Yes",AU$3&gt;=Projects!$C$9,AU$3&lt;Projects!$C$9+Projects!$D$9),Projects!$B$9*(Assumptions!$B$10+Assumptions!$B$11+Assumptions!$B$12)/Projects!$D$9*0.95,0)-IF(AND(Projects!$G$9="Yes",AU$3=Projects!$C$9+Projects!$D$9-1),Projects!$B$9*(Assumptions!$B$10+Assumptions!$B$11+Assumptions!$B$12)*0.05,0)</f>
        <v>0</v>
      </c>
      <c r="AV20" s="30" t="n">
        <f aca="false">IF(AND(Projects!$G$9="Yes",AV$3&gt;=Projects!$C$9,AV$3&lt;Projects!$C$9+Projects!$D$9),Projects!$B$9*INDEX(Curves!$B$2:$AR$2,1,AV$3-Projects!$C$9+1),0)-IF(AND(Projects!$G$9="Yes",AV$3&gt;=Projects!$C$9,AV$3&lt;Projects!$C$9+Projects!$D$9),Projects!$B$9*(Assumptions!$B$10+Assumptions!$B$11+Assumptions!$B$12)/Projects!$D$9*0.95,0)-IF(AND(Projects!$G$9="Yes",AV$3=Projects!$C$9+Projects!$D$9-1),Projects!$B$9*(Assumptions!$B$10+Assumptions!$B$11+Assumptions!$B$12)*0.05,0)</f>
        <v>0</v>
      </c>
      <c r="AW20" s="30" t="n">
        <f aca="false">IF(AND(Projects!$G$9="Yes",AW$3&gt;=Projects!$C$9,AW$3&lt;Projects!$C$9+Projects!$D$9),Projects!$B$9*INDEX(Curves!$B$2:$AR$2,1,AW$3-Projects!$C$9+1),0)-IF(AND(Projects!$G$9="Yes",AW$3&gt;=Projects!$C$9,AW$3&lt;Projects!$C$9+Projects!$D$9),Projects!$B$9*(Assumptions!$B$10+Assumptions!$B$11+Assumptions!$B$12)/Projects!$D$9*0.95,0)-IF(AND(Projects!$G$9="Yes",AW$3=Projects!$C$9+Projects!$D$9-1),Projects!$B$9*(Assumptions!$B$10+Assumptions!$B$11+Assumptions!$B$12)*0.05,0)</f>
        <v>0</v>
      </c>
      <c r="AX20" s="30" t="n">
        <f aca="false">IF(AND(Projects!$G$9="Yes",AX$3&gt;=Projects!$C$9,AX$3&lt;Projects!$C$9+Projects!$D$9),Projects!$B$9*INDEX(Curves!$B$2:$AR$2,1,AX$3-Projects!$C$9+1),0)-IF(AND(Projects!$G$9="Yes",AX$3&gt;=Projects!$C$9,AX$3&lt;Projects!$C$9+Projects!$D$9),Projects!$B$9*(Assumptions!$B$10+Assumptions!$B$11+Assumptions!$B$12)/Projects!$D$9*0.95,0)-IF(AND(Projects!$G$9="Yes",AX$3=Projects!$C$9+Projects!$D$9-1),Projects!$B$9*(Assumptions!$B$10+Assumptions!$B$11+Assumptions!$B$12)*0.05,0)</f>
        <v>0</v>
      </c>
      <c r="AY20" s="30" t="n">
        <f aca="false">IF(AND(Projects!$G$9="Yes",AY$3&gt;=Projects!$C$9,AY$3&lt;Projects!$C$9+Projects!$D$9),Projects!$B$9*INDEX(Curves!$B$2:$AR$2,1,AY$3-Projects!$C$9+1),0)-IF(AND(Projects!$G$9="Yes",AY$3&gt;=Projects!$C$9,AY$3&lt;Projects!$C$9+Projects!$D$9),Projects!$B$9*(Assumptions!$B$10+Assumptions!$B$11+Assumptions!$B$12)/Projects!$D$9*0.95,0)-IF(AND(Projects!$G$9="Yes",AY$3=Projects!$C$9+Projects!$D$9-1),Projects!$B$9*(Assumptions!$B$10+Assumptions!$B$11+Assumptions!$B$12)*0.05,0)</f>
        <v>0</v>
      </c>
      <c r="AZ20" s="30" t="n">
        <f aca="false">IF(AND(Projects!$G$9="Yes",AZ$3&gt;=Projects!$C$9,AZ$3&lt;Projects!$C$9+Projects!$D$9),Projects!$B$9*INDEX(Curves!$B$2:$AR$2,1,AZ$3-Projects!$C$9+1),0)-IF(AND(Projects!$G$9="Yes",AZ$3&gt;=Projects!$C$9,AZ$3&lt;Projects!$C$9+Projects!$D$9),Projects!$B$9*(Assumptions!$B$10+Assumptions!$B$11+Assumptions!$B$12)/Projects!$D$9*0.95,0)-IF(AND(Projects!$G$9="Yes",AZ$3=Projects!$C$9+Projects!$D$9-1),Projects!$B$9*(Assumptions!$B$10+Assumptions!$B$11+Assumptions!$B$12)*0.05,0)</f>
        <v>0</v>
      </c>
      <c r="BA20" s="30" t="n">
        <f aca="false">IF(AND(Projects!$G$9="Yes",BA$3&gt;=Projects!$C$9,BA$3&lt;Projects!$C$9+Projects!$D$9),Projects!$B$9*INDEX(Curves!$B$2:$AR$2,1,BA$3-Projects!$C$9+1),0)-IF(AND(Projects!$G$9="Yes",BA$3&gt;=Projects!$C$9,BA$3&lt;Projects!$C$9+Projects!$D$9),Projects!$B$9*(Assumptions!$B$10+Assumptions!$B$11+Assumptions!$B$12)/Projects!$D$9*0.95,0)-IF(AND(Projects!$G$9="Yes",BA$3=Projects!$C$9+Projects!$D$9-1),Projects!$B$9*(Assumptions!$B$10+Assumptions!$B$11+Assumptions!$B$12)*0.05,0)</f>
        <v>0</v>
      </c>
      <c r="BB20" s="30" t="n">
        <f aca="false">IF(AND(Projects!$G$9="Yes",BB$3&gt;=Projects!$C$9,BB$3&lt;Projects!$C$9+Projects!$D$9),Projects!$B$9*INDEX(Curves!$B$2:$AR$2,1,BB$3-Projects!$C$9+1),0)-IF(AND(Projects!$G$9="Yes",BB$3&gt;=Projects!$C$9,BB$3&lt;Projects!$C$9+Projects!$D$9),Projects!$B$9*(Assumptions!$B$10+Assumptions!$B$11+Assumptions!$B$12)/Projects!$D$9*0.95,0)-IF(AND(Projects!$G$9="Yes",BB$3=Projects!$C$9+Projects!$D$9-1),Projects!$B$9*(Assumptions!$B$10+Assumptions!$B$11+Assumptions!$B$12)*0.05,0)</f>
        <v>0</v>
      </c>
      <c r="BC20" s="30" t="n">
        <f aca="false">IF(AND(Projects!$G$9="Yes",BC$3&gt;=Projects!$C$9,BC$3&lt;Projects!$C$9+Projects!$D$9),Projects!$B$9*INDEX(Curves!$B$2:$AR$2,1,BC$3-Projects!$C$9+1),0)-IF(AND(Projects!$G$9="Yes",BC$3&gt;=Projects!$C$9,BC$3&lt;Projects!$C$9+Projects!$D$9),Projects!$B$9*(Assumptions!$B$10+Assumptions!$B$11+Assumptions!$B$12)/Projects!$D$9*0.95,0)-IF(AND(Projects!$G$9="Yes",BC$3=Projects!$C$9+Projects!$D$9-1),Projects!$B$9*(Assumptions!$B$10+Assumptions!$B$11+Assumptions!$B$12)*0.05,0)</f>
        <v>0</v>
      </c>
      <c r="BD20" s="30" t="n">
        <f aca="false">IF(AND(Projects!$G$9="Yes",BD$3&gt;=Projects!$C$9,BD$3&lt;Projects!$C$9+Projects!$D$9),Projects!$B$9*INDEX(Curves!$B$2:$AR$2,1,BD$3-Projects!$C$9+1),0)-IF(AND(Projects!$G$9="Yes",BD$3&gt;=Projects!$C$9,BD$3&lt;Projects!$C$9+Projects!$D$9),Projects!$B$9*(Assumptions!$B$10+Assumptions!$B$11+Assumptions!$B$12)/Projects!$D$9*0.95,0)-IF(AND(Projects!$G$9="Yes",BD$3=Projects!$C$9+Projects!$D$9-1),Projects!$B$9*(Assumptions!$B$10+Assumptions!$B$11+Assumptions!$B$12)*0.05,0)</f>
        <v>0</v>
      </c>
      <c r="BE20" s="30" t="n">
        <f aca="false">IF(AND(Projects!$G$9="Yes",BE$3&gt;=Projects!$C$9,BE$3&lt;Projects!$C$9+Projects!$D$9),Projects!$B$9*INDEX(Curves!$B$2:$AR$2,1,BE$3-Projects!$C$9+1),0)-IF(AND(Projects!$G$9="Yes",BE$3&gt;=Projects!$C$9,BE$3&lt;Projects!$C$9+Projects!$D$9),Projects!$B$9*(Assumptions!$B$10+Assumptions!$B$11+Assumptions!$B$12)/Projects!$D$9*0.95,0)-IF(AND(Projects!$G$9="Yes",BE$3=Projects!$C$9+Projects!$D$9-1),Projects!$B$9*(Assumptions!$B$10+Assumptions!$B$11+Assumptions!$B$12)*0.05,0)</f>
        <v>0</v>
      </c>
      <c r="BF20" s="30" t="n">
        <f aca="false">IF(AND(Projects!$G$9="Yes",BF$3&gt;=Projects!$C$9,BF$3&lt;Projects!$C$9+Projects!$D$9),Projects!$B$9*INDEX(Curves!$B$2:$AR$2,1,BF$3-Projects!$C$9+1),0)-IF(AND(Projects!$G$9="Yes",BF$3&gt;=Projects!$C$9,BF$3&lt;Projects!$C$9+Projects!$D$9),Projects!$B$9*(Assumptions!$B$10+Assumptions!$B$11+Assumptions!$B$12)/Projects!$D$9*0.95,0)-IF(AND(Projects!$G$9="Yes",BF$3=Projects!$C$9+Projects!$D$9-1),Projects!$B$9*(Assumptions!$B$10+Assumptions!$B$11+Assumptions!$B$12)*0.05,0)</f>
        <v>0</v>
      </c>
      <c r="BG20" s="30" t="n">
        <f aca="false">IF(AND(Projects!$G$9="Yes",BG$3&gt;=Projects!$C$9,BG$3&lt;Projects!$C$9+Projects!$D$9),Projects!$B$9*INDEX(Curves!$B$2:$AR$2,1,BG$3-Projects!$C$9+1),0)-IF(AND(Projects!$G$9="Yes",BG$3&gt;=Projects!$C$9,BG$3&lt;Projects!$C$9+Projects!$D$9),Projects!$B$9*(Assumptions!$B$10+Assumptions!$B$11+Assumptions!$B$12)/Projects!$D$9*0.95,0)-IF(AND(Projects!$G$9="Yes",BG$3=Projects!$C$9+Projects!$D$9-1),Projects!$B$9*(Assumptions!$B$10+Assumptions!$B$11+Assumptions!$B$12)*0.05,0)</f>
        <v>0</v>
      </c>
      <c r="BH20" s="30" t="n">
        <f aca="false">IF(AND(Projects!$G$9="Yes",BH$3&gt;=Projects!$C$9,BH$3&lt;Projects!$C$9+Projects!$D$9),Projects!$B$9*INDEX(Curves!$B$2:$AR$2,1,BH$3-Projects!$C$9+1),0)-IF(AND(Projects!$G$9="Yes",BH$3&gt;=Projects!$C$9,BH$3&lt;Projects!$C$9+Projects!$D$9),Projects!$B$9*(Assumptions!$B$10+Assumptions!$B$11+Assumptions!$B$12)/Projects!$D$9*0.95,0)-IF(AND(Projects!$G$9="Yes",BH$3=Projects!$C$9+Projects!$D$9-1),Projects!$B$9*(Assumptions!$B$10+Assumptions!$B$11+Assumptions!$B$12)*0.05,0)</f>
        <v>0</v>
      </c>
      <c r="BI20" s="30" t="n">
        <f aca="false">IF(AND(Projects!$G$9="Yes",BI$3&gt;=Projects!$C$9,BI$3&lt;Projects!$C$9+Projects!$D$9),Projects!$B$9*INDEX(Curves!$B$2:$AR$2,1,BI$3-Projects!$C$9+1),0)-IF(AND(Projects!$G$9="Yes",BI$3&gt;=Projects!$C$9,BI$3&lt;Projects!$C$9+Projects!$D$9),Projects!$B$9*(Assumptions!$B$10+Assumptions!$B$11+Assumptions!$B$12)/Projects!$D$9*0.95,0)-IF(AND(Projects!$G$9="Yes",BI$3=Projects!$C$9+Projects!$D$9-1),Projects!$B$9*(Assumptions!$B$10+Assumptions!$B$11+Assumptions!$B$12)*0.05,0)</f>
        <v>0</v>
      </c>
      <c r="BJ20" s="30" t="n">
        <f aca="false">IF(AND(Projects!$G$9="Yes",BJ$3&gt;=Projects!$C$9,BJ$3&lt;Projects!$C$9+Projects!$D$9),Projects!$B$9*INDEX(Curves!$B$2:$AR$2,1,BJ$3-Projects!$C$9+1),0)-IF(AND(Projects!$G$9="Yes",BJ$3&gt;=Projects!$C$9,BJ$3&lt;Projects!$C$9+Projects!$D$9),Projects!$B$9*(Assumptions!$B$10+Assumptions!$B$11+Assumptions!$B$12)/Projects!$D$9*0.95,0)-IF(AND(Projects!$G$9="Yes",BJ$3=Projects!$C$9+Projects!$D$9-1),Projects!$B$9*(Assumptions!$B$10+Assumptions!$B$11+Assumptions!$B$12)*0.05,0)</f>
        <v>0</v>
      </c>
      <c r="BK20" s="30" t="n">
        <f aca="false">IF(AND(Projects!$G$9="Yes",BK$3&gt;=Projects!$C$9,BK$3&lt;Projects!$C$9+Projects!$D$9),Projects!$B$9*INDEX(Curves!$B$2:$AR$2,1,BK$3-Projects!$C$9+1),0)-IF(AND(Projects!$G$9="Yes",BK$3&gt;=Projects!$C$9,BK$3&lt;Projects!$C$9+Projects!$D$9),Projects!$B$9*(Assumptions!$B$10+Assumptions!$B$11+Assumptions!$B$12)/Projects!$D$9*0.95,0)-IF(AND(Projects!$G$9="Yes",BK$3=Projects!$C$9+Projects!$D$9-1),Projects!$B$9*(Assumptions!$B$10+Assumptions!$B$11+Assumptions!$B$12)*0.05,0)</f>
        <v>0</v>
      </c>
      <c r="BL20" s="30" t="n">
        <f aca="false">IF(AND(Projects!$G$9="Yes",BL$3&gt;=Projects!$C$9,BL$3&lt;Projects!$C$9+Projects!$D$9),Projects!$B$9*INDEX(Curves!$B$2:$AR$2,1,BL$3-Projects!$C$9+1),0)-IF(AND(Projects!$G$9="Yes",BL$3&gt;=Projects!$C$9,BL$3&lt;Projects!$C$9+Projects!$D$9),Projects!$B$9*(Assumptions!$B$10+Assumptions!$B$11+Assumptions!$B$12)/Projects!$D$9*0.95,0)-IF(AND(Projects!$G$9="Yes",BL$3=Projects!$C$9+Projects!$D$9-1),Projects!$B$9*(Assumptions!$B$10+Assumptions!$B$11+Assumptions!$B$12)*0.05,0)</f>
        <v>0</v>
      </c>
      <c r="BM20" s="30" t="n">
        <f aca="false">IF(AND(Projects!$G$9="Yes",BM$3&gt;=Projects!$C$9,BM$3&lt;Projects!$C$9+Projects!$D$9),Projects!$B$9*INDEX(Curves!$B$2:$AR$2,1,BM$3-Projects!$C$9+1),0)-IF(AND(Projects!$G$9="Yes",BM$3&gt;=Projects!$C$9,BM$3&lt;Projects!$C$9+Projects!$D$9),Projects!$B$9*(Assumptions!$B$10+Assumptions!$B$11+Assumptions!$B$12)/Projects!$D$9*0.95,0)-IF(AND(Projects!$G$9="Yes",BM$3=Projects!$C$9+Projects!$D$9-1),Projects!$B$9*(Assumptions!$B$10+Assumptions!$B$11+Assumptions!$B$12)*0.05,0)</f>
        <v>0</v>
      </c>
      <c r="BN20" s="30" t="n">
        <f aca="false">IF(AND(Projects!$G$9="Yes",BN$3&gt;=Projects!$C$9,BN$3&lt;Projects!$C$9+Projects!$D$9),Projects!$B$9*INDEX(Curves!$B$2:$AR$2,1,BN$3-Projects!$C$9+1),0)-IF(AND(Projects!$G$9="Yes",BN$3&gt;=Projects!$C$9,BN$3&lt;Projects!$C$9+Projects!$D$9),Projects!$B$9*(Assumptions!$B$10+Assumptions!$B$11+Assumptions!$B$12)/Projects!$D$9*0.95,0)-IF(AND(Projects!$G$9="Yes",BN$3=Projects!$C$9+Projects!$D$9-1),Projects!$B$9*(Assumptions!$B$10+Assumptions!$B$11+Assumptions!$B$12)*0.05,0)</f>
        <v>0</v>
      </c>
      <c r="BO20" s="30" t="n">
        <f aca="false">IF(AND(Projects!$G$9="Yes",BO$3&gt;=Projects!$C$9,BO$3&lt;Projects!$C$9+Projects!$D$9),Projects!$B$9*INDEX(Curves!$B$2:$AR$2,1,BO$3-Projects!$C$9+1),0)-IF(AND(Projects!$G$9="Yes",BO$3&gt;=Projects!$C$9,BO$3&lt;Projects!$C$9+Projects!$D$9),Projects!$B$9*(Assumptions!$B$10+Assumptions!$B$11+Assumptions!$B$12)/Projects!$D$9*0.95,0)-IF(AND(Projects!$G$9="Yes",BO$3=Projects!$C$9+Projects!$D$9-1),Projects!$B$9*(Assumptions!$B$10+Assumptions!$B$11+Assumptions!$B$12)*0.05,0)</f>
        <v>0</v>
      </c>
      <c r="BP20" s="30" t="n">
        <f aca="false">IF(AND(Projects!$G$9="Yes",BP$3&gt;=Projects!$C$9,BP$3&lt;Projects!$C$9+Projects!$D$9),Projects!$B$9*INDEX(Curves!$B$2:$AR$2,1,BP$3-Projects!$C$9+1),0)-IF(AND(Projects!$G$9="Yes",BP$3&gt;=Projects!$C$9,BP$3&lt;Projects!$C$9+Projects!$D$9),Projects!$B$9*(Assumptions!$B$10+Assumptions!$B$11+Assumptions!$B$12)/Projects!$D$9*0.95,0)-IF(AND(Projects!$G$9="Yes",BP$3=Projects!$C$9+Projects!$D$9-1),Projects!$B$9*(Assumptions!$B$10+Assumptions!$B$11+Assumptions!$B$12)*0.05,0)</f>
        <v>0</v>
      </c>
      <c r="BQ20" s="30" t="n">
        <f aca="false">IF(AND(Projects!$G$9="Yes",BQ$3&gt;=Projects!$C$9,BQ$3&lt;Projects!$C$9+Projects!$D$9),Projects!$B$9*INDEX(Curves!$B$2:$AR$2,1,BQ$3-Projects!$C$9+1),0)-IF(AND(Projects!$G$9="Yes",BQ$3&gt;=Projects!$C$9,BQ$3&lt;Projects!$C$9+Projects!$D$9),Projects!$B$9*(Assumptions!$B$10+Assumptions!$B$11+Assumptions!$B$12)/Projects!$D$9*0.95,0)-IF(AND(Projects!$G$9="Yes",BQ$3=Projects!$C$9+Projects!$D$9-1),Projects!$B$9*(Assumptions!$B$10+Assumptions!$B$11+Assumptions!$B$12)*0.05,0)</f>
        <v>0</v>
      </c>
      <c r="BR20" s="30" t="n">
        <f aca="false">IF(AND(Projects!$G$9="Yes",BR$3&gt;=Projects!$C$9,BR$3&lt;Projects!$C$9+Projects!$D$9),Projects!$B$9*INDEX(Curves!$B$2:$AR$2,1,BR$3-Projects!$C$9+1),0)-IF(AND(Projects!$G$9="Yes",BR$3&gt;=Projects!$C$9,BR$3&lt;Projects!$C$9+Projects!$D$9),Projects!$B$9*(Assumptions!$B$10+Assumptions!$B$11+Assumptions!$B$12)/Projects!$D$9*0.95,0)-IF(AND(Projects!$G$9="Yes",BR$3=Projects!$C$9+Projects!$D$9-1),Projects!$B$9*(Assumptions!$B$10+Assumptions!$B$11+Assumptions!$B$12)*0.05,0)</f>
        <v>0</v>
      </c>
      <c r="BS20" s="30" t="n">
        <f aca="false">IF(AND(Projects!$G$9="Yes",BS$3&gt;=Projects!$C$9,BS$3&lt;Projects!$C$9+Projects!$D$9),Projects!$B$9*INDEX(Curves!$B$2:$AR$2,1,BS$3-Projects!$C$9+1),0)-IF(AND(Projects!$G$9="Yes",BS$3&gt;=Projects!$C$9,BS$3&lt;Projects!$C$9+Projects!$D$9),Projects!$B$9*(Assumptions!$B$10+Assumptions!$B$11+Assumptions!$B$12)/Projects!$D$9*0.95,0)-IF(AND(Projects!$G$9="Yes",BS$3=Projects!$C$9+Projects!$D$9-1),Projects!$B$9*(Assumptions!$B$10+Assumptions!$B$11+Assumptions!$B$12)*0.05,0)</f>
        <v>0</v>
      </c>
      <c r="BT20" s="30" t="n">
        <f aca="false">IF(AND(Projects!$G$9="Yes",BT$3&gt;=Projects!$C$9,BT$3&lt;Projects!$C$9+Projects!$D$9),Projects!$B$9*INDEX(Curves!$B$2:$AR$2,1,BT$3-Projects!$C$9+1),0)-IF(AND(Projects!$G$9="Yes",BT$3&gt;=Projects!$C$9,BT$3&lt;Projects!$C$9+Projects!$D$9),Projects!$B$9*(Assumptions!$B$10+Assumptions!$B$11+Assumptions!$B$12)/Projects!$D$9*0.95,0)-IF(AND(Projects!$G$9="Yes",BT$3=Projects!$C$9+Projects!$D$9-1),Projects!$B$9*(Assumptions!$B$10+Assumptions!$B$11+Assumptions!$B$12)*0.05,0)</f>
        <v>0</v>
      </c>
      <c r="BU20" s="30" t="n">
        <f aca="false">IF(AND(Projects!$G$9="Yes",BU$3&gt;=Projects!$C$9,BU$3&lt;Projects!$C$9+Projects!$D$9),Projects!$B$9*INDEX(Curves!$B$2:$AR$2,1,BU$3-Projects!$C$9+1),0)-IF(AND(Projects!$G$9="Yes",BU$3&gt;=Projects!$C$9,BU$3&lt;Projects!$C$9+Projects!$D$9),Projects!$B$9*(Assumptions!$B$10+Assumptions!$B$11+Assumptions!$B$12)/Projects!$D$9*0.95,0)-IF(AND(Projects!$G$9="Yes",BU$3=Projects!$C$9+Projects!$D$9-1),Projects!$B$9*(Assumptions!$B$10+Assumptions!$B$11+Assumptions!$B$12)*0.05,0)</f>
        <v>0</v>
      </c>
      <c r="BV20" s="30" t="n">
        <f aca="false">IF(AND(Projects!$G$9="Yes",BV$3&gt;=Projects!$C$9,BV$3&lt;Projects!$C$9+Projects!$D$9),Projects!$B$9*INDEX(Curves!$B$2:$AR$2,1,BV$3-Projects!$C$9+1),0)-IF(AND(Projects!$G$9="Yes",BV$3&gt;=Projects!$C$9,BV$3&lt;Projects!$C$9+Projects!$D$9),Projects!$B$9*(Assumptions!$B$10+Assumptions!$B$11+Assumptions!$B$12)/Projects!$D$9*0.95,0)-IF(AND(Projects!$G$9="Yes",BV$3=Projects!$C$9+Projects!$D$9-1),Projects!$B$9*(Assumptions!$B$10+Assumptions!$B$11+Assumptions!$B$12)*0.05,0)</f>
        <v>0</v>
      </c>
      <c r="BW20" s="30" t="n">
        <f aca="false">IF(AND(Projects!$G$9="Yes",BW$3&gt;=Projects!$C$9,BW$3&lt;Projects!$C$9+Projects!$D$9),Projects!$B$9*INDEX(Curves!$B$2:$AR$2,1,BW$3-Projects!$C$9+1),0)-IF(AND(Projects!$G$9="Yes",BW$3&gt;=Projects!$C$9,BW$3&lt;Projects!$C$9+Projects!$D$9),Projects!$B$9*(Assumptions!$B$10+Assumptions!$B$11+Assumptions!$B$12)/Projects!$D$9*0.95,0)-IF(AND(Projects!$G$9="Yes",BW$3=Projects!$C$9+Projects!$D$9-1),Projects!$B$9*(Assumptions!$B$10+Assumptions!$B$11+Assumptions!$B$12)*0.05,0)</f>
        <v>0</v>
      </c>
      <c r="BX20" s="30" t="n">
        <f aca="false">IF(AND(Projects!$G$9="Yes",BX$3&gt;=Projects!$C$9,BX$3&lt;Projects!$C$9+Projects!$D$9),Projects!$B$9*INDEX(Curves!$B$2:$AR$2,1,BX$3-Projects!$C$9+1),0)-IF(AND(Projects!$G$9="Yes",BX$3&gt;=Projects!$C$9,BX$3&lt;Projects!$C$9+Projects!$D$9),Projects!$B$9*(Assumptions!$B$10+Assumptions!$B$11+Assumptions!$B$12)/Projects!$D$9*0.95,0)-IF(AND(Projects!$G$9="Yes",BX$3=Projects!$C$9+Projects!$D$9-1),Projects!$B$9*(Assumptions!$B$10+Assumptions!$B$11+Assumptions!$B$12)*0.05,0)</f>
        <v>0</v>
      </c>
      <c r="BY20" s="30" t="n">
        <f aca="false">IF(AND(Projects!$G$9="Yes",BY$3&gt;=Projects!$C$9,BY$3&lt;Projects!$C$9+Projects!$D$9),Projects!$B$9*INDEX(Curves!$B$2:$AR$2,1,BY$3-Projects!$C$9+1),0)-IF(AND(Projects!$G$9="Yes",BY$3&gt;=Projects!$C$9,BY$3&lt;Projects!$C$9+Projects!$D$9),Projects!$B$9*(Assumptions!$B$10+Assumptions!$B$11+Assumptions!$B$12)/Projects!$D$9*0.95,0)-IF(AND(Projects!$G$9="Yes",BY$3=Projects!$C$9+Projects!$D$9-1),Projects!$B$9*(Assumptions!$B$10+Assumptions!$B$11+Assumptions!$B$12)*0.05,0)</f>
        <v>0</v>
      </c>
      <c r="BZ20" s="30" t="n">
        <f aca="false">IF(AND(Projects!$G$9="Yes",BZ$3&gt;=Projects!$C$9,BZ$3&lt;Projects!$C$9+Projects!$D$9),Projects!$B$9*INDEX(Curves!$B$2:$AR$2,1,BZ$3-Projects!$C$9+1),0)-IF(AND(Projects!$G$9="Yes",BZ$3&gt;=Projects!$C$9,BZ$3&lt;Projects!$C$9+Projects!$D$9),Projects!$B$9*(Assumptions!$B$10+Assumptions!$B$11+Assumptions!$B$12)/Projects!$D$9*0.95,0)-IF(AND(Projects!$G$9="Yes",BZ$3=Projects!$C$9+Projects!$D$9-1),Projects!$B$9*(Assumptions!$B$10+Assumptions!$B$11+Assumptions!$B$12)*0.05,0)</f>
        <v>0</v>
      </c>
      <c r="CA20" s="30" t="n">
        <f aca="false">IF(AND(Projects!$G$9="Yes",CA$3&gt;=Projects!$C$9,CA$3&lt;Projects!$C$9+Projects!$D$9),Projects!$B$9*INDEX(Curves!$B$2:$AR$2,1,CA$3-Projects!$C$9+1),0)-IF(AND(Projects!$G$9="Yes",CA$3&gt;=Projects!$C$9,CA$3&lt;Projects!$C$9+Projects!$D$9),Projects!$B$9*(Assumptions!$B$10+Assumptions!$B$11+Assumptions!$B$12)/Projects!$D$9*0.95,0)-IF(AND(Projects!$G$9="Yes",CA$3=Projects!$C$9+Projects!$D$9-1),Projects!$B$9*(Assumptions!$B$10+Assumptions!$B$11+Assumptions!$B$12)*0.05,0)</f>
        <v>0</v>
      </c>
      <c r="CB20" s="30" t="n">
        <f aca="false">IF(AND(Projects!$G$9="Yes",CB$3&gt;=Projects!$C$9,CB$3&lt;Projects!$C$9+Projects!$D$9),Projects!$B$9*INDEX(Curves!$B$2:$AR$2,1,CB$3-Projects!$C$9+1),0)-IF(AND(Projects!$G$9="Yes",CB$3&gt;=Projects!$C$9,CB$3&lt;Projects!$C$9+Projects!$D$9),Projects!$B$9*(Assumptions!$B$10+Assumptions!$B$11+Assumptions!$B$12)/Projects!$D$9*0.95,0)-IF(AND(Projects!$G$9="Yes",CB$3=Projects!$C$9+Projects!$D$9-1),Projects!$B$9*(Assumptions!$B$10+Assumptions!$B$11+Assumptions!$B$12)*0.05,0)</f>
        <v>0</v>
      </c>
      <c r="CC20" s="30" t="n">
        <f aca="false">IF(AND(Projects!$G$9="Yes",CC$3&gt;=Projects!$C$9,CC$3&lt;Projects!$C$9+Projects!$D$9),Projects!$B$9*INDEX(Curves!$B$2:$AR$2,1,CC$3-Projects!$C$9+1),0)-IF(AND(Projects!$G$9="Yes",CC$3&gt;=Projects!$C$9,CC$3&lt;Projects!$C$9+Projects!$D$9),Projects!$B$9*(Assumptions!$B$10+Assumptions!$B$11+Assumptions!$B$12)/Projects!$D$9*0.95,0)-IF(AND(Projects!$G$9="Yes",CC$3=Projects!$C$9+Projects!$D$9-1),Projects!$B$9*(Assumptions!$B$10+Assumptions!$B$11+Assumptions!$B$12)*0.05,0)</f>
        <v>0</v>
      </c>
      <c r="CD20" s="30" t="n">
        <f aca="false">IF(AND(Projects!$G$9="Yes",CD$3&gt;=Projects!$C$9,CD$3&lt;Projects!$C$9+Projects!$D$9),Projects!$B$9*INDEX(Curves!$B$2:$AR$2,1,CD$3-Projects!$C$9+1),0)-IF(AND(Projects!$G$9="Yes",CD$3&gt;=Projects!$C$9,CD$3&lt;Projects!$C$9+Projects!$D$9),Projects!$B$9*(Assumptions!$B$10+Assumptions!$B$11+Assumptions!$B$12)/Projects!$D$9*0.95,0)-IF(AND(Projects!$G$9="Yes",CD$3=Projects!$C$9+Projects!$D$9-1),Projects!$B$9*(Assumptions!$B$10+Assumptions!$B$11+Assumptions!$B$12)*0.05,0)</f>
        <v>0</v>
      </c>
      <c r="CE20" s="30" t="n">
        <f aca="false">IF(AND(Projects!$G$9="Yes",CE$3&gt;=Projects!$C$9,CE$3&lt;Projects!$C$9+Projects!$D$9),Projects!$B$9*INDEX(Curves!$B$2:$AR$2,1,CE$3-Projects!$C$9+1),0)-IF(AND(Projects!$G$9="Yes",CE$3&gt;=Projects!$C$9,CE$3&lt;Projects!$C$9+Projects!$D$9),Projects!$B$9*(Assumptions!$B$10+Assumptions!$B$11+Assumptions!$B$12)/Projects!$D$9*0.95,0)-IF(AND(Projects!$G$9="Yes",CE$3=Projects!$C$9+Projects!$D$9-1),Projects!$B$9*(Assumptions!$B$10+Assumptions!$B$11+Assumptions!$B$12)*0.05,0)</f>
        <v>0</v>
      </c>
      <c r="CF20" s="30" t="n">
        <f aca="false">IF(AND(Projects!$G$9="Yes",CF$3&gt;=Projects!$C$9,CF$3&lt;Projects!$C$9+Projects!$D$9),Projects!$B$9*INDEX(Curves!$B$2:$AR$2,1,CF$3-Projects!$C$9+1),0)-IF(AND(Projects!$G$9="Yes",CF$3&gt;=Projects!$C$9,CF$3&lt;Projects!$C$9+Projects!$D$9),Projects!$B$9*(Assumptions!$B$10+Assumptions!$B$11+Assumptions!$B$12)/Projects!$D$9*0.95,0)-IF(AND(Projects!$G$9="Yes",CF$3=Projects!$C$9+Projects!$D$9-1),Projects!$B$9*(Assumptions!$B$10+Assumptions!$B$11+Assumptions!$B$12)*0.05,0)</f>
        <v>0</v>
      </c>
      <c r="CG20" s="30" t="n">
        <f aca="false">IF(AND(Projects!$G$9="Yes",CG$3&gt;=Projects!$C$9,CG$3&lt;Projects!$C$9+Projects!$D$9),Projects!$B$9*INDEX(Curves!$B$2:$AR$2,1,CG$3-Projects!$C$9+1),0)-IF(AND(Projects!$G$9="Yes",CG$3&gt;=Projects!$C$9,CG$3&lt;Projects!$C$9+Projects!$D$9),Projects!$B$9*(Assumptions!$B$10+Assumptions!$B$11+Assumptions!$B$12)/Projects!$D$9*0.95,0)-IF(AND(Projects!$G$9="Yes",CG$3=Projects!$C$9+Projects!$D$9-1),Projects!$B$9*(Assumptions!$B$10+Assumptions!$B$11+Assumptions!$B$12)*0.05,0)</f>
        <v>0</v>
      </c>
      <c r="CH20" s="30" t="n">
        <f aca="false">IF(AND(Projects!$G$9="Yes",CH$3&gt;=Projects!$C$9,CH$3&lt;Projects!$C$9+Projects!$D$9),Projects!$B$9*INDEX(Curves!$B$2:$AR$2,1,CH$3-Projects!$C$9+1),0)-IF(AND(Projects!$G$9="Yes",CH$3&gt;=Projects!$C$9,CH$3&lt;Projects!$C$9+Projects!$D$9),Projects!$B$9*(Assumptions!$B$10+Assumptions!$B$11+Assumptions!$B$12)/Projects!$D$9*0.95,0)-IF(AND(Projects!$G$9="Yes",CH$3=Projects!$C$9+Projects!$D$9-1),Projects!$B$9*(Assumptions!$B$10+Assumptions!$B$11+Assumptions!$B$12)*0.05,0)</f>
        <v>0</v>
      </c>
      <c r="CI20" s="30" t="n">
        <f aca="false">IF(AND(Projects!$G$9="Yes",CI$3&gt;=Projects!$C$9,CI$3&lt;Projects!$C$9+Projects!$D$9),Projects!$B$9*INDEX(Curves!$B$2:$AR$2,1,CI$3-Projects!$C$9+1),0)-IF(AND(Projects!$G$9="Yes",CI$3&gt;=Projects!$C$9,CI$3&lt;Projects!$C$9+Projects!$D$9),Projects!$B$9*(Assumptions!$B$10+Assumptions!$B$11+Assumptions!$B$12)/Projects!$D$9*0.95,0)-IF(AND(Projects!$G$9="Yes",CI$3=Projects!$C$9+Projects!$D$9-1),Projects!$B$9*(Assumptions!$B$10+Assumptions!$B$11+Assumptions!$B$12)*0.05,0)</f>
        <v>0</v>
      </c>
      <c r="CJ20" s="30" t="n">
        <f aca="false">IF(AND(Projects!$G$9="Yes",CJ$3&gt;=Projects!$C$9,CJ$3&lt;Projects!$C$9+Projects!$D$9),Projects!$B$9*INDEX(Curves!$B$2:$AR$2,1,CJ$3-Projects!$C$9+1),0)-IF(AND(Projects!$G$9="Yes",CJ$3&gt;=Projects!$C$9,CJ$3&lt;Projects!$C$9+Projects!$D$9),Projects!$B$9*(Assumptions!$B$10+Assumptions!$B$11+Assumptions!$B$12)/Projects!$D$9*0.95,0)-IF(AND(Projects!$G$9="Yes",CJ$3=Projects!$C$9+Projects!$D$9-1),Projects!$B$9*(Assumptions!$B$10+Assumptions!$B$11+Assumptions!$B$12)*0.05,0)</f>
        <v>0</v>
      </c>
      <c r="CK20" s="30" t="n">
        <f aca="false">IF(AND(Projects!$G$9="Yes",CK$3&gt;=Projects!$C$9,CK$3&lt;Projects!$C$9+Projects!$D$9),Projects!$B$9*INDEX(Curves!$B$2:$AR$2,1,CK$3-Projects!$C$9+1),0)-IF(AND(Projects!$G$9="Yes",CK$3&gt;=Projects!$C$9,CK$3&lt;Projects!$C$9+Projects!$D$9),Projects!$B$9*(Assumptions!$B$10+Assumptions!$B$11+Assumptions!$B$12)/Projects!$D$9*0.95,0)-IF(AND(Projects!$G$9="Yes",CK$3=Projects!$C$9+Projects!$D$9-1),Projects!$B$9*(Assumptions!$B$10+Assumptions!$B$11+Assumptions!$B$12)*0.05,0)</f>
        <v>0</v>
      </c>
      <c r="CL20" s="30" t="n">
        <f aca="false">IF(AND(Projects!$G$9="Yes",CL$3&gt;=Projects!$C$9,CL$3&lt;Projects!$C$9+Projects!$D$9),Projects!$B$9*INDEX(Curves!$B$2:$AR$2,1,CL$3-Projects!$C$9+1),0)-IF(AND(Projects!$G$9="Yes",CL$3&gt;=Projects!$C$9,CL$3&lt;Projects!$C$9+Projects!$D$9),Projects!$B$9*(Assumptions!$B$10+Assumptions!$B$11+Assumptions!$B$12)/Projects!$D$9*0.95,0)-IF(AND(Projects!$G$9="Yes",CL$3=Projects!$C$9+Projects!$D$9-1),Projects!$B$9*(Assumptions!$B$10+Assumptions!$B$11+Assumptions!$B$12)*0.05,0)</f>
        <v>0</v>
      </c>
      <c r="CM20" s="30" t="n">
        <f aca="false">IF(AND(Projects!$G$9="Yes",CM$3&gt;=Projects!$C$9,CM$3&lt;Projects!$C$9+Projects!$D$9),Projects!$B$9*INDEX(Curves!$B$2:$AR$2,1,CM$3-Projects!$C$9+1),0)-IF(AND(Projects!$G$9="Yes",CM$3&gt;=Projects!$C$9,CM$3&lt;Projects!$C$9+Projects!$D$9),Projects!$B$9*(Assumptions!$B$10+Assumptions!$B$11+Assumptions!$B$12)/Projects!$D$9*0.95,0)-IF(AND(Projects!$G$9="Yes",CM$3=Projects!$C$9+Projects!$D$9-1),Projects!$B$9*(Assumptions!$B$10+Assumptions!$B$11+Assumptions!$B$12)*0.05,0)</f>
        <v>0</v>
      </c>
      <c r="CN20" s="30" t="n">
        <f aca="false">IF(AND(Projects!$G$9="Yes",CN$3&gt;=Projects!$C$9,CN$3&lt;Projects!$C$9+Projects!$D$9),Projects!$B$9*INDEX(Curves!$B$2:$AR$2,1,CN$3-Projects!$C$9+1),0)-IF(AND(Projects!$G$9="Yes",CN$3&gt;=Projects!$C$9,CN$3&lt;Projects!$C$9+Projects!$D$9),Projects!$B$9*(Assumptions!$B$10+Assumptions!$B$11+Assumptions!$B$12)/Projects!$D$9*0.95,0)-IF(AND(Projects!$G$9="Yes",CN$3=Projects!$C$9+Projects!$D$9-1),Projects!$B$9*(Assumptions!$B$10+Assumptions!$B$11+Assumptions!$B$12)*0.05,0)</f>
        <v>0</v>
      </c>
      <c r="CO20" s="30" t="n">
        <f aca="false">IF(AND(Projects!$G$9="Yes",CO$3&gt;=Projects!$C$9,CO$3&lt;Projects!$C$9+Projects!$D$9),Projects!$B$9*INDEX(Curves!$B$2:$AR$2,1,CO$3-Projects!$C$9+1),0)-IF(AND(Projects!$G$9="Yes",CO$3&gt;=Projects!$C$9,CO$3&lt;Projects!$C$9+Projects!$D$9),Projects!$B$9*(Assumptions!$B$10+Assumptions!$B$11+Assumptions!$B$12)/Projects!$D$9*0.95,0)-IF(AND(Projects!$G$9="Yes",CO$3=Projects!$C$9+Projects!$D$9-1),Projects!$B$9*(Assumptions!$B$10+Assumptions!$B$11+Assumptions!$B$12)*0.05,0)</f>
        <v>0</v>
      </c>
      <c r="CP20" s="30" t="n">
        <f aca="false">IF(AND(Projects!$G$9="Yes",CP$3&gt;=Projects!$C$9,CP$3&lt;Projects!$C$9+Projects!$D$9),Projects!$B$9*INDEX(Curves!$B$2:$AR$2,1,CP$3-Projects!$C$9+1),0)-IF(AND(Projects!$G$9="Yes",CP$3&gt;=Projects!$C$9,CP$3&lt;Projects!$C$9+Projects!$D$9),Projects!$B$9*(Assumptions!$B$10+Assumptions!$B$11+Assumptions!$B$12)/Projects!$D$9*0.95,0)-IF(AND(Projects!$G$9="Yes",CP$3=Projects!$C$9+Projects!$D$9-1),Projects!$B$9*(Assumptions!$B$10+Assumptions!$B$11+Assumptions!$B$12)*0.05,0)</f>
        <v>0</v>
      </c>
      <c r="CQ20" s="30" t="n">
        <f aca="false">IF(AND(Projects!$G$9="Yes",CQ$3&gt;=Projects!$C$9,CQ$3&lt;Projects!$C$9+Projects!$D$9),Projects!$B$9*INDEX(Curves!$B$2:$AR$2,1,CQ$3-Projects!$C$9+1),0)-IF(AND(Projects!$G$9="Yes",CQ$3&gt;=Projects!$C$9,CQ$3&lt;Projects!$C$9+Projects!$D$9),Projects!$B$9*(Assumptions!$B$10+Assumptions!$B$11+Assumptions!$B$12)/Projects!$D$9*0.95,0)-IF(AND(Projects!$G$9="Yes",CQ$3=Projects!$C$9+Projects!$D$9-1),Projects!$B$9*(Assumptions!$B$10+Assumptions!$B$11+Assumptions!$B$12)*0.05,0)</f>
        <v>0</v>
      </c>
      <c r="CR20" s="30" t="n">
        <f aca="false">IF(AND(Projects!$G$9="Yes",CR$3&gt;=Projects!$C$9,CR$3&lt;Projects!$C$9+Projects!$D$9),Projects!$B$9*INDEX(Curves!$B$2:$AR$2,1,CR$3-Projects!$C$9+1),0)-IF(AND(Projects!$G$9="Yes",CR$3&gt;=Projects!$C$9,CR$3&lt;Projects!$C$9+Projects!$D$9),Projects!$B$9*(Assumptions!$B$10+Assumptions!$B$11+Assumptions!$B$12)/Projects!$D$9*0.95,0)-IF(AND(Projects!$G$9="Yes",CR$3=Projects!$C$9+Projects!$D$9-1),Projects!$B$9*(Assumptions!$B$10+Assumptions!$B$11+Assumptions!$B$12)*0.05,0)</f>
        <v>0</v>
      </c>
      <c r="CS20" s="30" t="n">
        <f aca="false">IF(AND(Projects!$G$9="Yes",CS$3&gt;=Projects!$C$9,CS$3&lt;Projects!$C$9+Projects!$D$9),Projects!$B$9*INDEX(Curves!$B$2:$AR$2,1,CS$3-Projects!$C$9+1),0)-IF(AND(Projects!$G$9="Yes",CS$3&gt;=Projects!$C$9,CS$3&lt;Projects!$C$9+Projects!$D$9),Projects!$B$9*(Assumptions!$B$10+Assumptions!$B$11+Assumptions!$B$12)/Projects!$D$9*0.95,0)-IF(AND(Projects!$G$9="Yes",CS$3=Projects!$C$9+Projects!$D$9-1),Projects!$B$9*(Assumptions!$B$10+Assumptions!$B$11+Assumptions!$B$12)*0.05,0)</f>
        <v>0</v>
      </c>
      <c r="CT20" s="30" t="n">
        <f aca="false">IF(AND(Projects!$G$9="Yes",CT$3&gt;=Projects!$C$9,CT$3&lt;Projects!$C$9+Projects!$D$9),Projects!$B$9*INDEX(Curves!$B$2:$AR$2,1,CT$3-Projects!$C$9+1),0)-IF(AND(Projects!$G$9="Yes",CT$3&gt;=Projects!$C$9,CT$3&lt;Projects!$C$9+Projects!$D$9),Projects!$B$9*(Assumptions!$B$10+Assumptions!$B$11+Assumptions!$B$12)/Projects!$D$9*0.95,0)-IF(AND(Projects!$G$9="Yes",CT$3=Projects!$C$9+Projects!$D$9-1),Projects!$B$9*(Assumptions!$B$10+Assumptions!$B$11+Assumptions!$B$12)*0.05,0)</f>
        <v>0</v>
      </c>
      <c r="CU20" s="30" t="n">
        <f aca="false">IF(AND(Projects!$G$9="Yes",CU$3&gt;=Projects!$C$9,CU$3&lt;Projects!$C$9+Projects!$D$9),Projects!$B$9*INDEX(Curves!$B$2:$AR$2,1,CU$3-Projects!$C$9+1),0)-IF(AND(Projects!$G$9="Yes",CU$3&gt;=Projects!$C$9,CU$3&lt;Projects!$C$9+Projects!$D$9),Projects!$B$9*(Assumptions!$B$10+Assumptions!$B$11+Assumptions!$B$12)/Projects!$D$9*0.95,0)-IF(AND(Projects!$G$9="Yes",CU$3=Projects!$C$9+Projects!$D$9-1),Projects!$B$9*(Assumptions!$B$10+Assumptions!$B$11+Assumptions!$B$12)*0.05,0)</f>
        <v>0</v>
      </c>
      <c r="CV20" s="30" t="n">
        <f aca="false">IF(AND(Projects!$G$9="Yes",CV$3&gt;=Projects!$C$9,CV$3&lt;Projects!$C$9+Projects!$D$9),Projects!$B$9*INDEX(Curves!$B$2:$AR$2,1,CV$3-Projects!$C$9+1),0)-IF(AND(Projects!$G$9="Yes",CV$3&gt;=Projects!$C$9,CV$3&lt;Projects!$C$9+Projects!$D$9),Projects!$B$9*(Assumptions!$B$10+Assumptions!$B$11+Assumptions!$B$12)/Projects!$D$9*0.95,0)-IF(AND(Projects!$G$9="Yes",CV$3=Projects!$C$9+Projects!$D$9-1),Projects!$B$9*(Assumptions!$B$10+Assumptions!$B$11+Assumptions!$B$12)*0.05,0)</f>
        <v>0</v>
      </c>
      <c r="CW20" s="30" t="n">
        <f aca="false">IF(AND(Projects!$G$9="Yes",CW$3&gt;=Projects!$C$9,CW$3&lt;Projects!$C$9+Projects!$D$9),Projects!$B$9*INDEX(Curves!$B$2:$AR$2,1,CW$3-Projects!$C$9+1),0)-IF(AND(Projects!$G$9="Yes",CW$3&gt;=Projects!$C$9,CW$3&lt;Projects!$C$9+Projects!$D$9),Projects!$B$9*(Assumptions!$B$10+Assumptions!$B$11+Assumptions!$B$12)/Projects!$D$9*0.95,0)-IF(AND(Projects!$G$9="Yes",CW$3=Projects!$C$9+Projects!$D$9-1),Projects!$B$9*(Assumptions!$B$10+Assumptions!$B$11+Assumptions!$B$12)*0.05,0)</f>
        <v>0</v>
      </c>
      <c r="CX20" s="30" t="n">
        <f aca="false">IF(AND(Projects!$G$9="Yes",CX$3&gt;=Projects!$C$9,CX$3&lt;Projects!$C$9+Projects!$D$9),Projects!$B$9*INDEX(Curves!$B$2:$AR$2,1,CX$3-Projects!$C$9+1),0)-IF(AND(Projects!$G$9="Yes",CX$3&gt;=Projects!$C$9,CX$3&lt;Projects!$C$9+Projects!$D$9),Projects!$B$9*(Assumptions!$B$10+Assumptions!$B$11+Assumptions!$B$12)/Projects!$D$9*0.95,0)-IF(AND(Projects!$G$9="Yes",CX$3=Projects!$C$9+Projects!$D$9-1),Projects!$B$9*(Assumptions!$B$10+Assumptions!$B$11+Assumptions!$B$12)*0.05,0)</f>
        <v>0</v>
      </c>
      <c r="CY20" s="30" t="n">
        <f aca="false">IF(AND(Projects!$G$9="Yes",CY$3&gt;=Projects!$C$9,CY$3&lt;Projects!$C$9+Projects!$D$9),Projects!$B$9*INDEX(Curves!$B$2:$AR$2,1,CY$3-Projects!$C$9+1),0)-IF(AND(Projects!$G$9="Yes",CY$3&gt;=Projects!$C$9,CY$3&lt;Projects!$C$9+Projects!$D$9),Projects!$B$9*(Assumptions!$B$10+Assumptions!$B$11+Assumptions!$B$12)/Projects!$D$9*0.95,0)-IF(AND(Projects!$G$9="Yes",CY$3=Projects!$C$9+Projects!$D$9-1),Projects!$B$9*(Assumptions!$B$10+Assumptions!$B$11+Assumptions!$B$12)*0.05,0)</f>
        <v>0</v>
      </c>
      <c r="CZ20" s="30" t="n">
        <f aca="false">IF(AND(Projects!$G$9="Yes",CZ$3&gt;=Projects!$C$9,CZ$3&lt;Projects!$C$9+Projects!$D$9),Projects!$B$9*INDEX(Curves!$B$2:$AR$2,1,CZ$3-Projects!$C$9+1),0)-IF(AND(Projects!$G$9="Yes",CZ$3&gt;=Projects!$C$9,CZ$3&lt;Projects!$C$9+Projects!$D$9),Projects!$B$9*(Assumptions!$B$10+Assumptions!$B$11+Assumptions!$B$12)/Projects!$D$9*0.95,0)-IF(AND(Projects!$G$9="Yes",CZ$3=Projects!$C$9+Projects!$D$9-1),Projects!$B$9*(Assumptions!$B$10+Assumptions!$B$11+Assumptions!$B$12)*0.05,0)</f>
        <v>0</v>
      </c>
      <c r="DA20" s="30" t="n">
        <f aca="false">IF(AND(Projects!$G$9="Yes",DA$3&gt;=Projects!$C$9,DA$3&lt;Projects!$C$9+Projects!$D$9),Projects!$B$9*INDEX(Curves!$B$2:$AR$2,1,DA$3-Projects!$C$9+1),0)-IF(AND(Projects!$G$9="Yes",DA$3&gt;=Projects!$C$9,DA$3&lt;Projects!$C$9+Projects!$D$9),Projects!$B$9*(Assumptions!$B$10+Assumptions!$B$11+Assumptions!$B$12)/Projects!$D$9*0.95,0)-IF(AND(Projects!$G$9="Yes",DA$3=Projects!$C$9+Projects!$D$9-1),Projects!$B$9*(Assumptions!$B$10+Assumptions!$B$11+Assumptions!$B$12)*0.05,0)</f>
        <v>0</v>
      </c>
      <c r="DB20" s="30" t="n">
        <f aca="false">IF(AND(Projects!$G$9="Yes",DB$3&gt;=Projects!$C$9,DB$3&lt;Projects!$C$9+Projects!$D$9),Projects!$B$9*INDEX(Curves!$B$2:$AR$2,1,DB$3-Projects!$C$9+1),0)-IF(AND(Projects!$G$9="Yes",DB$3&gt;=Projects!$C$9,DB$3&lt;Projects!$C$9+Projects!$D$9),Projects!$B$9*(Assumptions!$B$10+Assumptions!$B$11+Assumptions!$B$12)/Projects!$D$9*0.95,0)-IF(AND(Projects!$G$9="Yes",DB$3=Projects!$C$9+Projects!$D$9-1),Projects!$B$9*(Assumptions!$B$10+Assumptions!$B$11+Assumptions!$B$12)*0.05,0)</f>
        <v>0</v>
      </c>
      <c r="DC20" s="30" t="n">
        <f aca="false">IF(AND(Projects!$G$9="Yes",DC$3&gt;=Projects!$C$9,DC$3&lt;Projects!$C$9+Projects!$D$9),Projects!$B$9*INDEX(Curves!$B$2:$AR$2,1,DC$3-Projects!$C$9+1),0)-IF(AND(Projects!$G$9="Yes",DC$3&gt;=Projects!$C$9,DC$3&lt;Projects!$C$9+Projects!$D$9),Projects!$B$9*(Assumptions!$B$10+Assumptions!$B$11+Assumptions!$B$12)/Projects!$D$9*0.95,0)-IF(AND(Projects!$G$9="Yes",DC$3=Projects!$C$9+Projects!$D$9-1),Projects!$B$9*(Assumptions!$B$10+Assumptions!$B$11+Assumptions!$B$12)*0.05,0)</f>
        <v>0</v>
      </c>
      <c r="DD20" s="30" t="n">
        <f aca="false">IF(AND(Projects!$G$9="Yes",DD$3&gt;=Projects!$C$9,DD$3&lt;Projects!$C$9+Projects!$D$9),Projects!$B$9*INDEX(Curves!$B$2:$AR$2,1,DD$3-Projects!$C$9+1),0)-IF(AND(Projects!$G$9="Yes",DD$3&gt;=Projects!$C$9,DD$3&lt;Projects!$C$9+Projects!$D$9),Projects!$B$9*(Assumptions!$B$10+Assumptions!$B$11+Assumptions!$B$12)/Projects!$D$9*0.95,0)-IF(AND(Projects!$G$9="Yes",DD$3=Projects!$C$9+Projects!$D$9-1),Projects!$B$9*(Assumptions!$B$10+Assumptions!$B$11+Assumptions!$B$12)*0.05,0)</f>
        <v>0</v>
      </c>
      <c r="DE20" s="30" t="n">
        <f aca="false">IF(AND(Projects!$G$9="Yes",DE$3&gt;=Projects!$C$9,DE$3&lt;Projects!$C$9+Projects!$D$9),Projects!$B$9*INDEX(Curves!$B$2:$AR$2,1,DE$3-Projects!$C$9+1),0)-IF(AND(Projects!$G$9="Yes",DE$3&gt;=Projects!$C$9,DE$3&lt;Projects!$C$9+Projects!$D$9),Projects!$B$9*(Assumptions!$B$10+Assumptions!$B$11+Assumptions!$B$12)/Projects!$D$9*0.95,0)-IF(AND(Projects!$G$9="Yes",DE$3=Projects!$C$9+Projects!$D$9-1),Projects!$B$9*(Assumptions!$B$10+Assumptions!$B$11+Assumptions!$B$12)*0.05,0)</f>
        <v>0</v>
      </c>
    </row>
    <row r="21" customFormat="false" ht="15" hidden="true" customHeight="true" outlineLevel="1" collapsed="false">
      <c r="A21" s="32" t="s">
        <v>15</v>
      </c>
      <c r="B21" s="30" t="n">
        <v>0</v>
      </c>
      <c r="C21" s="30" t="n">
        <v>0</v>
      </c>
      <c r="D21" s="30" t="n">
        <v>0</v>
      </c>
      <c r="E21" s="30" t="n">
        <v>0</v>
      </c>
      <c r="F21" s="30" t="n">
        <f aca="false">IF(AND(Projects!$G$10="Yes",F$3&gt;=Projects!$C$10,F$3&lt;Projects!$C$10+Projects!$D$10),Projects!$B$10*INDEX(Curves!$B$3:$AR$3,1,F$3-Projects!$C$10+1),0)-IF(AND(Projects!$G$10="Yes",F$3&gt;=Projects!$C$10,F$3&lt;Projects!$C$10+Projects!$D$10),Projects!$B$10*(Assumptions!$B$10+Assumptions!$B$11+Assumptions!$B$12)/Projects!$D$10*0.95,0)-IF(AND(Projects!$G$10="Yes",F$3=Projects!$C$10+Projects!$D$10-1),Projects!$B$10*(Assumptions!$B$10+Assumptions!$B$11+Assumptions!$B$12)*0.05,0)</f>
        <v>0</v>
      </c>
      <c r="G21" s="30" t="n">
        <f aca="false">IF(AND(Projects!$G$10="Yes",G$3&gt;=Projects!$C$10,G$3&lt;Projects!$C$10+Projects!$D$10),Projects!$B$10*INDEX(Curves!$B$3:$AR$3,1,G$3-Projects!$C$10+1),0)-IF(AND(Projects!$G$10="Yes",G$3&gt;=Projects!$C$10,G$3&lt;Projects!$C$10+Projects!$D$10),Projects!$B$10*(Assumptions!$B$10+Assumptions!$B$11+Assumptions!$B$12)/Projects!$D$10*0.95,0)-IF(AND(Projects!$G$10="Yes",G$3=Projects!$C$10+Projects!$D$10-1),Projects!$B$10*(Assumptions!$B$10+Assumptions!$B$11+Assumptions!$B$12)*0.05,0)</f>
        <v>0</v>
      </c>
      <c r="H21" s="30" t="n">
        <f aca="false">IF(AND(Projects!$G$10="Yes",H$3&gt;=Projects!$C$10,H$3&lt;Projects!$C$10+Projects!$D$10),Projects!$B$10*INDEX(Curves!$B$3:$AR$3,1,H$3-Projects!$C$10+1),0)-IF(AND(Projects!$G$10="Yes",H$3&gt;=Projects!$C$10,H$3&lt;Projects!$C$10+Projects!$D$10),Projects!$B$10*(Assumptions!$B$10+Assumptions!$B$11+Assumptions!$B$12)/Projects!$D$10*0.95,0)-IF(AND(Projects!$G$10="Yes",H$3=Projects!$C$10+Projects!$D$10-1),Projects!$B$10*(Assumptions!$B$10+Assumptions!$B$11+Assumptions!$B$12)*0.05,0)</f>
        <v>0</v>
      </c>
      <c r="I21" s="30" t="n">
        <f aca="false">IF(AND(Projects!$G$10="Yes",I$3&gt;=Projects!$C$10,I$3&lt;Projects!$C$10+Projects!$D$10),Projects!$B$10*INDEX(Curves!$B$3:$AR$3,1,I$3-Projects!$C$10+1),0)-IF(AND(Projects!$G$10="Yes",I$3&gt;=Projects!$C$10,I$3&lt;Projects!$C$10+Projects!$D$10),Projects!$B$10*(Assumptions!$B$10+Assumptions!$B$11+Assumptions!$B$12)/Projects!$D$10*0.95,0)-IF(AND(Projects!$G$10="Yes",I$3=Projects!$C$10+Projects!$D$10-1),Projects!$B$10*(Assumptions!$B$10+Assumptions!$B$11+Assumptions!$B$12)*0.05,0)</f>
        <v>0</v>
      </c>
      <c r="J21" s="30" t="n">
        <f aca="false">IF(AND(Projects!$G$10="Yes",J$3&gt;=Projects!$C$10,J$3&lt;Projects!$C$10+Projects!$D$10),Projects!$B$10*INDEX(Curves!$B$3:$AR$3,1,J$3-Projects!$C$10+1),0)-IF(AND(Projects!$G$10="Yes",J$3&gt;=Projects!$C$10,J$3&lt;Projects!$C$10+Projects!$D$10),Projects!$B$10*(Assumptions!$B$10+Assumptions!$B$11+Assumptions!$B$12)/Projects!$D$10*0.95,0)-IF(AND(Projects!$G$10="Yes",J$3=Projects!$C$10+Projects!$D$10-1),Projects!$B$10*(Assumptions!$B$10+Assumptions!$B$11+Assumptions!$B$12)*0.05,0)</f>
        <v>334505.743043865</v>
      </c>
      <c r="K21" s="30" t="n">
        <f aca="false">IF(AND(Projects!$G$10="Yes",K$3&gt;=Projects!$C$10,K$3&lt;Projects!$C$10+Projects!$D$10),Projects!$B$10*INDEX(Curves!$B$3:$AR$3,1,K$3-Projects!$C$10+1),0)-IF(AND(Projects!$G$10="Yes",K$3&gt;=Projects!$C$10,K$3&lt;Projects!$C$10+Projects!$D$10),Projects!$B$10*(Assumptions!$B$10+Assumptions!$B$11+Assumptions!$B$12)/Projects!$D$10*0.95,0)-IF(AND(Projects!$G$10="Yes",K$3=Projects!$C$10+Projects!$D$10-1),Projects!$B$10*(Assumptions!$B$10+Assumptions!$B$11+Assumptions!$B$12)*0.05,0)</f>
        <v>416135.954838865</v>
      </c>
      <c r="L21" s="30" t="n">
        <f aca="false">IF(AND(Projects!$G$10="Yes",L$3&gt;=Projects!$C$10,L$3&lt;Projects!$C$10+Projects!$D$10),Projects!$B$10*INDEX(Curves!$B$3:$AR$3,1,L$3-Projects!$C$10+1),0)-IF(AND(Projects!$G$10="Yes",L$3&gt;=Projects!$C$10,L$3&lt;Projects!$C$10+Projects!$D$10),Projects!$B$10*(Assumptions!$B$10+Assumptions!$B$11+Assumptions!$B$12)/Projects!$D$10*0.95,0)-IF(AND(Projects!$G$10="Yes",L$3=Projects!$C$10+Projects!$D$10-1),Projects!$B$10*(Assumptions!$B$10+Assumptions!$B$11+Assumptions!$B$12)*0.05,0)</f>
        <v>503507.285983865</v>
      </c>
      <c r="M21" s="30" t="n">
        <f aca="false">IF(AND(Projects!$G$10="Yes",M$3&gt;=Projects!$C$10,M$3&lt;Projects!$C$10+Projects!$D$10),Projects!$B$10*INDEX(Curves!$B$3:$AR$3,1,M$3-Projects!$C$10+1),0)-IF(AND(Projects!$G$10="Yes",M$3&gt;=Projects!$C$10,M$3&lt;Projects!$C$10+Projects!$D$10),Projects!$B$10*(Assumptions!$B$10+Assumptions!$B$11+Assumptions!$B$12)/Projects!$D$10*0.95,0)-IF(AND(Projects!$G$10="Yes",M$3=Projects!$C$10+Projects!$D$10-1),Projects!$B$10*(Assumptions!$B$10+Assumptions!$B$11+Assumptions!$B$12)*0.05,0)</f>
        <v>594727.293433865</v>
      </c>
      <c r="N21" s="30" t="n">
        <f aca="false">IF(AND(Projects!$G$10="Yes",N$3&gt;=Projects!$C$10,N$3&lt;Projects!$C$10+Projects!$D$10),Projects!$B$10*INDEX(Curves!$B$3:$AR$3,1,N$3-Projects!$C$10+1),0)-IF(AND(Projects!$G$10="Yes",N$3&gt;=Projects!$C$10,N$3&lt;Projects!$C$10+Projects!$D$10),Projects!$B$10*(Assumptions!$B$10+Assumptions!$B$11+Assumptions!$B$12)/Projects!$D$10*0.95,0)-IF(AND(Projects!$G$10="Yes",N$3=Projects!$C$10+Projects!$D$10-1),Projects!$B$10*(Assumptions!$B$10+Assumptions!$B$11+Assumptions!$B$12)*0.05,0)</f>
        <v>687265.631993865</v>
      </c>
      <c r="O21" s="30" t="n">
        <f aca="false">IF(AND(Projects!$G$10="Yes",O$3&gt;=Projects!$C$10,O$3&lt;Projects!$C$10+Projects!$D$10),Projects!$B$10*INDEX(Curves!$B$3:$AR$3,1,O$3-Projects!$C$10+1),0)-IF(AND(Projects!$G$10="Yes",O$3&gt;=Projects!$C$10,O$3&lt;Projects!$C$10+Projects!$D$10),Projects!$B$10*(Assumptions!$B$10+Assumptions!$B$11+Assumptions!$B$12)/Projects!$D$10*0.95,0)-IF(AND(Projects!$G$10="Yes",O$3=Projects!$C$10+Projects!$D$10-1),Projects!$B$10*(Assumptions!$B$10+Assumptions!$B$11+Assumptions!$B$12)*0.05,0)</f>
        <v>778294.268798865</v>
      </c>
      <c r="P21" s="30" t="n">
        <f aca="false">IF(AND(Projects!$G$10="Yes",P$3&gt;=Projects!$C$10,P$3&lt;Projects!$C$10+Projects!$D$10),Projects!$B$10*INDEX(Curves!$B$3:$AR$3,1,P$3-Projects!$C$10+1),0)-IF(AND(Projects!$G$10="Yes",P$3&gt;=Projects!$C$10,P$3&lt;Projects!$C$10+Projects!$D$10),Projects!$B$10*(Assumptions!$B$10+Assumptions!$B$11+Assumptions!$B$12)/Projects!$D$10*0.95,0)-IF(AND(Projects!$G$10="Yes",P$3=Projects!$C$10+Projects!$D$10-1),Projects!$B$10*(Assumptions!$B$10+Assumptions!$B$11+Assumptions!$B$12)*0.05,0)</f>
        <v>864623.693098865</v>
      </c>
      <c r="Q21" s="30" t="n">
        <f aca="false">IF(AND(Projects!$G$10="Yes",Q$3&gt;=Projects!$C$10,Q$3&lt;Projects!$C$10+Projects!$D$10),Projects!$B$10*INDEX(Curves!$B$3:$AR$3,1,Q$3-Projects!$C$10+1),0)-IF(AND(Projects!$G$10="Yes",Q$3&gt;=Projects!$C$10,Q$3&lt;Projects!$C$10+Projects!$D$10),Projects!$B$10*(Assumptions!$B$10+Assumptions!$B$11+Assumptions!$B$12)/Projects!$D$10*0.95,0)-IF(AND(Projects!$G$10="Yes",Q$3=Projects!$C$10+Projects!$D$10-1),Projects!$B$10*(Assumptions!$B$10+Assumptions!$B$11+Assumptions!$B$12)*0.05,0)</f>
        <v>943000.603928865</v>
      </c>
      <c r="R21" s="30" t="n">
        <f aca="false">IF(AND(Projects!$G$10="Yes",R$3&gt;=Projects!$C$10,R$3&lt;Projects!$C$10+Projects!$D$10),Projects!$B$10*INDEX(Curves!$B$3:$AR$3,1,R$3-Projects!$C$10+1),0)-IF(AND(Projects!$G$10="Yes",R$3&gt;=Projects!$C$10,R$3&lt;Projects!$C$10+Projects!$D$10),Projects!$B$10*(Assumptions!$B$10+Assumptions!$B$11+Assumptions!$B$12)/Projects!$D$10*0.95,0)-IF(AND(Projects!$G$10="Yes",R$3=Projects!$C$10+Projects!$D$10-1),Projects!$B$10*(Assumptions!$B$10+Assumptions!$B$11+Assumptions!$B$12)*0.05,0)</f>
        <v>1010278.01734886</v>
      </c>
      <c r="S21" s="30" t="n">
        <f aca="false">IF(AND(Projects!$G$10="Yes",S$3&gt;=Projects!$C$10,S$3&lt;Projects!$C$10+Projects!$D$10),Projects!$B$10*INDEX(Curves!$B$3:$AR$3,1,S$3-Projects!$C$10+1),0)-IF(AND(Projects!$G$10="Yes",S$3&gt;=Projects!$C$10,S$3&lt;Projects!$C$10+Projects!$D$10),Projects!$B$10*(Assumptions!$B$10+Assumptions!$B$11+Assumptions!$B$12)/Projects!$D$10*0.95,0)-IF(AND(Projects!$G$10="Yes",S$3=Projects!$C$10+Projects!$D$10-1),Projects!$B$10*(Assumptions!$B$10+Assumptions!$B$11+Assumptions!$B$12)*0.05,0)</f>
        <v>1063542.84687386</v>
      </c>
      <c r="T21" s="30" t="n">
        <f aca="false">IF(AND(Projects!$G$10="Yes",T$3&gt;=Projects!$C$10,T$3&lt;Projects!$C$10+Projects!$D$10),Projects!$B$10*INDEX(Curves!$B$3:$AR$3,1,T$3-Projects!$C$10+1),0)-IF(AND(Projects!$G$10="Yes",T$3&gt;=Projects!$C$10,T$3&lt;Projects!$C$10+Projects!$D$10),Projects!$B$10*(Assumptions!$B$10+Assumptions!$B$11+Assumptions!$B$12)/Projects!$D$10*0.95,0)-IF(AND(Projects!$G$10="Yes",T$3=Projects!$C$10+Projects!$D$10-1),Projects!$B$10*(Assumptions!$B$10+Assumptions!$B$11+Assumptions!$B$12)*0.05,0)</f>
        <v>1100477.38135886</v>
      </c>
      <c r="U21" s="30" t="n">
        <f aca="false">IF(AND(Projects!$G$10="Yes",U$3&gt;=Projects!$C$10,U$3&lt;Projects!$C$10+Projects!$D$10),Projects!$B$10*INDEX(Curves!$B$3:$AR$3,1,U$3-Projects!$C$10+1),0)-IF(AND(Projects!$G$10="Yes",U$3&gt;=Projects!$C$10,U$3&lt;Projects!$C$10+Projects!$D$10),Projects!$B$10*(Assumptions!$B$10+Assumptions!$B$11+Assumptions!$B$12)/Projects!$D$10*0.95,0)-IF(AND(Projects!$G$10="Yes",U$3=Projects!$C$10+Projects!$D$10-1),Projects!$B$10*(Assumptions!$B$10+Assumptions!$B$11+Assumptions!$B$12)*0.05,0)</f>
        <v>1119380.54840386</v>
      </c>
      <c r="V21" s="30" t="n">
        <f aca="false">IF(AND(Projects!$G$10="Yes",V$3&gt;=Projects!$C$10,V$3&lt;Projects!$C$10+Projects!$D$10),Projects!$B$10*INDEX(Curves!$B$3:$AR$3,1,V$3-Projects!$C$10+1),0)-IF(AND(Projects!$G$10="Yes",V$3&gt;=Projects!$C$10,V$3&lt;Projects!$C$10+Projects!$D$10),Projects!$B$10*(Assumptions!$B$10+Assumptions!$B$11+Assumptions!$B$12)/Projects!$D$10*0.95,0)-IF(AND(Projects!$G$10="Yes",V$3=Projects!$C$10+Projects!$D$10-1),Projects!$B$10*(Assumptions!$B$10+Assumptions!$B$11+Assumptions!$B$12)*0.05,0)</f>
        <v>1119380.54840386</v>
      </c>
      <c r="W21" s="30" t="n">
        <f aca="false">IF(AND(Projects!$G$10="Yes",W$3&gt;=Projects!$C$10,W$3&lt;Projects!$C$10+Projects!$D$10),Projects!$B$10*INDEX(Curves!$B$3:$AR$3,1,W$3-Projects!$C$10+1),0)-IF(AND(Projects!$G$10="Yes",W$3&gt;=Projects!$C$10,W$3&lt;Projects!$C$10+Projects!$D$10),Projects!$B$10*(Assumptions!$B$10+Assumptions!$B$11+Assumptions!$B$12)/Projects!$D$10*0.95,0)-IF(AND(Projects!$G$10="Yes",W$3=Projects!$C$10+Projects!$D$10-1),Projects!$B$10*(Assumptions!$B$10+Assumptions!$B$11+Assumptions!$B$12)*0.05,0)</f>
        <v>1100477.38135886</v>
      </c>
      <c r="X21" s="30" t="n">
        <f aca="false">IF(AND(Projects!$G$10="Yes",X$3&gt;=Projects!$C$10,X$3&lt;Projects!$C$10+Projects!$D$10),Projects!$B$10*INDEX(Curves!$B$3:$AR$3,1,X$3-Projects!$C$10+1),0)-IF(AND(Projects!$G$10="Yes",X$3&gt;=Projects!$C$10,X$3&lt;Projects!$C$10+Projects!$D$10),Projects!$B$10*(Assumptions!$B$10+Assumptions!$B$11+Assumptions!$B$12)/Projects!$D$10*0.95,0)-IF(AND(Projects!$G$10="Yes",X$3=Projects!$C$10+Projects!$D$10-1),Projects!$B$10*(Assumptions!$B$10+Assumptions!$B$11+Assumptions!$B$12)*0.05,0)</f>
        <v>1063542.84687386</v>
      </c>
      <c r="Y21" s="30" t="n">
        <f aca="false">IF(AND(Projects!$G$10="Yes",Y$3&gt;=Projects!$C$10,Y$3&lt;Projects!$C$10+Projects!$D$10),Projects!$B$10*INDEX(Curves!$B$3:$AR$3,1,Y$3-Projects!$C$10+1),0)-IF(AND(Projects!$G$10="Yes",Y$3&gt;=Projects!$C$10,Y$3&lt;Projects!$C$10+Projects!$D$10),Projects!$B$10*(Assumptions!$B$10+Assumptions!$B$11+Assumptions!$B$12)/Projects!$D$10*0.95,0)-IF(AND(Projects!$G$10="Yes",Y$3=Projects!$C$10+Projects!$D$10-1),Projects!$B$10*(Assumptions!$B$10+Assumptions!$B$11+Assumptions!$B$12)*0.05,0)</f>
        <v>1010278.01734886</v>
      </c>
      <c r="Z21" s="30" t="n">
        <f aca="false">IF(AND(Projects!$G$10="Yes",Z$3&gt;=Projects!$C$10,Z$3&lt;Projects!$C$10+Projects!$D$10),Projects!$B$10*INDEX(Curves!$B$3:$AR$3,1,Z$3-Projects!$C$10+1),0)-IF(AND(Projects!$G$10="Yes",Z$3&gt;=Projects!$C$10,Z$3&lt;Projects!$C$10+Projects!$D$10),Projects!$B$10*(Assumptions!$B$10+Assumptions!$B$11+Assumptions!$B$12)/Projects!$D$10*0.95,0)-IF(AND(Projects!$G$10="Yes",Z$3=Projects!$C$10+Projects!$D$10-1),Projects!$B$10*(Assumptions!$B$10+Assumptions!$B$11+Assumptions!$B$12)*0.05,0)</f>
        <v>943000.603928865</v>
      </c>
      <c r="AA21" s="30" t="n">
        <f aca="false">IF(AND(Projects!$G$10="Yes",AA$3&gt;=Projects!$C$10,AA$3&lt;Projects!$C$10+Projects!$D$10),Projects!$B$10*INDEX(Curves!$B$3:$AR$3,1,AA$3-Projects!$C$10+1),0)-IF(AND(Projects!$G$10="Yes",AA$3&gt;=Projects!$C$10,AA$3&lt;Projects!$C$10+Projects!$D$10),Projects!$B$10*(Assumptions!$B$10+Assumptions!$B$11+Assumptions!$B$12)/Projects!$D$10*0.95,0)-IF(AND(Projects!$G$10="Yes",AA$3=Projects!$C$10+Projects!$D$10-1),Projects!$B$10*(Assumptions!$B$10+Assumptions!$B$11+Assumptions!$B$12)*0.05,0)</f>
        <v>864623.693098865</v>
      </c>
      <c r="AB21" s="30" t="n">
        <f aca="false">IF(AND(Projects!$G$10="Yes",AB$3&gt;=Projects!$C$10,AB$3&lt;Projects!$C$10+Projects!$D$10),Projects!$B$10*INDEX(Curves!$B$3:$AR$3,1,AB$3-Projects!$C$10+1),0)-IF(AND(Projects!$G$10="Yes",AB$3&gt;=Projects!$C$10,AB$3&lt;Projects!$C$10+Projects!$D$10),Projects!$B$10*(Assumptions!$B$10+Assumptions!$B$11+Assumptions!$B$12)/Projects!$D$10*0.95,0)-IF(AND(Projects!$G$10="Yes",AB$3=Projects!$C$10+Projects!$D$10-1),Projects!$B$10*(Assumptions!$B$10+Assumptions!$B$11+Assumptions!$B$12)*0.05,0)</f>
        <v>778294.268798865</v>
      </c>
      <c r="AC21" s="30" t="n">
        <f aca="false">IF(AND(Projects!$G$10="Yes",AC$3&gt;=Projects!$C$10,AC$3&lt;Projects!$C$10+Projects!$D$10),Projects!$B$10*INDEX(Curves!$B$3:$AR$3,1,AC$3-Projects!$C$10+1),0)-IF(AND(Projects!$G$10="Yes",AC$3&gt;=Projects!$C$10,AC$3&lt;Projects!$C$10+Projects!$D$10),Projects!$B$10*(Assumptions!$B$10+Assumptions!$B$11+Assumptions!$B$12)/Projects!$D$10*0.95,0)-IF(AND(Projects!$G$10="Yes",AC$3=Projects!$C$10+Projects!$D$10-1),Projects!$B$10*(Assumptions!$B$10+Assumptions!$B$11+Assumptions!$B$12)*0.05,0)</f>
        <v>687265.631993865</v>
      </c>
      <c r="AD21" s="30" t="n">
        <f aca="false">IF(AND(Projects!$G$10="Yes",AD$3&gt;=Projects!$C$10,AD$3&lt;Projects!$C$10+Projects!$D$10),Projects!$B$10*INDEX(Curves!$B$3:$AR$3,1,AD$3-Projects!$C$10+1),0)-IF(AND(Projects!$G$10="Yes",AD$3&gt;=Projects!$C$10,AD$3&lt;Projects!$C$10+Projects!$D$10),Projects!$B$10*(Assumptions!$B$10+Assumptions!$B$11+Assumptions!$B$12)/Projects!$D$10*0.95,0)-IF(AND(Projects!$G$10="Yes",AD$3=Projects!$C$10+Projects!$D$10-1),Projects!$B$10*(Assumptions!$B$10+Assumptions!$B$11+Assumptions!$B$12)*0.05,0)</f>
        <v>594727.293433865</v>
      </c>
      <c r="AE21" s="30" t="n">
        <f aca="false">IF(AND(Projects!$G$10="Yes",AE$3&gt;=Projects!$C$10,AE$3&lt;Projects!$C$10+Projects!$D$10),Projects!$B$10*INDEX(Curves!$B$3:$AR$3,1,AE$3-Projects!$C$10+1),0)-IF(AND(Projects!$G$10="Yes",AE$3&gt;=Projects!$C$10,AE$3&lt;Projects!$C$10+Projects!$D$10),Projects!$B$10*(Assumptions!$B$10+Assumptions!$B$11+Assumptions!$B$12)/Projects!$D$10*0.95,0)-IF(AND(Projects!$G$10="Yes",AE$3=Projects!$C$10+Projects!$D$10-1),Projects!$B$10*(Assumptions!$B$10+Assumptions!$B$11+Assumptions!$B$12)*0.05,0)</f>
        <v>503507.285983865</v>
      </c>
      <c r="AF21" s="30" t="n">
        <f aca="false">IF(AND(Projects!$G$10="Yes",AF$3&gt;=Projects!$C$10,AF$3&lt;Projects!$C$10+Projects!$D$10),Projects!$B$10*INDEX(Curves!$B$3:$AR$3,1,AF$3-Projects!$C$10+1),0)-IF(AND(Projects!$G$10="Yes",AF$3&gt;=Projects!$C$10,AF$3&lt;Projects!$C$10+Projects!$D$10),Projects!$B$10*(Assumptions!$B$10+Assumptions!$B$11+Assumptions!$B$12)/Projects!$D$10*0.95,0)-IF(AND(Projects!$G$10="Yes",AF$3=Projects!$C$10+Projects!$D$10-1),Projects!$B$10*(Assumptions!$B$10+Assumptions!$B$11+Assumptions!$B$12)*0.05,0)</f>
        <v>416135.954838865</v>
      </c>
      <c r="AG21" s="30" t="n">
        <f aca="false">IF(AND(Projects!$G$10="Yes",AG$3&gt;=Projects!$C$10,AG$3&lt;Projects!$C$10+Projects!$D$10),Projects!$B$10*INDEX(Curves!$B$3:$AR$3,1,AG$3-Projects!$C$10+1),0)-IF(AND(Projects!$G$10="Yes",AG$3&gt;=Projects!$C$10,AG$3&lt;Projects!$C$10+Projects!$D$10),Projects!$B$10*(Assumptions!$B$10+Assumptions!$B$11+Assumptions!$B$12)/Projects!$D$10*0.95,0)-IF(AND(Projects!$G$10="Yes",AG$3=Projects!$C$10+Projects!$D$10-1),Projects!$B$10*(Assumptions!$B$10+Assumptions!$B$11+Assumptions!$B$12)*0.05,0)</f>
        <v>206509.613476115</v>
      </c>
      <c r="AH21" s="30" t="n">
        <f aca="false">IF(AND(Projects!$G$10="Yes",AH$3&gt;=Projects!$C$10,AH$3&lt;Projects!$C$10+Projects!$D$10),Projects!$B$10*INDEX(Curves!$B$3:$AR$3,1,AH$3-Projects!$C$10+1),0)-IF(AND(Projects!$G$10="Yes",AH$3&gt;=Projects!$C$10,AH$3&lt;Projects!$C$10+Projects!$D$10),Projects!$B$10*(Assumptions!$B$10+Assumptions!$B$11+Assumptions!$B$12)/Projects!$D$10*0.95,0)-IF(AND(Projects!$G$10="Yes",AH$3=Projects!$C$10+Projects!$D$10-1),Projects!$B$10*(Assumptions!$B$10+Assumptions!$B$11+Assumptions!$B$12)*0.05,0)</f>
        <v>0</v>
      </c>
      <c r="AI21" s="30" t="n">
        <f aca="false">IF(AND(Projects!$G$10="Yes",AI$3&gt;=Projects!$C$10,AI$3&lt;Projects!$C$10+Projects!$D$10),Projects!$B$10*INDEX(Curves!$B$3:$AR$3,1,AI$3-Projects!$C$10+1),0)-IF(AND(Projects!$G$10="Yes",AI$3&gt;=Projects!$C$10,AI$3&lt;Projects!$C$10+Projects!$D$10),Projects!$B$10*(Assumptions!$B$10+Assumptions!$B$11+Assumptions!$B$12)/Projects!$D$10*0.95,0)-IF(AND(Projects!$G$10="Yes",AI$3=Projects!$C$10+Projects!$D$10-1),Projects!$B$10*(Assumptions!$B$10+Assumptions!$B$11+Assumptions!$B$12)*0.05,0)</f>
        <v>0</v>
      </c>
      <c r="AJ21" s="30" t="n">
        <f aca="false">IF(AND(Projects!$G$10="Yes",AJ$3&gt;=Projects!$C$10,AJ$3&lt;Projects!$C$10+Projects!$D$10),Projects!$B$10*INDEX(Curves!$B$3:$AR$3,1,AJ$3-Projects!$C$10+1),0)-IF(AND(Projects!$G$10="Yes",AJ$3&gt;=Projects!$C$10,AJ$3&lt;Projects!$C$10+Projects!$D$10),Projects!$B$10*(Assumptions!$B$10+Assumptions!$B$11+Assumptions!$B$12)/Projects!$D$10*0.95,0)-IF(AND(Projects!$G$10="Yes",AJ$3=Projects!$C$10+Projects!$D$10-1),Projects!$B$10*(Assumptions!$B$10+Assumptions!$B$11+Assumptions!$B$12)*0.05,0)</f>
        <v>0</v>
      </c>
      <c r="AK21" s="30" t="n">
        <f aca="false">IF(AND(Projects!$G$10="Yes",AK$3&gt;=Projects!$C$10,AK$3&lt;Projects!$C$10+Projects!$D$10),Projects!$B$10*INDEX(Curves!$B$3:$AR$3,1,AK$3-Projects!$C$10+1),0)-IF(AND(Projects!$G$10="Yes",AK$3&gt;=Projects!$C$10,AK$3&lt;Projects!$C$10+Projects!$D$10),Projects!$B$10*(Assumptions!$B$10+Assumptions!$B$11+Assumptions!$B$12)/Projects!$D$10*0.95,0)-IF(AND(Projects!$G$10="Yes",AK$3=Projects!$C$10+Projects!$D$10-1),Projects!$B$10*(Assumptions!$B$10+Assumptions!$B$11+Assumptions!$B$12)*0.05,0)</f>
        <v>0</v>
      </c>
      <c r="AL21" s="30" t="n">
        <f aca="false">IF(AND(Projects!$G$10="Yes",AL$3&gt;=Projects!$C$10,AL$3&lt;Projects!$C$10+Projects!$D$10),Projects!$B$10*INDEX(Curves!$B$3:$AR$3,1,AL$3-Projects!$C$10+1),0)-IF(AND(Projects!$G$10="Yes",AL$3&gt;=Projects!$C$10,AL$3&lt;Projects!$C$10+Projects!$D$10),Projects!$B$10*(Assumptions!$B$10+Assumptions!$B$11+Assumptions!$B$12)/Projects!$D$10*0.95,0)-IF(AND(Projects!$G$10="Yes",AL$3=Projects!$C$10+Projects!$D$10-1),Projects!$B$10*(Assumptions!$B$10+Assumptions!$B$11+Assumptions!$B$12)*0.05,0)</f>
        <v>0</v>
      </c>
      <c r="AM21" s="30" t="n">
        <f aca="false">IF(AND(Projects!$G$10="Yes",AM$3&gt;=Projects!$C$10,AM$3&lt;Projects!$C$10+Projects!$D$10),Projects!$B$10*INDEX(Curves!$B$3:$AR$3,1,AM$3-Projects!$C$10+1),0)-IF(AND(Projects!$G$10="Yes",AM$3&gt;=Projects!$C$10,AM$3&lt;Projects!$C$10+Projects!$D$10),Projects!$B$10*(Assumptions!$B$10+Assumptions!$B$11+Assumptions!$B$12)/Projects!$D$10*0.95,0)-IF(AND(Projects!$G$10="Yes",AM$3=Projects!$C$10+Projects!$D$10-1),Projects!$B$10*(Assumptions!$B$10+Assumptions!$B$11+Assumptions!$B$12)*0.05,0)</f>
        <v>0</v>
      </c>
      <c r="AN21" s="30" t="n">
        <f aca="false">IF(AND(Projects!$G$10="Yes",AN$3&gt;=Projects!$C$10,AN$3&lt;Projects!$C$10+Projects!$D$10),Projects!$B$10*INDEX(Curves!$B$3:$AR$3,1,AN$3-Projects!$C$10+1),0)-IF(AND(Projects!$G$10="Yes",AN$3&gt;=Projects!$C$10,AN$3&lt;Projects!$C$10+Projects!$D$10),Projects!$B$10*(Assumptions!$B$10+Assumptions!$B$11+Assumptions!$B$12)/Projects!$D$10*0.95,0)-IF(AND(Projects!$G$10="Yes",AN$3=Projects!$C$10+Projects!$D$10-1),Projects!$B$10*(Assumptions!$B$10+Assumptions!$B$11+Assumptions!$B$12)*0.05,0)</f>
        <v>0</v>
      </c>
      <c r="AO21" s="30" t="n">
        <f aca="false">IF(AND(Projects!$G$10="Yes",AO$3&gt;=Projects!$C$10,AO$3&lt;Projects!$C$10+Projects!$D$10),Projects!$B$10*INDEX(Curves!$B$3:$AR$3,1,AO$3-Projects!$C$10+1),0)-IF(AND(Projects!$G$10="Yes",AO$3&gt;=Projects!$C$10,AO$3&lt;Projects!$C$10+Projects!$D$10),Projects!$B$10*(Assumptions!$B$10+Assumptions!$B$11+Assumptions!$B$12)/Projects!$D$10*0.95,0)-IF(AND(Projects!$G$10="Yes",AO$3=Projects!$C$10+Projects!$D$10-1),Projects!$B$10*(Assumptions!$B$10+Assumptions!$B$11+Assumptions!$B$12)*0.05,0)</f>
        <v>0</v>
      </c>
      <c r="AP21" s="30" t="n">
        <f aca="false">IF(AND(Projects!$G$10="Yes",AP$3&gt;=Projects!$C$10,AP$3&lt;Projects!$C$10+Projects!$D$10),Projects!$B$10*INDEX(Curves!$B$3:$AR$3,1,AP$3-Projects!$C$10+1),0)-IF(AND(Projects!$G$10="Yes",AP$3&gt;=Projects!$C$10,AP$3&lt;Projects!$C$10+Projects!$D$10),Projects!$B$10*(Assumptions!$B$10+Assumptions!$B$11+Assumptions!$B$12)/Projects!$D$10*0.95,0)-IF(AND(Projects!$G$10="Yes",AP$3=Projects!$C$10+Projects!$D$10-1),Projects!$B$10*(Assumptions!$B$10+Assumptions!$B$11+Assumptions!$B$12)*0.05,0)</f>
        <v>0</v>
      </c>
      <c r="AQ21" s="30" t="n">
        <f aca="false">IF(AND(Projects!$G$10="Yes",AQ$3&gt;=Projects!$C$10,AQ$3&lt;Projects!$C$10+Projects!$D$10),Projects!$B$10*INDEX(Curves!$B$3:$AR$3,1,AQ$3-Projects!$C$10+1),0)-IF(AND(Projects!$G$10="Yes",AQ$3&gt;=Projects!$C$10,AQ$3&lt;Projects!$C$10+Projects!$D$10),Projects!$B$10*(Assumptions!$B$10+Assumptions!$B$11+Assumptions!$B$12)/Projects!$D$10*0.95,0)-IF(AND(Projects!$G$10="Yes",AQ$3=Projects!$C$10+Projects!$D$10-1),Projects!$B$10*(Assumptions!$B$10+Assumptions!$B$11+Assumptions!$B$12)*0.05,0)</f>
        <v>0</v>
      </c>
      <c r="AR21" s="30" t="n">
        <f aca="false">IF(AND(Projects!$G$10="Yes",AR$3&gt;=Projects!$C$10,AR$3&lt;Projects!$C$10+Projects!$D$10),Projects!$B$10*INDEX(Curves!$B$3:$AR$3,1,AR$3-Projects!$C$10+1),0)-IF(AND(Projects!$G$10="Yes",AR$3&gt;=Projects!$C$10,AR$3&lt;Projects!$C$10+Projects!$D$10),Projects!$B$10*(Assumptions!$B$10+Assumptions!$B$11+Assumptions!$B$12)/Projects!$D$10*0.95,0)-IF(AND(Projects!$G$10="Yes",AR$3=Projects!$C$10+Projects!$D$10-1),Projects!$B$10*(Assumptions!$B$10+Assumptions!$B$11+Assumptions!$B$12)*0.05,0)</f>
        <v>0</v>
      </c>
      <c r="AS21" s="30" t="n">
        <f aca="false">IF(AND(Projects!$G$10="Yes",AS$3&gt;=Projects!$C$10,AS$3&lt;Projects!$C$10+Projects!$D$10),Projects!$B$10*INDEX(Curves!$B$3:$AR$3,1,AS$3-Projects!$C$10+1),0)-IF(AND(Projects!$G$10="Yes",AS$3&gt;=Projects!$C$10,AS$3&lt;Projects!$C$10+Projects!$D$10),Projects!$B$10*(Assumptions!$B$10+Assumptions!$B$11+Assumptions!$B$12)/Projects!$D$10*0.95,0)-IF(AND(Projects!$G$10="Yes",AS$3=Projects!$C$10+Projects!$D$10-1),Projects!$B$10*(Assumptions!$B$10+Assumptions!$B$11+Assumptions!$B$12)*0.05,0)</f>
        <v>0</v>
      </c>
      <c r="AT21" s="30" t="n">
        <f aca="false">IF(AND(Projects!$G$10="Yes",AT$3&gt;=Projects!$C$10,AT$3&lt;Projects!$C$10+Projects!$D$10),Projects!$B$10*INDEX(Curves!$B$3:$AR$3,1,AT$3-Projects!$C$10+1),0)-IF(AND(Projects!$G$10="Yes",AT$3&gt;=Projects!$C$10,AT$3&lt;Projects!$C$10+Projects!$D$10),Projects!$B$10*(Assumptions!$B$10+Assumptions!$B$11+Assumptions!$B$12)/Projects!$D$10*0.95,0)-IF(AND(Projects!$G$10="Yes",AT$3=Projects!$C$10+Projects!$D$10-1),Projects!$B$10*(Assumptions!$B$10+Assumptions!$B$11+Assumptions!$B$12)*0.05,0)</f>
        <v>0</v>
      </c>
      <c r="AU21" s="30" t="n">
        <f aca="false">IF(AND(Projects!$G$10="Yes",AU$3&gt;=Projects!$C$10,AU$3&lt;Projects!$C$10+Projects!$D$10),Projects!$B$10*INDEX(Curves!$B$3:$AR$3,1,AU$3-Projects!$C$10+1),0)-IF(AND(Projects!$G$10="Yes",AU$3&gt;=Projects!$C$10,AU$3&lt;Projects!$C$10+Projects!$D$10),Projects!$B$10*(Assumptions!$B$10+Assumptions!$B$11+Assumptions!$B$12)/Projects!$D$10*0.95,0)-IF(AND(Projects!$G$10="Yes",AU$3=Projects!$C$10+Projects!$D$10-1),Projects!$B$10*(Assumptions!$B$10+Assumptions!$B$11+Assumptions!$B$12)*0.05,0)</f>
        <v>0</v>
      </c>
      <c r="AV21" s="30" t="n">
        <f aca="false">IF(AND(Projects!$G$10="Yes",AV$3&gt;=Projects!$C$10,AV$3&lt;Projects!$C$10+Projects!$D$10),Projects!$B$10*INDEX(Curves!$B$3:$AR$3,1,AV$3-Projects!$C$10+1),0)-IF(AND(Projects!$G$10="Yes",AV$3&gt;=Projects!$C$10,AV$3&lt;Projects!$C$10+Projects!$D$10),Projects!$B$10*(Assumptions!$B$10+Assumptions!$B$11+Assumptions!$B$12)/Projects!$D$10*0.95,0)-IF(AND(Projects!$G$10="Yes",AV$3=Projects!$C$10+Projects!$D$10-1),Projects!$B$10*(Assumptions!$B$10+Assumptions!$B$11+Assumptions!$B$12)*0.05,0)</f>
        <v>0</v>
      </c>
      <c r="AW21" s="30" t="n">
        <f aca="false">IF(AND(Projects!$G$10="Yes",AW$3&gt;=Projects!$C$10,AW$3&lt;Projects!$C$10+Projects!$D$10),Projects!$B$10*INDEX(Curves!$B$3:$AR$3,1,AW$3-Projects!$C$10+1),0)-IF(AND(Projects!$G$10="Yes",AW$3&gt;=Projects!$C$10,AW$3&lt;Projects!$C$10+Projects!$D$10),Projects!$B$10*(Assumptions!$B$10+Assumptions!$B$11+Assumptions!$B$12)/Projects!$D$10*0.95,0)-IF(AND(Projects!$G$10="Yes",AW$3=Projects!$C$10+Projects!$D$10-1),Projects!$B$10*(Assumptions!$B$10+Assumptions!$B$11+Assumptions!$B$12)*0.05,0)</f>
        <v>0</v>
      </c>
      <c r="AX21" s="30" t="n">
        <f aca="false">IF(AND(Projects!$G$10="Yes",AX$3&gt;=Projects!$C$10,AX$3&lt;Projects!$C$10+Projects!$D$10),Projects!$B$10*INDEX(Curves!$B$3:$AR$3,1,AX$3-Projects!$C$10+1),0)-IF(AND(Projects!$G$10="Yes",AX$3&gt;=Projects!$C$10,AX$3&lt;Projects!$C$10+Projects!$D$10),Projects!$B$10*(Assumptions!$B$10+Assumptions!$B$11+Assumptions!$B$12)/Projects!$D$10*0.95,0)-IF(AND(Projects!$G$10="Yes",AX$3=Projects!$C$10+Projects!$D$10-1),Projects!$B$10*(Assumptions!$B$10+Assumptions!$B$11+Assumptions!$B$12)*0.05,0)</f>
        <v>0</v>
      </c>
      <c r="AY21" s="30" t="n">
        <f aca="false">IF(AND(Projects!$G$10="Yes",AY$3&gt;=Projects!$C$10,AY$3&lt;Projects!$C$10+Projects!$D$10),Projects!$B$10*INDEX(Curves!$B$3:$AR$3,1,AY$3-Projects!$C$10+1),0)-IF(AND(Projects!$G$10="Yes",AY$3&gt;=Projects!$C$10,AY$3&lt;Projects!$C$10+Projects!$D$10),Projects!$B$10*(Assumptions!$B$10+Assumptions!$B$11+Assumptions!$B$12)/Projects!$D$10*0.95,0)-IF(AND(Projects!$G$10="Yes",AY$3=Projects!$C$10+Projects!$D$10-1),Projects!$B$10*(Assumptions!$B$10+Assumptions!$B$11+Assumptions!$B$12)*0.05,0)</f>
        <v>0</v>
      </c>
      <c r="AZ21" s="30" t="n">
        <f aca="false">IF(AND(Projects!$G$10="Yes",AZ$3&gt;=Projects!$C$10,AZ$3&lt;Projects!$C$10+Projects!$D$10),Projects!$B$10*INDEX(Curves!$B$3:$AR$3,1,AZ$3-Projects!$C$10+1),0)-IF(AND(Projects!$G$10="Yes",AZ$3&gt;=Projects!$C$10,AZ$3&lt;Projects!$C$10+Projects!$D$10),Projects!$B$10*(Assumptions!$B$10+Assumptions!$B$11+Assumptions!$B$12)/Projects!$D$10*0.95,0)-IF(AND(Projects!$G$10="Yes",AZ$3=Projects!$C$10+Projects!$D$10-1),Projects!$B$10*(Assumptions!$B$10+Assumptions!$B$11+Assumptions!$B$12)*0.05,0)</f>
        <v>0</v>
      </c>
      <c r="BA21" s="30" t="n">
        <f aca="false">IF(AND(Projects!$G$10="Yes",BA$3&gt;=Projects!$C$10,BA$3&lt;Projects!$C$10+Projects!$D$10),Projects!$B$10*INDEX(Curves!$B$3:$AR$3,1,BA$3-Projects!$C$10+1),0)-IF(AND(Projects!$G$10="Yes",BA$3&gt;=Projects!$C$10,BA$3&lt;Projects!$C$10+Projects!$D$10),Projects!$B$10*(Assumptions!$B$10+Assumptions!$B$11+Assumptions!$B$12)/Projects!$D$10*0.95,0)-IF(AND(Projects!$G$10="Yes",BA$3=Projects!$C$10+Projects!$D$10-1),Projects!$B$10*(Assumptions!$B$10+Assumptions!$B$11+Assumptions!$B$12)*0.05,0)</f>
        <v>0</v>
      </c>
      <c r="BB21" s="30" t="n">
        <f aca="false">IF(AND(Projects!$G$10="Yes",BB$3&gt;=Projects!$C$10,BB$3&lt;Projects!$C$10+Projects!$D$10),Projects!$B$10*INDEX(Curves!$B$3:$AR$3,1,BB$3-Projects!$C$10+1),0)-IF(AND(Projects!$G$10="Yes",BB$3&gt;=Projects!$C$10,BB$3&lt;Projects!$C$10+Projects!$D$10),Projects!$B$10*(Assumptions!$B$10+Assumptions!$B$11+Assumptions!$B$12)/Projects!$D$10*0.95,0)-IF(AND(Projects!$G$10="Yes",BB$3=Projects!$C$10+Projects!$D$10-1),Projects!$B$10*(Assumptions!$B$10+Assumptions!$B$11+Assumptions!$B$12)*0.05,0)</f>
        <v>0</v>
      </c>
      <c r="BC21" s="30" t="n">
        <f aca="false">IF(AND(Projects!$G$10="Yes",BC$3&gt;=Projects!$C$10,BC$3&lt;Projects!$C$10+Projects!$D$10),Projects!$B$10*INDEX(Curves!$B$3:$AR$3,1,BC$3-Projects!$C$10+1),0)-IF(AND(Projects!$G$10="Yes",BC$3&gt;=Projects!$C$10,BC$3&lt;Projects!$C$10+Projects!$D$10),Projects!$B$10*(Assumptions!$B$10+Assumptions!$B$11+Assumptions!$B$12)/Projects!$D$10*0.95,0)-IF(AND(Projects!$G$10="Yes",BC$3=Projects!$C$10+Projects!$D$10-1),Projects!$B$10*(Assumptions!$B$10+Assumptions!$B$11+Assumptions!$B$12)*0.05,0)</f>
        <v>0</v>
      </c>
      <c r="BD21" s="30" t="n">
        <f aca="false">IF(AND(Projects!$G$10="Yes",BD$3&gt;=Projects!$C$10,BD$3&lt;Projects!$C$10+Projects!$D$10),Projects!$B$10*INDEX(Curves!$B$3:$AR$3,1,BD$3-Projects!$C$10+1),0)-IF(AND(Projects!$G$10="Yes",BD$3&gt;=Projects!$C$10,BD$3&lt;Projects!$C$10+Projects!$D$10),Projects!$B$10*(Assumptions!$B$10+Assumptions!$B$11+Assumptions!$B$12)/Projects!$D$10*0.95,0)-IF(AND(Projects!$G$10="Yes",BD$3=Projects!$C$10+Projects!$D$10-1),Projects!$B$10*(Assumptions!$B$10+Assumptions!$B$11+Assumptions!$B$12)*0.05,0)</f>
        <v>0</v>
      </c>
      <c r="BE21" s="30" t="n">
        <f aca="false">IF(AND(Projects!$G$10="Yes",BE$3&gt;=Projects!$C$10,BE$3&lt;Projects!$C$10+Projects!$D$10),Projects!$B$10*INDEX(Curves!$B$3:$AR$3,1,BE$3-Projects!$C$10+1),0)-IF(AND(Projects!$G$10="Yes",BE$3&gt;=Projects!$C$10,BE$3&lt;Projects!$C$10+Projects!$D$10),Projects!$B$10*(Assumptions!$B$10+Assumptions!$B$11+Assumptions!$B$12)/Projects!$D$10*0.95,0)-IF(AND(Projects!$G$10="Yes",BE$3=Projects!$C$10+Projects!$D$10-1),Projects!$B$10*(Assumptions!$B$10+Assumptions!$B$11+Assumptions!$B$12)*0.05,0)</f>
        <v>0</v>
      </c>
      <c r="BF21" s="30" t="n">
        <f aca="false">IF(AND(Projects!$G$10="Yes",BF$3&gt;=Projects!$C$10,BF$3&lt;Projects!$C$10+Projects!$D$10),Projects!$B$10*INDEX(Curves!$B$3:$AR$3,1,BF$3-Projects!$C$10+1),0)-IF(AND(Projects!$G$10="Yes",BF$3&gt;=Projects!$C$10,BF$3&lt;Projects!$C$10+Projects!$D$10),Projects!$B$10*(Assumptions!$B$10+Assumptions!$B$11+Assumptions!$B$12)/Projects!$D$10*0.95,0)-IF(AND(Projects!$G$10="Yes",BF$3=Projects!$C$10+Projects!$D$10-1),Projects!$B$10*(Assumptions!$B$10+Assumptions!$B$11+Assumptions!$B$12)*0.05,0)</f>
        <v>0</v>
      </c>
      <c r="BG21" s="30" t="n">
        <f aca="false">IF(AND(Projects!$G$10="Yes",BG$3&gt;=Projects!$C$10,BG$3&lt;Projects!$C$10+Projects!$D$10),Projects!$B$10*INDEX(Curves!$B$3:$AR$3,1,BG$3-Projects!$C$10+1),0)-IF(AND(Projects!$G$10="Yes",BG$3&gt;=Projects!$C$10,BG$3&lt;Projects!$C$10+Projects!$D$10),Projects!$B$10*(Assumptions!$B$10+Assumptions!$B$11+Assumptions!$B$12)/Projects!$D$10*0.95,0)-IF(AND(Projects!$G$10="Yes",BG$3=Projects!$C$10+Projects!$D$10-1),Projects!$B$10*(Assumptions!$B$10+Assumptions!$B$11+Assumptions!$B$12)*0.05,0)</f>
        <v>0</v>
      </c>
      <c r="BH21" s="30" t="n">
        <f aca="false">IF(AND(Projects!$G$10="Yes",BH$3&gt;=Projects!$C$10,BH$3&lt;Projects!$C$10+Projects!$D$10),Projects!$B$10*INDEX(Curves!$B$3:$AR$3,1,BH$3-Projects!$C$10+1),0)-IF(AND(Projects!$G$10="Yes",BH$3&gt;=Projects!$C$10,BH$3&lt;Projects!$C$10+Projects!$D$10),Projects!$B$10*(Assumptions!$B$10+Assumptions!$B$11+Assumptions!$B$12)/Projects!$D$10*0.95,0)-IF(AND(Projects!$G$10="Yes",BH$3=Projects!$C$10+Projects!$D$10-1),Projects!$B$10*(Assumptions!$B$10+Assumptions!$B$11+Assumptions!$B$12)*0.05,0)</f>
        <v>0</v>
      </c>
      <c r="BI21" s="30" t="n">
        <f aca="false">IF(AND(Projects!$G$10="Yes",BI$3&gt;=Projects!$C$10,BI$3&lt;Projects!$C$10+Projects!$D$10),Projects!$B$10*INDEX(Curves!$B$3:$AR$3,1,BI$3-Projects!$C$10+1),0)-IF(AND(Projects!$G$10="Yes",BI$3&gt;=Projects!$C$10,BI$3&lt;Projects!$C$10+Projects!$D$10),Projects!$B$10*(Assumptions!$B$10+Assumptions!$B$11+Assumptions!$B$12)/Projects!$D$10*0.95,0)-IF(AND(Projects!$G$10="Yes",BI$3=Projects!$C$10+Projects!$D$10-1),Projects!$B$10*(Assumptions!$B$10+Assumptions!$B$11+Assumptions!$B$12)*0.05,0)</f>
        <v>0</v>
      </c>
      <c r="BJ21" s="30" t="n">
        <f aca="false">IF(AND(Projects!$G$10="Yes",BJ$3&gt;=Projects!$C$10,BJ$3&lt;Projects!$C$10+Projects!$D$10),Projects!$B$10*INDEX(Curves!$B$3:$AR$3,1,BJ$3-Projects!$C$10+1),0)-IF(AND(Projects!$G$10="Yes",BJ$3&gt;=Projects!$C$10,BJ$3&lt;Projects!$C$10+Projects!$D$10),Projects!$B$10*(Assumptions!$B$10+Assumptions!$B$11+Assumptions!$B$12)/Projects!$D$10*0.95,0)-IF(AND(Projects!$G$10="Yes",BJ$3=Projects!$C$10+Projects!$D$10-1),Projects!$B$10*(Assumptions!$B$10+Assumptions!$B$11+Assumptions!$B$12)*0.05,0)</f>
        <v>0</v>
      </c>
      <c r="BK21" s="30" t="n">
        <f aca="false">IF(AND(Projects!$G$10="Yes",BK$3&gt;=Projects!$C$10,BK$3&lt;Projects!$C$10+Projects!$D$10),Projects!$B$10*INDEX(Curves!$B$3:$AR$3,1,BK$3-Projects!$C$10+1),0)-IF(AND(Projects!$G$10="Yes",BK$3&gt;=Projects!$C$10,BK$3&lt;Projects!$C$10+Projects!$D$10),Projects!$B$10*(Assumptions!$B$10+Assumptions!$B$11+Assumptions!$B$12)/Projects!$D$10*0.95,0)-IF(AND(Projects!$G$10="Yes",BK$3=Projects!$C$10+Projects!$D$10-1),Projects!$B$10*(Assumptions!$B$10+Assumptions!$B$11+Assumptions!$B$12)*0.05,0)</f>
        <v>0</v>
      </c>
      <c r="BL21" s="30" t="n">
        <f aca="false">IF(AND(Projects!$G$10="Yes",BL$3&gt;=Projects!$C$10,BL$3&lt;Projects!$C$10+Projects!$D$10),Projects!$B$10*INDEX(Curves!$B$3:$AR$3,1,BL$3-Projects!$C$10+1),0)-IF(AND(Projects!$G$10="Yes",BL$3&gt;=Projects!$C$10,BL$3&lt;Projects!$C$10+Projects!$D$10),Projects!$B$10*(Assumptions!$B$10+Assumptions!$B$11+Assumptions!$B$12)/Projects!$D$10*0.95,0)-IF(AND(Projects!$G$10="Yes",BL$3=Projects!$C$10+Projects!$D$10-1),Projects!$B$10*(Assumptions!$B$10+Assumptions!$B$11+Assumptions!$B$12)*0.05,0)</f>
        <v>0</v>
      </c>
      <c r="BM21" s="30" t="n">
        <f aca="false">IF(AND(Projects!$G$10="Yes",BM$3&gt;=Projects!$C$10,BM$3&lt;Projects!$C$10+Projects!$D$10),Projects!$B$10*INDEX(Curves!$B$3:$AR$3,1,BM$3-Projects!$C$10+1),0)-IF(AND(Projects!$G$10="Yes",BM$3&gt;=Projects!$C$10,BM$3&lt;Projects!$C$10+Projects!$D$10),Projects!$B$10*(Assumptions!$B$10+Assumptions!$B$11+Assumptions!$B$12)/Projects!$D$10*0.95,0)-IF(AND(Projects!$G$10="Yes",BM$3=Projects!$C$10+Projects!$D$10-1),Projects!$B$10*(Assumptions!$B$10+Assumptions!$B$11+Assumptions!$B$12)*0.05,0)</f>
        <v>0</v>
      </c>
      <c r="BN21" s="30" t="n">
        <f aca="false">IF(AND(Projects!$G$10="Yes",BN$3&gt;=Projects!$C$10,BN$3&lt;Projects!$C$10+Projects!$D$10),Projects!$B$10*INDEX(Curves!$B$3:$AR$3,1,BN$3-Projects!$C$10+1),0)-IF(AND(Projects!$G$10="Yes",BN$3&gt;=Projects!$C$10,BN$3&lt;Projects!$C$10+Projects!$D$10),Projects!$B$10*(Assumptions!$B$10+Assumptions!$B$11+Assumptions!$B$12)/Projects!$D$10*0.95,0)-IF(AND(Projects!$G$10="Yes",BN$3=Projects!$C$10+Projects!$D$10-1),Projects!$B$10*(Assumptions!$B$10+Assumptions!$B$11+Assumptions!$B$12)*0.05,0)</f>
        <v>0</v>
      </c>
      <c r="BO21" s="30" t="n">
        <f aca="false">IF(AND(Projects!$G$10="Yes",BO$3&gt;=Projects!$C$10,BO$3&lt;Projects!$C$10+Projects!$D$10),Projects!$B$10*INDEX(Curves!$B$3:$AR$3,1,BO$3-Projects!$C$10+1),0)-IF(AND(Projects!$G$10="Yes",BO$3&gt;=Projects!$C$10,BO$3&lt;Projects!$C$10+Projects!$D$10),Projects!$B$10*(Assumptions!$B$10+Assumptions!$B$11+Assumptions!$B$12)/Projects!$D$10*0.95,0)-IF(AND(Projects!$G$10="Yes",BO$3=Projects!$C$10+Projects!$D$10-1),Projects!$B$10*(Assumptions!$B$10+Assumptions!$B$11+Assumptions!$B$12)*0.05,0)</f>
        <v>0</v>
      </c>
      <c r="BP21" s="30" t="n">
        <f aca="false">IF(AND(Projects!$G$10="Yes",BP$3&gt;=Projects!$C$10,BP$3&lt;Projects!$C$10+Projects!$D$10),Projects!$B$10*INDEX(Curves!$B$3:$AR$3,1,BP$3-Projects!$C$10+1),0)-IF(AND(Projects!$G$10="Yes",BP$3&gt;=Projects!$C$10,BP$3&lt;Projects!$C$10+Projects!$D$10),Projects!$B$10*(Assumptions!$B$10+Assumptions!$B$11+Assumptions!$B$12)/Projects!$D$10*0.95,0)-IF(AND(Projects!$G$10="Yes",BP$3=Projects!$C$10+Projects!$D$10-1),Projects!$B$10*(Assumptions!$B$10+Assumptions!$B$11+Assumptions!$B$12)*0.05,0)</f>
        <v>0</v>
      </c>
      <c r="BQ21" s="30" t="n">
        <f aca="false">IF(AND(Projects!$G$10="Yes",BQ$3&gt;=Projects!$C$10,BQ$3&lt;Projects!$C$10+Projects!$D$10),Projects!$B$10*INDEX(Curves!$B$3:$AR$3,1,BQ$3-Projects!$C$10+1),0)-IF(AND(Projects!$G$10="Yes",BQ$3&gt;=Projects!$C$10,BQ$3&lt;Projects!$C$10+Projects!$D$10),Projects!$B$10*(Assumptions!$B$10+Assumptions!$B$11+Assumptions!$B$12)/Projects!$D$10*0.95,0)-IF(AND(Projects!$G$10="Yes",BQ$3=Projects!$C$10+Projects!$D$10-1),Projects!$B$10*(Assumptions!$B$10+Assumptions!$B$11+Assumptions!$B$12)*0.05,0)</f>
        <v>0</v>
      </c>
      <c r="BR21" s="30" t="n">
        <f aca="false">IF(AND(Projects!$G$10="Yes",BR$3&gt;=Projects!$C$10,BR$3&lt;Projects!$C$10+Projects!$D$10),Projects!$B$10*INDEX(Curves!$B$3:$AR$3,1,BR$3-Projects!$C$10+1),0)-IF(AND(Projects!$G$10="Yes",BR$3&gt;=Projects!$C$10,BR$3&lt;Projects!$C$10+Projects!$D$10),Projects!$B$10*(Assumptions!$B$10+Assumptions!$B$11+Assumptions!$B$12)/Projects!$D$10*0.95,0)-IF(AND(Projects!$G$10="Yes",BR$3=Projects!$C$10+Projects!$D$10-1),Projects!$B$10*(Assumptions!$B$10+Assumptions!$B$11+Assumptions!$B$12)*0.05,0)</f>
        <v>0</v>
      </c>
      <c r="BS21" s="30" t="n">
        <f aca="false">IF(AND(Projects!$G$10="Yes",BS$3&gt;=Projects!$C$10,BS$3&lt;Projects!$C$10+Projects!$D$10),Projects!$B$10*INDEX(Curves!$B$3:$AR$3,1,BS$3-Projects!$C$10+1),0)-IF(AND(Projects!$G$10="Yes",BS$3&gt;=Projects!$C$10,BS$3&lt;Projects!$C$10+Projects!$D$10),Projects!$B$10*(Assumptions!$B$10+Assumptions!$B$11+Assumptions!$B$12)/Projects!$D$10*0.95,0)-IF(AND(Projects!$G$10="Yes",BS$3=Projects!$C$10+Projects!$D$10-1),Projects!$B$10*(Assumptions!$B$10+Assumptions!$B$11+Assumptions!$B$12)*0.05,0)</f>
        <v>0</v>
      </c>
      <c r="BT21" s="30" t="n">
        <f aca="false">IF(AND(Projects!$G$10="Yes",BT$3&gt;=Projects!$C$10,BT$3&lt;Projects!$C$10+Projects!$D$10),Projects!$B$10*INDEX(Curves!$B$3:$AR$3,1,BT$3-Projects!$C$10+1),0)-IF(AND(Projects!$G$10="Yes",BT$3&gt;=Projects!$C$10,BT$3&lt;Projects!$C$10+Projects!$D$10),Projects!$B$10*(Assumptions!$B$10+Assumptions!$B$11+Assumptions!$B$12)/Projects!$D$10*0.95,0)-IF(AND(Projects!$G$10="Yes",BT$3=Projects!$C$10+Projects!$D$10-1),Projects!$B$10*(Assumptions!$B$10+Assumptions!$B$11+Assumptions!$B$12)*0.05,0)</f>
        <v>0</v>
      </c>
      <c r="BU21" s="30" t="n">
        <f aca="false">IF(AND(Projects!$G$10="Yes",BU$3&gt;=Projects!$C$10,BU$3&lt;Projects!$C$10+Projects!$D$10),Projects!$B$10*INDEX(Curves!$B$3:$AR$3,1,BU$3-Projects!$C$10+1),0)-IF(AND(Projects!$G$10="Yes",BU$3&gt;=Projects!$C$10,BU$3&lt;Projects!$C$10+Projects!$D$10),Projects!$B$10*(Assumptions!$B$10+Assumptions!$B$11+Assumptions!$B$12)/Projects!$D$10*0.95,0)-IF(AND(Projects!$G$10="Yes",BU$3=Projects!$C$10+Projects!$D$10-1),Projects!$B$10*(Assumptions!$B$10+Assumptions!$B$11+Assumptions!$B$12)*0.05,0)</f>
        <v>0</v>
      </c>
      <c r="BV21" s="30" t="n">
        <f aca="false">IF(AND(Projects!$G$10="Yes",BV$3&gt;=Projects!$C$10,BV$3&lt;Projects!$C$10+Projects!$D$10),Projects!$B$10*INDEX(Curves!$B$3:$AR$3,1,BV$3-Projects!$C$10+1),0)-IF(AND(Projects!$G$10="Yes",BV$3&gt;=Projects!$C$10,BV$3&lt;Projects!$C$10+Projects!$D$10),Projects!$B$10*(Assumptions!$B$10+Assumptions!$B$11+Assumptions!$B$12)/Projects!$D$10*0.95,0)-IF(AND(Projects!$G$10="Yes",BV$3=Projects!$C$10+Projects!$D$10-1),Projects!$B$10*(Assumptions!$B$10+Assumptions!$B$11+Assumptions!$B$12)*0.05,0)</f>
        <v>0</v>
      </c>
      <c r="BW21" s="30" t="n">
        <f aca="false">IF(AND(Projects!$G$10="Yes",BW$3&gt;=Projects!$C$10,BW$3&lt;Projects!$C$10+Projects!$D$10),Projects!$B$10*INDEX(Curves!$B$3:$AR$3,1,BW$3-Projects!$C$10+1),0)-IF(AND(Projects!$G$10="Yes",BW$3&gt;=Projects!$C$10,BW$3&lt;Projects!$C$10+Projects!$D$10),Projects!$B$10*(Assumptions!$B$10+Assumptions!$B$11+Assumptions!$B$12)/Projects!$D$10*0.95,0)-IF(AND(Projects!$G$10="Yes",BW$3=Projects!$C$10+Projects!$D$10-1),Projects!$B$10*(Assumptions!$B$10+Assumptions!$B$11+Assumptions!$B$12)*0.05,0)</f>
        <v>0</v>
      </c>
      <c r="BX21" s="30" t="n">
        <f aca="false">IF(AND(Projects!$G$10="Yes",BX$3&gt;=Projects!$C$10,BX$3&lt;Projects!$C$10+Projects!$D$10),Projects!$B$10*INDEX(Curves!$B$3:$AR$3,1,BX$3-Projects!$C$10+1),0)-IF(AND(Projects!$G$10="Yes",BX$3&gt;=Projects!$C$10,BX$3&lt;Projects!$C$10+Projects!$D$10),Projects!$B$10*(Assumptions!$B$10+Assumptions!$B$11+Assumptions!$B$12)/Projects!$D$10*0.95,0)-IF(AND(Projects!$G$10="Yes",BX$3=Projects!$C$10+Projects!$D$10-1),Projects!$B$10*(Assumptions!$B$10+Assumptions!$B$11+Assumptions!$B$12)*0.05,0)</f>
        <v>0</v>
      </c>
      <c r="BY21" s="30" t="n">
        <f aca="false">IF(AND(Projects!$G$10="Yes",BY$3&gt;=Projects!$C$10,BY$3&lt;Projects!$C$10+Projects!$D$10),Projects!$B$10*INDEX(Curves!$B$3:$AR$3,1,BY$3-Projects!$C$10+1),0)-IF(AND(Projects!$G$10="Yes",BY$3&gt;=Projects!$C$10,BY$3&lt;Projects!$C$10+Projects!$D$10),Projects!$B$10*(Assumptions!$B$10+Assumptions!$B$11+Assumptions!$B$12)/Projects!$D$10*0.95,0)-IF(AND(Projects!$G$10="Yes",BY$3=Projects!$C$10+Projects!$D$10-1),Projects!$B$10*(Assumptions!$B$10+Assumptions!$B$11+Assumptions!$B$12)*0.05,0)</f>
        <v>0</v>
      </c>
      <c r="BZ21" s="30" t="n">
        <f aca="false">IF(AND(Projects!$G$10="Yes",BZ$3&gt;=Projects!$C$10,BZ$3&lt;Projects!$C$10+Projects!$D$10),Projects!$B$10*INDEX(Curves!$B$3:$AR$3,1,BZ$3-Projects!$C$10+1),0)-IF(AND(Projects!$G$10="Yes",BZ$3&gt;=Projects!$C$10,BZ$3&lt;Projects!$C$10+Projects!$D$10),Projects!$B$10*(Assumptions!$B$10+Assumptions!$B$11+Assumptions!$B$12)/Projects!$D$10*0.95,0)-IF(AND(Projects!$G$10="Yes",BZ$3=Projects!$C$10+Projects!$D$10-1),Projects!$B$10*(Assumptions!$B$10+Assumptions!$B$11+Assumptions!$B$12)*0.05,0)</f>
        <v>0</v>
      </c>
      <c r="CA21" s="30" t="n">
        <f aca="false">IF(AND(Projects!$G$10="Yes",CA$3&gt;=Projects!$C$10,CA$3&lt;Projects!$C$10+Projects!$D$10),Projects!$B$10*INDEX(Curves!$B$3:$AR$3,1,CA$3-Projects!$C$10+1),0)-IF(AND(Projects!$G$10="Yes",CA$3&gt;=Projects!$C$10,CA$3&lt;Projects!$C$10+Projects!$D$10),Projects!$B$10*(Assumptions!$B$10+Assumptions!$B$11+Assumptions!$B$12)/Projects!$D$10*0.95,0)-IF(AND(Projects!$G$10="Yes",CA$3=Projects!$C$10+Projects!$D$10-1),Projects!$B$10*(Assumptions!$B$10+Assumptions!$B$11+Assumptions!$B$12)*0.05,0)</f>
        <v>0</v>
      </c>
      <c r="CB21" s="30" t="n">
        <f aca="false">IF(AND(Projects!$G$10="Yes",CB$3&gt;=Projects!$C$10,CB$3&lt;Projects!$C$10+Projects!$D$10),Projects!$B$10*INDEX(Curves!$B$3:$AR$3,1,CB$3-Projects!$C$10+1),0)-IF(AND(Projects!$G$10="Yes",CB$3&gt;=Projects!$C$10,CB$3&lt;Projects!$C$10+Projects!$D$10),Projects!$B$10*(Assumptions!$B$10+Assumptions!$B$11+Assumptions!$B$12)/Projects!$D$10*0.95,0)-IF(AND(Projects!$G$10="Yes",CB$3=Projects!$C$10+Projects!$D$10-1),Projects!$B$10*(Assumptions!$B$10+Assumptions!$B$11+Assumptions!$B$12)*0.05,0)</f>
        <v>0</v>
      </c>
      <c r="CC21" s="30" t="n">
        <f aca="false">IF(AND(Projects!$G$10="Yes",CC$3&gt;=Projects!$C$10,CC$3&lt;Projects!$C$10+Projects!$D$10),Projects!$B$10*INDEX(Curves!$B$3:$AR$3,1,CC$3-Projects!$C$10+1),0)-IF(AND(Projects!$G$10="Yes",CC$3&gt;=Projects!$C$10,CC$3&lt;Projects!$C$10+Projects!$D$10),Projects!$B$10*(Assumptions!$B$10+Assumptions!$B$11+Assumptions!$B$12)/Projects!$D$10*0.95,0)-IF(AND(Projects!$G$10="Yes",CC$3=Projects!$C$10+Projects!$D$10-1),Projects!$B$10*(Assumptions!$B$10+Assumptions!$B$11+Assumptions!$B$12)*0.05,0)</f>
        <v>0</v>
      </c>
      <c r="CD21" s="30" t="n">
        <f aca="false">IF(AND(Projects!$G$10="Yes",CD$3&gt;=Projects!$C$10,CD$3&lt;Projects!$C$10+Projects!$D$10),Projects!$B$10*INDEX(Curves!$B$3:$AR$3,1,CD$3-Projects!$C$10+1),0)-IF(AND(Projects!$G$10="Yes",CD$3&gt;=Projects!$C$10,CD$3&lt;Projects!$C$10+Projects!$D$10),Projects!$B$10*(Assumptions!$B$10+Assumptions!$B$11+Assumptions!$B$12)/Projects!$D$10*0.95,0)-IF(AND(Projects!$G$10="Yes",CD$3=Projects!$C$10+Projects!$D$10-1),Projects!$B$10*(Assumptions!$B$10+Assumptions!$B$11+Assumptions!$B$12)*0.05,0)</f>
        <v>0</v>
      </c>
      <c r="CE21" s="30" t="n">
        <f aca="false">IF(AND(Projects!$G$10="Yes",CE$3&gt;=Projects!$C$10,CE$3&lt;Projects!$C$10+Projects!$D$10),Projects!$B$10*INDEX(Curves!$B$3:$AR$3,1,CE$3-Projects!$C$10+1),0)-IF(AND(Projects!$G$10="Yes",CE$3&gt;=Projects!$C$10,CE$3&lt;Projects!$C$10+Projects!$D$10),Projects!$B$10*(Assumptions!$B$10+Assumptions!$B$11+Assumptions!$B$12)/Projects!$D$10*0.95,0)-IF(AND(Projects!$G$10="Yes",CE$3=Projects!$C$10+Projects!$D$10-1),Projects!$B$10*(Assumptions!$B$10+Assumptions!$B$11+Assumptions!$B$12)*0.05,0)</f>
        <v>0</v>
      </c>
      <c r="CF21" s="30" t="n">
        <f aca="false">IF(AND(Projects!$G$10="Yes",CF$3&gt;=Projects!$C$10,CF$3&lt;Projects!$C$10+Projects!$D$10),Projects!$B$10*INDEX(Curves!$B$3:$AR$3,1,CF$3-Projects!$C$10+1),0)-IF(AND(Projects!$G$10="Yes",CF$3&gt;=Projects!$C$10,CF$3&lt;Projects!$C$10+Projects!$D$10),Projects!$B$10*(Assumptions!$B$10+Assumptions!$B$11+Assumptions!$B$12)/Projects!$D$10*0.95,0)-IF(AND(Projects!$G$10="Yes",CF$3=Projects!$C$10+Projects!$D$10-1),Projects!$B$10*(Assumptions!$B$10+Assumptions!$B$11+Assumptions!$B$12)*0.05,0)</f>
        <v>0</v>
      </c>
      <c r="CG21" s="30" t="n">
        <f aca="false">IF(AND(Projects!$G$10="Yes",CG$3&gt;=Projects!$C$10,CG$3&lt;Projects!$C$10+Projects!$D$10),Projects!$B$10*INDEX(Curves!$B$3:$AR$3,1,CG$3-Projects!$C$10+1),0)-IF(AND(Projects!$G$10="Yes",CG$3&gt;=Projects!$C$10,CG$3&lt;Projects!$C$10+Projects!$D$10),Projects!$B$10*(Assumptions!$B$10+Assumptions!$B$11+Assumptions!$B$12)/Projects!$D$10*0.95,0)-IF(AND(Projects!$G$10="Yes",CG$3=Projects!$C$10+Projects!$D$10-1),Projects!$B$10*(Assumptions!$B$10+Assumptions!$B$11+Assumptions!$B$12)*0.05,0)</f>
        <v>0</v>
      </c>
      <c r="CH21" s="30" t="n">
        <f aca="false">IF(AND(Projects!$G$10="Yes",CH$3&gt;=Projects!$C$10,CH$3&lt;Projects!$C$10+Projects!$D$10),Projects!$B$10*INDEX(Curves!$B$3:$AR$3,1,CH$3-Projects!$C$10+1),0)-IF(AND(Projects!$G$10="Yes",CH$3&gt;=Projects!$C$10,CH$3&lt;Projects!$C$10+Projects!$D$10),Projects!$B$10*(Assumptions!$B$10+Assumptions!$B$11+Assumptions!$B$12)/Projects!$D$10*0.95,0)-IF(AND(Projects!$G$10="Yes",CH$3=Projects!$C$10+Projects!$D$10-1),Projects!$B$10*(Assumptions!$B$10+Assumptions!$B$11+Assumptions!$B$12)*0.05,0)</f>
        <v>0</v>
      </c>
      <c r="CI21" s="30" t="n">
        <f aca="false">IF(AND(Projects!$G$10="Yes",CI$3&gt;=Projects!$C$10,CI$3&lt;Projects!$C$10+Projects!$D$10),Projects!$B$10*INDEX(Curves!$B$3:$AR$3,1,CI$3-Projects!$C$10+1),0)-IF(AND(Projects!$G$10="Yes",CI$3&gt;=Projects!$C$10,CI$3&lt;Projects!$C$10+Projects!$D$10),Projects!$B$10*(Assumptions!$B$10+Assumptions!$B$11+Assumptions!$B$12)/Projects!$D$10*0.95,0)-IF(AND(Projects!$G$10="Yes",CI$3=Projects!$C$10+Projects!$D$10-1),Projects!$B$10*(Assumptions!$B$10+Assumptions!$B$11+Assumptions!$B$12)*0.05,0)</f>
        <v>0</v>
      </c>
      <c r="CJ21" s="30" t="n">
        <f aca="false">IF(AND(Projects!$G$10="Yes",CJ$3&gt;=Projects!$C$10,CJ$3&lt;Projects!$C$10+Projects!$D$10),Projects!$B$10*INDEX(Curves!$B$3:$AR$3,1,CJ$3-Projects!$C$10+1),0)-IF(AND(Projects!$G$10="Yes",CJ$3&gt;=Projects!$C$10,CJ$3&lt;Projects!$C$10+Projects!$D$10),Projects!$B$10*(Assumptions!$B$10+Assumptions!$B$11+Assumptions!$B$12)/Projects!$D$10*0.95,0)-IF(AND(Projects!$G$10="Yes",CJ$3=Projects!$C$10+Projects!$D$10-1),Projects!$B$10*(Assumptions!$B$10+Assumptions!$B$11+Assumptions!$B$12)*0.05,0)</f>
        <v>0</v>
      </c>
      <c r="CK21" s="30" t="n">
        <f aca="false">IF(AND(Projects!$G$10="Yes",CK$3&gt;=Projects!$C$10,CK$3&lt;Projects!$C$10+Projects!$D$10),Projects!$B$10*INDEX(Curves!$B$3:$AR$3,1,CK$3-Projects!$C$10+1),0)-IF(AND(Projects!$G$10="Yes",CK$3&gt;=Projects!$C$10,CK$3&lt;Projects!$C$10+Projects!$D$10),Projects!$B$10*(Assumptions!$B$10+Assumptions!$B$11+Assumptions!$B$12)/Projects!$D$10*0.95,0)-IF(AND(Projects!$G$10="Yes",CK$3=Projects!$C$10+Projects!$D$10-1),Projects!$B$10*(Assumptions!$B$10+Assumptions!$B$11+Assumptions!$B$12)*0.05,0)</f>
        <v>0</v>
      </c>
      <c r="CL21" s="30" t="n">
        <f aca="false">IF(AND(Projects!$G$10="Yes",CL$3&gt;=Projects!$C$10,CL$3&lt;Projects!$C$10+Projects!$D$10),Projects!$B$10*INDEX(Curves!$B$3:$AR$3,1,CL$3-Projects!$C$10+1),0)-IF(AND(Projects!$G$10="Yes",CL$3&gt;=Projects!$C$10,CL$3&lt;Projects!$C$10+Projects!$D$10),Projects!$B$10*(Assumptions!$B$10+Assumptions!$B$11+Assumptions!$B$12)/Projects!$D$10*0.95,0)-IF(AND(Projects!$G$10="Yes",CL$3=Projects!$C$10+Projects!$D$10-1),Projects!$B$10*(Assumptions!$B$10+Assumptions!$B$11+Assumptions!$B$12)*0.05,0)</f>
        <v>0</v>
      </c>
      <c r="CM21" s="30" t="n">
        <f aca="false">IF(AND(Projects!$G$10="Yes",CM$3&gt;=Projects!$C$10,CM$3&lt;Projects!$C$10+Projects!$D$10),Projects!$B$10*INDEX(Curves!$B$3:$AR$3,1,CM$3-Projects!$C$10+1),0)-IF(AND(Projects!$G$10="Yes",CM$3&gt;=Projects!$C$10,CM$3&lt;Projects!$C$10+Projects!$D$10),Projects!$B$10*(Assumptions!$B$10+Assumptions!$B$11+Assumptions!$B$12)/Projects!$D$10*0.95,0)-IF(AND(Projects!$G$10="Yes",CM$3=Projects!$C$10+Projects!$D$10-1),Projects!$B$10*(Assumptions!$B$10+Assumptions!$B$11+Assumptions!$B$12)*0.05,0)</f>
        <v>0</v>
      </c>
      <c r="CN21" s="30" t="n">
        <f aca="false">IF(AND(Projects!$G$10="Yes",CN$3&gt;=Projects!$C$10,CN$3&lt;Projects!$C$10+Projects!$D$10),Projects!$B$10*INDEX(Curves!$B$3:$AR$3,1,CN$3-Projects!$C$10+1),0)-IF(AND(Projects!$G$10="Yes",CN$3&gt;=Projects!$C$10,CN$3&lt;Projects!$C$10+Projects!$D$10),Projects!$B$10*(Assumptions!$B$10+Assumptions!$B$11+Assumptions!$B$12)/Projects!$D$10*0.95,0)-IF(AND(Projects!$G$10="Yes",CN$3=Projects!$C$10+Projects!$D$10-1),Projects!$B$10*(Assumptions!$B$10+Assumptions!$B$11+Assumptions!$B$12)*0.05,0)</f>
        <v>0</v>
      </c>
      <c r="CO21" s="30" t="n">
        <f aca="false">IF(AND(Projects!$G$10="Yes",CO$3&gt;=Projects!$C$10,CO$3&lt;Projects!$C$10+Projects!$D$10),Projects!$B$10*INDEX(Curves!$B$3:$AR$3,1,CO$3-Projects!$C$10+1),0)-IF(AND(Projects!$G$10="Yes",CO$3&gt;=Projects!$C$10,CO$3&lt;Projects!$C$10+Projects!$D$10),Projects!$B$10*(Assumptions!$B$10+Assumptions!$B$11+Assumptions!$B$12)/Projects!$D$10*0.95,0)-IF(AND(Projects!$G$10="Yes",CO$3=Projects!$C$10+Projects!$D$10-1),Projects!$B$10*(Assumptions!$B$10+Assumptions!$B$11+Assumptions!$B$12)*0.05,0)</f>
        <v>0</v>
      </c>
      <c r="CP21" s="30" t="n">
        <f aca="false">IF(AND(Projects!$G$10="Yes",CP$3&gt;=Projects!$C$10,CP$3&lt;Projects!$C$10+Projects!$D$10),Projects!$B$10*INDEX(Curves!$B$3:$AR$3,1,CP$3-Projects!$C$10+1),0)-IF(AND(Projects!$G$10="Yes",CP$3&gt;=Projects!$C$10,CP$3&lt;Projects!$C$10+Projects!$D$10),Projects!$B$10*(Assumptions!$B$10+Assumptions!$B$11+Assumptions!$B$12)/Projects!$D$10*0.95,0)-IF(AND(Projects!$G$10="Yes",CP$3=Projects!$C$10+Projects!$D$10-1),Projects!$B$10*(Assumptions!$B$10+Assumptions!$B$11+Assumptions!$B$12)*0.05,0)</f>
        <v>0</v>
      </c>
      <c r="CQ21" s="30" t="n">
        <f aca="false">IF(AND(Projects!$G$10="Yes",CQ$3&gt;=Projects!$C$10,CQ$3&lt;Projects!$C$10+Projects!$D$10),Projects!$B$10*INDEX(Curves!$B$3:$AR$3,1,CQ$3-Projects!$C$10+1),0)-IF(AND(Projects!$G$10="Yes",CQ$3&gt;=Projects!$C$10,CQ$3&lt;Projects!$C$10+Projects!$D$10),Projects!$B$10*(Assumptions!$B$10+Assumptions!$B$11+Assumptions!$B$12)/Projects!$D$10*0.95,0)-IF(AND(Projects!$G$10="Yes",CQ$3=Projects!$C$10+Projects!$D$10-1),Projects!$B$10*(Assumptions!$B$10+Assumptions!$B$11+Assumptions!$B$12)*0.05,0)</f>
        <v>0</v>
      </c>
      <c r="CR21" s="30" t="n">
        <f aca="false">IF(AND(Projects!$G$10="Yes",CR$3&gt;=Projects!$C$10,CR$3&lt;Projects!$C$10+Projects!$D$10),Projects!$B$10*INDEX(Curves!$B$3:$AR$3,1,CR$3-Projects!$C$10+1),0)-IF(AND(Projects!$G$10="Yes",CR$3&gt;=Projects!$C$10,CR$3&lt;Projects!$C$10+Projects!$D$10),Projects!$B$10*(Assumptions!$B$10+Assumptions!$B$11+Assumptions!$B$12)/Projects!$D$10*0.95,0)-IF(AND(Projects!$G$10="Yes",CR$3=Projects!$C$10+Projects!$D$10-1),Projects!$B$10*(Assumptions!$B$10+Assumptions!$B$11+Assumptions!$B$12)*0.05,0)</f>
        <v>0</v>
      </c>
      <c r="CS21" s="30" t="n">
        <f aca="false">IF(AND(Projects!$G$10="Yes",CS$3&gt;=Projects!$C$10,CS$3&lt;Projects!$C$10+Projects!$D$10),Projects!$B$10*INDEX(Curves!$B$3:$AR$3,1,CS$3-Projects!$C$10+1),0)-IF(AND(Projects!$G$10="Yes",CS$3&gt;=Projects!$C$10,CS$3&lt;Projects!$C$10+Projects!$D$10),Projects!$B$10*(Assumptions!$B$10+Assumptions!$B$11+Assumptions!$B$12)/Projects!$D$10*0.95,0)-IF(AND(Projects!$G$10="Yes",CS$3=Projects!$C$10+Projects!$D$10-1),Projects!$B$10*(Assumptions!$B$10+Assumptions!$B$11+Assumptions!$B$12)*0.05,0)</f>
        <v>0</v>
      </c>
      <c r="CT21" s="30" t="n">
        <f aca="false">IF(AND(Projects!$G$10="Yes",CT$3&gt;=Projects!$C$10,CT$3&lt;Projects!$C$10+Projects!$D$10),Projects!$B$10*INDEX(Curves!$B$3:$AR$3,1,CT$3-Projects!$C$10+1),0)-IF(AND(Projects!$G$10="Yes",CT$3&gt;=Projects!$C$10,CT$3&lt;Projects!$C$10+Projects!$D$10),Projects!$B$10*(Assumptions!$B$10+Assumptions!$B$11+Assumptions!$B$12)/Projects!$D$10*0.95,0)-IF(AND(Projects!$G$10="Yes",CT$3=Projects!$C$10+Projects!$D$10-1),Projects!$B$10*(Assumptions!$B$10+Assumptions!$B$11+Assumptions!$B$12)*0.05,0)</f>
        <v>0</v>
      </c>
      <c r="CU21" s="30" t="n">
        <f aca="false">IF(AND(Projects!$G$10="Yes",CU$3&gt;=Projects!$C$10,CU$3&lt;Projects!$C$10+Projects!$D$10),Projects!$B$10*INDEX(Curves!$B$3:$AR$3,1,CU$3-Projects!$C$10+1),0)-IF(AND(Projects!$G$10="Yes",CU$3&gt;=Projects!$C$10,CU$3&lt;Projects!$C$10+Projects!$D$10),Projects!$B$10*(Assumptions!$B$10+Assumptions!$B$11+Assumptions!$B$12)/Projects!$D$10*0.95,0)-IF(AND(Projects!$G$10="Yes",CU$3=Projects!$C$10+Projects!$D$10-1),Projects!$B$10*(Assumptions!$B$10+Assumptions!$B$11+Assumptions!$B$12)*0.05,0)</f>
        <v>0</v>
      </c>
      <c r="CV21" s="30" t="n">
        <f aca="false">IF(AND(Projects!$G$10="Yes",CV$3&gt;=Projects!$C$10,CV$3&lt;Projects!$C$10+Projects!$D$10),Projects!$B$10*INDEX(Curves!$B$3:$AR$3,1,CV$3-Projects!$C$10+1),0)-IF(AND(Projects!$G$10="Yes",CV$3&gt;=Projects!$C$10,CV$3&lt;Projects!$C$10+Projects!$D$10),Projects!$B$10*(Assumptions!$B$10+Assumptions!$B$11+Assumptions!$B$12)/Projects!$D$10*0.95,0)-IF(AND(Projects!$G$10="Yes",CV$3=Projects!$C$10+Projects!$D$10-1),Projects!$B$10*(Assumptions!$B$10+Assumptions!$B$11+Assumptions!$B$12)*0.05,0)</f>
        <v>0</v>
      </c>
      <c r="CW21" s="30" t="n">
        <f aca="false">IF(AND(Projects!$G$10="Yes",CW$3&gt;=Projects!$C$10,CW$3&lt;Projects!$C$10+Projects!$D$10),Projects!$B$10*INDEX(Curves!$B$3:$AR$3,1,CW$3-Projects!$C$10+1),0)-IF(AND(Projects!$G$10="Yes",CW$3&gt;=Projects!$C$10,CW$3&lt;Projects!$C$10+Projects!$D$10),Projects!$B$10*(Assumptions!$B$10+Assumptions!$B$11+Assumptions!$B$12)/Projects!$D$10*0.95,0)-IF(AND(Projects!$G$10="Yes",CW$3=Projects!$C$10+Projects!$D$10-1),Projects!$B$10*(Assumptions!$B$10+Assumptions!$B$11+Assumptions!$B$12)*0.05,0)</f>
        <v>0</v>
      </c>
      <c r="CX21" s="30" t="n">
        <f aca="false">IF(AND(Projects!$G$10="Yes",CX$3&gt;=Projects!$C$10,CX$3&lt;Projects!$C$10+Projects!$D$10),Projects!$B$10*INDEX(Curves!$B$3:$AR$3,1,CX$3-Projects!$C$10+1),0)-IF(AND(Projects!$G$10="Yes",CX$3&gt;=Projects!$C$10,CX$3&lt;Projects!$C$10+Projects!$D$10),Projects!$B$10*(Assumptions!$B$10+Assumptions!$B$11+Assumptions!$B$12)/Projects!$D$10*0.95,0)-IF(AND(Projects!$G$10="Yes",CX$3=Projects!$C$10+Projects!$D$10-1),Projects!$B$10*(Assumptions!$B$10+Assumptions!$B$11+Assumptions!$B$12)*0.05,0)</f>
        <v>0</v>
      </c>
      <c r="CY21" s="30" t="n">
        <f aca="false">IF(AND(Projects!$G$10="Yes",CY$3&gt;=Projects!$C$10,CY$3&lt;Projects!$C$10+Projects!$D$10),Projects!$B$10*INDEX(Curves!$B$3:$AR$3,1,CY$3-Projects!$C$10+1),0)-IF(AND(Projects!$G$10="Yes",CY$3&gt;=Projects!$C$10,CY$3&lt;Projects!$C$10+Projects!$D$10),Projects!$B$10*(Assumptions!$B$10+Assumptions!$B$11+Assumptions!$B$12)/Projects!$D$10*0.95,0)-IF(AND(Projects!$G$10="Yes",CY$3=Projects!$C$10+Projects!$D$10-1),Projects!$B$10*(Assumptions!$B$10+Assumptions!$B$11+Assumptions!$B$12)*0.05,0)</f>
        <v>0</v>
      </c>
      <c r="CZ21" s="30" t="n">
        <f aca="false">IF(AND(Projects!$G$10="Yes",CZ$3&gt;=Projects!$C$10,CZ$3&lt;Projects!$C$10+Projects!$D$10),Projects!$B$10*INDEX(Curves!$B$3:$AR$3,1,CZ$3-Projects!$C$10+1),0)-IF(AND(Projects!$G$10="Yes",CZ$3&gt;=Projects!$C$10,CZ$3&lt;Projects!$C$10+Projects!$D$10),Projects!$B$10*(Assumptions!$B$10+Assumptions!$B$11+Assumptions!$B$12)/Projects!$D$10*0.95,0)-IF(AND(Projects!$G$10="Yes",CZ$3=Projects!$C$10+Projects!$D$10-1),Projects!$B$10*(Assumptions!$B$10+Assumptions!$B$11+Assumptions!$B$12)*0.05,0)</f>
        <v>0</v>
      </c>
      <c r="DA21" s="30" t="n">
        <f aca="false">IF(AND(Projects!$G$10="Yes",DA$3&gt;=Projects!$C$10,DA$3&lt;Projects!$C$10+Projects!$D$10),Projects!$B$10*INDEX(Curves!$B$3:$AR$3,1,DA$3-Projects!$C$10+1),0)-IF(AND(Projects!$G$10="Yes",DA$3&gt;=Projects!$C$10,DA$3&lt;Projects!$C$10+Projects!$D$10),Projects!$B$10*(Assumptions!$B$10+Assumptions!$B$11+Assumptions!$B$12)/Projects!$D$10*0.95,0)-IF(AND(Projects!$G$10="Yes",DA$3=Projects!$C$10+Projects!$D$10-1),Projects!$B$10*(Assumptions!$B$10+Assumptions!$B$11+Assumptions!$B$12)*0.05,0)</f>
        <v>0</v>
      </c>
      <c r="DB21" s="30" t="n">
        <f aca="false">IF(AND(Projects!$G$10="Yes",DB$3&gt;=Projects!$C$10,DB$3&lt;Projects!$C$10+Projects!$D$10),Projects!$B$10*INDEX(Curves!$B$3:$AR$3,1,DB$3-Projects!$C$10+1),0)-IF(AND(Projects!$G$10="Yes",DB$3&gt;=Projects!$C$10,DB$3&lt;Projects!$C$10+Projects!$D$10),Projects!$B$10*(Assumptions!$B$10+Assumptions!$B$11+Assumptions!$B$12)/Projects!$D$10*0.95,0)-IF(AND(Projects!$G$10="Yes",DB$3=Projects!$C$10+Projects!$D$10-1),Projects!$B$10*(Assumptions!$B$10+Assumptions!$B$11+Assumptions!$B$12)*0.05,0)</f>
        <v>0</v>
      </c>
      <c r="DC21" s="30" t="n">
        <f aca="false">IF(AND(Projects!$G$10="Yes",DC$3&gt;=Projects!$C$10,DC$3&lt;Projects!$C$10+Projects!$D$10),Projects!$B$10*INDEX(Curves!$B$3:$AR$3,1,DC$3-Projects!$C$10+1),0)-IF(AND(Projects!$G$10="Yes",DC$3&gt;=Projects!$C$10,DC$3&lt;Projects!$C$10+Projects!$D$10),Projects!$B$10*(Assumptions!$B$10+Assumptions!$B$11+Assumptions!$B$12)/Projects!$D$10*0.95,0)-IF(AND(Projects!$G$10="Yes",DC$3=Projects!$C$10+Projects!$D$10-1),Projects!$B$10*(Assumptions!$B$10+Assumptions!$B$11+Assumptions!$B$12)*0.05,0)</f>
        <v>0</v>
      </c>
      <c r="DD21" s="30" t="n">
        <f aca="false">IF(AND(Projects!$G$10="Yes",DD$3&gt;=Projects!$C$10,DD$3&lt;Projects!$C$10+Projects!$D$10),Projects!$B$10*INDEX(Curves!$B$3:$AR$3,1,DD$3-Projects!$C$10+1),0)-IF(AND(Projects!$G$10="Yes",DD$3&gt;=Projects!$C$10,DD$3&lt;Projects!$C$10+Projects!$D$10),Projects!$B$10*(Assumptions!$B$10+Assumptions!$B$11+Assumptions!$B$12)/Projects!$D$10*0.95,0)-IF(AND(Projects!$G$10="Yes",DD$3=Projects!$C$10+Projects!$D$10-1),Projects!$B$10*(Assumptions!$B$10+Assumptions!$B$11+Assumptions!$B$12)*0.05,0)</f>
        <v>0</v>
      </c>
      <c r="DE21" s="30" t="n">
        <f aca="false">IF(AND(Projects!$G$10="Yes",DE$3&gt;=Projects!$C$10,DE$3&lt;Projects!$C$10+Projects!$D$10),Projects!$B$10*INDEX(Curves!$B$3:$AR$3,1,DE$3-Projects!$C$10+1),0)-IF(AND(Projects!$G$10="Yes",DE$3&gt;=Projects!$C$10,DE$3&lt;Projects!$C$10+Projects!$D$10),Projects!$B$10*(Assumptions!$B$10+Assumptions!$B$11+Assumptions!$B$12)/Projects!$D$10*0.95,0)-IF(AND(Projects!$G$10="Yes",DE$3=Projects!$C$10+Projects!$D$10-1),Projects!$B$10*(Assumptions!$B$10+Assumptions!$B$11+Assumptions!$B$12)*0.05,0)</f>
        <v>0</v>
      </c>
    </row>
    <row r="22" customFormat="false" ht="15" hidden="true" customHeight="true" outlineLevel="1" collapsed="false">
      <c r="A22" s="32" t="s">
        <v>16</v>
      </c>
      <c r="B22" s="30" t="n">
        <v>0</v>
      </c>
      <c r="C22" s="30" t="n">
        <v>0</v>
      </c>
      <c r="D22" s="30" t="n">
        <v>0</v>
      </c>
      <c r="E22" s="30" t="n">
        <v>0</v>
      </c>
      <c r="F22" s="30" t="n">
        <f aca="false">IF(AND(Projects!$G$11="Yes",F$3&gt;=Projects!$C$11,F$3&lt;Projects!$C$11+Projects!$D$11),Projects!$B$11*INDEX(Curves!$B$4:$AR$4,1,F$3-Projects!$C$11+1),0)-IF(AND(Projects!$G$11="Yes",F$3&gt;=Projects!$C$11,F$3&lt;Projects!$C$11+Projects!$D$11),Projects!$B$11*(Assumptions!$B$10+Assumptions!$B$11+Assumptions!$B$12)/Projects!$D$11*0.95,0)-IF(AND(Projects!$G$11="Yes",F$3=Projects!$C$11+Projects!$D$11-1),Projects!$B$11*(Assumptions!$B$10+Assumptions!$B$11+Assumptions!$B$12)*0.05,0)</f>
        <v>0</v>
      </c>
      <c r="G22" s="30" t="n">
        <f aca="false">IF(AND(Projects!$G$11="Yes",G$3&gt;=Projects!$C$11,G$3&lt;Projects!$C$11+Projects!$D$11),Projects!$B$11*INDEX(Curves!$B$4:$AR$4,1,G$3-Projects!$C$11+1),0)-IF(AND(Projects!$G$11="Yes",G$3&gt;=Projects!$C$11,G$3&lt;Projects!$C$11+Projects!$D$11),Projects!$B$11*(Assumptions!$B$10+Assumptions!$B$11+Assumptions!$B$12)/Projects!$D$11*0.95,0)-IF(AND(Projects!$G$11="Yes",G$3=Projects!$C$11+Projects!$D$11-1),Projects!$B$11*(Assumptions!$B$10+Assumptions!$B$11+Assumptions!$B$12)*0.05,0)</f>
        <v>0</v>
      </c>
      <c r="H22" s="30" t="n">
        <f aca="false">IF(AND(Projects!$G$11="Yes",H$3&gt;=Projects!$C$11,H$3&lt;Projects!$C$11+Projects!$D$11),Projects!$B$11*INDEX(Curves!$B$4:$AR$4,1,H$3-Projects!$C$11+1),0)-IF(AND(Projects!$G$11="Yes",H$3&gt;=Projects!$C$11,H$3&lt;Projects!$C$11+Projects!$D$11),Projects!$B$11*(Assumptions!$B$10+Assumptions!$B$11+Assumptions!$B$12)/Projects!$D$11*0.95,0)-IF(AND(Projects!$G$11="Yes",H$3=Projects!$C$11+Projects!$D$11-1),Projects!$B$11*(Assumptions!$B$10+Assumptions!$B$11+Assumptions!$B$12)*0.05,0)</f>
        <v>0</v>
      </c>
      <c r="I22" s="30" t="n">
        <f aca="false">IF(AND(Projects!$G$11="Yes",I$3&gt;=Projects!$C$11,I$3&lt;Projects!$C$11+Projects!$D$11),Projects!$B$11*INDEX(Curves!$B$4:$AR$4,1,I$3-Projects!$C$11+1),0)-IF(AND(Projects!$G$11="Yes",I$3&gt;=Projects!$C$11,I$3&lt;Projects!$C$11+Projects!$D$11),Projects!$B$11*(Assumptions!$B$10+Assumptions!$B$11+Assumptions!$B$12)/Projects!$D$11*0.95,0)-IF(AND(Projects!$G$11="Yes",I$3=Projects!$C$11+Projects!$D$11-1),Projects!$B$11*(Assumptions!$B$10+Assumptions!$B$11+Assumptions!$B$12)*0.05,0)</f>
        <v>0</v>
      </c>
      <c r="J22" s="30" t="n">
        <f aca="false">IF(AND(Projects!$G$11="Yes",J$3&gt;=Projects!$C$11,J$3&lt;Projects!$C$11+Projects!$D$11),Projects!$B$11*INDEX(Curves!$B$4:$AR$4,1,J$3-Projects!$C$11+1),0)-IF(AND(Projects!$G$11="Yes",J$3&gt;=Projects!$C$11,J$3&lt;Projects!$C$11+Projects!$D$11),Projects!$B$11*(Assumptions!$B$10+Assumptions!$B$11+Assumptions!$B$12)/Projects!$D$11*0.95,0)-IF(AND(Projects!$G$11="Yes",J$3=Projects!$C$11+Projects!$D$11-1),Projects!$B$11*(Assumptions!$B$10+Assumptions!$B$11+Assumptions!$B$12)*0.05,0)</f>
        <v>0</v>
      </c>
      <c r="K22" s="30" t="n">
        <f aca="false">IF(AND(Projects!$G$11="Yes",K$3&gt;=Projects!$C$11,K$3&lt;Projects!$C$11+Projects!$D$11),Projects!$B$11*INDEX(Curves!$B$4:$AR$4,1,K$3-Projects!$C$11+1),0)-IF(AND(Projects!$G$11="Yes",K$3&gt;=Projects!$C$11,K$3&lt;Projects!$C$11+Projects!$D$11),Projects!$B$11*(Assumptions!$B$10+Assumptions!$B$11+Assumptions!$B$12)/Projects!$D$11*0.95,0)-IF(AND(Projects!$G$11="Yes",K$3=Projects!$C$11+Projects!$D$11-1),Projects!$B$11*(Assumptions!$B$10+Assumptions!$B$11+Assumptions!$B$12)*0.05,0)</f>
        <v>196306.31287205</v>
      </c>
      <c r="L22" s="30" t="n">
        <f aca="false">IF(AND(Projects!$G$11="Yes",L$3&gt;=Projects!$C$11,L$3&lt;Projects!$C$11+Projects!$D$11),Projects!$B$11*INDEX(Curves!$B$4:$AR$4,1,L$3-Projects!$C$11+1),0)-IF(AND(Projects!$G$11="Yes",L$3&gt;=Projects!$C$11,L$3&lt;Projects!$C$11+Projects!$D$11),Projects!$B$11*(Assumptions!$B$10+Assumptions!$B$11+Assumptions!$B$12)/Projects!$D$11*0.95,0)-IF(AND(Projects!$G$11="Yes",L$3=Projects!$C$11+Projects!$D$11-1),Projects!$B$11*(Assumptions!$B$10+Assumptions!$B$11+Assumptions!$B$12)*0.05,0)</f>
        <v>256105.78146805</v>
      </c>
      <c r="M22" s="30" t="n">
        <f aca="false">IF(AND(Projects!$G$11="Yes",M$3&gt;=Projects!$C$11,M$3&lt;Projects!$C$11+Projects!$D$11),Projects!$B$11*INDEX(Curves!$B$4:$AR$4,1,M$3-Projects!$C$11+1),0)-IF(AND(Projects!$G$11="Yes",M$3&gt;=Projects!$C$11,M$3&lt;Projects!$C$11+Projects!$D$11),Projects!$B$11*(Assumptions!$B$10+Assumptions!$B$11+Assumptions!$B$12)/Projects!$D$11*0.95,0)-IF(AND(Projects!$G$11="Yes",M$3=Projects!$C$11+Projects!$D$11-1),Projects!$B$11*(Assumptions!$B$10+Assumptions!$B$11+Assumptions!$B$12)*0.05,0)</f>
        <v>320473.53105705</v>
      </c>
      <c r="N22" s="30" t="n">
        <f aca="false">IF(AND(Projects!$G$11="Yes",N$3&gt;=Projects!$C$11,N$3&lt;Projects!$C$11+Projects!$D$11),Projects!$B$11*INDEX(Curves!$B$4:$AR$4,1,N$3-Projects!$C$11+1),0)-IF(AND(Projects!$G$11="Yes",N$3&gt;=Projects!$C$11,N$3&lt;Projects!$C$11+Projects!$D$11),Projects!$B$11*(Assumptions!$B$10+Assumptions!$B$11+Assumptions!$B$12)/Projects!$D$11*0.95,0)-IF(AND(Projects!$G$11="Yes",N$3=Projects!$C$11+Projects!$D$11-1),Projects!$B$11*(Assumptions!$B$10+Assumptions!$B$11+Assumptions!$B$12)*0.05,0)</f>
        <v>386842.89642705</v>
      </c>
      <c r="O22" s="30" t="n">
        <f aca="false">IF(AND(Projects!$G$11="Yes",O$3&gt;=Projects!$C$11,O$3&lt;Projects!$C$11+Projects!$D$11),Projects!$B$11*INDEX(Curves!$B$4:$AR$4,1,O$3-Projects!$C$11+1),0)-IF(AND(Projects!$G$11="Yes",O$3&gt;=Projects!$C$11,O$3&lt;Projects!$C$11+Projects!$D$11),Projects!$B$11*(Assumptions!$B$10+Assumptions!$B$11+Assumptions!$B$12)/Projects!$D$11*0.95,0)-IF(AND(Projects!$G$11="Yes",O$3=Projects!$C$11+Projects!$D$11-1),Projects!$B$11*(Assumptions!$B$10+Assumptions!$B$11+Assumptions!$B$12)*0.05,0)</f>
        <v>452024.70028105</v>
      </c>
      <c r="P22" s="30" t="n">
        <f aca="false">IF(AND(Projects!$G$11="Yes",P$3&gt;=Projects!$C$11,P$3&lt;Projects!$C$11+Projects!$D$11),Projects!$B$11*INDEX(Curves!$B$4:$AR$4,1,P$3-Projects!$C$11+1),0)-IF(AND(Projects!$G$11="Yes",P$3&gt;=Projects!$C$11,P$3&lt;Projects!$C$11+Projects!$D$11),Projects!$B$11*(Assumptions!$B$10+Assumptions!$B$11+Assumptions!$B$12)/Projects!$D$11*0.95,0)-IF(AND(Projects!$G$11="Yes",P$3=Projects!$C$11+Projects!$D$11-1),Projects!$B$11*(Assumptions!$B$10+Assumptions!$B$11+Assumptions!$B$12)*0.05,0)</f>
        <v>512398.79541705</v>
      </c>
      <c r="Q22" s="30" t="n">
        <f aca="false">IF(AND(Projects!$G$11="Yes",Q$3&gt;=Projects!$C$11,Q$3&lt;Projects!$C$11+Projects!$D$11),Projects!$B$11*INDEX(Curves!$B$4:$AR$4,1,Q$3-Projects!$C$11+1),0)-IF(AND(Projects!$G$11="Yes",Q$3&gt;=Projects!$C$11,Q$3&lt;Projects!$C$11+Projects!$D$11),Projects!$B$11*(Assumptions!$B$10+Assumptions!$B$11+Assumptions!$B$12)/Projects!$D$11*0.95,0)-IF(AND(Projects!$G$11="Yes",Q$3=Projects!$C$11+Projects!$D$11-1),Projects!$B$11*(Assumptions!$B$10+Assumptions!$B$11+Assumptions!$B$12)*0.05,0)</f>
        <v>564258.84065205</v>
      </c>
      <c r="R22" s="30" t="n">
        <f aca="false">IF(AND(Projects!$G$11="Yes",R$3&gt;=Projects!$C$11,R$3&lt;Projects!$C$11+Projects!$D$11),Projects!$B$11*INDEX(Curves!$B$4:$AR$4,1,R$3-Projects!$C$11+1),0)-IF(AND(Projects!$G$11="Yes",R$3&gt;=Projects!$C$11,R$3&lt;Projects!$C$11+Projects!$D$11),Projects!$B$11*(Assumptions!$B$10+Assumptions!$B$11+Assumptions!$B$12)/Projects!$D$11*0.95,0)-IF(AND(Projects!$G$11="Yes",R$3=Projects!$C$11+Projects!$D$11-1),Projects!$B$11*(Assumptions!$B$10+Assumptions!$B$11+Assumptions!$B$12)*0.05,0)</f>
        <v>604166.65385505</v>
      </c>
      <c r="S22" s="30" t="n">
        <f aca="false">IF(AND(Projects!$G$11="Yes",S$3&gt;=Projects!$C$11,S$3&lt;Projects!$C$11+Projects!$D$11),Projects!$B$11*INDEX(Curves!$B$4:$AR$4,1,S$3-Projects!$C$11+1),0)-IF(AND(Projects!$G$11="Yes",S$3&gt;=Projects!$C$11,S$3&lt;Projects!$C$11+Projects!$D$11),Projects!$B$11*(Assumptions!$B$10+Assumptions!$B$11+Assumptions!$B$12)/Projects!$D$11*0.95,0)-IF(AND(Projects!$G$11="Yes",S$3=Projects!$C$11+Projects!$D$11-1),Projects!$B$11*(Assumptions!$B$10+Assumptions!$B$11+Assumptions!$B$12)*0.05,0)</f>
        <v>629335.29630705</v>
      </c>
      <c r="T22" s="30" t="n">
        <f aca="false">IF(AND(Projects!$G$11="Yes",T$3&gt;=Projects!$C$11,T$3&lt;Projects!$C$11+Projects!$D$11),Projects!$B$11*INDEX(Curves!$B$4:$AR$4,1,T$3-Projects!$C$11+1),0)-IF(AND(Projects!$G$11="Yes",T$3&gt;=Projects!$C$11,T$3&lt;Projects!$C$11+Projects!$D$11),Projects!$B$11*(Assumptions!$B$10+Assumptions!$B$11+Assumptions!$B$12)/Projects!$D$11*0.95,0)-IF(AND(Projects!$G$11="Yes",T$3=Projects!$C$11+Projects!$D$11-1),Projects!$B$11*(Assumptions!$B$10+Assumptions!$B$11+Assumptions!$B$12)*0.05,0)</f>
        <v>637935.54018905</v>
      </c>
      <c r="U22" s="30" t="n">
        <f aca="false">IF(AND(Projects!$G$11="Yes",U$3&gt;=Projects!$C$11,U$3&lt;Projects!$C$11+Projects!$D$11),Projects!$B$11*INDEX(Curves!$B$4:$AR$4,1,U$3-Projects!$C$11+1),0)-IF(AND(Projects!$G$11="Yes",U$3&gt;=Projects!$C$11,U$3&lt;Projects!$C$11+Projects!$D$11),Projects!$B$11*(Assumptions!$B$10+Assumptions!$B$11+Assumptions!$B$12)/Projects!$D$11*0.95,0)-IF(AND(Projects!$G$11="Yes",U$3=Projects!$C$11+Projects!$D$11-1),Projects!$B$11*(Assumptions!$B$10+Assumptions!$B$11+Assumptions!$B$12)*0.05,0)</f>
        <v>629335.29630705</v>
      </c>
      <c r="V22" s="30" t="n">
        <f aca="false">IF(AND(Projects!$G$11="Yes",V$3&gt;=Projects!$C$11,V$3&lt;Projects!$C$11+Projects!$D$11),Projects!$B$11*INDEX(Curves!$B$4:$AR$4,1,V$3-Projects!$C$11+1),0)-IF(AND(Projects!$G$11="Yes",V$3&gt;=Projects!$C$11,V$3&lt;Projects!$C$11+Projects!$D$11),Projects!$B$11*(Assumptions!$B$10+Assumptions!$B$11+Assumptions!$B$12)/Projects!$D$11*0.95,0)-IF(AND(Projects!$G$11="Yes",V$3=Projects!$C$11+Projects!$D$11-1),Projects!$B$11*(Assumptions!$B$10+Assumptions!$B$11+Assumptions!$B$12)*0.05,0)</f>
        <v>604166.65385505</v>
      </c>
      <c r="W22" s="30" t="n">
        <f aca="false">IF(AND(Projects!$G$11="Yes",W$3&gt;=Projects!$C$11,W$3&lt;Projects!$C$11+Projects!$D$11),Projects!$B$11*INDEX(Curves!$B$4:$AR$4,1,W$3-Projects!$C$11+1),0)-IF(AND(Projects!$G$11="Yes",W$3&gt;=Projects!$C$11,W$3&lt;Projects!$C$11+Projects!$D$11),Projects!$B$11*(Assumptions!$B$10+Assumptions!$B$11+Assumptions!$B$12)/Projects!$D$11*0.95,0)-IF(AND(Projects!$G$11="Yes",W$3=Projects!$C$11+Projects!$D$11-1),Projects!$B$11*(Assumptions!$B$10+Assumptions!$B$11+Assumptions!$B$12)*0.05,0)</f>
        <v>564258.84065205</v>
      </c>
      <c r="X22" s="30" t="n">
        <f aca="false">IF(AND(Projects!$G$11="Yes",X$3&gt;=Projects!$C$11,X$3&lt;Projects!$C$11+Projects!$D$11),Projects!$B$11*INDEX(Curves!$B$4:$AR$4,1,X$3-Projects!$C$11+1),0)-IF(AND(Projects!$G$11="Yes",X$3&gt;=Projects!$C$11,X$3&lt;Projects!$C$11+Projects!$D$11),Projects!$B$11*(Assumptions!$B$10+Assumptions!$B$11+Assumptions!$B$12)/Projects!$D$11*0.95,0)-IF(AND(Projects!$G$11="Yes",X$3=Projects!$C$11+Projects!$D$11-1),Projects!$B$11*(Assumptions!$B$10+Assumptions!$B$11+Assumptions!$B$12)*0.05,0)</f>
        <v>512398.79541705</v>
      </c>
      <c r="Y22" s="30" t="n">
        <f aca="false">IF(AND(Projects!$G$11="Yes",Y$3&gt;=Projects!$C$11,Y$3&lt;Projects!$C$11+Projects!$D$11),Projects!$B$11*INDEX(Curves!$B$4:$AR$4,1,Y$3-Projects!$C$11+1),0)-IF(AND(Projects!$G$11="Yes",Y$3&gt;=Projects!$C$11,Y$3&lt;Projects!$C$11+Projects!$D$11),Projects!$B$11*(Assumptions!$B$10+Assumptions!$B$11+Assumptions!$B$12)/Projects!$D$11*0.95,0)-IF(AND(Projects!$G$11="Yes",Y$3=Projects!$C$11+Projects!$D$11-1),Projects!$B$11*(Assumptions!$B$10+Assumptions!$B$11+Assumptions!$B$12)*0.05,0)</f>
        <v>452024.70028105</v>
      </c>
      <c r="Z22" s="30" t="n">
        <f aca="false">IF(AND(Projects!$G$11="Yes",Z$3&gt;=Projects!$C$11,Z$3&lt;Projects!$C$11+Projects!$D$11),Projects!$B$11*INDEX(Curves!$B$4:$AR$4,1,Z$3-Projects!$C$11+1),0)-IF(AND(Projects!$G$11="Yes",Z$3&gt;=Projects!$C$11,Z$3&lt;Projects!$C$11+Projects!$D$11),Projects!$B$11*(Assumptions!$B$10+Assumptions!$B$11+Assumptions!$B$12)/Projects!$D$11*0.95,0)-IF(AND(Projects!$G$11="Yes",Z$3=Projects!$C$11+Projects!$D$11-1),Projects!$B$11*(Assumptions!$B$10+Assumptions!$B$11+Assumptions!$B$12)*0.05,0)</f>
        <v>386842.89642705</v>
      </c>
      <c r="AA22" s="30" t="n">
        <f aca="false">IF(AND(Projects!$G$11="Yes",AA$3&gt;=Projects!$C$11,AA$3&lt;Projects!$C$11+Projects!$D$11),Projects!$B$11*INDEX(Curves!$B$4:$AR$4,1,AA$3-Projects!$C$11+1),0)-IF(AND(Projects!$G$11="Yes",AA$3&gt;=Projects!$C$11,AA$3&lt;Projects!$C$11+Projects!$D$11),Projects!$B$11*(Assumptions!$B$10+Assumptions!$B$11+Assumptions!$B$12)/Projects!$D$11*0.95,0)-IF(AND(Projects!$G$11="Yes",AA$3=Projects!$C$11+Projects!$D$11-1),Projects!$B$11*(Assumptions!$B$10+Assumptions!$B$11+Assumptions!$B$12)*0.05,0)</f>
        <v>320473.53105705</v>
      </c>
      <c r="AB22" s="30" t="n">
        <f aca="false">IF(AND(Projects!$G$11="Yes",AB$3&gt;=Projects!$C$11,AB$3&lt;Projects!$C$11+Projects!$D$11),Projects!$B$11*INDEX(Curves!$B$4:$AR$4,1,AB$3-Projects!$C$11+1),0)-IF(AND(Projects!$G$11="Yes",AB$3&gt;=Projects!$C$11,AB$3&lt;Projects!$C$11+Projects!$D$11),Projects!$B$11*(Assumptions!$B$10+Assumptions!$B$11+Assumptions!$B$12)/Projects!$D$11*0.95,0)-IF(AND(Projects!$G$11="Yes",AB$3=Projects!$C$11+Projects!$D$11-1),Projects!$B$11*(Assumptions!$B$10+Assumptions!$B$11+Assumptions!$B$12)*0.05,0)</f>
        <v>256105.78146805</v>
      </c>
      <c r="AC22" s="30" t="n">
        <f aca="false">IF(AND(Projects!$G$11="Yes",AC$3&gt;=Projects!$C$11,AC$3&lt;Projects!$C$11+Projects!$D$11),Projects!$B$11*INDEX(Curves!$B$4:$AR$4,1,AC$3-Projects!$C$11+1),0)-IF(AND(Projects!$G$11="Yes",AC$3&gt;=Projects!$C$11,AC$3&lt;Projects!$C$11+Projects!$D$11),Projects!$B$11*(Assumptions!$B$10+Assumptions!$B$11+Assumptions!$B$12)/Projects!$D$11*0.95,0)-IF(AND(Projects!$G$11="Yes",AC$3=Projects!$C$11+Projects!$D$11-1),Projects!$B$11*(Assumptions!$B$10+Assumptions!$B$11+Assumptions!$B$12)*0.05,0)</f>
        <v>138656.4263911</v>
      </c>
      <c r="AD22" s="30" t="n">
        <f aca="false">IF(AND(Projects!$G$11="Yes",AD$3&gt;=Projects!$C$11,AD$3&lt;Projects!$C$11+Projects!$D$11),Projects!$B$11*INDEX(Curves!$B$4:$AR$4,1,AD$3-Projects!$C$11+1),0)-IF(AND(Projects!$G$11="Yes",AD$3&gt;=Projects!$C$11,AD$3&lt;Projects!$C$11+Projects!$D$11),Projects!$B$11*(Assumptions!$B$10+Assumptions!$B$11+Assumptions!$B$12)/Projects!$D$11*0.95,0)-IF(AND(Projects!$G$11="Yes",AD$3=Projects!$C$11+Projects!$D$11-1),Projects!$B$11*(Assumptions!$B$10+Assumptions!$B$11+Assumptions!$B$12)*0.05,0)</f>
        <v>0</v>
      </c>
      <c r="AE22" s="30" t="n">
        <f aca="false">IF(AND(Projects!$G$11="Yes",AE$3&gt;=Projects!$C$11,AE$3&lt;Projects!$C$11+Projects!$D$11),Projects!$B$11*INDEX(Curves!$B$4:$AR$4,1,AE$3-Projects!$C$11+1),0)-IF(AND(Projects!$G$11="Yes",AE$3&gt;=Projects!$C$11,AE$3&lt;Projects!$C$11+Projects!$D$11),Projects!$B$11*(Assumptions!$B$10+Assumptions!$B$11+Assumptions!$B$12)/Projects!$D$11*0.95,0)-IF(AND(Projects!$G$11="Yes",AE$3=Projects!$C$11+Projects!$D$11-1),Projects!$B$11*(Assumptions!$B$10+Assumptions!$B$11+Assumptions!$B$12)*0.05,0)</f>
        <v>0</v>
      </c>
      <c r="AF22" s="30" t="n">
        <f aca="false">IF(AND(Projects!$G$11="Yes",AF$3&gt;=Projects!$C$11,AF$3&lt;Projects!$C$11+Projects!$D$11),Projects!$B$11*INDEX(Curves!$B$4:$AR$4,1,AF$3-Projects!$C$11+1),0)-IF(AND(Projects!$G$11="Yes",AF$3&gt;=Projects!$C$11,AF$3&lt;Projects!$C$11+Projects!$D$11),Projects!$B$11*(Assumptions!$B$10+Assumptions!$B$11+Assumptions!$B$12)/Projects!$D$11*0.95,0)-IF(AND(Projects!$G$11="Yes",AF$3=Projects!$C$11+Projects!$D$11-1),Projects!$B$11*(Assumptions!$B$10+Assumptions!$B$11+Assumptions!$B$12)*0.05,0)</f>
        <v>0</v>
      </c>
      <c r="AG22" s="30" t="n">
        <f aca="false">IF(AND(Projects!$G$11="Yes",AG$3&gt;=Projects!$C$11,AG$3&lt;Projects!$C$11+Projects!$D$11),Projects!$B$11*INDEX(Curves!$B$4:$AR$4,1,AG$3-Projects!$C$11+1),0)-IF(AND(Projects!$G$11="Yes",AG$3&gt;=Projects!$C$11,AG$3&lt;Projects!$C$11+Projects!$D$11),Projects!$B$11*(Assumptions!$B$10+Assumptions!$B$11+Assumptions!$B$12)/Projects!$D$11*0.95,0)-IF(AND(Projects!$G$11="Yes",AG$3=Projects!$C$11+Projects!$D$11-1),Projects!$B$11*(Assumptions!$B$10+Assumptions!$B$11+Assumptions!$B$12)*0.05,0)</f>
        <v>0</v>
      </c>
      <c r="AH22" s="30" t="n">
        <f aca="false">IF(AND(Projects!$G$11="Yes",AH$3&gt;=Projects!$C$11,AH$3&lt;Projects!$C$11+Projects!$D$11),Projects!$B$11*INDEX(Curves!$B$4:$AR$4,1,AH$3-Projects!$C$11+1),0)-IF(AND(Projects!$G$11="Yes",AH$3&gt;=Projects!$C$11,AH$3&lt;Projects!$C$11+Projects!$D$11),Projects!$B$11*(Assumptions!$B$10+Assumptions!$B$11+Assumptions!$B$12)/Projects!$D$11*0.95,0)-IF(AND(Projects!$G$11="Yes",AH$3=Projects!$C$11+Projects!$D$11-1),Projects!$B$11*(Assumptions!$B$10+Assumptions!$B$11+Assumptions!$B$12)*0.05,0)</f>
        <v>0</v>
      </c>
      <c r="AI22" s="30" t="n">
        <f aca="false">IF(AND(Projects!$G$11="Yes",AI$3&gt;=Projects!$C$11,AI$3&lt;Projects!$C$11+Projects!$D$11),Projects!$B$11*INDEX(Curves!$B$4:$AR$4,1,AI$3-Projects!$C$11+1),0)-IF(AND(Projects!$G$11="Yes",AI$3&gt;=Projects!$C$11,AI$3&lt;Projects!$C$11+Projects!$D$11),Projects!$B$11*(Assumptions!$B$10+Assumptions!$B$11+Assumptions!$B$12)/Projects!$D$11*0.95,0)-IF(AND(Projects!$G$11="Yes",AI$3=Projects!$C$11+Projects!$D$11-1),Projects!$B$11*(Assumptions!$B$10+Assumptions!$B$11+Assumptions!$B$12)*0.05,0)</f>
        <v>0</v>
      </c>
      <c r="AJ22" s="30" t="n">
        <f aca="false">IF(AND(Projects!$G$11="Yes",AJ$3&gt;=Projects!$C$11,AJ$3&lt;Projects!$C$11+Projects!$D$11),Projects!$B$11*INDEX(Curves!$B$4:$AR$4,1,AJ$3-Projects!$C$11+1),0)-IF(AND(Projects!$G$11="Yes",AJ$3&gt;=Projects!$C$11,AJ$3&lt;Projects!$C$11+Projects!$D$11),Projects!$B$11*(Assumptions!$B$10+Assumptions!$B$11+Assumptions!$B$12)/Projects!$D$11*0.95,0)-IF(AND(Projects!$G$11="Yes",AJ$3=Projects!$C$11+Projects!$D$11-1),Projects!$B$11*(Assumptions!$B$10+Assumptions!$B$11+Assumptions!$B$12)*0.05,0)</f>
        <v>0</v>
      </c>
      <c r="AK22" s="30" t="n">
        <f aca="false">IF(AND(Projects!$G$11="Yes",AK$3&gt;=Projects!$C$11,AK$3&lt;Projects!$C$11+Projects!$D$11),Projects!$B$11*INDEX(Curves!$B$4:$AR$4,1,AK$3-Projects!$C$11+1),0)-IF(AND(Projects!$G$11="Yes",AK$3&gt;=Projects!$C$11,AK$3&lt;Projects!$C$11+Projects!$D$11),Projects!$B$11*(Assumptions!$B$10+Assumptions!$B$11+Assumptions!$B$12)/Projects!$D$11*0.95,0)-IF(AND(Projects!$G$11="Yes",AK$3=Projects!$C$11+Projects!$D$11-1),Projects!$B$11*(Assumptions!$B$10+Assumptions!$B$11+Assumptions!$B$12)*0.05,0)</f>
        <v>0</v>
      </c>
      <c r="AL22" s="30" t="n">
        <f aca="false">IF(AND(Projects!$G$11="Yes",AL$3&gt;=Projects!$C$11,AL$3&lt;Projects!$C$11+Projects!$D$11),Projects!$B$11*INDEX(Curves!$B$4:$AR$4,1,AL$3-Projects!$C$11+1),0)-IF(AND(Projects!$G$11="Yes",AL$3&gt;=Projects!$C$11,AL$3&lt;Projects!$C$11+Projects!$D$11),Projects!$B$11*(Assumptions!$B$10+Assumptions!$B$11+Assumptions!$B$12)/Projects!$D$11*0.95,0)-IF(AND(Projects!$G$11="Yes",AL$3=Projects!$C$11+Projects!$D$11-1),Projects!$B$11*(Assumptions!$B$10+Assumptions!$B$11+Assumptions!$B$12)*0.05,0)</f>
        <v>0</v>
      </c>
      <c r="AM22" s="30" t="n">
        <f aca="false">IF(AND(Projects!$G$11="Yes",AM$3&gt;=Projects!$C$11,AM$3&lt;Projects!$C$11+Projects!$D$11),Projects!$B$11*INDEX(Curves!$B$4:$AR$4,1,AM$3-Projects!$C$11+1),0)-IF(AND(Projects!$G$11="Yes",AM$3&gt;=Projects!$C$11,AM$3&lt;Projects!$C$11+Projects!$D$11),Projects!$B$11*(Assumptions!$B$10+Assumptions!$B$11+Assumptions!$B$12)/Projects!$D$11*0.95,0)-IF(AND(Projects!$G$11="Yes",AM$3=Projects!$C$11+Projects!$D$11-1),Projects!$B$11*(Assumptions!$B$10+Assumptions!$B$11+Assumptions!$B$12)*0.05,0)</f>
        <v>0</v>
      </c>
      <c r="AN22" s="30" t="n">
        <f aca="false">IF(AND(Projects!$G$11="Yes",AN$3&gt;=Projects!$C$11,AN$3&lt;Projects!$C$11+Projects!$D$11),Projects!$B$11*INDEX(Curves!$B$4:$AR$4,1,AN$3-Projects!$C$11+1),0)-IF(AND(Projects!$G$11="Yes",AN$3&gt;=Projects!$C$11,AN$3&lt;Projects!$C$11+Projects!$D$11),Projects!$B$11*(Assumptions!$B$10+Assumptions!$B$11+Assumptions!$B$12)/Projects!$D$11*0.95,0)-IF(AND(Projects!$G$11="Yes",AN$3=Projects!$C$11+Projects!$D$11-1),Projects!$B$11*(Assumptions!$B$10+Assumptions!$B$11+Assumptions!$B$12)*0.05,0)</f>
        <v>0</v>
      </c>
      <c r="AO22" s="30" t="n">
        <f aca="false">IF(AND(Projects!$G$11="Yes",AO$3&gt;=Projects!$C$11,AO$3&lt;Projects!$C$11+Projects!$D$11),Projects!$B$11*INDEX(Curves!$B$4:$AR$4,1,AO$3-Projects!$C$11+1),0)-IF(AND(Projects!$G$11="Yes",AO$3&gt;=Projects!$C$11,AO$3&lt;Projects!$C$11+Projects!$D$11),Projects!$B$11*(Assumptions!$B$10+Assumptions!$B$11+Assumptions!$B$12)/Projects!$D$11*0.95,0)-IF(AND(Projects!$G$11="Yes",AO$3=Projects!$C$11+Projects!$D$11-1),Projects!$B$11*(Assumptions!$B$10+Assumptions!$B$11+Assumptions!$B$12)*0.05,0)</f>
        <v>0</v>
      </c>
      <c r="AP22" s="30" t="n">
        <f aca="false">IF(AND(Projects!$G$11="Yes",AP$3&gt;=Projects!$C$11,AP$3&lt;Projects!$C$11+Projects!$D$11),Projects!$B$11*INDEX(Curves!$B$4:$AR$4,1,AP$3-Projects!$C$11+1),0)-IF(AND(Projects!$G$11="Yes",AP$3&gt;=Projects!$C$11,AP$3&lt;Projects!$C$11+Projects!$D$11),Projects!$B$11*(Assumptions!$B$10+Assumptions!$B$11+Assumptions!$B$12)/Projects!$D$11*0.95,0)-IF(AND(Projects!$G$11="Yes",AP$3=Projects!$C$11+Projects!$D$11-1),Projects!$B$11*(Assumptions!$B$10+Assumptions!$B$11+Assumptions!$B$12)*0.05,0)</f>
        <v>0</v>
      </c>
      <c r="AQ22" s="30" t="n">
        <f aca="false">IF(AND(Projects!$G$11="Yes",AQ$3&gt;=Projects!$C$11,AQ$3&lt;Projects!$C$11+Projects!$D$11),Projects!$B$11*INDEX(Curves!$B$4:$AR$4,1,AQ$3-Projects!$C$11+1),0)-IF(AND(Projects!$G$11="Yes",AQ$3&gt;=Projects!$C$11,AQ$3&lt;Projects!$C$11+Projects!$D$11),Projects!$B$11*(Assumptions!$B$10+Assumptions!$B$11+Assumptions!$B$12)/Projects!$D$11*0.95,0)-IF(AND(Projects!$G$11="Yes",AQ$3=Projects!$C$11+Projects!$D$11-1),Projects!$B$11*(Assumptions!$B$10+Assumptions!$B$11+Assumptions!$B$12)*0.05,0)</f>
        <v>0</v>
      </c>
      <c r="AR22" s="30" t="n">
        <f aca="false">IF(AND(Projects!$G$11="Yes",AR$3&gt;=Projects!$C$11,AR$3&lt;Projects!$C$11+Projects!$D$11),Projects!$B$11*INDEX(Curves!$B$4:$AR$4,1,AR$3-Projects!$C$11+1),0)-IF(AND(Projects!$G$11="Yes",AR$3&gt;=Projects!$C$11,AR$3&lt;Projects!$C$11+Projects!$D$11),Projects!$B$11*(Assumptions!$B$10+Assumptions!$B$11+Assumptions!$B$12)/Projects!$D$11*0.95,0)-IF(AND(Projects!$G$11="Yes",AR$3=Projects!$C$11+Projects!$D$11-1),Projects!$B$11*(Assumptions!$B$10+Assumptions!$B$11+Assumptions!$B$12)*0.05,0)</f>
        <v>0</v>
      </c>
      <c r="AS22" s="30" t="n">
        <f aca="false">IF(AND(Projects!$G$11="Yes",AS$3&gt;=Projects!$C$11,AS$3&lt;Projects!$C$11+Projects!$D$11),Projects!$B$11*INDEX(Curves!$B$4:$AR$4,1,AS$3-Projects!$C$11+1),0)-IF(AND(Projects!$G$11="Yes",AS$3&gt;=Projects!$C$11,AS$3&lt;Projects!$C$11+Projects!$D$11),Projects!$B$11*(Assumptions!$B$10+Assumptions!$B$11+Assumptions!$B$12)/Projects!$D$11*0.95,0)-IF(AND(Projects!$G$11="Yes",AS$3=Projects!$C$11+Projects!$D$11-1),Projects!$B$11*(Assumptions!$B$10+Assumptions!$B$11+Assumptions!$B$12)*0.05,0)</f>
        <v>0</v>
      </c>
      <c r="AT22" s="30" t="n">
        <f aca="false">IF(AND(Projects!$G$11="Yes",AT$3&gt;=Projects!$C$11,AT$3&lt;Projects!$C$11+Projects!$D$11),Projects!$B$11*INDEX(Curves!$B$4:$AR$4,1,AT$3-Projects!$C$11+1),0)-IF(AND(Projects!$G$11="Yes",AT$3&gt;=Projects!$C$11,AT$3&lt;Projects!$C$11+Projects!$D$11),Projects!$B$11*(Assumptions!$B$10+Assumptions!$B$11+Assumptions!$B$12)/Projects!$D$11*0.95,0)-IF(AND(Projects!$G$11="Yes",AT$3=Projects!$C$11+Projects!$D$11-1),Projects!$B$11*(Assumptions!$B$10+Assumptions!$B$11+Assumptions!$B$12)*0.05,0)</f>
        <v>0</v>
      </c>
      <c r="AU22" s="30" t="n">
        <f aca="false">IF(AND(Projects!$G$11="Yes",AU$3&gt;=Projects!$C$11,AU$3&lt;Projects!$C$11+Projects!$D$11),Projects!$B$11*INDEX(Curves!$B$4:$AR$4,1,AU$3-Projects!$C$11+1),0)-IF(AND(Projects!$G$11="Yes",AU$3&gt;=Projects!$C$11,AU$3&lt;Projects!$C$11+Projects!$D$11),Projects!$B$11*(Assumptions!$B$10+Assumptions!$B$11+Assumptions!$B$12)/Projects!$D$11*0.95,0)-IF(AND(Projects!$G$11="Yes",AU$3=Projects!$C$11+Projects!$D$11-1),Projects!$B$11*(Assumptions!$B$10+Assumptions!$B$11+Assumptions!$B$12)*0.05,0)</f>
        <v>0</v>
      </c>
      <c r="AV22" s="30" t="n">
        <f aca="false">IF(AND(Projects!$G$11="Yes",AV$3&gt;=Projects!$C$11,AV$3&lt;Projects!$C$11+Projects!$D$11),Projects!$B$11*INDEX(Curves!$B$4:$AR$4,1,AV$3-Projects!$C$11+1),0)-IF(AND(Projects!$G$11="Yes",AV$3&gt;=Projects!$C$11,AV$3&lt;Projects!$C$11+Projects!$D$11),Projects!$B$11*(Assumptions!$B$10+Assumptions!$B$11+Assumptions!$B$12)/Projects!$D$11*0.95,0)-IF(AND(Projects!$G$11="Yes",AV$3=Projects!$C$11+Projects!$D$11-1),Projects!$B$11*(Assumptions!$B$10+Assumptions!$B$11+Assumptions!$B$12)*0.05,0)</f>
        <v>0</v>
      </c>
      <c r="AW22" s="30" t="n">
        <f aca="false">IF(AND(Projects!$G$11="Yes",AW$3&gt;=Projects!$C$11,AW$3&lt;Projects!$C$11+Projects!$D$11),Projects!$B$11*INDEX(Curves!$B$4:$AR$4,1,AW$3-Projects!$C$11+1),0)-IF(AND(Projects!$G$11="Yes",AW$3&gt;=Projects!$C$11,AW$3&lt;Projects!$C$11+Projects!$D$11),Projects!$B$11*(Assumptions!$B$10+Assumptions!$B$11+Assumptions!$B$12)/Projects!$D$11*0.95,0)-IF(AND(Projects!$G$11="Yes",AW$3=Projects!$C$11+Projects!$D$11-1),Projects!$B$11*(Assumptions!$B$10+Assumptions!$B$11+Assumptions!$B$12)*0.05,0)</f>
        <v>0</v>
      </c>
      <c r="AX22" s="30" t="n">
        <f aca="false">IF(AND(Projects!$G$11="Yes",AX$3&gt;=Projects!$C$11,AX$3&lt;Projects!$C$11+Projects!$D$11),Projects!$B$11*INDEX(Curves!$B$4:$AR$4,1,AX$3-Projects!$C$11+1),0)-IF(AND(Projects!$G$11="Yes",AX$3&gt;=Projects!$C$11,AX$3&lt;Projects!$C$11+Projects!$D$11),Projects!$B$11*(Assumptions!$B$10+Assumptions!$B$11+Assumptions!$B$12)/Projects!$D$11*0.95,0)-IF(AND(Projects!$G$11="Yes",AX$3=Projects!$C$11+Projects!$D$11-1),Projects!$B$11*(Assumptions!$B$10+Assumptions!$B$11+Assumptions!$B$12)*0.05,0)</f>
        <v>0</v>
      </c>
      <c r="AY22" s="30" t="n">
        <f aca="false">IF(AND(Projects!$G$11="Yes",AY$3&gt;=Projects!$C$11,AY$3&lt;Projects!$C$11+Projects!$D$11),Projects!$B$11*INDEX(Curves!$B$4:$AR$4,1,AY$3-Projects!$C$11+1),0)-IF(AND(Projects!$G$11="Yes",AY$3&gt;=Projects!$C$11,AY$3&lt;Projects!$C$11+Projects!$D$11),Projects!$B$11*(Assumptions!$B$10+Assumptions!$B$11+Assumptions!$B$12)/Projects!$D$11*0.95,0)-IF(AND(Projects!$G$11="Yes",AY$3=Projects!$C$11+Projects!$D$11-1),Projects!$B$11*(Assumptions!$B$10+Assumptions!$B$11+Assumptions!$B$12)*0.05,0)</f>
        <v>0</v>
      </c>
      <c r="AZ22" s="30" t="n">
        <f aca="false">IF(AND(Projects!$G$11="Yes",AZ$3&gt;=Projects!$C$11,AZ$3&lt;Projects!$C$11+Projects!$D$11),Projects!$B$11*INDEX(Curves!$B$4:$AR$4,1,AZ$3-Projects!$C$11+1),0)-IF(AND(Projects!$G$11="Yes",AZ$3&gt;=Projects!$C$11,AZ$3&lt;Projects!$C$11+Projects!$D$11),Projects!$B$11*(Assumptions!$B$10+Assumptions!$B$11+Assumptions!$B$12)/Projects!$D$11*0.95,0)-IF(AND(Projects!$G$11="Yes",AZ$3=Projects!$C$11+Projects!$D$11-1),Projects!$B$11*(Assumptions!$B$10+Assumptions!$B$11+Assumptions!$B$12)*0.05,0)</f>
        <v>0</v>
      </c>
      <c r="BA22" s="30" t="n">
        <f aca="false">IF(AND(Projects!$G$11="Yes",BA$3&gt;=Projects!$C$11,BA$3&lt;Projects!$C$11+Projects!$D$11),Projects!$B$11*INDEX(Curves!$B$4:$AR$4,1,BA$3-Projects!$C$11+1),0)-IF(AND(Projects!$G$11="Yes",BA$3&gt;=Projects!$C$11,BA$3&lt;Projects!$C$11+Projects!$D$11),Projects!$B$11*(Assumptions!$B$10+Assumptions!$B$11+Assumptions!$B$12)/Projects!$D$11*0.95,0)-IF(AND(Projects!$G$11="Yes",BA$3=Projects!$C$11+Projects!$D$11-1),Projects!$B$11*(Assumptions!$B$10+Assumptions!$B$11+Assumptions!$B$12)*0.05,0)</f>
        <v>0</v>
      </c>
      <c r="BB22" s="30" t="n">
        <f aca="false">IF(AND(Projects!$G$11="Yes",BB$3&gt;=Projects!$C$11,BB$3&lt;Projects!$C$11+Projects!$D$11),Projects!$B$11*INDEX(Curves!$B$4:$AR$4,1,BB$3-Projects!$C$11+1),0)-IF(AND(Projects!$G$11="Yes",BB$3&gt;=Projects!$C$11,BB$3&lt;Projects!$C$11+Projects!$D$11),Projects!$B$11*(Assumptions!$B$10+Assumptions!$B$11+Assumptions!$B$12)/Projects!$D$11*0.95,0)-IF(AND(Projects!$G$11="Yes",BB$3=Projects!$C$11+Projects!$D$11-1),Projects!$B$11*(Assumptions!$B$10+Assumptions!$B$11+Assumptions!$B$12)*0.05,0)</f>
        <v>0</v>
      </c>
      <c r="BC22" s="30" t="n">
        <f aca="false">IF(AND(Projects!$G$11="Yes",BC$3&gt;=Projects!$C$11,BC$3&lt;Projects!$C$11+Projects!$D$11),Projects!$B$11*INDEX(Curves!$B$4:$AR$4,1,BC$3-Projects!$C$11+1),0)-IF(AND(Projects!$G$11="Yes",BC$3&gt;=Projects!$C$11,BC$3&lt;Projects!$C$11+Projects!$D$11),Projects!$B$11*(Assumptions!$B$10+Assumptions!$B$11+Assumptions!$B$12)/Projects!$D$11*0.95,0)-IF(AND(Projects!$G$11="Yes",BC$3=Projects!$C$11+Projects!$D$11-1),Projects!$B$11*(Assumptions!$B$10+Assumptions!$B$11+Assumptions!$B$12)*0.05,0)</f>
        <v>0</v>
      </c>
      <c r="BD22" s="30" t="n">
        <f aca="false">IF(AND(Projects!$G$11="Yes",BD$3&gt;=Projects!$C$11,BD$3&lt;Projects!$C$11+Projects!$D$11),Projects!$B$11*INDEX(Curves!$B$4:$AR$4,1,BD$3-Projects!$C$11+1),0)-IF(AND(Projects!$G$11="Yes",BD$3&gt;=Projects!$C$11,BD$3&lt;Projects!$C$11+Projects!$D$11),Projects!$B$11*(Assumptions!$B$10+Assumptions!$B$11+Assumptions!$B$12)/Projects!$D$11*0.95,0)-IF(AND(Projects!$G$11="Yes",BD$3=Projects!$C$11+Projects!$D$11-1),Projects!$B$11*(Assumptions!$B$10+Assumptions!$B$11+Assumptions!$B$12)*0.05,0)</f>
        <v>0</v>
      </c>
      <c r="BE22" s="30" t="n">
        <f aca="false">IF(AND(Projects!$G$11="Yes",BE$3&gt;=Projects!$C$11,BE$3&lt;Projects!$C$11+Projects!$D$11),Projects!$B$11*INDEX(Curves!$B$4:$AR$4,1,BE$3-Projects!$C$11+1),0)-IF(AND(Projects!$G$11="Yes",BE$3&gt;=Projects!$C$11,BE$3&lt;Projects!$C$11+Projects!$D$11),Projects!$B$11*(Assumptions!$B$10+Assumptions!$B$11+Assumptions!$B$12)/Projects!$D$11*0.95,0)-IF(AND(Projects!$G$11="Yes",BE$3=Projects!$C$11+Projects!$D$11-1),Projects!$B$11*(Assumptions!$B$10+Assumptions!$B$11+Assumptions!$B$12)*0.05,0)</f>
        <v>0</v>
      </c>
      <c r="BF22" s="30" t="n">
        <f aca="false">IF(AND(Projects!$G$11="Yes",BF$3&gt;=Projects!$C$11,BF$3&lt;Projects!$C$11+Projects!$D$11),Projects!$B$11*INDEX(Curves!$B$4:$AR$4,1,BF$3-Projects!$C$11+1),0)-IF(AND(Projects!$G$11="Yes",BF$3&gt;=Projects!$C$11,BF$3&lt;Projects!$C$11+Projects!$D$11),Projects!$B$11*(Assumptions!$B$10+Assumptions!$B$11+Assumptions!$B$12)/Projects!$D$11*0.95,0)-IF(AND(Projects!$G$11="Yes",BF$3=Projects!$C$11+Projects!$D$11-1),Projects!$B$11*(Assumptions!$B$10+Assumptions!$B$11+Assumptions!$B$12)*0.05,0)</f>
        <v>0</v>
      </c>
      <c r="BG22" s="30" t="n">
        <f aca="false">IF(AND(Projects!$G$11="Yes",BG$3&gt;=Projects!$C$11,BG$3&lt;Projects!$C$11+Projects!$D$11),Projects!$B$11*INDEX(Curves!$B$4:$AR$4,1,BG$3-Projects!$C$11+1),0)-IF(AND(Projects!$G$11="Yes",BG$3&gt;=Projects!$C$11,BG$3&lt;Projects!$C$11+Projects!$D$11),Projects!$B$11*(Assumptions!$B$10+Assumptions!$B$11+Assumptions!$B$12)/Projects!$D$11*0.95,0)-IF(AND(Projects!$G$11="Yes",BG$3=Projects!$C$11+Projects!$D$11-1),Projects!$B$11*(Assumptions!$B$10+Assumptions!$B$11+Assumptions!$B$12)*0.05,0)</f>
        <v>0</v>
      </c>
      <c r="BH22" s="30" t="n">
        <f aca="false">IF(AND(Projects!$G$11="Yes",BH$3&gt;=Projects!$C$11,BH$3&lt;Projects!$C$11+Projects!$D$11),Projects!$B$11*INDEX(Curves!$B$4:$AR$4,1,BH$3-Projects!$C$11+1),0)-IF(AND(Projects!$G$11="Yes",BH$3&gt;=Projects!$C$11,BH$3&lt;Projects!$C$11+Projects!$D$11),Projects!$B$11*(Assumptions!$B$10+Assumptions!$B$11+Assumptions!$B$12)/Projects!$D$11*0.95,0)-IF(AND(Projects!$G$11="Yes",BH$3=Projects!$C$11+Projects!$D$11-1),Projects!$B$11*(Assumptions!$B$10+Assumptions!$B$11+Assumptions!$B$12)*0.05,0)</f>
        <v>0</v>
      </c>
      <c r="BI22" s="30" t="n">
        <f aca="false">IF(AND(Projects!$G$11="Yes",BI$3&gt;=Projects!$C$11,BI$3&lt;Projects!$C$11+Projects!$D$11),Projects!$B$11*INDEX(Curves!$B$4:$AR$4,1,BI$3-Projects!$C$11+1),0)-IF(AND(Projects!$G$11="Yes",BI$3&gt;=Projects!$C$11,BI$3&lt;Projects!$C$11+Projects!$D$11),Projects!$B$11*(Assumptions!$B$10+Assumptions!$B$11+Assumptions!$B$12)/Projects!$D$11*0.95,0)-IF(AND(Projects!$G$11="Yes",BI$3=Projects!$C$11+Projects!$D$11-1),Projects!$B$11*(Assumptions!$B$10+Assumptions!$B$11+Assumptions!$B$12)*0.05,0)</f>
        <v>0</v>
      </c>
      <c r="BJ22" s="30" t="n">
        <f aca="false">IF(AND(Projects!$G$11="Yes",BJ$3&gt;=Projects!$C$11,BJ$3&lt;Projects!$C$11+Projects!$D$11),Projects!$B$11*INDEX(Curves!$B$4:$AR$4,1,BJ$3-Projects!$C$11+1),0)-IF(AND(Projects!$G$11="Yes",BJ$3&gt;=Projects!$C$11,BJ$3&lt;Projects!$C$11+Projects!$D$11),Projects!$B$11*(Assumptions!$B$10+Assumptions!$B$11+Assumptions!$B$12)/Projects!$D$11*0.95,0)-IF(AND(Projects!$G$11="Yes",BJ$3=Projects!$C$11+Projects!$D$11-1),Projects!$B$11*(Assumptions!$B$10+Assumptions!$B$11+Assumptions!$B$12)*0.05,0)</f>
        <v>0</v>
      </c>
      <c r="BK22" s="30" t="n">
        <f aca="false">IF(AND(Projects!$G$11="Yes",BK$3&gt;=Projects!$C$11,BK$3&lt;Projects!$C$11+Projects!$D$11),Projects!$B$11*INDEX(Curves!$B$4:$AR$4,1,BK$3-Projects!$C$11+1),0)-IF(AND(Projects!$G$11="Yes",BK$3&gt;=Projects!$C$11,BK$3&lt;Projects!$C$11+Projects!$D$11),Projects!$B$11*(Assumptions!$B$10+Assumptions!$B$11+Assumptions!$B$12)/Projects!$D$11*0.95,0)-IF(AND(Projects!$G$11="Yes",BK$3=Projects!$C$11+Projects!$D$11-1),Projects!$B$11*(Assumptions!$B$10+Assumptions!$B$11+Assumptions!$B$12)*0.05,0)</f>
        <v>0</v>
      </c>
      <c r="BL22" s="30" t="n">
        <f aca="false">IF(AND(Projects!$G$11="Yes",BL$3&gt;=Projects!$C$11,BL$3&lt;Projects!$C$11+Projects!$D$11),Projects!$B$11*INDEX(Curves!$B$4:$AR$4,1,BL$3-Projects!$C$11+1),0)-IF(AND(Projects!$G$11="Yes",BL$3&gt;=Projects!$C$11,BL$3&lt;Projects!$C$11+Projects!$D$11),Projects!$B$11*(Assumptions!$B$10+Assumptions!$B$11+Assumptions!$B$12)/Projects!$D$11*0.95,0)-IF(AND(Projects!$G$11="Yes",BL$3=Projects!$C$11+Projects!$D$11-1),Projects!$B$11*(Assumptions!$B$10+Assumptions!$B$11+Assumptions!$B$12)*0.05,0)</f>
        <v>0</v>
      </c>
      <c r="BM22" s="30" t="n">
        <f aca="false">IF(AND(Projects!$G$11="Yes",BM$3&gt;=Projects!$C$11,BM$3&lt;Projects!$C$11+Projects!$D$11),Projects!$B$11*INDEX(Curves!$B$4:$AR$4,1,BM$3-Projects!$C$11+1),0)-IF(AND(Projects!$G$11="Yes",BM$3&gt;=Projects!$C$11,BM$3&lt;Projects!$C$11+Projects!$D$11),Projects!$B$11*(Assumptions!$B$10+Assumptions!$B$11+Assumptions!$B$12)/Projects!$D$11*0.95,0)-IF(AND(Projects!$G$11="Yes",BM$3=Projects!$C$11+Projects!$D$11-1),Projects!$B$11*(Assumptions!$B$10+Assumptions!$B$11+Assumptions!$B$12)*0.05,0)</f>
        <v>0</v>
      </c>
      <c r="BN22" s="30" t="n">
        <f aca="false">IF(AND(Projects!$G$11="Yes",BN$3&gt;=Projects!$C$11,BN$3&lt;Projects!$C$11+Projects!$D$11),Projects!$B$11*INDEX(Curves!$B$4:$AR$4,1,BN$3-Projects!$C$11+1),0)-IF(AND(Projects!$G$11="Yes",BN$3&gt;=Projects!$C$11,BN$3&lt;Projects!$C$11+Projects!$D$11),Projects!$B$11*(Assumptions!$B$10+Assumptions!$B$11+Assumptions!$B$12)/Projects!$D$11*0.95,0)-IF(AND(Projects!$G$11="Yes",BN$3=Projects!$C$11+Projects!$D$11-1),Projects!$B$11*(Assumptions!$B$10+Assumptions!$B$11+Assumptions!$B$12)*0.05,0)</f>
        <v>0</v>
      </c>
      <c r="BO22" s="30" t="n">
        <f aca="false">IF(AND(Projects!$G$11="Yes",BO$3&gt;=Projects!$C$11,BO$3&lt;Projects!$C$11+Projects!$D$11),Projects!$B$11*INDEX(Curves!$B$4:$AR$4,1,BO$3-Projects!$C$11+1),0)-IF(AND(Projects!$G$11="Yes",BO$3&gt;=Projects!$C$11,BO$3&lt;Projects!$C$11+Projects!$D$11),Projects!$B$11*(Assumptions!$B$10+Assumptions!$B$11+Assumptions!$B$12)/Projects!$D$11*0.95,0)-IF(AND(Projects!$G$11="Yes",BO$3=Projects!$C$11+Projects!$D$11-1),Projects!$B$11*(Assumptions!$B$10+Assumptions!$B$11+Assumptions!$B$12)*0.05,0)</f>
        <v>0</v>
      </c>
      <c r="BP22" s="30" t="n">
        <f aca="false">IF(AND(Projects!$G$11="Yes",BP$3&gt;=Projects!$C$11,BP$3&lt;Projects!$C$11+Projects!$D$11),Projects!$B$11*INDEX(Curves!$B$4:$AR$4,1,BP$3-Projects!$C$11+1),0)-IF(AND(Projects!$G$11="Yes",BP$3&gt;=Projects!$C$11,BP$3&lt;Projects!$C$11+Projects!$D$11),Projects!$B$11*(Assumptions!$B$10+Assumptions!$B$11+Assumptions!$B$12)/Projects!$D$11*0.95,0)-IF(AND(Projects!$G$11="Yes",BP$3=Projects!$C$11+Projects!$D$11-1),Projects!$B$11*(Assumptions!$B$10+Assumptions!$B$11+Assumptions!$B$12)*0.05,0)</f>
        <v>0</v>
      </c>
      <c r="BQ22" s="30" t="n">
        <f aca="false">IF(AND(Projects!$G$11="Yes",BQ$3&gt;=Projects!$C$11,BQ$3&lt;Projects!$C$11+Projects!$D$11),Projects!$B$11*INDEX(Curves!$B$4:$AR$4,1,BQ$3-Projects!$C$11+1),0)-IF(AND(Projects!$G$11="Yes",BQ$3&gt;=Projects!$C$11,BQ$3&lt;Projects!$C$11+Projects!$D$11),Projects!$B$11*(Assumptions!$B$10+Assumptions!$B$11+Assumptions!$B$12)/Projects!$D$11*0.95,0)-IF(AND(Projects!$G$11="Yes",BQ$3=Projects!$C$11+Projects!$D$11-1),Projects!$B$11*(Assumptions!$B$10+Assumptions!$B$11+Assumptions!$B$12)*0.05,0)</f>
        <v>0</v>
      </c>
      <c r="BR22" s="30" t="n">
        <f aca="false">IF(AND(Projects!$G$11="Yes",BR$3&gt;=Projects!$C$11,BR$3&lt;Projects!$C$11+Projects!$D$11),Projects!$B$11*INDEX(Curves!$B$4:$AR$4,1,BR$3-Projects!$C$11+1),0)-IF(AND(Projects!$G$11="Yes",BR$3&gt;=Projects!$C$11,BR$3&lt;Projects!$C$11+Projects!$D$11),Projects!$B$11*(Assumptions!$B$10+Assumptions!$B$11+Assumptions!$B$12)/Projects!$D$11*0.95,0)-IF(AND(Projects!$G$11="Yes",BR$3=Projects!$C$11+Projects!$D$11-1),Projects!$B$11*(Assumptions!$B$10+Assumptions!$B$11+Assumptions!$B$12)*0.05,0)</f>
        <v>0</v>
      </c>
      <c r="BS22" s="30" t="n">
        <f aca="false">IF(AND(Projects!$G$11="Yes",BS$3&gt;=Projects!$C$11,BS$3&lt;Projects!$C$11+Projects!$D$11),Projects!$B$11*INDEX(Curves!$B$4:$AR$4,1,BS$3-Projects!$C$11+1),0)-IF(AND(Projects!$G$11="Yes",BS$3&gt;=Projects!$C$11,BS$3&lt;Projects!$C$11+Projects!$D$11),Projects!$B$11*(Assumptions!$B$10+Assumptions!$B$11+Assumptions!$B$12)/Projects!$D$11*0.95,0)-IF(AND(Projects!$G$11="Yes",BS$3=Projects!$C$11+Projects!$D$11-1),Projects!$B$11*(Assumptions!$B$10+Assumptions!$B$11+Assumptions!$B$12)*0.05,0)</f>
        <v>0</v>
      </c>
      <c r="BT22" s="30" t="n">
        <f aca="false">IF(AND(Projects!$G$11="Yes",BT$3&gt;=Projects!$C$11,BT$3&lt;Projects!$C$11+Projects!$D$11),Projects!$B$11*INDEX(Curves!$B$4:$AR$4,1,BT$3-Projects!$C$11+1),0)-IF(AND(Projects!$G$11="Yes",BT$3&gt;=Projects!$C$11,BT$3&lt;Projects!$C$11+Projects!$D$11),Projects!$B$11*(Assumptions!$B$10+Assumptions!$B$11+Assumptions!$B$12)/Projects!$D$11*0.95,0)-IF(AND(Projects!$G$11="Yes",BT$3=Projects!$C$11+Projects!$D$11-1),Projects!$B$11*(Assumptions!$B$10+Assumptions!$B$11+Assumptions!$B$12)*0.05,0)</f>
        <v>0</v>
      </c>
      <c r="BU22" s="30" t="n">
        <f aca="false">IF(AND(Projects!$G$11="Yes",BU$3&gt;=Projects!$C$11,BU$3&lt;Projects!$C$11+Projects!$D$11),Projects!$B$11*INDEX(Curves!$B$4:$AR$4,1,BU$3-Projects!$C$11+1),0)-IF(AND(Projects!$G$11="Yes",BU$3&gt;=Projects!$C$11,BU$3&lt;Projects!$C$11+Projects!$D$11),Projects!$B$11*(Assumptions!$B$10+Assumptions!$B$11+Assumptions!$B$12)/Projects!$D$11*0.95,0)-IF(AND(Projects!$G$11="Yes",BU$3=Projects!$C$11+Projects!$D$11-1),Projects!$B$11*(Assumptions!$B$10+Assumptions!$B$11+Assumptions!$B$12)*0.05,0)</f>
        <v>0</v>
      </c>
      <c r="BV22" s="30" t="n">
        <f aca="false">IF(AND(Projects!$G$11="Yes",BV$3&gt;=Projects!$C$11,BV$3&lt;Projects!$C$11+Projects!$D$11),Projects!$B$11*INDEX(Curves!$B$4:$AR$4,1,BV$3-Projects!$C$11+1),0)-IF(AND(Projects!$G$11="Yes",BV$3&gt;=Projects!$C$11,BV$3&lt;Projects!$C$11+Projects!$D$11),Projects!$B$11*(Assumptions!$B$10+Assumptions!$B$11+Assumptions!$B$12)/Projects!$D$11*0.95,0)-IF(AND(Projects!$G$11="Yes",BV$3=Projects!$C$11+Projects!$D$11-1),Projects!$B$11*(Assumptions!$B$10+Assumptions!$B$11+Assumptions!$B$12)*0.05,0)</f>
        <v>0</v>
      </c>
      <c r="BW22" s="30" t="n">
        <f aca="false">IF(AND(Projects!$G$11="Yes",BW$3&gt;=Projects!$C$11,BW$3&lt;Projects!$C$11+Projects!$D$11),Projects!$B$11*INDEX(Curves!$B$4:$AR$4,1,BW$3-Projects!$C$11+1),0)-IF(AND(Projects!$G$11="Yes",BW$3&gt;=Projects!$C$11,BW$3&lt;Projects!$C$11+Projects!$D$11),Projects!$B$11*(Assumptions!$B$10+Assumptions!$B$11+Assumptions!$B$12)/Projects!$D$11*0.95,0)-IF(AND(Projects!$G$11="Yes",BW$3=Projects!$C$11+Projects!$D$11-1),Projects!$B$11*(Assumptions!$B$10+Assumptions!$B$11+Assumptions!$B$12)*0.05,0)</f>
        <v>0</v>
      </c>
      <c r="BX22" s="30" t="n">
        <f aca="false">IF(AND(Projects!$G$11="Yes",BX$3&gt;=Projects!$C$11,BX$3&lt;Projects!$C$11+Projects!$D$11),Projects!$B$11*INDEX(Curves!$B$4:$AR$4,1,BX$3-Projects!$C$11+1),0)-IF(AND(Projects!$G$11="Yes",BX$3&gt;=Projects!$C$11,BX$3&lt;Projects!$C$11+Projects!$D$11),Projects!$B$11*(Assumptions!$B$10+Assumptions!$B$11+Assumptions!$B$12)/Projects!$D$11*0.95,0)-IF(AND(Projects!$G$11="Yes",BX$3=Projects!$C$11+Projects!$D$11-1),Projects!$B$11*(Assumptions!$B$10+Assumptions!$B$11+Assumptions!$B$12)*0.05,0)</f>
        <v>0</v>
      </c>
      <c r="BY22" s="30" t="n">
        <f aca="false">IF(AND(Projects!$G$11="Yes",BY$3&gt;=Projects!$C$11,BY$3&lt;Projects!$C$11+Projects!$D$11),Projects!$B$11*INDEX(Curves!$B$4:$AR$4,1,BY$3-Projects!$C$11+1),0)-IF(AND(Projects!$G$11="Yes",BY$3&gt;=Projects!$C$11,BY$3&lt;Projects!$C$11+Projects!$D$11),Projects!$B$11*(Assumptions!$B$10+Assumptions!$B$11+Assumptions!$B$12)/Projects!$D$11*0.95,0)-IF(AND(Projects!$G$11="Yes",BY$3=Projects!$C$11+Projects!$D$11-1),Projects!$B$11*(Assumptions!$B$10+Assumptions!$B$11+Assumptions!$B$12)*0.05,0)</f>
        <v>0</v>
      </c>
      <c r="BZ22" s="30" t="n">
        <f aca="false">IF(AND(Projects!$G$11="Yes",BZ$3&gt;=Projects!$C$11,BZ$3&lt;Projects!$C$11+Projects!$D$11),Projects!$B$11*INDEX(Curves!$B$4:$AR$4,1,BZ$3-Projects!$C$11+1),0)-IF(AND(Projects!$G$11="Yes",BZ$3&gt;=Projects!$C$11,BZ$3&lt;Projects!$C$11+Projects!$D$11),Projects!$B$11*(Assumptions!$B$10+Assumptions!$B$11+Assumptions!$B$12)/Projects!$D$11*0.95,0)-IF(AND(Projects!$G$11="Yes",BZ$3=Projects!$C$11+Projects!$D$11-1),Projects!$B$11*(Assumptions!$B$10+Assumptions!$B$11+Assumptions!$B$12)*0.05,0)</f>
        <v>0</v>
      </c>
      <c r="CA22" s="30" t="n">
        <f aca="false">IF(AND(Projects!$G$11="Yes",CA$3&gt;=Projects!$C$11,CA$3&lt;Projects!$C$11+Projects!$D$11),Projects!$B$11*INDEX(Curves!$B$4:$AR$4,1,CA$3-Projects!$C$11+1),0)-IF(AND(Projects!$G$11="Yes",CA$3&gt;=Projects!$C$11,CA$3&lt;Projects!$C$11+Projects!$D$11),Projects!$B$11*(Assumptions!$B$10+Assumptions!$B$11+Assumptions!$B$12)/Projects!$D$11*0.95,0)-IF(AND(Projects!$G$11="Yes",CA$3=Projects!$C$11+Projects!$D$11-1),Projects!$B$11*(Assumptions!$B$10+Assumptions!$B$11+Assumptions!$B$12)*0.05,0)</f>
        <v>0</v>
      </c>
      <c r="CB22" s="30" t="n">
        <f aca="false">IF(AND(Projects!$G$11="Yes",CB$3&gt;=Projects!$C$11,CB$3&lt;Projects!$C$11+Projects!$D$11),Projects!$B$11*INDEX(Curves!$B$4:$AR$4,1,CB$3-Projects!$C$11+1),0)-IF(AND(Projects!$G$11="Yes",CB$3&gt;=Projects!$C$11,CB$3&lt;Projects!$C$11+Projects!$D$11),Projects!$B$11*(Assumptions!$B$10+Assumptions!$B$11+Assumptions!$B$12)/Projects!$D$11*0.95,0)-IF(AND(Projects!$G$11="Yes",CB$3=Projects!$C$11+Projects!$D$11-1),Projects!$B$11*(Assumptions!$B$10+Assumptions!$B$11+Assumptions!$B$12)*0.05,0)</f>
        <v>0</v>
      </c>
      <c r="CC22" s="30" t="n">
        <f aca="false">IF(AND(Projects!$G$11="Yes",CC$3&gt;=Projects!$C$11,CC$3&lt;Projects!$C$11+Projects!$D$11),Projects!$B$11*INDEX(Curves!$B$4:$AR$4,1,CC$3-Projects!$C$11+1),0)-IF(AND(Projects!$G$11="Yes",CC$3&gt;=Projects!$C$11,CC$3&lt;Projects!$C$11+Projects!$D$11),Projects!$B$11*(Assumptions!$B$10+Assumptions!$B$11+Assumptions!$B$12)/Projects!$D$11*0.95,0)-IF(AND(Projects!$G$11="Yes",CC$3=Projects!$C$11+Projects!$D$11-1),Projects!$B$11*(Assumptions!$B$10+Assumptions!$B$11+Assumptions!$B$12)*0.05,0)</f>
        <v>0</v>
      </c>
      <c r="CD22" s="30" t="n">
        <f aca="false">IF(AND(Projects!$G$11="Yes",CD$3&gt;=Projects!$C$11,CD$3&lt;Projects!$C$11+Projects!$D$11),Projects!$B$11*INDEX(Curves!$B$4:$AR$4,1,CD$3-Projects!$C$11+1),0)-IF(AND(Projects!$G$11="Yes",CD$3&gt;=Projects!$C$11,CD$3&lt;Projects!$C$11+Projects!$D$11),Projects!$B$11*(Assumptions!$B$10+Assumptions!$B$11+Assumptions!$B$12)/Projects!$D$11*0.95,0)-IF(AND(Projects!$G$11="Yes",CD$3=Projects!$C$11+Projects!$D$11-1),Projects!$B$11*(Assumptions!$B$10+Assumptions!$B$11+Assumptions!$B$12)*0.05,0)</f>
        <v>0</v>
      </c>
      <c r="CE22" s="30" t="n">
        <f aca="false">IF(AND(Projects!$G$11="Yes",CE$3&gt;=Projects!$C$11,CE$3&lt;Projects!$C$11+Projects!$D$11),Projects!$B$11*INDEX(Curves!$B$4:$AR$4,1,CE$3-Projects!$C$11+1),0)-IF(AND(Projects!$G$11="Yes",CE$3&gt;=Projects!$C$11,CE$3&lt;Projects!$C$11+Projects!$D$11),Projects!$B$11*(Assumptions!$B$10+Assumptions!$B$11+Assumptions!$B$12)/Projects!$D$11*0.95,0)-IF(AND(Projects!$G$11="Yes",CE$3=Projects!$C$11+Projects!$D$11-1),Projects!$B$11*(Assumptions!$B$10+Assumptions!$B$11+Assumptions!$B$12)*0.05,0)</f>
        <v>0</v>
      </c>
      <c r="CF22" s="30" t="n">
        <f aca="false">IF(AND(Projects!$G$11="Yes",CF$3&gt;=Projects!$C$11,CF$3&lt;Projects!$C$11+Projects!$D$11),Projects!$B$11*INDEX(Curves!$B$4:$AR$4,1,CF$3-Projects!$C$11+1),0)-IF(AND(Projects!$G$11="Yes",CF$3&gt;=Projects!$C$11,CF$3&lt;Projects!$C$11+Projects!$D$11),Projects!$B$11*(Assumptions!$B$10+Assumptions!$B$11+Assumptions!$B$12)/Projects!$D$11*0.95,0)-IF(AND(Projects!$G$11="Yes",CF$3=Projects!$C$11+Projects!$D$11-1),Projects!$B$11*(Assumptions!$B$10+Assumptions!$B$11+Assumptions!$B$12)*0.05,0)</f>
        <v>0</v>
      </c>
      <c r="CG22" s="30" t="n">
        <f aca="false">IF(AND(Projects!$G$11="Yes",CG$3&gt;=Projects!$C$11,CG$3&lt;Projects!$C$11+Projects!$D$11),Projects!$B$11*INDEX(Curves!$B$4:$AR$4,1,CG$3-Projects!$C$11+1),0)-IF(AND(Projects!$G$11="Yes",CG$3&gt;=Projects!$C$11,CG$3&lt;Projects!$C$11+Projects!$D$11),Projects!$B$11*(Assumptions!$B$10+Assumptions!$B$11+Assumptions!$B$12)/Projects!$D$11*0.95,0)-IF(AND(Projects!$G$11="Yes",CG$3=Projects!$C$11+Projects!$D$11-1),Projects!$B$11*(Assumptions!$B$10+Assumptions!$B$11+Assumptions!$B$12)*0.05,0)</f>
        <v>0</v>
      </c>
      <c r="CH22" s="30" t="n">
        <f aca="false">IF(AND(Projects!$G$11="Yes",CH$3&gt;=Projects!$C$11,CH$3&lt;Projects!$C$11+Projects!$D$11),Projects!$B$11*INDEX(Curves!$B$4:$AR$4,1,CH$3-Projects!$C$11+1),0)-IF(AND(Projects!$G$11="Yes",CH$3&gt;=Projects!$C$11,CH$3&lt;Projects!$C$11+Projects!$D$11),Projects!$B$11*(Assumptions!$B$10+Assumptions!$B$11+Assumptions!$B$12)/Projects!$D$11*0.95,0)-IF(AND(Projects!$G$11="Yes",CH$3=Projects!$C$11+Projects!$D$11-1),Projects!$B$11*(Assumptions!$B$10+Assumptions!$B$11+Assumptions!$B$12)*0.05,0)</f>
        <v>0</v>
      </c>
      <c r="CI22" s="30" t="n">
        <f aca="false">IF(AND(Projects!$G$11="Yes",CI$3&gt;=Projects!$C$11,CI$3&lt;Projects!$C$11+Projects!$D$11),Projects!$B$11*INDEX(Curves!$B$4:$AR$4,1,CI$3-Projects!$C$11+1),0)-IF(AND(Projects!$G$11="Yes",CI$3&gt;=Projects!$C$11,CI$3&lt;Projects!$C$11+Projects!$D$11),Projects!$B$11*(Assumptions!$B$10+Assumptions!$B$11+Assumptions!$B$12)/Projects!$D$11*0.95,0)-IF(AND(Projects!$G$11="Yes",CI$3=Projects!$C$11+Projects!$D$11-1),Projects!$B$11*(Assumptions!$B$10+Assumptions!$B$11+Assumptions!$B$12)*0.05,0)</f>
        <v>0</v>
      </c>
      <c r="CJ22" s="30" t="n">
        <f aca="false">IF(AND(Projects!$G$11="Yes",CJ$3&gt;=Projects!$C$11,CJ$3&lt;Projects!$C$11+Projects!$D$11),Projects!$B$11*INDEX(Curves!$B$4:$AR$4,1,CJ$3-Projects!$C$11+1),0)-IF(AND(Projects!$G$11="Yes",CJ$3&gt;=Projects!$C$11,CJ$3&lt;Projects!$C$11+Projects!$D$11),Projects!$B$11*(Assumptions!$B$10+Assumptions!$B$11+Assumptions!$B$12)/Projects!$D$11*0.95,0)-IF(AND(Projects!$G$11="Yes",CJ$3=Projects!$C$11+Projects!$D$11-1),Projects!$B$11*(Assumptions!$B$10+Assumptions!$B$11+Assumptions!$B$12)*0.05,0)</f>
        <v>0</v>
      </c>
      <c r="CK22" s="30" t="n">
        <f aca="false">IF(AND(Projects!$G$11="Yes",CK$3&gt;=Projects!$C$11,CK$3&lt;Projects!$C$11+Projects!$D$11),Projects!$B$11*INDEX(Curves!$B$4:$AR$4,1,CK$3-Projects!$C$11+1),0)-IF(AND(Projects!$G$11="Yes",CK$3&gt;=Projects!$C$11,CK$3&lt;Projects!$C$11+Projects!$D$11),Projects!$B$11*(Assumptions!$B$10+Assumptions!$B$11+Assumptions!$B$12)/Projects!$D$11*0.95,0)-IF(AND(Projects!$G$11="Yes",CK$3=Projects!$C$11+Projects!$D$11-1),Projects!$B$11*(Assumptions!$B$10+Assumptions!$B$11+Assumptions!$B$12)*0.05,0)</f>
        <v>0</v>
      </c>
      <c r="CL22" s="30" t="n">
        <f aca="false">IF(AND(Projects!$G$11="Yes",CL$3&gt;=Projects!$C$11,CL$3&lt;Projects!$C$11+Projects!$D$11),Projects!$B$11*INDEX(Curves!$B$4:$AR$4,1,CL$3-Projects!$C$11+1),0)-IF(AND(Projects!$G$11="Yes",CL$3&gt;=Projects!$C$11,CL$3&lt;Projects!$C$11+Projects!$D$11),Projects!$B$11*(Assumptions!$B$10+Assumptions!$B$11+Assumptions!$B$12)/Projects!$D$11*0.95,0)-IF(AND(Projects!$G$11="Yes",CL$3=Projects!$C$11+Projects!$D$11-1),Projects!$B$11*(Assumptions!$B$10+Assumptions!$B$11+Assumptions!$B$12)*0.05,0)</f>
        <v>0</v>
      </c>
      <c r="CM22" s="30" t="n">
        <f aca="false">IF(AND(Projects!$G$11="Yes",CM$3&gt;=Projects!$C$11,CM$3&lt;Projects!$C$11+Projects!$D$11),Projects!$B$11*INDEX(Curves!$B$4:$AR$4,1,CM$3-Projects!$C$11+1),0)-IF(AND(Projects!$G$11="Yes",CM$3&gt;=Projects!$C$11,CM$3&lt;Projects!$C$11+Projects!$D$11),Projects!$B$11*(Assumptions!$B$10+Assumptions!$B$11+Assumptions!$B$12)/Projects!$D$11*0.95,0)-IF(AND(Projects!$G$11="Yes",CM$3=Projects!$C$11+Projects!$D$11-1),Projects!$B$11*(Assumptions!$B$10+Assumptions!$B$11+Assumptions!$B$12)*0.05,0)</f>
        <v>0</v>
      </c>
      <c r="CN22" s="30" t="n">
        <f aca="false">IF(AND(Projects!$G$11="Yes",CN$3&gt;=Projects!$C$11,CN$3&lt;Projects!$C$11+Projects!$D$11),Projects!$B$11*INDEX(Curves!$B$4:$AR$4,1,CN$3-Projects!$C$11+1),0)-IF(AND(Projects!$G$11="Yes",CN$3&gt;=Projects!$C$11,CN$3&lt;Projects!$C$11+Projects!$D$11),Projects!$B$11*(Assumptions!$B$10+Assumptions!$B$11+Assumptions!$B$12)/Projects!$D$11*0.95,0)-IF(AND(Projects!$G$11="Yes",CN$3=Projects!$C$11+Projects!$D$11-1),Projects!$B$11*(Assumptions!$B$10+Assumptions!$B$11+Assumptions!$B$12)*0.05,0)</f>
        <v>0</v>
      </c>
      <c r="CO22" s="30" t="n">
        <f aca="false">IF(AND(Projects!$G$11="Yes",CO$3&gt;=Projects!$C$11,CO$3&lt;Projects!$C$11+Projects!$D$11),Projects!$B$11*INDEX(Curves!$B$4:$AR$4,1,CO$3-Projects!$C$11+1),0)-IF(AND(Projects!$G$11="Yes",CO$3&gt;=Projects!$C$11,CO$3&lt;Projects!$C$11+Projects!$D$11),Projects!$B$11*(Assumptions!$B$10+Assumptions!$B$11+Assumptions!$B$12)/Projects!$D$11*0.95,0)-IF(AND(Projects!$G$11="Yes",CO$3=Projects!$C$11+Projects!$D$11-1),Projects!$B$11*(Assumptions!$B$10+Assumptions!$B$11+Assumptions!$B$12)*0.05,0)</f>
        <v>0</v>
      </c>
      <c r="CP22" s="30" t="n">
        <f aca="false">IF(AND(Projects!$G$11="Yes",CP$3&gt;=Projects!$C$11,CP$3&lt;Projects!$C$11+Projects!$D$11),Projects!$B$11*INDEX(Curves!$B$4:$AR$4,1,CP$3-Projects!$C$11+1),0)-IF(AND(Projects!$G$11="Yes",CP$3&gt;=Projects!$C$11,CP$3&lt;Projects!$C$11+Projects!$D$11),Projects!$B$11*(Assumptions!$B$10+Assumptions!$B$11+Assumptions!$B$12)/Projects!$D$11*0.95,0)-IF(AND(Projects!$G$11="Yes",CP$3=Projects!$C$11+Projects!$D$11-1),Projects!$B$11*(Assumptions!$B$10+Assumptions!$B$11+Assumptions!$B$12)*0.05,0)</f>
        <v>0</v>
      </c>
      <c r="CQ22" s="30" t="n">
        <f aca="false">IF(AND(Projects!$G$11="Yes",CQ$3&gt;=Projects!$C$11,CQ$3&lt;Projects!$C$11+Projects!$D$11),Projects!$B$11*INDEX(Curves!$B$4:$AR$4,1,CQ$3-Projects!$C$11+1),0)-IF(AND(Projects!$G$11="Yes",CQ$3&gt;=Projects!$C$11,CQ$3&lt;Projects!$C$11+Projects!$D$11),Projects!$B$11*(Assumptions!$B$10+Assumptions!$B$11+Assumptions!$B$12)/Projects!$D$11*0.95,0)-IF(AND(Projects!$G$11="Yes",CQ$3=Projects!$C$11+Projects!$D$11-1),Projects!$B$11*(Assumptions!$B$10+Assumptions!$B$11+Assumptions!$B$12)*0.05,0)</f>
        <v>0</v>
      </c>
      <c r="CR22" s="30" t="n">
        <f aca="false">IF(AND(Projects!$G$11="Yes",CR$3&gt;=Projects!$C$11,CR$3&lt;Projects!$C$11+Projects!$D$11),Projects!$B$11*INDEX(Curves!$B$4:$AR$4,1,CR$3-Projects!$C$11+1),0)-IF(AND(Projects!$G$11="Yes",CR$3&gt;=Projects!$C$11,CR$3&lt;Projects!$C$11+Projects!$D$11),Projects!$B$11*(Assumptions!$B$10+Assumptions!$B$11+Assumptions!$B$12)/Projects!$D$11*0.95,0)-IF(AND(Projects!$G$11="Yes",CR$3=Projects!$C$11+Projects!$D$11-1),Projects!$B$11*(Assumptions!$B$10+Assumptions!$B$11+Assumptions!$B$12)*0.05,0)</f>
        <v>0</v>
      </c>
      <c r="CS22" s="30" t="n">
        <f aca="false">IF(AND(Projects!$G$11="Yes",CS$3&gt;=Projects!$C$11,CS$3&lt;Projects!$C$11+Projects!$D$11),Projects!$B$11*INDEX(Curves!$B$4:$AR$4,1,CS$3-Projects!$C$11+1),0)-IF(AND(Projects!$G$11="Yes",CS$3&gt;=Projects!$C$11,CS$3&lt;Projects!$C$11+Projects!$D$11),Projects!$B$11*(Assumptions!$B$10+Assumptions!$B$11+Assumptions!$B$12)/Projects!$D$11*0.95,0)-IF(AND(Projects!$G$11="Yes",CS$3=Projects!$C$11+Projects!$D$11-1),Projects!$B$11*(Assumptions!$B$10+Assumptions!$B$11+Assumptions!$B$12)*0.05,0)</f>
        <v>0</v>
      </c>
      <c r="CT22" s="30" t="n">
        <f aca="false">IF(AND(Projects!$G$11="Yes",CT$3&gt;=Projects!$C$11,CT$3&lt;Projects!$C$11+Projects!$D$11),Projects!$B$11*INDEX(Curves!$B$4:$AR$4,1,CT$3-Projects!$C$11+1),0)-IF(AND(Projects!$G$11="Yes",CT$3&gt;=Projects!$C$11,CT$3&lt;Projects!$C$11+Projects!$D$11),Projects!$B$11*(Assumptions!$B$10+Assumptions!$B$11+Assumptions!$B$12)/Projects!$D$11*0.95,0)-IF(AND(Projects!$G$11="Yes",CT$3=Projects!$C$11+Projects!$D$11-1),Projects!$B$11*(Assumptions!$B$10+Assumptions!$B$11+Assumptions!$B$12)*0.05,0)</f>
        <v>0</v>
      </c>
      <c r="CU22" s="30" t="n">
        <f aca="false">IF(AND(Projects!$G$11="Yes",CU$3&gt;=Projects!$C$11,CU$3&lt;Projects!$C$11+Projects!$D$11),Projects!$B$11*INDEX(Curves!$B$4:$AR$4,1,CU$3-Projects!$C$11+1),0)-IF(AND(Projects!$G$11="Yes",CU$3&gt;=Projects!$C$11,CU$3&lt;Projects!$C$11+Projects!$D$11),Projects!$B$11*(Assumptions!$B$10+Assumptions!$B$11+Assumptions!$B$12)/Projects!$D$11*0.95,0)-IF(AND(Projects!$G$11="Yes",CU$3=Projects!$C$11+Projects!$D$11-1),Projects!$B$11*(Assumptions!$B$10+Assumptions!$B$11+Assumptions!$B$12)*0.05,0)</f>
        <v>0</v>
      </c>
      <c r="CV22" s="30" t="n">
        <f aca="false">IF(AND(Projects!$G$11="Yes",CV$3&gt;=Projects!$C$11,CV$3&lt;Projects!$C$11+Projects!$D$11),Projects!$B$11*INDEX(Curves!$B$4:$AR$4,1,CV$3-Projects!$C$11+1),0)-IF(AND(Projects!$G$11="Yes",CV$3&gt;=Projects!$C$11,CV$3&lt;Projects!$C$11+Projects!$D$11),Projects!$B$11*(Assumptions!$B$10+Assumptions!$B$11+Assumptions!$B$12)/Projects!$D$11*0.95,0)-IF(AND(Projects!$G$11="Yes",CV$3=Projects!$C$11+Projects!$D$11-1),Projects!$B$11*(Assumptions!$B$10+Assumptions!$B$11+Assumptions!$B$12)*0.05,0)</f>
        <v>0</v>
      </c>
      <c r="CW22" s="30" t="n">
        <f aca="false">IF(AND(Projects!$G$11="Yes",CW$3&gt;=Projects!$C$11,CW$3&lt;Projects!$C$11+Projects!$D$11),Projects!$B$11*INDEX(Curves!$B$4:$AR$4,1,CW$3-Projects!$C$11+1),0)-IF(AND(Projects!$G$11="Yes",CW$3&gt;=Projects!$C$11,CW$3&lt;Projects!$C$11+Projects!$D$11),Projects!$B$11*(Assumptions!$B$10+Assumptions!$B$11+Assumptions!$B$12)/Projects!$D$11*0.95,0)-IF(AND(Projects!$G$11="Yes",CW$3=Projects!$C$11+Projects!$D$11-1),Projects!$B$11*(Assumptions!$B$10+Assumptions!$B$11+Assumptions!$B$12)*0.05,0)</f>
        <v>0</v>
      </c>
      <c r="CX22" s="30" t="n">
        <f aca="false">IF(AND(Projects!$G$11="Yes",CX$3&gt;=Projects!$C$11,CX$3&lt;Projects!$C$11+Projects!$D$11),Projects!$B$11*INDEX(Curves!$B$4:$AR$4,1,CX$3-Projects!$C$11+1),0)-IF(AND(Projects!$G$11="Yes",CX$3&gt;=Projects!$C$11,CX$3&lt;Projects!$C$11+Projects!$D$11),Projects!$B$11*(Assumptions!$B$10+Assumptions!$B$11+Assumptions!$B$12)/Projects!$D$11*0.95,0)-IF(AND(Projects!$G$11="Yes",CX$3=Projects!$C$11+Projects!$D$11-1),Projects!$B$11*(Assumptions!$B$10+Assumptions!$B$11+Assumptions!$B$12)*0.05,0)</f>
        <v>0</v>
      </c>
      <c r="CY22" s="30" t="n">
        <f aca="false">IF(AND(Projects!$G$11="Yes",CY$3&gt;=Projects!$C$11,CY$3&lt;Projects!$C$11+Projects!$D$11),Projects!$B$11*INDEX(Curves!$B$4:$AR$4,1,CY$3-Projects!$C$11+1),0)-IF(AND(Projects!$G$11="Yes",CY$3&gt;=Projects!$C$11,CY$3&lt;Projects!$C$11+Projects!$D$11),Projects!$B$11*(Assumptions!$B$10+Assumptions!$B$11+Assumptions!$B$12)/Projects!$D$11*0.95,0)-IF(AND(Projects!$G$11="Yes",CY$3=Projects!$C$11+Projects!$D$11-1),Projects!$B$11*(Assumptions!$B$10+Assumptions!$B$11+Assumptions!$B$12)*0.05,0)</f>
        <v>0</v>
      </c>
      <c r="CZ22" s="30" t="n">
        <f aca="false">IF(AND(Projects!$G$11="Yes",CZ$3&gt;=Projects!$C$11,CZ$3&lt;Projects!$C$11+Projects!$D$11),Projects!$B$11*INDEX(Curves!$B$4:$AR$4,1,CZ$3-Projects!$C$11+1),0)-IF(AND(Projects!$G$11="Yes",CZ$3&gt;=Projects!$C$11,CZ$3&lt;Projects!$C$11+Projects!$D$11),Projects!$B$11*(Assumptions!$B$10+Assumptions!$B$11+Assumptions!$B$12)/Projects!$D$11*0.95,0)-IF(AND(Projects!$G$11="Yes",CZ$3=Projects!$C$11+Projects!$D$11-1),Projects!$B$11*(Assumptions!$B$10+Assumptions!$B$11+Assumptions!$B$12)*0.05,0)</f>
        <v>0</v>
      </c>
      <c r="DA22" s="30" t="n">
        <f aca="false">IF(AND(Projects!$G$11="Yes",DA$3&gt;=Projects!$C$11,DA$3&lt;Projects!$C$11+Projects!$D$11),Projects!$B$11*INDEX(Curves!$B$4:$AR$4,1,DA$3-Projects!$C$11+1),0)-IF(AND(Projects!$G$11="Yes",DA$3&gt;=Projects!$C$11,DA$3&lt;Projects!$C$11+Projects!$D$11),Projects!$B$11*(Assumptions!$B$10+Assumptions!$B$11+Assumptions!$B$12)/Projects!$D$11*0.95,0)-IF(AND(Projects!$G$11="Yes",DA$3=Projects!$C$11+Projects!$D$11-1),Projects!$B$11*(Assumptions!$B$10+Assumptions!$B$11+Assumptions!$B$12)*0.05,0)</f>
        <v>0</v>
      </c>
      <c r="DB22" s="30" t="n">
        <f aca="false">IF(AND(Projects!$G$11="Yes",DB$3&gt;=Projects!$C$11,DB$3&lt;Projects!$C$11+Projects!$D$11),Projects!$B$11*INDEX(Curves!$B$4:$AR$4,1,DB$3-Projects!$C$11+1),0)-IF(AND(Projects!$G$11="Yes",DB$3&gt;=Projects!$C$11,DB$3&lt;Projects!$C$11+Projects!$D$11),Projects!$B$11*(Assumptions!$B$10+Assumptions!$B$11+Assumptions!$B$12)/Projects!$D$11*0.95,0)-IF(AND(Projects!$G$11="Yes",DB$3=Projects!$C$11+Projects!$D$11-1),Projects!$B$11*(Assumptions!$B$10+Assumptions!$B$11+Assumptions!$B$12)*0.05,0)</f>
        <v>0</v>
      </c>
      <c r="DC22" s="30" t="n">
        <f aca="false">IF(AND(Projects!$G$11="Yes",DC$3&gt;=Projects!$C$11,DC$3&lt;Projects!$C$11+Projects!$D$11),Projects!$B$11*INDEX(Curves!$B$4:$AR$4,1,DC$3-Projects!$C$11+1),0)-IF(AND(Projects!$G$11="Yes",DC$3&gt;=Projects!$C$11,DC$3&lt;Projects!$C$11+Projects!$D$11),Projects!$B$11*(Assumptions!$B$10+Assumptions!$B$11+Assumptions!$B$12)/Projects!$D$11*0.95,0)-IF(AND(Projects!$G$11="Yes",DC$3=Projects!$C$11+Projects!$D$11-1),Projects!$B$11*(Assumptions!$B$10+Assumptions!$B$11+Assumptions!$B$12)*0.05,0)</f>
        <v>0</v>
      </c>
      <c r="DD22" s="30" t="n">
        <f aca="false">IF(AND(Projects!$G$11="Yes",DD$3&gt;=Projects!$C$11,DD$3&lt;Projects!$C$11+Projects!$D$11),Projects!$B$11*INDEX(Curves!$B$4:$AR$4,1,DD$3-Projects!$C$11+1),0)-IF(AND(Projects!$G$11="Yes",DD$3&gt;=Projects!$C$11,DD$3&lt;Projects!$C$11+Projects!$D$11),Projects!$B$11*(Assumptions!$B$10+Assumptions!$B$11+Assumptions!$B$12)/Projects!$D$11*0.95,0)-IF(AND(Projects!$G$11="Yes",DD$3=Projects!$C$11+Projects!$D$11-1),Projects!$B$11*(Assumptions!$B$10+Assumptions!$B$11+Assumptions!$B$12)*0.05,0)</f>
        <v>0</v>
      </c>
      <c r="DE22" s="30" t="n">
        <f aca="false">IF(AND(Projects!$G$11="Yes",DE$3&gt;=Projects!$C$11,DE$3&lt;Projects!$C$11+Projects!$D$11),Projects!$B$11*INDEX(Curves!$B$4:$AR$4,1,DE$3-Projects!$C$11+1),0)-IF(AND(Projects!$G$11="Yes",DE$3&gt;=Projects!$C$11,DE$3&lt;Projects!$C$11+Projects!$D$11),Projects!$B$11*(Assumptions!$B$10+Assumptions!$B$11+Assumptions!$B$12)/Projects!$D$11*0.95,0)-IF(AND(Projects!$G$11="Yes",DE$3=Projects!$C$11+Projects!$D$11-1),Projects!$B$11*(Assumptions!$B$10+Assumptions!$B$11+Assumptions!$B$12)*0.05,0)</f>
        <v>0</v>
      </c>
    </row>
    <row r="23" customFormat="false" ht="15" hidden="true" customHeight="true" outlineLevel="1" collapsed="false">
      <c r="A23" s="32" t="s">
        <v>17</v>
      </c>
      <c r="B23" s="30" t="n">
        <v>0</v>
      </c>
      <c r="C23" s="30" t="n">
        <v>0</v>
      </c>
      <c r="D23" s="30" t="n">
        <v>0</v>
      </c>
      <c r="E23" s="30" t="n">
        <v>0</v>
      </c>
      <c r="F23" s="30" t="n">
        <f aca="false">IF(AND(Projects!$G$12="Yes",F$3&gt;=Projects!$C$12,F$3&lt;Projects!$C$12+Projects!$D$12),Projects!$B$12*INDEX(Curves!$B$4:$AR$4,1,F$3-Projects!$C$12+1),0)-IF(AND(Projects!$G$12="Yes",F$3&gt;=Projects!$C$12,F$3&lt;Projects!$C$12+Projects!$D$12),Projects!$B$12*(Assumptions!$B$10+Assumptions!$B$11+Assumptions!$B$12)/Projects!$D$12*0.95,0)-IF(AND(Projects!$G$12="Yes",F$3=Projects!$C$12+Projects!$D$12-1),Projects!$B$12*(Assumptions!$B$10+Assumptions!$B$11+Assumptions!$B$12)*0.05,0)</f>
        <v>0</v>
      </c>
      <c r="G23" s="30" t="n">
        <f aca="false">IF(AND(Projects!$G$12="Yes",G$3&gt;=Projects!$C$12,G$3&lt;Projects!$C$12+Projects!$D$12),Projects!$B$12*INDEX(Curves!$B$4:$AR$4,1,G$3-Projects!$C$12+1),0)-IF(AND(Projects!$G$12="Yes",G$3&gt;=Projects!$C$12,G$3&lt;Projects!$C$12+Projects!$D$12),Projects!$B$12*(Assumptions!$B$10+Assumptions!$B$11+Assumptions!$B$12)/Projects!$D$12*0.95,0)-IF(AND(Projects!$G$12="Yes",G$3=Projects!$C$12+Projects!$D$12-1),Projects!$B$12*(Assumptions!$B$10+Assumptions!$B$11+Assumptions!$B$12)*0.05,0)</f>
        <v>0</v>
      </c>
      <c r="H23" s="30" t="n">
        <f aca="false">IF(AND(Projects!$G$12="Yes",H$3&gt;=Projects!$C$12,H$3&lt;Projects!$C$12+Projects!$D$12),Projects!$B$12*INDEX(Curves!$B$4:$AR$4,1,H$3-Projects!$C$12+1),0)-IF(AND(Projects!$G$12="Yes",H$3&gt;=Projects!$C$12,H$3&lt;Projects!$C$12+Projects!$D$12),Projects!$B$12*(Assumptions!$B$10+Assumptions!$B$11+Assumptions!$B$12)/Projects!$D$12*0.95,0)-IF(AND(Projects!$G$12="Yes",H$3=Projects!$C$12+Projects!$D$12-1),Projects!$B$12*(Assumptions!$B$10+Assumptions!$B$11+Assumptions!$B$12)*0.05,0)</f>
        <v>0</v>
      </c>
      <c r="I23" s="30" t="n">
        <f aca="false">IF(AND(Projects!$G$12="Yes",I$3&gt;=Projects!$C$12,I$3&lt;Projects!$C$12+Projects!$D$12),Projects!$B$12*INDEX(Curves!$B$4:$AR$4,1,I$3-Projects!$C$12+1),0)-IF(AND(Projects!$G$12="Yes",I$3&gt;=Projects!$C$12,I$3&lt;Projects!$C$12+Projects!$D$12),Projects!$B$12*(Assumptions!$B$10+Assumptions!$B$11+Assumptions!$B$12)/Projects!$D$12*0.95,0)-IF(AND(Projects!$G$12="Yes",I$3=Projects!$C$12+Projects!$D$12-1),Projects!$B$12*(Assumptions!$B$10+Assumptions!$B$11+Assumptions!$B$12)*0.05,0)</f>
        <v>0</v>
      </c>
      <c r="J23" s="30" t="n">
        <f aca="false">IF(AND(Projects!$G$12="Yes",J$3&gt;=Projects!$C$12,J$3&lt;Projects!$C$12+Projects!$D$12),Projects!$B$12*INDEX(Curves!$B$4:$AR$4,1,J$3-Projects!$C$12+1),0)-IF(AND(Projects!$G$12="Yes",J$3&gt;=Projects!$C$12,J$3&lt;Projects!$C$12+Projects!$D$12),Projects!$B$12*(Assumptions!$B$10+Assumptions!$B$11+Assumptions!$B$12)/Projects!$D$12*0.95,0)-IF(AND(Projects!$G$12="Yes",J$3=Projects!$C$12+Projects!$D$12-1),Projects!$B$12*(Assumptions!$B$10+Assumptions!$B$11+Assumptions!$B$12)*0.05,0)</f>
        <v>0</v>
      </c>
      <c r="K23" s="30" t="n">
        <f aca="false">IF(AND(Projects!$G$12="Yes",K$3&gt;=Projects!$C$12,K$3&lt;Projects!$C$12+Projects!$D$12),Projects!$B$12*INDEX(Curves!$B$4:$AR$4,1,K$3-Projects!$C$12+1),0)-IF(AND(Projects!$G$12="Yes",K$3&gt;=Projects!$C$12,K$3&lt;Projects!$C$12+Projects!$D$12),Projects!$B$12*(Assumptions!$B$10+Assumptions!$B$11+Assumptions!$B$12)/Projects!$D$12*0.95,0)-IF(AND(Projects!$G$12="Yes",K$3=Projects!$C$12+Projects!$D$12-1),Projects!$B$12*(Assumptions!$B$10+Assumptions!$B$11+Assumptions!$B$12)*0.05,0)</f>
        <v>154657.42123235</v>
      </c>
      <c r="L23" s="30" t="n">
        <f aca="false">IF(AND(Projects!$G$12="Yes",L$3&gt;=Projects!$C$12,L$3&lt;Projects!$C$12+Projects!$D$12),Projects!$B$12*INDEX(Curves!$B$4:$AR$4,1,L$3-Projects!$C$12+1),0)-IF(AND(Projects!$G$12="Yes",L$3&gt;=Projects!$C$12,L$3&lt;Projects!$C$12+Projects!$D$12),Projects!$B$12*(Assumptions!$B$10+Assumptions!$B$11+Assumptions!$B$12)/Projects!$D$12*0.95,0)-IF(AND(Projects!$G$12="Yes",L$3=Projects!$C$12+Projects!$D$12-1),Projects!$B$12*(Assumptions!$B$10+Assumptions!$B$11+Assumptions!$B$12)*0.05,0)</f>
        <v>201769.66876435</v>
      </c>
      <c r="M23" s="30" t="n">
        <f aca="false">IF(AND(Projects!$G$12="Yes",M$3&gt;=Projects!$C$12,M$3&lt;Projects!$C$12+Projects!$D$12),Projects!$B$12*INDEX(Curves!$B$4:$AR$4,1,M$3-Projects!$C$12+1),0)-IF(AND(Projects!$G$12="Yes",M$3&gt;=Projects!$C$12,M$3&lt;Projects!$C$12+Projects!$D$12),Projects!$B$12*(Assumptions!$B$10+Assumptions!$B$11+Assumptions!$B$12)/Projects!$D$12*0.95,0)-IF(AND(Projects!$G$12="Yes",M$3=Projects!$C$12+Projects!$D$12-1),Projects!$B$12*(Assumptions!$B$10+Assumptions!$B$11+Assumptions!$B$12)*0.05,0)</f>
        <v>252480.97812735</v>
      </c>
      <c r="N23" s="30" t="n">
        <f aca="false">IF(AND(Projects!$G$12="Yes",N$3&gt;=Projects!$C$12,N$3&lt;Projects!$C$12+Projects!$D$12),Projects!$B$12*INDEX(Curves!$B$4:$AR$4,1,N$3-Projects!$C$12+1),0)-IF(AND(Projects!$G$12="Yes",N$3&gt;=Projects!$C$12,N$3&lt;Projects!$C$12+Projects!$D$12),Projects!$B$12*(Assumptions!$B$10+Assumptions!$B$11+Assumptions!$B$12)/Projects!$D$12*0.95,0)-IF(AND(Projects!$G$12="Yes",N$3=Projects!$C$12+Projects!$D$12-1),Projects!$B$12*(Assumptions!$B$10+Assumptions!$B$11+Assumptions!$B$12)*0.05,0)</f>
        <v>304769.23491735</v>
      </c>
      <c r="O23" s="30" t="n">
        <f aca="false">IF(AND(Projects!$G$12="Yes",O$3&gt;=Projects!$C$12,O$3&lt;Projects!$C$12+Projects!$D$12),Projects!$B$12*INDEX(Curves!$B$4:$AR$4,1,O$3-Projects!$C$12+1),0)-IF(AND(Projects!$G$12="Yes",O$3&gt;=Projects!$C$12,O$3&lt;Projects!$C$12+Projects!$D$12),Projects!$B$12*(Assumptions!$B$10+Assumptions!$B$11+Assumptions!$B$12)/Projects!$D$12*0.95,0)-IF(AND(Projects!$G$12="Yes",O$3=Projects!$C$12+Projects!$D$12-1),Projects!$B$12*(Assumptions!$B$10+Assumptions!$B$11+Assumptions!$B$12)*0.05,0)</f>
        <v>356121.88653535</v>
      </c>
      <c r="P23" s="30" t="n">
        <f aca="false">IF(AND(Projects!$G$12="Yes",P$3&gt;=Projects!$C$12,P$3&lt;Projects!$C$12+Projects!$D$12),Projects!$B$12*INDEX(Curves!$B$4:$AR$4,1,P$3-Projects!$C$12+1),0)-IF(AND(Projects!$G$12="Yes",P$3&gt;=Projects!$C$12,P$3&lt;Projects!$C$12+Projects!$D$12),Projects!$B$12*(Assumptions!$B$10+Assumptions!$B$11+Assumptions!$B$12)/Projects!$D$12*0.95,0)-IF(AND(Projects!$G$12="Yes",P$3=Projects!$C$12+Projects!$D$12-1),Projects!$B$12*(Assumptions!$B$10+Assumptions!$B$11+Assumptions!$B$12)*0.05,0)</f>
        <v>403686.84624735</v>
      </c>
      <c r="Q23" s="30" t="n">
        <f aca="false">IF(AND(Projects!$G$12="Yes",Q$3&gt;=Projects!$C$12,Q$3&lt;Projects!$C$12+Projects!$D$12),Projects!$B$12*INDEX(Curves!$B$4:$AR$4,1,Q$3-Projects!$C$12+1),0)-IF(AND(Projects!$G$12="Yes",Q$3&gt;=Projects!$C$12,Q$3&lt;Projects!$C$12+Projects!$D$12),Projects!$B$12*(Assumptions!$B$10+Assumptions!$B$11+Assumptions!$B$12)/Projects!$D$12*0.95,0)-IF(AND(Projects!$G$12="Yes",Q$3=Projects!$C$12+Projects!$D$12-1),Projects!$B$12*(Assumptions!$B$10+Assumptions!$B$11+Assumptions!$B$12)*0.05,0)</f>
        <v>444544.12049235</v>
      </c>
      <c r="R23" s="30" t="n">
        <f aca="false">IF(AND(Projects!$G$12="Yes",R$3&gt;=Projects!$C$12,R$3&lt;Projects!$C$12+Projects!$D$12),Projects!$B$12*INDEX(Curves!$B$4:$AR$4,1,R$3-Projects!$C$12+1),0)-IF(AND(Projects!$G$12="Yes",R$3&gt;=Projects!$C$12,R$3&lt;Projects!$C$12+Projects!$D$12),Projects!$B$12*(Assumptions!$B$10+Assumptions!$B$11+Assumptions!$B$12)/Projects!$D$12*0.95,0)-IF(AND(Projects!$G$12="Yes",R$3=Projects!$C$12+Projects!$D$12-1),Projects!$B$12*(Assumptions!$B$10+Assumptions!$B$11+Assumptions!$B$12)*0.05,0)</f>
        <v>475984.98139335</v>
      </c>
      <c r="S23" s="30" t="n">
        <f aca="false">IF(AND(Projects!$G$12="Yes",S$3&gt;=Projects!$C$12,S$3&lt;Projects!$C$12+Projects!$D$12),Projects!$B$12*INDEX(Curves!$B$4:$AR$4,1,S$3-Projects!$C$12+1),0)-IF(AND(Projects!$G$12="Yes",S$3&gt;=Projects!$C$12,S$3&lt;Projects!$C$12+Projects!$D$12),Projects!$B$12*(Assumptions!$B$10+Assumptions!$B$11+Assumptions!$B$12)/Projects!$D$12*0.95,0)-IF(AND(Projects!$G$12="Yes",S$3=Projects!$C$12+Projects!$D$12-1),Projects!$B$12*(Assumptions!$B$10+Assumptions!$B$11+Assumptions!$B$12)*0.05,0)</f>
        <v>495813.77487735</v>
      </c>
      <c r="T23" s="30" t="n">
        <f aca="false">IF(AND(Projects!$G$12="Yes",T$3&gt;=Projects!$C$12,T$3&lt;Projects!$C$12+Projects!$D$12),Projects!$B$12*INDEX(Curves!$B$4:$AR$4,1,T$3-Projects!$C$12+1),0)-IF(AND(Projects!$G$12="Yes",T$3&gt;=Projects!$C$12,T$3&lt;Projects!$C$12+Projects!$D$12),Projects!$B$12*(Assumptions!$B$10+Assumptions!$B$11+Assumptions!$B$12)/Projects!$D$12*0.95,0)-IF(AND(Projects!$G$12="Yes",T$3=Projects!$C$12+Projects!$D$12-1),Projects!$B$12*(Assumptions!$B$10+Assumptions!$B$11+Assumptions!$B$12)*0.05,0)</f>
        <v>502589.36717135</v>
      </c>
      <c r="U23" s="30" t="n">
        <f aca="false">IF(AND(Projects!$G$12="Yes",U$3&gt;=Projects!$C$12,U$3&lt;Projects!$C$12+Projects!$D$12),Projects!$B$12*INDEX(Curves!$B$4:$AR$4,1,U$3-Projects!$C$12+1),0)-IF(AND(Projects!$G$12="Yes",U$3&gt;=Projects!$C$12,U$3&lt;Projects!$C$12+Projects!$D$12),Projects!$B$12*(Assumptions!$B$10+Assumptions!$B$11+Assumptions!$B$12)/Projects!$D$12*0.95,0)-IF(AND(Projects!$G$12="Yes",U$3=Projects!$C$12+Projects!$D$12-1),Projects!$B$12*(Assumptions!$B$10+Assumptions!$B$11+Assumptions!$B$12)*0.05,0)</f>
        <v>495813.77487735</v>
      </c>
      <c r="V23" s="30" t="n">
        <f aca="false">IF(AND(Projects!$G$12="Yes",V$3&gt;=Projects!$C$12,V$3&lt;Projects!$C$12+Projects!$D$12),Projects!$B$12*INDEX(Curves!$B$4:$AR$4,1,V$3-Projects!$C$12+1),0)-IF(AND(Projects!$G$12="Yes",V$3&gt;=Projects!$C$12,V$3&lt;Projects!$C$12+Projects!$D$12),Projects!$B$12*(Assumptions!$B$10+Assumptions!$B$11+Assumptions!$B$12)/Projects!$D$12*0.95,0)-IF(AND(Projects!$G$12="Yes",V$3=Projects!$C$12+Projects!$D$12-1),Projects!$B$12*(Assumptions!$B$10+Assumptions!$B$11+Assumptions!$B$12)*0.05,0)</f>
        <v>475984.98139335</v>
      </c>
      <c r="W23" s="30" t="n">
        <f aca="false">IF(AND(Projects!$G$12="Yes",W$3&gt;=Projects!$C$12,W$3&lt;Projects!$C$12+Projects!$D$12),Projects!$B$12*INDEX(Curves!$B$4:$AR$4,1,W$3-Projects!$C$12+1),0)-IF(AND(Projects!$G$12="Yes",W$3&gt;=Projects!$C$12,W$3&lt;Projects!$C$12+Projects!$D$12),Projects!$B$12*(Assumptions!$B$10+Assumptions!$B$11+Assumptions!$B$12)/Projects!$D$12*0.95,0)-IF(AND(Projects!$G$12="Yes",W$3=Projects!$C$12+Projects!$D$12-1),Projects!$B$12*(Assumptions!$B$10+Assumptions!$B$11+Assumptions!$B$12)*0.05,0)</f>
        <v>444544.12049235</v>
      </c>
      <c r="X23" s="30" t="n">
        <f aca="false">IF(AND(Projects!$G$12="Yes",X$3&gt;=Projects!$C$12,X$3&lt;Projects!$C$12+Projects!$D$12),Projects!$B$12*INDEX(Curves!$B$4:$AR$4,1,X$3-Projects!$C$12+1),0)-IF(AND(Projects!$G$12="Yes",X$3&gt;=Projects!$C$12,X$3&lt;Projects!$C$12+Projects!$D$12),Projects!$B$12*(Assumptions!$B$10+Assumptions!$B$11+Assumptions!$B$12)/Projects!$D$12*0.95,0)-IF(AND(Projects!$G$12="Yes",X$3=Projects!$C$12+Projects!$D$12-1),Projects!$B$12*(Assumptions!$B$10+Assumptions!$B$11+Assumptions!$B$12)*0.05,0)</f>
        <v>403686.84624735</v>
      </c>
      <c r="Y23" s="30" t="n">
        <f aca="false">IF(AND(Projects!$G$12="Yes",Y$3&gt;=Projects!$C$12,Y$3&lt;Projects!$C$12+Projects!$D$12),Projects!$B$12*INDEX(Curves!$B$4:$AR$4,1,Y$3-Projects!$C$12+1),0)-IF(AND(Projects!$G$12="Yes",Y$3&gt;=Projects!$C$12,Y$3&lt;Projects!$C$12+Projects!$D$12),Projects!$B$12*(Assumptions!$B$10+Assumptions!$B$11+Assumptions!$B$12)/Projects!$D$12*0.95,0)-IF(AND(Projects!$G$12="Yes",Y$3=Projects!$C$12+Projects!$D$12-1),Projects!$B$12*(Assumptions!$B$10+Assumptions!$B$11+Assumptions!$B$12)*0.05,0)</f>
        <v>356121.88653535</v>
      </c>
      <c r="Z23" s="30" t="n">
        <f aca="false">IF(AND(Projects!$G$12="Yes",Z$3&gt;=Projects!$C$12,Z$3&lt;Projects!$C$12+Projects!$D$12),Projects!$B$12*INDEX(Curves!$B$4:$AR$4,1,Z$3-Projects!$C$12+1),0)-IF(AND(Projects!$G$12="Yes",Z$3&gt;=Projects!$C$12,Z$3&lt;Projects!$C$12+Projects!$D$12),Projects!$B$12*(Assumptions!$B$10+Assumptions!$B$11+Assumptions!$B$12)/Projects!$D$12*0.95,0)-IF(AND(Projects!$G$12="Yes",Z$3=Projects!$C$12+Projects!$D$12-1),Projects!$B$12*(Assumptions!$B$10+Assumptions!$B$11+Assumptions!$B$12)*0.05,0)</f>
        <v>304769.23491735</v>
      </c>
      <c r="AA23" s="30" t="n">
        <f aca="false">IF(AND(Projects!$G$12="Yes",AA$3&gt;=Projects!$C$12,AA$3&lt;Projects!$C$12+Projects!$D$12),Projects!$B$12*INDEX(Curves!$B$4:$AR$4,1,AA$3-Projects!$C$12+1),0)-IF(AND(Projects!$G$12="Yes",AA$3&gt;=Projects!$C$12,AA$3&lt;Projects!$C$12+Projects!$D$12),Projects!$B$12*(Assumptions!$B$10+Assumptions!$B$11+Assumptions!$B$12)/Projects!$D$12*0.95,0)-IF(AND(Projects!$G$12="Yes",AA$3=Projects!$C$12+Projects!$D$12-1),Projects!$B$12*(Assumptions!$B$10+Assumptions!$B$11+Assumptions!$B$12)*0.05,0)</f>
        <v>252480.97812735</v>
      </c>
      <c r="AB23" s="30" t="n">
        <f aca="false">IF(AND(Projects!$G$12="Yes",AB$3&gt;=Projects!$C$12,AB$3&lt;Projects!$C$12+Projects!$D$12),Projects!$B$12*INDEX(Curves!$B$4:$AR$4,1,AB$3-Projects!$C$12+1),0)-IF(AND(Projects!$G$12="Yes",AB$3&gt;=Projects!$C$12,AB$3&lt;Projects!$C$12+Projects!$D$12),Projects!$B$12*(Assumptions!$B$10+Assumptions!$B$11+Assumptions!$B$12)/Projects!$D$12*0.95,0)-IF(AND(Projects!$G$12="Yes",AB$3=Projects!$C$12+Projects!$D$12-1),Projects!$B$12*(Assumptions!$B$10+Assumptions!$B$11+Assumptions!$B$12)*0.05,0)</f>
        <v>201769.66876435</v>
      </c>
      <c r="AC23" s="30" t="n">
        <f aca="false">IF(AND(Projects!$G$12="Yes",AC$3&gt;=Projects!$C$12,AC$3&lt;Projects!$C$12+Projects!$D$12),Projects!$B$12*INDEX(Curves!$B$4:$AR$4,1,AC$3-Projects!$C$12+1),0)-IF(AND(Projects!$G$12="Yes",AC$3&gt;=Projects!$C$12,AC$3&lt;Projects!$C$12+Projects!$D$12),Projects!$B$12*(Assumptions!$B$10+Assumptions!$B$11+Assumptions!$B$12)/Projects!$D$12*0.95,0)-IF(AND(Projects!$G$12="Yes",AC$3=Projects!$C$12+Projects!$D$12-1),Projects!$B$12*(Assumptions!$B$10+Assumptions!$B$11+Assumptions!$B$12)*0.05,0)</f>
        <v>109238.6945137</v>
      </c>
      <c r="AD23" s="30" t="n">
        <f aca="false">IF(AND(Projects!$G$12="Yes",AD$3&gt;=Projects!$C$12,AD$3&lt;Projects!$C$12+Projects!$D$12),Projects!$B$12*INDEX(Curves!$B$4:$AR$4,1,AD$3-Projects!$C$12+1),0)-IF(AND(Projects!$G$12="Yes",AD$3&gt;=Projects!$C$12,AD$3&lt;Projects!$C$12+Projects!$D$12),Projects!$B$12*(Assumptions!$B$10+Assumptions!$B$11+Assumptions!$B$12)/Projects!$D$12*0.95,0)-IF(AND(Projects!$G$12="Yes",AD$3=Projects!$C$12+Projects!$D$12-1),Projects!$B$12*(Assumptions!$B$10+Assumptions!$B$11+Assumptions!$B$12)*0.05,0)</f>
        <v>0</v>
      </c>
      <c r="AE23" s="30" t="n">
        <f aca="false">IF(AND(Projects!$G$12="Yes",AE$3&gt;=Projects!$C$12,AE$3&lt;Projects!$C$12+Projects!$D$12),Projects!$B$12*INDEX(Curves!$B$4:$AR$4,1,AE$3-Projects!$C$12+1),0)-IF(AND(Projects!$G$12="Yes",AE$3&gt;=Projects!$C$12,AE$3&lt;Projects!$C$12+Projects!$D$12),Projects!$B$12*(Assumptions!$B$10+Assumptions!$B$11+Assumptions!$B$12)/Projects!$D$12*0.95,0)-IF(AND(Projects!$G$12="Yes",AE$3=Projects!$C$12+Projects!$D$12-1),Projects!$B$12*(Assumptions!$B$10+Assumptions!$B$11+Assumptions!$B$12)*0.05,0)</f>
        <v>0</v>
      </c>
      <c r="AF23" s="30" t="n">
        <f aca="false">IF(AND(Projects!$G$12="Yes",AF$3&gt;=Projects!$C$12,AF$3&lt;Projects!$C$12+Projects!$D$12),Projects!$B$12*INDEX(Curves!$B$4:$AR$4,1,AF$3-Projects!$C$12+1),0)-IF(AND(Projects!$G$12="Yes",AF$3&gt;=Projects!$C$12,AF$3&lt;Projects!$C$12+Projects!$D$12),Projects!$B$12*(Assumptions!$B$10+Assumptions!$B$11+Assumptions!$B$12)/Projects!$D$12*0.95,0)-IF(AND(Projects!$G$12="Yes",AF$3=Projects!$C$12+Projects!$D$12-1),Projects!$B$12*(Assumptions!$B$10+Assumptions!$B$11+Assumptions!$B$12)*0.05,0)</f>
        <v>0</v>
      </c>
      <c r="AG23" s="30" t="n">
        <f aca="false">IF(AND(Projects!$G$12="Yes",AG$3&gt;=Projects!$C$12,AG$3&lt;Projects!$C$12+Projects!$D$12),Projects!$B$12*INDEX(Curves!$B$4:$AR$4,1,AG$3-Projects!$C$12+1),0)-IF(AND(Projects!$G$12="Yes",AG$3&gt;=Projects!$C$12,AG$3&lt;Projects!$C$12+Projects!$D$12),Projects!$B$12*(Assumptions!$B$10+Assumptions!$B$11+Assumptions!$B$12)/Projects!$D$12*0.95,0)-IF(AND(Projects!$G$12="Yes",AG$3=Projects!$C$12+Projects!$D$12-1),Projects!$B$12*(Assumptions!$B$10+Assumptions!$B$11+Assumptions!$B$12)*0.05,0)</f>
        <v>0</v>
      </c>
      <c r="AH23" s="30" t="n">
        <f aca="false">IF(AND(Projects!$G$12="Yes",AH$3&gt;=Projects!$C$12,AH$3&lt;Projects!$C$12+Projects!$D$12),Projects!$B$12*INDEX(Curves!$B$4:$AR$4,1,AH$3-Projects!$C$12+1),0)-IF(AND(Projects!$G$12="Yes",AH$3&gt;=Projects!$C$12,AH$3&lt;Projects!$C$12+Projects!$D$12),Projects!$B$12*(Assumptions!$B$10+Assumptions!$B$11+Assumptions!$B$12)/Projects!$D$12*0.95,0)-IF(AND(Projects!$G$12="Yes",AH$3=Projects!$C$12+Projects!$D$12-1),Projects!$B$12*(Assumptions!$B$10+Assumptions!$B$11+Assumptions!$B$12)*0.05,0)</f>
        <v>0</v>
      </c>
      <c r="AI23" s="30" t="n">
        <f aca="false">IF(AND(Projects!$G$12="Yes",AI$3&gt;=Projects!$C$12,AI$3&lt;Projects!$C$12+Projects!$D$12),Projects!$B$12*INDEX(Curves!$B$4:$AR$4,1,AI$3-Projects!$C$12+1),0)-IF(AND(Projects!$G$12="Yes",AI$3&gt;=Projects!$C$12,AI$3&lt;Projects!$C$12+Projects!$D$12),Projects!$B$12*(Assumptions!$B$10+Assumptions!$B$11+Assumptions!$B$12)/Projects!$D$12*0.95,0)-IF(AND(Projects!$G$12="Yes",AI$3=Projects!$C$12+Projects!$D$12-1),Projects!$B$12*(Assumptions!$B$10+Assumptions!$B$11+Assumptions!$B$12)*0.05,0)</f>
        <v>0</v>
      </c>
      <c r="AJ23" s="30" t="n">
        <f aca="false">IF(AND(Projects!$G$12="Yes",AJ$3&gt;=Projects!$C$12,AJ$3&lt;Projects!$C$12+Projects!$D$12),Projects!$B$12*INDEX(Curves!$B$4:$AR$4,1,AJ$3-Projects!$C$12+1),0)-IF(AND(Projects!$G$12="Yes",AJ$3&gt;=Projects!$C$12,AJ$3&lt;Projects!$C$12+Projects!$D$12),Projects!$B$12*(Assumptions!$B$10+Assumptions!$B$11+Assumptions!$B$12)/Projects!$D$12*0.95,0)-IF(AND(Projects!$G$12="Yes",AJ$3=Projects!$C$12+Projects!$D$12-1),Projects!$B$12*(Assumptions!$B$10+Assumptions!$B$11+Assumptions!$B$12)*0.05,0)</f>
        <v>0</v>
      </c>
      <c r="AK23" s="30" t="n">
        <f aca="false">IF(AND(Projects!$G$12="Yes",AK$3&gt;=Projects!$C$12,AK$3&lt;Projects!$C$12+Projects!$D$12),Projects!$B$12*INDEX(Curves!$B$4:$AR$4,1,AK$3-Projects!$C$12+1),0)-IF(AND(Projects!$G$12="Yes",AK$3&gt;=Projects!$C$12,AK$3&lt;Projects!$C$12+Projects!$D$12),Projects!$B$12*(Assumptions!$B$10+Assumptions!$B$11+Assumptions!$B$12)/Projects!$D$12*0.95,0)-IF(AND(Projects!$G$12="Yes",AK$3=Projects!$C$12+Projects!$D$12-1),Projects!$B$12*(Assumptions!$B$10+Assumptions!$B$11+Assumptions!$B$12)*0.05,0)</f>
        <v>0</v>
      </c>
      <c r="AL23" s="30" t="n">
        <f aca="false">IF(AND(Projects!$G$12="Yes",AL$3&gt;=Projects!$C$12,AL$3&lt;Projects!$C$12+Projects!$D$12),Projects!$B$12*INDEX(Curves!$B$4:$AR$4,1,AL$3-Projects!$C$12+1),0)-IF(AND(Projects!$G$12="Yes",AL$3&gt;=Projects!$C$12,AL$3&lt;Projects!$C$12+Projects!$D$12),Projects!$B$12*(Assumptions!$B$10+Assumptions!$B$11+Assumptions!$B$12)/Projects!$D$12*0.95,0)-IF(AND(Projects!$G$12="Yes",AL$3=Projects!$C$12+Projects!$D$12-1),Projects!$B$12*(Assumptions!$B$10+Assumptions!$B$11+Assumptions!$B$12)*0.05,0)</f>
        <v>0</v>
      </c>
      <c r="AM23" s="30" t="n">
        <f aca="false">IF(AND(Projects!$G$12="Yes",AM$3&gt;=Projects!$C$12,AM$3&lt;Projects!$C$12+Projects!$D$12),Projects!$B$12*INDEX(Curves!$B$4:$AR$4,1,AM$3-Projects!$C$12+1),0)-IF(AND(Projects!$G$12="Yes",AM$3&gt;=Projects!$C$12,AM$3&lt;Projects!$C$12+Projects!$D$12),Projects!$B$12*(Assumptions!$B$10+Assumptions!$B$11+Assumptions!$B$12)/Projects!$D$12*0.95,0)-IF(AND(Projects!$G$12="Yes",AM$3=Projects!$C$12+Projects!$D$12-1),Projects!$B$12*(Assumptions!$B$10+Assumptions!$B$11+Assumptions!$B$12)*0.05,0)</f>
        <v>0</v>
      </c>
      <c r="AN23" s="30" t="n">
        <f aca="false">IF(AND(Projects!$G$12="Yes",AN$3&gt;=Projects!$C$12,AN$3&lt;Projects!$C$12+Projects!$D$12),Projects!$B$12*INDEX(Curves!$B$4:$AR$4,1,AN$3-Projects!$C$12+1),0)-IF(AND(Projects!$G$12="Yes",AN$3&gt;=Projects!$C$12,AN$3&lt;Projects!$C$12+Projects!$D$12),Projects!$B$12*(Assumptions!$B$10+Assumptions!$B$11+Assumptions!$B$12)/Projects!$D$12*0.95,0)-IF(AND(Projects!$G$12="Yes",AN$3=Projects!$C$12+Projects!$D$12-1),Projects!$B$12*(Assumptions!$B$10+Assumptions!$B$11+Assumptions!$B$12)*0.05,0)</f>
        <v>0</v>
      </c>
      <c r="AO23" s="30" t="n">
        <f aca="false">IF(AND(Projects!$G$12="Yes",AO$3&gt;=Projects!$C$12,AO$3&lt;Projects!$C$12+Projects!$D$12),Projects!$B$12*INDEX(Curves!$B$4:$AR$4,1,AO$3-Projects!$C$12+1),0)-IF(AND(Projects!$G$12="Yes",AO$3&gt;=Projects!$C$12,AO$3&lt;Projects!$C$12+Projects!$D$12),Projects!$B$12*(Assumptions!$B$10+Assumptions!$B$11+Assumptions!$B$12)/Projects!$D$12*0.95,0)-IF(AND(Projects!$G$12="Yes",AO$3=Projects!$C$12+Projects!$D$12-1),Projects!$B$12*(Assumptions!$B$10+Assumptions!$B$11+Assumptions!$B$12)*0.05,0)</f>
        <v>0</v>
      </c>
      <c r="AP23" s="30" t="n">
        <f aca="false">IF(AND(Projects!$G$12="Yes",AP$3&gt;=Projects!$C$12,AP$3&lt;Projects!$C$12+Projects!$D$12),Projects!$B$12*INDEX(Curves!$B$4:$AR$4,1,AP$3-Projects!$C$12+1),0)-IF(AND(Projects!$G$12="Yes",AP$3&gt;=Projects!$C$12,AP$3&lt;Projects!$C$12+Projects!$D$12),Projects!$B$12*(Assumptions!$B$10+Assumptions!$B$11+Assumptions!$B$12)/Projects!$D$12*0.95,0)-IF(AND(Projects!$G$12="Yes",AP$3=Projects!$C$12+Projects!$D$12-1),Projects!$B$12*(Assumptions!$B$10+Assumptions!$B$11+Assumptions!$B$12)*0.05,0)</f>
        <v>0</v>
      </c>
      <c r="AQ23" s="30" t="n">
        <f aca="false">IF(AND(Projects!$G$12="Yes",AQ$3&gt;=Projects!$C$12,AQ$3&lt;Projects!$C$12+Projects!$D$12),Projects!$B$12*INDEX(Curves!$B$4:$AR$4,1,AQ$3-Projects!$C$12+1),0)-IF(AND(Projects!$G$12="Yes",AQ$3&gt;=Projects!$C$12,AQ$3&lt;Projects!$C$12+Projects!$D$12),Projects!$B$12*(Assumptions!$B$10+Assumptions!$B$11+Assumptions!$B$12)/Projects!$D$12*0.95,0)-IF(AND(Projects!$G$12="Yes",AQ$3=Projects!$C$12+Projects!$D$12-1),Projects!$B$12*(Assumptions!$B$10+Assumptions!$B$11+Assumptions!$B$12)*0.05,0)</f>
        <v>0</v>
      </c>
      <c r="AR23" s="30" t="n">
        <f aca="false">IF(AND(Projects!$G$12="Yes",AR$3&gt;=Projects!$C$12,AR$3&lt;Projects!$C$12+Projects!$D$12),Projects!$B$12*INDEX(Curves!$B$4:$AR$4,1,AR$3-Projects!$C$12+1),0)-IF(AND(Projects!$G$12="Yes",AR$3&gt;=Projects!$C$12,AR$3&lt;Projects!$C$12+Projects!$D$12),Projects!$B$12*(Assumptions!$B$10+Assumptions!$B$11+Assumptions!$B$12)/Projects!$D$12*0.95,0)-IF(AND(Projects!$G$12="Yes",AR$3=Projects!$C$12+Projects!$D$12-1),Projects!$B$12*(Assumptions!$B$10+Assumptions!$B$11+Assumptions!$B$12)*0.05,0)</f>
        <v>0</v>
      </c>
      <c r="AS23" s="30" t="n">
        <f aca="false">IF(AND(Projects!$G$12="Yes",AS$3&gt;=Projects!$C$12,AS$3&lt;Projects!$C$12+Projects!$D$12),Projects!$B$12*INDEX(Curves!$B$4:$AR$4,1,AS$3-Projects!$C$12+1),0)-IF(AND(Projects!$G$12="Yes",AS$3&gt;=Projects!$C$12,AS$3&lt;Projects!$C$12+Projects!$D$12),Projects!$B$12*(Assumptions!$B$10+Assumptions!$B$11+Assumptions!$B$12)/Projects!$D$12*0.95,0)-IF(AND(Projects!$G$12="Yes",AS$3=Projects!$C$12+Projects!$D$12-1),Projects!$B$12*(Assumptions!$B$10+Assumptions!$B$11+Assumptions!$B$12)*0.05,0)</f>
        <v>0</v>
      </c>
      <c r="AT23" s="30" t="n">
        <f aca="false">IF(AND(Projects!$G$12="Yes",AT$3&gt;=Projects!$C$12,AT$3&lt;Projects!$C$12+Projects!$D$12),Projects!$B$12*INDEX(Curves!$B$4:$AR$4,1,AT$3-Projects!$C$12+1),0)-IF(AND(Projects!$G$12="Yes",AT$3&gt;=Projects!$C$12,AT$3&lt;Projects!$C$12+Projects!$D$12),Projects!$B$12*(Assumptions!$B$10+Assumptions!$B$11+Assumptions!$B$12)/Projects!$D$12*0.95,0)-IF(AND(Projects!$G$12="Yes",AT$3=Projects!$C$12+Projects!$D$12-1),Projects!$B$12*(Assumptions!$B$10+Assumptions!$B$11+Assumptions!$B$12)*0.05,0)</f>
        <v>0</v>
      </c>
      <c r="AU23" s="30" t="n">
        <f aca="false">IF(AND(Projects!$G$12="Yes",AU$3&gt;=Projects!$C$12,AU$3&lt;Projects!$C$12+Projects!$D$12),Projects!$B$12*INDEX(Curves!$B$4:$AR$4,1,AU$3-Projects!$C$12+1),0)-IF(AND(Projects!$G$12="Yes",AU$3&gt;=Projects!$C$12,AU$3&lt;Projects!$C$12+Projects!$D$12),Projects!$B$12*(Assumptions!$B$10+Assumptions!$B$11+Assumptions!$B$12)/Projects!$D$12*0.95,0)-IF(AND(Projects!$G$12="Yes",AU$3=Projects!$C$12+Projects!$D$12-1),Projects!$B$12*(Assumptions!$B$10+Assumptions!$B$11+Assumptions!$B$12)*0.05,0)</f>
        <v>0</v>
      </c>
      <c r="AV23" s="30" t="n">
        <f aca="false">IF(AND(Projects!$G$12="Yes",AV$3&gt;=Projects!$C$12,AV$3&lt;Projects!$C$12+Projects!$D$12),Projects!$B$12*INDEX(Curves!$B$4:$AR$4,1,AV$3-Projects!$C$12+1),0)-IF(AND(Projects!$G$12="Yes",AV$3&gt;=Projects!$C$12,AV$3&lt;Projects!$C$12+Projects!$D$12),Projects!$B$12*(Assumptions!$B$10+Assumptions!$B$11+Assumptions!$B$12)/Projects!$D$12*0.95,0)-IF(AND(Projects!$G$12="Yes",AV$3=Projects!$C$12+Projects!$D$12-1),Projects!$B$12*(Assumptions!$B$10+Assumptions!$B$11+Assumptions!$B$12)*0.05,0)</f>
        <v>0</v>
      </c>
      <c r="AW23" s="30" t="n">
        <f aca="false">IF(AND(Projects!$G$12="Yes",AW$3&gt;=Projects!$C$12,AW$3&lt;Projects!$C$12+Projects!$D$12),Projects!$B$12*INDEX(Curves!$B$4:$AR$4,1,AW$3-Projects!$C$12+1),0)-IF(AND(Projects!$G$12="Yes",AW$3&gt;=Projects!$C$12,AW$3&lt;Projects!$C$12+Projects!$D$12),Projects!$B$12*(Assumptions!$B$10+Assumptions!$B$11+Assumptions!$B$12)/Projects!$D$12*0.95,0)-IF(AND(Projects!$G$12="Yes",AW$3=Projects!$C$12+Projects!$D$12-1),Projects!$B$12*(Assumptions!$B$10+Assumptions!$B$11+Assumptions!$B$12)*0.05,0)</f>
        <v>0</v>
      </c>
      <c r="AX23" s="30" t="n">
        <f aca="false">IF(AND(Projects!$G$12="Yes",AX$3&gt;=Projects!$C$12,AX$3&lt;Projects!$C$12+Projects!$D$12),Projects!$B$12*INDEX(Curves!$B$4:$AR$4,1,AX$3-Projects!$C$12+1),0)-IF(AND(Projects!$G$12="Yes",AX$3&gt;=Projects!$C$12,AX$3&lt;Projects!$C$12+Projects!$D$12),Projects!$B$12*(Assumptions!$B$10+Assumptions!$B$11+Assumptions!$B$12)/Projects!$D$12*0.95,0)-IF(AND(Projects!$G$12="Yes",AX$3=Projects!$C$12+Projects!$D$12-1),Projects!$B$12*(Assumptions!$B$10+Assumptions!$B$11+Assumptions!$B$12)*0.05,0)</f>
        <v>0</v>
      </c>
      <c r="AY23" s="30" t="n">
        <f aca="false">IF(AND(Projects!$G$12="Yes",AY$3&gt;=Projects!$C$12,AY$3&lt;Projects!$C$12+Projects!$D$12),Projects!$B$12*INDEX(Curves!$B$4:$AR$4,1,AY$3-Projects!$C$12+1),0)-IF(AND(Projects!$G$12="Yes",AY$3&gt;=Projects!$C$12,AY$3&lt;Projects!$C$12+Projects!$D$12),Projects!$B$12*(Assumptions!$B$10+Assumptions!$B$11+Assumptions!$B$12)/Projects!$D$12*0.95,0)-IF(AND(Projects!$G$12="Yes",AY$3=Projects!$C$12+Projects!$D$12-1),Projects!$B$12*(Assumptions!$B$10+Assumptions!$B$11+Assumptions!$B$12)*0.05,0)</f>
        <v>0</v>
      </c>
      <c r="AZ23" s="30" t="n">
        <f aca="false">IF(AND(Projects!$G$12="Yes",AZ$3&gt;=Projects!$C$12,AZ$3&lt;Projects!$C$12+Projects!$D$12),Projects!$B$12*INDEX(Curves!$B$4:$AR$4,1,AZ$3-Projects!$C$12+1),0)-IF(AND(Projects!$G$12="Yes",AZ$3&gt;=Projects!$C$12,AZ$3&lt;Projects!$C$12+Projects!$D$12),Projects!$B$12*(Assumptions!$B$10+Assumptions!$B$11+Assumptions!$B$12)/Projects!$D$12*0.95,0)-IF(AND(Projects!$G$12="Yes",AZ$3=Projects!$C$12+Projects!$D$12-1),Projects!$B$12*(Assumptions!$B$10+Assumptions!$B$11+Assumptions!$B$12)*0.05,0)</f>
        <v>0</v>
      </c>
      <c r="BA23" s="30" t="n">
        <f aca="false">IF(AND(Projects!$G$12="Yes",BA$3&gt;=Projects!$C$12,BA$3&lt;Projects!$C$12+Projects!$D$12),Projects!$B$12*INDEX(Curves!$B$4:$AR$4,1,BA$3-Projects!$C$12+1),0)-IF(AND(Projects!$G$12="Yes",BA$3&gt;=Projects!$C$12,BA$3&lt;Projects!$C$12+Projects!$D$12),Projects!$B$12*(Assumptions!$B$10+Assumptions!$B$11+Assumptions!$B$12)/Projects!$D$12*0.95,0)-IF(AND(Projects!$G$12="Yes",BA$3=Projects!$C$12+Projects!$D$12-1),Projects!$B$12*(Assumptions!$B$10+Assumptions!$B$11+Assumptions!$B$12)*0.05,0)</f>
        <v>0</v>
      </c>
      <c r="BB23" s="30" t="n">
        <f aca="false">IF(AND(Projects!$G$12="Yes",BB$3&gt;=Projects!$C$12,BB$3&lt;Projects!$C$12+Projects!$D$12),Projects!$B$12*INDEX(Curves!$B$4:$AR$4,1,BB$3-Projects!$C$12+1),0)-IF(AND(Projects!$G$12="Yes",BB$3&gt;=Projects!$C$12,BB$3&lt;Projects!$C$12+Projects!$D$12),Projects!$B$12*(Assumptions!$B$10+Assumptions!$B$11+Assumptions!$B$12)/Projects!$D$12*0.95,0)-IF(AND(Projects!$G$12="Yes",BB$3=Projects!$C$12+Projects!$D$12-1),Projects!$B$12*(Assumptions!$B$10+Assumptions!$B$11+Assumptions!$B$12)*0.05,0)</f>
        <v>0</v>
      </c>
      <c r="BC23" s="30" t="n">
        <f aca="false">IF(AND(Projects!$G$12="Yes",BC$3&gt;=Projects!$C$12,BC$3&lt;Projects!$C$12+Projects!$D$12),Projects!$B$12*INDEX(Curves!$B$4:$AR$4,1,BC$3-Projects!$C$12+1),0)-IF(AND(Projects!$G$12="Yes",BC$3&gt;=Projects!$C$12,BC$3&lt;Projects!$C$12+Projects!$D$12),Projects!$B$12*(Assumptions!$B$10+Assumptions!$B$11+Assumptions!$B$12)/Projects!$D$12*0.95,0)-IF(AND(Projects!$G$12="Yes",BC$3=Projects!$C$12+Projects!$D$12-1),Projects!$B$12*(Assumptions!$B$10+Assumptions!$B$11+Assumptions!$B$12)*0.05,0)</f>
        <v>0</v>
      </c>
      <c r="BD23" s="30" t="n">
        <f aca="false">IF(AND(Projects!$G$12="Yes",BD$3&gt;=Projects!$C$12,BD$3&lt;Projects!$C$12+Projects!$D$12),Projects!$B$12*INDEX(Curves!$B$4:$AR$4,1,BD$3-Projects!$C$12+1),0)-IF(AND(Projects!$G$12="Yes",BD$3&gt;=Projects!$C$12,BD$3&lt;Projects!$C$12+Projects!$D$12),Projects!$B$12*(Assumptions!$B$10+Assumptions!$B$11+Assumptions!$B$12)/Projects!$D$12*0.95,0)-IF(AND(Projects!$G$12="Yes",BD$3=Projects!$C$12+Projects!$D$12-1),Projects!$B$12*(Assumptions!$B$10+Assumptions!$B$11+Assumptions!$B$12)*0.05,0)</f>
        <v>0</v>
      </c>
      <c r="BE23" s="30" t="n">
        <f aca="false">IF(AND(Projects!$G$12="Yes",BE$3&gt;=Projects!$C$12,BE$3&lt;Projects!$C$12+Projects!$D$12),Projects!$B$12*INDEX(Curves!$B$4:$AR$4,1,BE$3-Projects!$C$12+1),0)-IF(AND(Projects!$G$12="Yes",BE$3&gt;=Projects!$C$12,BE$3&lt;Projects!$C$12+Projects!$D$12),Projects!$B$12*(Assumptions!$B$10+Assumptions!$B$11+Assumptions!$B$12)/Projects!$D$12*0.95,0)-IF(AND(Projects!$G$12="Yes",BE$3=Projects!$C$12+Projects!$D$12-1),Projects!$B$12*(Assumptions!$B$10+Assumptions!$B$11+Assumptions!$B$12)*0.05,0)</f>
        <v>0</v>
      </c>
      <c r="BF23" s="30" t="n">
        <f aca="false">IF(AND(Projects!$G$12="Yes",BF$3&gt;=Projects!$C$12,BF$3&lt;Projects!$C$12+Projects!$D$12),Projects!$B$12*INDEX(Curves!$B$4:$AR$4,1,BF$3-Projects!$C$12+1),0)-IF(AND(Projects!$G$12="Yes",BF$3&gt;=Projects!$C$12,BF$3&lt;Projects!$C$12+Projects!$D$12),Projects!$B$12*(Assumptions!$B$10+Assumptions!$B$11+Assumptions!$B$12)/Projects!$D$12*0.95,0)-IF(AND(Projects!$G$12="Yes",BF$3=Projects!$C$12+Projects!$D$12-1),Projects!$B$12*(Assumptions!$B$10+Assumptions!$B$11+Assumptions!$B$12)*0.05,0)</f>
        <v>0</v>
      </c>
      <c r="BG23" s="30" t="n">
        <f aca="false">IF(AND(Projects!$G$12="Yes",BG$3&gt;=Projects!$C$12,BG$3&lt;Projects!$C$12+Projects!$D$12),Projects!$B$12*INDEX(Curves!$B$4:$AR$4,1,BG$3-Projects!$C$12+1),0)-IF(AND(Projects!$G$12="Yes",BG$3&gt;=Projects!$C$12,BG$3&lt;Projects!$C$12+Projects!$D$12),Projects!$B$12*(Assumptions!$B$10+Assumptions!$B$11+Assumptions!$B$12)/Projects!$D$12*0.95,0)-IF(AND(Projects!$G$12="Yes",BG$3=Projects!$C$12+Projects!$D$12-1),Projects!$B$12*(Assumptions!$B$10+Assumptions!$B$11+Assumptions!$B$12)*0.05,0)</f>
        <v>0</v>
      </c>
      <c r="BH23" s="30" t="n">
        <f aca="false">IF(AND(Projects!$G$12="Yes",BH$3&gt;=Projects!$C$12,BH$3&lt;Projects!$C$12+Projects!$D$12),Projects!$B$12*INDEX(Curves!$B$4:$AR$4,1,BH$3-Projects!$C$12+1),0)-IF(AND(Projects!$G$12="Yes",BH$3&gt;=Projects!$C$12,BH$3&lt;Projects!$C$12+Projects!$D$12),Projects!$B$12*(Assumptions!$B$10+Assumptions!$B$11+Assumptions!$B$12)/Projects!$D$12*0.95,0)-IF(AND(Projects!$G$12="Yes",BH$3=Projects!$C$12+Projects!$D$12-1),Projects!$B$12*(Assumptions!$B$10+Assumptions!$B$11+Assumptions!$B$12)*0.05,0)</f>
        <v>0</v>
      </c>
      <c r="BI23" s="30" t="n">
        <f aca="false">IF(AND(Projects!$G$12="Yes",BI$3&gt;=Projects!$C$12,BI$3&lt;Projects!$C$12+Projects!$D$12),Projects!$B$12*INDEX(Curves!$B$4:$AR$4,1,BI$3-Projects!$C$12+1),0)-IF(AND(Projects!$G$12="Yes",BI$3&gt;=Projects!$C$12,BI$3&lt;Projects!$C$12+Projects!$D$12),Projects!$B$12*(Assumptions!$B$10+Assumptions!$B$11+Assumptions!$B$12)/Projects!$D$12*0.95,0)-IF(AND(Projects!$G$12="Yes",BI$3=Projects!$C$12+Projects!$D$12-1),Projects!$B$12*(Assumptions!$B$10+Assumptions!$B$11+Assumptions!$B$12)*0.05,0)</f>
        <v>0</v>
      </c>
      <c r="BJ23" s="30" t="n">
        <f aca="false">IF(AND(Projects!$G$12="Yes",BJ$3&gt;=Projects!$C$12,BJ$3&lt;Projects!$C$12+Projects!$D$12),Projects!$B$12*INDEX(Curves!$B$4:$AR$4,1,BJ$3-Projects!$C$12+1),0)-IF(AND(Projects!$G$12="Yes",BJ$3&gt;=Projects!$C$12,BJ$3&lt;Projects!$C$12+Projects!$D$12),Projects!$B$12*(Assumptions!$B$10+Assumptions!$B$11+Assumptions!$B$12)/Projects!$D$12*0.95,0)-IF(AND(Projects!$G$12="Yes",BJ$3=Projects!$C$12+Projects!$D$12-1),Projects!$B$12*(Assumptions!$B$10+Assumptions!$B$11+Assumptions!$B$12)*0.05,0)</f>
        <v>0</v>
      </c>
      <c r="BK23" s="30" t="n">
        <f aca="false">IF(AND(Projects!$G$12="Yes",BK$3&gt;=Projects!$C$12,BK$3&lt;Projects!$C$12+Projects!$D$12),Projects!$B$12*INDEX(Curves!$B$4:$AR$4,1,BK$3-Projects!$C$12+1),0)-IF(AND(Projects!$G$12="Yes",BK$3&gt;=Projects!$C$12,BK$3&lt;Projects!$C$12+Projects!$D$12),Projects!$B$12*(Assumptions!$B$10+Assumptions!$B$11+Assumptions!$B$12)/Projects!$D$12*0.95,0)-IF(AND(Projects!$G$12="Yes",BK$3=Projects!$C$12+Projects!$D$12-1),Projects!$B$12*(Assumptions!$B$10+Assumptions!$B$11+Assumptions!$B$12)*0.05,0)</f>
        <v>0</v>
      </c>
      <c r="BL23" s="30" t="n">
        <f aca="false">IF(AND(Projects!$G$12="Yes",BL$3&gt;=Projects!$C$12,BL$3&lt;Projects!$C$12+Projects!$D$12),Projects!$B$12*INDEX(Curves!$B$4:$AR$4,1,BL$3-Projects!$C$12+1),0)-IF(AND(Projects!$G$12="Yes",BL$3&gt;=Projects!$C$12,BL$3&lt;Projects!$C$12+Projects!$D$12),Projects!$B$12*(Assumptions!$B$10+Assumptions!$B$11+Assumptions!$B$12)/Projects!$D$12*0.95,0)-IF(AND(Projects!$G$12="Yes",BL$3=Projects!$C$12+Projects!$D$12-1),Projects!$B$12*(Assumptions!$B$10+Assumptions!$B$11+Assumptions!$B$12)*0.05,0)</f>
        <v>0</v>
      </c>
      <c r="BM23" s="30" t="n">
        <f aca="false">IF(AND(Projects!$G$12="Yes",BM$3&gt;=Projects!$C$12,BM$3&lt;Projects!$C$12+Projects!$D$12),Projects!$B$12*INDEX(Curves!$B$4:$AR$4,1,BM$3-Projects!$C$12+1),0)-IF(AND(Projects!$G$12="Yes",BM$3&gt;=Projects!$C$12,BM$3&lt;Projects!$C$12+Projects!$D$12),Projects!$B$12*(Assumptions!$B$10+Assumptions!$B$11+Assumptions!$B$12)/Projects!$D$12*0.95,0)-IF(AND(Projects!$G$12="Yes",BM$3=Projects!$C$12+Projects!$D$12-1),Projects!$B$12*(Assumptions!$B$10+Assumptions!$B$11+Assumptions!$B$12)*0.05,0)</f>
        <v>0</v>
      </c>
      <c r="BN23" s="30" t="n">
        <f aca="false">IF(AND(Projects!$G$12="Yes",BN$3&gt;=Projects!$C$12,BN$3&lt;Projects!$C$12+Projects!$D$12),Projects!$B$12*INDEX(Curves!$B$4:$AR$4,1,BN$3-Projects!$C$12+1),0)-IF(AND(Projects!$G$12="Yes",BN$3&gt;=Projects!$C$12,BN$3&lt;Projects!$C$12+Projects!$D$12),Projects!$B$12*(Assumptions!$B$10+Assumptions!$B$11+Assumptions!$B$12)/Projects!$D$12*0.95,0)-IF(AND(Projects!$G$12="Yes",BN$3=Projects!$C$12+Projects!$D$12-1),Projects!$B$12*(Assumptions!$B$10+Assumptions!$B$11+Assumptions!$B$12)*0.05,0)</f>
        <v>0</v>
      </c>
      <c r="BO23" s="30" t="n">
        <f aca="false">IF(AND(Projects!$G$12="Yes",BO$3&gt;=Projects!$C$12,BO$3&lt;Projects!$C$12+Projects!$D$12),Projects!$B$12*INDEX(Curves!$B$4:$AR$4,1,BO$3-Projects!$C$12+1),0)-IF(AND(Projects!$G$12="Yes",BO$3&gt;=Projects!$C$12,BO$3&lt;Projects!$C$12+Projects!$D$12),Projects!$B$12*(Assumptions!$B$10+Assumptions!$B$11+Assumptions!$B$12)/Projects!$D$12*0.95,0)-IF(AND(Projects!$G$12="Yes",BO$3=Projects!$C$12+Projects!$D$12-1),Projects!$B$12*(Assumptions!$B$10+Assumptions!$B$11+Assumptions!$B$12)*0.05,0)</f>
        <v>0</v>
      </c>
      <c r="BP23" s="30" t="n">
        <f aca="false">IF(AND(Projects!$G$12="Yes",BP$3&gt;=Projects!$C$12,BP$3&lt;Projects!$C$12+Projects!$D$12),Projects!$B$12*INDEX(Curves!$B$4:$AR$4,1,BP$3-Projects!$C$12+1),0)-IF(AND(Projects!$G$12="Yes",BP$3&gt;=Projects!$C$12,BP$3&lt;Projects!$C$12+Projects!$D$12),Projects!$B$12*(Assumptions!$B$10+Assumptions!$B$11+Assumptions!$B$12)/Projects!$D$12*0.95,0)-IF(AND(Projects!$G$12="Yes",BP$3=Projects!$C$12+Projects!$D$12-1),Projects!$B$12*(Assumptions!$B$10+Assumptions!$B$11+Assumptions!$B$12)*0.05,0)</f>
        <v>0</v>
      </c>
      <c r="BQ23" s="30" t="n">
        <f aca="false">IF(AND(Projects!$G$12="Yes",BQ$3&gt;=Projects!$C$12,BQ$3&lt;Projects!$C$12+Projects!$D$12),Projects!$B$12*INDEX(Curves!$B$4:$AR$4,1,BQ$3-Projects!$C$12+1),0)-IF(AND(Projects!$G$12="Yes",BQ$3&gt;=Projects!$C$12,BQ$3&lt;Projects!$C$12+Projects!$D$12),Projects!$B$12*(Assumptions!$B$10+Assumptions!$B$11+Assumptions!$B$12)/Projects!$D$12*0.95,0)-IF(AND(Projects!$G$12="Yes",BQ$3=Projects!$C$12+Projects!$D$12-1),Projects!$B$12*(Assumptions!$B$10+Assumptions!$B$11+Assumptions!$B$12)*0.05,0)</f>
        <v>0</v>
      </c>
      <c r="BR23" s="30" t="n">
        <f aca="false">IF(AND(Projects!$G$12="Yes",BR$3&gt;=Projects!$C$12,BR$3&lt;Projects!$C$12+Projects!$D$12),Projects!$B$12*INDEX(Curves!$B$4:$AR$4,1,BR$3-Projects!$C$12+1),0)-IF(AND(Projects!$G$12="Yes",BR$3&gt;=Projects!$C$12,BR$3&lt;Projects!$C$12+Projects!$D$12),Projects!$B$12*(Assumptions!$B$10+Assumptions!$B$11+Assumptions!$B$12)/Projects!$D$12*0.95,0)-IF(AND(Projects!$G$12="Yes",BR$3=Projects!$C$12+Projects!$D$12-1),Projects!$B$12*(Assumptions!$B$10+Assumptions!$B$11+Assumptions!$B$12)*0.05,0)</f>
        <v>0</v>
      </c>
      <c r="BS23" s="30" t="n">
        <f aca="false">IF(AND(Projects!$G$12="Yes",BS$3&gt;=Projects!$C$12,BS$3&lt;Projects!$C$12+Projects!$D$12),Projects!$B$12*INDEX(Curves!$B$4:$AR$4,1,BS$3-Projects!$C$12+1),0)-IF(AND(Projects!$G$12="Yes",BS$3&gt;=Projects!$C$12,BS$3&lt;Projects!$C$12+Projects!$D$12),Projects!$B$12*(Assumptions!$B$10+Assumptions!$B$11+Assumptions!$B$12)/Projects!$D$12*0.95,0)-IF(AND(Projects!$G$12="Yes",BS$3=Projects!$C$12+Projects!$D$12-1),Projects!$B$12*(Assumptions!$B$10+Assumptions!$B$11+Assumptions!$B$12)*0.05,0)</f>
        <v>0</v>
      </c>
      <c r="BT23" s="30" t="n">
        <f aca="false">IF(AND(Projects!$G$12="Yes",BT$3&gt;=Projects!$C$12,BT$3&lt;Projects!$C$12+Projects!$D$12),Projects!$B$12*INDEX(Curves!$B$4:$AR$4,1,BT$3-Projects!$C$12+1),0)-IF(AND(Projects!$G$12="Yes",BT$3&gt;=Projects!$C$12,BT$3&lt;Projects!$C$12+Projects!$D$12),Projects!$B$12*(Assumptions!$B$10+Assumptions!$B$11+Assumptions!$B$12)/Projects!$D$12*0.95,0)-IF(AND(Projects!$G$12="Yes",BT$3=Projects!$C$12+Projects!$D$12-1),Projects!$B$12*(Assumptions!$B$10+Assumptions!$B$11+Assumptions!$B$12)*0.05,0)</f>
        <v>0</v>
      </c>
      <c r="BU23" s="30" t="n">
        <f aca="false">IF(AND(Projects!$G$12="Yes",BU$3&gt;=Projects!$C$12,BU$3&lt;Projects!$C$12+Projects!$D$12),Projects!$B$12*INDEX(Curves!$B$4:$AR$4,1,BU$3-Projects!$C$12+1),0)-IF(AND(Projects!$G$12="Yes",BU$3&gt;=Projects!$C$12,BU$3&lt;Projects!$C$12+Projects!$D$12),Projects!$B$12*(Assumptions!$B$10+Assumptions!$B$11+Assumptions!$B$12)/Projects!$D$12*0.95,0)-IF(AND(Projects!$G$12="Yes",BU$3=Projects!$C$12+Projects!$D$12-1),Projects!$B$12*(Assumptions!$B$10+Assumptions!$B$11+Assumptions!$B$12)*0.05,0)</f>
        <v>0</v>
      </c>
      <c r="BV23" s="30" t="n">
        <f aca="false">IF(AND(Projects!$G$12="Yes",BV$3&gt;=Projects!$C$12,BV$3&lt;Projects!$C$12+Projects!$D$12),Projects!$B$12*INDEX(Curves!$B$4:$AR$4,1,BV$3-Projects!$C$12+1),0)-IF(AND(Projects!$G$12="Yes",BV$3&gt;=Projects!$C$12,BV$3&lt;Projects!$C$12+Projects!$D$12),Projects!$B$12*(Assumptions!$B$10+Assumptions!$B$11+Assumptions!$B$12)/Projects!$D$12*0.95,0)-IF(AND(Projects!$G$12="Yes",BV$3=Projects!$C$12+Projects!$D$12-1),Projects!$B$12*(Assumptions!$B$10+Assumptions!$B$11+Assumptions!$B$12)*0.05,0)</f>
        <v>0</v>
      </c>
      <c r="BW23" s="30" t="n">
        <f aca="false">IF(AND(Projects!$G$12="Yes",BW$3&gt;=Projects!$C$12,BW$3&lt;Projects!$C$12+Projects!$D$12),Projects!$B$12*INDEX(Curves!$B$4:$AR$4,1,BW$3-Projects!$C$12+1),0)-IF(AND(Projects!$G$12="Yes",BW$3&gt;=Projects!$C$12,BW$3&lt;Projects!$C$12+Projects!$D$12),Projects!$B$12*(Assumptions!$B$10+Assumptions!$B$11+Assumptions!$B$12)/Projects!$D$12*0.95,0)-IF(AND(Projects!$G$12="Yes",BW$3=Projects!$C$12+Projects!$D$12-1),Projects!$B$12*(Assumptions!$B$10+Assumptions!$B$11+Assumptions!$B$12)*0.05,0)</f>
        <v>0</v>
      </c>
      <c r="BX23" s="30" t="n">
        <f aca="false">IF(AND(Projects!$G$12="Yes",BX$3&gt;=Projects!$C$12,BX$3&lt;Projects!$C$12+Projects!$D$12),Projects!$B$12*INDEX(Curves!$B$4:$AR$4,1,BX$3-Projects!$C$12+1),0)-IF(AND(Projects!$G$12="Yes",BX$3&gt;=Projects!$C$12,BX$3&lt;Projects!$C$12+Projects!$D$12),Projects!$B$12*(Assumptions!$B$10+Assumptions!$B$11+Assumptions!$B$12)/Projects!$D$12*0.95,0)-IF(AND(Projects!$G$12="Yes",BX$3=Projects!$C$12+Projects!$D$12-1),Projects!$B$12*(Assumptions!$B$10+Assumptions!$B$11+Assumptions!$B$12)*0.05,0)</f>
        <v>0</v>
      </c>
      <c r="BY23" s="30" t="n">
        <f aca="false">IF(AND(Projects!$G$12="Yes",BY$3&gt;=Projects!$C$12,BY$3&lt;Projects!$C$12+Projects!$D$12),Projects!$B$12*INDEX(Curves!$B$4:$AR$4,1,BY$3-Projects!$C$12+1),0)-IF(AND(Projects!$G$12="Yes",BY$3&gt;=Projects!$C$12,BY$3&lt;Projects!$C$12+Projects!$D$12),Projects!$B$12*(Assumptions!$B$10+Assumptions!$B$11+Assumptions!$B$12)/Projects!$D$12*0.95,0)-IF(AND(Projects!$G$12="Yes",BY$3=Projects!$C$12+Projects!$D$12-1),Projects!$B$12*(Assumptions!$B$10+Assumptions!$B$11+Assumptions!$B$12)*0.05,0)</f>
        <v>0</v>
      </c>
      <c r="BZ23" s="30" t="n">
        <f aca="false">IF(AND(Projects!$G$12="Yes",BZ$3&gt;=Projects!$C$12,BZ$3&lt;Projects!$C$12+Projects!$D$12),Projects!$B$12*INDEX(Curves!$B$4:$AR$4,1,BZ$3-Projects!$C$12+1),0)-IF(AND(Projects!$G$12="Yes",BZ$3&gt;=Projects!$C$12,BZ$3&lt;Projects!$C$12+Projects!$D$12),Projects!$B$12*(Assumptions!$B$10+Assumptions!$B$11+Assumptions!$B$12)/Projects!$D$12*0.95,0)-IF(AND(Projects!$G$12="Yes",BZ$3=Projects!$C$12+Projects!$D$12-1),Projects!$B$12*(Assumptions!$B$10+Assumptions!$B$11+Assumptions!$B$12)*0.05,0)</f>
        <v>0</v>
      </c>
      <c r="CA23" s="30" t="n">
        <f aca="false">IF(AND(Projects!$G$12="Yes",CA$3&gt;=Projects!$C$12,CA$3&lt;Projects!$C$12+Projects!$D$12),Projects!$B$12*INDEX(Curves!$B$4:$AR$4,1,CA$3-Projects!$C$12+1),0)-IF(AND(Projects!$G$12="Yes",CA$3&gt;=Projects!$C$12,CA$3&lt;Projects!$C$12+Projects!$D$12),Projects!$B$12*(Assumptions!$B$10+Assumptions!$B$11+Assumptions!$B$12)/Projects!$D$12*0.95,0)-IF(AND(Projects!$G$12="Yes",CA$3=Projects!$C$12+Projects!$D$12-1),Projects!$B$12*(Assumptions!$B$10+Assumptions!$B$11+Assumptions!$B$12)*0.05,0)</f>
        <v>0</v>
      </c>
      <c r="CB23" s="30" t="n">
        <f aca="false">IF(AND(Projects!$G$12="Yes",CB$3&gt;=Projects!$C$12,CB$3&lt;Projects!$C$12+Projects!$D$12),Projects!$B$12*INDEX(Curves!$B$4:$AR$4,1,CB$3-Projects!$C$12+1),0)-IF(AND(Projects!$G$12="Yes",CB$3&gt;=Projects!$C$12,CB$3&lt;Projects!$C$12+Projects!$D$12),Projects!$B$12*(Assumptions!$B$10+Assumptions!$B$11+Assumptions!$B$12)/Projects!$D$12*0.95,0)-IF(AND(Projects!$G$12="Yes",CB$3=Projects!$C$12+Projects!$D$12-1),Projects!$B$12*(Assumptions!$B$10+Assumptions!$B$11+Assumptions!$B$12)*0.05,0)</f>
        <v>0</v>
      </c>
      <c r="CC23" s="30" t="n">
        <f aca="false">IF(AND(Projects!$G$12="Yes",CC$3&gt;=Projects!$C$12,CC$3&lt;Projects!$C$12+Projects!$D$12),Projects!$B$12*INDEX(Curves!$B$4:$AR$4,1,CC$3-Projects!$C$12+1),0)-IF(AND(Projects!$G$12="Yes",CC$3&gt;=Projects!$C$12,CC$3&lt;Projects!$C$12+Projects!$D$12),Projects!$B$12*(Assumptions!$B$10+Assumptions!$B$11+Assumptions!$B$12)/Projects!$D$12*0.95,0)-IF(AND(Projects!$G$12="Yes",CC$3=Projects!$C$12+Projects!$D$12-1),Projects!$B$12*(Assumptions!$B$10+Assumptions!$B$11+Assumptions!$B$12)*0.05,0)</f>
        <v>0</v>
      </c>
      <c r="CD23" s="30" t="n">
        <f aca="false">IF(AND(Projects!$G$12="Yes",CD$3&gt;=Projects!$C$12,CD$3&lt;Projects!$C$12+Projects!$D$12),Projects!$B$12*INDEX(Curves!$B$4:$AR$4,1,CD$3-Projects!$C$12+1),0)-IF(AND(Projects!$G$12="Yes",CD$3&gt;=Projects!$C$12,CD$3&lt;Projects!$C$12+Projects!$D$12),Projects!$B$12*(Assumptions!$B$10+Assumptions!$B$11+Assumptions!$B$12)/Projects!$D$12*0.95,0)-IF(AND(Projects!$G$12="Yes",CD$3=Projects!$C$12+Projects!$D$12-1),Projects!$B$12*(Assumptions!$B$10+Assumptions!$B$11+Assumptions!$B$12)*0.05,0)</f>
        <v>0</v>
      </c>
      <c r="CE23" s="30" t="n">
        <f aca="false">IF(AND(Projects!$G$12="Yes",CE$3&gt;=Projects!$C$12,CE$3&lt;Projects!$C$12+Projects!$D$12),Projects!$B$12*INDEX(Curves!$B$4:$AR$4,1,CE$3-Projects!$C$12+1),0)-IF(AND(Projects!$G$12="Yes",CE$3&gt;=Projects!$C$12,CE$3&lt;Projects!$C$12+Projects!$D$12),Projects!$B$12*(Assumptions!$B$10+Assumptions!$B$11+Assumptions!$B$12)/Projects!$D$12*0.95,0)-IF(AND(Projects!$G$12="Yes",CE$3=Projects!$C$12+Projects!$D$12-1),Projects!$B$12*(Assumptions!$B$10+Assumptions!$B$11+Assumptions!$B$12)*0.05,0)</f>
        <v>0</v>
      </c>
      <c r="CF23" s="30" t="n">
        <f aca="false">IF(AND(Projects!$G$12="Yes",CF$3&gt;=Projects!$C$12,CF$3&lt;Projects!$C$12+Projects!$D$12),Projects!$B$12*INDEX(Curves!$B$4:$AR$4,1,CF$3-Projects!$C$12+1),0)-IF(AND(Projects!$G$12="Yes",CF$3&gt;=Projects!$C$12,CF$3&lt;Projects!$C$12+Projects!$D$12),Projects!$B$12*(Assumptions!$B$10+Assumptions!$B$11+Assumptions!$B$12)/Projects!$D$12*0.95,0)-IF(AND(Projects!$G$12="Yes",CF$3=Projects!$C$12+Projects!$D$12-1),Projects!$B$12*(Assumptions!$B$10+Assumptions!$B$11+Assumptions!$B$12)*0.05,0)</f>
        <v>0</v>
      </c>
      <c r="CG23" s="30" t="n">
        <f aca="false">IF(AND(Projects!$G$12="Yes",CG$3&gt;=Projects!$C$12,CG$3&lt;Projects!$C$12+Projects!$D$12),Projects!$B$12*INDEX(Curves!$B$4:$AR$4,1,CG$3-Projects!$C$12+1),0)-IF(AND(Projects!$G$12="Yes",CG$3&gt;=Projects!$C$12,CG$3&lt;Projects!$C$12+Projects!$D$12),Projects!$B$12*(Assumptions!$B$10+Assumptions!$B$11+Assumptions!$B$12)/Projects!$D$12*0.95,0)-IF(AND(Projects!$G$12="Yes",CG$3=Projects!$C$12+Projects!$D$12-1),Projects!$B$12*(Assumptions!$B$10+Assumptions!$B$11+Assumptions!$B$12)*0.05,0)</f>
        <v>0</v>
      </c>
      <c r="CH23" s="30" t="n">
        <f aca="false">IF(AND(Projects!$G$12="Yes",CH$3&gt;=Projects!$C$12,CH$3&lt;Projects!$C$12+Projects!$D$12),Projects!$B$12*INDEX(Curves!$B$4:$AR$4,1,CH$3-Projects!$C$12+1),0)-IF(AND(Projects!$G$12="Yes",CH$3&gt;=Projects!$C$12,CH$3&lt;Projects!$C$12+Projects!$D$12),Projects!$B$12*(Assumptions!$B$10+Assumptions!$B$11+Assumptions!$B$12)/Projects!$D$12*0.95,0)-IF(AND(Projects!$G$12="Yes",CH$3=Projects!$C$12+Projects!$D$12-1),Projects!$B$12*(Assumptions!$B$10+Assumptions!$B$11+Assumptions!$B$12)*0.05,0)</f>
        <v>0</v>
      </c>
      <c r="CI23" s="30" t="n">
        <f aca="false">IF(AND(Projects!$G$12="Yes",CI$3&gt;=Projects!$C$12,CI$3&lt;Projects!$C$12+Projects!$D$12),Projects!$B$12*INDEX(Curves!$B$4:$AR$4,1,CI$3-Projects!$C$12+1),0)-IF(AND(Projects!$G$12="Yes",CI$3&gt;=Projects!$C$12,CI$3&lt;Projects!$C$12+Projects!$D$12),Projects!$B$12*(Assumptions!$B$10+Assumptions!$B$11+Assumptions!$B$12)/Projects!$D$12*0.95,0)-IF(AND(Projects!$G$12="Yes",CI$3=Projects!$C$12+Projects!$D$12-1),Projects!$B$12*(Assumptions!$B$10+Assumptions!$B$11+Assumptions!$B$12)*0.05,0)</f>
        <v>0</v>
      </c>
      <c r="CJ23" s="30" t="n">
        <f aca="false">IF(AND(Projects!$G$12="Yes",CJ$3&gt;=Projects!$C$12,CJ$3&lt;Projects!$C$12+Projects!$D$12),Projects!$B$12*INDEX(Curves!$B$4:$AR$4,1,CJ$3-Projects!$C$12+1),0)-IF(AND(Projects!$G$12="Yes",CJ$3&gt;=Projects!$C$12,CJ$3&lt;Projects!$C$12+Projects!$D$12),Projects!$B$12*(Assumptions!$B$10+Assumptions!$B$11+Assumptions!$B$12)/Projects!$D$12*0.95,0)-IF(AND(Projects!$G$12="Yes",CJ$3=Projects!$C$12+Projects!$D$12-1),Projects!$B$12*(Assumptions!$B$10+Assumptions!$B$11+Assumptions!$B$12)*0.05,0)</f>
        <v>0</v>
      </c>
      <c r="CK23" s="30" t="n">
        <f aca="false">IF(AND(Projects!$G$12="Yes",CK$3&gt;=Projects!$C$12,CK$3&lt;Projects!$C$12+Projects!$D$12),Projects!$B$12*INDEX(Curves!$B$4:$AR$4,1,CK$3-Projects!$C$12+1),0)-IF(AND(Projects!$G$12="Yes",CK$3&gt;=Projects!$C$12,CK$3&lt;Projects!$C$12+Projects!$D$12),Projects!$B$12*(Assumptions!$B$10+Assumptions!$B$11+Assumptions!$B$12)/Projects!$D$12*0.95,0)-IF(AND(Projects!$G$12="Yes",CK$3=Projects!$C$12+Projects!$D$12-1),Projects!$B$12*(Assumptions!$B$10+Assumptions!$B$11+Assumptions!$B$12)*0.05,0)</f>
        <v>0</v>
      </c>
      <c r="CL23" s="30" t="n">
        <f aca="false">IF(AND(Projects!$G$12="Yes",CL$3&gt;=Projects!$C$12,CL$3&lt;Projects!$C$12+Projects!$D$12),Projects!$B$12*INDEX(Curves!$B$4:$AR$4,1,CL$3-Projects!$C$12+1),0)-IF(AND(Projects!$G$12="Yes",CL$3&gt;=Projects!$C$12,CL$3&lt;Projects!$C$12+Projects!$D$12),Projects!$B$12*(Assumptions!$B$10+Assumptions!$B$11+Assumptions!$B$12)/Projects!$D$12*0.95,0)-IF(AND(Projects!$G$12="Yes",CL$3=Projects!$C$12+Projects!$D$12-1),Projects!$B$12*(Assumptions!$B$10+Assumptions!$B$11+Assumptions!$B$12)*0.05,0)</f>
        <v>0</v>
      </c>
      <c r="CM23" s="30" t="n">
        <f aca="false">IF(AND(Projects!$G$12="Yes",CM$3&gt;=Projects!$C$12,CM$3&lt;Projects!$C$12+Projects!$D$12),Projects!$B$12*INDEX(Curves!$B$4:$AR$4,1,CM$3-Projects!$C$12+1),0)-IF(AND(Projects!$G$12="Yes",CM$3&gt;=Projects!$C$12,CM$3&lt;Projects!$C$12+Projects!$D$12),Projects!$B$12*(Assumptions!$B$10+Assumptions!$B$11+Assumptions!$B$12)/Projects!$D$12*0.95,0)-IF(AND(Projects!$G$12="Yes",CM$3=Projects!$C$12+Projects!$D$12-1),Projects!$B$12*(Assumptions!$B$10+Assumptions!$B$11+Assumptions!$B$12)*0.05,0)</f>
        <v>0</v>
      </c>
      <c r="CN23" s="30" t="n">
        <f aca="false">IF(AND(Projects!$G$12="Yes",CN$3&gt;=Projects!$C$12,CN$3&lt;Projects!$C$12+Projects!$D$12),Projects!$B$12*INDEX(Curves!$B$4:$AR$4,1,CN$3-Projects!$C$12+1),0)-IF(AND(Projects!$G$12="Yes",CN$3&gt;=Projects!$C$12,CN$3&lt;Projects!$C$12+Projects!$D$12),Projects!$B$12*(Assumptions!$B$10+Assumptions!$B$11+Assumptions!$B$12)/Projects!$D$12*0.95,0)-IF(AND(Projects!$G$12="Yes",CN$3=Projects!$C$12+Projects!$D$12-1),Projects!$B$12*(Assumptions!$B$10+Assumptions!$B$11+Assumptions!$B$12)*0.05,0)</f>
        <v>0</v>
      </c>
      <c r="CO23" s="30" t="n">
        <f aca="false">IF(AND(Projects!$G$12="Yes",CO$3&gt;=Projects!$C$12,CO$3&lt;Projects!$C$12+Projects!$D$12),Projects!$B$12*INDEX(Curves!$B$4:$AR$4,1,CO$3-Projects!$C$12+1),0)-IF(AND(Projects!$G$12="Yes",CO$3&gt;=Projects!$C$12,CO$3&lt;Projects!$C$12+Projects!$D$12),Projects!$B$12*(Assumptions!$B$10+Assumptions!$B$11+Assumptions!$B$12)/Projects!$D$12*0.95,0)-IF(AND(Projects!$G$12="Yes",CO$3=Projects!$C$12+Projects!$D$12-1),Projects!$B$12*(Assumptions!$B$10+Assumptions!$B$11+Assumptions!$B$12)*0.05,0)</f>
        <v>0</v>
      </c>
      <c r="CP23" s="30" t="n">
        <f aca="false">IF(AND(Projects!$G$12="Yes",CP$3&gt;=Projects!$C$12,CP$3&lt;Projects!$C$12+Projects!$D$12),Projects!$B$12*INDEX(Curves!$B$4:$AR$4,1,CP$3-Projects!$C$12+1),0)-IF(AND(Projects!$G$12="Yes",CP$3&gt;=Projects!$C$12,CP$3&lt;Projects!$C$12+Projects!$D$12),Projects!$B$12*(Assumptions!$B$10+Assumptions!$B$11+Assumptions!$B$12)/Projects!$D$12*0.95,0)-IF(AND(Projects!$G$12="Yes",CP$3=Projects!$C$12+Projects!$D$12-1),Projects!$B$12*(Assumptions!$B$10+Assumptions!$B$11+Assumptions!$B$12)*0.05,0)</f>
        <v>0</v>
      </c>
      <c r="CQ23" s="30" t="n">
        <f aca="false">IF(AND(Projects!$G$12="Yes",CQ$3&gt;=Projects!$C$12,CQ$3&lt;Projects!$C$12+Projects!$D$12),Projects!$B$12*INDEX(Curves!$B$4:$AR$4,1,CQ$3-Projects!$C$12+1),0)-IF(AND(Projects!$G$12="Yes",CQ$3&gt;=Projects!$C$12,CQ$3&lt;Projects!$C$12+Projects!$D$12),Projects!$B$12*(Assumptions!$B$10+Assumptions!$B$11+Assumptions!$B$12)/Projects!$D$12*0.95,0)-IF(AND(Projects!$G$12="Yes",CQ$3=Projects!$C$12+Projects!$D$12-1),Projects!$B$12*(Assumptions!$B$10+Assumptions!$B$11+Assumptions!$B$12)*0.05,0)</f>
        <v>0</v>
      </c>
      <c r="CR23" s="30" t="n">
        <f aca="false">IF(AND(Projects!$G$12="Yes",CR$3&gt;=Projects!$C$12,CR$3&lt;Projects!$C$12+Projects!$D$12),Projects!$B$12*INDEX(Curves!$B$4:$AR$4,1,CR$3-Projects!$C$12+1),0)-IF(AND(Projects!$G$12="Yes",CR$3&gt;=Projects!$C$12,CR$3&lt;Projects!$C$12+Projects!$D$12),Projects!$B$12*(Assumptions!$B$10+Assumptions!$B$11+Assumptions!$B$12)/Projects!$D$12*0.95,0)-IF(AND(Projects!$G$12="Yes",CR$3=Projects!$C$12+Projects!$D$12-1),Projects!$B$12*(Assumptions!$B$10+Assumptions!$B$11+Assumptions!$B$12)*0.05,0)</f>
        <v>0</v>
      </c>
      <c r="CS23" s="30" t="n">
        <f aca="false">IF(AND(Projects!$G$12="Yes",CS$3&gt;=Projects!$C$12,CS$3&lt;Projects!$C$12+Projects!$D$12),Projects!$B$12*INDEX(Curves!$B$4:$AR$4,1,CS$3-Projects!$C$12+1),0)-IF(AND(Projects!$G$12="Yes",CS$3&gt;=Projects!$C$12,CS$3&lt;Projects!$C$12+Projects!$D$12),Projects!$B$12*(Assumptions!$B$10+Assumptions!$B$11+Assumptions!$B$12)/Projects!$D$12*0.95,0)-IF(AND(Projects!$G$12="Yes",CS$3=Projects!$C$12+Projects!$D$12-1),Projects!$B$12*(Assumptions!$B$10+Assumptions!$B$11+Assumptions!$B$12)*0.05,0)</f>
        <v>0</v>
      </c>
      <c r="CT23" s="30" t="n">
        <f aca="false">IF(AND(Projects!$G$12="Yes",CT$3&gt;=Projects!$C$12,CT$3&lt;Projects!$C$12+Projects!$D$12),Projects!$B$12*INDEX(Curves!$B$4:$AR$4,1,CT$3-Projects!$C$12+1),0)-IF(AND(Projects!$G$12="Yes",CT$3&gt;=Projects!$C$12,CT$3&lt;Projects!$C$12+Projects!$D$12),Projects!$B$12*(Assumptions!$B$10+Assumptions!$B$11+Assumptions!$B$12)/Projects!$D$12*0.95,0)-IF(AND(Projects!$G$12="Yes",CT$3=Projects!$C$12+Projects!$D$12-1),Projects!$B$12*(Assumptions!$B$10+Assumptions!$B$11+Assumptions!$B$12)*0.05,0)</f>
        <v>0</v>
      </c>
      <c r="CU23" s="30" t="n">
        <f aca="false">IF(AND(Projects!$G$12="Yes",CU$3&gt;=Projects!$C$12,CU$3&lt;Projects!$C$12+Projects!$D$12),Projects!$B$12*INDEX(Curves!$B$4:$AR$4,1,CU$3-Projects!$C$12+1),0)-IF(AND(Projects!$G$12="Yes",CU$3&gt;=Projects!$C$12,CU$3&lt;Projects!$C$12+Projects!$D$12),Projects!$B$12*(Assumptions!$B$10+Assumptions!$B$11+Assumptions!$B$12)/Projects!$D$12*0.95,0)-IF(AND(Projects!$G$12="Yes",CU$3=Projects!$C$12+Projects!$D$12-1),Projects!$B$12*(Assumptions!$B$10+Assumptions!$B$11+Assumptions!$B$12)*0.05,0)</f>
        <v>0</v>
      </c>
      <c r="CV23" s="30" t="n">
        <f aca="false">IF(AND(Projects!$G$12="Yes",CV$3&gt;=Projects!$C$12,CV$3&lt;Projects!$C$12+Projects!$D$12),Projects!$B$12*INDEX(Curves!$B$4:$AR$4,1,CV$3-Projects!$C$12+1),0)-IF(AND(Projects!$G$12="Yes",CV$3&gt;=Projects!$C$12,CV$3&lt;Projects!$C$12+Projects!$D$12),Projects!$B$12*(Assumptions!$B$10+Assumptions!$B$11+Assumptions!$B$12)/Projects!$D$12*0.95,0)-IF(AND(Projects!$G$12="Yes",CV$3=Projects!$C$12+Projects!$D$12-1),Projects!$B$12*(Assumptions!$B$10+Assumptions!$B$11+Assumptions!$B$12)*0.05,0)</f>
        <v>0</v>
      </c>
      <c r="CW23" s="30" t="n">
        <f aca="false">IF(AND(Projects!$G$12="Yes",CW$3&gt;=Projects!$C$12,CW$3&lt;Projects!$C$12+Projects!$D$12),Projects!$B$12*INDEX(Curves!$B$4:$AR$4,1,CW$3-Projects!$C$12+1),0)-IF(AND(Projects!$G$12="Yes",CW$3&gt;=Projects!$C$12,CW$3&lt;Projects!$C$12+Projects!$D$12),Projects!$B$12*(Assumptions!$B$10+Assumptions!$B$11+Assumptions!$B$12)/Projects!$D$12*0.95,0)-IF(AND(Projects!$G$12="Yes",CW$3=Projects!$C$12+Projects!$D$12-1),Projects!$B$12*(Assumptions!$B$10+Assumptions!$B$11+Assumptions!$B$12)*0.05,0)</f>
        <v>0</v>
      </c>
      <c r="CX23" s="30" t="n">
        <f aca="false">IF(AND(Projects!$G$12="Yes",CX$3&gt;=Projects!$C$12,CX$3&lt;Projects!$C$12+Projects!$D$12),Projects!$B$12*INDEX(Curves!$B$4:$AR$4,1,CX$3-Projects!$C$12+1),0)-IF(AND(Projects!$G$12="Yes",CX$3&gt;=Projects!$C$12,CX$3&lt;Projects!$C$12+Projects!$D$12),Projects!$B$12*(Assumptions!$B$10+Assumptions!$B$11+Assumptions!$B$12)/Projects!$D$12*0.95,0)-IF(AND(Projects!$G$12="Yes",CX$3=Projects!$C$12+Projects!$D$12-1),Projects!$B$12*(Assumptions!$B$10+Assumptions!$B$11+Assumptions!$B$12)*0.05,0)</f>
        <v>0</v>
      </c>
      <c r="CY23" s="30" t="n">
        <f aca="false">IF(AND(Projects!$G$12="Yes",CY$3&gt;=Projects!$C$12,CY$3&lt;Projects!$C$12+Projects!$D$12),Projects!$B$12*INDEX(Curves!$B$4:$AR$4,1,CY$3-Projects!$C$12+1),0)-IF(AND(Projects!$G$12="Yes",CY$3&gt;=Projects!$C$12,CY$3&lt;Projects!$C$12+Projects!$D$12),Projects!$B$12*(Assumptions!$B$10+Assumptions!$B$11+Assumptions!$B$12)/Projects!$D$12*0.95,0)-IF(AND(Projects!$G$12="Yes",CY$3=Projects!$C$12+Projects!$D$12-1),Projects!$B$12*(Assumptions!$B$10+Assumptions!$B$11+Assumptions!$B$12)*0.05,0)</f>
        <v>0</v>
      </c>
      <c r="CZ23" s="30" t="n">
        <f aca="false">IF(AND(Projects!$G$12="Yes",CZ$3&gt;=Projects!$C$12,CZ$3&lt;Projects!$C$12+Projects!$D$12),Projects!$B$12*INDEX(Curves!$B$4:$AR$4,1,CZ$3-Projects!$C$12+1),0)-IF(AND(Projects!$G$12="Yes",CZ$3&gt;=Projects!$C$12,CZ$3&lt;Projects!$C$12+Projects!$D$12),Projects!$B$12*(Assumptions!$B$10+Assumptions!$B$11+Assumptions!$B$12)/Projects!$D$12*0.95,0)-IF(AND(Projects!$G$12="Yes",CZ$3=Projects!$C$12+Projects!$D$12-1),Projects!$B$12*(Assumptions!$B$10+Assumptions!$B$11+Assumptions!$B$12)*0.05,0)</f>
        <v>0</v>
      </c>
      <c r="DA23" s="30" t="n">
        <f aca="false">IF(AND(Projects!$G$12="Yes",DA$3&gt;=Projects!$C$12,DA$3&lt;Projects!$C$12+Projects!$D$12),Projects!$B$12*INDEX(Curves!$B$4:$AR$4,1,DA$3-Projects!$C$12+1),0)-IF(AND(Projects!$G$12="Yes",DA$3&gt;=Projects!$C$12,DA$3&lt;Projects!$C$12+Projects!$D$12),Projects!$B$12*(Assumptions!$B$10+Assumptions!$B$11+Assumptions!$B$12)/Projects!$D$12*0.95,0)-IF(AND(Projects!$G$12="Yes",DA$3=Projects!$C$12+Projects!$D$12-1),Projects!$B$12*(Assumptions!$B$10+Assumptions!$B$11+Assumptions!$B$12)*0.05,0)</f>
        <v>0</v>
      </c>
      <c r="DB23" s="30" t="n">
        <f aca="false">IF(AND(Projects!$G$12="Yes",DB$3&gt;=Projects!$C$12,DB$3&lt;Projects!$C$12+Projects!$D$12),Projects!$B$12*INDEX(Curves!$B$4:$AR$4,1,DB$3-Projects!$C$12+1),0)-IF(AND(Projects!$G$12="Yes",DB$3&gt;=Projects!$C$12,DB$3&lt;Projects!$C$12+Projects!$D$12),Projects!$B$12*(Assumptions!$B$10+Assumptions!$B$11+Assumptions!$B$12)/Projects!$D$12*0.95,0)-IF(AND(Projects!$G$12="Yes",DB$3=Projects!$C$12+Projects!$D$12-1),Projects!$B$12*(Assumptions!$B$10+Assumptions!$B$11+Assumptions!$B$12)*0.05,0)</f>
        <v>0</v>
      </c>
      <c r="DC23" s="30" t="n">
        <f aca="false">IF(AND(Projects!$G$12="Yes",DC$3&gt;=Projects!$C$12,DC$3&lt;Projects!$C$12+Projects!$D$12),Projects!$B$12*INDEX(Curves!$B$4:$AR$4,1,DC$3-Projects!$C$12+1),0)-IF(AND(Projects!$G$12="Yes",DC$3&gt;=Projects!$C$12,DC$3&lt;Projects!$C$12+Projects!$D$12),Projects!$B$12*(Assumptions!$B$10+Assumptions!$B$11+Assumptions!$B$12)/Projects!$D$12*0.95,0)-IF(AND(Projects!$G$12="Yes",DC$3=Projects!$C$12+Projects!$D$12-1),Projects!$B$12*(Assumptions!$B$10+Assumptions!$B$11+Assumptions!$B$12)*0.05,0)</f>
        <v>0</v>
      </c>
      <c r="DD23" s="30" t="n">
        <f aca="false">IF(AND(Projects!$G$12="Yes",DD$3&gt;=Projects!$C$12,DD$3&lt;Projects!$C$12+Projects!$D$12),Projects!$B$12*INDEX(Curves!$B$4:$AR$4,1,DD$3-Projects!$C$12+1),0)-IF(AND(Projects!$G$12="Yes",DD$3&gt;=Projects!$C$12,DD$3&lt;Projects!$C$12+Projects!$D$12),Projects!$B$12*(Assumptions!$B$10+Assumptions!$B$11+Assumptions!$B$12)/Projects!$D$12*0.95,0)-IF(AND(Projects!$G$12="Yes",DD$3=Projects!$C$12+Projects!$D$12-1),Projects!$B$12*(Assumptions!$B$10+Assumptions!$B$11+Assumptions!$B$12)*0.05,0)</f>
        <v>0</v>
      </c>
      <c r="DE23" s="30" t="n">
        <f aca="false">IF(AND(Projects!$G$12="Yes",DE$3&gt;=Projects!$C$12,DE$3&lt;Projects!$C$12+Projects!$D$12),Projects!$B$12*INDEX(Curves!$B$4:$AR$4,1,DE$3-Projects!$C$12+1),0)-IF(AND(Projects!$G$12="Yes",DE$3&gt;=Projects!$C$12,DE$3&lt;Projects!$C$12+Projects!$D$12),Projects!$B$12*(Assumptions!$B$10+Assumptions!$B$11+Assumptions!$B$12)/Projects!$D$12*0.95,0)-IF(AND(Projects!$G$12="Yes",DE$3=Projects!$C$12+Projects!$D$12-1),Projects!$B$12*(Assumptions!$B$10+Assumptions!$B$11+Assumptions!$B$12)*0.05,0)</f>
        <v>0</v>
      </c>
    </row>
    <row r="24" customFormat="false" ht="15" hidden="true" customHeight="true" outlineLevel="1" collapsed="false">
      <c r="A24" s="32" t="s">
        <v>18</v>
      </c>
      <c r="B24" s="30" t="n">
        <v>0</v>
      </c>
      <c r="C24" s="30" t="n">
        <v>0</v>
      </c>
      <c r="D24" s="30" t="n">
        <v>0</v>
      </c>
      <c r="E24" s="30" t="n">
        <v>0</v>
      </c>
      <c r="F24" s="30" t="n">
        <f aca="false">IF(AND(Projects!$G$13="Yes",F$3&gt;=Projects!$C$13,F$3&lt;Projects!$C$13+Projects!$D$13),Projects!$B$13*INDEX(Curves!$B$2:$AR$2,1,F$3-Projects!$C$13+1),0)-IF(AND(Projects!$G$13="Yes",F$3&gt;=Projects!$C$13,F$3&lt;Projects!$C$13+Projects!$D$13),Projects!$B$13*(Assumptions!$B$10+Assumptions!$B$11+Assumptions!$B$12)/Projects!$D$13*0.95,0)-IF(AND(Projects!$G$13="Yes",F$3=Projects!$C$13+Projects!$D$13-1),Projects!$B$13*(Assumptions!$B$10+Assumptions!$B$11+Assumptions!$B$12)*0.05,0)</f>
        <v>0</v>
      </c>
      <c r="G24" s="30" t="n">
        <f aca="false">IF(AND(Projects!$G$13="Yes",G$3&gt;=Projects!$C$13,G$3&lt;Projects!$C$13+Projects!$D$13),Projects!$B$13*INDEX(Curves!$B$2:$AR$2,1,G$3-Projects!$C$13+1),0)-IF(AND(Projects!$G$13="Yes",G$3&gt;=Projects!$C$13,G$3&lt;Projects!$C$13+Projects!$D$13),Projects!$B$13*(Assumptions!$B$10+Assumptions!$B$11+Assumptions!$B$12)/Projects!$D$13*0.95,0)-IF(AND(Projects!$G$13="Yes",G$3=Projects!$C$13+Projects!$D$13-1),Projects!$B$13*(Assumptions!$B$10+Assumptions!$B$11+Assumptions!$B$12)*0.05,0)</f>
        <v>0</v>
      </c>
      <c r="H24" s="30" t="n">
        <f aca="false">IF(AND(Projects!$G$13="Yes",H$3&gt;=Projects!$C$13,H$3&lt;Projects!$C$13+Projects!$D$13),Projects!$B$13*INDEX(Curves!$B$2:$AR$2,1,H$3-Projects!$C$13+1),0)-IF(AND(Projects!$G$13="Yes",H$3&gt;=Projects!$C$13,H$3&lt;Projects!$C$13+Projects!$D$13),Projects!$B$13*(Assumptions!$B$10+Assumptions!$B$11+Assumptions!$B$12)/Projects!$D$13*0.95,0)-IF(AND(Projects!$G$13="Yes",H$3=Projects!$C$13+Projects!$D$13-1),Projects!$B$13*(Assumptions!$B$10+Assumptions!$B$11+Assumptions!$B$12)*0.05,0)</f>
        <v>0</v>
      </c>
      <c r="I24" s="30" t="n">
        <f aca="false">IF(AND(Projects!$G$13="Yes",I$3&gt;=Projects!$C$13,I$3&lt;Projects!$C$13+Projects!$D$13),Projects!$B$13*INDEX(Curves!$B$2:$AR$2,1,I$3-Projects!$C$13+1),0)-IF(AND(Projects!$G$13="Yes",I$3&gt;=Projects!$C$13,I$3&lt;Projects!$C$13+Projects!$D$13),Projects!$B$13*(Assumptions!$B$10+Assumptions!$B$11+Assumptions!$B$12)/Projects!$D$13*0.95,0)-IF(AND(Projects!$G$13="Yes",I$3=Projects!$C$13+Projects!$D$13-1),Projects!$B$13*(Assumptions!$B$10+Assumptions!$B$11+Assumptions!$B$12)*0.05,0)</f>
        <v>0</v>
      </c>
      <c r="J24" s="30" t="n">
        <f aca="false">IF(AND(Projects!$G$13="Yes",J$3&gt;=Projects!$C$13,J$3&lt;Projects!$C$13+Projects!$D$13),Projects!$B$13*INDEX(Curves!$B$2:$AR$2,1,J$3-Projects!$C$13+1),0)-IF(AND(Projects!$G$13="Yes",J$3&gt;=Projects!$C$13,J$3&lt;Projects!$C$13+Projects!$D$13),Projects!$B$13*(Assumptions!$B$10+Assumptions!$B$11+Assumptions!$B$12)/Projects!$D$13*0.95,0)-IF(AND(Projects!$G$13="Yes",J$3=Projects!$C$13+Projects!$D$13-1),Projects!$B$13*(Assumptions!$B$10+Assumptions!$B$11+Assumptions!$B$12)*0.05,0)</f>
        <v>0</v>
      </c>
      <c r="K24" s="30" t="n">
        <f aca="false">IF(AND(Projects!$G$13="Yes",K$3&gt;=Projects!$C$13,K$3&lt;Projects!$C$13+Projects!$D$13),Projects!$B$13*INDEX(Curves!$B$2:$AR$2,1,K$3-Projects!$C$13+1),0)-IF(AND(Projects!$G$13="Yes",K$3&gt;=Projects!$C$13,K$3&lt;Projects!$C$13+Projects!$D$13),Projects!$B$13*(Assumptions!$B$10+Assumptions!$B$11+Assumptions!$B$12)/Projects!$D$13*0.95,0)-IF(AND(Projects!$G$13="Yes",K$3=Projects!$C$13+Projects!$D$13-1),Projects!$B$13*(Assumptions!$B$10+Assumptions!$B$11+Assumptions!$B$12)*0.05,0)</f>
        <v>0</v>
      </c>
      <c r="L24" s="30" t="n">
        <f aca="false">IF(AND(Projects!$G$13="Yes",L$3&gt;=Projects!$C$13,L$3&lt;Projects!$C$13+Projects!$D$13),Projects!$B$13*INDEX(Curves!$B$2:$AR$2,1,L$3-Projects!$C$13+1),0)-IF(AND(Projects!$G$13="Yes",L$3&gt;=Projects!$C$13,L$3&lt;Projects!$C$13+Projects!$D$13),Projects!$B$13*(Assumptions!$B$10+Assumptions!$B$11+Assumptions!$B$12)/Projects!$D$13*0.95,0)-IF(AND(Projects!$G$13="Yes",L$3=Projects!$C$13+Projects!$D$13-1),Projects!$B$13*(Assumptions!$B$10+Assumptions!$B$11+Assumptions!$B$12)*0.05,0)</f>
        <v>0</v>
      </c>
      <c r="M24" s="30" t="n">
        <f aca="false">IF(AND(Projects!$G$13="Yes",M$3&gt;=Projects!$C$13,M$3&lt;Projects!$C$13+Projects!$D$13),Projects!$B$13*INDEX(Curves!$B$2:$AR$2,1,M$3-Projects!$C$13+1),0)-IF(AND(Projects!$G$13="Yes",M$3&gt;=Projects!$C$13,M$3&lt;Projects!$C$13+Projects!$D$13),Projects!$B$13*(Assumptions!$B$10+Assumptions!$B$11+Assumptions!$B$12)/Projects!$D$13*0.95,0)-IF(AND(Projects!$G$13="Yes",M$3=Projects!$C$13+Projects!$D$13-1),Projects!$B$13*(Assumptions!$B$10+Assumptions!$B$11+Assumptions!$B$12)*0.05,0)</f>
        <v>0</v>
      </c>
      <c r="N24" s="30" t="n">
        <f aca="false">IF(AND(Projects!$G$13="Yes",N$3&gt;=Projects!$C$13,N$3&lt;Projects!$C$13+Projects!$D$13),Projects!$B$13*INDEX(Curves!$B$2:$AR$2,1,N$3-Projects!$C$13+1),0)-IF(AND(Projects!$G$13="Yes",N$3&gt;=Projects!$C$13,N$3&lt;Projects!$C$13+Projects!$D$13),Projects!$B$13*(Assumptions!$B$10+Assumptions!$B$11+Assumptions!$B$12)/Projects!$D$13*0.95,0)-IF(AND(Projects!$G$13="Yes",N$3=Projects!$C$13+Projects!$D$13-1),Projects!$B$13*(Assumptions!$B$10+Assumptions!$B$11+Assumptions!$B$12)*0.05,0)</f>
        <v>0</v>
      </c>
      <c r="O24" s="30" t="n">
        <f aca="false">IF(AND(Projects!$G$13="Yes",O$3&gt;=Projects!$C$13,O$3&lt;Projects!$C$13+Projects!$D$13),Projects!$B$13*INDEX(Curves!$B$2:$AR$2,1,O$3-Projects!$C$13+1),0)-IF(AND(Projects!$G$13="Yes",O$3&gt;=Projects!$C$13,O$3&lt;Projects!$C$13+Projects!$D$13),Projects!$B$13*(Assumptions!$B$10+Assumptions!$B$11+Assumptions!$B$12)/Projects!$D$13*0.95,0)-IF(AND(Projects!$G$13="Yes",O$3=Projects!$C$13+Projects!$D$13-1),Projects!$B$13*(Assumptions!$B$10+Assumptions!$B$11+Assumptions!$B$12)*0.05,0)</f>
        <v>0</v>
      </c>
      <c r="P24" s="30" t="n">
        <f aca="false">IF(AND(Projects!$G$13="Yes",P$3&gt;=Projects!$C$13,P$3&lt;Projects!$C$13+Projects!$D$13),Projects!$B$13*INDEX(Curves!$B$2:$AR$2,1,P$3-Projects!$C$13+1),0)-IF(AND(Projects!$G$13="Yes",P$3&gt;=Projects!$C$13,P$3&lt;Projects!$C$13+Projects!$D$13),Projects!$B$13*(Assumptions!$B$10+Assumptions!$B$11+Assumptions!$B$12)/Projects!$D$13*0.95,0)-IF(AND(Projects!$G$13="Yes",P$3=Projects!$C$13+Projects!$D$13-1),Projects!$B$13*(Assumptions!$B$10+Assumptions!$B$11+Assumptions!$B$12)*0.05,0)</f>
        <v>0</v>
      </c>
      <c r="Q24" s="30" t="n">
        <f aca="false">IF(AND(Projects!$G$13="Yes",Q$3&gt;=Projects!$C$13,Q$3&lt;Projects!$C$13+Projects!$D$13),Projects!$B$13*INDEX(Curves!$B$2:$AR$2,1,Q$3-Projects!$C$13+1),0)-IF(AND(Projects!$G$13="Yes",Q$3&gt;=Projects!$C$13,Q$3&lt;Projects!$C$13+Projects!$D$13),Projects!$B$13*(Assumptions!$B$10+Assumptions!$B$11+Assumptions!$B$12)/Projects!$D$13*0.95,0)-IF(AND(Projects!$G$13="Yes",Q$3=Projects!$C$13+Projects!$D$13-1),Projects!$B$13*(Assumptions!$B$10+Assumptions!$B$11+Assumptions!$B$12)*0.05,0)</f>
        <v>556266.059712783</v>
      </c>
      <c r="R24" s="30" t="n">
        <f aca="false">IF(AND(Projects!$G$13="Yes",R$3&gt;=Projects!$C$13,R$3&lt;Projects!$C$13+Projects!$D$13),Projects!$B$13*INDEX(Curves!$B$2:$AR$2,1,R$3-Projects!$C$13+1),0)-IF(AND(Projects!$G$13="Yes",R$3&gt;=Projects!$C$13,R$3&lt;Projects!$C$13+Projects!$D$13),Projects!$B$13*(Assumptions!$B$10+Assumptions!$B$11+Assumptions!$B$12)/Projects!$D$13*0.95,0)-IF(AND(Projects!$G$13="Yes",R$3=Projects!$C$13+Projects!$D$13-1),Projects!$B$13*(Assumptions!$B$10+Assumptions!$B$11+Assumptions!$B$12)*0.05,0)</f>
        <v>665675.842802783</v>
      </c>
      <c r="S24" s="30" t="n">
        <f aca="false">IF(AND(Projects!$G$13="Yes",S$3&gt;=Projects!$C$13,S$3&lt;Projects!$C$13+Projects!$D$13),Projects!$B$13*INDEX(Curves!$B$2:$AR$2,1,S$3-Projects!$C$13+1),0)-IF(AND(Projects!$G$13="Yes",S$3&gt;=Projects!$C$13,S$3&lt;Projects!$C$13+Projects!$D$13),Projects!$B$13*(Assumptions!$B$10+Assumptions!$B$11+Assumptions!$B$12)/Projects!$D$13*0.95,0)-IF(AND(Projects!$G$13="Yes",S$3=Projects!$C$13+Projects!$D$13-1),Projects!$B$13*(Assumptions!$B$10+Assumptions!$B$11+Assumptions!$B$12)*0.05,0)</f>
        <v>781966.174932784</v>
      </c>
      <c r="T24" s="30" t="n">
        <f aca="false">IF(AND(Projects!$G$13="Yes",T$3&gt;=Projects!$C$13,T$3&lt;Projects!$C$13+Projects!$D$13),Projects!$B$13*INDEX(Curves!$B$2:$AR$2,1,T$3-Projects!$C$13+1),0)-IF(AND(Projects!$G$13="Yes",T$3&gt;=Projects!$C$13,T$3&lt;Projects!$C$13+Projects!$D$13),Projects!$B$13*(Assumptions!$B$10+Assumptions!$B$11+Assumptions!$B$12)/Projects!$D$13*0.95,0)-IF(AND(Projects!$G$13="Yes",T$3=Projects!$C$13+Projects!$D$13-1),Projects!$B$13*(Assumptions!$B$10+Assumptions!$B$11+Assumptions!$B$12)*0.05,0)</f>
        <v>903552.719152783</v>
      </c>
      <c r="U24" s="30" t="n">
        <f aca="false">IF(AND(Projects!$G$13="Yes",U$3&gt;=Projects!$C$13,U$3&lt;Projects!$C$13+Projects!$D$13),Projects!$B$13*INDEX(Curves!$B$2:$AR$2,1,U$3-Projects!$C$13+1),0)-IF(AND(Projects!$G$13="Yes",U$3&gt;=Projects!$C$13,U$3&lt;Projects!$C$13+Projects!$D$13),Projects!$B$13*(Assumptions!$B$10+Assumptions!$B$11+Assumptions!$B$12)/Projects!$D$13*0.95,0)-IF(AND(Projects!$G$13="Yes",U$3=Projects!$C$13+Projects!$D$13-1),Projects!$B$13*(Assumptions!$B$10+Assumptions!$B$11+Assumptions!$B$12)*0.05,0)</f>
        <v>1028579.53789278</v>
      </c>
      <c r="V24" s="30" t="n">
        <f aca="false">IF(AND(Projects!$G$13="Yes",V$3&gt;=Projects!$C$13,V$3&lt;Projects!$C$13+Projects!$D$13),Projects!$B$13*INDEX(Curves!$B$2:$AR$2,1,V$3-Projects!$C$13+1),0)-IF(AND(Projects!$G$13="Yes",V$3&gt;=Projects!$C$13,V$3&lt;Projects!$C$13+Projects!$D$13),Projects!$B$13*(Assumptions!$B$10+Assumptions!$B$11+Assumptions!$B$12)/Projects!$D$13*0.95,0)-IF(AND(Projects!$G$13="Yes",V$3=Projects!$C$13+Projects!$D$13-1),Projects!$B$13*(Assumptions!$B$10+Assumptions!$B$11+Assumptions!$B$12)*0.05,0)</f>
        <v>1154783.29265278</v>
      </c>
      <c r="W24" s="30" t="n">
        <f aca="false">IF(AND(Projects!$G$13="Yes",W$3&gt;=Projects!$C$13,W$3&lt;Projects!$C$13+Projects!$D$13),Projects!$B$13*INDEX(Curves!$B$2:$AR$2,1,W$3-Projects!$C$13+1),0)-IF(AND(Projects!$G$13="Yes",W$3&gt;=Projects!$C$13,W$3&lt;Projects!$C$13+Projects!$D$13),Projects!$B$13*(Assumptions!$B$10+Assumptions!$B$11+Assumptions!$B$12)/Projects!$D$13*0.95,0)-IF(AND(Projects!$G$13="Yes",W$3=Projects!$C$13+Projects!$D$13-1),Projects!$B$13*(Assumptions!$B$10+Assumptions!$B$11+Assumptions!$B$12)*0.05,0)</f>
        <v>1279674.31108278</v>
      </c>
      <c r="X24" s="30" t="n">
        <f aca="false">IF(AND(Projects!$G$13="Yes",X$3&gt;=Projects!$C$13,X$3&lt;Projects!$C$13+Projects!$D$13),Projects!$B$13*INDEX(Curves!$B$2:$AR$2,1,X$3-Projects!$C$13+1),0)-IF(AND(Projects!$G$13="Yes",X$3&gt;=Projects!$C$13,X$3&lt;Projects!$C$13+Projects!$D$13),Projects!$B$13*(Assumptions!$B$10+Assumptions!$B$11+Assumptions!$B$12)/Projects!$D$13*0.95,0)-IF(AND(Projects!$G$13="Yes",X$3=Projects!$C$13+Projects!$D$13-1),Projects!$B$13*(Assumptions!$B$10+Assumptions!$B$11+Assumptions!$B$12)*0.05,0)</f>
        <v>1400536.58698278</v>
      </c>
      <c r="Y24" s="30" t="n">
        <f aca="false">IF(AND(Projects!$G$13="Yes",Y$3&gt;=Projects!$C$13,Y$3&lt;Projects!$C$13+Projects!$D$13),Projects!$B$13*INDEX(Curves!$B$2:$AR$2,1,Y$3-Projects!$C$13+1),0)-IF(AND(Projects!$G$13="Yes",Y$3&gt;=Projects!$C$13,Y$3&lt;Projects!$C$13+Projects!$D$13),Projects!$B$13*(Assumptions!$B$10+Assumptions!$B$11+Assumptions!$B$12)/Projects!$D$13*0.95,0)-IF(AND(Projects!$G$13="Yes",Y$3=Projects!$C$13+Projects!$D$13-1),Projects!$B$13*(Assumptions!$B$10+Assumptions!$B$11+Assumptions!$B$12)*0.05,0)</f>
        <v>1514473.04707278</v>
      </c>
      <c r="Z24" s="30" t="n">
        <f aca="false">IF(AND(Projects!$G$13="Yes",Z$3&gt;=Projects!$C$13,Z$3&lt;Projects!$C$13+Projects!$D$13),Projects!$B$13*INDEX(Curves!$B$2:$AR$2,1,Z$3-Projects!$C$13+1),0)-IF(AND(Projects!$G$13="Yes",Z$3&gt;=Projects!$C$13,Z$3&lt;Projects!$C$13+Projects!$D$13),Projects!$B$13*(Assumptions!$B$10+Assumptions!$B$11+Assumptions!$B$12)/Projects!$D$13*0.95,0)-IF(AND(Projects!$G$13="Yes",Z$3=Projects!$C$13+Projects!$D$13-1),Projects!$B$13*(Assumptions!$B$10+Assumptions!$B$11+Assumptions!$B$12)*0.05,0)</f>
        <v>1618722.41838278</v>
      </c>
      <c r="AA24" s="30" t="n">
        <f aca="false">IF(AND(Projects!$G$13="Yes",AA$3&gt;=Projects!$C$13,AA$3&lt;Projects!$C$13+Projects!$D$13),Projects!$B$13*INDEX(Curves!$B$2:$AR$2,1,AA$3-Projects!$C$13+1),0)-IF(AND(Projects!$G$13="Yes",AA$3&gt;=Projects!$C$13,AA$3&lt;Projects!$C$13+Projects!$D$13),Projects!$B$13*(Assumptions!$B$10+Assumptions!$B$11+Assumptions!$B$12)/Projects!$D$13*0.95,0)-IF(AND(Projects!$G$13="Yes",AA$3=Projects!$C$13+Projects!$D$13-1),Projects!$B$13*(Assumptions!$B$10+Assumptions!$B$11+Assumptions!$B$12)*0.05,0)</f>
        <v>1710478.16117278</v>
      </c>
      <c r="AB24" s="30" t="n">
        <f aca="false">IF(AND(Projects!$G$13="Yes",AB$3&gt;=Projects!$C$13,AB$3&lt;Projects!$C$13+Projects!$D$13),Projects!$B$13*INDEX(Curves!$B$2:$AR$2,1,AB$3-Projects!$C$13+1),0)-IF(AND(Projects!$G$13="Yes",AB$3&gt;=Projects!$C$13,AB$3&lt;Projects!$C$13+Projects!$D$13),Projects!$B$13*(Assumptions!$B$10+Assumptions!$B$11+Assumptions!$B$12)/Projects!$D$13*0.95,0)-IF(AND(Projects!$G$13="Yes",AB$3=Projects!$C$13+Projects!$D$13-1),Projects!$B$13*(Assumptions!$B$10+Assumptions!$B$11+Assumptions!$B$12)*0.05,0)</f>
        <v>1787250.60309278</v>
      </c>
      <c r="AC24" s="30" t="n">
        <f aca="false">IF(AND(Projects!$G$13="Yes",AC$3&gt;=Projects!$C$13,AC$3&lt;Projects!$C$13+Projects!$D$13),Projects!$B$13*INDEX(Curves!$B$2:$AR$2,1,AC$3-Projects!$C$13+1),0)-IF(AND(Projects!$G$13="Yes",AC$3&gt;=Projects!$C$13,AC$3&lt;Projects!$C$13+Projects!$D$13),Projects!$B$13*(Assumptions!$B$10+Assumptions!$B$11+Assumptions!$B$12)/Projects!$D$13*0.95,0)-IF(AND(Projects!$G$13="Yes",AC$3=Projects!$C$13+Projects!$D$13-1),Projects!$B$13*(Assumptions!$B$10+Assumptions!$B$11+Assumptions!$B$12)*0.05,0)</f>
        <v>1846912.20595278</v>
      </c>
      <c r="AD24" s="30" t="n">
        <f aca="false">IF(AND(Projects!$G$13="Yes",AD$3&gt;=Projects!$C$13,AD$3&lt;Projects!$C$13+Projects!$D$13),Projects!$B$13*INDEX(Curves!$B$2:$AR$2,1,AD$3-Projects!$C$13+1),0)-IF(AND(Projects!$G$13="Yes",AD$3&gt;=Projects!$C$13,AD$3&lt;Projects!$C$13+Projects!$D$13),Projects!$B$13*(Assumptions!$B$10+Assumptions!$B$11+Assumptions!$B$12)/Projects!$D$13*0.95,0)-IF(AND(Projects!$G$13="Yes",AD$3=Projects!$C$13+Projects!$D$13-1),Projects!$B$13*(Assumptions!$B$10+Assumptions!$B$11+Assumptions!$B$12)*0.05,0)</f>
        <v>1887652.29895278</v>
      </c>
      <c r="AE24" s="30" t="n">
        <f aca="false">IF(AND(Projects!$G$13="Yes",AE$3&gt;=Projects!$C$13,AE$3&lt;Projects!$C$13+Projects!$D$13),Projects!$B$13*INDEX(Curves!$B$2:$AR$2,1,AE$3-Projects!$C$13+1),0)-IF(AND(Projects!$G$13="Yes",AE$3&gt;=Projects!$C$13,AE$3&lt;Projects!$C$13+Projects!$D$13),Projects!$B$13*(Assumptions!$B$10+Assumptions!$B$11+Assumptions!$B$12)/Projects!$D$13*0.95,0)-IF(AND(Projects!$G$13="Yes",AE$3=Projects!$C$13+Projects!$D$13-1),Projects!$B$13*(Assumptions!$B$10+Assumptions!$B$11+Assumptions!$B$12)*0.05,0)</f>
        <v>1908339.21284278</v>
      </c>
      <c r="AF24" s="30" t="n">
        <f aca="false">IF(AND(Projects!$G$13="Yes",AF$3&gt;=Projects!$C$13,AF$3&lt;Projects!$C$13+Projects!$D$13),Projects!$B$13*INDEX(Curves!$B$2:$AR$2,1,AF$3-Projects!$C$13+1),0)-IF(AND(Projects!$G$13="Yes",AF$3&gt;=Projects!$C$13,AF$3&lt;Projects!$C$13+Projects!$D$13),Projects!$B$13*(Assumptions!$B$10+Assumptions!$B$11+Assumptions!$B$12)/Projects!$D$13*0.95,0)-IF(AND(Projects!$G$13="Yes",AF$3=Projects!$C$13+Projects!$D$13-1),Projects!$B$13*(Assumptions!$B$10+Assumptions!$B$11+Assumptions!$B$12)*0.05,0)</f>
        <v>1908339.21284278</v>
      </c>
      <c r="AG24" s="30" t="n">
        <f aca="false">IF(AND(Projects!$G$13="Yes",AG$3&gt;=Projects!$C$13,AG$3&lt;Projects!$C$13+Projects!$D$13),Projects!$B$13*INDEX(Curves!$B$2:$AR$2,1,AG$3-Projects!$C$13+1),0)-IF(AND(Projects!$G$13="Yes",AG$3&gt;=Projects!$C$13,AG$3&lt;Projects!$C$13+Projects!$D$13),Projects!$B$13*(Assumptions!$B$10+Assumptions!$B$11+Assumptions!$B$12)/Projects!$D$13*0.95,0)-IF(AND(Projects!$G$13="Yes",AG$3=Projects!$C$13+Projects!$D$13-1),Projects!$B$13*(Assumptions!$B$10+Assumptions!$B$11+Assumptions!$B$12)*0.05,0)</f>
        <v>1887652.29895278</v>
      </c>
      <c r="AH24" s="30" t="n">
        <f aca="false">IF(AND(Projects!$G$13="Yes",AH$3&gt;=Projects!$C$13,AH$3&lt;Projects!$C$13+Projects!$D$13),Projects!$B$13*INDEX(Curves!$B$2:$AR$2,1,AH$3-Projects!$C$13+1),0)-IF(AND(Projects!$G$13="Yes",AH$3&gt;=Projects!$C$13,AH$3&lt;Projects!$C$13+Projects!$D$13),Projects!$B$13*(Assumptions!$B$10+Assumptions!$B$11+Assumptions!$B$12)/Projects!$D$13*0.95,0)-IF(AND(Projects!$G$13="Yes",AH$3=Projects!$C$13+Projects!$D$13-1),Projects!$B$13*(Assumptions!$B$10+Assumptions!$B$11+Assumptions!$B$12)*0.05,0)</f>
        <v>1846912.20595278</v>
      </c>
      <c r="AI24" s="30" t="n">
        <f aca="false">IF(AND(Projects!$G$13="Yes",AI$3&gt;=Projects!$C$13,AI$3&lt;Projects!$C$13+Projects!$D$13),Projects!$B$13*INDEX(Curves!$B$2:$AR$2,1,AI$3-Projects!$C$13+1),0)-IF(AND(Projects!$G$13="Yes",AI$3&gt;=Projects!$C$13,AI$3&lt;Projects!$C$13+Projects!$D$13),Projects!$B$13*(Assumptions!$B$10+Assumptions!$B$11+Assumptions!$B$12)/Projects!$D$13*0.95,0)-IF(AND(Projects!$G$13="Yes",AI$3=Projects!$C$13+Projects!$D$13-1),Projects!$B$13*(Assumptions!$B$10+Assumptions!$B$11+Assumptions!$B$12)*0.05,0)</f>
        <v>1787250.60309278</v>
      </c>
      <c r="AJ24" s="30" t="n">
        <f aca="false">IF(AND(Projects!$G$13="Yes",AJ$3&gt;=Projects!$C$13,AJ$3&lt;Projects!$C$13+Projects!$D$13),Projects!$B$13*INDEX(Curves!$B$2:$AR$2,1,AJ$3-Projects!$C$13+1),0)-IF(AND(Projects!$G$13="Yes",AJ$3&gt;=Projects!$C$13,AJ$3&lt;Projects!$C$13+Projects!$D$13),Projects!$B$13*(Assumptions!$B$10+Assumptions!$B$11+Assumptions!$B$12)/Projects!$D$13*0.95,0)-IF(AND(Projects!$G$13="Yes",AJ$3=Projects!$C$13+Projects!$D$13-1),Projects!$B$13*(Assumptions!$B$10+Assumptions!$B$11+Assumptions!$B$12)*0.05,0)</f>
        <v>1710478.16117278</v>
      </c>
      <c r="AK24" s="30" t="n">
        <f aca="false">IF(AND(Projects!$G$13="Yes",AK$3&gt;=Projects!$C$13,AK$3&lt;Projects!$C$13+Projects!$D$13),Projects!$B$13*INDEX(Curves!$B$2:$AR$2,1,AK$3-Projects!$C$13+1),0)-IF(AND(Projects!$G$13="Yes",AK$3&gt;=Projects!$C$13,AK$3&lt;Projects!$C$13+Projects!$D$13),Projects!$B$13*(Assumptions!$B$10+Assumptions!$B$11+Assumptions!$B$12)/Projects!$D$13*0.95,0)-IF(AND(Projects!$G$13="Yes",AK$3=Projects!$C$13+Projects!$D$13-1),Projects!$B$13*(Assumptions!$B$10+Assumptions!$B$11+Assumptions!$B$12)*0.05,0)</f>
        <v>1618722.41838278</v>
      </c>
      <c r="AL24" s="30" t="n">
        <f aca="false">IF(AND(Projects!$G$13="Yes",AL$3&gt;=Projects!$C$13,AL$3&lt;Projects!$C$13+Projects!$D$13),Projects!$B$13*INDEX(Curves!$B$2:$AR$2,1,AL$3-Projects!$C$13+1),0)-IF(AND(Projects!$G$13="Yes",AL$3&gt;=Projects!$C$13,AL$3&lt;Projects!$C$13+Projects!$D$13),Projects!$B$13*(Assumptions!$B$10+Assumptions!$B$11+Assumptions!$B$12)/Projects!$D$13*0.95,0)-IF(AND(Projects!$G$13="Yes",AL$3=Projects!$C$13+Projects!$D$13-1),Projects!$B$13*(Assumptions!$B$10+Assumptions!$B$11+Assumptions!$B$12)*0.05,0)</f>
        <v>1514473.04707278</v>
      </c>
      <c r="AM24" s="30" t="n">
        <f aca="false">IF(AND(Projects!$G$13="Yes",AM$3&gt;=Projects!$C$13,AM$3&lt;Projects!$C$13+Projects!$D$13),Projects!$B$13*INDEX(Curves!$B$2:$AR$2,1,AM$3-Projects!$C$13+1),0)-IF(AND(Projects!$G$13="Yes",AM$3&gt;=Projects!$C$13,AM$3&lt;Projects!$C$13+Projects!$D$13),Projects!$B$13*(Assumptions!$B$10+Assumptions!$B$11+Assumptions!$B$12)/Projects!$D$13*0.95,0)-IF(AND(Projects!$G$13="Yes",AM$3=Projects!$C$13+Projects!$D$13-1),Projects!$B$13*(Assumptions!$B$10+Assumptions!$B$11+Assumptions!$B$12)*0.05,0)</f>
        <v>1400536.58698278</v>
      </c>
      <c r="AN24" s="30" t="n">
        <f aca="false">IF(AND(Projects!$G$13="Yes",AN$3&gt;=Projects!$C$13,AN$3&lt;Projects!$C$13+Projects!$D$13),Projects!$B$13*INDEX(Curves!$B$2:$AR$2,1,AN$3-Projects!$C$13+1),0)-IF(AND(Projects!$G$13="Yes",AN$3&gt;=Projects!$C$13,AN$3&lt;Projects!$C$13+Projects!$D$13),Projects!$B$13*(Assumptions!$B$10+Assumptions!$B$11+Assumptions!$B$12)/Projects!$D$13*0.95,0)-IF(AND(Projects!$G$13="Yes",AN$3=Projects!$C$13+Projects!$D$13-1),Projects!$B$13*(Assumptions!$B$10+Assumptions!$B$11+Assumptions!$B$12)*0.05,0)</f>
        <v>1279674.31108278</v>
      </c>
      <c r="AO24" s="30" t="n">
        <f aca="false">IF(AND(Projects!$G$13="Yes",AO$3&gt;=Projects!$C$13,AO$3&lt;Projects!$C$13+Projects!$D$13),Projects!$B$13*INDEX(Curves!$B$2:$AR$2,1,AO$3-Projects!$C$13+1),0)-IF(AND(Projects!$G$13="Yes",AO$3&gt;=Projects!$C$13,AO$3&lt;Projects!$C$13+Projects!$D$13),Projects!$B$13*(Assumptions!$B$10+Assumptions!$B$11+Assumptions!$B$12)/Projects!$D$13*0.95,0)-IF(AND(Projects!$G$13="Yes",AO$3=Projects!$C$13+Projects!$D$13-1),Projects!$B$13*(Assumptions!$B$10+Assumptions!$B$11+Assumptions!$B$12)*0.05,0)</f>
        <v>1154783.29265278</v>
      </c>
      <c r="AP24" s="30" t="n">
        <f aca="false">IF(AND(Projects!$G$13="Yes",AP$3&gt;=Projects!$C$13,AP$3&lt;Projects!$C$13+Projects!$D$13),Projects!$B$13*INDEX(Curves!$B$2:$AR$2,1,AP$3-Projects!$C$13+1),0)-IF(AND(Projects!$G$13="Yes",AP$3&gt;=Projects!$C$13,AP$3&lt;Projects!$C$13+Projects!$D$13),Projects!$B$13*(Assumptions!$B$10+Assumptions!$B$11+Assumptions!$B$12)/Projects!$D$13*0.95,0)-IF(AND(Projects!$G$13="Yes",AP$3=Projects!$C$13+Projects!$D$13-1),Projects!$B$13*(Assumptions!$B$10+Assumptions!$B$11+Assumptions!$B$12)*0.05,0)</f>
        <v>1028579.53789278</v>
      </c>
      <c r="AQ24" s="30" t="n">
        <f aca="false">IF(AND(Projects!$G$13="Yes",AQ$3&gt;=Projects!$C$13,AQ$3&lt;Projects!$C$13+Projects!$D$13),Projects!$B$13*INDEX(Curves!$B$2:$AR$2,1,AQ$3-Projects!$C$13+1),0)-IF(AND(Projects!$G$13="Yes",AQ$3&gt;=Projects!$C$13,AQ$3&lt;Projects!$C$13+Projects!$D$13),Projects!$B$13*(Assumptions!$B$10+Assumptions!$B$11+Assumptions!$B$12)/Projects!$D$13*0.95,0)-IF(AND(Projects!$G$13="Yes",AQ$3=Projects!$C$13+Projects!$D$13-1),Projects!$B$13*(Assumptions!$B$10+Assumptions!$B$11+Assumptions!$B$12)*0.05,0)</f>
        <v>903552.719152783</v>
      </c>
      <c r="AR24" s="30" t="n">
        <f aca="false">IF(AND(Projects!$G$13="Yes",AR$3&gt;=Projects!$C$13,AR$3&lt;Projects!$C$13+Projects!$D$13),Projects!$B$13*INDEX(Curves!$B$2:$AR$2,1,AR$3-Projects!$C$13+1),0)-IF(AND(Projects!$G$13="Yes",AR$3&gt;=Projects!$C$13,AR$3&lt;Projects!$C$13+Projects!$D$13),Projects!$B$13*(Assumptions!$B$10+Assumptions!$B$11+Assumptions!$B$12)/Projects!$D$13*0.95,0)-IF(AND(Projects!$G$13="Yes",AR$3=Projects!$C$13+Projects!$D$13-1),Projects!$B$13*(Assumptions!$B$10+Assumptions!$B$11+Assumptions!$B$12)*0.05,0)</f>
        <v>781966.174932784</v>
      </c>
      <c r="AS24" s="30" t="n">
        <f aca="false">IF(AND(Projects!$G$13="Yes",AS$3&gt;=Projects!$C$13,AS$3&lt;Projects!$C$13+Projects!$D$13),Projects!$B$13*INDEX(Curves!$B$2:$AR$2,1,AS$3-Projects!$C$13+1),0)-IF(AND(Projects!$G$13="Yes",AS$3&gt;=Projects!$C$13,AS$3&lt;Projects!$C$13+Projects!$D$13),Projects!$B$13*(Assumptions!$B$10+Assumptions!$B$11+Assumptions!$B$12)/Projects!$D$13*0.95,0)-IF(AND(Projects!$G$13="Yes",AS$3=Projects!$C$13+Projects!$D$13-1),Projects!$B$13*(Assumptions!$B$10+Assumptions!$B$11+Assumptions!$B$12)*0.05,0)</f>
        <v>665675.842802783</v>
      </c>
      <c r="AT24" s="30" t="n">
        <f aca="false">IF(AND(Projects!$G$13="Yes",AT$3&gt;=Projects!$C$13,AT$3&lt;Projects!$C$13+Projects!$D$13),Projects!$B$13*INDEX(Curves!$B$2:$AR$2,1,AT$3-Projects!$C$13+1),0)-IF(AND(Projects!$G$13="Yes",AT$3&gt;=Projects!$C$13,AT$3&lt;Projects!$C$13+Projects!$D$13),Projects!$B$13*(Assumptions!$B$10+Assumptions!$B$11+Assumptions!$B$12)/Projects!$D$13*0.95,0)-IF(AND(Projects!$G$13="Yes",AT$3=Projects!$C$13+Projects!$D$13-1),Projects!$B$13*(Assumptions!$B$10+Assumptions!$B$11+Assumptions!$B$12)*0.05,0)</f>
        <v>283780.474359283</v>
      </c>
      <c r="AU24" s="30" t="n">
        <f aca="false">IF(AND(Projects!$G$13="Yes",AU$3&gt;=Projects!$C$13,AU$3&lt;Projects!$C$13+Projects!$D$13),Projects!$B$13*INDEX(Curves!$B$2:$AR$2,1,AU$3-Projects!$C$13+1),0)-IF(AND(Projects!$G$13="Yes",AU$3&gt;=Projects!$C$13,AU$3&lt;Projects!$C$13+Projects!$D$13),Projects!$B$13*(Assumptions!$B$10+Assumptions!$B$11+Assumptions!$B$12)/Projects!$D$13*0.95,0)-IF(AND(Projects!$G$13="Yes",AU$3=Projects!$C$13+Projects!$D$13-1),Projects!$B$13*(Assumptions!$B$10+Assumptions!$B$11+Assumptions!$B$12)*0.05,0)</f>
        <v>0</v>
      </c>
      <c r="AV24" s="30" t="n">
        <f aca="false">IF(AND(Projects!$G$13="Yes",AV$3&gt;=Projects!$C$13,AV$3&lt;Projects!$C$13+Projects!$D$13),Projects!$B$13*INDEX(Curves!$B$2:$AR$2,1,AV$3-Projects!$C$13+1),0)-IF(AND(Projects!$G$13="Yes",AV$3&gt;=Projects!$C$13,AV$3&lt;Projects!$C$13+Projects!$D$13),Projects!$B$13*(Assumptions!$B$10+Assumptions!$B$11+Assumptions!$B$12)/Projects!$D$13*0.95,0)-IF(AND(Projects!$G$13="Yes",AV$3=Projects!$C$13+Projects!$D$13-1),Projects!$B$13*(Assumptions!$B$10+Assumptions!$B$11+Assumptions!$B$12)*0.05,0)</f>
        <v>0</v>
      </c>
      <c r="AW24" s="30" t="n">
        <f aca="false">IF(AND(Projects!$G$13="Yes",AW$3&gt;=Projects!$C$13,AW$3&lt;Projects!$C$13+Projects!$D$13),Projects!$B$13*INDEX(Curves!$B$2:$AR$2,1,AW$3-Projects!$C$13+1),0)-IF(AND(Projects!$G$13="Yes",AW$3&gt;=Projects!$C$13,AW$3&lt;Projects!$C$13+Projects!$D$13),Projects!$B$13*(Assumptions!$B$10+Assumptions!$B$11+Assumptions!$B$12)/Projects!$D$13*0.95,0)-IF(AND(Projects!$G$13="Yes",AW$3=Projects!$C$13+Projects!$D$13-1),Projects!$B$13*(Assumptions!$B$10+Assumptions!$B$11+Assumptions!$B$12)*0.05,0)</f>
        <v>0</v>
      </c>
      <c r="AX24" s="30" t="n">
        <f aca="false">IF(AND(Projects!$G$13="Yes",AX$3&gt;=Projects!$C$13,AX$3&lt;Projects!$C$13+Projects!$D$13),Projects!$B$13*INDEX(Curves!$B$2:$AR$2,1,AX$3-Projects!$C$13+1),0)-IF(AND(Projects!$G$13="Yes",AX$3&gt;=Projects!$C$13,AX$3&lt;Projects!$C$13+Projects!$D$13),Projects!$B$13*(Assumptions!$B$10+Assumptions!$B$11+Assumptions!$B$12)/Projects!$D$13*0.95,0)-IF(AND(Projects!$G$13="Yes",AX$3=Projects!$C$13+Projects!$D$13-1),Projects!$B$13*(Assumptions!$B$10+Assumptions!$B$11+Assumptions!$B$12)*0.05,0)</f>
        <v>0</v>
      </c>
      <c r="AY24" s="30" t="n">
        <f aca="false">IF(AND(Projects!$G$13="Yes",AY$3&gt;=Projects!$C$13,AY$3&lt;Projects!$C$13+Projects!$D$13),Projects!$B$13*INDEX(Curves!$B$2:$AR$2,1,AY$3-Projects!$C$13+1),0)-IF(AND(Projects!$G$13="Yes",AY$3&gt;=Projects!$C$13,AY$3&lt;Projects!$C$13+Projects!$D$13),Projects!$B$13*(Assumptions!$B$10+Assumptions!$B$11+Assumptions!$B$12)/Projects!$D$13*0.95,0)-IF(AND(Projects!$G$13="Yes",AY$3=Projects!$C$13+Projects!$D$13-1),Projects!$B$13*(Assumptions!$B$10+Assumptions!$B$11+Assumptions!$B$12)*0.05,0)</f>
        <v>0</v>
      </c>
      <c r="AZ24" s="30" t="n">
        <f aca="false">IF(AND(Projects!$G$13="Yes",AZ$3&gt;=Projects!$C$13,AZ$3&lt;Projects!$C$13+Projects!$D$13),Projects!$B$13*INDEX(Curves!$B$2:$AR$2,1,AZ$3-Projects!$C$13+1),0)-IF(AND(Projects!$G$13="Yes",AZ$3&gt;=Projects!$C$13,AZ$3&lt;Projects!$C$13+Projects!$D$13),Projects!$B$13*(Assumptions!$B$10+Assumptions!$B$11+Assumptions!$B$12)/Projects!$D$13*0.95,0)-IF(AND(Projects!$G$13="Yes",AZ$3=Projects!$C$13+Projects!$D$13-1),Projects!$B$13*(Assumptions!$B$10+Assumptions!$B$11+Assumptions!$B$12)*0.05,0)</f>
        <v>0</v>
      </c>
      <c r="BA24" s="30" t="n">
        <f aca="false">IF(AND(Projects!$G$13="Yes",BA$3&gt;=Projects!$C$13,BA$3&lt;Projects!$C$13+Projects!$D$13),Projects!$B$13*INDEX(Curves!$B$2:$AR$2,1,BA$3-Projects!$C$13+1),0)-IF(AND(Projects!$G$13="Yes",BA$3&gt;=Projects!$C$13,BA$3&lt;Projects!$C$13+Projects!$D$13),Projects!$B$13*(Assumptions!$B$10+Assumptions!$B$11+Assumptions!$B$12)/Projects!$D$13*0.95,0)-IF(AND(Projects!$G$13="Yes",BA$3=Projects!$C$13+Projects!$D$13-1),Projects!$B$13*(Assumptions!$B$10+Assumptions!$B$11+Assumptions!$B$12)*0.05,0)</f>
        <v>0</v>
      </c>
      <c r="BB24" s="30" t="n">
        <f aca="false">IF(AND(Projects!$G$13="Yes",BB$3&gt;=Projects!$C$13,BB$3&lt;Projects!$C$13+Projects!$D$13),Projects!$B$13*INDEX(Curves!$B$2:$AR$2,1,BB$3-Projects!$C$13+1),0)-IF(AND(Projects!$G$13="Yes",BB$3&gt;=Projects!$C$13,BB$3&lt;Projects!$C$13+Projects!$D$13),Projects!$B$13*(Assumptions!$B$10+Assumptions!$B$11+Assumptions!$B$12)/Projects!$D$13*0.95,0)-IF(AND(Projects!$G$13="Yes",BB$3=Projects!$C$13+Projects!$D$13-1),Projects!$B$13*(Assumptions!$B$10+Assumptions!$B$11+Assumptions!$B$12)*0.05,0)</f>
        <v>0</v>
      </c>
      <c r="BC24" s="30" t="n">
        <f aca="false">IF(AND(Projects!$G$13="Yes",BC$3&gt;=Projects!$C$13,BC$3&lt;Projects!$C$13+Projects!$D$13),Projects!$B$13*INDEX(Curves!$B$2:$AR$2,1,BC$3-Projects!$C$13+1),0)-IF(AND(Projects!$G$13="Yes",BC$3&gt;=Projects!$C$13,BC$3&lt;Projects!$C$13+Projects!$D$13),Projects!$B$13*(Assumptions!$B$10+Assumptions!$B$11+Assumptions!$B$12)/Projects!$D$13*0.95,0)-IF(AND(Projects!$G$13="Yes",BC$3=Projects!$C$13+Projects!$D$13-1),Projects!$B$13*(Assumptions!$B$10+Assumptions!$B$11+Assumptions!$B$12)*0.05,0)</f>
        <v>0</v>
      </c>
      <c r="BD24" s="30" t="n">
        <f aca="false">IF(AND(Projects!$G$13="Yes",BD$3&gt;=Projects!$C$13,BD$3&lt;Projects!$C$13+Projects!$D$13),Projects!$B$13*INDEX(Curves!$B$2:$AR$2,1,BD$3-Projects!$C$13+1),0)-IF(AND(Projects!$G$13="Yes",BD$3&gt;=Projects!$C$13,BD$3&lt;Projects!$C$13+Projects!$D$13),Projects!$B$13*(Assumptions!$B$10+Assumptions!$B$11+Assumptions!$B$12)/Projects!$D$13*0.95,0)-IF(AND(Projects!$G$13="Yes",BD$3=Projects!$C$13+Projects!$D$13-1),Projects!$B$13*(Assumptions!$B$10+Assumptions!$B$11+Assumptions!$B$12)*0.05,0)</f>
        <v>0</v>
      </c>
      <c r="BE24" s="30" t="n">
        <f aca="false">IF(AND(Projects!$G$13="Yes",BE$3&gt;=Projects!$C$13,BE$3&lt;Projects!$C$13+Projects!$D$13),Projects!$B$13*INDEX(Curves!$B$2:$AR$2,1,BE$3-Projects!$C$13+1),0)-IF(AND(Projects!$G$13="Yes",BE$3&gt;=Projects!$C$13,BE$3&lt;Projects!$C$13+Projects!$D$13),Projects!$B$13*(Assumptions!$B$10+Assumptions!$B$11+Assumptions!$B$12)/Projects!$D$13*0.95,0)-IF(AND(Projects!$G$13="Yes",BE$3=Projects!$C$13+Projects!$D$13-1),Projects!$B$13*(Assumptions!$B$10+Assumptions!$B$11+Assumptions!$B$12)*0.05,0)</f>
        <v>0</v>
      </c>
      <c r="BF24" s="30" t="n">
        <f aca="false">IF(AND(Projects!$G$13="Yes",BF$3&gt;=Projects!$C$13,BF$3&lt;Projects!$C$13+Projects!$D$13),Projects!$B$13*INDEX(Curves!$B$2:$AR$2,1,BF$3-Projects!$C$13+1),0)-IF(AND(Projects!$G$13="Yes",BF$3&gt;=Projects!$C$13,BF$3&lt;Projects!$C$13+Projects!$D$13),Projects!$B$13*(Assumptions!$B$10+Assumptions!$B$11+Assumptions!$B$12)/Projects!$D$13*0.95,0)-IF(AND(Projects!$G$13="Yes",BF$3=Projects!$C$13+Projects!$D$13-1),Projects!$B$13*(Assumptions!$B$10+Assumptions!$B$11+Assumptions!$B$12)*0.05,0)</f>
        <v>0</v>
      </c>
      <c r="BG24" s="30" t="n">
        <f aca="false">IF(AND(Projects!$G$13="Yes",BG$3&gt;=Projects!$C$13,BG$3&lt;Projects!$C$13+Projects!$D$13),Projects!$B$13*INDEX(Curves!$B$2:$AR$2,1,BG$3-Projects!$C$13+1),0)-IF(AND(Projects!$G$13="Yes",BG$3&gt;=Projects!$C$13,BG$3&lt;Projects!$C$13+Projects!$D$13),Projects!$B$13*(Assumptions!$B$10+Assumptions!$B$11+Assumptions!$B$12)/Projects!$D$13*0.95,0)-IF(AND(Projects!$G$13="Yes",BG$3=Projects!$C$13+Projects!$D$13-1),Projects!$B$13*(Assumptions!$B$10+Assumptions!$B$11+Assumptions!$B$12)*0.05,0)</f>
        <v>0</v>
      </c>
      <c r="BH24" s="30" t="n">
        <f aca="false">IF(AND(Projects!$G$13="Yes",BH$3&gt;=Projects!$C$13,BH$3&lt;Projects!$C$13+Projects!$D$13),Projects!$B$13*INDEX(Curves!$B$2:$AR$2,1,BH$3-Projects!$C$13+1),0)-IF(AND(Projects!$G$13="Yes",BH$3&gt;=Projects!$C$13,BH$3&lt;Projects!$C$13+Projects!$D$13),Projects!$B$13*(Assumptions!$B$10+Assumptions!$B$11+Assumptions!$B$12)/Projects!$D$13*0.95,0)-IF(AND(Projects!$G$13="Yes",BH$3=Projects!$C$13+Projects!$D$13-1),Projects!$B$13*(Assumptions!$B$10+Assumptions!$B$11+Assumptions!$B$12)*0.05,0)</f>
        <v>0</v>
      </c>
      <c r="BI24" s="30" t="n">
        <f aca="false">IF(AND(Projects!$G$13="Yes",BI$3&gt;=Projects!$C$13,BI$3&lt;Projects!$C$13+Projects!$D$13),Projects!$B$13*INDEX(Curves!$B$2:$AR$2,1,BI$3-Projects!$C$13+1),0)-IF(AND(Projects!$G$13="Yes",BI$3&gt;=Projects!$C$13,BI$3&lt;Projects!$C$13+Projects!$D$13),Projects!$B$13*(Assumptions!$B$10+Assumptions!$B$11+Assumptions!$B$12)/Projects!$D$13*0.95,0)-IF(AND(Projects!$G$13="Yes",BI$3=Projects!$C$13+Projects!$D$13-1),Projects!$B$13*(Assumptions!$B$10+Assumptions!$B$11+Assumptions!$B$12)*0.05,0)</f>
        <v>0</v>
      </c>
      <c r="BJ24" s="30" t="n">
        <f aca="false">IF(AND(Projects!$G$13="Yes",BJ$3&gt;=Projects!$C$13,BJ$3&lt;Projects!$C$13+Projects!$D$13),Projects!$B$13*INDEX(Curves!$B$2:$AR$2,1,BJ$3-Projects!$C$13+1),0)-IF(AND(Projects!$G$13="Yes",BJ$3&gt;=Projects!$C$13,BJ$3&lt;Projects!$C$13+Projects!$D$13),Projects!$B$13*(Assumptions!$B$10+Assumptions!$B$11+Assumptions!$B$12)/Projects!$D$13*0.95,0)-IF(AND(Projects!$G$13="Yes",BJ$3=Projects!$C$13+Projects!$D$13-1),Projects!$B$13*(Assumptions!$B$10+Assumptions!$B$11+Assumptions!$B$12)*0.05,0)</f>
        <v>0</v>
      </c>
      <c r="BK24" s="30" t="n">
        <f aca="false">IF(AND(Projects!$G$13="Yes",BK$3&gt;=Projects!$C$13,BK$3&lt;Projects!$C$13+Projects!$D$13),Projects!$B$13*INDEX(Curves!$B$2:$AR$2,1,BK$3-Projects!$C$13+1),0)-IF(AND(Projects!$G$13="Yes",BK$3&gt;=Projects!$C$13,BK$3&lt;Projects!$C$13+Projects!$D$13),Projects!$B$13*(Assumptions!$B$10+Assumptions!$B$11+Assumptions!$B$12)/Projects!$D$13*0.95,0)-IF(AND(Projects!$G$13="Yes",BK$3=Projects!$C$13+Projects!$D$13-1),Projects!$B$13*(Assumptions!$B$10+Assumptions!$B$11+Assumptions!$B$12)*0.05,0)</f>
        <v>0</v>
      </c>
      <c r="BL24" s="30" t="n">
        <f aca="false">IF(AND(Projects!$G$13="Yes",BL$3&gt;=Projects!$C$13,BL$3&lt;Projects!$C$13+Projects!$D$13),Projects!$B$13*INDEX(Curves!$B$2:$AR$2,1,BL$3-Projects!$C$13+1),0)-IF(AND(Projects!$G$13="Yes",BL$3&gt;=Projects!$C$13,BL$3&lt;Projects!$C$13+Projects!$D$13),Projects!$B$13*(Assumptions!$B$10+Assumptions!$B$11+Assumptions!$B$12)/Projects!$D$13*0.95,0)-IF(AND(Projects!$G$13="Yes",BL$3=Projects!$C$13+Projects!$D$13-1),Projects!$B$13*(Assumptions!$B$10+Assumptions!$B$11+Assumptions!$B$12)*0.05,0)</f>
        <v>0</v>
      </c>
      <c r="BM24" s="30" t="n">
        <f aca="false">IF(AND(Projects!$G$13="Yes",BM$3&gt;=Projects!$C$13,BM$3&lt;Projects!$C$13+Projects!$D$13),Projects!$B$13*INDEX(Curves!$B$2:$AR$2,1,BM$3-Projects!$C$13+1),0)-IF(AND(Projects!$G$13="Yes",BM$3&gt;=Projects!$C$13,BM$3&lt;Projects!$C$13+Projects!$D$13),Projects!$B$13*(Assumptions!$B$10+Assumptions!$B$11+Assumptions!$B$12)/Projects!$D$13*0.95,0)-IF(AND(Projects!$G$13="Yes",BM$3=Projects!$C$13+Projects!$D$13-1),Projects!$B$13*(Assumptions!$B$10+Assumptions!$B$11+Assumptions!$B$12)*0.05,0)</f>
        <v>0</v>
      </c>
      <c r="BN24" s="30" t="n">
        <f aca="false">IF(AND(Projects!$G$13="Yes",BN$3&gt;=Projects!$C$13,BN$3&lt;Projects!$C$13+Projects!$D$13),Projects!$B$13*INDEX(Curves!$B$2:$AR$2,1,BN$3-Projects!$C$13+1),0)-IF(AND(Projects!$G$13="Yes",BN$3&gt;=Projects!$C$13,BN$3&lt;Projects!$C$13+Projects!$D$13),Projects!$B$13*(Assumptions!$B$10+Assumptions!$B$11+Assumptions!$B$12)/Projects!$D$13*0.95,0)-IF(AND(Projects!$G$13="Yes",BN$3=Projects!$C$13+Projects!$D$13-1),Projects!$B$13*(Assumptions!$B$10+Assumptions!$B$11+Assumptions!$B$12)*0.05,0)</f>
        <v>0</v>
      </c>
      <c r="BO24" s="30" t="n">
        <f aca="false">IF(AND(Projects!$G$13="Yes",BO$3&gt;=Projects!$C$13,BO$3&lt;Projects!$C$13+Projects!$D$13),Projects!$B$13*INDEX(Curves!$B$2:$AR$2,1,BO$3-Projects!$C$13+1),0)-IF(AND(Projects!$G$13="Yes",BO$3&gt;=Projects!$C$13,BO$3&lt;Projects!$C$13+Projects!$D$13),Projects!$B$13*(Assumptions!$B$10+Assumptions!$B$11+Assumptions!$B$12)/Projects!$D$13*0.95,0)-IF(AND(Projects!$G$13="Yes",BO$3=Projects!$C$13+Projects!$D$13-1),Projects!$B$13*(Assumptions!$B$10+Assumptions!$B$11+Assumptions!$B$12)*0.05,0)</f>
        <v>0</v>
      </c>
      <c r="BP24" s="30" t="n">
        <f aca="false">IF(AND(Projects!$G$13="Yes",BP$3&gt;=Projects!$C$13,BP$3&lt;Projects!$C$13+Projects!$D$13),Projects!$B$13*INDEX(Curves!$B$2:$AR$2,1,BP$3-Projects!$C$13+1),0)-IF(AND(Projects!$G$13="Yes",BP$3&gt;=Projects!$C$13,BP$3&lt;Projects!$C$13+Projects!$D$13),Projects!$B$13*(Assumptions!$B$10+Assumptions!$B$11+Assumptions!$B$12)/Projects!$D$13*0.95,0)-IF(AND(Projects!$G$13="Yes",BP$3=Projects!$C$13+Projects!$D$13-1),Projects!$B$13*(Assumptions!$B$10+Assumptions!$B$11+Assumptions!$B$12)*0.05,0)</f>
        <v>0</v>
      </c>
      <c r="BQ24" s="30" t="n">
        <f aca="false">IF(AND(Projects!$G$13="Yes",BQ$3&gt;=Projects!$C$13,BQ$3&lt;Projects!$C$13+Projects!$D$13),Projects!$B$13*INDEX(Curves!$B$2:$AR$2,1,BQ$3-Projects!$C$13+1),0)-IF(AND(Projects!$G$13="Yes",BQ$3&gt;=Projects!$C$13,BQ$3&lt;Projects!$C$13+Projects!$D$13),Projects!$B$13*(Assumptions!$B$10+Assumptions!$B$11+Assumptions!$B$12)/Projects!$D$13*0.95,0)-IF(AND(Projects!$G$13="Yes",BQ$3=Projects!$C$13+Projects!$D$13-1),Projects!$B$13*(Assumptions!$B$10+Assumptions!$B$11+Assumptions!$B$12)*0.05,0)</f>
        <v>0</v>
      </c>
      <c r="BR24" s="30" t="n">
        <f aca="false">IF(AND(Projects!$G$13="Yes",BR$3&gt;=Projects!$C$13,BR$3&lt;Projects!$C$13+Projects!$D$13),Projects!$B$13*INDEX(Curves!$B$2:$AR$2,1,BR$3-Projects!$C$13+1),0)-IF(AND(Projects!$G$13="Yes",BR$3&gt;=Projects!$C$13,BR$3&lt;Projects!$C$13+Projects!$D$13),Projects!$B$13*(Assumptions!$B$10+Assumptions!$B$11+Assumptions!$B$12)/Projects!$D$13*0.95,0)-IF(AND(Projects!$G$13="Yes",BR$3=Projects!$C$13+Projects!$D$13-1),Projects!$B$13*(Assumptions!$B$10+Assumptions!$B$11+Assumptions!$B$12)*0.05,0)</f>
        <v>0</v>
      </c>
      <c r="BS24" s="30" t="n">
        <f aca="false">IF(AND(Projects!$G$13="Yes",BS$3&gt;=Projects!$C$13,BS$3&lt;Projects!$C$13+Projects!$D$13),Projects!$B$13*INDEX(Curves!$B$2:$AR$2,1,BS$3-Projects!$C$13+1),0)-IF(AND(Projects!$G$13="Yes",BS$3&gt;=Projects!$C$13,BS$3&lt;Projects!$C$13+Projects!$D$13),Projects!$B$13*(Assumptions!$B$10+Assumptions!$B$11+Assumptions!$B$12)/Projects!$D$13*0.95,0)-IF(AND(Projects!$G$13="Yes",BS$3=Projects!$C$13+Projects!$D$13-1),Projects!$B$13*(Assumptions!$B$10+Assumptions!$B$11+Assumptions!$B$12)*0.05,0)</f>
        <v>0</v>
      </c>
      <c r="BT24" s="30" t="n">
        <f aca="false">IF(AND(Projects!$G$13="Yes",BT$3&gt;=Projects!$C$13,BT$3&lt;Projects!$C$13+Projects!$D$13),Projects!$B$13*INDEX(Curves!$B$2:$AR$2,1,BT$3-Projects!$C$13+1),0)-IF(AND(Projects!$G$13="Yes",BT$3&gt;=Projects!$C$13,BT$3&lt;Projects!$C$13+Projects!$D$13),Projects!$B$13*(Assumptions!$B$10+Assumptions!$B$11+Assumptions!$B$12)/Projects!$D$13*0.95,0)-IF(AND(Projects!$G$13="Yes",BT$3=Projects!$C$13+Projects!$D$13-1),Projects!$B$13*(Assumptions!$B$10+Assumptions!$B$11+Assumptions!$B$12)*0.05,0)</f>
        <v>0</v>
      </c>
      <c r="BU24" s="30" t="n">
        <f aca="false">IF(AND(Projects!$G$13="Yes",BU$3&gt;=Projects!$C$13,BU$3&lt;Projects!$C$13+Projects!$D$13),Projects!$B$13*INDEX(Curves!$B$2:$AR$2,1,BU$3-Projects!$C$13+1),0)-IF(AND(Projects!$G$13="Yes",BU$3&gt;=Projects!$C$13,BU$3&lt;Projects!$C$13+Projects!$D$13),Projects!$B$13*(Assumptions!$B$10+Assumptions!$B$11+Assumptions!$B$12)/Projects!$D$13*0.95,0)-IF(AND(Projects!$G$13="Yes",BU$3=Projects!$C$13+Projects!$D$13-1),Projects!$B$13*(Assumptions!$B$10+Assumptions!$B$11+Assumptions!$B$12)*0.05,0)</f>
        <v>0</v>
      </c>
      <c r="BV24" s="30" t="n">
        <f aca="false">IF(AND(Projects!$G$13="Yes",BV$3&gt;=Projects!$C$13,BV$3&lt;Projects!$C$13+Projects!$D$13),Projects!$B$13*INDEX(Curves!$B$2:$AR$2,1,BV$3-Projects!$C$13+1),0)-IF(AND(Projects!$G$13="Yes",BV$3&gt;=Projects!$C$13,BV$3&lt;Projects!$C$13+Projects!$D$13),Projects!$B$13*(Assumptions!$B$10+Assumptions!$B$11+Assumptions!$B$12)/Projects!$D$13*0.95,0)-IF(AND(Projects!$G$13="Yes",BV$3=Projects!$C$13+Projects!$D$13-1),Projects!$B$13*(Assumptions!$B$10+Assumptions!$B$11+Assumptions!$B$12)*0.05,0)</f>
        <v>0</v>
      </c>
      <c r="BW24" s="30" t="n">
        <f aca="false">IF(AND(Projects!$G$13="Yes",BW$3&gt;=Projects!$C$13,BW$3&lt;Projects!$C$13+Projects!$D$13),Projects!$B$13*INDEX(Curves!$B$2:$AR$2,1,BW$3-Projects!$C$13+1),0)-IF(AND(Projects!$G$13="Yes",BW$3&gt;=Projects!$C$13,BW$3&lt;Projects!$C$13+Projects!$D$13),Projects!$B$13*(Assumptions!$B$10+Assumptions!$B$11+Assumptions!$B$12)/Projects!$D$13*0.95,0)-IF(AND(Projects!$G$13="Yes",BW$3=Projects!$C$13+Projects!$D$13-1),Projects!$B$13*(Assumptions!$B$10+Assumptions!$B$11+Assumptions!$B$12)*0.05,0)</f>
        <v>0</v>
      </c>
      <c r="BX24" s="30" t="n">
        <f aca="false">IF(AND(Projects!$G$13="Yes",BX$3&gt;=Projects!$C$13,BX$3&lt;Projects!$C$13+Projects!$D$13),Projects!$B$13*INDEX(Curves!$B$2:$AR$2,1,BX$3-Projects!$C$13+1),0)-IF(AND(Projects!$G$13="Yes",BX$3&gt;=Projects!$C$13,BX$3&lt;Projects!$C$13+Projects!$D$13),Projects!$B$13*(Assumptions!$B$10+Assumptions!$B$11+Assumptions!$B$12)/Projects!$D$13*0.95,0)-IF(AND(Projects!$G$13="Yes",BX$3=Projects!$C$13+Projects!$D$13-1),Projects!$B$13*(Assumptions!$B$10+Assumptions!$B$11+Assumptions!$B$12)*0.05,0)</f>
        <v>0</v>
      </c>
      <c r="BY24" s="30" t="n">
        <f aca="false">IF(AND(Projects!$G$13="Yes",BY$3&gt;=Projects!$C$13,BY$3&lt;Projects!$C$13+Projects!$D$13),Projects!$B$13*INDEX(Curves!$B$2:$AR$2,1,BY$3-Projects!$C$13+1),0)-IF(AND(Projects!$G$13="Yes",BY$3&gt;=Projects!$C$13,BY$3&lt;Projects!$C$13+Projects!$D$13),Projects!$B$13*(Assumptions!$B$10+Assumptions!$B$11+Assumptions!$B$12)/Projects!$D$13*0.95,0)-IF(AND(Projects!$G$13="Yes",BY$3=Projects!$C$13+Projects!$D$13-1),Projects!$B$13*(Assumptions!$B$10+Assumptions!$B$11+Assumptions!$B$12)*0.05,0)</f>
        <v>0</v>
      </c>
      <c r="BZ24" s="30" t="n">
        <f aca="false">IF(AND(Projects!$G$13="Yes",BZ$3&gt;=Projects!$C$13,BZ$3&lt;Projects!$C$13+Projects!$D$13),Projects!$B$13*INDEX(Curves!$B$2:$AR$2,1,BZ$3-Projects!$C$13+1),0)-IF(AND(Projects!$G$13="Yes",BZ$3&gt;=Projects!$C$13,BZ$3&lt;Projects!$C$13+Projects!$D$13),Projects!$B$13*(Assumptions!$B$10+Assumptions!$B$11+Assumptions!$B$12)/Projects!$D$13*0.95,0)-IF(AND(Projects!$G$13="Yes",BZ$3=Projects!$C$13+Projects!$D$13-1),Projects!$B$13*(Assumptions!$B$10+Assumptions!$B$11+Assumptions!$B$12)*0.05,0)</f>
        <v>0</v>
      </c>
      <c r="CA24" s="30" t="n">
        <f aca="false">IF(AND(Projects!$G$13="Yes",CA$3&gt;=Projects!$C$13,CA$3&lt;Projects!$C$13+Projects!$D$13),Projects!$B$13*INDEX(Curves!$B$2:$AR$2,1,CA$3-Projects!$C$13+1),0)-IF(AND(Projects!$G$13="Yes",CA$3&gt;=Projects!$C$13,CA$3&lt;Projects!$C$13+Projects!$D$13),Projects!$B$13*(Assumptions!$B$10+Assumptions!$B$11+Assumptions!$B$12)/Projects!$D$13*0.95,0)-IF(AND(Projects!$G$13="Yes",CA$3=Projects!$C$13+Projects!$D$13-1),Projects!$B$13*(Assumptions!$B$10+Assumptions!$B$11+Assumptions!$B$12)*0.05,0)</f>
        <v>0</v>
      </c>
      <c r="CB24" s="30" t="n">
        <f aca="false">IF(AND(Projects!$G$13="Yes",CB$3&gt;=Projects!$C$13,CB$3&lt;Projects!$C$13+Projects!$D$13),Projects!$B$13*INDEX(Curves!$B$2:$AR$2,1,CB$3-Projects!$C$13+1),0)-IF(AND(Projects!$G$13="Yes",CB$3&gt;=Projects!$C$13,CB$3&lt;Projects!$C$13+Projects!$D$13),Projects!$B$13*(Assumptions!$B$10+Assumptions!$B$11+Assumptions!$B$12)/Projects!$D$13*0.95,0)-IF(AND(Projects!$G$13="Yes",CB$3=Projects!$C$13+Projects!$D$13-1),Projects!$B$13*(Assumptions!$B$10+Assumptions!$B$11+Assumptions!$B$12)*0.05,0)</f>
        <v>0</v>
      </c>
      <c r="CC24" s="30" t="n">
        <f aca="false">IF(AND(Projects!$G$13="Yes",CC$3&gt;=Projects!$C$13,CC$3&lt;Projects!$C$13+Projects!$D$13),Projects!$B$13*INDEX(Curves!$B$2:$AR$2,1,CC$3-Projects!$C$13+1),0)-IF(AND(Projects!$G$13="Yes",CC$3&gt;=Projects!$C$13,CC$3&lt;Projects!$C$13+Projects!$D$13),Projects!$B$13*(Assumptions!$B$10+Assumptions!$B$11+Assumptions!$B$12)/Projects!$D$13*0.95,0)-IF(AND(Projects!$G$13="Yes",CC$3=Projects!$C$13+Projects!$D$13-1),Projects!$B$13*(Assumptions!$B$10+Assumptions!$B$11+Assumptions!$B$12)*0.05,0)</f>
        <v>0</v>
      </c>
      <c r="CD24" s="30" t="n">
        <f aca="false">IF(AND(Projects!$G$13="Yes",CD$3&gt;=Projects!$C$13,CD$3&lt;Projects!$C$13+Projects!$D$13),Projects!$B$13*INDEX(Curves!$B$2:$AR$2,1,CD$3-Projects!$C$13+1),0)-IF(AND(Projects!$G$13="Yes",CD$3&gt;=Projects!$C$13,CD$3&lt;Projects!$C$13+Projects!$D$13),Projects!$B$13*(Assumptions!$B$10+Assumptions!$B$11+Assumptions!$B$12)/Projects!$D$13*0.95,0)-IF(AND(Projects!$G$13="Yes",CD$3=Projects!$C$13+Projects!$D$13-1),Projects!$B$13*(Assumptions!$B$10+Assumptions!$B$11+Assumptions!$B$12)*0.05,0)</f>
        <v>0</v>
      </c>
      <c r="CE24" s="30" t="n">
        <f aca="false">IF(AND(Projects!$G$13="Yes",CE$3&gt;=Projects!$C$13,CE$3&lt;Projects!$C$13+Projects!$D$13),Projects!$B$13*INDEX(Curves!$B$2:$AR$2,1,CE$3-Projects!$C$13+1),0)-IF(AND(Projects!$G$13="Yes",CE$3&gt;=Projects!$C$13,CE$3&lt;Projects!$C$13+Projects!$D$13),Projects!$B$13*(Assumptions!$B$10+Assumptions!$B$11+Assumptions!$B$12)/Projects!$D$13*0.95,0)-IF(AND(Projects!$G$13="Yes",CE$3=Projects!$C$13+Projects!$D$13-1),Projects!$B$13*(Assumptions!$B$10+Assumptions!$B$11+Assumptions!$B$12)*0.05,0)</f>
        <v>0</v>
      </c>
      <c r="CF24" s="30" t="n">
        <f aca="false">IF(AND(Projects!$G$13="Yes",CF$3&gt;=Projects!$C$13,CF$3&lt;Projects!$C$13+Projects!$D$13),Projects!$B$13*INDEX(Curves!$B$2:$AR$2,1,CF$3-Projects!$C$13+1),0)-IF(AND(Projects!$G$13="Yes",CF$3&gt;=Projects!$C$13,CF$3&lt;Projects!$C$13+Projects!$D$13),Projects!$B$13*(Assumptions!$B$10+Assumptions!$B$11+Assumptions!$B$12)/Projects!$D$13*0.95,0)-IF(AND(Projects!$G$13="Yes",CF$3=Projects!$C$13+Projects!$D$13-1),Projects!$B$13*(Assumptions!$B$10+Assumptions!$B$11+Assumptions!$B$12)*0.05,0)</f>
        <v>0</v>
      </c>
      <c r="CG24" s="30" t="n">
        <f aca="false">IF(AND(Projects!$G$13="Yes",CG$3&gt;=Projects!$C$13,CG$3&lt;Projects!$C$13+Projects!$D$13),Projects!$B$13*INDEX(Curves!$B$2:$AR$2,1,CG$3-Projects!$C$13+1),0)-IF(AND(Projects!$G$13="Yes",CG$3&gt;=Projects!$C$13,CG$3&lt;Projects!$C$13+Projects!$D$13),Projects!$B$13*(Assumptions!$B$10+Assumptions!$B$11+Assumptions!$B$12)/Projects!$D$13*0.95,0)-IF(AND(Projects!$G$13="Yes",CG$3=Projects!$C$13+Projects!$D$13-1),Projects!$B$13*(Assumptions!$B$10+Assumptions!$B$11+Assumptions!$B$12)*0.05,0)</f>
        <v>0</v>
      </c>
      <c r="CH24" s="30" t="n">
        <f aca="false">IF(AND(Projects!$G$13="Yes",CH$3&gt;=Projects!$C$13,CH$3&lt;Projects!$C$13+Projects!$D$13),Projects!$B$13*INDEX(Curves!$B$2:$AR$2,1,CH$3-Projects!$C$13+1),0)-IF(AND(Projects!$G$13="Yes",CH$3&gt;=Projects!$C$13,CH$3&lt;Projects!$C$13+Projects!$D$13),Projects!$B$13*(Assumptions!$B$10+Assumptions!$B$11+Assumptions!$B$12)/Projects!$D$13*0.95,0)-IF(AND(Projects!$G$13="Yes",CH$3=Projects!$C$13+Projects!$D$13-1),Projects!$B$13*(Assumptions!$B$10+Assumptions!$B$11+Assumptions!$B$12)*0.05,0)</f>
        <v>0</v>
      </c>
      <c r="CI24" s="30" t="n">
        <f aca="false">IF(AND(Projects!$G$13="Yes",CI$3&gt;=Projects!$C$13,CI$3&lt;Projects!$C$13+Projects!$D$13),Projects!$B$13*INDEX(Curves!$B$2:$AR$2,1,CI$3-Projects!$C$13+1),0)-IF(AND(Projects!$G$13="Yes",CI$3&gt;=Projects!$C$13,CI$3&lt;Projects!$C$13+Projects!$D$13),Projects!$B$13*(Assumptions!$B$10+Assumptions!$B$11+Assumptions!$B$12)/Projects!$D$13*0.95,0)-IF(AND(Projects!$G$13="Yes",CI$3=Projects!$C$13+Projects!$D$13-1),Projects!$B$13*(Assumptions!$B$10+Assumptions!$B$11+Assumptions!$B$12)*0.05,0)</f>
        <v>0</v>
      </c>
      <c r="CJ24" s="30" t="n">
        <f aca="false">IF(AND(Projects!$G$13="Yes",CJ$3&gt;=Projects!$C$13,CJ$3&lt;Projects!$C$13+Projects!$D$13),Projects!$B$13*INDEX(Curves!$B$2:$AR$2,1,CJ$3-Projects!$C$13+1),0)-IF(AND(Projects!$G$13="Yes",CJ$3&gt;=Projects!$C$13,CJ$3&lt;Projects!$C$13+Projects!$D$13),Projects!$B$13*(Assumptions!$B$10+Assumptions!$B$11+Assumptions!$B$12)/Projects!$D$13*0.95,0)-IF(AND(Projects!$G$13="Yes",CJ$3=Projects!$C$13+Projects!$D$13-1),Projects!$B$13*(Assumptions!$B$10+Assumptions!$B$11+Assumptions!$B$12)*0.05,0)</f>
        <v>0</v>
      </c>
      <c r="CK24" s="30" t="n">
        <f aca="false">IF(AND(Projects!$G$13="Yes",CK$3&gt;=Projects!$C$13,CK$3&lt;Projects!$C$13+Projects!$D$13),Projects!$B$13*INDEX(Curves!$B$2:$AR$2,1,CK$3-Projects!$C$13+1),0)-IF(AND(Projects!$G$13="Yes",CK$3&gt;=Projects!$C$13,CK$3&lt;Projects!$C$13+Projects!$D$13),Projects!$B$13*(Assumptions!$B$10+Assumptions!$B$11+Assumptions!$B$12)/Projects!$D$13*0.95,0)-IF(AND(Projects!$G$13="Yes",CK$3=Projects!$C$13+Projects!$D$13-1),Projects!$B$13*(Assumptions!$B$10+Assumptions!$B$11+Assumptions!$B$12)*0.05,0)</f>
        <v>0</v>
      </c>
      <c r="CL24" s="30" t="n">
        <f aca="false">IF(AND(Projects!$G$13="Yes",CL$3&gt;=Projects!$C$13,CL$3&lt;Projects!$C$13+Projects!$D$13),Projects!$B$13*INDEX(Curves!$B$2:$AR$2,1,CL$3-Projects!$C$13+1),0)-IF(AND(Projects!$G$13="Yes",CL$3&gt;=Projects!$C$13,CL$3&lt;Projects!$C$13+Projects!$D$13),Projects!$B$13*(Assumptions!$B$10+Assumptions!$B$11+Assumptions!$B$12)/Projects!$D$13*0.95,0)-IF(AND(Projects!$G$13="Yes",CL$3=Projects!$C$13+Projects!$D$13-1),Projects!$B$13*(Assumptions!$B$10+Assumptions!$B$11+Assumptions!$B$12)*0.05,0)</f>
        <v>0</v>
      </c>
      <c r="CM24" s="30" t="n">
        <f aca="false">IF(AND(Projects!$G$13="Yes",CM$3&gt;=Projects!$C$13,CM$3&lt;Projects!$C$13+Projects!$D$13),Projects!$B$13*INDEX(Curves!$B$2:$AR$2,1,CM$3-Projects!$C$13+1),0)-IF(AND(Projects!$G$13="Yes",CM$3&gt;=Projects!$C$13,CM$3&lt;Projects!$C$13+Projects!$D$13),Projects!$B$13*(Assumptions!$B$10+Assumptions!$B$11+Assumptions!$B$12)/Projects!$D$13*0.95,0)-IF(AND(Projects!$G$13="Yes",CM$3=Projects!$C$13+Projects!$D$13-1),Projects!$B$13*(Assumptions!$B$10+Assumptions!$B$11+Assumptions!$B$12)*0.05,0)</f>
        <v>0</v>
      </c>
      <c r="CN24" s="30" t="n">
        <f aca="false">IF(AND(Projects!$G$13="Yes",CN$3&gt;=Projects!$C$13,CN$3&lt;Projects!$C$13+Projects!$D$13),Projects!$B$13*INDEX(Curves!$B$2:$AR$2,1,CN$3-Projects!$C$13+1),0)-IF(AND(Projects!$G$13="Yes",CN$3&gt;=Projects!$C$13,CN$3&lt;Projects!$C$13+Projects!$D$13),Projects!$B$13*(Assumptions!$B$10+Assumptions!$B$11+Assumptions!$B$12)/Projects!$D$13*0.95,0)-IF(AND(Projects!$G$13="Yes",CN$3=Projects!$C$13+Projects!$D$13-1),Projects!$B$13*(Assumptions!$B$10+Assumptions!$B$11+Assumptions!$B$12)*0.05,0)</f>
        <v>0</v>
      </c>
      <c r="CO24" s="30" t="n">
        <f aca="false">IF(AND(Projects!$G$13="Yes",CO$3&gt;=Projects!$C$13,CO$3&lt;Projects!$C$13+Projects!$D$13),Projects!$B$13*INDEX(Curves!$B$2:$AR$2,1,CO$3-Projects!$C$13+1),0)-IF(AND(Projects!$G$13="Yes",CO$3&gt;=Projects!$C$13,CO$3&lt;Projects!$C$13+Projects!$D$13),Projects!$B$13*(Assumptions!$B$10+Assumptions!$B$11+Assumptions!$B$12)/Projects!$D$13*0.95,0)-IF(AND(Projects!$G$13="Yes",CO$3=Projects!$C$13+Projects!$D$13-1),Projects!$B$13*(Assumptions!$B$10+Assumptions!$B$11+Assumptions!$B$12)*0.05,0)</f>
        <v>0</v>
      </c>
      <c r="CP24" s="30" t="n">
        <f aca="false">IF(AND(Projects!$G$13="Yes",CP$3&gt;=Projects!$C$13,CP$3&lt;Projects!$C$13+Projects!$D$13),Projects!$B$13*INDEX(Curves!$B$2:$AR$2,1,CP$3-Projects!$C$13+1),0)-IF(AND(Projects!$G$13="Yes",CP$3&gt;=Projects!$C$13,CP$3&lt;Projects!$C$13+Projects!$D$13),Projects!$B$13*(Assumptions!$B$10+Assumptions!$B$11+Assumptions!$B$12)/Projects!$D$13*0.95,0)-IF(AND(Projects!$G$13="Yes",CP$3=Projects!$C$13+Projects!$D$13-1),Projects!$B$13*(Assumptions!$B$10+Assumptions!$B$11+Assumptions!$B$12)*0.05,0)</f>
        <v>0</v>
      </c>
      <c r="CQ24" s="30" t="n">
        <f aca="false">IF(AND(Projects!$G$13="Yes",CQ$3&gt;=Projects!$C$13,CQ$3&lt;Projects!$C$13+Projects!$D$13),Projects!$B$13*INDEX(Curves!$B$2:$AR$2,1,CQ$3-Projects!$C$13+1),0)-IF(AND(Projects!$G$13="Yes",CQ$3&gt;=Projects!$C$13,CQ$3&lt;Projects!$C$13+Projects!$D$13),Projects!$B$13*(Assumptions!$B$10+Assumptions!$B$11+Assumptions!$B$12)/Projects!$D$13*0.95,0)-IF(AND(Projects!$G$13="Yes",CQ$3=Projects!$C$13+Projects!$D$13-1),Projects!$B$13*(Assumptions!$B$10+Assumptions!$B$11+Assumptions!$B$12)*0.05,0)</f>
        <v>0</v>
      </c>
      <c r="CR24" s="30" t="n">
        <f aca="false">IF(AND(Projects!$G$13="Yes",CR$3&gt;=Projects!$C$13,CR$3&lt;Projects!$C$13+Projects!$D$13),Projects!$B$13*INDEX(Curves!$B$2:$AR$2,1,CR$3-Projects!$C$13+1),0)-IF(AND(Projects!$G$13="Yes",CR$3&gt;=Projects!$C$13,CR$3&lt;Projects!$C$13+Projects!$D$13),Projects!$B$13*(Assumptions!$B$10+Assumptions!$B$11+Assumptions!$B$12)/Projects!$D$13*0.95,0)-IF(AND(Projects!$G$13="Yes",CR$3=Projects!$C$13+Projects!$D$13-1),Projects!$B$13*(Assumptions!$B$10+Assumptions!$B$11+Assumptions!$B$12)*0.05,0)</f>
        <v>0</v>
      </c>
      <c r="CS24" s="30" t="n">
        <f aca="false">IF(AND(Projects!$G$13="Yes",CS$3&gt;=Projects!$C$13,CS$3&lt;Projects!$C$13+Projects!$D$13),Projects!$B$13*INDEX(Curves!$B$2:$AR$2,1,CS$3-Projects!$C$13+1),0)-IF(AND(Projects!$G$13="Yes",CS$3&gt;=Projects!$C$13,CS$3&lt;Projects!$C$13+Projects!$D$13),Projects!$B$13*(Assumptions!$B$10+Assumptions!$B$11+Assumptions!$B$12)/Projects!$D$13*0.95,0)-IF(AND(Projects!$G$13="Yes",CS$3=Projects!$C$13+Projects!$D$13-1),Projects!$B$13*(Assumptions!$B$10+Assumptions!$B$11+Assumptions!$B$12)*0.05,0)</f>
        <v>0</v>
      </c>
      <c r="CT24" s="30" t="n">
        <f aca="false">IF(AND(Projects!$G$13="Yes",CT$3&gt;=Projects!$C$13,CT$3&lt;Projects!$C$13+Projects!$D$13),Projects!$B$13*INDEX(Curves!$B$2:$AR$2,1,CT$3-Projects!$C$13+1),0)-IF(AND(Projects!$G$13="Yes",CT$3&gt;=Projects!$C$13,CT$3&lt;Projects!$C$13+Projects!$D$13),Projects!$B$13*(Assumptions!$B$10+Assumptions!$B$11+Assumptions!$B$12)/Projects!$D$13*0.95,0)-IF(AND(Projects!$G$13="Yes",CT$3=Projects!$C$13+Projects!$D$13-1),Projects!$B$13*(Assumptions!$B$10+Assumptions!$B$11+Assumptions!$B$12)*0.05,0)</f>
        <v>0</v>
      </c>
      <c r="CU24" s="30" t="n">
        <f aca="false">IF(AND(Projects!$G$13="Yes",CU$3&gt;=Projects!$C$13,CU$3&lt;Projects!$C$13+Projects!$D$13),Projects!$B$13*INDEX(Curves!$B$2:$AR$2,1,CU$3-Projects!$C$13+1),0)-IF(AND(Projects!$G$13="Yes",CU$3&gt;=Projects!$C$13,CU$3&lt;Projects!$C$13+Projects!$D$13),Projects!$B$13*(Assumptions!$B$10+Assumptions!$B$11+Assumptions!$B$12)/Projects!$D$13*0.95,0)-IF(AND(Projects!$G$13="Yes",CU$3=Projects!$C$13+Projects!$D$13-1),Projects!$B$13*(Assumptions!$B$10+Assumptions!$B$11+Assumptions!$B$12)*0.05,0)</f>
        <v>0</v>
      </c>
      <c r="CV24" s="30" t="n">
        <f aca="false">IF(AND(Projects!$G$13="Yes",CV$3&gt;=Projects!$C$13,CV$3&lt;Projects!$C$13+Projects!$D$13),Projects!$B$13*INDEX(Curves!$B$2:$AR$2,1,CV$3-Projects!$C$13+1),0)-IF(AND(Projects!$G$13="Yes",CV$3&gt;=Projects!$C$13,CV$3&lt;Projects!$C$13+Projects!$D$13),Projects!$B$13*(Assumptions!$B$10+Assumptions!$B$11+Assumptions!$B$12)/Projects!$D$13*0.95,0)-IF(AND(Projects!$G$13="Yes",CV$3=Projects!$C$13+Projects!$D$13-1),Projects!$B$13*(Assumptions!$B$10+Assumptions!$B$11+Assumptions!$B$12)*0.05,0)</f>
        <v>0</v>
      </c>
      <c r="CW24" s="30" t="n">
        <f aca="false">IF(AND(Projects!$G$13="Yes",CW$3&gt;=Projects!$C$13,CW$3&lt;Projects!$C$13+Projects!$D$13),Projects!$B$13*INDEX(Curves!$B$2:$AR$2,1,CW$3-Projects!$C$13+1),0)-IF(AND(Projects!$G$13="Yes",CW$3&gt;=Projects!$C$13,CW$3&lt;Projects!$C$13+Projects!$D$13),Projects!$B$13*(Assumptions!$B$10+Assumptions!$B$11+Assumptions!$B$12)/Projects!$D$13*0.95,0)-IF(AND(Projects!$G$13="Yes",CW$3=Projects!$C$13+Projects!$D$13-1),Projects!$B$13*(Assumptions!$B$10+Assumptions!$B$11+Assumptions!$B$12)*0.05,0)</f>
        <v>0</v>
      </c>
      <c r="CX24" s="30" t="n">
        <f aca="false">IF(AND(Projects!$G$13="Yes",CX$3&gt;=Projects!$C$13,CX$3&lt;Projects!$C$13+Projects!$D$13),Projects!$B$13*INDEX(Curves!$B$2:$AR$2,1,CX$3-Projects!$C$13+1),0)-IF(AND(Projects!$G$13="Yes",CX$3&gt;=Projects!$C$13,CX$3&lt;Projects!$C$13+Projects!$D$13),Projects!$B$13*(Assumptions!$B$10+Assumptions!$B$11+Assumptions!$B$12)/Projects!$D$13*0.95,0)-IF(AND(Projects!$G$13="Yes",CX$3=Projects!$C$13+Projects!$D$13-1),Projects!$B$13*(Assumptions!$B$10+Assumptions!$B$11+Assumptions!$B$12)*0.05,0)</f>
        <v>0</v>
      </c>
      <c r="CY24" s="30" t="n">
        <f aca="false">IF(AND(Projects!$G$13="Yes",CY$3&gt;=Projects!$C$13,CY$3&lt;Projects!$C$13+Projects!$D$13),Projects!$B$13*INDEX(Curves!$B$2:$AR$2,1,CY$3-Projects!$C$13+1),0)-IF(AND(Projects!$G$13="Yes",CY$3&gt;=Projects!$C$13,CY$3&lt;Projects!$C$13+Projects!$D$13),Projects!$B$13*(Assumptions!$B$10+Assumptions!$B$11+Assumptions!$B$12)/Projects!$D$13*0.95,0)-IF(AND(Projects!$G$13="Yes",CY$3=Projects!$C$13+Projects!$D$13-1),Projects!$B$13*(Assumptions!$B$10+Assumptions!$B$11+Assumptions!$B$12)*0.05,0)</f>
        <v>0</v>
      </c>
      <c r="CZ24" s="30" t="n">
        <f aca="false">IF(AND(Projects!$G$13="Yes",CZ$3&gt;=Projects!$C$13,CZ$3&lt;Projects!$C$13+Projects!$D$13),Projects!$B$13*INDEX(Curves!$B$2:$AR$2,1,CZ$3-Projects!$C$13+1),0)-IF(AND(Projects!$G$13="Yes",CZ$3&gt;=Projects!$C$13,CZ$3&lt;Projects!$C$13+Projects!$D$13),Projects!$B$13*(Assumptions!$B$10+Assumptions!$B$11+Assumptions!$B$12)/Projects!$D$13*0.95,0)-IF(AND(Projects!$G$13="Yes",CZ$3=Projects!$C$13+Projects!$D$13-1),Projects!$B$13*(Assumptions!$B$10+Assumptions!$B$11+Assumptions!$B$12)*0.05,0)</f>
        <v>0</v>
      </c>
      <c r="DA24" s="30" t="n">
        <f aca="false">IF(AND(Projects!$G$13="Yes",DA$3&gt;=Projects!$C$13,DA$3&lt;Projects!$C$13+Projects!$D$13),Projects!$B$13*INDEX(Curves!$B$2:$AR$2,1,DA$3-Projects!$C$13+1),0)-IF(AND(Projects!$G$13="Yes",DA$3&gt;=Projects!$C$13,DA$3&lt;Projects!$C$13+Projects!$D$13),Projects!$B$13*(Assumptions!$B$10+Assumptions!$B$11+Assumptions!$B$12)/Projects!$D$13*0.95,0)-IF(AND(Projects!$G$13="Yes",DA$3=Projects!$C$13+Projects!$D$13-1),Projects!$B$13*(Assumptions!$B$10+Assumptions!$B$11+Assumptions!$B$12)*0.05,0)</f>
        <v>0</v>
      </c>
      <c r="DB24" s="30" t="n">
        <f aca="false">IF(AND(Projects!$G$13="Yes",DB$3&gt;=Projects!$C$13,DB$3&lt;Projects!$C$13+Projects!$D$13),Projects!$B$13*INDEX(Curves!$B$2:$AR$2,1,DB$3-Projects!$C$13+1),0)-IF(AND(Projects!$G$13="Yes",DB$3&gt;=Projects!$C$13,DB$3&lt;Projects!$C$13+Projects!$D$13),Projects!$B$13*(Assumptions!$B$10+Assumptions!$B$11+Assumptions!$B$12)/Projects!$D$13*0.95,0)-IF(AND(Projects!$G$13="Yes",DB$3=Projects!$C$13+Projects!$D$13-1),Projects!$B$13*(Assumptions!$B$10+Assumptions!$B$11+Assumptions!$B$12)*0.05,0)</f>
        <v>0</v>
      </c>
      <c r="DC24" s="30" t="n">
        <f aca="false">IF(AND(Projects!$G$13="Yes",DC$3&gt;=Projects!$C$13,DC$3&lt;Projects!$C$13+Projects!$D$13),Projects!$B$13*INDEX(Curves!$B$2:$AR$2,1,DC$3-Projects!$C$13+1),0)-IF(AND(Projects!$G$13="Yes",DC$3&gt;=Projects!$C$13,DC$3&lt;Projects!$C$13+Projects!$D$13),Projects!$B$13*(Assumptions!$B$10+Assumptions!$B$11+Assumptions!$B$12)/Projects!$D$13*0.95,0)-IF(AND(Projects!$G$13="Yes",DC$3=Projects!$C$13+Projects!$D$13-1),Projects!$B$13*(Assumptions!$B$10+Assumptions!$B$11+Assumptions!$B$12)*0.05,0)</f>
        <v>0</v>
      </c>
      <c r="DD24" s="30" t="n">
        <f aca="false">IF(AND(Projects!$G$13="Yes",DD$3&gt;=Projects!$C$13,DD$3&lt;Projects!$C$13+Projects!$D$13),Projects!$B$13*INDEX(Curves!$B$2:$AR$2,1,DD$3-Projects!$C$13+1),0)-IF(AND(Projects!$G$13="Yes",DD$3&gt;=Projects!$C$13,DD$3&lt;Projects!$C$13+Projects!$D$13),Projects!$B$13*(Assumptions!$B$10+Assumptions!$B$11+Assumptions!$B$12)/Projects!$D$13*0.95,0)-IF(AND(Projects!$G$13="Yes",DD$3=Projects!$C$13+Projects!$D$13-1),Projects!$B$13*(Assumptions!$B$10+Assumptions!$B$11+Assumptions!$B$12)*0.05,0)</f>
        <v>0</v>
      </c>
      <c r="DE24" s="30" t="n">
        <f aca="false">IF(AND(Projects!$G$13="Yes",DE$3&gt;=Projects!$C$13,DE$3&lt;Projects!$C$13+Projects!$D$13),Projects!$B$13*INDEX(Curves!$B$2:$AR$2,1,DE$3-Projects!$C$13+1),0)-IF(AND(Projects!$G$13="Yes",DE$3&gt;=Projects!$C$13,DE$3&lt;Projects!$C$13+Projects!$D$13),Projects!$B$13*(Assumptions!$B$10+Assumptions!$B$11+Assumptions!$B$12)/Projects!$D$13*0.95,0)-IF(AND(Projects!$G$13="Yes",DE$3=Projects!$C$13+Projects!$D$13-1),Projects!$B$13*(Assumptions!$B$10+Assumptions!$B$11+Assumptions!$B$12)*0.05,0)</f>
        <v>0</v>
      </c>
    </row>
    <row r="25" customFormat="false" ht="15" hidden="true" customHeight="true" outlineLevel="1" collapsed="false">
      <c r="A25" s="32" t="s">
        <v>19</v>
      </c>
      <c r="B25" s="30" t="n">
        <v>0</v>
      </c>
      <c r="C25" s="30" t="n">
        <v>0</v>
      </c>
      <c r="D25" s="30" t="n">
        <v>0</v>
      </c>
      <c r="E25" s="30" t="n">
        <v>0</v>
      </c>
      <c r="F25" s="30" t="n">
        <f aca="false">IF(AND(Projects!$G$14="Yes",F$3&gt;=Projects!$C$14,F$3&lt;Projects!$C$14+Projects!$D$14),Projects!$B$14*INDEX(Curves!$B$2:$AR$2,1,F$3-Projects!$C$14+1),0)-IF(AND(Projects!$G$14="Yes",F$3&gt;=Projects!$C$14,F$3&lt;Projects!$C$14+Projects!$D$14),Projects!$B$14*(Assumptions!$B$10+Assumptions!$B$11+Assumptions!$B$12)/Projects!$D$14*0.95,0)-IF(AND(Projects!$G$14="Yes",F$3=Projects!$C$14+Projects!$D$14-1),Projects!$B$14*(Assumptions!$B$10+Assumptions!$B$11+Assumptions!$B$12)*0.05,0)</f>
        <v>0</v>
      </c>
      <c r="G25" s="30" t="n">
        <f aca="false">IF(AND(Projects!$G$14="Yes",G$3&gt;=Projects!$C$14,G$3&lt;Projects!$C$14+Projects!$D$14),Projects!$B$14*INDEX(Curves!$B$2:$AR$2,1,G$3-Projects!$C$14+1),0)-IF(AND(Projects!$G$14="Yes",G$3&gt;=Projects!$C$14,G$3&lt;Projects!$C$14+Projects!$D$14),Projects!$B$14*(Assumptions!$B$10+Assumptions!$B$11+Assumptions!$B$12)/Projects!$D$14*0.95,0)-IF(AND(Projects!$G$14="Yes",G$3=Projects!$C$14+Projects!$D$14-1),Projects!$B$14*(Assumptions!$B$10+Assumptions!$B$11+Assumptions!$B$12)*0.05,0)</f>
        <v>0</v>
      </c>
      <c r="H25" s="30" t="n">
        <f aca="false">IF(AND(Projects!$G$14="Yes",H$3&gt;=Projects!$C$14,H$3&lt;Projects!$C$14+Projects!$D$14),Projects!$B$14*INDEX(Curves!$B$2:$AR$2,1,H$3-Projects!$C$14+1),0)-IF(AND(Projects!$G$14="Yes",H$3&gt;=Projects!$C$14,H$3&lt;Projects!$C$14+Projects!$D$14),Projects!$B$14*(Assumptions!$B$10+Assumptions!$B$11+Assumptions!$B$12)/Projects!$D$14*0.95,0)-IF(AND(Projects!$G$14="Yes",H$3=Projects!$C$14+Projects!$D$14-1),Projects!$B$14*(Assumptions!$B$10+Assumptions!$B$11+Assumptions!$B$12)*0.05,0)</f>
        <v>0</v>
      </c>
      <c r="I25" s="30" t="n">
        <f aca="false">IF(AND(Projects!$G$14="Yes",I$3&gt;=Projects!$C$14,I$3&lt;Projects!$C$14+Projects!$D$14),Projects!$B$14*INDEX(Curves!$B$2:$AR$2,1,I$3-Projects!$C$14+1),0)-IF(AND(Projects!$G$14="Yes",I$3&gt;=Projects!$C$14,I$3&lt;Projects!$C$14+Projects!$D$14),Projects!$B$14*(Assumptions!$B$10+Assumptions!$B$11+Assumptions!$B$12)/Projects!$D$14*0.95,0)-IF(AND(Projects!$G$14="Yes",I$3=Projects!$C$14+Projects!$D$14-1),Projects!$B$14*(Assumptions!$B$10+Assumptions!$B$11+Assumptions!$B$12)*0.05,0)</f>
        <v>0</v>
      </c>
      <c r="J25" s="30" t="n">
        <f aca="false">IF(AND(Projects!$G$14="Yes",J$3&gt;=Projects!$C$14,J$3&lt;Projects!$C$14+Projects!$D$14),Projects!$B$14*INDEX(Curves!$B$2:$AR$2,1,J$3-Projects!$C$14+1),0)-IF(AND(Projects!$G$14="Yes",J$3&gt;=Projects!$C$14,J$3&lt;Projects!$C$14+Projects!$D$14),Projects!$B$14*(Assumptions!$B$10+Assumptions!$B$11+Assumptions!$B$12)/Projects!$D$14*0.95,0)-IF(AND(Projects!$G$14="Yes",J$3=Projects!$C$14+Projects!$D$14-1),Projects!$B$14*(Assumptions!$B$10+Assumptions!$B$11+Assumptions!$B$12)*0.05,0)</f>
        <v>0</v>
      </c>
      <c r="K25" s="30" t="n">
        <f aca="false">IF(AND(Projects!$G$14="Yes",K$3&gt;=Projects!$C$14,K$3&lt;Projects!$C$14+Projects!$D$14),Projects!$B$14*INDEX(Curves!$B$2:$AR$2,1,K$3-Projects!$C$14+1),0)-IF(AND(Projects!$G$14="Yes",K$3&gt;=Projects!$C$14,K$3&lt;Projects!$C$14+Projects!$D$14),Projects!$B$14*(Assumptions!$B$10+Assumptions!$B$11+Assumptions!$B$12)/Projects!$D$14*0.95,0)-IF(AND(Projects!$G$14="Yes",K$3=Projects!$C$14+Projects!$D$14-1),Projects!$B$14*(Assumptions!$B$10+Assumptions!$B$11+Assumptions!$B$12)*0.05,0)</f>
        <v>0</v>
      </c>
      <c r="L25" s="30" t="n">
        <f aca="false">IF(AND(Projects!$G$14="Yes",L$3&gt;=Projects!$C$14,L$3&lt;Projects!$C$14+Projects!$D$14),Projects!$B$14*INDEX(Curves!$B$2:$AR$2,1,L$3-Projects!$C$14+1),0)-IF(AND(Projects!$G$14="Yes",L$3&gt;=Projects!$C$14,L$3&lt;Projects!$C$14+Projects!$D$14),Projects!$B$14*(Assumptions!$B$10+Assumptions!$B$11+Assumptions!$B$12)/Projects!$D$14*0.95,0)-IF(AND(Projects!$G$14="Yes",L$3=Projects!$C$14+Projects!$D$14-1),Projects!$B$14*(Assumptions!$B$10+Assumptions!$B$11+Assumptions!$B$12)*0.05,0)</f>
        <v>0</v>
      </c>
      <c r="M25" s="30" t="n">
        <f aca="false">IF(AND(Projects!$G$14="Yes",M$3&gt;=Projects!$C$14,M$3&lt;Projects!$C$14+Projects!$D$14),Projects!$B$14*INDEX(Curves!$B$2:$AR$2,1,M$3-Projects!$C$14+1),0)-IF(AND(Projects!$G$14="Yes",M$3&gt;=Projects!$C$14,M$3&lt;Projects!$C$14+Projects!$D$14),Projects!$B$14*(Assumptions!$B$10+Assumptions!$B$11+Assumptions!$B$12)/Projects!$D$14*0.95,0)-IF(AND(Projects!$G$14="Yes",M$3=Projects!$C$14+Projects!$D$14-1),Projects!$B$14*(Assumptions!$B$10+Assumptions!$B$11+Assumptions!$B$12)*0.05,0)</f>
        <v>0</v>
      </c>
      <c r="N25" s="30" t="n">
        <f aca="false">IF(AND(Projects!$G$14="Yes",N$3&gt;=Projects!$C$14,N$3&lt;Projects!$C$14+Projects!$D$14),Projects!$B$14*INDEX(Curves!$B$2:$AR$2,1,N$3-Projects!$C$14+1),0)-IF(AND(Projects!$G$14="Yes",N$3&gt;=Projects!$C$14,N$3&lt;Projects!$C$14+Projects!$D$14),Projects!$B$14*(Assumptions!$B$10+Assumptions!$B$11+Assumptions!$B$12)/Projects!$D$14*0.95,0)-IF(AND(Projects!$G$14="Yes",N$3=Projects!$C$14+Projects!$D$14-1),Projects!$B$14*(Assumptions!$B$10+Assumptions!$B$11+Assumptions!$B$12)*0.05,0)</f>
        <v>0</v>
      </c>
      <c r="O25" s="30" t="n">
        <f aca="false">IF(AND(Projects!$G$14="Yes",O$3&gt;=Projects!$C$14,O$3&lt;Projects!$C$14+Projects!$D$14),Projects!$B$14*INDEX(Curves!$B$2:$AR$2,1,O$3-Projects!$C$14+1),0)-IF(AND(Projects!$G$14="Yes",O$3&gt;=Projects!$C$14,O$3&lt;Projects!$C$14+Projects!$D$14),Projects!$B$14*(Assumptions!$B$10+Assumptions!$B$11+Assumptions!$B$12)/Projects!$D$14*0.95,0)-IF(AND(Projects!$G$14="Yes",O$3=Projects!$C$14+Projects!$D$14-1),Projects!$B$14*(Assumptions!$B$10+Assumptions!$B$11+Assumptions!$B$12)*0.05,0)</f>
        <v>0</v>
      </c>
      <c r="P25" s="30" t="n">
        <f aca="false">IF(AND(Projects!$G$14="Yes",P$3&gt;=Projects!$C$14,P$3&lt;Projects!$C$14+Projects!$D$14),Projects!$B$14*INDEX(Curves!$B$2:$AR$2,1,P$3-Projects!$C$14+1),0)-IF(AND(Projects!$G$14="Yes",P$3&gt;=Projects!$C$14,P$3&lt;Projects!$C$14+Projects!$D$14),Projects!$B$14*(Assumptions!$B$10+Assumptions!$B$11+Assumptions!$B$12)/Projects!$D$14*0.95,0)-IF(AND(Projects!$G$14="Yes",P$3=Projects!$C$14+Projects!$D$14-1),Projects!$B$14*(Assumptions!$B$10+Assumptions!$B$11+Assumptions!$B$12)*0.05,0)</f>
        <v>0</v>
      </c>
      <c r="Q25" s="30" t="n">
        <f aca="false">IF(AND(Projects!$G$14="Yes",Q$3&gt;=Projects!$C$14,Q$3&lt;Projects!$C$14+Projects!$D$14),Projects!$B$14*INDEX(Curves!$B$2:$AR$2,1,Q$3-Projects!$C$14+1),0)-IF(AND(Projects!$G$14="Yes",Q$3&gt;=Projects!$C$14,Q$3&lt;Projects!$C$14+Projects!$D$14),Projects!$B$14*(Assumptions!$B$10+Assumptions!$B$11+Assumptions!$B$12)/Projects!$D$14*0.95,0)-IF(AND(Projects!$G$14="Yes",Q$3=Projects!$C$14+Projects!$D$14-1),Projects!$B$14*(Assumptions!$B$10+Assumptions!$B$11+Assumptions!$B$12)*0.05,0)</f>
        <v>0</v>
      </c>
      <c r="R25" s="30" t="n">
        <f aca="false">IF(AND(Projects!$G$14="Yes",R$3&gt;=Projects!$C$14,R$3&lt;Projects!$C$14+Projects!$D$14),Projects!$B$14*INDEX(Curves!$B$2:$AR$2,1,R$3-Projects!$C$14+1),0)-IF(AND(Projects!$G$14="Yes",R$3&gt;=Projects!$C$14,R$3&lt;Projects!$C$14+Projects!$D$14),Projects!$B$14*(Assumptions!$B$10+Assumptions!$B$11+Assumptions!$B$12)/Projects!$D$14*0.95,0)-IF(AND(Projects!$G$14="Yes",R$3=Projects!$C$14+Projects!$D$14-1),Projects!$B$14*(Assumptions!$B$10+Assumptions!$B$11+Assumptions!$B$12)*0.05,0)</f>
        <v>0</v>
      </c>
      <c r="S25" s="30" t="n">
        <f aca="false">IF(AND(Projects!$G$14="Yes",S$3&gt;=Projects!$C$14,S$3&lt;Projects!$C$14+Projects!$D$14),Projects!$B$14*INDEX(Curves!$B$2:$AR$2,1,S$3-Projects!$C$14+1),0)-IF(AND(Projects!$G$14="Yes",S$3&gt;=Projects!$C$14,S$3&lt;Projects!$C$14+Projects!$D$14),Projects!$B$14*(Assumptions!$B$10+Assumptions!$B$11+Assumptions!$B$12)/Projects!$D$14*0.95,0)-IF(AND(Projects!$G$14="Yes",S$3=Projects!$C$14+Projects!$D$14-1),Projects!$B$14*(Assumptions!$B$10+Assumptions!$B$11+Assumptions!$B$12)*0.05,0)</f>
        <v>0</v>
      </c>
      <c r="T25" s="30" t="n">
        <f aca="false">IF(AND(Projects!$G$14="Yes",T$3&gt;=Projects!$C$14,T$3&lt;Projects!$C$14+Projects!$D$14),Projects!$B$14*INDEX(Curves!$B$2:$AR$2,1,T$3-Projects!$C$14+1),0)-IF(AND(Projects!$G$14="Yes",T$3&gt;=Projects!$C$14,T$3&lt;Projects!$C$14+Projects!$D$14),Projects!$B$14*(Assumptions!$B$10+Assumptions!$B$11+Assumptions!$B$12)/Projects!$D$14*0.95,0)-IF(AND(Projects!$G$14="Yes",T$3=Projects!$C$14+Projects!$D$14-1),Projects!$B$14*(Assumptions!$B$10+Assumptions!$B$11+Assumptions!$B$12)*0.05,0)</f>
        <v>0</v>
      </c>
      <c r="U25" s="30" t="n">
        <f aca="false">IF(AND(Projects!$G$14="Yes",U$3&gt;=Projects!$C$14,U$3&lt;Projects!$C$14+Projects!$D$14),Projects!$B$14*INDEX(Curves!$B$2:$AR$2,1,U$3-Projects!$C$14+1),0)-IF(AND(Projects!$G$14="Yes",U$3&gt;=Projects!$C$14,U$3&lt;Projects!$C$14+Projects!$D$14),Projects!$B$14*(Assumptions!$B$10+Assumptions!$B$11+Assumptions!$B$12)/Projects!$D$14*0.95,0)-IF(AND(Projects!$G$14="Yes",U$3=Projects!$C$14+Projects!$D$14-1),Projects!$B$14*(Assumptions!$B$10+Assumptions!$B$11+Assumptions!$B$12)*0.05,0)</f>
        <v>0</v>
      </c>
      <c r="V25" s="30" t="n">
        <f aca="false">IF(AND(Projects!$G$14="Yes",V$3&gt;=Projects!$C$14,V$3&lt;Projects!$C$14+Projects!$D$14),Projects!$B$14*INDEX(Curves!$B$2:$AR$2,1,V$3-Projects!$C$14+1),0)-IF(AND(Projects!$G$14="Yes",V$3&gt;=Projects!$C$14,V$3&lt;Projects!$C$14+Projects!$D$14),Projects!$B$14*(Assumptions!$B$10+Assumptions!$B$11+Assumptions!$B$12)/Projects!$D$14*0.95,0)-IF(AND(Projects!$G$14="Yes",V$3=Projects!$C$14+Projects!$D$14-1),Projects!$B$14*(Assumptions!$B$10+Assumptions!$B$11+Assumptions!$B$12)*0.05,0)</f>
        <v>0</v>
      </c>
      <c r="W25" s="30" t="n">
        <f aca="false">IF(AND(Projects!$G$14="Yes",W$3&gt;=Projects!$C$14,W$3&lt;Projects!$C$14+Projects!$D$14),Projects!$B$14*INDEX(Curves!$B$2:$AR$2,1,W$3-Projects!$C$14+1),0)-IF(AND(Projects!$G$14="Yes",W$3&gt;=Projects!$C$14,W$3&lt;Projects!$C$14+Projects!$D$14),Projects!$B$14*(Assumptions!$B$10+Assumptions!$B$11+Assumptions!$B$12)/Projects!$D$14*0.95,0)-IF(AND(Projects!$G$14="Yes",W$3=Projects!$C$14+Projects!$D$14-1),Projects!$B$14*(Assumptions!$B$10+Assumptions!$B$11+Assumptions!$B$12)*0.05,0)</f>
        <v>0</v>
      </c>
      <c r="X25" s="30" t="n">
        <f aca="false">IF(AND(Projects!$G$14="Yes",X$3&gt;=Projects!$C$14,X$3&lt;Projects!$C$14+Projects!$D$14),Projects!$B$14*INDEX(Curves!$B$2:$AR$2,1,X$3-Projects!$C$14+1),0)-IF(AND(Projects!$G$14="Yes",X$3&gt;=Projects!$C$14,X$3&lt;Projects!$C$14+Projects!$D$14),Projects!$B$14*(Assumptions!$B$10+Assumptions!$B$11+Assumptions!$B$12)/Projects!$D$14*0.95,0)-IF(AND(Projects!$G$14="Yes",X$3=Projects!$C$14+Projects!$D$14-1),Projects!$B$14*(Assumptions!$B$10+Assumptions!$B$11+Assumptions!$B$12)*0.05,0)</f>
        <v>0</v>
      </c>
      <c r="Y25" s="30" t="n">
        <f aca="false">IF(AND(Projects!$G$14="Yes",Y$3&gt;=Projects!$C$14,Y$3&lt;Projects!$C$14+Projects!$D$14),Projects!$B$14*INDEX(Curves!$B$2:$AR$2,1,Y$3-Projects!$C$14+1),0)-IF(AND(Projects!$G$14="Yes",Y$3&gt;=Projects!$C$14,Y$3&lt;Projects!$C$14+Projects!$D$14),Projects!$B$14*(Assumptions!$B$10+Assumptions!$B$11+Assumptions!$B$12)/Projects!$D$14*0.95,0)-IF(AND(Projects!$G$14="Yes",Y$3=Projects!$C$14+Projects!$D$14-1),Projects!$B$14*(Assumptions!$B$10+Assumptions!$B$11+Assumptions!$B$12)*0.05,0)</f>
        <v>0</v>
      </c>
      <c r="Z25" s="30" t="n">
        <f aca="false">IF(AND(Projects!$G$14="Yes",Z$3&gt;=Projects!$C$14,Z$3&lt;Projects!$C$14+Projects!$D$14),Projects!$B$14*INDEX(Curves!$B$2:$AR$2,1,Z$3-Projects!$C$14+1),0)-IF(AND(Projects!$G$14="Yes",Z$3&gt;=Projects!$C$14,Z$3&lt;Projects!$C$14+Projects!$D$14),Projects!$B$14*(Assumptions!$B$10+Assumptions!$B$11+Assumptions!$B$12)/Projects!$D$14*0.95,0)-IF(AND(Projects!$G$14="Yes",Z$3=Projects!$C$14+Projects!$D$14-1),Projects!$B$14*(Assumptions!$B$10+Assumptions!$B$11+Assumptions!$B$12)*0.05,0)</f>
        <v>0</v>
      </c>
      <c r="AA25" s="30" t="n">
        <f aca="false">IF(AND(Projects!$G$14="Yes",AA$3&gt;=Projects!$C$14,AA$3&lt;Projects!$C$14+Projects!$D$14),Projects!$B$14*INDEX(Curves!$B$2:$AR$2,1,AA$3-Projects!$C$14+1),0)-IF(AND(Projects!$G$14="Yes",AA$3&gt;=Projects!$C$14,AA$3&lt;Projects!$C$14+Projects!$D$14),Projects!$B$14*(Assumptions!$B$10+Assumptions!$B$11+Assumptions!$B$12)/Projects!$D$14*0.95,0)-IF(AND(Projects!$G$14="Yes",AA$3=Projects!$C$14+Projects!$D$14-1),Projects!$B$14*(Assumptions!$B$10+Assumptions!$B$11+Assumptions!$B$12)*0.05,0)</f>
        <v>0</v>
      </c>
      <c r="AB25" s="30" t="n">
        <f aca="false">IF(AND(Projects!$G$14="Yes",AB$3&gt;=Projects!$C$14,AB$3&lt;Projects!$C$14+Projects!$D$14),Projects!$B$14*INDEX(Curves!$B$2:$AR$2,1,AB$3-Projects!$C$14+1),0)-IF(AND(Projects!$G$14="Yes",AB$3&gt;=Projects!$C$14,AB$3&lt;Projects!$C$14+Projects!$D$14),Projects!$B$14*(Assumptions!$B$10+Assumptions!$B$11+Assumptions!$B$12)/Projects!$D$14*0.95,0)-IF(AND(Projects!$G$14="Yes",AB$3=Projects!$C$14+Projects!$D$14-1),Projects!$B$14*(Assumptions!$B$10+Assumptions!$B$11+Assumptions!$B$12)*0.05,0)</f>
        <v>0</v>
      </c>
      <c r="AC25" s="30" t="n">
        <f aca="false">IF(AND(Projects!$G$14="Yes",AC$3&gt;=Projects!$C$14,AC$3&lt;Projects!$C$14+Projects!$D$14),Projects!$B$14*INDEX(Curves!$B$2:$AR$2,1,AC$3-Projects!$C$14+1),0)-IF(AND(Projects!$G$14="Yes",AC$3&gt;=Projects!$C$14,AC$3&lt;Projects!$C$14+Projects!$D$14),Projects!$B$14*(Assumptions!$B$10+Assumptions!$B$11+Assumptions!$B$12)/Projects!$D$14*0.95,0)-IF(AND(Projects!$G$14="Yes",AC$3=Projects!$C$14+Projects!$D$14-1),Projects!$B$14*(Assumptions!$B$10+Assumptions!$B$11+Assumptions!$B$12)*0.05,0)</f>
        <v>0</v>
      </c>
      <c r="AD25" s="30" t="n">
        <f aca="false">IF(AND(Projects!$G$14="Yes",AD$3&gt;=Projects!$C$14,AD$3&lt;Projects!$C$14+Projects!$D$14),Projects!$B$14*INDEX(Curves!$B$2:$AR$2,1,AD$3-Projects!$C$14+1),0)-IF(AND(Projects!$G$14="Yes",AD$3&gt;=Projects!$C$14,AD$3&lt;Projects!$C$14+Projects!$D$14),Projects!$B$14*(Assumptions!$B$10+Assumptions!$B$11+Assumptions!$B$12)/Projects!$D$14*0.95,0)-IF(AND(Projects!$G$14="Yes",AD$3=Projects!$C$14+Projects!$D$14-1),Projects!$B$14*(Assumptions!$B$10+Assumptions!$B$11+Assumptions!$B$12)*0.05,0)</f>
        <v>0</v>
      </c>
      <c r="AE25" s="30" t="n">
        <f aca="false">IF(AND(Projects!$G$14="Yes",AE$3&gt;=Projects!$C$14,AE$3&lt;Projects!$C$14+Projects!$D$14),Projects!$B$14*INDEX(Curves!$B$2:$AR$2,1,AE$3-Projects!$C$14+1),0)-IF(AND(Projects!$G$14="Yes",AE$3&gt;=Projects!$C$14,AE$3&lt;Projects!$C$14+Projects!$D$14),Projects!$B$14*(Assumptions!$B$10+Assumptions!$B$11+Assumptions!$B$12)/Projects!$D$14*0.95,0)-IF(AND(Projects!$G$14="Yes",AE$3=Projects!$C$14+Projects!$D$14-1),Projects!$B$14*(Assumptions!$B$10+Assumptions!$B$11+Assumptions!$B$12)*0.05,0)</f>
        <v>508191.288963453</v>
      </c>
      <c r="AF25" s="30" t="n">
        <f aca="false">IF(AND(Projects!$G$14="Yes",AF$3&gt;=Projects!$C$14,AF$3&lt;Projects!$C$14+Projects!$D$14),Projects!$B$14*INDEX(Curves!$B$2:$AR$2,1,AF$3-Projects!$C$14+1),0)-IF(AND(Projects!$G$14="Yes",AF$3&gt;=Projects!$C$14,AF$3&lt;Projects!$C$14+Projects!$D$14),Projects!$B$14*(Assumptions!$B$10+Assumptions!$B$11+Assumptions!$B$12)/Projects!$D$14*0.95,0)-IF(AND(Projects!$G$14="Yes",AF$3=Projects!$C$14+Projects!$D$14-1),Projects!$B$14*(Assumptions!$B$10+Assumptions!$B$11+Assumptions!$B$12)*0.05,0)</f>
        <v>608145.434507453</v>
      </c>
      <c r="AG25" s="30" t="n">
        <f aca="false">IF(AND(Projects!$G$14="Yes",AG$3&gt;=Projects!$C$14,AG$3&lt;Projects!$C$14+Projects!$D$14),Projects!$B$14*INDEX(Curves!$B$2:$AR$2,1,AG$3-Projects!$C$14+1),0)-IF(AND(Projects!$G$14="Yes",AG$3&gt;=Projects!$C$14,AG$3&lt;Projects!$C$14+Projects!$D$14),Projects!$B$14*(Assumptions!$B$10+Assumptions!$B$11+Assumptions!$B$12)/Projects!$D$14*0.95,0)-IF(AND(Projects!$G$14="Yes",AG$3=Projects!$C$14+Projects!$D$14-1),Projects!$B$14*(Assumptions!$B$10+Assumptions!$B$11+Assumptions!$B$12)*0.05,0)</f>
        <v>714385.484115453</v>
      </c>
      <c r="AH25" s="30" t="n">
        <f aca="false">IF(AND(Projects!$G$14="Yes",AH$3&gt;=Projects!$C$14,AH$3&lt;Projects!$C$14+Projects!$D$14),Projects!$B$14*INDEX(Curves!$B$2:$AR$2,1,AH$3-Projects!$C$14+1),0)-IF(AND(Projects!$G$14="Yes",AH$3&gt;=Projects!$C$14,AH$3&lt;Projects!$C$14+Projects!$D$14),Projects!$B$14*(Assumptions!$B$10+Assumptions!$B$11+Assumptions!$B$12)/Projects!$D$14*0.95,0)-IF(AND(Projects!$G$14="Yes",AH$3=Projects!$C$14+Projects!$D$14-1),Projects!$B$14*(Assumptions!$B$10+Assumptions!$B$11+Assumptions!$B$12)*0.05,0)</f>
        <v>825464.025667453</v>
      </c>
      <c r="AI25" s="30" t="n">
        <f aca="false">IF(AND(Projects!$G$14="Yes",AI$3&gt;=Projects!$C$14,AI$3&lt;Projects!$C$14+Projects!$D$14),Projects!$B$14*INDEX(Curves!$B$2:$AR$2,1,AI$3-Projects!$C$14+1),0)-IF(AND(Projects!$G$14="Yes",AI$3&gt;=Projects!$C$14,AI$3&lt;Projects!$C$14+Projects!$D$14),Projects!$B$14*(Assumptions!$B$10+Assumptions!$B$11+Assumptions!$B$12)/Projects!$D$14*0.95,0)-IF(AND(Projects!$G$14="Yes",AI$3=Projects!$C$14+Projects!$D$14-1),Projects!$B$14*(Assumptions!$B$10+Assumptions!$B$11+Assumptions!$B$12)*0.05,0)</f>
        <v>939685.519251453</v>
      </c>
      <c r="AJ25" s="30" t="n">
        <f aca="false">IF(AND(Projects!$G$14="Yes",AJ$3&gt;=Projects!$C$14,AJ$3&lt;Projects!$C$14+Projects!$D$14),Projects!$B$14*INDEX(Curves!$B$2:$AR$2,1,AJ$3-Projects!$C$14+1),0)-IF(AND(Projects!$G$14="Yes",AJ$3&gt;=Projects!$C$14,AJ$3&lt;Projects!$C$14+Projects!$D$14),Projects!$B$14*(Assumptions!$B$10+Assumptions!$B$11+Assumptions!$B$12)/Projects!$D$14*0.95,0)-IF(AND(Projects!$G$14="Yes",AJ$3=Projects!$C$14+Projects!$D$14-1),Projects!$B$14*(Assumptions!$B$10+Assumptions!$B$11+Assumptions!$B$12)*0.05,0)</f>
        <v>1054982.23326745</v>
      </c>
      <c r="AK25" s="30" t="n">
        <f aca="false">IF(AND(Projects!$G$14="Yes",AK$3&gt;=Projects!$C$14,AK$3&lt;Projects!$C$14+Projects!$D$14),Projects!$B$14*INDEX(Curves!$B$2:$AR$2,1,AK$3-Projects!$C$14+1),0)-IF(AND(Projects!$G$14="Yes",AK$3&gt;=Projects!$C$14,AK$3&lt;Projects!$C$14+Projects!$D$14),Projects!$B$14*(Assumptions!$B$10+Assumptions!$B$11+Assumptions!$B$12)/Projects!$D$14*0.95,0)-IF(AND(Projects!$G$14="Yes",AK$3=Projects!$C$14+Projects!$D$14-1),Projects!$B$14*(Assumptions!$B$10+Assumptions!$B$11+Assumptions!$B$12)*0.05,0)</f>
        <v>1169079.66295545</v>
      </c>
      <c r="AL25" s="30" t="n">
        <f aca="false">IF(AND(Projects!$G$14="Yes",AL$3&gt;=Projects!$C$14,AL$3&lt;Projects!$C$14+Projects!$D$14),Projects!$B$14*INDEX(Curves!$B$2:$AR$2,1,AL$3-Projects!$C$14+1),0)-IF(AND(Projects!$G$14="Yes",AL$3&gt;=Projects!$C$14,AL$3&lt;Projects!$C$14+Projects!$D$14),Projects!$B$14*(Assumptions!$B$10+Assumptions!$B$11+Assumptions!$B$12)/Projects!$D$14*0.95,0)-IF(AND(Projects!$G$14="Yes",AL$3=Projects!$C$14+Projects!$D$14-1),Projects!$B$14*(Assumptions!$B$10+Assumptions!$B$11+Assumptions!$B$12)*0.05,0)</f>
        <v>1279496.53039545</v>
      </c>
      <c r="AM25" s="30" t="n">
        <f aca="false">IF(AND(Projects!$G$14="Yes",AM$3&gt;=Projects!$C$14,AM$3&lt;Projects!$C$14+Projects!$D$14),Projects!$B$14*INDEX(Curves!$B$2:$AR$2,1,AM$3-Projects!$C$14+1),0)-IF(AND(Projects!$G$14="Yes",AM$3&gt;=Projects!$C$14,AM$3&lt;Projects!$C$14+Projects!$D$14),Projects!$B$14*(Assumptions!$B$10+Assumptions!$B$11+Assumptions!$B$12)/Projects!$D$14*0.95,0)-IF(AND(Projects!$G$14="Yes",AM$3=Projects!$C$14+Projects!$D$14-1),Projects!$B$14*(Assumptions!$B$10+Assumptions!$B$11+Assumptions!$B$12)*0.05,0)</f>
        <v>1383586.13913945</v>
      </c>
      <c r="AN25" s="30" t="n">
        <f aca="false">IF(AND(Projects!$G$14="Yes",AN$3&gt;=Projects!$C$14,AN$3&lt;Projects!$C$14+Projects!$D$14),Projects!$B$14*INDEX(Curves!$B$2:$AR$2,1,AN$3-Projects!$C$14+1),0)-IF(AND(Projects!$G$14="Yes",AN$3&gt;=Projects!$C$14,AN$3&lt;Projects!$C$14+Projects!$D$14),Projects!$B$14*(Assumptions!$B$10+Assumptions!$B$11+Assumptions!$B$12)/Projects!$D$14*0.95,0)-IF(AND(Projects!$G$14="Yes",AN$3=Projects!$C$14+Projects!$D$14-1),Projects!$B$14*(Assumptions!$B$10+Assumptions!$B$11+Assumptions!$B$12)*0.05,0)</f>
        <v>1478825.85663545</v>
      </c>
      <c r="AO25" s="30" t="n">
        <f aca="false">IF(AND(Projects!$G$14="Yes",AO$3&gt;=Projects!$C$14,AO$3&lt;Projects!$C$14+Projects!$D$14),Projects!$B$14*INDEX(Curves!$B$2:$AR$2,1,AO$3-Projects!$C$14+1),0)-IF(AND(Projects!$G$14="Yes",AO$3&gt;=Projects!$C$14,AO$3&lt;Projects!$C$14+Projects!$D$14),Projects!$B$14*(Assumptions!$B$10+Assumptions!$B$11+Assumptions!$B$12)/Projects!$D$14*0.95,0)-IF(AND(Projects!$G$14="Yes",AO$3=Projects!$C$14+Projects!$D$14-1),Projects!$B$14*(Assumptions!$B$10+Assumptions!$B$11+Assumptions!$B$12)*0.05,0)</f>
        <v>1562651.69569945</v>
      </c>
      <c r="AP25" s="30" t="n">
        <f aca="false">IF(AND(Projects!$G$14="Yes",AP$3&gt;=Projects!$C$14,AP$3&lt;Projects!$C$14+Projects!$D$14),Projects!$B$14*INDEX(Curves!$B$2:$AR$2,1,AP$3-Projects!$C$14+1),0)-IF(AND(Projects!$G$14="Yes",AP$3&gt;=Projects!$C$14,AP$3&lt;Projects!$C$14+Projects!$D$14),Projects!$B$14*(Assumptions!$B$10+Assumptions!$B$11+Assumptions!$B$12)/Projects!$D$14*0.95,0)-IF(AND(Projects!$G$14="Yes",AP$3=Projects!$C$14+Projects!$D$14-1),Projects!$B$14*(Assumptions!$B$10+Assumptions!$B$11+Assumptions!$B$12)*0.05,0)</f>
        <v>1632789.15157145</v>
      </c>
      <c r="AQ25" s="30" t="n">
        <f aca="false">IF(AND(Projects!$G$14="Yes",AQ$3&gt;=Projects!$C$14,AQ$3&lt;Projects!$C$14+Projects!$D$14),Projects!$B$14*INDEX(Curves!$B$2:$AR$2,1,AQ$3-Projects!$C$14+1),0)-IF(AND(Projects!$G$14="Yes",AQ$3&gt;=Projects!$C$14,AQ$3&lt;Projects!$C$14+Projects!$D$14),Projects!$B$14*(Assumptions!$B$10+Assumptions!$B$11+Assumptions!$B$12)/Projects!$D$14*0.95,0)-IF(AND(Projects!$G$14="Yes",AQ$3=Projects!$C$14+Projects!$D$14-1),Projects!$B$14*(Assumptions!$B$10+Assumptions!$B$11+Assumptions!$B$12)*0.05,0)</f>
        <v>1687294.55654745</v>
      </c>
      <c r="AR25" s="30" t="n">
        <f aca="false">IF(AND(Projects!$G$14="Yes",AR$3&gt;=Projects!$C$14,AR$3&lt;Projects!$C$14+Projects!$D$14),Projects!$B$14*INDEX(Curves!$B$2:$AR$2,1,AR$3-Projects!$C$14+1),0)-IF(AND(Projects!$G$14="Yes",AR$3&gt;=Projects!$C$14,AR$3&lt;Projects!$C$14+Projects!$D$14),Projects!$B$14*(Assumptions!$B$10+Assumptions!$B$11+Assumptions!$B$12)/Projects!$D$14*0.95,0)-IF(AND(Projects!$G$14="Yes",AR$3=Projects!$C$14+Projects!$D$14-1),Projects!$B$14*(Assumptions!$B$10+Assumptions!$B$11+Assumptions!$B$12)*0.05,0)</f>
        <v>1724513.72534745</v>
      </c>
      <c r="AS25" s="30" t="n">
        <f aca="false">IF(AND(Projects!$G$14="Yes",AS$3&gt;=Projects!$C$14,AS$3&lt;Projects!$C$14+Projects!$D$14),Projects!$B$14*INDEX(Curves!$B$2:$AR$2,1,AS$3-Projects!$C$14+1),0)-IF(AND(Projects!$G$14="Yes",AS$3&gt;=Projects!$C$14,AS$3&lt;Projects!$C$14+Projects!$D$14),Projects!$B$14*(Assumptions!$B$10+Assumptions!$B$11+Assumptions!$B$12)/Projects!$D$14*0.95,0)-IF(AND(Projects!$G$14="Yes",AS$3=Projects!$C$14+Projects!$D$14-1),Projects!$B$14*(Assumptions!$B$10+Assumptions!$B$11+Assumptions!$B$12)*0.05,0)</f>
        <v>1743412.79217145</v>
      </c>
      <c r="AT25" s="30" t="n">
        <f aca="false">IF(AND(Projects!$G$14="Yes",AT$3&gt;=Projects!$C$14,AT$3&lt;Projects!$C$14+Projects!$D$14),Projects!$B$14*INDEX(Curves!$B$2:$AR$2,1,AT$3-Projects!$C$14+1),0)-IF(AND(Projects!$G$14="Yes",AT$3&gt;=Projects!$C$14,AT$3&lt;Projects!$C$14+Projects!$D$14),Projects!$B$14*(Assumptions!$B$10+Assumptions!$B$11+Assumptions!$B$12)/Projects!$D$14*0.95,0)-IF(AND(Projects!$G$14="Yes",AT$3=Projects!$C$14+Projects!$D$14-1),Projects!$B$14*(Assumptions!$B$10+Assumptions!$B$11+Assumptions!$B$12)*0.05,0)</f>
        <v>1743412.79217145</v>
      </c>
      <c r="AU25" s="30" t="n">
        <f aca="false">IF(AND(Projects!$G$14="Yes",AU$3&gt;=Projects!$C$14,AU$3&lt;Projects!$C$14+Projects!$D$14),Projects!$B$14*INDEX(Curves!$B$2:$AR$2,1,AU$3-Projects!$C$14+1),0)-IF(AND(Projects!$G$14="Yes",AU$3&gt;=Projects!$C$14,AU$3&lt;Projects!$C$14+Projects!$D$14),Projects!$B$14*(Assumptions!$B$10+Assumptions!$B$11+Assumptions!$B$12)/Projects!$D$14*0.95,0)-IF(AND(Projects!$G$14="Yes",AU$3=Projects!$C$14+Projects!$D$14-1),Projects!$B$14*(Assumptions!$B$10+Assumptions!$B$11+Assumptions!$B$12)*0.05,0)</f>
        <v>1724513.72534745</v>
      </c>
      <c r="AV25" s="30" t="n">
        <f aca="false">IF(AND(Projects!$G$14="Yes",AV$3&gt;=Projects!$C$14,AV$3&lt;Projects!$C$14+Projects!$D$14),Projects!$B$14*INDEX(Curves!$B$2:$AR$2,1,AV$3-Projects!$C$14+1),0)-IF(AND(Projects!$G$14="Yes",AV$3&gt;=Projects!$C$14,AV$3&lt;Projects!$C$14+Projects!$D$14),Projects!$B$14*(Assumptions!$B$10+Assumptions!$B$11+Assumptions!$B$12)/Projects!$D$14*0.95,0)-IF(AND(Projects!$G$14="Yes",AV$3=Projects!$C$14+Projects!$D$14-1),Projects!$B$14*(Assumptions!$B$10+Assumptions!$B$11+Assumptions!$B$12)*0.05,0)</f>
        <v>1687294.55654745</v>
      </c>
      <c r="AW25" s="30" t="n">
        <f aca="false">IF(AND(Projects!$G$14="Yes",AW$3&gt;=Projects!$C$14,AW$3&lt;Projects!$C$14+Projects!$D$14),Projects!$B$14*INDEX(Curves!$B$2:$AR$2,1,AW$3-Projects!$C$14+1),0)-IF(AND(Projects!$G$14="Yes",AW$3&gt;=Projects!$C$14,AW$3&lt;Projects!$C$14+Projects!$D$14),Projects!$B$14*(Assumptions!$B$10+Assumptions!$B$11+Assumptions!$B$12)/Projects!$D$14*0.95,0)-IF(AND(Projects!$G$14="Yes",AW$3=Projects!$C$14+Projects!$D$14-1),Projects!$B$14*(Assumptions!$B$10+Assumptions!$B$11+Assumptions!$B$12)*0.05,0)</f>
        <v>1632789.15157145</v>
      </c>
      <c r="AX25" s="30" t="n">
        <f aca="false">IF(AND(Projects!$G$14="Yes",AX$3&gt;=Projects!$C$14,AX$3&lt;Projects!$C$14+Projects!$D$14),Projects!$B$14*INDEX(Curves!$B$2:$AR$2,1,AX$3-Projects!$C$14+1),0)-IF(AND(Projects!$G$14="Yes",AX$3&gt;=Projects!$C$14,AX$3&lt;Projects!$C$14+Projects!$D$14),Projects!$B$14*(Assumptions!$B$10+Assumptions!$B$11+Assumptions!$B$12)/Projects!$D$14*0.95,0)-IF(AND(Projects!$G$14="Yes",AX$3=Projects!$C$14+Projects!$D$14-1),Projects!$B$14*(Assumptions!$B$10+Assumptions!$B$11+Assumptions!$B$12)*0.05,0)</f>
        <v>1562651.69569945</v>
      </c>
      <c r="AY25" s="30" t="n">
        <f aca="false">IF(AND(Projects!$G$14="Yes",AY$3&gt;=Projects!$C$14,AY$3&lt;Projects!$C$14+Projects!$D$14),Projects!$B$14*INDEX(Curves!$B$2:$AR$2,1,AY$3-Projects!$C$14+1),0)-IF(AND(Projects!$G$14="Yes",AY$3&gt;=Projects!$C$14,AY$3&lt;Projects!$C$14+Projects!$D$14),Projects!$B$14*(Assumptions!$B$10+Assumptions!$B$11+Assumptions!$B$12)/Projects!$D$14*0.95,0)-IF(AND(Projects!$G$14="Yes",AY$3=Projects!$C$14+Projects!$D$14-1),Projects!$B$14*(Assumptions!$B$10+Assumptions!$B$11+Assumptions!$B$12)*0.05,0)</f>
        <v>1478825.85663545</v>
      </c>
      <c r="AZ25" s="30" t="n">
        <f aca="false">IF(AND(Projects!$G$14="Yes",AZ$3&gt;=Projects!$C$14,AZ$3&lt;Projects!$C$14+Projects!$D$14),Projects!$B$14*INDEX(Curves!$B$2:$AR$2,1,AZ$3-Projects!$C$14+1),0)-IF(AND(Projects!$G$14="Yes",AZ$3&gt;=Projects!$C$14,AZ$3&lt;Projects!$C$14+Projects!$D$14),Projects!$B$14*(Assumptions!$B$10+Assumptions!$B$11+Assumptions!$B$12)/Projects!$D$14*0.95,0)-IF(AND(Projects!$G$14="Yes",AZ$3=Projects!$C$14+Projects!$D$14-1),Projects!$B$14*(Assumptions!$B$10+Assumptions!$B$11+Assumptions!$B$12)*0.05,0)</f>
        <v>1383586.13913945</v>
      </c>
      <c r="BA25" s="30" t="n">
        <f aca="false">IF(AND(Projects!$G$14="Yes",BA$3&gt;=Projects!$C$14,BA$3&lt;Projects!$C$14+Projects!$D$14),Projects!$B$14*INDEX(Curves!$B$2:$AR$2,1,BA$3-Projects!$C$14+1),0)-IF(AND(Projects!$G$14="Yes",BA$3&gt;=Projects!$C$14,BA$3&lt;Projects!$C$14+Projects!$D$14),Projects!$B$14*(Assumptions!$B$10+Assumptions!$B$11+Assumptions!$B$12)/Projects!$D$14*0.95,0)-IF(AND(Projects!$G$14="Yes",BA$3=Projects!$C$14+Projects!$D$14-1),Projects!$B$14*(Assumptions!$B$10+Assumptions!$B$11+Assumptions!$B$12)*0.05,0)</f>
        <v>1279496.53039545</v>
      </c>
      <c r="BB25" s="30" t="n">
        <f aca="false">IF(AND(Projects!$G$14="Yes",BB$3&gt;=Projects!$C$14,BB$3&lt;Projects!$C$14+Projects!$D$14),Projects!$B$14*INDEX(Curves!$B$2:$AR$2,1,BB$3-Projects!$C$14+1),0)-IF(AND(Projects!$G$14="Yes",BB$3&gt;=Projects!$C$14,BB$3&lt;Projects!$C$14+Projects!$D$14),Projects!$B$14*(Assumptions!$B$10+Assumptions!$B$11+Assumptions!$B$12)/Projects!$D$14*0.95,0)-IF(AND(Projects!$G$14="Yes",BB$3=Projects!$C$14+Projects!$D$14-1),Projects!$B$14*(Assumptions!$B$10+Assumptions!$B$11+Assumptions!$B$12)*0.05,0)</f>
        <v>1169079.66295545</v>
      </c>
      <c r="BC25" s="30" t="n">
        <f aca="false">IF(AND(Projects!$G$14="Yes",BC$3&gt;=Projects!$C$14,BC$3&lt;Projects!$C$14+Projects!$D$14),Projects!$B$14*INDEX(Curves!$B$2:$AR$2,1,BC$3-Projects!$C$14+1),0)-IF(AND(Projects!$G$14="Yes",BC$3&gt;=Projects!$C$14,BC$3&lt;Projects!$C$14+Projects!$D$14),Projects!$B$14*(Assumptions!$B$10+Assumptions!$B$11+Assumptions!$B$12)/Projects!$D$14*0.95,0)-IF(AND(Projects!$G$14="Yes",BC$3=Projects!$C$14+Projects!$D$14-1),Projects!$B$14*(Assumptions!$B$10+Assumptions!$B$11+Assumptions!$B$12)*0.05,0)</f>
        <v>1054982.23326745</v>
      </c>
      <c r="BD25" s="30" t="n">
        <f aca="false">IF(AND(Projects!$G$14="Yes",BD$3&gt;=Projects!$C$14,BD$3&lt;Projects!$C$14+Projects!$D$14),Projects!$B$14*INDEX(Curves!$B$2:$AR$2,1,BD$3-Projects!$C$14+1),0)-IF(AND(Projects!$G$14="Yes",BD$3&gt;=Projects!$C$14,BD$3&lt;Projects!$C$14+Projects!$D$14),Projects!$B$14*(Assumptions!$B$10+Assumptions!$B$11+Assumptions!$B$12)/Projects!$D$14*0.95,0)-IF(AND(Projects!$G$14="Yes",BD$3=Projects!$C$14+Projects!$D$14-1),Projects!$B$14*(Assumptions!$B$10+Assumptions!$B$11+Assumptions!$B$12)*0.05,0)</f>
        <v>939685.519251453</v>
      </c>
      <c r="BE25" s="30" t="n">
        <f aca="false">IF(AND(Projects!$G$14="Yes",BE$3&gt;=Projects!$C$14,BE$3&lt;Projects!$C$14+Projects!$D$14),Projects!$B$14*INDEX(Curves!$B$2:$AR$2,1,BE$3-Projects!$C$14+1),0)-IF(AND(Projects!$G$14="Yes",BE$3&gt;=Projects!$C$14,BE$3&lt;Projects!$C$14+Projects!$D$14),Projects!$B$14*(Assumptions!$B$10+Assumptions!$B$11+Assumptions!$B$12)/Projects!$D$14*0.95,0)-IF(AND(Projects!$G$14="Yes",BE$3=Projects!$C$14+Projects!$D$14-1),Projects!$B$14*(Assumptions!$B$10+Assumptions!$B$11+Assumptions!$B$12)*0.05,0)</f>
        <v>825464.025667453</v>
      </c>
      <c r="BF25" s="30" t="n">
        <f aca="false">IF(AND(Projects!$G$14="Yes",BF$3&gt;=Projects!$C$14,BF$3&lt;Projects!$C$14+Projects!$D$14),Projects!$B$14*INDEX(Curves!$B$2:$AR$2,1,BF$3-Projects!$C$14+1),0)-IF(AND(Projects!$G$14="Yes",BF$3&gt;=Projects!$C$14,BF$3&lt;Projects!$C$14+Projects!$D$14),Projects!$B$14*(Assumptions!$B$10+Assumptions!$B$11+Assumptions!$B$12)/Projects!$D$14*0.95,0)-IF(AND(Projects!$G$14="Yes",BF$3=Projects!$C$14+Projects!$D$14-1),Projects!$B$14*(Assumptions!$B$10+Assumptions!$B$11+Assumptions!$B$12)*0.05,0)</f>
        <v>714385.484115453</v>
      </c>
      <c r="BG25" s="30" t="n">
        <f aca="false">IF(AND(Projects!$G$14="Yes",BG$3&gt;=Projects!$C$14,BG$3&lt;Projects!$C$14+Projects!$D$14),Projects!$B$14*INDEX(Curves!$B$2:$AR$2,1,BG$3-Projects!$C$14+1),0)-IF(AND(Projects!$G$14="Yes",BG$3&gt;=Projects!$C$14,BG$3&lt;Projects!$C$14+Projects!$D$14),Projects!$B$14*(Assumptions!$B$10+Assumptions!$B$11+Assumptions!$B$12)/Projects!$D$14*0.95,0)-IF(AND(Projects!$G$14="Yes",BG$3=Projects!$C$14+Projects!$D$14-1),Projects!$B$14*(Assumptions!$B$10+Assumptions!$B$11+Assumptions!$B$12)*0.05,0)</f>
        <v>608145.434507453</v>
      </c>
      <c r="BH25" s="30" t="n">
        <f aca="false">IF(AND(Projects!$G$14="Yes",BH$3&gt;=Projects!$C$14,BH$3&lt;Projects!$C$14+Projects!$D$14),Projects!$B$14*INDEX(Curves!$B$2:$AR$2,1,BH$3-Projects!$C$14+1),0)-IF(AND(Projects!$G$14="Yes",BH$3&gt;=Projects!$C$14,BH$3&lt;Projects!$C$14+Projects!$D$14),Projects!$B$14*(Assumptions!$B$10+Assumptions!$B$11+Assumptions!$B$12)/Projects!$D$14*0.95,0)-IF(AND(Projects!$G$14="Yes",BH$3=Projects!$C$14+Projects!$D$14-1),Projects!$B$14*(Assumptions!$B$10+Assumptions!$B$11+Assumptions!$B$12)*0.05,0)</f>
        <v>259255.013907853</v>
      </c>
      <c r="BI25" s="30" t="n">
        <f aca="false">IF(AND(Projects!$G$14="Yes",BI$3&gt;=Projects!$C$14,BI$3&lt;Projects!$C$14+Projects!$D$14),Projects!$B$14*INDEX(Curves!$B$2:$AR$2,1,BI$3-Projects!$C$14+1),0)-IF(AND(Projects!$G$14="Yes",BI$3&gt;=Projects!$C$14,BI$3&lt;Projects!$C$14+Projects!$D$14),Projects!$B$14*(Assumptions!$B$10+Assumptions!$B$11+Assumptions!$B$12)/Projects!$D$14*0.95,0)-IF(AND(Projects!$G$14="Yes",BI$3=Projects!$C$14+Projects!$D$14-1),Projects!$B$14*(Assumptions!$B$10+Assumptions!$B$11+Assumptions!$B$12)*0.05,0)</f>
        <v>0</v>
      </c>
      <c r="BJ25" s="30" t="n">
        <f aca="false">IF(AND(Projects!$G$14="Yes",BJ$3&gt;=Projects!$C$14,BJ$3&lt;Projects!$C$14+Projects!$D$14),Projects!$B$14*INDEX(Curves!$B$2:$AR$2,1,BJ$3-Projects!$C$14+1),0)-IF(AND(Projects!$G$14="Yes",BJ$3&gt;=Projects!$C$14,BJ$3&lt;Projects!$C$14+Projects!$D$14),Projects!$B$14*(Assumptions!$B$10+Assumptions!$B$11+Assumptions!$B$12)/Projects!$D$14*0.95,0)-IF(AND(Projects!$G$14="Yes",BJ$3=Projects!$C$14+Projects!$D$14-1),Projects!$B$14*(Assumptions!$B$10+Assumptions!$B$11+Assumptions!$B$12)*0.05,0)</f>
        <v>0</v>
      </c>
      <c r="BK25" s="30" t="n">
        <f aca="false">IF(AND(Projects!$G$14="Yes",BK$3&gt;=Projects!$C$14,BK$3&lt;Projects!$C$14+Projects!$D$14),Projects!$B$14*INDEX(Curves!$B$2:$AR$2,1,BK$3-Projects!$C$14+1),0)-IF(AND(Projects!$G$14="Yes",BK$3&gt;=Projects!$C$14,BK$3&lt;Projects!$C$14+Projects!$D$14),Projects!$B$14*(Assumptions!$B$10+Assumptions!$B$11+Assumptions!$B$12)/Projects!$D$14*0.95,0)-IF(AND(Projects!$G$14="Yes",BK$3=Projects!$C$14+Projects!$D$14-1),Projects!$B$14*(Assumptions!$B$10+Assumptions!$B$11+Assumptions!$B$12)*0.05,0)</f>
        <v>0</v>
      </c>
      <c r="BL25" s="30" t="n">
        <f aca="false">IF(AND(Projects!$G$14="Yes",BL$3&gt;=Projects!$C$14,BL$3&lt;Projects!$C$14+Projects!$D$14),Projects!$B$14*INDEX(Curves!$B$2:$AR$2,1,BL$3-Projects!$C$14+1),0)-IF(AND(Projects!$G$14="Yes",BL$3&gt;=Projects!$C$14,BL$3&lt;Projects!$C$14+Projects!$D$14),Projects!$B$14*(Assumptions!$B$10+Assumptions!$B$11+Assumptions!$B$12)/Projects!$D$14*0.95,0)-IF(AND(Projects!$G$14="Yes",BL$3=Projects!$C$14+Projects!$D$14-1),Projects!$B$14*(Assumptions!$B$10+Assumptions!$B$11+Assumptions!$B$12)*0.05,0)</f>
        <v>0</v>
      </c>
      <c r="BM25" s="30" t="n">
        <f aca="false">IF(AND(Projects!$G$14="Yes",BM$3&gt;=Projects!$C$14,BM$3&lt;Projects!$C$14+Projects!$D$14),Projects!$B$14*INDEX(Curves!$B$2:$AR$2,1,BM$3-Projects!$C$14+1),0)-IF(AND(Projects!$G$14="Yes",BM$3&gt;=Projects!$C$14,BM$3&lt;Projects!$C$14+Projects!$D$14),Projects!$B$14*(Assumptions!$B$10+Assumptions!$B$11+Assumptions!$B$12)/Projects!$D$14*0.95,0)-IF(AND(Projects!$G$14="Yes",BM$3=Projects!$C$14+Projects!$D$14-1),Projects!$B$14*(Assumptions!$B$10+Assumptions!$B$11+Assumptions!$B$12)*0.05,0)</f>
        <v>0</v>
      </c>
      <c r="BN25" s="30" t="n">
        <f aca="false">IF(AND(Projects!$G$14="Yes",BN$3&gt;=Projects!$C$14,BN$3&lt;Projects!$C$14+Projects!$D$14),Projects!$B$14*INDEX(Curves!$B$2:$AR$2,1,BN$3-Projects!$C$14+1),0)-IF(AND(Projects!$G$14="Yes",BN$3&gt;=Projects!$C$14,BN$3&lt;Projects!$C$14+Projects!$D$14),Projects!$B$14*(Assumptions!$B$10+Assumptions!$B$11+Assumptions!$B$12)/Projects!$D$14*0.95,0)-IF(AND(Projects!$G$14="Yes",BN$3=Projects!$C$14+Projects!$D$14-1),Projects!$B$14*(Assumptions!$B$10+Assumptions!$B$11+Assumptions!$B$12)*0.05,0)</f>
        <v>0</v>
      </c>
      <c r="BO25" s="30" t="n">
        <f aca="false">IF(AND(Projects!$G$14="Yes",BO$3&gt;=Projects!$C$14,BO$3&lt;Projects!$C$14+Projects!$D$14),Projects!$B$14*INDEX(Curves!$B$2:$AR$2,1,BO$3-Projects!$C$14+1),0)-IF(AND(Projects!$G$14="Yes",BO$3&gt;=Projects!$C$14,BO$3&lt;Projects!$C$14+Projects!$D$14),Projects!$B$14*(Assumptions!$B$10+Assumptions!$B$11+Assumptions!$B$12)/Projects!$D$14*0.95,0)-IF(AND(Projects!$G$14="Yes",BO$3=Projects!$C$14+Projects!$D$14-1),Projects!$B$14*(Assumptions!$B$10+Assumptions!$B$11+Assumptions!$B$12)*0.05,0)</f>
        <v>0</v>
      </c>
      <c r="BP25" s="30" t="n">
        <f aca="false">IF(AND(Projects!$G$14="Yes",BP$3&gt;=Projects!$C$14,BP$3&lt;Projects!$C$14+Projects!$D$14),Projects!$B$14*INDEX(Curves!$B$2:$AR$2,1,BP$3-Projects!$C$14+1),0)-IF(AND(Projects!$G$14="Yes",BP$3&gt;=Projects!$C$14,BP$3&lt;Projects!$C$14+Projects!$D$14),Projects!$B$14*(Assumptions!$B$10+Assumptions!$B$11+Assumptions!$B$12)/Projects!$D$14*0.95,0)-IF(AND(Projects!$G$14="Yes",BP$3=Projects!$C$14+Projects!$D$14-1),Projects!$B$14*(Assumptions!$B$10+Assumptions!$B$11+Assumptions!$B$12)*0.05,0)</f>
        <v>0</v>
      </c>
      <c r="BQ25" s="30" t="n">
        <f aca="false">IF(AND(Projects!$G$14="Yes",BQ$3&gt;=Projects!$C$14,BQ$3&lt;Projects!$C$14+Projects!$D$14),Projects!$B$14*INDEX(Curves!$B$2:$AR$2,1,BQ$3-Projects!$C$14+1),0)-IF(AND(Projects!$G$14="Yes",BQ$3&gt;=Projects!$C$14,BQ$3&lt;Projects!$C$14+Projects!$D$14),Projects!$B$14*(Assumptions!$B$10+Assumptions!$B$11+Assumptions!$B$12)/Projects!$D$14*0.95,0)-IF(AND(Projects!$G$14="Yes",BQ$3=Projects!$C$14+Projects!$D$14-1),Projects!$B$14*(Assumptions!$B$10+Assumptions!$B$11+Assumptions!$B$12)*0.05,0)</f>
        <v>0</v>
      </c>
      <c r="BR25" s="30" t="n">
        <f aca="false">IF(AND(Projects!$G$14="Yes",BR$3&gt;=Projects!$C$14,BR$3&lt;Projects!$C$14+Projects!$D$14),Projects!$B$14*INDEX(Curves!$B$2:$AR$2,1,BR$3-Projects!$C$14+1),0)-IF(AND(Projects!$G$14="Yes",BR$3&gt;=Projects!$C$14,BR$3&lt;Projects!$C$14+Projects!$D$14),Projects!$B$14*(Assumptions!$B$10+Assumptions!$B$11+Assumptions!$B$12)/Projects!$D$14*0.95,0)-IF(AND(Projects!$G$14="Yes",BR$3=Projects!$C$14+Projects!$D$14-1),Projects!$B$14*(Assumptions!$B$10+Assumptions!$B$11+Assumptions!$B$12)*0.05,0)</f>
        <v>0</v>
      </c>
      <c r="BS25" s="30" t="n">
        <f aca="false">IF(AND(Projects!$G$14="Yes",BS$3&gt;=Projects!$C$14,BS$3&lt;Projects!$C$14+Projects!$D$14),Projects!$B$14*INDEX(Curves!$B$2:$AR$2,1,BS$3-Projects!$C$14+1),0)-IF(AND(Projects!$G$14="Yes",BS$3&gt;=Projects!$C$14,BS$3&lt;Projects!$C$14+Projects!$D$14),Projects!$B$14*(Assumptions!$B$10+Assumptions!$B$11+Assumptions!$B$12)/Projects!$D$14*0.95,0)-IF(AND(Projects!$G$14="Yes",BS$3=Projects!$C$14+Projects!$D$14-1),Projects!$B$14*(Assumptions!$B$10+Assumptions!$B$11+Assumptions!$B$12)*0.05,0)</f>
        <v>0</v>
      </c>
      <c r="BT25" s="30" t="n">
        <f aca="false">IF(AND(Projects!$G$14="Yes",BT$3&gt;=Projects!$C$14,BT$3&lt;Projects!$C$14+Projects!$D$14),Projects!$B$14*INDEX(Curves!$B$2:$AR$2,1,BT$3-Projects!$C$14+1),0)-IF(AND(Projects!$G$14="Yes",BT$3&gt;=Projects!$C$14,BT$3&lt;Projects!$C$14+Projects!$D$14),Projects!$B$14*(Assumptions!$B$10+Assumptions!$B$11+Assumptions!$B$12)/Projects!$D$14*0.95,0)-IF(AND(Projects!$G$14="Yes",BT$3=Projects!$C$14+Projects!$D$14-1),Projects!$B$14*(Assumptions!$B$10+Assumptions!$B$11+Assumptions!$B$12)*0.05,0)</f>
        <v>0</v>
      </c>
      <c r="BU25" s="30" t="n">
        <f aca="false">IF(AND(Projects!$G$14="Yes",BU$3&gt;=Projects!$C$14,BU$3&lt;Projects!$C$14+Projects!$D$14),Projects!$B$14*INDEX(Curves!$B$2:$AR$2,1,BU$3-Projects!$C$14+1),0)-IF(AND(Projects!$G$14="Yes",BU$3&gt;=Projects!$C$14,BU$3&lt;Projects!$C$14+Projects!$D$14),Projects!$B$14*(Assumptions!$B$10+Assumptions!$B$11+Assumptions!$B$12)/Projects!$D$14*0.95,0)-IF(AND(Projects!$G$14="Yes",BU$3=Projects!$C$14+Projects!$D$14-1),Projects!$B$14*(Assumptions!$B$10+Assumptions!$B$11+Assumptions!$B$12)*0.05,0)</f>
        <v>0</v>
      </c>
      <c r="BV25" s="30" t="n">
        <f aca="false">IF(AND(Projects!$G$14="Yes",BV$3&gt;=Projects!$C$14,BV$3&lt;Projects!$C$14+Projects!$D$14),Projects!$B$14*INDEX(Curves!$B$2:$AR$2,1,BV$3-Projects!$C$14+1),0)-IF(AND(Projects!$G$14="Yes",BV$3&gt;=Projects!$C$14,BV$3&lt;Projects!$C$14+Projects!$D$14),Projects!$B$14*(Assumptions!$B$10+Assumptions!$B$11+Assumptions!$B$12)/Projects!$D$14*0.95,0)-IF(AND(Projects!$G$14="Yes",BV$3=Projects!$C$14+Projects!$D$14-1),Projects!$B$14*(Assumptions!$B$10+Assumptions!$B$11+Assumptions!$B$12)*0.05,0)</f>
        <v>0</v>
      </c>
      <c r="BW25" s="30" t="n">
        <f aca="false">IF(AND(Projects!$G$14="Yes",BW$3&gt;=Projects!$C$14,BW$3&lt;Projects!$C$14+Projects!$D$14),Projects!$B$14*INDEX(Curves!$B$2:$AR$2,1,BW$3-Projects!$C$14+1),0)-IF(AND(Projects!$G$14="Yes",BW$3&gt;=Projects!$C$14,BW$3&lt;Projects!$C$14+Projects!$D$14),Projects!$B$14*(Assumptions!$B$10+Assumptions!$B$11+Assumptions!$B$12)/Projects!$D$14*0.95,0)-IF(AND(Projects!$G$14="Yes",BW$3=Projects!$C$14+Projects!$D$14-1),Projects!$B$14*(Assumptions!$B$10+Assumptions!$B$11+Assumptions!$B$12)*0.05,0)</f>
        <v>0</v>
      </c>
      <c r="BX25" s="30" t="n">
        <f aca="false">IF(AND(Projects!$G$14="Yes",BX$3&gt;=Projects!$C$14,BX$3&lt;Projects!$C$14+Projects!$D$14),Projects!$B$14*INDEX(Curves!$B$2:$AR$2,1,BX$3-Projects!$C$14+1),0)-IF(AND(Projects!$G$14="Yes",BX$3&gt;=Projects!$C$14,BX$3&lt;Projects!$C$14+Projects!$D$14),Projects!$B$14*(Assumptions!$B$10+Assumptions!$B$11+Assumptions!$B$12)/Projects!$D$14*0.95,0)-IF(AND(Projects!$G$14="Yes",BX$3=Projects!$C$14+Projects!$D$14-1),Projects!$B$14*(Assumptions!$B$10+Assumptions!$B$11+Assumptions!$B$12)*0.05,0)</f>
        <v>0</v>
      </c>
      <c r="BY25" s="30" t="n">
        <f aca="false">IF(AND(Projects!$G$14="Yes",BY$3&gt;=Projects!$C$14,BY$3&lt;Projects!$C$14+Projects!$D$14),Projects!$B$14*INDEX(Curves!$B$2:$AR$2,1,BY$3-Projects!$C$14+1),0)-IF(AND(Projects!$G$14="Yes",BY$3&gt;=Projects!$C$14,BY$3&lt;Projects!$C$14+Projects!$D$14),Projects!$B$14*(Assumptions!$B$10+Assumptions!$B$11+Assumptions!$B$12)/Projects!$D$14*0.95,0)-IF(AND(Projects!$G$14="Yes",BY$3=Projects!$C$14+Projects!$D$14-1),Projects!$B$14*(Assumptions!$B$10+Assumptions!$B$11+Assumptions!$B$12)*0.05,0)</f>
        <v>0</v>
      </c>
      <c r="BZ25" s="30" t="n">
        <f aca="false">IF(AND(Projects!$G$14="Yes",BZ$3&gt;=Projects!$C$14,BZ$3&lt;Projects!$C$14+Projects!$D$14),Projects!$B$14*INDEX(Curves!$B$2:$AR$2,1,BZ$3-Projects!$C$14+1),0)-IF(AND(Projects!$G$14="Yes",BZ$3&gt;=Projects!$C$14,BZ$3&lt;Projects!$C$14+Projects!$D$14),Projects!$B$14*(Assumptions!$B$10+Assumptions!$B$11+Assumptions!$B$12)/Projects!$D$14*0.95,0)-IF(AND(Projects!$G$14="Yes",BZ$3=Projects!$C$14+Projects!$D$14-1),Projects!$B$14*(Assumptions!$B$10+Assumptions!$B$11+Assumptions!$B$12)*0.05,0)</f>
        <v>0</v>
      </c>
      <c r="CA25" s="30" t="n">
        <f aca="false">IF(AND(Projects!$G$14="Yes",CA$3&gt;=Projects!$C$14,CA$3&lt;Projects!$C$14+Projects!$D$14),Projects!$B$14*INDEX(Curves!$B$2:$AR$2,1,CA$3-Projects!$C$14+1),0)-IF(AND(Projects!$G$14="Yes",CA$3&gt;=Projects!$C$14,CA$3&lt;Projects!$C$14+Projects!$D$14),Projects!$B$14*(Assumptions!$B$10+Assumptions!$B$11+Assumptions!$B$12)/Projects!$D$14*0.95,0)-IF(AND(Projects!$G$14="Yes",CA$3=Projects!$C$14+Projects!$D$14-1),Projects!$B$14*(Assumptions!$B$10+Assumptions!$B$11+Assumptions!$B$12)*0.05,0)</f>
        <v>0</v>
      </c>
      <c r="CB25" s="30" t="n">
        <f aca="false">IF(AND(Projects!$G$14="Yes",CB$3&gt;=Projects!$C$14,CB$3&lt;Projects!$C$14+Projects!$D$14),Projects!$B$14*INDEX(Curves!$B$2:$AR$2,1,CB$3-Projects!$C$14+1),0)-IF(AND(Projects!$G$14="Yes",CB$3&gt;=Projects!$C$14,CB$3&lt;Projects!$C$14+Projects!$D$14),Projects!$B$14*(Assumptions!$B$10+Assumptions!$B$11+Assumptions!$B$12)/Projects!$D$14*0.95,0)-IF(AND(Projects!$G$14="Yes",CB$3=Projects!$C$14+Projects!$D$14-1),Projects!$B$14*(Assumptions!$B$10+Assumptions!$B$11+Assumptions!$B$12)*0.05,0)</f>
        <v>0</v>
      </c>
      <c r="CC25" s="30" t="n">
        <f aca="false">IF(AND(Projects!$G$14="Yes",CC$3&gt;=Projects!$C$14,CC$3&lt;Projects!$C$14+Projects!$D$14),Projects!$B$14*INDEX(Curves!$B$2:$AR$2,1,CC$3-Projects!$C$14+1),0)-IF(AND(Projects!$G$14="Yes",CC$3&gt;=Projects!$C$14,CC$3&lt;Projects!$C$14+Projects!$D$14),Projects!$B$14*(Assumptions!$B$10+Assumptions!$B$11+Assumptions!$B$12)/Projects!$D$14*0.95,0)-IF(AND(Projects!$G$14="Yes",CC$3=Projects!$C$14+Projects!$D$14-1),Projects!$B$14*(Assumptions!$B$10+Assumptions!$B$11+Assumptions!$B$12)*0.05,0)</f>
        <v>0</v>
      </c>
      <c r="CD25" s="30" t="n">
        <f aca="false">IF(AND(Projects!$G$14="Yes",CD$3&gt;=Projects!$C$14,CD$3&lt;Projects!$C$14+Projects!$D$14),Projects!$B$14*INDEX(Curves!$B$2:$AR$2,1,CD$3-Projects!$C$14+1),0)-IF(AND(Projects!$G$14="Yes",CD$3&gt;=Projects!$C$14,CD$3&lt;Projects!$C$14+Projects!$D$14),Projects!$B$14*(Assumptions!$B$10+Assumptions!$B$11+Assumptions!$B$12)/Projects!$D$14*0.95,0)-IF(AND(Projects!$G$14="Yes",CD$3=Projects!$C$14+Projects!$D$14-1),Projects!$B$14*(Assumptions!$B$10+Assumptions!$B$11+Assumptions!$B$12)*0.05,0)</f>
        <v>0</v>
      </c>
      <c r="CE25" s="30" t="n">
        <f aca="false">IF(AND(Projects!$G$14="Yes",CE$3&gt;=Projects!$C$14,CE$3&lt;Projects!$C$14+Projects!$D$14),Projects!$B$14*INDEX(Curves!$B$2:$AR$2,1,CE$3-Projects!$C$14+1),0)-IF(AND(Projects!$G$14="Yes",CE$3&gt;=Projects!$C$14,CE$3&lt;Projects!$C$14+Projects!$D$14),Projects!$B$14*(Assumptions!$B$10+Assumptions!$B$11+Assumptions!$B$12)/Projects!$D$14*0.95,0)-IF(AND(Projects!$G$14="Yes",CE$3=Projects!$C$14+Projects!$D$14-1),Projects!$B$14*(Assumptions!$B$10+Assumptions!$B$11+Assumptions!$B$12)*0.05,0)</f>
        <v>0</v>
      </c>
      <c r="CF25" s="30" t="n">
        <f aca="false">IF(AND(Projects!$G$14="Yes",CF$3&gt;=Projects!$C$14,CF$3&lt;Projects!$C$14+Projects!$D$14),Projects!$B$14*INDEX(Curves!$B$2:$AR$2,1,CF$3-Projects!$C$14+1),0)-IF(AND(Projects!$G$14="Yes",CF$3&gt;=Projects!$C$14,CF$3&lt;Projects!$C$14+Projects!$D$14),Projects!$B$14*(Assumptions!$B$10+Assumptions!$B$11+Assumptions!$B$12)/Projects!$D$14*0.95,0)-IF(AND(Projects!$G$14="Yes",CF$3=Projects!$C$14+Projects!$D$14-1),Projects!$B$14*(Assumptions!$B$10+Assumptions!$B$11+Assumptions!$B$12)*0.05,0)</f>
        <v>0</v>
      </c>
      <c r="CG25" s="30" t="n">
        <f aca="false">IF(AND(Projects!$G$14="Yes",CG$3&gt;=Projects!$C$14,CG$3&lt;Projects!$C$14+Projects!$D$14),Projects!$B$14*INDEX(Curves!$B$2:$AR$2,1,CG$3-Projects!$C$14+1),0)-IF(AND(Projects!$G$14="Yes",CG$3&gt;=Projects!$C$14,CG$3&lt;Projects!$C$14+Projects!$D$14),Projects!$B$14*(Assumptions!$B$10+Assumptions!$B$11+Assumptions!$B$12)/Projects!$D$14*0.95,0)-IF(AND(Projects!$G$14="Yes",CG$3=Projects!$C$14+Projects!$D$14-1),Projects!$B$14*(Assumptions!$B$10+Assumptions!$B$11+Assumptions!$B$12)*0.05,0)</f>
        <v>0</v>
      </c>
      <c r="CH25" s="30" t="n">
        <f aca="false">IF(AND(Projects!$G$14="Yes",CH$3&gt;=Projects!$C$14,CH$3&lt;Projects!$C$14+Projects!$D$14),Projects!$B$14*INDEX(Curves!$B$2:$AR$2,1,CH$3-Projects!$C$14+1),0)-IF(AND(Projects!$G$14="Yes",CH$3&gt;=Projects!$C$14,CH$3&lt;Projects!$C$14+Projects!$D$14),Projects!$B$14*(Assumptions!$B$10+Assumptions!$B$11+Assumptions!$B$12)/Projects!$D$14*0.95,0)-IF(AND(Projects!$G$14="Yes",CH$3=Projects!$C$14+Projects!$D$14-1),Projects!$B$14*(Assumptions!$B$10+Assumptions!$B$11+Assumptions!$B$12)*0.05,0)</f>
        <v>0</v>
      </c>
      <c r="CI25" s="30" t="n">
        <f aca="false">IF(AND(Projects!$G$14="Yes",CI$3&gt;=Projects!$C$14,CI$3&lt;Projects!$C$14+Projects!$D$14),Projects!$B$14*INDEX(Curves!$B$2:$AR$2,1,CI$3-Projects!$C$14+1),0)-IF(AND(Projects!$G$14="Yes",CI$3&gt;=Projects!$C$14,CI$3&lt;Projects!$C$14+Projects!$D$14),Projects!$B$14*(Assumptions!$B$10+Assumptions!$B$11+Assumptions!$B$12)/Projects!$D$14*0.95,0)-IF(AND(Projects!$G$14="Yes",CI$3=Projects!$C$14+Projects!$D$14-1),Projects!$B$14*(Assumptions!$B$10+Assumptions!$B$11+Assumptions!$B$12)*0.05,0)</f>
        <v>0</v>
      </c>
      <c r="CJ25" s="30" t="n">
        <f aca="false">IF(AND(Projects!$G$14="Yes",CJ$3&gt;=Projects!$C$14,CJ$3&lt;Projects!$C$14+Projects!$D$14),Projects!$B$14*INDEX(Curves!$B$2:$AR$2,1,CJ$3-Projects!$C$14+1),0)-IF(AND(Projects!$G$14="Yes",CJ$3&gt;=Projects!$C$14,CJ$3&lt;Projects!$C$14+Projects!$D$14),Projects!$B$14*(Assumptions!$B$10+Assumptions!$B$11+Assumptions!$B$12)/Projects!$D$14*0.95,0)-IF(AND(Projects!$G$14="Yes",CJ$3=Projects!$C$14+Projects!$D$14-1),Projects!$B$14*(Assumptions!$B$10+Assumptions!$B$11+Assumptions!$B$12)*0.05,0)</f>
        <v>0</v>
      </c>
      <c r="CK25" s="30" t="n">
        <f aca="false">IF(AND(Projects!$G$14="Yes",CK$3&gt;=Projects!$C$14,CK$3&lt;Projects!$C$14+Projects!$D$14),Projects!$B$14*INDEX(Curves!$B$2:$AR$2,1,CK$3-Projects!$C$14+1),0)-IF(AND(Projects!$G$14="Yes",CK$3&gt;=Projects!$C$14,CK$3&lt;Projects!$C$14+Projects!$D$14),Projects!$B$14*(Assumptions!$B$10+Assumptions!$B$11+Assumptions!$B$12)/Projects!$D$14*0.95,0)-IF(AND(Projects!$G$14="Yes",CK$3=Projects!$C$14+Projects!$D$14-1),Projects!$B$14*(Assumptions!$B$10+Assumptions!$B$11+Assumptions!$B$12)*0.05,0)</f>
        <v>0</v>
      </c>
      <c r="CL25" s="30" t="n">
        <f aca="false">IF(AND(Projects!$G$14="Yes",CL$3&gt;=Projects!$C$14,CL$3&lt;Projects!$C$14+Projects!$D$14),Projects!$B$14*INDEX(Curves!$B$2:$AR$2,1,CL$3-Projects!$C$14+1),0)-IF(AND(Projects!$G$14="Yes",CL$3&gt;=Projects!$C$14,CL$3&lt;Projects!$C$14+Projects!$D$14),Projects!$B$14*(Assumptions!$B$10+Assumptions!$B$11+Assumptions!$B$12)/Projects!$D$14*0.95,0)-IF(AND(Projects!$G$14="Yes",CL$3=Projects!$C$14+Projects!$D$14-1),Projects!$B$14*(Assumptions!$B$10+Assumptions!$B$11+Assumptions!$B$12)*0.05,0)</f>
        <v>0</v>
      </c>
      <c r="CM25" s="30" t="n">
        <f aca="false">IF(AND(Projects!$G$14="Yes",CM$3&gt;=Projects!$C$14,CM$3&lt;Projects!$C$14+Projects!$D$14),Projects!$B$14*INDEX(Curves!$B$2:$AR$2,1,CM$3-Projects!$C$14+1),0)-IF(AND(Projects!$G$14="Yes",CM$3&gt;=Projects!$C$14,CM$3&lt;Projects!$C$14+Projects!$D$14),Projects!$B$14*(Assumptions!$B$10+Assumptions!$B$11+Assumptions!$B$12)/Projects!$D$14*0.95,0)-IF(AND(Projects!$G$14="Yes",CM$3=Projects!$C$14+Projects!$D$14-1),Projects!$B$14*(Assumptions!$B$10+Assumptions!$B$11+Assumptions!$B$12)*0.05,0)</f>
        <v>0</v>
      </c>
      <c r="CN25" s="30" t="n">
        <f aca="false">IF(AND(Projects!$G$14="Yes",CN$3&gt;=Projects!$C$14,CN$3&lt;Projects!$C$14+Projects!$D$14),Projects!$B$14*INDEX(Curves!$B$2:$AR$2,1,CN$3-Projects!$C$14+1),0)-IF(AND(Projects!$G$14="Yes",CN$3&gt;=Projects!$C$14,CN$3&lt;Projects!$C$14+Projects!$D$14),Projects!$B$14*(Assumptions!$B$10+Assumptions!$B$11+Assumptions!$B$12)/Projects!$D$14*0.95,0)-IF(AND(Projects!$G$14="Yes",CN$3=Projects!$C$14+Projects!$D$14-1),Projects!$B$14*(Assumptions!$B$10+Assumptions!$B$11+Assumptions!$B$12)*0.05,0)</f>
        <v>0</v>
      </c>
      <c r="CO25" s="30" t="n">
        <f aca="false">IF(AND(Projects!$G$14="Yes",CO$3&gt;=Projects!$C$14,CO$3&lt;Projects!$C$14+Projects!$D$14),Projects!$B$14*INDEX(Curves!$B$2:$AR$2,1,CO$3-Projects!$C$14+1),0)-IF(AND(Projects!$G$14="Yes",CO$3&gt;=Projects!$C$14,CO$3&lt;Projects!$C$14+Projects!$D$14),Projects!$B$14*(Assumptions!$B$10+Assumptions!$B$11+Assumptions!$B$12)/Projects!$D$14*0.95,0)-IF(AND(Projects!$G$14="Yes",CO$3=Projects!$C$14+Projects!$D$14-1),Projects!$B$14*(Assumptions!$B$10+Assumptions!$B$11+Assumptions!$B$12)*0.05,0)</f>
        <v>0</v>
      </c>
      <c r="CP25" s="30" t="n">
        <f aca="false">IF(AND(Projects!$G$14="Yes",CP$3&gt;=Projects!$C$14,CP$3&lt;Projects!$C$14+Projects!$D$14),Projects!$B$14*INDEX(Curves!$B$2:$AR$2,1,CP$3-Projects!$C$14+1),0)-IF(AND(Projects!$G$14="Yes",CP$3&gt;=Projects!$C$14,CP$3&lt;Projects!$C$14+Projects!$D$14),Projects!$B$14*(Assumptions!$B$10+Assumptions!$B$11+Assumptions!$B$12)/Projects!$D$14*0.95,0)-IF(AND(Projects!$G$14="Yes",CP$3=Projects!$C$14+Projects!$D$14-1),Projects!$B$14*(Assumptions!$B$10+Assumptions!$B$11+Assumptions!$B$12)*0.05,0)</f>
        <v>0</v>
      </c>
      <c r="CQ25" s="30" t="n">
        <f aca="false">IF(AND(Projects!$G$14="Yes",CQ$3&gt;=Projects!$C$14,CQ$3&lt;Projects!$C$14+Projects!$D$14),Projects!$B$14*INDEX(Curves!$B$2:$AR$2,1,CQ$3-Projects!$C$14+1),0)-IF(AND(Projects!$G$14="Yes",CQ$3&gt;=Projects!$C$14,CQ$3&lt;Projects!$C$14+Projects!$D$14),Projects!$B$14*(Assumptions!$B$10+Assumptions!$B$11+Assumptions!$B$12)/Projects!$D$14*0.95,0)-IF(AND(Projects!$G$14="Yes",CQ$3=Projects!$C$14+Projects!$D$14-1),Projects!$B$14*(Assumptions!$B$10+Assumptions!$B$11+Assumptions!$B$12)*0.05,0)</f>
        <v>0</v>
      </c>
      <c r="CR25" s="30" t="n">
        <f aca="false">IF(AND(Projects!$G$14="Yes",CR$3&gt;=Projects!$C$14,CR$3&lt;Projects!$C$14+Projects!$D$14),Projects!$B$14*INDEX(Curves!$B$2:$AR$2,1,CR$3-Projects!$C$14+1),0)-IF(AND(Projects!$G$14="Yes",CR$3&gt;=Projects!$C$14,CR$3&lt;Projects!$C$14+Projects!$D$14),Projects!$B$14*(Assumptions!$B$10+Assumptions!$B$11+Assumptions!$B$12)/Projects!$D$14*0.95,0)-IF(AND(Projects!$G$14="Yes",CR$3=Projects!$C$14+Projects!$D$14-1),Projects!$B$14*(Assumptions!$B$10+Assumptions!$B$11+Assumptions!$B$12)*0.05,0)</f>
        <v>0</v>
      </c>
      <c r="CS25" s="30" t="n">
        <f aca="false">IF(AND(Projects!$G$14="Yes",CS$3&gt;=Projects!$C$14,CS$3&lt;Projects!$C$14+Projects!$D$14),Projects!$B$14*INDEX(Curves!$B$2:$AR$2,1,CS$3-Projects!$C$14+1),0)-IF(AND(Projects!$G$14="Yes",CS$3&gt;=Projects!$C$14,CS$3&lt;Projects!$C$14+Projects!$D$14),Projects!$B$14*(Assumptions!$B$10+Assumptions!$B$11+Assumptions!$B$12)/Projects!$D$14*0.95,0)-IF(AND(Projects!$G$14="Yes",CS$3=Projects!$C$14+Projects!$D$14-1),Projects!$B$14*(Assumptions!$B$10+Assumptions!$B$11+Assumptions!$B$12)*0.05,0)</f>
        <v>0</v>
      </c>
      <c r="CT25" s="30" t="n">
        <f aca="false">IF(AND(Projects!$G$14="Yes",CT$3&gt;=Projects!$C$14,CT$3&lt;Projects!$C$14+Projects!$D$14),Projects!$B$14*INDEX(Curves!$B$2:$AR$2,1,CT$3-Projects!$C$14+1),0)-IF(AND(Projects!$G$14="Yes",CT$3&gt;=Projects!$C$14,CT$3&lt;Projects!$C$14+Projects!$D$14),Projects!$B$14*(Assumptions!$B$10+Assumptions!$B$11+Assumptions!$B$12)/Projects!$D$14*0.95,0)-IF(AND(Projects!$G$14="Yes",CT$3=Projects!$C$14+Projects!$D$14-1),Projects!$B$14*(Assumptions!$B$10+Assumptions!$B$11+Assumptions!$B$12)*0.05,0)</f>
        <v>0</v>
      </c>
      <c r="CU25" s="30" t="n">
        <f aca="false">IF(AND(Projects!$G$14="Yes",CU$3&gt;=Projects!$C$14,CU$3&lt;Projects!$C$14+Projects!$D$14),Projects!$B$14*INDEX(Curves!$B$2:$AR$2,1,CU$3-Projects!$C$14+1),0)-IF(AND(Projects!$G$14="Yes",CU$3&gt;=Projects!$C$14,CU$3&lt;Projects!$C$14+Projects!$D$14),Projects!$B$14*(Assumptions!$B$10+Assumptions!$B$11+Assumptions!$B$12)/Projects!$D$14*0.95,0)-IF(AND(Projects!$G$14="Yes",CU$3=Projects!$C$14+Projects!$D$14-1),Projects!$B$14*(Assumptions!$B$10+Assumptions!$B$11+Assumptions!$B$12)*0.05,0)</f>
        <v>0</v>
      </c>
      <c r="CV25" s="30" t="n">
        <f aca="false">IF(AND(Projects!$G$14="Yes",CV$3&gt;=Projects!$C$14,CV$3&lt;Projects!$C$14+Projects!$D$14),Projects!$B$14*INDEX(Curves!$B$2:$AR$2,1,CV$3-Projects!$C$14+1),0)-IF(AND(Projects!$G$14="Yes",CV$3&gt;=Projects!$C$14,CV$3&lt;Projects!$C$14+Projects!$D$14),Projects!$B$14*(Assumptions!$B$10+Assumptions!$B$11+Assumptions!$B$12)/Projects!$D$14*0.95,0)-IF(AND(Projects!$G$14="Yes",CV$3=Projects!$C$14+Projects!$D$14-1),Projects!$B$14*(Assumptions!$B$10+Assumptions!$B$11+Assumptions!$B$12)*0.05,0)</f>
        <v>0</v>
      </c>
      <c r="CW25" s="30" t="n">
        <f aca="false">IF(AND(Projects!$G$14="Yes",CW$3&gt;=Projects!$C$14,CW$3&lt;Projects!$C$14+Projects!$D$14),Projects!$B$14*INDEX(Curves!$B$2:$AR$2,1,CW$3-Projects!$C$14+1),0)-IF(AND(Projects!$G$14="Yes",CW$3&gt;=Projects!$C$14,CW$3&lt;Projects!$C$14+Projects!$D$14),Projects!$B$14*(Assumptions!$B$10+Assumptions!$B$11+Assumptions!$B$12)/Projects!$D$14*0.95,0)-IF(AND(Projects!$G$14="Yes",CW$3=Projects!$C$14+Projects!$D$14-1),Projects!$B$14*(Assumptions!$B$10+Assumptions!$B$11+Assumptions!$B$12)*0.05,0)</f>
        <v>0</v>
      </c>
      <c r="CX25" s="30" t="n">
        <f aca="false">IF(AND(Projects!$G$14="Yes",CX$3&gt;=Projects!$C$14,CX$3&lt;Projects!$C$14+Projects!$D$14),Projects!$B$14*INDEX(Curves!$B$2:$AR$2,1,CX$3-Projects!$C$14+1),0)-IF(AND(Projects!$G$14="Yes",CX$3&gt;=Projects!$C$14,CX$3&lt;Projects!$C$14+Projects!$D$14),Projects!$B$14*(Assumptions!$B$10+Assumptions!$B$11+Assumptions!$B$12)/Projects!$D$14*0.95,0)-IF(AND(Projects!$G$14="Yes",CX$3=Projects!$C$14+Projects!$D$14-1),Projects!$B$14*(Assumptions!$B$10+Assumptions!$B$11+Assumptions!$B$12)*0.05,0)</f>
        <v>0</v>
      </c>
      <c r="CY25" s="30" t="n">
        <f aca="false">IF(AND(Projects!$G$14="Yes",CY$3&gt;=Projects!$C$14,CY$3&lt;Projects!$C$14+Projects!$D$14),Projects!$B$14*INDEX(Curves!$B$2:$AR$2,1,CY$3-Projects!$C$14+1),0)-IF(AND(Projects!$G$14="Yes",CY$3&gt;=Projects!$C$14,CY$3&lt;Projects!$C$14+Projects!$D$14),Projects!$B$14*(Assumptions!$B$10+Assumptions!$B$11+Assumptions!$B$12)/Projects!$D$14*0.95,0)-IF(AND(Projects!$G$14="Yes",CY$3=Projects!$C$14+Projects!$D$14-1),Projects!$B$14*(Assumptions!$B$10+Assumptions!$B$11+Assumptions!$B$12)*0.05,0)</f>
        <v>0</v>
      </c>
      <c r="CZ25" s="30" t="n">
        <f aca="false">IF(AND(Projects!$G$14="Yes",CZ$3&gt;=Projects!$C$14,CZ$3&lt;Projects!$C$14+Projects!$D$14),Projects!$B$14*INDEX(Curves!$B$2:$AR$2,1,CZ$3-Projects!$C$14+1),0)-IF(AND(Projects!$G$14="Yes",CZ$3&gt;=Projects!$C$14,CZ$3&lt;Projects!$C$14+Projects!$D$14),Projects!$B$14*(Assumptions!$B$10+Assumptions!$B$11+Assumptions!$B$12)/Projects!$D$14*0.95,0)-IF(AND(Projects!$G$14="Yes",CZ$3=Projects!$C$14+Projects!$D$14-1),Projects!$B$14*(Assumptions!$B$10+Assumptions!$B$11+Assumptions!$B$12)*0.05,0)</f>
        <v>0</v>
      </c>
      <c r="DA25" s="30" t="n">
        <f aca="false">IF(AND(Projects!$G$14="Yes",DA$3&gt;=Projects!$C$14,DA$3&lt;Projects!$C$14+Projects!$D$14),Projects!$B$14*INDEX(Curves!$B$2:$AR$2,1,DA$3-Projects!$C$14+1),0)-IF(AND(Projects!$G$14="Yes",DA$3&gt;=Projects!$C$14,DA$3&lt;Projects!$C$14+Projects!$D$14),Projects!$B$14*(Assumptions!$B$10+Assumptions!$B$11+Assumptions!$B$12)/Projects!$D$14*0.95,0)-IF(AND(Projects!$G$14="Yes",DA$3=Projects!$C$14+Projects!$D$14-1),Projects!$B$14*(Assumptions!$B$10+Assumptions!$B$11+Assumptions!$B$12)*0.05,0)</f>
        <v>0</v>
      </c>
      <c r="DB25" s="30" t="n">
        <f aca="false">IF(AND(Projects!$G$14="Yes",DB$3&gt;=Projects!$C$14,DB$3&lt;Projects!$C$14+Projects!$D$14),Projects!$B$14*INDEX(Curves!$B$2:$AR$2,1,DB$3-Projects!$C$14+1),0)-IF(AND(Projects!$G$14="Yes",DB$3&gt;=Projects!$C$14,DB$3&lt;Projects!$C$14+Projects!$D$14),Projects!$B$14*(Assumptions!$B$10+Assumptions!$B$11+Assumptions!$B$12)/Projects!$D$14*0.95,0)-IF(AND(Projects!$G$14="Yes",DB$3=Projects!$C$14+Projects!$D$14-1),Projects!$B$14*(Assumptions!$B$10+Assumptions!$B$11+Assumptions!$B$12)*0.05,0)</f>
        <v>0</v>
      </c>
      <c r="DC25" s="30" t="n">
        <f aca="false">IF(AND(Projects!$G$14="Yes",DC$3&gt;=Projects!$C$14,DC$3&lt;Projects!$C$14+Projects!$D$14),Projects!$B$14*INDEX(Curves!$B$2:$AR$2,1,DC$3-Projects!$C$14+1),0)-IF(AND(Projects!$G$14="Yes",DC$3&gt;=Projects!$C$14,DC$3&lt;Projects!$C$14+Projects!$D$14),Projects!$B$14*(Assumptions!$B$10+Assumptions!$B$11+Assumptions!$B$12)/Projects!$D$14*0.95,0)-IF(AND(Projects!$G$14="Yes",DC$3=Projects!$C$14+Projects!$D$14-1),Projects!$B$14*(Assumptions!$B$10+Assumptions!$B$11+Assumptions!$B$12)*0.05,0)</f>
        <v>0</v>
      </c>
      <c r="DD25" s="30" t="n">
        <f aca="false">IF(AND(Projects!$G$14="Yes",DD$3&gt;=Projects!$C$14,DD$3&lt;Projects!$C$14+Projects!$D$14),Projects!$B$14*INDEX(Curves!$B$2:$AR$2,1,DD$3-Projects!$C$14+1),0)-IF(AND(Projects!$G$14="Yes",DD$3&gt;=Projects!$C$14,DD$3&lt;Projects!$C$14+Projects!$D$14),Projects!$B$14*(Assumptions!$B$10+Assumptions!$B$11+Assumptions!$B$12)/Projects!$D$14*0.95,0)-IF(AND(Projects!$G$14="Yes",DD$3=Projects!$C$14+Projects!$D$14-1),Projects!$B$14*(Assumptions!$B$10+Assumptions!$B$11+Assumptions!$B$12)*0.05,0)</f>
        <v>0</v>
      </c>
      <c r="DE25" s="30" t="n">
        <f aca="false">IF(AND(Projects!$G$14="Yes",DE$3&gt;=Projects!$C$14,DE$3&lt;Projects!$C$14+Projects!$D$14),Projects!$B$14*INDEX(Curves!$B$2:$AR$2,1,DE$3-Projects!$C$14+1),0)-IF(AND(Projects!$G$14="Yes",DE$3&gt;=Projects!$C$14,DE$3&lt;Projects!$C$14+Projects!$D$14),Projects!$B$14*(Assumptions!$B$10+Assumptions!$B$11+Assumptions!$B$12)/Projects!$D$14*0.95,0)-IF(AND(Projects!$G$14="Yes",DE$3=Projects!$C$14+Projects!$D$14-1),Projects!$B$14*(Assumptions!$B$10+Assumptions!$B$11+Assumptions!$B$12)*0.05,0)</f>
        <v>0</v>
      </c>
    </row>
    <row r="26" customFormat="false" ht="15" hidden="true" customHeight="true" outlineLevel="1" collapsed="false">
      <c r="A26" s="32" t="s">
        <v>20</v>
      </c>
      <c r="B26" s="30" t="n">
        <v>0</v>
      </c>
      <c r="C26" s="30" t="n">
        <v>0</v>
      </c>
      <c r="D26" s="30" t="n">
        <v>0</v>
      </c>
      <c r="E26" s="30" t="n">
        <v>0</v>
      </c>
      <c r="F26" s="30" t="n">
        <f aca="false">IF(AND(Projects!$G$17="Yes",F$3&gt;=Projects!$C$17,F$3&lt;Projects!$C$17+Projects!$D$17),Projects!$B$17*INDEX(Curves!$B$4:$AR$4,1,F$3-Projects!$C$17+1),0)-IF(AND(Projects!$G$17="Yes",F$3&gt;=Projects!$C$17,F$3&lt;Projects!$C$17+Projects!$D$17),Projects!$B$17*(Assumptions!$B$10+Assumptions!$B$11+Assumptions!$B$12)/Projects!$D$17*0.95,0)-IF(AND(Projects!$G$17="Yes",F$3=Projects!$C$17+Projects!$D$17-1),Projects!$B$17*(Assumptions!$B$10+Assumptions!$B$11+Assumptions!$B$12)*0.05,0)</f>
        <v>0</v>
      </c>
      <c r="G26" s="30" t="n">
        <f aca="false">IF(AND(Projects!$G$17="Yes",G$3&gt;=Projects!$C$17,G$3&lt;Projects!$C$17+Projects!$D$17),Projects!$B$17*INDEX(Curves!$B$4:$AR$4,1,G$3-Projects!$C$17+1),0)-IF(AND(Projects!$G$17="Yes",G$3&gt;=Projects!$C$17,G$3&lt;Projects!$C$17+Projects!$D$17),Projects!$B$17*(Assumptions!$B$10+Assumptions!$B$11+Assumptions!$B$12)/Projects!$D$17*0.95,0)-IF(AND(Projects!$G$17="Yes",G$3=Projects!$C$17+Projects!$D$17-1),Projects!$B$17*(Assumptions!$B$10+Assumptions!$B$11+Assumptions!$B$12)*0.05,0)</f>
        <v>0</v>
      </c>
      <c r="H26" s="30" t="n">
        <f aca="false">IF(AND(Projects!$G$17="Yes",H$3&gt;=Projects!$C$17,H$3&lt;Projects!$C$17+Projects!$D$17),Projects!$B$17*INDEX(Curves!$B$4:$AR$4,1,H$3-Projects!$C$17+1),0)-IF(AND(Projects!$G$17="Yes",H$3&gt;=Projects!$C$17,H$3&lt;Projects!$C$17+Projects!$D$17),Projects!$B$17*(Assumptions!$B$10+Assumptions!$B$11+Assumptions!$B$12)/Projects!$D$17*0.95,0)-IF(AND(Projects!$G$17="Yes",H$3=Projects!$C$17+Projects!$D$17-1),Projects!$B$17*(Assumptions!$B$10+Assumptions!$B$11+Assumptions!$B$12)*0.05,0)</f>
        <v>0</v>
      </c>
      <c r="I26" s="30" t="n">
        <f aca="false">IF(AND(Projects!$G$17="Yes",I$3&gt;=Projects!$C$17,I$3&lt;Projects!$C$17+Projects!$D$17),Projects!$B$17*INDEX(Curves!$B$4:$AR$4,1,I$3-Projects!$C$17+1),0)-IF(AND(Projects!$G$17="Yes",I$3&gt;=Projects!$C$17,I$3&lt;Projects!$C$17+Projects!$D$17),Projects!$B$17*(Assumptions!$B$10+Assumptions!$B$11+Assumptions!$B$12)/Projects!$D$17*0.95,0)-IF(AND(Projects!$G$17="Yes",I$3=Projects!$C$17+Projects!$D$17-1),Projects!$B$17*(Assumptions!$B$10+Assumptions!$B$11+Assumptions!$B$12)*0.05,0)</f>
        <v>0</v>
      </c>
      <c r="J26" s="30" t="n">
        <f aca="false">IF(AND(Projects!$G$17="Yes",J$3&gt;=Projects!$C$17,J$3&lt;Projects!$C$17+Projects!$D$17),Projects!$B$17*INDEX(Curves!$B$4:$AR$4,1,J$3-Projects!$C$17+1),0)-IF(AND(Projects!$G$17="Yes",J$3&gt;=Projects!$C$17,J$3&lt;Projects!$C$17+Projects!$D$17),Projects!$B$17*(Assumptions!$B$10+Assumptions!$B$11+Assumptions!$B$12)/Projects!$D$17*0.95,0)-IF(AND(Projects!$G$17="Yes",J$3=Projects!$C$17+Projects!$D$17-1),Projects!$B$17*(Assumptions!$B$10+Assumptions!$B$11+Assumptions!$B$12)*0.05,0)</f>
        <v>0</v>
      </c>
      <c r="K26" s="30" t="n">
        <f aca="false">IF(AND(Projects!$G$17="Yes",K$3&gt;=Projects!$C$17,K$3&lt;Projects!$C$17+Projects!$D$17),Projects!$B$17*INDEX(Curves!$B$4:$AR$4,1,K$3-Projects!$C$17+1),0)-IF(AND(Projects!$G$17="Yes",K$3&gt;=Projects!$C$17,K$3&lt;Projects!$C$17+Projects!$D$17),Projects!$B$17*(Assumptions!$B$10+Assumptions!$B$11+Assumptions!$B$12)/Projects!$D$17*0.95,0)-IF(AND(Projects!$G$17="Yes",K$3=Projects!$C$17+Projects!$D$17-1),Projects!$B$17*(Assumptions!$B$10+Assumptions!$B$11+Assumptions!$B$12)*0.05,0)</f>
        <v>0</v>
      </c>
      <c r="L26" s="30" t="n">
        <f aca="false">IF(AND(Projects!$G$17="Yes",L$3&gt;=Projects!$C$17,L$3&lt;Projects!$C$17+Projects!$D$17),Projects!$B$17*INDEX(Curves!$B$4:$AR$4,1,L$3-Projects!$C$17+1),0)-IF(AND(Projects!$G$17="Yes",L$3&gt;=Projects!$C$17,L$3&lt;Projects!$C$17+Projects!$D$17),Projects!$B$17*(Assumptions!$B$10+Assumptions!$B$11+Assumptions!$B$12)/Projects!$D$17*0.95,0)-IF(AND(Projects!$G$17="Yes",L$3=Projects!$C$17+Projects!$D$17-1),Projects!$B$17*(Assumptions!$B$10+Assumptions!$B$11+Assumptions!$B$12)*0.05,0)</f>
        <v>0</v>
      </c>
      <c r="M26" s="30" t="n">
        <f aca="false">IF(AND(Projects!$G$17="Yes",M$3&gt;=Projects!$C$17,M$3&lt;Projects!$C$17+Projects!$D$17),Projects!$B$17*INDEX(Curves!$B$4:$AR$4,1,M$3-Projects!$C$17+1),0)-IF(AND(Projects!$G$17="Yes",M$3&gt;=Projects!$C$17,M$3&lt;Projects!$C$17+Projects!$D$17),Projects!$B$17*(Assumptions!$B$10+Assumptions!$B$11+Assumptions!$B$12)/Projects!$D$17*0.95,0)-IF(AND(Projects!$G$17="Yes",M$3=Projects!$C$17+Projects!$D$17-1),Projects!$B$17*(Assumptions!$B$10+Assumptions!$B$11+Assumptions!$B$12)*0.05,0)</f>
        <v>0</v>
      </c>
      <c r="N26" s="30" t="n">
        <f aca="false">IF(AND(Projects!$G$17="Yes",N$3&gt;=Projects!$C$17,N$3&lt;Projects!$C$17+Projects!$D$17),Projects!$B$17*INDEX(Curves!$B$4:$AR$4,1,N$3-Projects!$C$17+1),0)-IF(AND(Projects!$G$17="Yes",N$3&gt;=Projects!$C$17,N$3&lt;Projects!$C$17+Projects!$D$17),Projects!$B$17*(Assumptions!$B$10+Assumptions!$B$11+Assumptions!$B$12)/Projects!$D$17*0.95,0)-IF(AND(Projects!$G$17="Yes",N$3=Projects!$C$17+Projects!$D$17-1),Projects!$B$17*(Assumptions!$B$10+Assumptions!$B$11+Assumptions!$B$12)*0.05,0)</f>
        <v>0</v>
      </c>
      <c r="O26" s="30" t="n">
        <f aca="false">IF(AND(Projects!$G$17="Yes",O$3&gt;=Projects!$C$17,O$3&lt;Projects!$C$17+Projects!$D$17),Projects!$B$17*INDEX(Curves!$B$4:$AR$4,1,O$3-Projects!$C$17+1),0)-IF(AND(Projects!$G$17="Yes",O$3&gt;=Projects!$C$17,O$3&lt;Projects!$C$17+Projects!$D$17),Projects!$B$17*(Assumptions!$B$10+Assumptions!$B$11+Assumptions!$B$12)/Projects!$D$17*0.95,0)-IF(AND(Projects!$G$17="Yes",O$3=Projects!$C$17+Projects!$D$17-1),Projects!$B$17*(Assumptions!$B$10+Assumptions!$B$11+Assumptions!$B$12)*0.05,0)</f>
        <v>0</v>
      </c>
      <c r="P26" s="30" t="n">
        <f aca="false">IF(AND(Projects!$G$17="Yes",P$3&gt;=Projects!$C$17,P$3&lt;Projects!$C$17+Projects!$D$17),Projects!$B$17*INDEX(Curves!$B$4:$AR$4,1,P$3-Projects!$C$17+1),0)-IF(AND(Projects!$G$17="Yes",P$3&gt;=Projects!$C$17,P$3&lt;Projects!$C$17+Projects!$D$17),Projects!$B$17*(Assumptions!$B$10+Assumptions!$B$11+Assumptions!$B$12)/Projects!$D$17*0.95,0)-IF(AND(Projects!$G$17="Yes",P$3=Projects!$C$17+Projects!$D$17-1),Projects!$B$17*(Assumptions!$B$10+Assumptions!$B$11+Assumptions!$B$12)*0.05,0)</f>
        <v>0</v>
      </c>
      <c r="Q26" s="30" t="n">
        <f aca="false">IF(AND(Projects!$G$17="Yes",Q$3&gt;=Projects!$C$17,Q$3&lt;Projects!$C$17+Projects!$D$17),Projects!$B$17*INDEX(Curves!$B$4:$AR$4,1,Q$3-Projects!$C$17+1),0)-IF(AND(Projects!$G$17="Yes",Q$3&gt;=Projects!$C$17,Q$3&lt;Projects!$C$17+Projects!$D$17),Projects!$B$17*(Assumptions!$B$10+Assumptions!$B$11+Assumptions!$B$12)/Projects!$D$17*0.95,0)-IF(AND(Projects!$G$17="Yes",Q$3=Projects!$C$17+Projects!$D$17-1),Projects!$B$17*(Assumptions!$B$10+Assumptions!$B$11+Assumptions!$B$12)*0.05,0)</f>
        <v>0</v>
      </c>
      <c r="R26" s="30" t="n">
        <f aca="false">IF(AND(Projects!$G$17="Yes",R$3&gt;=Projects!$C$17,R$3&lt;Projects!$C$17+Projects!$D$17),Projects!$B$17*INDEX(Curves!$B$4:$AR$4,1,R$3-Projects!$C$17+1),0)-IF(AND(Projects!$G$17="Yes",R$3&gt;=Projects!$C$17,R$3&lt;Projects!$C$17+Projects!$D$17),Projects!$B$17*(Assumptions!$B$10+Assumptions!$B$11+Assumptions!$B$12)/Projects!$D$17*0.95,0)-IF(AND(Projects!$G$17="Yes",R$3=Projects!$C$17+Projects!$D$17-1),Projects!$B$17*(Assumptions!$B$10+Assumptions!$B$11+Assumptions!$B$12)*0.05,0)</f>
        <v>0</v>
      </c>
      <c r="S26" s="30" t="n">
        <f aca="false">IF(AND(Projects!$G$17="Yes",S$3&gt;=Projects!$C$17,S$3&lt;Projects!$C$17+Projects!$D$17),Projects!$B$17*INDEX(Curves!$B$4:$AR$4,1,S$3-Projects!$C$17+1),0)-IF(AND(Projects!$G$17="Yes",S$3&gt;=Projects!$C$17,S$3&lt;Projects!$C$17+Projects!$D$17),Projects!$B$17*(Assumptions!$B$10+Assumptions!$B$11+Assumptions!$B$12)/Projects!$D$17*0.95,0)-IF(AND(Projects!$G$17="Yes",S$3=Projects!$C$17+Projects!$D$17-1),Projects!$B$17*(Assumptions!$B$10+Assumptions!$B$11+Assumptions!$B$12)*0.05,0)</f>
        <v>0</v>
      </c>
      <c r="T26" s="30" t="n">
        <f aca="false">IF(AND(Projects!$G$17="Yes",T$3&gt;=Projects!$C$17,T$3&lt;Projects!$C$17+Projects!$D$17),Projects!$B$17*INDEX(Curves!$B$4:$AR$4,1,T$3-Projects!$C$17+1),0)-IF(AND(Projects!$G$17="Yes",T$3&gt;=Projects!$C$17,T$3&lt;Projects!$C$17+Projects!$D$17),Projects!$B$17*(Assumptions!$B$10+Assumptions!$B$11+Assumptions!$B$12)/Projects!$D$17*0.95,0)-IF(AND(Projects!$G$17="Yes",T$3=Projects!$C$17+Projects!$D$17-1),Projects!$B$17*(Assumptions!$B$10+Assumptions!$B$11+Assumptions!$B$12)*0.05,0)</f>
        <v>0</v>
      </c>
      <c r="U26" s="30" t="n">
        <f aca="false">IF(AND(Projects!$G$17="Yes",U$3&gt;=Projects!$C$17,U$3&lt;Projects!$C$17+Projects!$D$17),Projects!$B$17*INDEX(Curves!$B$4:$AR$4,1,U$3-Projects!$C$17+1),0)-IF(AND(Projects!$G$17="Yes",U$3&gt;=Projects!$C$17,U$3&lt;Projects!$C$17+Projects!$D$17),Projects!$B$17*(Assumptions!$B$10+Assumptions!$B$11+Assumptions!$B$12)/Projects!$D$17*0.95,0)-IF(AND(Projects!$G$17="Yes",U$3=Projects!$C$17+Projects!$D$17-1),Projects!$B$17*(Assumptions!$B$10+Assumptions!$B$11+Assumptions!$B$12)*0.05,0)</f>
        <v>0</v>
      </c>
      <c r="V26" s="30" t="n">
        <f aca="false">IF(AND(Projects!$G$17="Yes",V$3&gt;=Projects!$C$17,V$3&lt;Projects!$C$17+Projects!$D$17),Projects!$B$17*INDEX(Curves!$B$4:$AR$4,1,V$3-Projects!$C$17+1),0)-IF(AND(Projects!$G$17="Yes",V$3&gt;=Projects!$C$17,V$3&lt;Projects!$C$17+Projects!$D$17),Projects!$B$17*(Assumptions!$B$10+Assumptions!$B$11+Assumptions!$B$12)/Projects!$D$17*0.95,0)-IF(AND(Projects!$G$17="Yes",V$3=Projects!$C$17+Projects!$D$17-1),Projects!$B$17*(Assumptions!$B$10+Assumptions!$B$11+Assumptions!$B$12)*0.05,0)</f>
        <v>0</v>
      </c>
      <c r="W26" s="30" t="n">
        <f aca="false">IF(AND(Projects!$G$17="Yes",W$3&gt;=Projects!$C$17,W$3&lt;Projects!$C$17+Projects!$D$17),Projects!$B$17*INDEX(Curves!$B$4:$AR$4,1,W$3-Projects!$C$17+1),0)-IF(AND(Projects!$G$17="Yes",W$3&gt;=Projects!$C$17,W$3&lt;Projects!$C$17+Projects!$D$17),Projects!$B$17*(Assumptions!$B$10+Assumptions!$B$11+Assumptions!$B$12)/Projects!$D$17*0.95,0)-IF(AND(Projects!$G$17="Yes",W$3=Projects!$C$17+Projects!$D$17-1),Projects!$B$17*(Assumptions!$B$10+Assumptions!$B$11+Assumptions!$B$12)*0.05,0)</f>
        <v>0</v>
      </c>
      <c r="X26" s="30" t="n">
        <f aca="false">IF(AND(Projects!$G$17="Yes",X$3&gt;=Projects!$C$17,X$3&lt;Projects!$C$17+Projects!$D$17),Projects!$B$17*INDEX(Curves!$B$4:$AR$4,1,X$3-Projects!$C$17+1),0)-IF(AND(Projects!$G$17="Yes",X$3&gt;=Projects!$C$17,X$3&lt;Projects!$C$17+Projects!$D$17),Projects!$B$17*(Assumptions!$B$10+Assumptions!$B$11+Assumptions!$B$12)/Projects!$D$17*0.95,0)-IF(AND(Projects!$G$17="Yes",X$3=Projects!$C$17+Projects!$D$17-1),Projects!$B$17*(Assumptions!$B$10+Assumptions!$B$11+Assumptions!$B$12)*0.05,0)</f>
        <v>0</v>
      </c>
      <c r="Y26" s="30" t="n">
        <f aca="false">IF(AND(Projects!$G$17="Yes",Y$3&gt;=Projects!$C$17,Y$3&lt;Projects!$C$17+Projects!$D$17),Projects!$B$17*INDEX(Curves!$B$4:$AR$4,1,Y$3-Projects!$C$17+1),0)-IF(AND(Projects!$G$17="Yes",Y$3&gt;=Projects!$C$17,Y$3&lt;Projects!$C$17+Projects!$D$17),Projects!$B$17*(Assumptions!$B$10+Assumptions!$B$11+Assumptions!$B$12)/Projects!$D$17*0.95,0)-IF(AND(Projects!$G$17="Yes",Y$3=Projects!$C$17+Projects!$D$17-1),Projects!$B$17*(Assumptions!$B$10+Assumptions!$B$11+Assumptions!$B$12)*0.05,0)</f>
        <v>0</v>
      </c>
      <c r="Z26" s="30" t="n">
        <f aca="false">IF(AND(Projects!$G$17="Yes",Z$3&gt;=Projects!$C$17,Z$3&lt;Projects!$C$17+Projects!$D$17),Projects!$B$17*INDEX(Curves!$B$4:$AR$4,1,Z$3-Projects!$C$17+1),0)-IF(AND(Projects!$G$17="Yes",Z$3&gt;=Projects!$C$17,Z$3&lt;Projects!$C$17+Projects!$D$17),Projects!$B$17*(Assumptions!$B$10+Assumptions!$B$11+Assumptions!$B$12)/Projects!$D$17*0.95,0)-IF(AND(Projects!$G$17="Yes",Z$3=Projects!$C$17+Projects!$D$17-1),Projects!$B$17*(Assumptions!$B$10+Assumptions!$B$11+Assumptions!$B$12)*0.05,0)</f>
        <v>0</v>
      </c>
      <c r="AA26" s="30" t="n">
        <f aca="false">IF(AND(Projects!$G$17="Yes",AA$3&gt;=Projects!$C$17,AA$3&lt;Projects!$C$17+Projects!$D$17),Projects!$B$17*INDEX(Curves!$B$4:$AR$4,1,AA$3-Projects!$C$17+1),0)-IF(AND(Projects!$G$17="Yes",AA$3&gt;=Projects!$C$17,AA$3&lt;Projects!$C$17+Projects!$D$17),Projects!$B$17*(Assumptions!$B$10+Assumptions!$B$11+Assumptions!$B$12)/Projects!$D$17*0.95,0)-IF(AND(Projects!$G$17="Yes",AA$3=Projects!$C$17+Projects!$D$17-1),Projects!$B$17*(Assumptions!$B$10+Assumptions!$B$11+Assumptions!$B$12)*0.05,0)</f>
        <v>0</v>
      </c>
      <c r="AB26" s="30" t="n">
        <f aca="false">IF(AND(Projects!$G$17="Yes",AB$3&gt;=Projects!$C$17,AB$3&lt;Projects!$C$17+Projects!$D$17),Projects!$B$17*INDEX(Curves!$B$4:$AR$4,1,AB$3-Projects!$C$17+1),0)-IF(AND(Projects!$G$17="Yes",AB$3&gt;=Projects!$C$17,AB$3&lt;Projects!$C$17+Projects!$D$17),Projects!$B$17*(Assumptions!$B$10+Assumptions!$B$11+Assumptions!$B$12)/Projects!$D$17*0.95,0)-IF(AND(Projects!$G$17="Yes",AB$3=Projects!$C$17+Projects!$D$17-1),Projects!$B$17*(Assumptions!$B$10+Assumptions!$B$11+Assumptions!$B$12)*0.05,0)</f>
        <v>0</v>
      </c>
      <c r="AC26" s="30" t="n">
        <f aca="false">IF(AND(Projects!$G$17="Yes",AC$3&gt;=Projects!$C$17,AC$3&lt;Projects!$C$17+Projects!$D$17),Projects!$B$17*INDEX(Curves!$B$4:$AR$4,1,AC$3-Projects!$C$17+1),0)-IF(AND(Projects!$G$17="Yes",AC$3&gt;=Projects!$C$17,AC$3&lt;Projects!$C$17+Projects!$D$17),Projects!$B$17*(Assumptions!$B$10+Assumptions!$B$11+Assumptions!$B$12)/Projects!$D$17*0.95,0)-IF(AND(Projects!$G$17="Yes",AC$3=Projects!$C$17+Projects!$D$17-1),Projects!$B$17*(Assumptions!$B$10+Assumptions!$B$11+Assumptions!$B$12)*0.05,0)</f>
        <v>0</v>
      </c>
      <c r="AD26" s="30" t="n">
        <f aca="false">IF(AND(Projects!$G$17="Yes",AD$3&gt;=Projects!$C$17,AD$3&lt;Projects!$C$17+Projects!$D$17),Projects!$B$17*INDEX(Curves!$B$4:$AR$4,1,AD$3-Projects!$C$17+1),0)-IF(AND(Projects!$G$17="Yes",AD$3&gt;=Projects!$C$17,AD$3&lt;Projects!$C$17+Projects!$D$17),Projects!$B$17*(Assumptions!$B$10+Assumptions!$B$11+Assumptions!$B$12)/Projects!$D$17*0.95,0)-IF(AND(Projects!$G$17="Yes",AD$3=Projects!$C$17+Projects!$D$17-1),Projects!$B$17*(Assumptions!$B$10+Assumptions!$B$11+Assumptions!$B$12)*0.05,0)</f>
        <v>0</v>
      </c>
      <c r="AE26" s="30" t="n">
        <f aca="false">IF(AND(Projects!$G$17="Yes",AE$3&gt;=Projects!$C$17,AE$3&lt;Projects!$C$17+Projects!$D$17),Projects!$B$17*INDEX(Curves!$B$4:$AR$4,1,AE$3-Projects!$C$17+1),0)-IF(AND(Projects!$G$17="Yes",AE$3&gt;=Projects!$C$17,AE$3&lt;Projects!$C$17+Projects!$D$17),Projects!$B$17*(Assumptions!$B$10+Assumptions!$B$11+Assumptions!$B$12)/Projects!$D$17*0.95,0)-IF(AND(Projects!$G$17="Yes",AE$3=Projects!$C$17+Projects!$D$17-1),Projects!$B$17*(Assumptions!$B$10+Assumptions!$B$11+Assumptions!$B$12)*0.05,0)</f>
        <v>0</v>
      </c>
      <c r="AF26" s="30" t="n">
        <f aca="false">IF(AND(Projects!$G$17="Yes",AF$3&gt;=Projects!$C$17,AF$3&lt;Projects!$C$17+Projects!$D$17),Projects!$B$17*INDEX(Curves!$B$4:$AR$4,1,AF$3-Projects!$C$17+1),0)-IF(AND(Projects!$G$17="Yes",AF$3&gt;=Projects!$C$17,AF$3&lt;Projects!$C$17+Projects!$D$17),Projects!$B$17*(Assumptions!$B$10+Assumptions!$B$11+Assumptions!$B$12)/Projects!$D$17*0.95,0)-IF(AND(Projects!$G$17="Yes",AF$3=Projects!$C$17+Projects!$D$17-1),Projects!$B$17*(Assumptions!$B$10+Assumptions!$B$11+Assumptions!$B$12)*0.05,0)</f>
        <v>0</v>
      </c>
      <c r="AG26" s="30" t="n">
        <f aca="false">IF(AND(Projects!$G$17="Yes",AG$3&gt;=Projects!$C$17,AG$3&lt;Projects!$C$17+Projects!$D$17),Projects!$B$17*INDEX(Curves!$B$4:$AR$4,1,AG$3-Projects!$C$17+1),0)-IF(AND(Projects!$G$17="Yes",AG$3&gt;=Projects!$C$17,AG$3&lt;Projects!$C$17+Projects!$D$17),Projects!$B$17*(Assumptions!$B$10+Assumptions!$B$11+Assumptions!$B$12)/Projects!$D$17*0.95,0)-IF(AND(Projects!$G$17="Yes",AG$3=Projects!$C$17+Projects!$D$17-1),Projects!$B$17*(Assumptions!$B$10+Assumptions!$B$11+Assumptions!$B$12)*0.05,0)</f>
        <v>0</v>
      </c>
      <c r="AH26" s="30" t="n">
        <f aca="false">IF(AND(Projects!$G$17="Yes",AH$3&gt;=Projects!$C$17,AH$3&lt;Projects!$C$17+Projects!$D$17),Projects!$B$17*INDEX(Curves!$B$4:$AR$4,1,AH$3-Projects!$C$17+1),0)-IF(AND(Projects!$G$17="Yes",AH$3&gt;=Projects!$C$17,AH$3&lt;Projects!$C$17+Projects!$D$17),Projects!$B$17*(Assumptions!$B$10+Assumptions!$B$11+Assumptions!$B$12)/Projects!$D$17*0.95,0)-IF(AND(Projects!$G$17="Yes",AH$3=Projects!$C$17+Projects!$D$17-1),Projects!$B$17*(Assumptions!$B$10+Assumptions!$B$11+Assumptions!$B$12)*0.05,0)</f>
        <v>0</v>
      </c>
      <c r="AI26" s="30" t="n">
        <f aca="false">IF(AND(Projects!$G$17="Yes",AI$3&gt;=Projects!$C$17,AI$3&lt;Projects!$C$17+Projects!$D$17),Projects!$B$17*INDEX(Curves!$B$4:$AR$4,1,AI$3-Projects!$C$17+1),0)-IF(AND(Projects!$G$17="Yes",AI$3&gt;=Projects!$C$17,AI$3&lt;Projects!$C$17+Projects!$D$17),Projects!$B$17*(Assumptions!$B$10+Assumptions!$B$11+Assumptions!$B$12)/Projects!$D$17*0.95,0)-IF(AND(Projects!$G$17="Yes",AI$3=Projects!$C$17+Projects!$D$17-1),Projects!$B$17*(Assumptions!$B$10+Assumptions!$B$11+Assumptions!$B$12)*0.05,0)</f>
        <v>0</v>
      </c>
      <c r="AJ26" s="30" t="n">
        <f aca="false">IF(AND(Projects!$G$17="Yes",AJ$3&gt;=Projects!$C$17,AJ$3&lt;Projects!$C$17+Projects!$D$17),Projects!$B$17*INDEX(Curves!$B$4:$AR$4,1,AJ$3-Projects!$C$17+1),0)-IF(AND(Projects!$G$17="Yes",AJ$3&gt;=Projects!$C$17,AJ$3&lt;Projects!$C$17+Projects!$D$17),Projects!$B$17*(Assumptions!$B$10+Assumptions!$B$11+Assumptions!$B$12)/Projects!$D$17*0.95,0)-IF(AND(Projects!$G$17="Yes",AJ$3=Projects!$C$17+Projects!$D$17-1),Projects!$B$17*(Assumptions!$B$10+Assumptions!$B$11+Assumptions!$B$12)*0.05,0)</f>
        <v>0</v>
      </c>
      <c r="AK26" s="30" t="n">
        <f aca="false">IF(AND(Projects!$G$17="Yes",AK$3&gt;=Projects!$C$17,AK$3&lt;Projects!$C$17+Projects!$D$17),Projects!$B$17*INDEX(Curves!$B$4:$AR$4,1,AK$3-Projects!$C$17+1),0)-IF(AND(Projects!$G$17="Yes",AK$3&gt;=Projects!$C$17,AK$3&lt;Projects!$C$17+Projects!$D$17),Projects!$B$17*(Assumptions!$B$10+Assumptions!$B$11+Assumptions!$B$12)/Projects!$D$17*0.95,0)-IF(AND(Projects!$G$17="Yes",AK$3=Projects!$C$17+Projects!$D$17-1),Projects!$B$17*(Assumptions!$B$10+Assumptions!$B$11+Assumptions!$B$12)*0.05,0)</f>
        <v>0</v>
      </c>
      <c r="AL26" s="30" t="n">
        <f aca="false">IF(AND(Projects!$G$17="Yes",AL$3&gt;=Projects!$C$17,AL$3&lt;Projects!$C$17+Projects!$D$17),Projects!$B$17*INDEX(Curves!$B$4:$AR$4,1,AL$3-Projects!$C$17+1),0)-IF(AND(Projects!$G$17="Yes",AL$3&gt;=Projects!$C$17,AL$3&lt;Projects!$C$17+Projects!$D$17),Projects!$B$17*(Assumptions!$B$10+Assumptions!$B$11+Assumptions!$B$12)/Projects!$D$17*0.95,0)-IF(AND(Projects!$G$17="Yes",AL$3=Projects!$C$17+Projects!$D$17-1),Projects!$B$17*(Assumptions!$B$10+Assumptions!$B$11+Assumptions!$B$12)*0.05,0)</f>
        <v>0</v>
      </c>
      <c r="AM26" s="30" t="n">
        <f aca="false">IF(AND(Projects!$G$17="Yes",AM$3&gt;=Projects!$C$17,AM$3&lt;Projects!$C$17+Projects!$D$17),Projects!$B$17*INDEX(Curves!$B$4:$AR$4,1,AM$3-Projects!$C$17+1),0)-IF(AND(Projects!$G$17="Yes",AM$3&gt;=Projects!$C$17,AM$3&lt;Projects!$C$17+Projects!$D$17),Projects!$B$17*(Assumptions!$B$10+Assumptions!$B$11+Assumptions!$B$12)/Projects!$D$17*0.95,0)-IF(AND(Projects!$G$17="Yes",AM$3=Projects!$C$17+Projects!$D$17-1),Projects!$B$17*(Assumptions!$B$10+Assumptions!$B$11+Assumptions!$B$12)*0.05,0)</f>
        <v>0</v>
      </c>
      <c r="AN26" s="30" t="n">
        <f aca="false">IF(AND(Projects!$G$17="Yes",AN$3&gt;=Projects!$C$17,AN$3&lt;Projects!$C$17+Projects!$D$17),Projects!$B$17*INDEX(Curves!$B$4:$AR$4,1,AN$3-Projects!$C$17+1),0)-IF(AND(Projects!$G$17="Yes",AN$3&gt;=Projects!$C$17,AN$3&lt;Projects!$C$17+Projects!$D$17),Projects!$B$17*(Assumptions!$B$10+Assumptions!$B$11+Assumptions!$B$12)/Projects!$D$17*0.95,0)-IF(AND(Projects!$G$17="Yes",AN$3=Projects!$C$17+Projects!$D$17-1),Projects!$B$17*(Assumptions!$B$10+Assumptions!$B$11+Assumptions!$B$12)*0.05,0)</f>
        <v>0</v>
      </c>
      <c r="AO26" s="30" t="n">
        <f aca="false">IF(AND(Projects!$G$17="Yes",AO$3&gt;=Projects!$C$17,AO$3&lt;Projects!$C$17+Projects!$D$17),Projects!$B$17*INDEX(Curves!$B$4:$AR$4,1,AO$3-Projects!$C$17+1),0)-IF(AND(Projects!$G$17="Yes",AO$3&gt;=Projects!$C$17,AO$3&lt;Projects!$C$17+Projects!$D$17),Projects!$B$17*(Assumptions!$B$10+Assumptions!$B$11+Assumptions!$B$12)/Projects!$D$17*0.95,0)-IF(AND(Projects!$G$17="Yes",AO$3=Projects!$C$17+Projects!$D$17-1),Projects!$B$17*(Assumptions!$B$10+Assumptions!$B$11+Assumptions!$B$12)*0.05,0)</f>
        <v>0</v>
      </c>
      <c r="AP26" s="30" t="n">
        <f aca="false">IF(AND(Projects!$G$17="Yes",AP$3&gt;=Projects!$C$17,AP$3&lt;Projects!$C$17+Projects!$D$17),Projects!$B$17*INDEX(Curves!$B$4:$AR$4,1,AP$3-Projects!$C$17+1),0)-IF(AND(Projects!$G$17="Yes",AP$3&gt;=Projects!$C$17,AP$3&lt;Projects!$C$17+Projects!$D$17),Projects!$B$17*(Assumptions!$B$10+Assumptions!$B$11+Assumptions!$B$12)/Projects!$D$17*0.95,0)-IF(AND(Projects!$G$17="Yes",AP$3=Projects!$C$17+Projects!$D$17-1),Projects!$B$17*(Assumptions!$B$10+Assumptions!$B$11+Assumptions!$B$12)*0.05,0)</f>
        <v>0</v>
      </c>
      <c r="AQ26" s="30" t="n">
        <f aca="false">IF(AND(Projects!$G$17="Yes",AQ$3&gt;=Projects!$C$17,AQ$3&lt;Projects!$C$17+Projects!$D$17),Projects!$B$17*INDEX(Curves!$B$4:$AR$4,1,AQ$3-Projects!$C$17+1),0)-IF(AND(Projects!$G$17="Yes",AQ$3&gt;=Projects!$C$17,AQ$3&lt;Projects!$C$17+Projects!$D$17),Projects!$B$17*(Assumptions!$B$10+Assumptions!$B$11+Assumptions!$B$12)/Projects!$D$17*0.95,0)-IF(AND(Projects!$G$17="Yes",AQ$3=Projects!$C$17+Projects!$D$17-1),Projects!$B$17*(Assumptions!$B$10+Assumptions!$B$11+Assumptions!$B$12)*0.05,0)</f>
        <v>0</v>
      </c>
      <c r="AR26" s="30" t="n">
        <f aca="false">IF(AND(Projects!$G$17="Yes",AR$3&gt;=Projects!$C$17,AR$3&lt;Projects!$C$17+Projects!$D$17),Projects!$B$17*INDEX(Curves!$B$4:$AR$4,1,AR$3-Projects!$C$17+1),0)-IF(AND(Projects!$G$17="Yes",AR$3&gt;=Projects!$C$17,AR$3&lt;Projects!$C$17+Projects!$D$17),Projects!$B$17*(Assumptions!$B$10+Assumptions!$B$11+Assumptions!$B$12)/Projects!$D$17*0.95,0)-IF(AND(Projects!$G$17="Yes",AR$3=Projects!$C$17+Projects!$D$17-1),Projects!$B$17*(Assumptions!$B$10+Assumptions!$B$11+Assumptions!$B$12)*0.05,0)</f>
        <v>0</v>
      </c>
      <c r="AS26" s="30" t="n">
        <f aca="false">IF(AND(Projects!$G$17="Yes",AS$3&gt;=Projects!$C$17,AS$3&lt;Projects!$C$17+Projects!$D$17),Projects!$B$17*INDEX(Curves!$B$4:$AR$4,1,AS$3-Projects!$C$17+1),0)-IF(AND(Projects!$G$17="Yes",AS$3&gt;=Projects!$C$17,AS$3&lt;Projects!$C$17+Projects!$D$17),Projects!$B$17*(Assumptions!$B$10+Assumptions!$B$11+Assumptions!$B$12)/Projects!$D$17*0.95,0)-IF(AND(Projects!$G$17="Yes",AS$3=Projects!$C$17+Projects!$D$17-1),Projects!$B$17*(Assumptions!$B$10+Assumptions!$B$11+Assumptions!$B$12)*0.05,0)</f>
        <v>0</v>
      </c>
      <c r="AT26" s="30" t="n">
        <f aca="false">IF(AND(Projects!$G$17="Yes",AT$3&gt;=Projects!$C$17,AT$3&lt;Projects!$C$17+Projects!$D$17),Projects!$B$17*INDEX(Curves!$B$4:$AR$4,1,AT$3-Projects!$C$17+1),0)-IF(AND(Projects!$G$17="Yes",AT$3&gt;=Projects!$C$17,AT$3&lt;Projects!$C$17+Projects!$D$17),Projects!$B$17*(Assumptions!$B$10+Assumptions!$B$11+Assumptions!$B$12)/Projects!$D$17*0.95,0)-IF(AND(Projects!$G$17="Yes",AT$3=Projects!$C$17+Projects!$D$17-1),Projects!$B$17*(Assumptions!$B$10+Assumptions!$B$11+Assumptions!$B$12)*0.05,0)</f>
        <v>0</v>
      </c>
      <c r="AU26" s="30" t="n">
        <f aca="false">IF(AND(Projects!$G$17="Yes",AU$3&gt;=Projects!$C$17,AU$3&lt;Projects!$C$17+Projects!$D$17),Projects!$B$17*INDEX(Curves!$B$4:$AR$4,1,AU$3-Projects!$C$17+1),0)-IF(AND(Projects!$G$17="Yes",AU$3&gt;=Projects!$C$17,AU$3&lt;Projects!$C$17+Projects!$D$17),Projects!$B$17*(Assumptions!$B$10+Assumptions!$B$11+Assumptions!$B$12)/Projects!$D$17*0.95,0)-IF(AND(Projects!$G$17="Yes",AU$3=Projects!$C$17+Projects!$D$17-1),Projects!$B$17*(Assumptions!$B$10+Assumptions!$B$11+Assumptions!$B$12)*0.05,0)</f>
        <v>0</v>
      </c>
      <c r="AV26" s="30" t="n">
        <f aca="false">IF(AND(Projects!$G$17="Yes",AV$3&gt;=Projects!$C$17,AV$3&lt;Projects!$C$17+Projects!$D$17),Projects!$B$17*INDEX(Curves!$B$4:$AR$4,1,AV$3-Projects!$C$17+1),0)-IF(AND(Projects!$G$17="Yes",AV$3&gt;=Projects!$C$17,AV$3&lt;Projects!$C$17+Projects!$D$17),Projects!$B$17*(Assumptions!$B$10+Assumptions!$B$11+Assumptions!$B$12)/Projects!$D$17*0.95,0)-IF(AND(Projects!$G$17="Yes",AV$3=Projects!$C$17+Projects!$D$17-1),Projects!$B$17*(Assumptions!$B$10+Assumptions!$B$11+Assumptions!$B$12)*0.05,0)</f>
        <v>0</v>
      </c>
      <c r="AW26" s="30" t="n">
        <f aca="false">IF(AND(Projects!$G$17="Yes",AW$3&gt;=Projects!$C$17,AW$3&lt;Projects!$C$17+Projects!$D$17),Projects!$B$17*INDEX(Curves!$B$4:$AR$4,1,AW$3-Projects!$C$17+1),0)-IF(AND(Projects!$G$17="Yes",AW$3&gt;=Projects!$C$17,AW$3&lt;Projects!$C$17+Projects!$D$17),Projects!$B$17*(Assumptions!$B$10+Assumptions!$B$11+Assumptions!$B$12)/Projects!$D$17*0.95,0)-IF(AND(Projects!$G$17="Yes",AW$3=Projects!$C$17+Projects!$D$17-1),Projects!$B$17*(Assumptions!$B$10+Assumptions!$B$11+Assumptions!$B$12)*0.05,0)</f>
        <v>0</v>
      </c>
      <c r="AX26" s="30" t="n">
        <f aca="false">IF(AND(Projects!$G$17="Yes",AX$3&gt;=Projects!$C$17,AX$3&lt;Projects!$C$17+Projects!$D$17),Projects!$B$17*INDEX(Curves!$B$4:$AR$4,1,AX$3-Projects!$C$17+1),0)-IF(AND(Projects!$G$17="Yes",AX$3&gt;=Projects!$C$17,AX$3&lt;Projects!$C$17+Projects!$D$17),Projects!$B$17*(Assumptions!$B$10+Assumptions!$B$11+Assumptions!$B$12)/Projects!$D$17*0.95,0)-IF(AND(Projects!$G$17="Yes",AX$3=Projects!$C$17+Projects!$D$17-1),Projects!$B$17*(Assumptions!$B$10+Assumptions!$B$11+Assumptions!$B$12)*0.05,0)</f>
        <v>0</v>
      </c>
      <c r="AY26" s="30" t="n">
        <f aca="false">IF(AND(Projects!$G$17="Yes",AY$3&gt;=Projects!$C$17,AY$3&lt;Projects!$C$17+Projects!$D$17),Projects!$B$17*INDEX(Curves!$B$4:$AR$4,1,AY$3-Projects!$C$17+1),0)-IF(AND(Projects!$G$17="Yes",AY$3&gt;=Projects!$C$17,AY$3&lt;Projects!$C$17+Projects!$D$17),Projects!$B$17*(Assumptions!$B$10+Assumptions!$B$11+Assumptions!$B$12)/Projects!$D$17*0.95,0)-IF(AND(Projects!$G$17="Yes",AY$3=Projects!$C$17+Projects!$D$17-1),Projects!$B$17*(Assumptions!$B$10+Assumptions!$B$11+Assumptions!$B$12)*0.05,0)</f>
        <v>0</v>
      </c>
      <c r="AZ26" s="30" t="n">
        <f aca="false">IF(AND(Projects!$G$17="Yes",AZ$3&gt;=Projects!$C$17,AZ$3&lt;Projects!$C$17+Projects!$D$17),Projects!$B$17*INDEX(Curves!$B$4:$AR$4,1,AZ$3-Projects!$C$17+1),0)-IF(AND(Projects!$G$17="Yes",AZ$3&gt;=Projects!$C$17,AZ$3&lt;Projects!$C$17+Projects!$D$17),Projects!$B$17*(Assumptions!$B$10+Assumptions!$B$11+Assumptions!$B$12)/Projects!$D$17*0.95,0)-IF(AND(Projects!$G$17="Yes",AZ$3=Projects!$C$17+Projects!$D$17-1),Projects!$B$17*(Assumptions!$B$10+Assumptions!$B$11+Assumptions!$B$12)*0.05,0)</f>
        <v>0</v>
      </c>
      <c r="BA26" s="30" t="n">
        <f aca="false">IF(AND(Projects!$G$17="Yes",BA$3&gt;=Projects!$C$17,BA$3&lt;Projects!$C$17+Projects!$D$17),Projects!$B$17*INDEX(Curves!$B$4:$AR$4,1,BA$3-Projects!$C$17+1),0)-IF(AND(Projects!$G$17="Yes",BA$3&gt;=Projects!$C$17,BA$3&lt;Projects!$C$17+Projects!$D$17),Projects!$B$17*(Assumptions!$B$10+Assumptions!$B$11+Assumptions!$B$12)/Projects!$D$17*0.95,0)-IF(AND(Projects!$G$17="Yes",BA$3=Projects!$C$17+Projects!$D$17-1),Projects!$B$17*(Assumptions!$B$10+Assumptions!$B$11+Assumptions!$B$12)*0.05,0)</f>
        <v>0</v>
      </c>
      <c r="BB26" s="30" t="n">
        <f aca="false">IF(AND(Projects!$G$17="Yes",BB$3&gt;=Projects!$C$17,BB$3&lt;Projects!$C$17+Projects!$D$17),Projects!$B$17*INDEX(Curves!$B$4:$AR$4,1,BB$3-Projects!$C$17+1),0)-IF(AND(Projects!$G$17="Yes",BB$3&gt;=Projects!$C$17,BB$3&lt;Projects!$C$17+Projects!$D$17),Projects!$B$17*(Assumptions!$B$10+Assumptions!$B$11+Assumptions!$B$12)/Projects!$D$17*0.95,0)-IF(AND(Projects!$G$17="Yes",BB$3=Projects!$C$17+Projects!$D$17-1),Projects!$B$17*(Assumptions!$B$10+Assumptions!$B$11+Assumptions!$B$12)*0.05,0)</f>
        <v>0</v>
      </c>
      <c r="BC26" s="30" t="n">
        <f aca="false">IF(AND(Projects!$G$17="Yes",BC$3&gt;=Projects!$C$17,BC$3&lt;Projects!$C$17+Projects!$D$17),Projects!$B$17*INDEX(Curves!$B$4:$AR$4,1,BC$3-Projects!$C$17+1),0)-IF(AND(Projects!$G$17="Yes",BC$3&gt;=Projects!$C$17,BC$3&lt;Projects!$C$17+Projects!$D$17),Projects!$B$17*(Assumptions!$B$10+Assumptions!$B$11+Assumptions!$B$12)/Projects!$D$17*0.95,0)-IF(AND(Projects!$G$17="Yes",BC$3=Projects!$C$17+Projects!$D$17-1),Projects!$B$17*(Assumptions!$B$10+Assumptions!$B$11+Assumptions!$B$12)*0.05,0)</f>
        <v>0</v>
      </c>
      <c r="BD26" s="30" t="n">
        <f aca="false">IF(AND(Projects!$G$17="Yes",BD$3&gt;=Projects!$C$17,BD$3&lt;Projects!$C$17+Projects!$D$17),Projects!$B$17*INDEX(Curves!$B$4:$AR$4,1,BD$3-Projects!$C$17+1),0)-IF(AND(Projects!$G$17="Yes",BD$3&gt;=Projects!$C$17,BD$3&lt;Projects!$C$17+Projects!$D$17),Projects!$B$17*(Assumptions!$B$10+Assumptions!$B$11+Assumptions!$B$12)/Projects!$D$17*0.95,0)-IF(AND(Projects!$G$17="Yes",BD$3=Projects!$C$17+Projects!$D$17-1),Projects!$B$17*(Assumptions!$B$10+Assumptions!$B$11+Assumptions!$B$12)*0.05,0)</f>
        <v>0</v>
      </c>
      <c r="BE26" s="30" t="n">
        <f aca="false">IF(AND(Projects!$G$17="Yes",BE$3&gt;=Projects!$C$17,BE$3&lt;Projects!$C$17+Projects!$D$17),Projects!$B$17*INDEX(Curves!$B$4:$AR$4,1,BE$3-Projects!$C$17+1),0)-IF(AND(Projects!$G$17="Yes",BE$3&gt;=Projects!$C$17,BE$3&lt;Projects!$C$17+Projects!$D$17),Projects!$B$17*(Assumptions!$B$10+Assumptions!$B$11+Assumptions!$B$12)/Projects!$D$17*0.95,0)-IF(AND(Projects!$G$17="Yes",BE$3=Projects!$C$17+Projects!$D$17-1),Projects!$B$17*(Assumptions!$B$10+Assumptions!$B$11+Assumptions!$B$12)*0.05,0)</f>
        <v>0</v>
      </c>
      <c r="BF26" s="30" t="n">
        <f aca="false">IF(AND(Projects!$G$17="Yes",BF$3&gt;=Projects!$C$17,BF$3&lt;Projects!$C$17+Projects!$D$17),Projects!$B$17*INDEX(Curves!$B$4:$AR$4,1,BF$3-Projects!$C$17+1),0)-IF(AND(Projects!$G$17="Yes",BF$3&gt;=Projects!$C$17,BF$3&lt;Projects!$C$17+Projects!$D$17),Projects!$B$17*(Assumptions!$B$10+Assumptions!$B$11+Assumptions!$B$12)/Projects!$D$17*0.95,0)-IF(AND(Projects!$G$17="Yes",BF$3=Projects!$C$17+Projects!$D$17-1),Projects!$B$17*(Assumptions!$B$10+Assumptions!$B$11+Assumptions!$B$12)*0.05,0)</f>
        <v>0</v>
      </c>
      <c r="BG26" s="30" t="n">
        <f aca="false">IF(AND(Projects!$G$17="Yes",BG$3&gt;=Projects!$C$17,BG$3&lt;Projects!$C$17+Projects!$D$17),Projects!$B$17*INDEX(Curves!$B$4:$AR$4,1,BG$3-Projects!$C$17+1),0)-IF(AND(Projects!$G$17="Yes",BG$3&gt;=Projects!$C$17,BG$3&lt;Projects!$C$17+Projects!$D$17),Projects!$B$17*(Assumptions!$B$10+Assumptions!$B$11+Assumptions!$B$12)/Projects!$D$17*0.95,0)-IF(AND(Projects!$G$17="Yes",BG$3=Projects!$C$17+Projects!$D$17-1),Projects!$B$17*(Assumptions!$B$10+Assumptions!$B$11+Assumptions!$B$12)*0.05,0)</f>
        <v>0</v>
      </c>
      <c r="BH26" s="30" t="n">
        <f aca="false">IF(AND(Projects!$G$17="Yes",BH$3&gt;=Projects!$C$17,BH$3&lt;Projects!$C$17+Projects!$D$17),Projects!$B$17*INDEX(Curves!$B$4:$AR$4,1,BH$3-Projects!$C$17+1),0)-IF(AND(Projects!$G$17="Yes",BH$3&gt;=Projects!$C$17,BH$3&lt;Projects!$C$17+Projects!$D$17),Projects!$B$17*(Assumptions!$B$10+Assumptions!$B$11+Assumptions!$B$12)/Projects!$D$17*0.95,0)-IF(AND(Projects!$G$17="Yes",BH$3=Projects!$C$17+Projects!$D$17-1),Projects!$B$17*(Assumptions!$B$10+Assumptions!$B$11+Assumptions!$B$12)*0.05,0)</f>
        <v>0</v>
      </c>
      <c r="BI26" s="30" t="n">
        <f aca="false">IF(AND(Projects!$G$17="Yes",BI$3&gt;=Projects!$C$17,BI$3&lt;Projects!$C$17+Projects!$D$17),Projects!$B$17*INDEX(Curves!$B$4:$AR$4,1,BI$3-Projects!$C$17+1),0)-IF(AND(Projects!$G$17="Yes",BI$3&gt;=Projects!$C$17,BI$3&lt;Projects!$C$17+Projects!$D$17),Projects!$B$17*(Assumptions!$B$10+Assumptions!$B$11+Assumptions!$B$12)/Projects!$D$17*0.95,0)-IF(AND(Projects!$G$17="Yes",BI$3=Projects!$C$17+Projects!$D$17-1),Projects!$B$17*(Assumptions!$B$10+Assumptions!$B$11+Assumptions!$B$12)*0.05,0)</f>
        <v>0</v>
      </c>
      <c r="BJ26" s="30" t="n">
        <f aca="false">IF(AND(Projects!$G$17="Yes",BJ$3&gt;=Projects!$C$17,BJ$3&lt;Projects!$C$17+Projects!$D$17),Projects!$B$17*INDEX(Curves!$B$4:$AR$4,1,BJ$3-Projects!$C$17+1),0)-IF(AND(Projects!$G$17="Yes",BJ$3&gt;=Projects!$C$17,BJ$3&lt;Projects!$C$17+Projects!$D$17),Projects!$B$17*(Assumptions!$B$10+Assumptions!$B$11+Assumptions!$B$12)/Projects!$D$17*0.95,0)-IF(AND(Projects!$G$17="Yes",BJ$3=Projects!$C$17+Projects!$D$17-1),Projects!$B$17*(Assumptions!$B$10+Assumptions!$B$11+Assumptions!$B$12)*0.05,0)</f>
        <v>0</v>
      </c>
      <c r="BK26" s="30" t="n">
        <f aca="false">IF(AND(Projects!$G$17="Yes",BK$3&gt;=Projects!$C$17,BK$3&lt;Projects!$C$17+Projects!$D$17),Projects!$B$17*INDEX(Curves!$B$4:$AR$4,1,BK$3-Projects!$C$17+1),0)-IF(AND(Projects!$G$17="Yes",BK$3&gt;=Projects!$C$17,BK$3&lt;Projects!$C$17+Projects!$D$17),Projects!$B$17*(Assumptions!$B$10+Assumptions!$B$11+Assumptions!$B$12)/Projects!$D$17*0.95,0)-IF(AND(Projects!$G$17="Yes",BK$3=Projects!$C$17+Projects!$D$17-1),Projects!$B$17*(Assumptions!$B$10+Assumptions!$B$11+Assumptions!$B$12)*0.05,0)</f>
        <v>0</v>
      </c>
      <c r="BL26" s="30" t="n">
        <f aca="false">IF(AND(Projects!$G$17="Yes",BL$3&gt;=Projects!$C$17,BL$3&lt;Projects!$C$17+Projects!$D$17),Projects!$B$17*INDEX(Curves!$B$4:$AR$4,1,BL$3-Projects!$C$17+1),0)-IF(AND(Projects!$G$17="Yes",BL$3&gt;=Projects!$C$17,BL$3&lt;Projects!$C$17+Projects!$D$17),Projects!$B$17*(Assumptions!$B$10+Assumptions!$B$11+Assumptions!$B$12)/Projects!$D$17*0.95,0)-IF(AND(Projects!$G$17="Yes",BL$3=Projects!$C$17+Projects!$D$17-1),Projects!$B$17*(Assumptions!$B$10+Assumptions!$B$11+Assumptions!$B$12)*0.05,0)</f>
        <v>0</v>
      </c>
      <c r="BM26" s="30" t="n">
        <f aca="false">IF(AND(Projects!$G$17="Yes",BM$3&gt;=Projects!$C$17,BM$3&lt;Projects!$C$17+Projects!$D$17),Projects!$B$17*INDEX(Curves!$B$4:$AR$4,1,BM$3-Projects!$C$17+1),0)-IF(AND(Projects!$G$17="Yes",BM$3&gt;=Projects!$C$17,BM$3&lt;Projects!$C$17+Projects!$D$17),Projects!$B$17*(Assumptions!$B$10+Assumptions!$B$11+Assumptions!$B$12)/Projects!$D$17*0.95,0)-IF(AND(Projects!$G$17="Yes",BM$3=Projects!$C$17+Projects!$D$17-1),Projects!$B$17*(Assumptions!$B$10+Assumptions!$B$11+Assumptions!$B$12)*0.05,0)</f>
        <v>0</v>
      </c>
      <c r="BN26" s="30" t="n">
        <f aca="false">IF(AND(Projects!$G$17="Yes",BN$3&gt;=Projects!$C$17,BN$3&lt;Projects!$C$17+Projects!$D$17),Projects!$B$17*INDEX(Curves!$B$4:$AR$4,1,BN$3-Projects!$C$17+1),0)-IF(AND(Projects!$G$17="Yes",BN$3&gt;=Projects!$C$17,BN$3&lt;Projects!$C$17+Projects!$D$17),Projects!$B$17*(Assumptions!$B$10+Assumptions!$B$11+Assumptions!$B$12)/Projects!$D$17*0.95,0)-IF(AND(Projects!$G$17="Yes",BN$3=Projects!$C$17+Projects!$D$17-1),Projects!$B$17*(Assumptions!$B$10+Assumptions!$B$11+Assumptions!$B$12)*0.05,0)</f>
        <v>0</v>
      </c>
      <c r="BO26" s="30" t="n">
        <f aca="false">IF(AND(Projects!$G$17="Yes",BO$3&gt;=Projects!$C$17,BO$3&lt;Projects!$C$17+Projects!$D$17),Projects!$B$17*INDEX(Curves!$B$4:$AR$4,1,BO$3-Projects!$C$17+1),0)-IF(AND(Projects!$G$17="Yes",BO$3&gt;=Projects!$C$17,BO$3&lt;Projects!$C$17+Projects!$D$17),Projects!$B$17*(Assumptions!$B$10+Assumptions!$B$11+Assumptions!$B$12)/Projects!$D$17*0.95,0)-IF(AND(Projects!$G$17="Yes",BO$3=Projects!$C$17+Projects!$D$17-1),Projects!$B$17*(Assumptions!$B$10+Assumptions!$B$11+Assumptions!$B$12)*0.05,0)</f>
        <v>0</v>
      </c>
      <c r="BP26" s="30" t="n">
        <f aca="false">IF(AND(Projects!$G$17="Yes",BP$3&gt;=Projects!$C$17,BP$3&lt;Projects!$C$17+Projects!$D$17),Projects!$B$17*INDEX(Curves!$B$4:$AR$4,1,BP$3-Projects!$C$17+1),0)-IF(AND(Projects!$G$17="Yes",BP$3&gt;=Projects!$C$17,BP$3&lt;Projects!$C$17+Projects!$D$17),Projects!$B$17*(Assumptions!$B$10+Assumptions!$B$11+Assumptions!$B$12)/Projects!$D$17*0.95,0)-IF(AND(Projects!$G$17="Yes",BP$3=Projects!$C$17+Projects!$D$17-1),Projects!$B$17*(Assumptions!$B$10+Assumptions!$B$11+Assumptions!$B$12)*0.05,0)</f>
        <v>0</v>
      </c>
      <c r="BQ26" s="30" t="n">
        <f aca="false">IF(AND(Projects!$G$17="Yes",BQ$3&gt;=Projects!$C$17,BQ$3&lt;Projects!$C$17+Projects!$D$17),Projects!$B$17*INDEX(Curves!$B$4:$AR$4,1,BQ$3-Projects!$C$17+1),0)-IF(AND(Projects!$G$17="Yes",BQ$3&gt;=Projects!$C$17,BQ$3&lt;Projects!$C$17+Projects!$D$17),Projects!$B$17*(Assumptions!$B$10+Assumptions!$B$11+Assumptions!$B$12)/Projects!$D$17*0.95,0)-IF(AND(Projects!$G$17="Yes",BQ$3=Projects!$C$17+Projects!$D$17-1),Projects!$B$17*(Assumptions!$B$10+Assumptions!$B$11+Assumptions!$B$12)*0.05,0)</f>
        <v>0</v>
      </c>
      <c r="BR26" s="30" t="n">
        <f aca="false">IF(AND(Projects!$G$17="Yes",BR$3&gt;=Projects!$C$17,BR$3&lt;Projects!$C$17+Projects!$D$17),Projects!$B$17*INDEX(Curves!$B$4:$AR$4,1,BR$3-Projects!$C$17+1),0)-IF(AND(Projects!$G$17="Yes",BR$3&gt;=Projects!$C$17,BR$3&lt;Projects!$C$17+Projects!$D$17),Projects!$B$17*(Assumptions!$B$10+Assumptions!$B$11+Assumptions!$B$12)/Projects!$D$17*0.95,0)-IF(AND(Projects!$G$17="Yes",BR$3=Projects!$C$17+Projects!$D$17-1),Projects!$B$17*(Assumptions!$B$10+Assumptions!$B$11+Assumptions!$B$12)*0.05,0)</f>
        <v>0</v>
      </c>
      <c r="BS26" s="30" t="n">
        <f aca="false">IF(AND(Projects!$G$17="Yes",BS$3&gt;=Projects!$C$17,BS$3&lt;Projects!$C$17+Projects!$D$17),Projects!$B$17*INDEX(Curves!$B$4:$AR$4,1,BS$3-Projects!$C$17+1),0)-IF(AND(Projects!$G$17="Yes",BS$3&gt;=Projects!$C$17,BS$3&lt;Projects!$C$17+Projects!$D$17),Projects!$B$17*(Assumptions!$B$10+Assumptions!$B$11+Assumptions!$B$12)/Projects!$D$17*0.95,0)-IF(AND(Projects!$G$17="Yes",BS$3=Projects!$C$17+Projects!$D$17-1),Projects!$B$17*(Assumptions!$B$10+Assumptions!$B$11+Assumptions!$B$12)*0.05,0)</f>
        <v>0</v>
      </c>
      <c r="BT26" s="30" t="n">
        <f aca="false">IF(AND(Projects!$G$17="Yes",BT$3&gt;=Projects!$C$17,BT$3&lt;Projects!$C$17+Projects!$D$17),Projects!$B$17*INDEX(Curves!$B$4:$AR$4,1,BT$3-Projects!$C$17+1),0)-IF(AND(Projects!$G$17="Yes",BT$3&gt;=Projects!$C$17,BT$3&lt;Projects!$C$17+Projects!$D$17),Projects!$B$17*(Assumptions!$B$10+Assumptions!$B$11+Assumptions!$B$12)/Projects!$D$17*0.95,0)-IF(AND(Projects!$G$17="Yes",BT$3=Projects!$C$17+Projects!$D$17-1),Projects!$B$17*(Assumptions!$B$10+Assumptions!$B$11+Assumptions!$B$12)*0.05,0)</f>
        <v>0</v>
      </c>
      <c r="BU26" s="30" t="n">
        <f aca="false">IF(AND(Projects!$G$17="Yes",BU$3&gt;=Projects!$C$17,BU$3&lt;Projects!$C$17+Projects!$D$17),Projects!$B$17*INDEX(Curves!$B$4:$AR$4,1,BU$3-Projects!$C$17+1),0)-IF(AND(Projects!$G$17="Yes",BU$3&gt;=Projects!$C$17,BU$3&lt;Projects!$C$17+Projects!$D$17),Projects!$B$17*(Assumptions!$B$10+Assumptions!$B$11+Assumptions!$B$12)/Projects!$D$17*0.95,0)-IF(AND(Projects!$G$17="Yes",BU$3=Projects!$C$17+Projects!$D$17-1),Projects!$B$17*(Assumptions!$B$10+Assumptions!$B$11+Assumptions!$B$12)*0.05,0)</f>
        <v>0</v>
      </c>
      <c r="BV26" s="30" t="n">
        <f aca="false">IF(AND(Projects!$G$17="Yes",BV$3&gt;=Projects!$C$17,BV$3&lt;Projects!$C$17+Projects!$D$17),Projects!$B$17*INDEX(Curves!$B$4:$AR$4,1,BV$3-Projects!$C$17+1),0)-IF(AND(Projects!$G$17="Yes",BV$3&gt;=Projects!$C$17,BV$3&lt;Projects!$C$17+Projects!$D$17),Projects!$B$17*(Assumptions!$B$10+Assumptions!$B$11+Assumptions!$B$12)/Projects!$D$17*0.95,0)-IF(AND(Projects!$G$17="Yes",BV$3=Projects!$C$17+Projects!$D$17-1),Projects!$B$17*(Assumptions!$B$10+Assumptions!$B$11+Assumptions!$B$12)*0.05,0)</f>
        <v>0</v>
      </c>
      <c r="BW26" s="30" t="n">
        <f aca="false">IF(AND(Projects!$G$17="Yes",BW$3&gt;=Projects!$C$17,BW$3&lt;Projects!$C$17+Projects!$D$17),Projects!$B$17*INDEX(Curves!$B$4:$AR$4,1,BW$3-Projects!$C$17+1),0)-IF(AND(Projects!$G$17="Yes",BW$3&gt;=Projects!$C$17,BW$3&lt;Projects!$C$17+Projects!$D$17),Projects!$B$17*(Assumptions!$B$10+Assumptions!$B$11+Assumptions!$B$12)/Projects!$D$17*0.95,0)-IF(AND(Projects!$G$17="Yes",BW$3=Projects!$C$17+Projects!$D$17-1),Projects!$B$17*(Assumptions!$B$10+Assumptions!$B$11+Assumptions!$B$12)*0.05,0)</f>
        <v>0</v>
      </c>
      <c r="BX26" s="30" t="n">
        <f aca="false">IF(AND(Projects!$G$17="Yes",BX$3&gt;=Projects!$C$17,BX$3&lt;Projects!$C$17+Projects!$D$17),Projects!$B$17*INDEX(Curves!$B$4:$AR$4,1,BX$3-Projects!$C$17+1),0)-IF(AND(Projects!$G$17="Yes",BX$3&gt;=Projects!$C$17,BX$3&lt;Projects!$C$17+Projects!$D$17),Projects!$B$17*(Assumptions!$B$10+Assumptions!$B$11+Assumptions!$B$12)/Projects!$D$17*0.95,0)-IF(AND(Projects!$G$17="Yes",BX$3=Projects!$C$17+Projects!$D$17-1),Projects!$B$17*(Assumptions!$B$10+Assumptions!$B$11+Assumptions!$B$12)*0.05,0)</f>
        <v>0</v>
      </c>
      <c r="BY26" s="30" t="n">
        <f aca="false">IF(AND(Projects!$G$17="Yes",BY$3&gt;=Projects!$C$17,BY$3&lt;Projects!$C$17+Projects!$D$17),Projects!$B$17*INDEX(Curves!$B$4:$AR$4,1,BY$3-Projects!$C$17+1),0)-IF(AND(Projects!$G$17="Yes",BY$3&gt;=Projects!$C$17,BY$3&lt;Projects!$C$17+Projects!$D$17),Projects!$B$17*(Assumptions!$B$10+Assumptions!$B$11+Assumptions!$B$12)/Projects!$D$17*0.95,0)-IF(AND(Projects!$G$17="Yes",BY$3=Projects!$C$17+Projects!$D$17-1),Projects!$B$17*(Assumptions!$B$10+Assumptions!$B$11+Assumptions!$B$12)*0.05,0)</f>
        <v>0</v>
      </c>
      <c r="BZ26" s="30" t="n">
        <f aca="false">IF(AND(Projects!$G$17="Yes",BZ$3&gt;=Projects!$C$17,BZ$3&lt;Projects!$C$17+Projects!$D$17),Projects!$B$17*INDEX(Curves!$B$4:$AR$4,1,BZ$3-Projects!$C$17+1),0)-IF(AND(Projects!$G$17="Yes",BZ$3&gt;=Projects!$C$17,BZ$3&lt;Projects!$C$17+Projects!$D$17),Projects!$B$17*(Assumptions!$B$10+Assumptions!$B$11+Assumptions!$B$12)/Projects!$D$17*0.95,0)-IF(AND(Projects!$G$17="Yes",BZ$3=Projects!$C$17+Projects!$D$17-1),Projects!$B$17*(Assumptions!$B$10+Assumptions!$B$11+Assumptions!$B$12)*0.05,0)</f>
        <v>0</v>
      </c>
      <c r="CA26" s="30" t="n">
        <f aca="false">IF(AND(Projects!$G$17="Yes",CA$3&gt;=Projects!$C$17,CA$3&lt;Projects!$C$17+Projects!$D$17),Projects!$B$17*INDEX(Curves!$B$4:$AR$4,1,CA$3-Projects!$C$17+1),0)-IF(AND(Projects!$G$17="Yes",CA$3&gt;=Projects!$C$17,CA$3&lt;Projects!$C$17+Projects!$D$17),Projects!$B$17*(Assumptions!$B$10+Assumptions!$B$11+Assumptions!$B$12)/Projects!$D$17*0.95,0)-IF(AND(Projects!$G$17="Yes",CA$3=Projects!$C$17+Projects!$D$17-1),Projects!$B$17*(Assumptions!$B$10+Assumptions!$B$11+Assumptions!$B$12)*0.05,0)</f>
        <v>0</v>
      </c>
      <c r="CB26" s="30" t="n">
        <f aca="false">IF(AND(Projects!$G$17="Yes",CB$3&gt;=Projects!$C$17,CB$3&lt;Projects!$C$17+Projects!$D$17),Projects!$B$17*INDEX(Curves!$B$4:$AR$4,1,CB$3-Projects!$C$17+1),0)-IF(AND(Projects!$G$17="Yes",CB$3&gt;=Projects!$C$17,CB$3&lt;Projects!$C$17+Projects!$D$17),Projects!$B$17*(Assumptions!$B$10+Assumptions!$B$11+Assumptions!$B$12)/Projects!$D$17*0.95,0)-IF(AND(Projects!$G$17="Yes",CB$3=Projects!$C$17+Projects!$D$17-1),Projects!$B$17*(Assumptions!$B$10+Assumptions!$B$11+Assumptions!$B$12)*0.05,0)</f>
        <v>0</v>
      </c>
      <c r="CC26" s="30" t="n">
        <f aca="false">IF(AND(Projects!$G$17="Yes",CC$3&gt;=Projects!$C$17,CC$3&lt;Projects!$C$17+Projects!$D$17),Projects!$B$17*INDEX(Curves!$B$4:$AR$4,1,CC$3-Projects!$C$17+1),0)-IF(AND(Projects!$G$17="Yes",CC$3&gt;=Projects!$C$17,CC$3&lt;Projects!$C$17+Projects!$D$17),Projects!$B$17*(Assumptions!$B$10+Assumptions!$B$11+Assumptions!$B$12)/Projects!$D$17*0.95,0)-IF(AND(Projects!$G$17="Yes",CC$3=Projects!$C$17+Projects!$D$17-1),Projects!$B$17*(Assumptions!$B$10+Assumptions!$B$11+Assumptions!$B$12)*0.05,0)</f>
        <v>0</v>
      </c>
      <c r="CD26" s="30" t="n">
        <f aca="false">IF(AND(Projects!$G$17="Yes",CD$3&gt;=Projects!$C$17,CD$3&lt;Projects!$C$17+Projects!$D$17),Projects!$B$17*INDEX(Curves!$B$4:$AR$4,1,CD$3-Projects!$C$17+1),0)-IF(AND(Projects!$G$17="Yes",CD$3&gt;=Projects!$C$17,CD$3&lt;Projects!$C$17+Projects!$D$17),Projects!$B$17*(Assumptions!$B$10+Assumptions!$B$11+Assumptions!$B$12)/Projects!$D$17*0.95,0)-IF(AND(Projects!$G$17="Yes",CD$3=Projects!$C$17+Projects!$D$17-1),Projects!$B$17*(Assumptions!$B$10+Assumptions!$B$11+Assumptions!$B$12)*0.05,0)</f>
        <v>0</v>
      </c>
      <c r="CE26" s="30" t="n">
        <f aca="false">IF(AND(Projects!$G$17="Yes",CE$3&gt;=Projects!$C$17,CE$3&lt;Projects!$C$17+Projects!$D$17),Projects!$B$17*INDEX(Curves!$B$4:$AR$4,1,CE$3-Projects!$C$17+1),0)-IF(AND(Projects!$G$17="Yes",CE$3&gt;=Projects!$C$17,CE$3&lt;Projects!$C$17+Projects!$D$17),Projects!$B$17*(Assumptions!$B$10+Assumptions!$B$11+Assumptions!$B$12)/Projects!$D$17*0.95,0)-IF(AND(Projects!$G$17="Yes",CE$3=Projects!$C$17+Projects!$D$17-1),Projects!$B$17*(Assumptions!$B$10+Assumptions!$B$11+Assumptions!$B$12)*0.05,0)</f>
        <v>0</v>
      </c>
      <c r="CF26" s="30" t="n">
        <f aca="false">IF(AND(Projects!$G$17="Yes",CF$3&gt;=Projects!$C$17,CF$3&lt;Projects!$C$17+Projects!$D$17),Projects!$B$17*INDEX(Curves!$B$4:$AR$4,1,CF$3-Projects!$C$17+1),0)-IF(AND(Projects!$G$17="Yes",CF$3&gt;=Projects!$C$17,CF$3&lt;Projects!$C$17+Projects!$D$17),Projects!$B$17*(Assumptions!$B$10+Assumptions!$B$11+Assumptions!$B$12)/Projects!$D$17*0.95,0)-IF(AND(Projects!$G$17="Yes",CF$3=Projects!$C$17+Projects!$D$17-1),Projects!$B$17*(Assumptions!$B$10+Assumptions!$B$11+Assumptions!$B$12)*0.05,0)</f>
        <v>0</v>
      </c>
      <c r="CG26" s="30" t="n">
        <f aca="false">IF(AND(Projects!$G$17="Yes",CG$3&gt;=Projects!$C$17,CG$3&lt;Projects!$C$17+Projects!$D$17),Projects!$B$17*INDEX(Curves!$B$4:$AR$4,1,CG$3-Projects!$C$17+1),0)-IF(AND(Projects!$G$17="Yes",CG$3&gt;=Projects!$C$17,CG$3&lt;Projects!$C$17+Projects!$D$17),Projects!$B$17*(Assumptions!$B$10+Assumptions!$B$11+Assumptions!$B$12)/Projects!$D$17*0.95,0)-IF(AND(Projects!$G$17="Yes",CG$3=Projects!$C$17+Projects!$D$17-1),Projects!$B$17*(Assumptions!$B$10+Assumptions!$B$11+Assumptions!$B$12)*0.05,0)</f>
        <v>0</v>
      </c>
      <c r="CH26" s="30" t="n">
        <f aca="false">IF(AND(Projects!$G$17="Yes",CH$3&gt;=Projects!$C$17,CH$3&lt;Projects!$C$17+Projects!$D$17),Projects!$B$17*INDEX(Curves!$B$4:$AR$4,1,CH$3-Projects!$C$17+1),0)-IF(AND(Projects!$G$17="Yes",CH$3&gt;=Projects!$C$17,CH$3&lt;Projects!$C$17+Projects!$D$17),Projects!$B$17*(Assumptions!$B$10+Assumptions!$B$11+Assumptions!$B$12)/Projects!$D$17*0.95,0)-IF(AND(Projects!$G$17="Yes",CH$3=Projects!$C$17+Projects!$D$17-1),Projects!$B$17*(Assumptions!$B$10+Assumptions!$B$11+Assumptions!$B$12)*0.05,0)</f>
        <v>0</v>
      </c>
      <c r="CI26" s="30" t="n">
        <f aca="false">IF(AND(Projects!$G$17="Yes",CI$3&gt;=Projects!$C$17,CI$3&lt;Projects!$C$17+Projects!$D$17),Projects!$B$17*INDEX(Curves!$B$4:$AR$4,1,CI$3-Projects!$C$17+1),0)-IF(AND(Projects!$G$17="Yes",CI$3&gt;=Projects!$C$17,CI$3&lt;Projects!$C$17+Projects!$D$17),Projects!$B$17*(Assumptions!$B$10+Assumptions!$B$11+Assumptions!$B$12)/Projects!$D$17*0.95,0)-IF(AND(Projects!$G$17="Yes",CI$3=Projects!$C$17+Projects!$D$17-1),Projects!$B$17*(Assumptions!$B$10+Assumptions!$B$11+Assumptions!$B$12)*0.05,0)</f>
        <v>0</v>
      </c>
      <c r="CJ26" s="30" t="n">
        <f aca="false">IF(AND(Projects!$G$17="Yes",CJ$3&gt;=Projects!$C$17,CJ$3&lt;Projects!$C$17+Projects!$D$17),Projects!$B$17*INDEX(Curves!$B$4:$AR$4,1,CJ$3-Projects!$C$17+1),0)-IF(AND(Projects!$G$17="Yes",CJ$3&gt;=Projects!$C$17,CJ$3&lt;Projects!$C$17+Projects!$D$17),Projects!$B$17*(Assumptions!$B$10+Assumptions!$B$11+Assumptions!$B$12)/Projects!$D$17*0.95,0)-IF(AND(Projects!$G$17="Yes",CJ$3=Projects!$C$17+Projects!$D$17-1),Projects!$B$17*(Assumptions!$B$10+Assumptions!$B$11+Assumptions!$B$12)*0.05,0)</f>
        <v>0</v>
      </c>
      <c r="CK26" s="30" t="n">
        <f aca="false">IF(AND(Projects!$G$17="Yes",CK$3&gt;=Projects!$C$17,CK$3&lt;Projects!$C$17+Projects!$D$17),Projects!$B$17*INDEX(Curves!$B$4:$AR$4,1,CK$3-Projects!$C$17+1),0)-IF(AND(Projects!$G$17="Yes",CK$3&gt;=Projects!$C$17,CK$3&lt;Projects!$C$17+Projects!$D$17),Projects!$B$17*(Assumptions!$B$10+Assumptions!$B$11+Assumptions!$B$12)/Projects!$D$17*0.95,0)-IF(AND(Projects!$G$17="Yes",CK$3=Projects!$C$17+Projects!$D$17-1),Projects!$B$17*(Assumptions!$B$10+Assumptions!$B$11+Assumptions!$B$12)*0.05,0)</f>
        <v>0</v>
      </c>
      <c r="CL26" s="30" t="n">
        <f aca="false">IF(AND(Projects!$G$17="Yes",CL$3&gt;=Projects!$C$17,CL$3&lt;Projects!$C$17+Projects!$D$17),Projects!$B$17*INDEX(Curves!$B$4:$AR$4,1,CL$3-Projects!$C$17+1),0)-IF(AND(Projects!$G$17="Yes",CL$3&gt;=Projects!$C$17,CL$3&lt;Projects!$C$17+Projects!$D$17),Projects!$B$17*(Assumptions!$B$10+Assumptions!$B$11+Assumptions!$B$12)/Projects!$D$17*0.95,0)-IF(AND(Projects!$G$17="Yes",CL$3=Projects!$C$17+Projects!$D$17-1),Projects!$B$17*(Assumptions!$B$10+Assumptions!$B$11+Assumptions!$B$12)*0.05,0)</f>
        <v>0</v>
      </c>
      <c r="CM26" s="30" t="n">
        <f aca="false">IF(AND(Projects!$G$17="Yes",CM$3&gt;=Projects!$C$17,CM$3&lt;Projects!$C$17+Projects!$D$17),Projects!$B$17*INDEX(Curves!$B$4:$AR$4,1,CM$3-Projects!$C$17+1),0)-IF(AND(Projects!$G$17="Yes",CM$3&gt;=Projects!$C$17,CM$3&lt;Projects!$C$17+Projects!$D$17),Projects!$B$17*(Assumptions!$B$10+Assumptions!$B$11+Assumptions!$B$12)/Projects!$D$17*0.95,0)-IF(AND(Projects!$G$17="Yes",CM$3=Projects!$C$17+Projects!$D$17-1),Projects!$B$17*(Assumptions!$B$10+Assumptions!$B$11+Assumptions!$B$12)*0.05,0)</f>
        <v>0</v>
      </c>
      <c r="CN26" s="30" t="n">
        <f aca="false">IF(AND(Projects!$G$17="Yes",CN$3&gt;=Projects!$C$17,CN$3&lt;Projects!$C$17+Projects!$D$17),Projects!$B$17*INDEX(Curves!$B$4:$AR$4,1,CN$3-Projects!$C$17+1),0)-IF(AND(Projects!$G$17="Yes",CN$3&gt;=Projects!$C$17,CN$3&lt;Projects!$C$17+Projects!$D$17),Projects!$B$17*(Assumptions!$B$10+Assumptions!$B$11+Assumptions!$B$12)/Projects!$D$17*0.95,0)-IF(AND(Projects!$G$17="Yes",CN$3=Projects!$C$17+Projects!$D$17-1),Projects!$B$17*(Assumptions!$B$10+Assumptions!$B$11+Assumptions!$B$12)*0.05,0)</f>
        <v>0</v>
      </c>
      <c r="CO26" s="30" t="n">
        <f aca="false">IF(AND(Projects!$G$17="Yes",CO$3&gt;=Projects!$C$17,CO$3&lt;Projects!$C$17+Projects!$D$17),Projects!$B$17*INDEX(Curves!$B$4:$AR$4,1,CO$3-Projects!$C$17+1),0)-IF(AND(Projects!$G$17="Yes",CO$3&gt;=Projects!$C$17,CO$3&lt;Projects!$C$17+Projects!$D$17),Projects!$B$17*(Assumptions!$B$10+Assumptions!$B$11+Assumptions!$B$12)/Projects!$D$17*0.95,0)-IF(AND(Projects!$G$17="Yes",CO$3=Projects!$C$17+Projects!$D$17-1),Projects!$B$17*(Assumptions!$B$10+Assumptions!$B$11+Assumptions!$B$12)*0.05,0)</f>
        <v>0</v>
      </c>
      <c r="CP26" s="30" t="n">
        <f aca="false">IF(AND(Projects!$G$17="Yes",CP$3&gt;=Projects!$C$17,CP$3&lt;Projects!$C$17+Projects!$D$17),Projects!$B$17*INDEX(Curves!$B$4:$AR$4,1,CP$3-Projects!$C$17+1),0)-IF(AND(Projects!$G$17="Yes",CP$3&gt;=Projects!$C$17,CP$3&lt;Projects!$C$17+Projects!$D$17),Projects!$B$17*(Assumptions!$B$10+Assumptions!$B$11+Assumptions!$B$12)/Projects!$D$17*0.95,0)-IF(AND(Projects!$G$17="Yes",CP$3=Projects!$C$17+Projects!$D$17-1),Projects!$B$17*(Assumptions!$B$10+Assumptions!$B$11+Assumptions!$B$12)*0.05,0)</f>
        <v>0</v>
      </c>
      <c r="CQ26" s="30" t="n">
        <f aca="false">IF(AND(Projects!$G$17="Yes",CQ$3&gt;=Projects!$C$17,CQ$3&lt;Projects!$C$17+Projects!$D$17),Projects!$B$17*INDEX(Curves!$B$4:$AR$4,1,CQ$3-Projects!$C$17+1),0)-IF(AND(Projects!$G$17="Yes",CQ$3&gt;=Projects!$C$17,CQ$3&lt;Projects!$C$17+Projects!$D$17),Projects!$B$17*(Assumptions!$B$10+Assumptions!$B$11+Assumptions!$B$12)/Projects!$D$17*0.95,0)-IF(AND(Projects!$G$17="Yes",CQ$3=Projects!$C$17+Projects!$D$17-1),Projects!$B$17*(Assumptions!$B$10+Assumptions!$B$11+Assumptions!$B$12)*0.05,0)</f>
        <v>0</v>
      </c>
      <c r="CR26" s="30" t="n">
        <f aca="false">IF(AND(Projects!$G$17="Yes",CR$3&gt;=Projects!$C$17,CR$3&lt;Projects!$C$17+Projects!$D$17),Projects!$B$17*INDEX(Curves!$B$4:$AR$4,1,CR$3-Projects!$C$17+1),0)-IF(AND(Projects!$G$17="Yes",CR$3&gt;=Projects!$C$17,CR$3&lt;Projects!$C$17+Projects!$D$17),Projects!$B$17*(Assumptions!$B$10+Assumptions!$B$11+Assumptions!$B$12)/Projects!$D$17*0.95,0)-IF(AND(Projects!$G$17="Yes",CR$3=Projects!$C$17+Projects!$D$17-1),Projects!$B$17*(Assumptions!$B$10+Assumptions!$B$11+Assumptions!$B$12)*0.05,0)</f>
        <v>0</v>
      </c>
      <c r="CS26" s="30" t="n">
        <f aca="false">IF(AND(Projects!$G$17="Yes",CS$3&gt;=Projects!$C$17,CS$3&lt;Projects!$C$17+Projects!$D$17),Projects!$B$17*INDEX(Curves!$B$4:$AR$4,1,CS$3-Projects!$C$17+1),0)-IF(AND(Projects!$G$17="Yes",CS$3&gt;=Projects!$C$17,CS$3&lt;Projects!$C$17+Projects!$D$17),Projects!$B$17*(Assumptions!$B$10+Assumptions!$B$11+Assumptions!$B$12)/Projects!$D$17*0.95,0)-IF(AND(Projects!$G$17="Yes",CS$3=Projects!$C$17+Projects!$D$17-1),Projects!$B$17*(Assumptions!$B$10+Assumptions!$B$11+Assumptions!$B$12)*0.05,0)</f>
        <v>0</v>
      </c>
      <c r="CT26" s="30" t="n">
        <f aca="false">IF(AND(Projects!$G$17="Yes",CT$3&gt;=Projects!$C$17,CT$3&lt;Projects!$C$17+Projects!$D$17),Projects!$B$17*INDEX(Curves!$B$4:$AR$4,1,CT$3-Projects!$C$17+1),0)-IF(AND(Projects!$G$17="Yes",CT$3&gt;=Projects!$C$17,CT$3&lt;Projects!$C$17+Projects!$D$17),Projects!$B$17*(Assumptions!$B$10+Assumptions!$B$11+Assumptions!$B$12)/Projects!$D$17*0.95,0)-IF(AND(Projects!$G$17="Yes",CT$3=Projects!$C$17+Projects!$D$17-1),Projects!$B$17*(Assumptions!$B$10+Assumptions!$B$11+Assumptions!$B$12)*0.05,0)</f>
        <v>0</v>
      </c>
      <c r="CU26" s="30" t="n">
        <f aca="false">IF(AND(Projects!$G$17="Yes",CU$3&gt;=Projects!$C$17,CU$3&lt;Projects!$C$17+Projects!$D$17),Projects!$B$17*INDEX(Curves!$B$4:$AR$4,1,CU$3-Projects!$C$17+1),0)-IF(AND(Projects!$G$17="Yes",CU$3&gt;=Projects!$C$17,CU$3&lt;Projects!$C$17+Projects!$D$17),Projects!$B$17*(Assumptions!$B$10+Assumptions!$B$11+Assumptions!$B$12)/Projects!$D$17*0.95,0)-IF(AND(Projects!$G$17="Yes",CU$3=Projects!$C$17+Projects!$D$17-1),Projects!$B$17*(Assumptions!$B$10+Assumptions!$B$11+Assumptions!$B$12)*0.05,0)</f>
        <v>0</v>
      </c>
      <c r="CV26" s="30" t="n">
        <f aca="false">IF(AND(Projects!$G$17="Yes",CV$3&gt;=Projects!$C$17,CV$3&lt;Projects!$C$17+Projects!$D$17),Projects!$B$17*INDEX(Curves!$B$4:$AR$4,1,CV$3-Projects!$C$17+1),0)-IF(AND(Projects!$G$17="Yes",CV$3&gt;=Projects!$C$17,CV$3&lt;Projects!$C$17+Projects!$D$17),Projects!$B$17*(Assumptions!$B$10+Assumptions!$B$11+Assumptions!$B$12)/Projects!$D$17*0.95,0)-IF(AND(Projects!$G$17="Yes",CV$3=Projects!$C$17+Projects!$D$17-1),Projects!$B$17*(Assumptions!$B$10+Assumptions!$B$11+Assumptions!$B$12)*0.05,0)</f>
        <v>0</v>
      </c>
      <c r="CW26" s="30" t="n">
        <f aca="false">IF(AND(Projects!$G$17="Yes",CW$3&gt;=Projects!$C$17,CW$3&lt;Projects!$C$17+Projects!$D$17),Projects!$B$17*INDEX(Curves!$B$4:$AR$4,1,CW$3-Projects!$C$17+1),0)-IF(AND(Projects!$G$17="Yes",CW$3&gt;=Projects!$C$17,CW$3&lt;Projects!$C$17+Projects!$D$17),Projects!$B$17*(Assumptions!$B$10+Assumptions!$B$11+Assumptions!$B$12)/Projects!$D$17*0.95,0)-IF(AND(Projects!$G$17="Yes",CW$3=Projects!$C$17+Projects!$D$17-1),Projects!$B$17*(Assumptions!$B$10+Assumptions!$B$11+Assumptions!$B$12)*0.05,0)</f>
        <v>0</v>
      </c>
      <c r="CX26" s="30" t="n">
        <f aca="false">IF(AND(Projects!$G$17="Yes",CX$3&gt;=Projects!$C$17,CX$3&lt;Projects!$C$17+Projects!$D$17),Projects!$B$17*INDEX(Curves!$B$4:$AR$4,1,CX$3-Projects!$C$17+1),0)-IF(AND(Projects!$G$17="Yes",CX$3&gt;=Projects!$C$17,CX$3&lt;Projects!$C$17+Projects!$D$17),Projects!$B$17*(Assumptions!$B$10+Assumptions!$B$11+Assumptions!$B$12)/Projects!$D$17*0.95,0)-IF(AND(Projects!$G$17="Yes",CX$3=Projects!$C$17+Projects!$D$17-1),Projects!$B$17*(Assumptions!$B$10+Assumptions!$B$11+Assumptions!$B$12)*0.05,0)</f>
        <v>0</v>
      </c>
      <c r="CY26" s="30" t="n">
        <f aca="false">IF(AND(Projects!$G$17="Yes",CY$3&gt;=Projects!$C$17,CY$3&lt;Projects!$C$17+Projects!$D$17),Projects!$B$17*INDEX(Curves!$B$4:$AR$4,1,CY$3-Projects!$C$17+1),0)-IF(AND(Projects!$G$17="Yes",CY$3&gt;=Projects!$C$17,CY$3&lt;Projects!$C$17+Projects!$D$17),Projects!$B$17*(Assumptions!$B$10+Assumptions!$B$11+Assumptions!$B$12)/Projects!$D$17*0.95,0)-IF(AND(Projects!$G$17="Yes",CY$3=Projects!$C$17+Projects!$D$17-1),Projects!$B$17*(Assumptions!$B$10+Assumptions!$B$11+Assumptions!$B$12)*0.05,0)</f>
        <v>0</v>
      </c>
      <c r="CZ26" s="30" t="n">
        <f aca="false">IF(AND(Projects!$G$17="Yes",CZ$3&gt;=Projects!$C$17,CZ$3&lt;Projects!$C$17+Projects!$D$17),Projects!$B$17*INDEX(Curves!$B$4:$AR$4,1,CZ$3-Projects!$C$17+1),0)-IF(AND(Projects!$G$17="Yes",CZ$3&gt;=Projects!$C$17,CZ$3&lt;Projects!$C$17+Projects!$D$17),Projects!$B$17*(Assumptions!$B$10+Assumptions!$B$11+Assumptions!$B$12)/Projects!$D$17*0.95,0)-IF(AND(Projects!$G$17="Yes",CZ$3=Projects!$C$17+Projects!$D$17-1),Projects!$B$17*(Assumptions!$B$10+Assumptions!$B$11+Assumptions!$B$12)*0.05,0)</f>
        <v>0</v>
      </c>
      <c r="DA26" s="30" t="n">
        <f aca="false">IF(AND(Projects!$G$17="Yes",DA$3&gt;=Projects!$C$17,DA$3&lt;Projects!$C$17+Projects!$D$17),Projects!$B$17*INDEX(Curves!$B$4:$AR$4,1,DA$3-Projects!$C$17+1),0)-IF(AND(Projects!$G$17="Yes",DA$3&gt;=Projects!$C$17,DA$3&lt;Projects!$C$17+Projects!$D$17),Projects!$B$17*(Assumptions!$B$10+Assumptions!$B$11+Assumptions!$B$12)/Projects!$D$17*0.95,0)-IF(AND(Projects!$G$17="Yes",DA$3=Projects!$C$17+Projects!$D$17-1),Projects!$B$17*(Assumptions!$B$10+Assumptions!$B$11+Assumptions!$B$12)*0.05,0)</f>
        <v>0</v>
      </c>
      <c r="DB26" s="30" t="n">
        <f aca="false">IF(AND(Projects!$G$17="Yes",DB$3&gt;=Projects!$C$17,DB$3&lt;Projects!$C$17+Projects!$D$17),Projects!$B$17*INDEX(Curves!$B$4:$AR$4,1,DB$3-Projects!$C$17+1),0)-IF(AND(Projects!$G$17="Yes",DB$3&gt;=Projects!$C$17,DB$3&lt;Projects!$C$17+Projects!$D$17),Projects!$B$17*(Assumptions!$B$10+Assumptions!$B$11+Assumptions!$B$12)/Projects!$D$17*0.95,0)-IF(AND(Projects!$G$17="Yes",DB$3=Projects!$C$17+Projects!$D$17-1),Projects!$B$17*(Assumptions!$B$10+Assumptions!$B$11+Assumptions!$B$12)*0.05,0)</f>
        <v>0</v>
      </c>
      <c r="DC26" s="30" t="n">
        <f aca="false">IF(AND(Projects!$G$17="Yes",DC$3&gt;=Projects!$C$17,DC$3&lt;Projects!$C$17+Projects!$D$17),Projects!$B$17*INDEX(Curves!$B$4:$AR$4,1,DC$3-Projects!$C$17+1),0)-IF(AND(Projects!$G$17="Yes",DC$3&gt;=Projects!$C$17,DC$3&lt;Projects!$C$17+Projects!$D$17),Projects!$B$17*(Assumptions!$B$10+Assumptions!$B$11+Assumptions!$B$12)/Projects!$D$17*0.95,0)-IF(AND(Projects!$G$17="Yes",DC$3=Projects!$C$17+Projects!$D$17-1),Projects!$B$17*(Assumptions!$B$10+Assumptions!$B$11+Assumptions!$B$12)*0.05,0)</f>
        <v>0</v>
      </c>
      <c r="DD26" s="30" t="n">
        <f aca="false">IF(AND(Projects!$G$17="Yes",DD$3&gt;=Projects!$C$17,DD$3&lt;Projects!$C$17+Projects!$D$17),Projects!$B$17*INDEX(Curves!$B$4:$AR$4,1,DD$3-Projects!$C$17+1),0)-IF(AND(Projects!$G$17="Yes",DD$3&gt;=Projects!$C$17,DD$3&lt;Projects!$C$17+Projects!$D$17),Projects!$B$17*(Assumptions!$B$10+Assumptions!$B$11+Assumptions!$B$12)/Projects!$D$17*0.95,0)-IF(AND(Projects!$G$17="Yes",DD$3=Projects!$C$17+Projects!$D$17-1),Projects!$B$17*(Assumptions!$B$10+Assumptions!$B$11+Assumptions!$B$12)*0.05,0)</f>
        <v>0</v>
      </c>
      <c r="DE26" s="30" t="n">
        <f aca="false">IF(AND(Projects!$G$17="Yes",DE$3&gt;=Projects!$C$17,DE$3&lt;Projects!$C$17+Projects!$D$17),Projects!$B$17*INDEX(Curves!$B$4:$AR$4,1,DE$3-Projects!$C$17+1),0)-IF(AND(Projects!$G$17="Yes",DE$3&gt;=Projects!$C$17,DE$3&lt;Projects!$C$17+Projects!$D$17),Projects!$B$17*(Assumptions!$B$10+Assumptions!$B$11+Assumptions!$B$12)/Projects!$D$17*0.95,0)-IF(AND(Projects!$G$17="Yes",DE$3=Projects!$C$17+Projects!$D$17-1),Projects!$B$17*(Assumptions!$B$10+Assumptions!$B$11+Assumptions!$B$12)*0.05,0)</f>
        <v>0</v>
      </c>
    </row>
    <row r="27" customFormat="false" ht="15" hidden="true" customHeight="true" outlineLevel="1" collapsed="false">
      <c r="A27" s="32" t="s">
        <v>21</v>
      </c>
      <c r="B27" s="30" t="n">
        <v>0</v>
      </c>
      <c r="C27" s="30" t="n">
        <v>0</v>
      </c>
      <c r="D27" s="30" t="n">
        <v>0</v>
      </c>
      <c r="E27" s="30" t="n">
        <v>0</v>
      </c>
      <c r="F27" s="30" t="n">
        <f aca="false">IF(AND(Projects!$G$18="Yes",F$3&gt;=Projects!$C$18,F$3&lt;Projects!$C$18+Projects!$D$18),Projects!$B$18*INDEX(Curves!$B$4:$AR$4,1,F$3-Projects!$C$18+1),0)-IF(AND(Projects!$G$18="Yes",F$3&gt;=Projects!$C$18,F$3&lt;Projects!$C$18+Projects!$D$18),Projects!$B$18*(Assumptions!$B$10+Assumptions!$B$11+Assumptions!$B$12)/Projects!$D$18*0.95,0)-IF(AND(Projects!$G$18="Yes",F$3=Projects!$C$18+Projects!$D$18-1),Projects!$B$18*(Assumptions!$B$10+Assumptions!$B$11+Assumptions!$B$12)*0.05,0)</f>
        <v>0</v>
      </c>
      <c r="G27" s="30" t="n">
        <f aca="false">IF(AND(Projects!$G$18="Yes",G$3&gt;=Projects!$C$18,G$3&lt;Projects!$C$18+Projects!$D$18),Projects!$B$18*INDEX(Curves!$B$4:$AR$4,1,G$3-Projects!$C$18+1),0)-IF(AND(Projects!$G$18="Yes",G$3&gt;=Projects!$C$18,G$3&lt;Projects!$C$18+Projects!$D$18),Projects!$B$18*(Assumptions!$B$10+Assumptions!$B$11+Assumptions!$B$12)/Projects!$D$18*0.95,0)-IF(AND(Projects!$G$18="Yes",G$3=Projects!$C$18+Projects!$D$18-1),Projects!$B$18*(Assumptions!$B$10+Assumptions!$B$11+Assumptions!$B$12)*0.05,0)</f>
        <v>0</v>
      </c>
      <c r="H27" s="30" t="n">
        <f aca="false">IF(AND(Projects!$G$18="Yes",H$3&gt;=Projects!$C$18,H$3&lt;Projects!$C$18+Projects!$D$18),Projects!$B$18*INDEX(Curves!$B$4:$AR$4,1,H$3-Projects!$C$18+1),0)-IF(AND(Projects!$G$18="Yes",H$3&gt;=Projects!$C$18,H$3&lt;Projects!$C$18+Projects!$D$18),Projects!$B$18*(Assumptions!$B$10+Assumptions!$B$11+Assumptions!$B$12)/Projects!$D$18*0.95,0)-IF(AND(Projects!$G$18="Yes",H$3=Projects!$C$18+Projects!$D$18-1),Projects!$B$18*(Assumptions!$B$10+Assumptions!$B$11+Assumptions!$B$12)*0.05,0)</f>
        <v>0</v>
      </c>
      <c r="I27" s="30" t="n">
        <f aca="false">IF(AND(Projects!$G$18="Yes",I$3&gt;=Projects!$C$18,I$3&lt;Projects!$C$18+Projects!$D$18),Projects!$B$18*INDEX(Curves!$B$4:$AR$4,1,I$3-Projects!$C$18+1),0)-IF(AND(Projects!$G$18="Yes",I$3&gt;=Projects!$C$18,I$3&lt;Projects!$C$18+Projects!$D$18),Projects!$B$18*(Assumptions!$B$10+Assumptions!$B$11+Assumptions!$B$12)/Projects!$D$18*0.95,0)-IF(AND(Projects!$G$18="Yes",I$3=Projects!$C$18+Projects!$D$18-1),Projects!$B$18*(Assumptions!$B$10+Assumptions!$B$11+Assumptions!$B$12)*0.05,0)</f>
        <v>0</v>
      </c>
      <c r="J27" s="30" t="n">
        <f aca="false">IF(AND(Projects!$G$18="Yes",J$3&gt;=Projects!$C$18,J$3&lt;Projects!$C$18+Projects!$D$18),Projects!$B$18*INDEX(Curves!$B$4:$AR$4,1,J$3-Projects!$C$18+1),0)-IF(AND(Projects!$G$18="Yes",J$3&gt;=Projects!$C$18,J$3&lt;Projects!$C$18+Projects!$D$18),Projects!$B$18*(Assumptions!$B$10+Assumptions!$B$11+Assumptions!$B$12)/Projects!$D$18*0.95,0)-IF(AND(Projects!$G$18="Yes",J$3=Projects!$C$18+Projects!$D$18-1),Projects!$B$18*(Assumptions!$B$10+Assumptions!$B$11+Assumptions!$B$12)*0.05,0)</f>
        <v>0</v>
      </c>
      <c r="K27" s="30" t="n">
        <f aca="false">IF(AND(Projects!$G$18="Yes",K$3&gt;=Projects!$C$18,K$3&lt;Projects!$C$18+Projects!$D$18),Projects!$B$18*INDEX(Curves!$B$4:$AR$4,1,K$3-Projects!$C$18+1),0)-IF(AND(Projects!$G$18="Yes",K$3&gt;=Projects!$C$18,K$3&lt;Projects!$C$18+Projects!$D$18),Projects!$B$18*(Assumptions!$B$10+Assumptions!$B$11+Assumptions!$B$12)/Projects!$D$18*0.95,0)-IF(AND(Projects!$G$18="Yes",K$3=Projects!$C$18+Projects!$D$18-1),Projects!$B$18*(Assumptions!$B$10+Assumptions!$B$11+Assumptions!$B$12)*0.05,0)</f>
        <v>0</v>
      </c>
      <c r="L27" s="30" t="n">
        <f aca="false">IF(AND(Projects!$G$18="Yes",L$3&gt;=Projects!$C$18,L$3&lt;Projects!$C$18+Projects!$D$18),Projects!$B$18*INDEX(Curves!$B$4:$AR$4,1,L$3-Projects!$C$18+1),0)-IF(AND(Projects!$G$18="Yes",L$3&gt;=Projects!$C$18,L$3&lt;Projects!$C$18+Projects!$D$18),Projects!$B$18*(Assumptions!$B$10+Assumptions!$B$11+Assumptions!$B$12)/Projects!$D$18*0.95,0)-IF(AND(Projects!$G$18="Yes",L$3=Projects!$C$18+Projects!$D$18-1),Projects!$B$18*(Assumptions!$B$10+Assumptions!$B$11+Assumptions!$B$12)*0.05,0)</f>
        <v>0</v>
      </c>
      <c r="M27" s="30" t="n">
        <f aca="false">IF(AND(Projects!$G$18="Yes",M$3&gt;=Projects!$C$18,M$3&lt;Projects!$C$18+Projects!$D$18),Projects!$B$18*INDEX(Curves!$B$4:$AR$4,1,M$3-Projects!$C$18+1),0)-IF(AND(Projects!$G$18="Yes",M$3&gt;=Projects!$C$18,M$3&lt;Projects!$C$18+Projects!$D$18),Projects!$B$18*(Assumptions!$B$10+Assumptions!$B$11+Assumptions!$B$12)/Projects!$D$18*0.95,0)-IF(AND(Projects!$G$18="Yes",M$3=Projects!$C$18+Projects!$D$18-1),Projects!$B$18*(Assumptions!$B$10+Assumptions!$B$11+Assumptions!$B$12)*0.05,0)</f>
        <v>0</v>
      </c>
      <c r="N27" s="30" t="n">
        <f aca="false">IF(AND(Projects!$G$18="Yes",N$3&gt;=Projects!$C$18,N$3&lt;Projects!$C$18+Projects!$D$18),Projects!$B$18*INDEX(Curves!$B$4:$AR$4,1,N$3-Projects!$C$18+1),0)-IF(AND(Projects!$G$18="Yes",N$3&gt;=Projects!$C$18,N$3&lt;Projects!$C$18+Projects!$D$18),Projects!$B$18*(Assumptions!$B$10+Assumptions!$B$11+Assumptions!$B$12)/Projects!$D$18*0.95,0)-IF(AND(Projects!$G$18="Yes",N$3=Projects!$C$18+Projects!$D$18-1),Projects!$B$18*(Assumptions!$B$10+Assumptions!$B$11+Assumptions!$B$12)*0.05,0)</f>
        <v>0</v>
      </c>
      <c r="O27" s="30" t="n">
        <f aca="false">IF(AND(Projects!$G$18="Yes",O$3&gt;=Projects!$C$18,O$3&lt;Projects!$C$18+Projects!$D$18),Projects!$B$18*INDEX(Curves!$B$4:$AR$4,1,O$3-Projects!$C$18+1),0)-IF(AND(Projects!$G$18="Yes",O$3&gt;=Projects!$C$18,O$3&lt;Projects!$C$18+Projects!$D$18),Projects!$B$18*(Assumptions!$B$10+Assumptions!$B$11+Assumptions!$B$12)/Projects!$D$18*0.95,0)-IF(AND(Projects!$G$18="Yes",O$3=Projects!$C$18+Projects!$D$18-1),Projects!$B$18*(Assumptions!$B$10+Assumptions!$B$11+Assumptions!$B$12)*0.05,0)</f>
        <v>0</v>
      </c>
      <c r="P27" s="30" t="n">
        <f aca="false">IF(AND(Projects!$G$18="Yes",P$3&gt;=Projects!$C$18,P$3&lt;Projects!$C$18+Projects!$D$18),Projects!$B$18*INDEX(Curves!$B$4:$AR$4,1,P$3-Projects!$C$18+1),0)-IF(AND(Projects!$G$18="Yes",P$3&gt;=Projects!$C$18,P$3&lt;Projects!$C$18+Projects!$D$18),Projects!$B$18*(Assumptions!$B$10+Assumptions!$B$11+Assumptions!$B$12)/Projects!$D$18*0.95,0)-IF(AND(Projects!$G$18="Yes",P$3=Projects!$C$18+Projects!$D$18-1),Projects!$B$18*(Assumptions!$B$10+Assumptions!$B$11+Assumptions!$B$12)*0.05,0)</f>
        <v>0</v>
      </c>
      <c r="Q27" s="30" t="n">
        <f aca="false">IF(AND(Projects!$G$18="Yes",Q$3&gt;=Projects!$C$18,Q$3&lt;Projects!$C$18+Projects!$D$18),Projects!$B$18*INDEX(Curves!$B$4:$AR$4,1,Q$3-Projects!$C$18+1),0)-IF(AND(Projects!$G$18="Yes",Q$3&gt;=Projects!$C$18,Q$3&lt;Projects!$C$18+Projects!$D$18),Projects!$B$18*(Assumptions!$B$10+Assumptions!$B$11+Assumptions!$B$12)/Projects!$D$18*0.95,0)-IF(AND(Projects!$G$18="Yes",Q$3=Projects!$C$18+Projects!$D$18-1),Projects!$B$18*(Assumptions!$B$10+Assumptions!$B$11+Assumptions!$B$12)*0.05,0)</f>
        <v>0</v>
      </c>
      <c r="R27" s="30" t="n">
        <f aca="false">IF(AND(Projects!$G$18="Yes",R$3&gt;=Projects!$C$18,R$3&lt;Projects!$C$18+Projects!$D$18),Projects!$B$18*INDEX(Curves!$B$4:$AR$4,1,R$3-Projects!$C$18+1),0)-IF(AND(Projects!$G$18="Yes",R$3&gt;=Projects!$C$18,R$3&lt;Projects!$C$18+Projects!$D$18),Projects!$B$18*(Assumptions!$B$10+Assumptions!$B$11+Assumptions!$B$12)/Projects!$D$18*0.95,0)-IF(AND(Projects!$G$18="Yes",R$3=Projects!$C$18+Projects!$D$18-1),Projects!$B$18*(Assumptions!$B$10+Assumptions!$B$11+Assumptions!$B$12)*0.05,0)</f>
        <v>0</v>
      </c>
      <c r="S27" s="30" t="n">
        <f aca="false">IF(AND(Projects!$G$18="Yes",S$3&gt;=Projects!$C$18,S$3&lt;Projects!$C$18+Projects!$D$18),Projects!$B$18*INDEX(Curves!$B$4:$AR$4,1,S$3-Projects!$C$18+1),0)-IF(AND(Projects!$G$18="Yes",S$3&gt;=Projects!$C$18,S$3&lt;Projects!$C$18+Projects!$D$18),Projects!$B$18*(Assumptions!$B$10+Assumptions!$B$11+Assumptions!$B$12)/Projects!$D$18*0.95,0)-IF(AND(Projects!$G$18="Yes",S$3=Projects!$C$18+Projects!$D$18-1),Projects!$B$18*(Assumptions!$B$10+Assumptions!$B$11+Assumptions!$B$12)*0.05,0)</f>
        <v>0</v>
      </c>
      <c r="T27" s="30" t="n">
        <f aca="false">IF(AND(Projects!$G$18="Yes",T$3&gt;=Projects!$C$18,T$3&lt;Projects!$C$18+Projects!$D$18),Projects!$B$18*INDEX(Curves!$B$4:$AR$4,1,T$3-Projects!$C$18+1),0)-IF(AND(Projects!$G$18="Yes",T$3&gt;=Projects!$C$18,T$3&lt;Projects!$C$18+Projects!$D$18),Projects!$B$18*(Assumptions!$B$10+Assumptions!$B$11+Assumptions!$B$12)/Projects!$D$18*0.95,0)-IF(AND(Projects!$G$18="Yes",T$3=Projects!$C$18+Projects!$D$18-1),Projects!$B$18*(Assumptions!$B$10+Assumptions!$B$11+Assumptions!$B$12)*0.05,0)</f>
        <v>0</v>
      </c>
      <c r="U27" s="30" t="n">
        <f aca="false">IF(AND(Projects!$G$18="Yes",U$3&gt;=Projects!$C$18,U$3&lt;Projects!$C$18+Projects!$D$18),Projects!$B$18*INDEX(Curves!$B$4:$AR$4,1,U$3-Projects!$C$18+1),0)-IF(AND(Projects!$G$18="Yes",U$3&gt;=Projects!$C$18,U$3&lt;Projects!$C$18+Projects!$D$18),Projects!$B$18*(Assumptions!$B$10+Assumptions!$B$11+Assumptions!$B$12)/Projects!$D$18*0.95,0)-IF(AND(Projects!$G$18="Yes",U$3=Projects!$C$18+Projects!$D$18-1),Projects!$B$18*(Assumptions!$B$10+Assumptions!$B$11+Assumptions!$B$12)*0.05,0)</f>
        <v>0</v>
      </c>
      <c r="V27" s="30" t="n">
        <f aca="false">IF(AND(Projects!$G$18="Yes",V$3&gt;=Projects!$C$18,V$3&lt;Projects!$C$18+Projects!$D$18),Projects!$B$18*INDEX(Curves!$B$4:$AR$4,1,V$3-Projects!$C$18+1),0)-IF(AND(Projects!$G$18="Yes",V$3&gt;=Projects!$C$18,V$3&lt;Projects!$C$18+Projects!$D$18),Projects!$B$18*(Assumptions!$B$10+Assumptions!$B$11+Assumptions!$B$12)/Projects!$D$18*0.95,0)-IF(AND(Projects!$G$18="Yes",V$3=Projects!$C$18+Projects!$D$18-1),Projects!$B$18*(Assumptions!$B$10+Assumptions!$B$11+Assumptions!$B$12)*0.05,0)</f>
        <v>0</v>
      </c>
      <c r="W27" s="30" t="n">
        <f aca="false">IF(AND(Projects!$G$18="Yes",W$3&gt;=Projects!$C$18,W$3&lt;Projects!$C$18+Projects!$D$18),Projects!$B$18*INDEX(Curves!$B$4:$AR$4,1,W$3-Projects!$C$18+1),0)-IF(AND(Projects!$G$18="Yes",W$3&gt;=Projects!$C$18,W$3&lt;Projects!$C$18+Projects!$D$18),Projects!$B$18*(Assumptions!$B$10+Assumptions!$B$11+Assumptions!$B$12)/Projects!$D$18*0.95,0)-IF(AND(Projects!$G$18="Yes",W$3=Projects!$C$18+Projects!$D$18-1),Projects!$B$18*(Assumptions!$B$10+Assumptions!$B$11+Assumptions!$B$12)*0.05,0)</f>
        <v>0</v>
      </c>
      <c r="X27" s="30" t="n">
        <f aca="false">IF(AND(Projects!$G$18="Yes",X$3&gt;=Projects!$C$18,X$3&lt;Projects!$C$18+Projects!$D$18),Projects!$B$18*INDEX(Curves!$B$4:$AR$4,1,X$3-Projects!$C$18+1),0)-IF(AND(Projects!$G$18="Yes",X$3&gt;=Projects!$C$18,X$3&lt;Projects!$C$18+Projects!$D$18),Projects!$B$18*(Assumptions!$B$10+Assumptions!$B$11+Assumptions!$B$12)/Projects!$D$18*0.95,0)-IF(AND(Projects!$G$18="Yes",X$3=Projects!$C$18+Projects!$D$18-1),Projects!$B$18*(Assumptions!$B$10+Assumptions!$B$11+Assumptions!$B$12)*0.05,0)</f>
        <v>0</v>
      </c>
      <c r="Y27" s="30" t="n">
        <f aca="false">IF(AND(Projects!$G$18="Yes",Y$3&gt;=Projects!$C$18,Y$3&lt;Projects!$C$18+Projects!$D$18),Projects!$B$18*INDEX(Curves!$B$4:$AR$4,1,Y$3-Projects!$C$18+1),0)-IF(AND(Projects!$G$18="Yes",Y$3&gt;=Projects!$C$18,Y$3&lt;Projects!$C$18+Projects!$D$18),Projects!$B$18*(Assumptions!$B$10+Assumptions!$B$11+Assumptions!$B$12)/Projects!$D$18*0.95,0)-IF(AND(Projects!$G$18="Yes",Y$3=Projects!$C$18+Projects!$D$18-1),Projects!$B$18*(Assumptions!$B$10+Assumptions!$B$11+Assumptions!$B$12)*0.05,0)</f>
        <v>0</v>
      </c>
      <c r="Z27" s="30" t="n">
        <f aca="false">IF(AND(Projects!$G$18="Yes",Z$3&gt;=Projects!$C$18,Z$3&lt;Projects!$C$18+Projects!$D$18),Projects!$B$18*INDEX(Curves!$B$4:$AR$4,1,Z$3-Projects!$C$18+1),0)-IF(AND(Projects!$G$18="Yes",Z$3&gt;=Projects!$C$18,Z$3&lt;Projects!$C$18+Projects!$D$18),Projects!$B$18*(Assumptions!$B$10+Assumptions!$B$11+Assumptions!$B$12)/Projects!$D$18*0.95,0)-IF(AND(Projects!$G$18="Yes",Z$3=Projects!$C$18+Projects!$D$18-1),Projects!$B$18*(Assumptions!$B$10+Assumptions!$B$11+Assumptions!$B$12)*0.05,0)</f>
        <v>0</v>
      </c>
      <c r="AA27" s="30" t="n">
        <f aca="false">IF(AND(Projects!$G$18="Yes",AA$3&gt;=Projects!$C$18,AA$3&lt;Projects!$C$18+Projects!$D$18),Projects!$B$18*INDEX(Curves!$B$4:$AR$4,1,AA$3-Projects!$C$18+1),0)-IF(AND(Projects!$G$18="Yes",AA$3&gt;=Projects!$C$18,AA$3&lt;Projects!$C$18+Projects!$D$18),Projects!$B$18*(Assumptions!$B$10+Assumptions!$B$11+Assumptions!$B$12)/Projects!$D$18*0.95,0)-IF(AND(Projects!$G$18="Yes",AA$3=Projects!$C$18+Projects!$D$18-1),Projects!$B$18*(Assumptions!$B$10+Assumptions!$B$11+Assumptions!$B$12)*0.05,0)</f>
        <v>0</v>
      </c>
      <c r="AB27" s="30" t="n">
        <f aca="false">IF(AND(Projects!$G$18="Yes",AB$3&gt;=Projects!$C$18,AB$3&lt;Projects!$C$18+Projects!$D$18),Projects!$B$18*INDEX(Curves!$B$4:$AR$4,1,AB$3-Projects!$C$18+1),0)-IF(AND(Projects!$G$18="Yes",AB$3&gt;=Projects!$C$18,AB$3&lt;Projects!$C$18+Projects!$D$18),Projects!$B$18*(Assumptions!$B$10+Assumptions!$B$11+Assumptions!$B$12)/Projects!$D$18*0.95,0)-IF(AND(Projects!$G$18="Yes",AB$3=Projects!$C$18+Projects!$D$18-1),Projects!$B$18*(Assumptions!$B$10+Assumptions!$B$11+Assumptions!$B$12)*0.05,0)</f>
        <v>0</v>
      </c>
      <c r="AC27" s="30" t="n">
        <f aca="false">IF(AND(Projects!$G$18="Yes",AC$3&gt;=Projects!$C$18,AC$3&lt;Projects!$C$18+Projects!$D$18),Projects!$B$18*INDEX(Curves!$B$4:$AR$4,1,AC$3-Projects!$C$18+1),0)-IF(AND(Projects!$G$18="Yes",AC$3&gt;=Projects!$C$18,AC$3&lt;Projects!$C$18+Projects!$D$18),Projects!$B$18*(Assumptions!$B$10+Assumptions!$B$11+Assumptions!$B$12)/Projects!$D$18*0.95,0)-IF(AND(Projects!$G$18="Yes",AC$3=Projects!$C$18+Projects!$D$18-1),Projects!$B$18*(Assumptions!$B$10+Assumptions!$B$11+Assumptions!$B$12)*0.05,0)</f>
        <v>0</v>
      </c>
      <c r="AD27" s="30" t="n">
        <f aca="false">IF(AND(Projects!$G$18="Yes",AD$3&gt;=Projects!$C$18,AD$3&lt;Projects!$C$18+Projects!$D$18),Projects!$B$18*INDEX(Curves!$B$4:$AR$4,1,AD$3-Projects!$C$18+1),0)-IF(AND(Projects!$G$18="Yes",AD$3&gt;=Projects!$C$18,AD$3&lt;Projects!$C$18+Projects!$D$18),Projects!$B$18*(Assumptions!$B$10+Assumptions!$B$11+Assumptions!$B$12)/Projects!$D$18*0.95,0)-IF(AND(Projects!$G$18="Yes",AD$3=Projects!$C$18+Projects!$D$18-1),Projects!$B$18*(Assumptions!$B$10+Assumptions!$B$11+Assumptions!$B$12)*0.05,0)</f>
        <v>0</v>
      </c>
      <c r="AE27" s="30" t="n">
        <f aca="false">IF(AND(Projects!$G$18="Yes",AE$3&gt;=Projects!$C$18,AE$3&lt;Projects!$C$18+Projects!$D$18),Projects!$B$18*INDEX(Curves!$B$4:$AR$4,1,AE$3-Projects!$C$18+1),0)-IF(AND(Projects!$G$18="Yes",AE$3&gt;=Projects!$C$18,AE$3&lt;Projects!$C$18+Projects!$D$18),Projects!$B$18*(Assumptions!$B$10+Assumptions!$B$11+Assumptions!$B$12)/Projects!$D$18*0.95,0)-IF(AND(Projects!$G$18="Yes",AE$3=Projects!$C$18+Projects!$D$18-1),Projects!$B$18*(Assumptions!$B$10+Assumptions!$B$11+Assumptions!$B$12)*0.05,0)</f>
        <v>0</v>
      </c>
      <c r="AF27" s="30" t="n">
        <f aca="false">IF(AND(Projects!$G$18="Yes",AF$3&gt;=Projects!$C$18,AF$3&lt;Projects!$C$18+Projects!$D$18),Projects!$B$18*INDEX(Curves!$B$4:$AR$4,1,AF$3-Projects!$C$18+1),0)-IF(AND(Projects!$G$18="Yes",AF$3&gt;=Projects!$C$18,AF$3&lt;Projects!$C$18+Projects!$D$18),Projects!$B$18*(Assumptions!$B$10+Assumptions!$B$11+Assumptions!$B$12)/Projects!$D$18*0.95,0)-IF(AND(Projects!$G$18="Yes",AF$3=Projects!$C$18+Projects!$D$18-1),Projects!$B$18*(Assumptions!$B$10+Assumptions!$B$11+Assumptions!$B$12)*0.05,0)</f>
        <v>0</v>
      </c>
      <c r="AG27" s="30" t="n">
        <f aca="false">IF(AND(Projects!$G$18="Yes",AG$3&gt;=Projects!$C$18,AG$3&lt;Projects!$C$18+Projects!$D$18),Projects!$B$18*INDEX(Curves!$B$4:$AR$4,1,AG$3-Projects!$C$18+1),0)-IF(AND(Projects!$G$18="Yes",AG$3&gt;=Projects!$C$18,AG$3&lt;Projects!$C$18+Projects!$D$18),Projects!$B$18*(Assumptions!$B$10+Assumptions!$B$11+Assumptions!$B$12)/Projects!$D$18*0.95,0)-IF(AND(Projects!$G$18="Yes",AG$3=Projects!$C$18+Projects!$D$18-1),Projects!$B$18*(Assumptions!$B$10+Assumptions!$B$11+Assumptions!$B$12)*0.05,0)</f>
        <v>0</v>
      </c>
      <c r="AH27" s="30" t="n">
        <f aca="false">IF(AND(Projects!$G$18="Yes",AH$3&gt;=Projects!$C$18,AH$3&lt;Projects!$C$18+Projects!$D$18),Projects!$B$18*INDEX(Curves!$B$4:$AR$4,1,AH$3-Projects!$C$18+1),0)-IF(AND(Projects!$G$18="Yes",AH$3&gt;=Projects!$C$18,AH$3&lt;Projects!$C$18+Projects!$D$18),Projects!$B$18*(Assumptions!$B$10+Assumptions!$B$11+Assumptions!$B$12)/Projects!$D$18*0.95,0)-IF(AND(Projects!$G$18="Yes",AH$3=Projects!$C$18+Projects!$D$18-1),Projects!$B$18*(Assumptions!$B$10+Assumptions!$B$11+Assumptions!$B$12)*0.05,0)</f>
        <v>0</v>
      </c>
      <c r="AI27" s="30" t="n">
        <f aca="false">IF(AND(Projects!$G$18="Yes",AI$3&gt;=Projects!$C$18,AI$3&lt;Projects!$C$18+Projects!$D$18),Projects!$B$18*INDEX(Curves!$B$4:$AR$4,1,AI$3-Projects!$C$18+1),0)-IF(AND(Projects!$G$18="Yes",AI$3&gt;=Projects!$C$18,AI$3&lt;Projects!$C$18+Projects!$D$18),Projects!$B$18*(Assumptions!$B$10+Assumptions!$B$11+Assumptions!$B$12)/Projects!$D$18*0.95,0)-IF(AND(Projects!$G$18="Yes",AI$3=Projects!$C$18+Projects!$D$18-1),Projects!$B$18*(Assumptions!$B$10+Assumptions!$B$11+Assumptions!$B$12)*0.05,0)</f>
        <v>0</v>
      </c>
      <c r="AJ27" s="30" t="n">
        <f aca="false">IF(AND(Projects!$G$18="Yes",AJ$3&gt;=Projects!$C$18,AJ$3&lt;Projects!$C$18+Projects!$D$18),Projects!$B$18*INDEX(Curves!$B$4:$AR$4,1,AJ$3-Projects!$C$18+1),0)-IF(AND(Projects!$G$18="Yes",AJ$3&gt;=Projects!$C$18,AJ$3&lt;Projects!$C$18+Projects!$D$18),Projects!$B$18*(Assumptions!$B$10+Assumptions!$B$11+Assumptions!$B$12)/Projects!$D$18*0.95,0)-IF(AND(Projects!$G$18="Yes",AJ$3=Projects!$C$18+Projects!$D$18-1),Projects!$B$18*(Assumptions!$B$10+Assumptions!$B$11+Assumptions!$B$12)*0.05,0)</f>
        <v>0</v>
      </c>
      <c r="AK27" s="30" t="n">
        <f aca="false">IF(AND(Projects!$G$18="Yes",AK$3&gt;=Projects!$C$18,AK$3&lt;Projects!$C$18+Projects!$D$18),Projects!$B$18*INDEX(Curves!$B$4:$AR$4,1,AK$3-Projects!$C$18+1),0)-IF(AND(Projects!$G$18="Yes",AK$3&gt;=Projects!$C$18,AK$3&lt;Projects!$C$18+Projects!$D$18),Projects!$B$18*(Assumptions!$B$10+Assumptions!$B$11+Assumptions!$B$12)/Projects!$D$18*0.95,0)-IF(AND(Projects!$G$18="Yes",AK$3=Projects!$C$18+Projects!$D$18-1),Projects!$B$18*(Assumptions!$B$10+Assumptions!$B$11+Assumptions!$B$12)*0.05,0)</f>
        <v>0</v>
      </c>
      <c r="AL27" s="30" t="n">
        <f aca="false">IF(AND(Projects!$G$18="Yes",AL$3&gt;=Projects!$C$18,AL$3&lt;Projects!$C$18+Projects!$D$18),Projects!$B$18*INDEX(Curves!$B$4:$AR$4,1,AL$3-Projects!$C$18+1),0)-IF(AND(Projects!$G$18="Yes",AL$3&gt;=Projects!$C$18,AL$3&lt;Projects!$C$18+Projects!$D$18),Projects!$B$18*(Assumptions!$B$10+Assumptions!$B$11+Assumptions!$B$12)/Projects!$D$18*0.95,0)-IF(AND(Projects!$G$18="Yes",AL$3=Projects!$C$18+Projects!$D$18-1),Projects!$B$18*(Assumptions!$B$10+Assumptions!$B$11+Assumptions!$B$12)*0.05,0)</f>
        <v>0</v>
      </c>
      <c r="AM27" s="30" t="n">
        <f aca="false">IF(AND(Projects!$G$18="Yes",AM$3&gt;=Projects!$C$18,AM$3&lt;Projects!$C$18+Projects!$D$18),Projects!$B$18*INDEX(Curves!$B$4:$AR$4,1,AM$3-Projects!$C$18+1),0)-IF(AND(Projects!$G$18="Yes",AM$3&gt;=Projects!$C$18,AM$3&lt;Projects!$C$18+Projects!$D$18),Projects!$B$18*(Assumptions!$B$10+Assumptions!$B$11+Assumptions!$B$12)/Projects!$D$18*0.95,0)-IF(AND(Projects!$G$18="Yes",AM$3=Projects!$C$18+Projects!$D$18-1),Projects!$B$18*(Assumptions!$B$10+Assumptions!$B$11+Assumptions!$B$12)*0.05,0)</f>
        <v>0</v>
      </c>
      <c r="AN27" s="30" t="n">
        <f aca="false">IF(AND(Projects!$G$18="Yes",AN$3&gt;=Projects!$C$18,AN$3&lt;Projects!$C$18+Projects!$D$18),Projects!$B$18*INDEX(Curves!$B$4:$AR$4,1,AN$3-Projects!$C$18+1),0)-IF(AND(Projects!$G$18="Yes",AN$3&gt;=Projects!$C$18,AN$3&lt;Projects!$C$18+Projects!$D$18),Projects!$B$18*(Assumptions!$B$10+Assumptions!$B$11+Assumptions!$B$12)/Projects!$D$18*0.95,0)-IF(AND(Projects!$G$18="Yes",AN$3=Projects!$C$18+Projects!$D$18-1),Projects!$B$18*(Assumptions!$B$10+Assumptions!$B$11+Assumptions!$B$12)*0.05,0)</f>
        <v>0</v>
      </c>
      <c r="AO27" s="30" t="n">
        <f aca="false">IF(AND(Projects!$G$18="Yes",AO$3&gt;=Projects!$C$18,AO$3&lt;Projects!$C$18+Projects!$D$18),Projects!$B$18*INDEX(Curves!$B$4:$AR$4,1,AO$3-Projects!$C$18+1),0)-IF(AND(Projects!$G$18="Yes",AO$3&gt;=Projects!$C$18,AO$3&lt;Projects!$C$18+Projects!$D$18),Projects!$B$18*(Assumptions!$B$10+Assumptions!$B$11+Assumptions!$B$12)/Projects!$D$18*0.95,0)-IF(AND(Projects!$G$18="Yes",AO$3=Projects!$C$18+Projects!$D$18-1),Projects!$B$18*(Assumptions!$B$10+Assumptions!$B$11+Assumptions!$B$12)*0.05,0)</f>
        <v>0</v>
      </c>
      <c r="AP27" s="30" t="n">
        <f aca="false">IF(AND(Projects!$G$18="Yes",AP$3&gt;=Projects!$C$18,AP$3&lt;Projects!$C$18+Projects!$D$18),Projects!$B$18*INDEX(Curves!$B$4:$AR$4,1,AP$3-Projects!$C$18+1),0)-IF(AND(Projects!$G$18="Yes",AP$3&gt;=Projects!$C$18,AP$3&lt;Projects!$C$18+Projects!$D$18),Projects!$B$18*(Assumptions!$B$10+Assumptions!$B$11+Assumptions!$B$12)/Projects!$D$18*0.95,0)-IF(AND(Projects!$G$18="Yes",AP$3=Projects!$C$18+Projects!$D$18-1),Projects!$B$18*(Assumptions!$B$10+Assumptions!$B$11+Assumptions!$B$12)*0.05,0)</f>
        <v>0</v>
      </c>
      <c r="AQ27" s="30" t="n">
        <f aca="false">IF(AND(Projects!$G$18="Yes",AQ$3&gt;=Projects!$C$18,AQ$3&lt;Projects!$C$18+Projects!$D$18),Projects!$B$18*INDEX(Curves!$B$4:$AR$4,1,AQ$3-Projects!$C$18+1),0)-IF(AND(Projects!$G$18="Yes",AQ$3&gt;=Projects!$C$18,AQ$3&lt;Projects!$C$18+Projects!$D$18),Projects!$B$18*(Assumptions!$B$10+Assumptions!$B$11+Assumptions!$B$12)/Projects!$D$18*0.95,0)-IF(AND(Projects!$G$18="Yes",AQ$3=Projects!$C$18+Projects!$D$18-1),Projects!$B$18*(Assumptions!$B$10+Assumptions!$B$11+Assumptions!$B$12)*0.05,0)</f>
        <v>0</v>
      </c>
      <c r="AR27" s="30" t="n">
        <f aca="false">IF(AND(Projects!$G$18="Yes",AR$3&gt;=Projects!$C$18,AR$3&lt;Projects!$C$18+Projects!$D$18),Projects!$B$18*INDEX(Curves!$B$4:$AR$4,1,AR$3-Projects!$C$18+1),0)-IF(AND(Projects!$G$18="Yes",AR$3&gt;=Projects!$C$18,AR$3&lt;Projects!$C$18+Projects!$D$18),Projects!$B$18*(Assumptions!$B$10+Assumptions!$B$11+Assumptions!$B$12)/Projects!$D$18*0.95,0)-IF(AND(Projects!$G$18="Yes",AR$3=Projects!$C$18+Projects!$D$18-1),Projects!$B$18*(Assumptions!$B$10+Assumptions!$B$11+Assumptions!$B$12)*0.05,0)</f>
        <v>0</v>
      </c>
      <c r="AS27" s="30" t="n">
        <f aca="false">IF(AND(Projects!$G$18="Yes",AS$3&gt;=Projects!$C$18,AS$3&lt;Projects!$C$18+Projects!$D$18),Projects!$B$18*INDEX(Curves!$B$4:$AR$4,1,AS$3-Projects!$C$18+1),0)-IF(AND(Projects!$G$18="Yes",AS$3&gt;=Projects!$C$18,AS$3&lt;Projects!$C$18+Projects!$D$18),Projects!$B$18*(Assumptions!$B$10+Assumptions!$B$11+Assumptions!$B$12)/Projects!$D$18*0.95,0)-IF(AND(Projects!$G$18="Yes",AS$3=Projects!$C$18+Projects!$D$18-1),Projects!$B$18*(Assumptions!$B$10+Assumptions!$B$11+Assumptions!$B$12)*0.05,0)</f>
        <v>0</v>
      </c>
      <c r="AT27" s="30" t="n">
        <f aca="false">IF(AND(Projects!$G$18="Yes",AT$3&gt;=Projects!$C$18,AT$3&lt;Projects!$C$18+Projects!$D$18),Projects!$B$18*INDEX(Curves!$B$4:$AR$4,1,AT$3-Projects!$C$18+1),0)-IF(AND(Projects!$G$18="Yes",AT$3&gt;=Projects!$C$18,AT$3&lt;Projects!$C$18+Projects!$D$18),Projects!$B$18*(Assumptions!$B$10+Assumptions!$B$11+Assumptions!$B$12)/Projects!$D$18*0.95,0)-IF(AND(Projects!$G$18="Yes",AT$3=Projects!$C$18+Projects!$D$18-1),Projects!$B$18*(Assumptions!$B$10+Assumptions!$B$11+Assumptions!$B$12)*0.05,0)</f>
        <v>0</v>
      </c>
      <c r="AU27" s="30" t="n">
        <f aca="false">IF(AND(Projects!$G$18="Yes",AU$3&gt;=Projects!$C$18,AU$3&lt;Projects!$C$18+Projects!$D$18),Projects!$B$18*INDEX(Curves!$B$4:$AR$4,1,AU$3-Projects!$C$18+1),0)-IF(AND(Projects!$G$18="Yes",AU$3&gt;=Projects!$C$18,AU$3&lt;Projects!$C$18+Projects!$D$18),Projects!$B$18*(Assumptions!$B$10+Assumptions!$B$11+Assumptions!$B$12)/Projects!$D$18*0.95,0)-IF(AND(Projects!$G$18="Yes",AU$3=Projects!$C$18+Projects!$D$18-1),Projects!$B$18*(Assumptions!$B$10+Assumptions!$B$11+Assumptions!$B$12)*0.05,0)</f>
        <v>0</v>
      </c>
      <c r="AV27" s="30" t="n">
        <f aca="false">IF(AND(Projects!$G$18="Yes",AV$3&gt;=Projects!$C$18,AV$3&lt;Projects!$C$18+Projects!$D$18),Projects!$B$18*INDEX(Curves!$B$4:$AR$4,1,AV$3-Projects!$C$18+1),0)-IF(AND(Projects!$G$18="Yes",AV$3&gt;=Projects!$C$18,AV$3&lt;Projects!$C$18+Projects!$D$18),Projects!$B$18*(Assumptions!$B$10+Assumptions!$B$11+Assumptions!$B$12)/Projects!$D$18*0.95,0)-IF(AND(Projects!$G$18="Yes",AV$3=Projects!$C$18+Projects!$D$18-1),Projects!$B$18*(Assumptions!$B$10+Assumptions!$B$11+Assumptions!$B$12)*0.05,0)</f>
        <v>0</v>
      </c>
      <c r="AW27" s="30" t="n">
        <f aca="false">IF(AND(Projects!$G$18="Yes",AW$3&gt;=Projects!$C$18,AW$3&lt;Projects!$C$18+Projects!$D$18),Projects!$B$18*INDEX(Curves!$B$4:$AR$4,1,AW$3-Projects!$C$18+1),0)-IF(AND(Projects!$G$18="Yes",AW$3&gt;=Projects!$C$18,AW$3&lt;Projects!$C$18+Projects!$D$18),Projects!$B$18*(Assumptions!$B$10+Assumptions!$B$11+Assumptions!$B$12)/Projects!$D$18*0.95,0)-IF(AND(Projects!$G$18="Yes",AW$3=Projects!$C$18+Projects!$D$18-1),Projects!$B$18*(Assumptions!$B$10+Assumptions!$B$11+Assumptions!$B$12)*0.05,0)</f>
        <v>0</v>
      </c>
      <c r="AX27" s="30" t="n">
        <f aca="false">IF(AND(Projects!$G$18="Yes",AX$3&gt;=Projects!$C$18,AX$3&lt;Projects!$C$18+Projects!$D$18),Projects!$B$18*INDEX(Curves!$B$4:$AR$4,1,AX$3-Projects!$C$18+1),0)-IF(AND(Projects!$G$18="Yes",AX$3&gt;=Projects!$C$18,AX$3&lt;Projects!$C$18+Projects!$D$18),Projects!$B$18*(Assumptions!$B$10+Assumptions!$B$11+Assumptions!$B$12)/Projects!$D$18*0.95,0)-IF(AND(Projects!$G$18="Yes",AX$3=Projects!$C$18+Projects!$D$18-1),Projects!$B$18*(Assumptions!$B$10+Assumptions!$B$11+Assumptions!$B$12)*0.05,0)</f>
        <v>0</v>
      </c>
      <c r="AY27" s="30" t="n">
        <f aca="false">IF(AND(Projects!$G$18="Yes",AY$3&gt;=Projects!$C$18,AY$3&lt;Projects!$C$18+Projects!$D$18),Projects!$B$18*INDEX(Curves!$B$4:$AR$4,1,AY$3-Projects!$C$18+1),0)-IF(AND(Projects!$G$18="Yes",AY$3&gt;=Projects!$C$18,AY$3&lt;Projects!$C$18+Projects!$D$18),Projects!$B$18*(Assumptions!$B$10+Assumptions!$B$11+Assumptions!$B$12)/Projects!$D$18*0.95,0)-IF(AND(Projects!$G$18="Yes",AY$3=Projects!$C$18+Projects!$D$18-1),Projects!$B$18*(Assumptions!$B$10+Assumptions!$B$11+Assumptions!$B$12)*0.05,0)</f>
        <v>0</v>
      </c>
      <c r="AZ27" s="30" t="n">
        <f aca="false">IF(AND(Projects!$G$18="Yes",AZ$3&gt;=Projects!$C$18,AZ$3&lt;Projects!$C$18+Projects!$D$18),Projects!$B$18*INDEX(Curves!$B$4:$AR$4,1,AZ$3-Projects!$C$18+1),0)-IF(AND(Projects!$G$18="Yes",AZ$3&gt;=Projects!$C$18,AZ$3&lt;Projects!$C$18+Projects!$D$18),Projects!$B$18*(Assumptions!$B$10+Assumptions!$B$11+Assumptions!$B$12)/Projects!$D$18*0.95,0)-IF(AND(Projects!$G$18="Yes",AZ$3=Projects!$C$18+Projects!$D$18-1),Projects!$B$18*(Assumptions!$B$10+Assumptions!$B$11+Assumptions!$B$12)*0.05,0)</f>
        <v>0</v>
      </c>
      <c r="BA27" s="30" t="n">
        <f aca="false">IF(AND(Projects!$G$18="Yes",BA$3&gt;=Projects!$C$18,BA$3&lt;Projects!$C$18+Projects!$D$18),Projects!$B$18*INDEX(Curves!$B$4:$AR$4,1,BA$3-Projects!$C$18+1),0)-IF(AND(Projects!$G$18="Yes",BA$3&gt;=Projects!$C$18,BA$3&lt;Projects!$C$18+Projects!$D$18),Projects!$B$18*(Assumptions!$B$10+Assumptions!$B$11+Assumptions!$B$12)/Projects!$D$18*0.95,0)-IF(AND(Projects!$G$18="Yes",BA$3=Projects!$C$18+Projects!$D$18-1),Projects!$B$18*(Assumptions!$B$10+Assumptions!$B$11+Assumptions!$B$12)*0.05,0)</f>
        <v>0</v>
      </c>
      <c r="BB27" s="30" t="n">
        <f aca="false">IF(AND(Projects!$G$18="Yes",BB$3&gt;=Projects!$C$18,BB$3&lt;Projects!$C$18+Projects!$D$18),Projects!$B$18*INDEX(Curves!$B$4:$AR$4,1,BB$3-Projects!$C$18+1),0)-IF(AND(Projects!$G$18="Yes",BB$3&gt;=Projects!$C$18,BB$3&lt;Projects!$C$18+Projects!$D$18),Projects!$B$18*(Assumptions!$B$10+Assumptions!$B$11+Assumptions!$B$12)/Projects!$D$18*0.95,0)-IF(AND(Projects!$G$18="Yes",BB$3=Projects!$C$18+Projects!$D$18-1),Projects!$B$18*(Assumptions!$B$10+Assumptions!$B$11+Assumptions!$B$12)*0.05,0)</f>
        <v>0</v>
      </c>
      <c r="BC27" s="30" t="n">
        <f aca="false">IF(AND(Projects!$G$18="Yes",BC$3&gt;=Projects!$C$18,BC$3&lt;Projects!$C$18+Projects!$D$18),Projects!$B$18*INDEX(Curves!$B$4:$AR$4,1,BC$3-Projects!$C$18+1),0)-IF(AND(Projects!$G$18="Yes",BC$3&gt;=Projects!$C$18,BC$3&lt;Projects!$C$18+Projects!$D$18),Projects!$B$18*(Assumptions!$B$10+Assumptions!$B$11+Assumptions!$B$12)/Projects!$D$18*0.95,0)-IF(AND(Projects!$G$18="Yes",BC$3=Projects!$C$18+Projects!$D$18-1),Projects!$B$18*(Assumptions!$B$10+Assumptions!$B$11+Assumptions!$B$12)*0.05,0)</f>
        <v>0</v>
      </c>
      <c r="BD27" s="30" t="n">
        <f aca="false">IF(AND(Projects!$G$18="Yes",BD$3&gt;=Projects!$C$18,BD$3&lt;Projects!$C$18+Projects!$D$18),Projects!$B$18*INDEX(Curves!$B$4:$AR$4,1,BD$3-Projects!$C$18+1),0)-IF(AND(Projects!$G$18="Yes",BD$3&gt;=Projects!$C$18,BD$3&lt;Projects!$C$18+Projects!$D$18),Projects!$B$18*(Assumptions!$B$10+Assumptions!$B$11+Assumptions!$B$12)/Projects!$D$18*0.95,0)-IF(AND(Projects!$G$18="Yes",BD$3=Projects!$C$18+Projects!$D$18-1),Projects!$B$18*(Assumptions!$B$10+Assumptions!$B$11+Assumptions!$B$12)*0.05,0)</f>
        <v>0</v>
      </c>
      <c r="BE27" s="30" t="n">
        <f aca="false">IF(AND(Projects!$G$18="Yes",BE$3&gt;=Projects!$C$18,BE$3&lt;Projects!$C$18+Projects!$D$18),Projects!$B$18*INDEX(Curves!$B$4:$AR$4,1,BE$3-Projects!$C$18+1),0)-IF(AND(Projects!$G$18="Yes",BE$3&gt;=Projects!$C$18,BE$3&lt;Projects!$C$18+Projects!$D$18),Projects!$B$18*(Assumptions!$B$10+Assumptions!$B$11+Assumptions!$B$12)/Projects!$D$18*0.95,0)-IF(AND(Projects!$G$18="Yes",BE$3=Projects!$C$18+Projects!$D$18-1),Projects!$B$18*(Assumptions!$B$10+Assumptions!$B$11+Assumptions!$B$12)*0.05,0)</f>
        <v>0</v>
      </c>
      <c r="BF27" s="30" t="n">
        <f aca="false">IF(AND(Projects!$G$18="Yes",BF$3&gt;=Projects!$C$18,BF$3&lt;Projects!$C$18+Projects!$D$18),Projects!$B$18*INDEX(Curves!$B$4:$AR$4,1,BF$3-Projects!$C$18+1),0)-IF(AND(Projects!$G$18="Yes",BF$3&gt;=Projects!$C$18,BF$3&lt;Projects!$C$18+Projects!$D$18),Projects!$B$18*(Assumptions!$B$10+Assumptions!$B$11+Assumptions!$B$12)/Projects!$D$18*0.95,0)-IF(AND(Projects!$G$18="Yes",BF$3=Projects!$C$18+Projects!$D$18-1),Projects!$B$18*(Assumptions!$B$10+Assumptions!$B$11+Assumptions!$B$12)*0.05,0)</f>
        <v>0</v>
      </c>
      <c r="BG27" s="30" t="n">
        <f aca="false">IF(AND(Projects!$G$18="Yes",BG$3&gt;=Projects!$C$18,BG$3&lt;Projects!$C$18+Projects!$D$18),Projects!$B$18*INDEX(Curves!$B$4:$AR$4,1,BG$3-Projects!$C$18+1),0)-IF(AND(Projects!$G$18="Yes",BG$3&gt;=Projects!$C$18,BG$3&lt;Projects!$C$18+Projects!$D$18),Projects!$B$18*(Assumptions!$B$10+Assumptions!$B$11+Assumptions!$B$12)/Projects!$D$18*0.95,0)-IF(AND(Projects!$G$18="Yes",BG$3=Projects!$C$18+Projects!$D$18-1),Projects!$B$18*(Assumptions!$B$10+Assumptions!$B$11+Assumptions!$B$12)*0.05,0)</f>
        <v>0</v>
      </c>
      <c r="BH27" s="30" t="n">
        <f aca="false">IF(AND(Projects!$G$18="Yes",BH$3&gt;=Projects!$C$18,BH$3&lt;Projects!$C$18+Projects!$D$18),Projects!$B$18*INDEX(Curves!$B$4:$AR$4,1,BH$3-Projects!$C$18+1),0)-IF(AND(Projects!$G$18="Yes",BH$3&gt;=Projects!$C$18,BH$3&lt;Projects!$C$18+Projects!$D$18),Projects!$B$18*(Assumptions!$B$10+Assumptions!$B$11+Assumptions!$B$12)/Projects!$D$18*0.95,0)-IF(AND(Projects!$G$18="Yes",BH$3=Projects!$C$18+Projects!$D$18-1),Projects!$B$18*(Assumptions!$B$10+Assumptions!$B$11+Assumptions!$B$12)*0.05,0)</f>
        <v>0</v>
      </c>
      <c r="BI27" s="30" t="n">
        <f aca="false">IF(AND(Projects!$G$18="Yes",BI$3&gt;=Projects!$C$18,BI$3&lt;Projects!$C$18+Projects!$D$18),Projects!$B$18*INDEX(Curves!$B$4:$AR$4,1,BI$3-Projects!$C$18+1),0)-IF(AND(Projects!$G$18="Yes",BI$3&gt;=Projects!$C$18,BI$3&lt;Projects!$C$18+Projects!$D$18),Projects!$B$18*(Assumptions!$B$10+Assumptions!$B$11+Assumptions!$B$12)/Projects!$D$18*0.95,0)-IF(AND(Projects!$G$18="Yes",BI$3=Projects!$C$18+Projects!$D$18-1),Projects!$B$18*(Assumptions!$B$10+Assumptions!$B$11+Assumptions!$B$12)*0.05,0)</f>
        <v>0</v>
      </c>
      <c r="BJ27" s="30" t="n">
        <f aca="false">IF(AND(Projects!$G$18="Yes",BJ$3&gt;=Projects!$C$18,BJ$3&lt;Projects!$C$18+Projects!$D$18),Projects!$B$18*INDEX(Curves!$B$4:$AR$4,1,BJ$3-Projects!$C$18+1),0)-IF(AND(Projects!$G$18="Yes",BJ$3&gt;=Projects!$C$18,BJ$3&lt;Projects!$C$18+Projects!$D$18),Projects!$B$18*(Assumptions!$B$10+Assumptions!$B$11+Assumptions!$B$12)/Projects!$D$18*0.95,0)-IF(AND(Projects!$G$18="Yes",BJ$3=Projects!$C$18+Projects!$D$18-1),Projects!$B$18*(Assumptions!$B$10+Assumptions!$B$11+Assumptions!$B$12)*0.05,0)</f>
        <v>0</v>
      </c>
      <c r="BK27" s="30" t="n">
        <f aca="false">IF(AND(Projects!$G$18="Yes",BK$3&gt;=Projects!$C$18,BK$3&lt;Projects!$C$18+Projects!$D$18),Projects!$B$18*INDEX(Curves!$B$4:$AR$4,1,BK$3-Projects!$C$18+1),0)-IF(AND(Projects!$G$18="Yes",BK$3&gt;=Projects!$C$18,BK$3&lt;Projects!$C$18+Projects!$D$18),Projects!$B$18*(Assumptions!$B$10+Assumptions!$B$11+Assumptions!$B$12)/Projects!$D$18*0.95,0)-IF(AND(Projects!$G$18="Yes",BK$3=Projects!$C$18+Projects!$D$18-1),Projects!$B$18*(Assumptions!$B$10+Assumptions!$B$11+Assumptions!$B$12)*0.05,0)</f>
        <v>0</v>
      </c>
      <c r="BL27" s="30" t="n">
        <f aca="false">IF(AND(Projects!$G$18="Yes",BL$3&gt;=Projects!$C$18,BL$3&lt;Projects!$C$18+Projects!$D$18),Projects!$B$18*INDEX(Curves!$B$4:$AR$4,1,BL$3-Projects!$C$18+1),0)-IF(AND(Projects!$G$18="Yes",BL$3&gt;=Projects!$C$18,BL$3&lt;Projects!$C$18+Projects!$D$18),Projects!$B$18*(Assumptions!$B$10+Assumptions!$B$11+Assumptions!$B$12)/Projects!$D$18*0.95,0)-IF(AND(Projects!$G$18="Yes",BL$3=Projects!$C$18+Projects!$D$18-1),Projects!$B$18*(Assumptions!$B$10+Assumptions!$B$11+Assumptions!$B$12)*0.05,0)</f>
        <v>0</v>
      </c>
      <c r="BM27" s="30" t="n">
        <f aca="false">IF(AND(Projects!$G$18="Yes",BM$3&gt;=Projects!$C$18,BM$3&lt;Projects!$C$18+Projects!$D$18),Projects!$B$18*INDEX(Curves!$B$4:$AR$4,1,BM$3-Projects!$C$18+1),0)-IF(AND(Projects!$G$18="Yes",BM$3&gt;=Projects!$C$18,BM$3&lt;Projects!$C$18+Projects!$D$18),Projects!$B$18*(Assumptions!$B$10+Assumptions!$B$11+Assumptions!$B$12)/Projects!$D$18*0.95,0)-IF(AND(Projects!$G$18="Yes",BM$3=Projects!$C$18+Projects!$D$18-1),Projects!$B$18*(Assumptions!$B$10+Assumptions!$B$11+Assumptions!$B$12)*0.05,0)</f>
        <v>0</v>
      </c>
      <c r="BN27" s="30" t="n">
        <f aca="false">IF(AND(Projects!$G$18="Yes",BN$3&gt;=Projects!$C$18,BN$3&lt;Projects!$C$18+Projects!$D$18),Projects!$B$18*INDEX(Curves!$B$4:$AR$4,1,BN$3-Projects!$C$18+1),0)-IF(AND(Projects!$G$18="Yes",BN$3&gt;=Projects!$C$18,BN$3&lt;Projects!$C$18+Projects!$D$18),Projects!$B$18*(Assumptions!$B$10+Assumptions!$B$11+Assumptions!$B$12)/Projects!$D$18*0.95,0)-IF(AND(Projects!$G$18="Yes",BN$3=Projects!$C$18+Projects!$D$18-1),Projects!$B$18*(Assumptions!$B$10+Assumptions!$B$11+Assumptions!$B$12)*0.05,0)</f>
        <v>0</v>
      </c>
      <c r="BO27" s="30" t="n">
        <f aca="false">IF(AND(Projects!$G$18="Yes",BO$3&gt;=Projects!$C$18,BO$3&lt;Projects!$C$18+Projects!$D$18),Projects!$B$18*INDEX(Curves!$B$4:$AR$4,1,BO$3-Projects!$C$18+1),0)-IF(AND(Projects!$G$18="Yes",BO$3&gt;=Projects!$C$18,BO$3&lt;Projects!$C$18+Projects!$D$18),Projects!$B$18*(Assumptions!$B$10+Assumptions!$B$11+Assumptions!$B$12)/Projects!$D$18*0.95,0)-IF(AND(Projects!$G$18="Yes",BO$3=Projects!$C$18+Projects!$D$18-1),Projects!$B$18*(Assumptions!$B$10+Assumptions!$B$11+Assumptions!$B$12)*0.05,0)</f>
        <v>0</v>
      </c>
      <c r="BP27" s="30" t="n">
        <f aca="false">IF(AND(Projects!$G$18="Yes",BP$3&gt;=Projects!$C$18,BP$3&lt;Projects!$C$18+Projects!$D$18),Projects!$B$18*INDEX(Curves!$B$4:$AR$4,1,BP$3-Projects!$C$18+1),0)-IF(AND(Projects!$G$18="Yes",BP$3&gt;=Projects!$C$18,BP$3&lt;Projects!$C$18+Projects!$D$18),Projects!$B$18*(Assumptions!$B$10+Assumptions!$B$11+Assumptions!$B$12)/Projects!$D$18*0.95,0)-IF(AND(Projects!$G$18="Yes",BP$3=Projects!$C$18+Projects!$D$18-1),Projects!$B$18*(Assumptions!$B$10+Assumptions!$B$11+Assumptions!$B$12)*0.05,0)</f>
        <v>0</v>
      </c>
      <c r="BQ27" s="30" t="n">
        <f aca="false">IF(AND(Projects!$G$18="Yes",BQ$3&gt;=Projects!$C$18,BQ$3&lt;Projects!$C$18+Projects!$D$18),Projects!$B$18*INDEX(Curves!$B$4:$AR$4,1,BQ$3-Projects!$C$18+1),0)-IF(AND(Projects!$G$18="Yes",BQ$3&gt;=Projects!$C$18,BQ$3&lt;Projects!$C$18+Projects!$D$18),Projects!$B$18*(Assumptions!$B$10+Assumptions!$B$11+Assumptions!$B$12)/Projects!$D$18*0.95,0)-IF(AND(Projects!$G$18="Yes",BQ$3=Projects!$C$18+Projects!$D$18-1),Projects!$B$18*(Assumptions!$B$10+Assumptions!$B$11+Assumptions!$B$12)*0.05,0)</f>
        <v>0</v>
      </c>
      <c r="BR27" s="30" t="n">
        <f aca="false">IF(AND(Projects!$G$18="Yes",BR$3&gt;=Projects!$C$18,BR$3&lt;Projects!$C$18+Projects!$D$18),Projects!$B$18*INDEX(Curves!$B$4:$AR$4,1,BR$3-Projects!$C$18+1),0)-IF(AND(Projects!$G$18="Yes",BR$3&gt;=Projects!$C$18,BR$3&lt;Projects!$C$18+Projects!$D$18),Projects!$B$18*(Assumptions!$B$10+Assumptions!$B$11+Assumptions!$B$12)/Projects!$D$18*0.95,0)-IF(AND(Projects!$G$18="Yes",BR$3=Projects!$C$18+Projects!$D$18-1),Projects!$B$18*(Assumptions!$B$10+Assumptions!$B$11+Assumptions!$B$12)*0.05,0)</f>
        <v>0</v>
      </c>
      <c r="BS27" s="30" t="n">
        <f aca="false">IF(AND(Projects!$G$18="Yes",BS$3&gt;=Projects!$C$18,BS$3&lt;Projects!$C$18+Projects!$D$18),Projects!$B$18*INDEX(Curves!$B$4:$AR$4,1,BS$3-Projects!$C$18+1),0)-IF(AND(Projects!$G$18="Yes",BS$3&gt;=Projects!$C$18,BS$3&lt;Projects!$C$18+Projects!$D$18),Projects!$B$18*(Assumptions!$B$10+Assumptions!$B$11+Assumptions!$B$12)/Projects!$D$18*0.95,0)-IF(AND(Projects!$G$18="Yes",BS$3=Projects!$C$18+Projects!$D$18-1),Projects!$B$18*(Assumptions!$B$10+Assumptions!$B$11+Assumptions!$B$12)*0.05,0)</f>
        <v>0</v>
      </c>
      <c r="BT27" s="30" t="n">
        <f aca="false">IF(AND(Projects!$G$18="Yes",BT$3&gt;=Projects!$C$18,BT$3&lt;Projects!$C$18+Projects!$D$18),Projects!$B$18*INDEX(Curves!$B$4:$AR$4,1,BT$3-Projects!$C$18+1),0)-IF(AND(Projects!$G$18="Yes",BT$3&gt;=Projects!$C$18,BT$3&lt;Projects!$C$18+Projects!$D$18),Projects!$B$18*(Assumptions!$B$10+Assumptions!$B$11+Assumptions!$B$12)/Projects!$D$18*0.95,0)-IF(AND(Projects!$G$18="Yes",BT$3=Projects!$C$18+Projects!$D$18-1),Projects!$B$18*(Assumptions!$B$10+Assumptions!$B$11+Assumptions!$B$12)*0.05,0)</f>
        <v>0</v>
      </c>
      <c r="BU27" s="30" t="n">
        <f aca="false">IF(AND(Projects!$G$18="Yes",BU$3&gt;=Projects!$C$18,BU$3&lt;Projects!$C$18+Projects!$D$18),Projects!$B$18*INDEX(Curves!$B$4:$AR$4,1,BU$3-Projects!$C$18+1),0)-IF(AND(Projects!$G$18="Yes",BU$3&gt;=Projects!$C$18,BU$3&lt;Projects!$C$18+Projects!$D$18),Projects!$B$18*(Assumptions!$B$10+Assumptions!$B$11+Assumptions!$B$12)/Projects!$D$18*0.95,0)-IF(AND(Projects!$G$18="Yes",BU$3=Projects!$C$18+Projects!$D$18-1),Projects!$B$18*(Assumptions!$B$10+Assumptions!$B$11+Assumptions!$B$12)*0.05,0)</f>
        <v>0</v>
      </c>
      <c r="BV27" s="30" t="n">
        <f aca="false">IF(AND(Projects!$G$18="Yes",BV$3&gt;=Projects!$C$18,BV$3&lt;Projects!$C$18+Projects!$D$18),Projects!$B$18*INDEX(Curves!$B$4:$AR$4,1,BV$3-Projects!$C$18+1),0)-IF(AND(Projects!$G$18="Yes",BV$3&gt;=Projects!$C$18,BV$3&lt;Projects!$C$18+Projects!$D$18),Projects!$B$18*(Assumptions!$B$10+Assumptions!$B$11+Assumptions!$B$12)/Projects!$D$18*0.95,0)-IF(AND(Projects!$G$18="Yes",BV$3=Projects!$C$18+Projects!$D$18-1),Projects!$B$18*(Assumptions!$B$10+Assumptions!$B$11+Assumptions!$B$12)*0.05,0)</f>
        <v>0</v>
      </c>
      <c r="BW27" s="30" t="n">
        <f aca="false">IF(AND(Projects!$G$18="Yes",BW$3&gt;=Projects!$C$18,BW$3&lt;Projects!$C$18+Projects!$D$18),Projects!$B$18*INDEX(Curves!$B$4:$AR$4,1,BW$3-Projects!$C$18+1),0)-IF(AND(Projects!$G$18="Yes",BW$3&gt;=Projects!$C$18,BW$3&lt;Projects!$C$18+Projects!$D$18),Projects!$B$18*(Assumptions!$B$10+Assumptions!$B$11+Assumptions!$B$12)/Projects!$D$18*0.95,0)-IF(AND(Projects!$G$18="Yes",BW$3=Projects!$C$18+Projects!$D$18-1),Projects!$B$18*(Assumptions!$B$10+Assumptions!$B$11+Assumptions!$B$12)*0.05,0)</f>
        <v>0</v>
      </c>
      <c r="BX27" s="30" t="n">
        <f aca="false">IF(AND(Projects!$G$18="Yes",BX$3&gt;=Projects!$C$18,BX$3&lt;Projects!$C$18+Projects!$D$18),Projects!$B$18*INDEX(Curves!$B$4:$AR$4,1,BX$3-Projects!$C$18+1),0)-IF(AND(Projects!$G$18="Yes",BX$3&gt;=Projects!$C$18,BX$3&lt;Projects!$C$18+Projects!$D$18),Projects!$B$18*(Assumptions!$B$10+Assumptions!$B$11+Assumptions!$B$12)/Projects!$D$18*0.95,0)-IF(AND(Projects!$G$18="Yes",BX$3=Projects!$C$18+Projects!$D$18-1),Projects!$B$18*(Assumptions!$B$10+Assumptions!$B$11+Assumptions!$B$12)*0.05,0)</f>
        <v>0</v>
      </c>
      <c r="BY27" s="30" t="n">
        <f aca="false">IF(AND(Projects!$G$18="Yes",BY$3&gt;=Projects!$C$18,BY$3&lt;Projects!$C$18+Projects!$D$18),Projects!$B$18*INDEX(Curves!$B$4:$AR$4,1,BY$3-Projects!$C$18+1),0)-IF(AND(Projects!$G$18="Yes",BY$3&gt;=Projects!$C$18,BY$3&lt;Projects!$C$18+Projects!$D$18),Projects!$B$18*(Assumptions!$B$10+Assumptions!$B$11+Assumptions!$B$12)/Projects!$D$18*0.95,0)-IF(AND(Projects!$G$18="Yes",BY$3=Projects!$C$18+Projects!$D$18-1),Projects!$B$18*(Assumptions!$B$10+Assumptions!$B$11+Assumptions!$B$12)*0.05,0)</f>
        <v>0</v>
      </c>
      <c r="BZ27" s="30" t="n">
        <f aca="false">IF(AND(Projects!$G$18="Yes",BZ$3&gt;=Projects!$C$18,BZ$3&lt;Projects!$C$18+Projects!$D$18),Projects!$B$18*INDEX(Curves!$B$4:$AR$4,1,BZ$3-Projects!$C$18+1),0)-IF(AND(Projects!$G$18="Yes",BZ$3&gt;=Projects!$C$18,BZ$3&lt;Projects!$C$18+Projects!$D$18),Projects!$B$18*(Assumptions!$B$10+Assumptions!$B$11+Assumptions!$B$12)/Projects!$D$18*0.95,0)-IF(AND(Projects!$G$18="Yes",BZ$3=Projects!$C$18+Projects!$D$18-1),Projects!$B$18*(Assumptions!$B$10+Assumptions!$B$11+Assumptions!$B$12)*0.05,0)</f>
        <v>0</v>
      </c>
      <c r="CA27" s="30" t="n">
        <f aca="false">IF(AND(Projects!$G$18="Yes",CA$3&gt;=Projects!$C$18,CA$3&lt;Projects!$C$18+Projects!$D$18),Projects!$B$18*INDEX(Curves!$B$4:$AR$4,1,CA$3-Projects!$C$18+1),0)-IF(AND(Projects!$G$18="Yes",CA$3&gt;=Projects!$C$18,CA$3&lt;Projects!$C$18+Projects!$D$18),Projects!$B$18*(Assumptions!$B$10+Assumptions!$B$11+Assumptions!$B$12)/Projects!$D$18*0.95,0)-IF(AND(Projects!$G$18="Yes",CA$3=Projects!$C$18+Projects!$D$18-1),Projects!$B$18*(Assumptions!$B$10+Assumptions!$B$11+Assumptions!$B$12)*0.05,0)</f>
        <v>0</v>
      </c>
      <c r="CB27" s="30" t="n">
        <f aca="false">IF(AND(Projects!$G$18="Yes",CB$3&gt;=Projects!$C$18,CB$3&lt;Projects!$C$18+Projects!$D$18),Projects!$B$18*INDEX(Curves!$B$4:$AR$4,1,CB$3-Projects!$C$18+1),0)-IF(AND(Projects!$G$18="Yes",CB$3&gt;=Projects!$C$18,CB$3&lt;Projects!$C$18+Projects!$D$18),Projects!$B$18*(Assumptions!$B$10+Assumptions!$B$11+Assumptions!$B$12)/Projects!$D$18*0.95,0)-IF(AND(Projects!$G$18="Yes",CB$3=Projects!$C$18+Projects!$D$18-1),Projects!$B$18*(Assumptions!$B$10+Assumptions!$B$11+Assumptions!$B$12)*0.05,0)</f>
        <v>0</v>
      </c>
      <c r="CC27" s="30" t="n">
        <f aca="false">IF(AND(Projects!$G$18="Yes",CC$3&gt;=Projects!$C$18,CC$3&lt;Projects!$C$18+Projects!$D$18),Projects!$B$18*INDEX(Curves!$B$4:$AR$4,1,CC$3-Projects!$C$18+1),0)-IF(AND(Projects!$G$18="Yes",CC$3&gt;=Projects!$C$18,CC$3&lt;Projects!$C$18+Projects!$D$18),Projects!$B$18*(Assumptions!$B$10+Assumptions!$B$11+Assumptions!$B$12)/Projects!$D$18*0.95,0)-IF(AND(Projects!$G$18="Yes",CC$3=Projects!$C$18+Projects!$D$18-1),Projects!$B$18*(Assumptions!$B$10+Assumptions!$B$11+Assumptions!$B$12)*0.05,0)</f>
        <v>0</v>
      </c>
      <c r="CD27" s="30" t="n">
        <f aca="false">IF(AND(Projects!$G$18="Yes",CD$3&gt;=Projects!$C$18,CD$3&lt;Projects!$C$18+Projects!$D$18),Projects!$B$18*INDEX(Curves!$B$4:$AR$4,1,CD$3-Projects!$C$18+1),0)-IF(AND(Projects!$G$18="Yes",CD$3&gt;=Projects!$C$18,CD$3&lt;Projects!$C$18+Projects!$D$18),Projects!$B$18*(Assumptions!$B$10+Assumptions!$B$11+Assumptions!$B$12)/Projects!$D$18*0.95,0)-IF(AND(Projects!$G$18="Yes",CD$3=Projects!$C$18+Projects!$D$18-1),Projects!$B$18*(Assumptions!$B$10+Assumptions!$B$11+Assumptions!$B$12)*0.05,0)</f>
        <v>0</v>
      </c>
      <c r="CE27" s="30" t="n">
        <f aca="false">IF(AND(Projects!$G$18="Yes",CE$3&gt;=Projects!$C$18,CE$3&lt;Projects!$C$18+Projects!$D$18),Projects!$B$18*INDEX(Curves!$B$4:$AR$4,1,CE$3-Projects!$C$18+1),0)-IF(AND(Projects!$G$18="Yes",CE$3&gt;=Projects!$C$18,CE$3&lt;Projects!$C$18+Projects!$D$18),Projects!$B$18*(Assumptions!$B$10+Assumptions!$B$11+Assumptions!$B$12)/Projects!$D$18*0.95,0)-IF(AND(Projects!$G$18="Yes",CE$3=Projects!$C$18+Projects!$D$18-1),Projects!$B$18*(Assumptions!$B$10+Assumptions!$B$11+Assumptions!$B$12)*0.05,0)</f>
        <v>0</v>
      </c>
      <c r="CF27" s="30" t="n">
        <f aca="false">IF(AND(Projects!$G$18="Yes",CF$3&gt;=Projects!$C$18,CF$3&lt;Projects!$C$18+Projects!$D$18),Projects!$B$18*INDEX(Curves!$B$4:$AR$4,1,CF$3-Projects!$C$18+1),0)-IF(AND(Projects!$G$18="Yes",CF$3&gt;=Projects!$C$18,CF$3&lt;Projects!$C$18+Projects!$D$18),Projects!$B$18*(Assumptions!$B$10+Assumptions!$B$11+Assumptions!$B$12)/Projects!$D$18*0.95,0)-IF(AND(Projects!$G$18="Yes",CF$3=Projects!$C$18+Projects!$D$18-1),Projects!$B$18*(Assumptions!$B$10+Assumptions!$B$11+Assumptions!$B$12)*0.05,0)</f>
        <v>0</v>
      </c>
      <c r="CG27" s="30" t="n">
        <f aca="false">IF(AND(Projects!$G$18="Yes",CG$3&gt;=Projects!$C$18,CG$3&lt;Projects!$C$18+Projects!$D$18),Projects!$B$18*INDEX(Curves!$B$4:$AR$4,1,CG$3-Projects!$C$18+1),0)-IF(AND(Projects!$G$18="Yes",CG$3&gt;=Projects!$C$18,CG$3&lt;Projects!$C$18+Projects!$D$18),Projects!$B$18*(Assumptions!$B$10+Assumptions!$B$11+Assumptions!$B$12)/Projects!$D$18*0.95,0)-IF(AND(Projects!$G$18="Yes",CG$3=Projects!$C$18+Projects!$D$18-1),Projects!$B$18*(Assumptions!$B$10+Assumptions!$B$11+Assumptions!$B$12)*0.05,0)</f>
        <v>0</v>
      </c>
      <c r="CH27" s="30" t="n">
        <f aca="false">IF(AND(Projects!$G$18="Yes",CH$3&gt;=Projects!$C$18,CH$3&lt;Projects!$C$18+Projects!$D$18),Projects!$B$18*INDEX(Curves!$B$4:$AR$4,1,CH$3-Projects!$C$18+1),0)-IF(AND(Projects!$G$18="Yes",CH$3&gt;=Projects!$C$18,CH$3&lt;Projects!$C$18+Projects!$D$18),Projects!$B$18*(Assumptions!$B$10+Assumptions!$B$11+Assumptions!$B$12)/Projects!$D$18*0.95,0)-IF(AND(Projects!$G$18="Yes",CH$3=Projects!$C$18+Projects!$D$18-1),Projects!$B$18*(Assumptions!$B$10+Assumptions!$B$11+Assumptions!$B$12)*0.05,0)</f>
        <v>0</v>
      </c>
      <c r="CI27" s="30" t="n">
        <f aca="false">IF(AND(Projects!$G$18="Yes",CI$3&gt;=Projects!$C$18,CI$3&lt;Projects!$C$18+Projects!$D$18),Projects!$B$18*INDEX(Curves!$B$4:$AR$4,1,CI$3-Projects!$C$18+1),0)-IF(AND(Projects!$G$18="Yes",CI$3&gt;=Projects!$C$18,CI$3&lt;Projects!$C$18+Projects!$D$18),Projects!$B$18*(Assumptions!$B$10+Assumptions!$B$11+Assumptions!$B$12)/Projects!$D$18*0.95,0)-IF(AND(Projects!$G$18="Yes",CI$3=Projects!$C$18+Projects!$D$18-1),Projects!$B$18*(Assumptions!$B$10+Assumptions!$B$11+Assumptions!$B$12)*0.05,0)</f>
        <v>0</v>
      </c>
      <c r="CJ27" s="30" t="n">
        <f aca="false">IF(AND(Projects!$G$18="Yes",CJ$3&gt;=Projects!$C$18,CJ$3&lt;Projects!$C$18+Projects!$D$18),Projects!$B$18*INDEX(Curves!$B$4:$AR$4,1,CJ$3-Projects!$C$18+1),0)-IF(AND(Projects!$G$18="Yes",CJ$3&gt;=Projects!$C$18,CJ$3&lt;Projects!$C$18+Projects!$D$18),Projects!$B$18*(Assumptions!$B$10+Assumptions!$B$11+Assumptions!$B$12)/Projects!$D$18*0.95,0)-IF(AND(Projects!$G$18="Yes",CJ$3=Projects!$C$18+Projects!$D$18-1),Projects!$B$18*(Assumptions!$B$10+Assumptions!$B$11+Assumptions!$B$12)*0.05,0)</f>
        <v>0</v>
      </c>
      <c r="CK27" s="30" t="n">
        <f aca="false">IF(AND(Projects!$G$18="Yes",CK$3&gt;=Projects!$C$18,CK$3&lt;Projects!$C$18+Projects!$D$18),Projects!$B$18*INDEX(Curves!$B$4:$AR$4,1,CK$3-Projects!$C$18+1),0)-IF(AND(Projects!$G$18="Yes",CK$3&gt;=Projects!$C$18,CK$3&lt;Projects!$C$18+Projects!$D$18),Projects!$B$18*(Assumptions!$B$10+Assumptions!$B$11+Assumptions!$B$12)/Projects!$D$18*0.95,0)-IF(AND(Projects!$G$18="Yes",CK$3=Projects!$C$18+Projects!$D$18-1),Projects!$B$18*(Assumptions!$B$10+Assumptions!$B$11+Assumptions!$B$12)*0.05,0)</f>
        <v>0</v>
      </c>
      <c r="CL27" s="30" t="n">
        <f aca="false">IF(AND(Projects!$G$18="Yes",CL$3&gt;=Projects!$C$18,CL$3&lt;Projects!$C$18+Projects!$D$18),Projects!$B$18*INDEX(Curves!$B$4:$AR$4,1,CL$3-Projects!$C$18+1),0)-IF(AND(Projects!$G$18="Yes",CL$3&gt;=Projects!$C$18,CL$3&lt;Projects!$C$18+Projects!$D$18),Projects!$B$18*(Assumptions!$B$10+Assumptions!$B$11+Assumptions!$B$12)/Projects!$D$18*0.95,0)-IF(AND(Projects!$G$18="Yes",CL$3=Projects!$C$18+Projects!$D$18-1),Projects!$B$18*(Assumptions!$B$10+Assumptions!$B$11+Assumptions!$B$12)*0.05,0)</f>
        <v>0</v>
      </c>
      <c r="CM27" s="30" t="n">
        <f aca="false">IF(AND(Projects!$G$18="Yes",CM$3&gt;=Projects!$C$18,CM$3&lt;Projects!$C$18+Projects!$D$18),Projects!$B$18*INDEX(Curves!$B$4:$AR$4,1,CM$3-Projects!$C$18+1),0)-IF(AND(Projects!$G$18="Yes",CM$3&gt;=Projects!$C$18,CM$3&lt;Projects!$C$18+Projects!$D$18),Projects!$B$18*(Assumptions!$B$10+Assumptions!$B$11+Assumptions!$B$12)/Projects!$D$18*0.95,0)-IF(AND(Projects!$G$18="Yes",CM$3=Projects!$C$18+Projects!$D$18-1),Projects!$B$18*(Assumptions!$B$10+Assumptions!$B$11+Assumptions!$B$12)*0.05,0)</f>
        <v>0</v>
      </c>
      <c r="CN27" s="30" t="n">
        <f aca="false">IF(AND(Projects!$G$18="Yes",CN$3&gt;=Projects!$C$18,CN$3&lt;Projects!$C$18+Projects!$D$18),Projects!$B$18*INDEX(Curves!$B$4:$AR$4,1,CN$3-Projects!$C$18+1),0)-IF(AND(Projects!$G$18="Yes",CN$3&gt;=Projects!$C$18,CN$3&lt;Projects!$C$18+Projects!$D$18),Projects!$B$18*(Assumptions!$B$10+Assumptions!$B$11+Assumptions!$B$12)/Projects!$D$18*0.95,0)-IF(AND(Projects!$G$18="Yes",CN$3=Projects!$C$18+Projects!$D$18-1),Projects!$B$18*(Assumptions!$B$10+Assumptions!$B$11+Assumptions!$B$12)*0.05,0)</f>
        <v>0</v>
      </c>
      <c r="CO27" s="30" t="n">
        <f aca="false">IF(AND(Projects!$G$18="Yes",CO$3&gt;=Projects!$C$18,CO$3&lt;Projects!$C$18+Projects!$D$18),Projects!$B$18*INDEX(Curves!$B$4:$AR$4,1,CO$3-Projects!$C$18+1),0)-IF(AND(Projects!$G$18="Yes",CO$3&gt;=Projects!$C$18,CO$3&lt;Projects!$C$18+Projects!$D$18),Projects!$B$18*(Assumptions!$B$10+Assumptions!$B$11+Assumptions!$B$12)/Projects!$D$18*0.95,0)-IF(AND(Projects!$G$18="Yes",CO$3=Projects!$C$18+Projects!$D$18-1),Projects!$B$18*(Assumptions!$B$10+Assumptions!$B$11+Assumptions!$B$12)*0.05,0)</f>
        <v>0</v>
      </c>
      <c r="CP27" s="30" t="n">
        <f aca="false">IF(AND(Projects!$G$18="Yes",CP$3&gt;=Projects!$C$18,CP$3&lt;Projects!$C$18+Projects!$D$18),Projects!$B$18*INDEX(Curves!$B$4:$AR$4,1,CP$3-Projects!$C$18+1),0)-IF(AND(Projects!$G$18="Yes",CP$3&gt;=Projects!$C$18,CP$3&lt;Projects!$C$18+Projects!$D$18),Projects!$B$18*(Assumptions!$B$10+Assumptions!$B$11+Assumptions!$B$12)/Projects!$D$18*0.95,0)-IF(AND(Projects!$G$18="Yes",CP$3=Projects!$C$18+Projects!$D$18-1),Projects!$B$18*(Assumptions!$B$10+Assumptions!$B$11+Assumptions!$B$12)*0.05,0)</f>
        <v>0</v>
      </c>
      <c r="CQ27" s="30" t="n">
        <f aca="false">IF(AND(Projects!$G$18="Yes",CQ$3&gt;=Projects!$C$18,CQ$3&lt;Projects!$C$18+Projects!$D$18),Projects!$B$18*INDEX(Curves!$B$4:$AR$4,1,CQ$3-Projects!$C$18+1),0)-IF(AND(Projects!$G$18="Yes",CQ$3&gt;=Projects!$C$18,CQ$3&lt;Projects!$C$18+Projects!$D$18),Projects!$B$18*(Assumptions!$B$10+Assumptions!$B$11+Assumptions!$B$12)/Projects!$D$18*0.95,0)-IF(AND(Projects!$G$18="Yes",CQ$3=Projects!$C$18+Projects!$D$18-1),Projects!$B$18*(Assumptions!$B$10+Assumptions!$B$11+Assumptions!$B$12)*0.05,0)</f>
        <v>0</v>
      </c>
      <c r="CR27" s="30" t="n">
        <f aca="false">IF(AND(Projects!$G$18="Yes",CR$3&gt;=Projects!$C$18,CR$3&lt;Projects!$C$18+Projects!$D$18),Projects!$B$18*INDEX(Curves!$B$4:$AR$4,1,CR$3-Projects!$C$18+1),0)-IF(AND(Projects!$G$18="Yes",CR$3&gt;=Projects!$C$18,CR$3&lt;Projects!$C$18+Projects!$D$18),Projects!$B$18*(Assumptions!$B$10+Assumptions!$B$11+Assumptions!$B$12)/Projects!$D$18*0.95,0)-IF(AND(Projects!$G$18="Yes",CR$3=Projects!$C$18+Projects!$D$18-1),Projects!$B$18*(Assumptions!$B$10+Assumptions!$B$11+Assumptions!$B$12)*0.05,0)</f>
        <v>0</v>
      </c>
      <c r="CS27" s="30" t="n">
        <f aca="false">IF(AND(Projects!$G$18="Yes",CS$3&gt;=Projects!$C$18,CS$3&lt;Projects!$C$18+Projects!$D$18),Projects!$B$18*INDEX(Curves!$B$4:$AR$4,1,CS$3-Projects!$C$18+1),0)-IF(AND(Projects!$G$18="Yes",CS$3&gt;=Projects!$C$18,CS$3&lt;Projects!$C$18+Projects!$D$18),Projects!$B$18*(Assumptions!$B$10+Assumptions!$B$11+Assumptions!$B$12)/Projects!$D$18*0.95,0)-IF(AND(Projects!$G$18="Yes",CS$3=Projects!$C$18+Projects!$D$18-1),Projects!$B$18*(Assumptions!$B$10+Assumptions!$B$11+Assumptions!$B$12)*0.05,0)</f>
        <v>0</v>
      </c>
      <c r="CT27" s="30" t="n">
        <f aca="false">IF(AND(Projects!$G$18="Yes",CT$3&gt;=Projects!$C$18,CT$3&lt;Projects!$C$18+Projects!$D$18),Projects!$B$18*INDEX(Curves!$B$4:$AR$4,1,CT$3-Projects!$C$18+1),0)-IF(AND(Projects!$G$18="Yes",CT$3&gt;=Projects!$C$18,CT$3&lt;Projects!$C$18+Projects!$D$18),Projects!$B$18*(Assumptions!$B$10+Assumptions!$B$11+Assumptions!$B$12)/Projects!$D$18*0.95,0)-IF(AND(Projects!$G$18="Yes",CT$3=Projects!$C$18+Projects!$D$18-1),Projects!$B$18*(Assumptions!$B$10+Assumptions!$B$11+Assumptions!$B$12)*0.05,0)</f>
        <v>0</v>
      </c>
      <c r="CU27" s="30" t="n">
        <f aca="false">IF(AND(Projects!$G$18="Yes",CU$3&gt;=Projects!$C$18,CU$3&lt;Projects!$C$18+Projects!$D$18),Projects!$B$18*INDEX(Curves!$B$4:$AR$4,1,CU$3-Projects!$C$18+1),0)-IF(AND(Projects!$G$18="Yes",CU$3&gt;=Projects!$C$18,CU$3&lt;Projects!$C$18+Projects!$D$18),Projects!$B$18*(Assumptions!$B$10+Assumptions!$B$11+Assumptions!$B$12)/Projects!$D$18*0.95,0)-IF(AND(Projects!$G$18="Yes",CU$3=Projects!$C$18+Projects!$D$18-1),Projects!$B$18*(Assumptions!$B$10+Assumptions!$B$11+Assumptions!$B$12)*0.05,0)</f>
        <v>0</v>
      </c>
      <c r="CV27" s="30" t="n">
        <f aca="false">IF(AND(Projects!$G$18="Yes",CV$3&gt;=Projects!$C$18,CV$3&lt;Projects!$C$18+Projects!$D$18),Projects!$B$18*INDEX(Curves!$B$4:$AR$4,1,CV$3-Projects!$C$18+1),0)-IF(AND(Projects!$G$18="Yes",CV$3&gt;=Projects!$C$18,CV$3&lt;Projects!$C$18+Projects!$D$18),Projects!$B$18*(Assumptions!$B$10+Assumptions!$B$11+Assumptions!$B$12)/Projects!$D$18*0.95,0)-IF(AND(Projects!$G$18="Yes",CV$3=Projects!$C$18+Projects!$D$18-1),Projects!$B$18*(Assumptions!$B$10+Assumptions!$B$11+Assumptions!$B$12)*0.05,0)</f>
        <v>0</v>
      </c>
      <c r="CW27" s="30" t="n">
        <f aca="false">IF(AND(Projects!$G$18="Yes",CW$3&gt;=Projects!$C$18,CW$3&lt;Projects!$C$18+Projects!$D$18),Projects!$B$18*INDEX(Curves!$B$4:$AR$4,1,CW$3-Projects!$C$18+1),0)-IF(AND(Projects!$G$18="Yes",CW$3&gt;=Projects!$C$18,CW$3&lt;Projects!$C$18+Projects!$D$18),Projects!$B$18*(Assumptions!$B$10+Assumptions!$B$11+Assumptions!$B$12)/Projects!$D$18*0.95,0)-IF(AND(Projects!$G$18="Yes",CW$3=Projects!$C$18+Projects!$D$18-1),Projects!$B$18*(Assumptions!$B$10+Assumptions!$B$11+Assumptions!$B$12)*0.05,0)</f>
        <v>0</v>
      </c>
      <c r="CX27" s="30" t="n">
        <f aca="false">IF(AND(Projects!$G$18="Yes",CX$3&gt;=Projects!$C$18,CX$3&lt;Projects!$C$18+Projects!$D$18),Projects!$B$18*INDEX(Curves!$B$4:$AR$4,1,CX$3-Projects!$C$18+1),0)-IF(AND(Projects!$G$18="Yes",CX$3&gt;=Projects!$C$18,CX$3&lt;Projects!$C$18+Projects!$D$18),Projects!$B$18*(Assumptions!$B$10+Assumptions!$B$11+Assumptions!$B$12)/Projects!$D$18*0.95,0)-IF(AND(Projects!$G$18="Yes",CX$3=Projects!$C$18+Projects!$D$18-1),Projects!$B$18*(Assumptions!$B$10+Assumptions!$B$11+Assumptions!$B$12)*0.05,0)</f>
        <v>0</v>
      </c>
      <c r="CY27" s="30" t="n">
        <f aca="false">IF(AND(Projects!$G$18="Yes",CY$3&gt;=Projects!$C$18,CY$3&lt;Projects!$C$18+Projects!$D$18),Projects!$B$18*INDEX(Curves!$B$4:$AR$4,1,CY$3-Projects!$C$18+1),0)-IF(AND(Projects!$G$18="Yes",CY$3&gt;=Projects!$C$18,CY$3&lt;Projects!$C$18+Projects!$D$18),Projects!$B$18*(Assumptions!$B$10+Assumptions!$B$11+Assumptions!$B$12)/Projects!$D$18*0.95,0)-IF(AND(Projects!$G$18="Yes",CY$3=Projects!$C$18+Projects!$D$18-1),Projects!$B$18*(Assumptions!$B$10+Assumptions!$B$11+Assumptions!$B$12)*0.05,0)</f>
        <v>0</v>
      </c>
      <c r="CZ27" s="30" t="n">
        <f aca="false">IF(AND(Projects!$G$18="Yes",CZ$3&gt;=Projects!$C$18,CZ$3&lt;Projects!$C$18+Projects!$D$18),Projects!$B$18*INDEX(Curves!$B$4:$AR$4,1,CZ$3-Projects!$C$18+1),0)-IF(AND(Projects!$G$18="Yes",CZ$3&gt;=Projects!$C$18,CZ$3&lt;Projects!$C$18+Projects!$D$18),Projects!$B$18*(Assumptions!$B$10+Assumptions!$B$11+Assumptions!$B$12)/Projects!$D$18*0.95,0)-IF(AND(Projects!$G$18="Yes",CZ$3=Projects!$C$18+Projects!$D$18-1),Projects!$B$18*(Assumptions!$B$10+Assumptions!$B$11+Assumptions!$B$12)*0.05,0)</f>
        <v>0</v>
      </c>
      <c r="DA27" s="30" t="n">
        <f aca="false">IF(AND(Projects!$G$18="Yes",DA$3&gt;=Projects!$C$18,DA$3&lt;Projects!$C$18+Projects!$D$18),Projects!$B$18*INDEX(Curves!$B$4:$AR$4,1,DA$3-Projects!$C$18+1),0)-IF(AND(Projects!$G$18="Yes",DA$3&gt;=Projects!$C$18,DA$3&lt;Projects!$C$18+Projects!$D$18),Projects!$B$18*(Assumptions!$B$10+Assumptions!$B$11+Assumptions!$B$12)/Projects!$D$18*0.95,0)-IF(AND(Projects!$G$18="Yes",DA$3=Projects!$C$18+Projects!$D$18-1),Projects!$B$18*(Assumptions!$B$10+Assumptions!$B$11+Assumptions!$B$12)*0.05,0)</f>
        <v>0</v>
      </c>
      <c r="DB27" s="30" t="n">
        <f aca="false">IF(AND(Projects!$G$18="Yes",DB$3&gt;=Projects!$C$18,DB$3&lt;Projects!$C$18+Projects!$D$18),Projects!$B$18*INDEX(Curves!$B$4:$AR$4,1,DB$3-Projects!$C$18+1),0)-IF(AND(Projects!$G$18="Yes",DB$3&gt;=Projects!$C$18,DB$3&lt;Projects!$C$18+Projects!$D$18),Projects!$B$18*(Assumptions!$B$10+Assumptions!$B$11+Assumptions!$B$12)/Projects!$D$18*0.95,0)-IF(AND(Projects!$G$18="Yes",DB$3=Projects!$C$18+Projects!$D$18-1),Projects!$B$18*(Assumptions!$B$10+Assumptions!$B$11+Assumptions!$B$12)*0.05,0)</f>
        <v>0</v>
      </c>
      <c r="DC27" s="30" t="n">
        <f aca="false">IF(AND(Projects!$G$18="Yes",DC$3&gt;=Projects!$C$18,DC$3&lt;Projects!$C$18+Projects!$D$18),Projects!$B$18*INDEX(Curves!$B$4:$AR$4,1,DC$3-Projects!$C$18+1),0)-IF(AND(Projects!$G$18="Yes",DC$3&gt;=Projects!$C$18,DC$3&lt;Projects!$C$18+Projects!$D$18),Projects!$B$18*(Assumptions!$B$10+Assumptions!$B$11+Assumptions!$B$12)/Projects!$D$18*0.95,0)-IF(AND(Projects!$G$18="Yes",DC$3=Projects!$C$18+Projects!$D$18-1),Projects!$B$18*(Assumptions!$B$10+Assumptions!$B$11+Assumptions!$B$12)*0.05,0)</f>
        <v>0</v>
      </c>
      <c r="DD27" s="30" t="n">
        <f aca="false">IF(AND(Projects!$G$18="Yes",DD$3&gt;=Projects!$C$18,DD$3&lt;Projects!$C$18+Projects!$D$18),Projects!$B$18*INDEX(Curves!$B$4:$AR$4,1,DD$3-Projects!$C$18+1),0)-IF(AND(Projects!$G$18="Yes",DD$3&gt;=Projects!$C$18,DD$3&lt;Projects!$C$18+Projects!$D$18),Projects!$B$18*(Assumptions!$B$10+Assumptions!$B$11+Assumptions!$B$12)/Projects!$D$18*0.95,0)-IF(AND(Projects!$G$18="Yes",DD$3=Projects!$C$18+Projects!$D$18-1),Projects!$B$18*(Assumptions!$B$10+Assumptions!$B$11+Assumptions!$B$12)*0.05,0)</f>
        <v>0</v>
      </c>
      <c r="DE27" s="30" t="n">
        <f aca="false">IF(AND(Projects!$G$18="Yes",DE$3&gt;=Projects!$C$18,DE$3&lt;Projects!$C$18+Projects!$D$18),Projects!$B$18*INDEX(Curves!$B$4:$AR$4,1,DE$3-Projects!$C$18+1),0)-IF(AND(Projects!$G$18="Yes",DE$3&gt;=Projects!$C$18,DE$3&lt;Projects!$C$18+Projects!$D$18),Projects!$B$18*(Assumptions!$B$10+Assumptions!$B$11+Assumptions!$B$12)/Projects!$D$18*0.95,0)-IF(AND(Projects!$G$18="Yes",DE$3=Projects!$C$18+Projects!$D$18-1),Projects!$B$18*(Assumptions!$B$10+Assumptions!$B$11+Assumptions!$B$12)*0.05,0)</f>
        <v>0</v>
      </c>
    </row>
    <row r="28" customFormat="false" ht="15" hidden="true" customHeight="true" outlineLevel="1" collapsed="false">
      <c r="A28" s="32" t="s">
        <v>22</v>
      </c>
      <c r="B28" s="30" t="n">
        <v>0</v>
      </c>
      <c r="C28" s="30" t="n">
        <v>0</v>
      </c>
      <c r="D28" s="30" t="n">
        <v>0</v>
      </c>
      <c r="E28" s="30" t="n">
        <v>0</v>
      </c>
      <c r="F28" s="30" t="n">
        <f aca="false">IF(AND(Projects!$G$19="Yes",F$3&gt;=Projects!$C$19,F$3&lt;Projects!$C$19+Projects!$D$19),Projects!$B$19*INDEX(Curves!$B$4:$AR$4,1,F$3-Projects!$C$19+1),0)-IF(AND(Projects!$G$19="Yes",F$3&gt;=Projects!$C$19,F$3&lt;Projects!$C$19+Projects!$D$19),Projects!$B$19*(Assumptions!$B$10+Assumptions!$B$11+Assumptions!$B$12)/Projects!$D$19*0.95,0)-IF(AND(Projects!$G$19="Yes",F$3=Projects!$C$19+Projects!$D$19-1),Projects!$B$19*(Assumptions!$B$10+Assumptions!$B$11+Assumptions!$B$12)*0.05,0)</f>
        <v>0</v>
      </c>
      <c r="G28" s="30" t="n">
        <f aca="false">IF(AND(Projects!$G$19="Yes",G$3&gt;=Projects!$C$19,G$3&lt;Projects!$C$19+Projects!$D$19),Projects!$B$19*INDEX(Curves!$B$4:$AR$4,1,G$3-Projects!$C$19+1),0)-IF(AND(Projects!$G$19="Yes",G$3&gt;=Projects!$C$19,G$3&lt;Projects!$C$19+Projects!$D$19),Projects!$B$19*(Assumptions!$B$10+Assumptions!$B$11+Assumptions!$B$12)/Projects!$D$19*0.95,0)-IF(AND(Projects!$G$19="Yes",G$3=Projects!$C$19+Projects!$D$19-1),Projects!$B$19*(Assumptions!$B$10+Assumptions!$B$11+Assumptions!$B$12)*0.05,0)</f>
        <v>0</v>
      </c>
      <c r="H28" s="30" t="n">
        <f aca="false">IF(AND(Projects!$G$19="Yes",H$3&gt;=Projects!$C$19,H$3&lt;Projects!$C$19+Projects!$D$19),Projects!$B$19*INDEX(Curves!$B$4:$AR$4,1,H$3-Projects!$C$19+1),0)-IF(AND(Projects!$G$19="Yes",H$3&gt;=Projects!$C$19,H$3&lt;Projects!$C$19+Projects!$D$19),Projects!$B$19*(Assumptions!$B$10+Assumptions!$B$11+Assumptions!$B$12)/Projects!$D$19*0.95,0)-IF(AND(Projects!$G$19="Yes",H$3=Projects!$C$19+Projects!$D$19-1),Projects!$B$19*(Assumptions!$B$10+Assumptions!$B$11+Assumptions!$B$12)*0.05,0)</f>
        <v>0</v>
      </c>
      <c r="I28" s="30" t="n">
        <f aca="false">IF(AND(Projects!$G$19="Yes",I$3&gt;=Projects!$C$19,I$3&lt;Projects!$C$19+Projects!$D$19),Projects!$B$19*INDEX(Curves!$B$4:$AR$4,1,I$3-Projects!$C$19+1),0)-IF(AND(Projects!$G$19="Yes",I$3&gt;=Projects!$C$19,I$3&lt;Projects!$C$19+Projects!$D$19),Projects!$B$19*(Assumptions!$B$10+Assumptions!$B$11+Assumptions!$B$12)/Projects!$D$19*0.95,0)-IF(AND(Projects!$G$19="Yes",I$3=Projects!$C$19+Projects!$D$19-1),Projects!$B$19*(Assumptions!$B$10+Assumptions!$B$11+Assumptions!$B$12)*0.05,0)</f>
        <v>0</v>
      </c>
      <c r="J28" s="30" t="n">
        <f aca="false">IF(AND(Projects!$G$19="Yes",J$3&gt;=Projects!$C$19,J$3&lt;Projects!$C$19+Projects!$D$19),Projects!$B$19*INDEX(Curves!$B$4:$AR$4,1,J$3-Projects!$C$19+1),0)-IF(AND(Projects!$G$19="Yes",J$3&gt;=Projects!$C$19,J$3&lt;Projects!$C$19+Projects!$D$19),Projects!$B$19*(Assumptions!$B$10+Assumptions!$B$11+Assumptions!$B$12)/Projects!$D$19*0.95,0)-IF(AND(Projects!$G$19="Yes",J$3=Projects!$C$19+Projects!$D$19-1),Projects!$B$19*(Assumptions!$B$10+Assumptions!$B$11+Assumptions!$B$12)*0.05,0)</f>
        <v>0</v>
      </c>
      <c r="K28" s="30" t="n">
        <f aca="false">IF(AND(Projects!$G$19="Yes",K$3&gt;=Projects!$C$19,K$3&lt;Projects!$C$19+Projects!$D$19),Projects!$B$19*INDEX(Curves!$B$4:$AR$4,1,K$3-Projects!$C$19+1),0)-IF(AND(Projects!$G$19="Yes",K$3&gt;=Projects!$C$19,K$3&lt;Projects!$C$19+Projects!$D$19),Projects!$B$19*(Assumptions!$B$10+Assumptions!$B$11+Assumptions!$B$12)/Projects!$D$19*0.95,0)-IF(AND(Projects!$G$19="Yes",K$3=Projects!$C$19+Projects!$D$19-1),Projects!$B$19*(Assumptions!$B$10+Assumptions!$B$11+Assumptions!$B$12)*0.05,0)</f>
        <v>0</v>
      </c>
      <c r="L28" s="30" t="n">
        <f aca="false">IF(AND(Projects!$G$19="Yes",L$3&gt;=Projects!$C$19,L$3&lt;Projects!$C$19+Projects!$D$19),Projects!$B$19*INDEX(Curves!$B$4:$AR$4,1,L$3-Projects!$C$19+1),0)-IF(AND(Projects!$G$19="Yes",L$3&gt;=Projects!$C$19,L$3&lt;Projects!$C$19+Projects!$D$19),Projects!$B$19*(Assumptions!$B$10+Assumptions!$B$11+Assumptions!$B$12)/Projects!$D$19*0.95,0)-IF(AND(Projects!$G$19="Yes",L$3=Projects!$C$19+Projects!$D$19-1),Projects!$B$19*(Assumptions!$B$10+Assumptions!$B$11+Assumptions!$B$12)*0.05,0)</f>
        <v>0</v>
      </c>
      <c r="M28" s="30" t="n">
        <f aca="false">IF(AND(Projects!$G$19="Yes",M$3&gt;=Projects!$C$19,M$3&lt;Projects!$C$19+Projects!$D$19),Projects!$B$19*INDEX(Curves!$B$4:$AR$4,1,M$3-Projects!$C$19+1),0)-IF(AND(Projects!$G$19="Yes",M$3&gt;=Projects!$C$19,M$3&lt;Projects!$C$19+Projects!$D$19),Projects!$B$19*(Assumptions!$B$10+Assumptions!$B$11+Assumptions!$B$12)/Projects!$D$19*0.95,0)-IF(AND(Projects!$G$19="Yes",M$3=Projects!$C$19+Projects!$D$19-1),Projects!$B$19*(Assumptions!$B$10+Assumptions!$B$11+Assumptions!$B$12)*0.05,0)</f>
        <v>0</v>
      </c>
      <c r="N28" s="30" t="n">
        <f aca="false">IF(AND(Projects!$G$19="Yes",N$3&gt;=Projects!$C$19,N$3&lt;Projects!$C$19+Projects!$D$19),Projects!$B$19*INDEX(Curves!$B$4:$AR$4,1,N$3-Projects!$C$19+1),0)-IF(AND(Projects!$G$19="Yes",N$3&gt;=Projects!$C$19,N$3&lt;Projects!$C$19+Projects!$D$19),Projects!$B$19*(Assumptions!$B$10+Assumptions!$B$11+Assumptions!$B$12)/Projects!$D$19*0.95,0)-IF(AND(Projects!$G$19="Yes",N$3=Projects!$C$19+Projects!$D$19-1),Projects!$B$19*(Assumptions!$B$10+Assumptions!$B$11+Assumptions!$B$12)*0.05,0)</f>
        <v>0</v>
      </c>
      <c r="O28" s="30" t="n">
        <f aca="false">IF(AND(Projects!$G$19="Yes",O$3&gt;=Projects!$C$19,O$3&lt;Projects!$C$19+Projects!$D$19),Projects!$B$19*INDEX(Curves!$B$4:$AR$4,1,O$3-Projects!$C$19+1),0)-IF(AND(Projects!$G$19="Yes",O$3&gt;=Projects!$C$19,O$3&lt;Projects!$C$19+Projects!$D$19),Projects!$B$19*(Assumptions!$B$10+Assumptions!$B$11+Assumptions!$B$12)/Projects!$D$19*0.95,0)-IF(AND(Projects!$G$19="Yes",O$3=Projects!$C$19+Projects!$D$19-1),Projects!$B$19*(Assumptions!$B$10+Assumptions!$B$11+Assumptions!$B$12)*0.05,0)</f>
        <v>0</v>
      </c>
      <c r="P28" s="30" t="n">
        <f aca="false">IF(AND(Projects!$G$19="Yes",P$3&gt;=Projects!$C$19,P$3&lt;Projects!$C$19+Projects!$D$19),Projects!$B$19*INDEX(Curves!$B$4:$AR$4,1,P$3-Projects!$C$19+1),0)-IF(AND(Projects!$G$19="Yes",P$3&gt;=Projects!$C$19,P$3&lt;Projects!$C$19+Projects!$D$19),Projects!$B$19*(Assumptions!$B$10+Assumptions!$B$11+Assumptions!$B$12)/Projects!$D$19*0.95,0)-IF(AND(Projects!$G$19="Yes",P$3=Projects!$C$19+Projects!$D$19-1),Projects!$B$19*(Assumptions!$B$10+Assumptions!$B$11+Assumptions!$B$12)*0.05,0)</f>
        <v>0</v>
      </c>
      <c r="Q28" s="30" t="n">
        <f aca="false">IF(AND(Projects!$G$19="Yes",Q$3&gt;=Projects!$C$19,Q$3&lt;Projects!$C$19+Projects!$D$19),Projects!$B$19*INDEX(Curves!$B$4:$AR$4,1,Q$3-Projects!$C$19+1),0)-IF(AND(Projects!$G$19="Yes",Q$3&gt;=Projects!$C$19,Q$3&lt;Projects!$C$19+Projects!$D$19),Projects!$B$19*(Assumptions!$B$10+Assumptions!$B$11+Assumptions!$B$12)/Projects!$D$19*0.95,0)-IF(AND(Projects!$G$19="Yes",Q$3=Projects!$C$19+Projects!$D$19-1),Projects!$B$19*(Assumptions!$B$10+Assumptions!$B$11+Assumptions!$B$12)*0.05,0)</f>
        <v>0</v>
      </c>
      <c r="R28" s="30" t="n">
        <f aca="false">IF(AND(Projects!$G$19="Yes",R$3&gt;=Projects!$C$19,R$3&lt;Projects!$C$19+Projects!$D$19),Projects!$B$19*INDEX(Curves!$B$4:$AR$4,1,R$3-Projects!$C$19+1),0)-IF(AND(Projects!$G$19="Yes",R$3&gt;=Projects!$C$19,R$3&lt;Projects!$C$19+Projects!$D$19),Projects!$B$19*(Assumptions!$B$10+Assumptions!$B$11+Assumptions!$B$12)/Projects!$D$19*0.95,0)-IF(AND(Projects!$G$19="Yes",R$3=Projects!$C$19+Projects!$D$19-1),Projects!$B$19*(Assumptions!$B$10+Assumptions!$B$11+Assumptions!$B$12)*0.05,0)</f>
        <v>0</v>
      </c>
      <c r="S28" s="30" t="n">
        <f aca="false">IF(AND(Projects!$G$19="Yes",S$3&gt;=Projects!$C$19,S$3&lt;Projects!$C$19+Projects!$D$19),Projects!$B$19*INDEX(Curves!$B$4:$AR$4,1,S$3-Projects!$C$19+1),0)-IF(AND(Projects!$G$19="Yes",S$3&gt;=Projects!$C$19,S$3&lt;Projects!$C$19+Projects!$D$19),Projects!$B$19*(Assumptions!$B$10+Assumptions!$B$11+Assumptions!$B$12)/Projects!$D$19*0.95,0)-IF(AND(Projects!$G$19="Yes",S$3=Projects!$C$19+Projects!$D$19-1),Projects!$B$19*(Assumptions!$B$10+Assumptions!$B$11+Assumptions!$B$12)*0.05,0)</f>
        <v>0</v>
      </c>
      <c r="T28" s="30" t="n">
        <f aca="false">IF(AND(Projects!$G$19="Yes",T$3&gt;=Projects!$C$19,T$3&lt;Projects!$C$19+Projects!$D$19),Projects!$B$19*INDEX(Curves!$B$4:$AR$4,1,T$3-Projects!$C$19+1),0)-IF(AND(Projects!$G$19="Yes",T$3&gt;=Projects!$C$19,T$3&lt;Projects!$C$19+Projects!$D$19),Projects!$B$19*(Assumptions!$B$10+Assumptions!$B$11+Assumptions!$B$12)/Projects!$D$19*0.95,0)-IF(AND(Projects!$G$19="Yes",T$3=Projects!$C$19+Projects!$D$19-1),Projects!$B$19*(Assumptions!$B$10+Assumptions!$B$11+Assumptions!$B$12)*0.05,0)</f>
        <v>0</v>
      </c>
      <c r="U28" s="30" t="n">
        <f aca="false">IF(AND(Projects!$G$19="Yes",U$3&gt;=Projects!$C$19,U$3&lt;Projects!$C$19+Projects!$D$19),Projects!$B$19*INDEX(Curves!$B$4:$AR$4,1,U$3-Projects!$C$19+1),0)-IF(AND(Projects!$G$19="Yes",U$3&gt;=Projects!$C$19,U$3&lt;Projects!$C$19+Projects!$D$19),Projects!$B$19*(Assumptions!$B$10+Assumptions!$B$11+Assumptions!$B$12)/Projects!$D$19*0.95,0)-IF(AND(Projects!$G$19="Yes",U$3=Projects!$C$19+Projects!$D$19-1),Projects!$B$19*(Assumptions!$B$10+Assumptions!$B$11+Assumptions!$B$12)*0.05,0)</f>
        <v>0</v>
      </c>
      <c r="V28" s="30" t="n">
        <f aca="false">IF(AND(Projects!$G$19="Yes",V$3&gt;=Projects!$C$19,V$3&lt;Projects!$C$19+Projects!$D$19),Projects!$B$19*INDEX(Curves!$B$4:$AR$4,1,V$3-Projects!$C$19+1),0)-IF(AND(Projects!$G$19="Yes",V$3&gt;=Projects!$C$19,V$3&lt;Projects!$C$19+Projects!$D$19),Projects!$B$19*(Assumptions!$B$10+Assumptions!$B$11+Assumptions!$B$12)/Projects!$D$19*0.95,0)-IF(AND(Projects!$G$19="Yes",V$3=Projects!$C$19+Projects!$D$19-1),Projects!$B$19*(Assumptions!$B$10+Assumptions!$B$11+Assumptions!$B$12)*0.05,0)</f>
        <v>0</v>
      </c>
      <c r="W28" s="30" t="n">
        <f aca="false">IF(AND(Projects!$G$19="Yes",W$3&gt;=Projects!$C$19,W$3&lt;Projects!$C$19+Projects!$D$19),Projects!$B$19*INDEX(Curves!$B$4:$AR$4,1,W$3-Projects!$C$19+1),0)-IF(AND(Projects!$G$19="Yes",W$3&gt;=Projects!$C$19,W$3&lt;Projects!$C$19+Projects!$D$19),Projects!$B$19*(Assumptions!$B$10+Assumptions!$B$11+Assumptions!$B$12)/Projects!$D$19*0.95,0)-IF(AND(Projects!$G$19="Yes",W$3=Projects!$C$19+Projects!$D$19-1),Projects!$B$19*(Assumptions!$B$10+Assumptions!$B$11+Assumptions!$B$12)*0.05,0)</f>
        <v>0</v>
      </c>
      <c r="X28" s="30" t="n">
        <f aca="false">IF(AND(Projects!$G$19="Yes",X$3&gt;=Projects!$C$19,X$3&lt;Projects!$C$19+Projects!$D$19),Projects!$B$19*INDEX(Curves!$B$4:$AR$4,1,X$3-Projects!$C$19+1),0)-IF(AND(Projects!$G$19="Yes",X$3&gt;=Projects!$C$19,X$3&lt;Projects!$C$19+Projects!$D$19),Projects!$B$19*(Assumptions!$B$10+Assumptions!$B$11+Assumptions!$B$12)/Projects!$D$19*0.95,0)-IF(AND(Projects!$G$19="Yes",X$3=Projects!$C$19+Projects!$D$19-1),Projects!$B$19*(Assumptions!$B$10+Assumptions!$B$11+Assumptions!$B$12)*0.05,0)</f>
        <v>0</v>
      </c>
      <c r="Y28" s="30" t="n">
        <f aca="false">IF(AND(Projects!$G$19="Yes",Y$3&gt;=Projects!$C$19,Y$3&lt;Projects!$C$19+Projects!$D$19),Projects!$B$19*INDEX(Curves!$B$4:$AR$4,1,Y$3-Projects!$C$19+1),0)-IF(AND(Projects!$G$19="Yes",Y$3&gt;=Projects!$C$19,Y$3&lt;Projects!$C$19+Projects!$D$19),Projects!$B$19*(Assumptions!$B$10+Assumptions!$B$11+Assumptions!$B$12)/Projects!$D$19*0.95,0)-IF(AND(Projects!$G$19="Yes",Y$3=Projects!$C$19+Projects!$D$19-1),Projects!$B$19*(Assumptions!$B$10+Assumptions!$B$11+Assumptions!$B$12)*0.05,0)</f>
        <v>0</v>
      </c>
      <c r="Z28" s="30" t="n">
        <f aca="false">IF(AND(Projects!$G$19="Yes",Z$3&gt;=Projects!$C$19,Z$3&lt;Projects!$C$19+Projects!$D$19),Projects!$B$19*INDEX(Curves!$B$4:$AR$4,1,Z$3-Projects!$C$19+1),0)-IF(AND(Projects!$G$19="Yes",Z$3&gt;=Projects!$C$19,Z$3&lt;Projects!$C$19+Projects!$D$19),Projects!$B$19*(Assumptions!$B$10+Assumptions!$B$11+Assumptions!$B$12)/Projects!$D$19*0.95,0)-IF(AND(Projects!$G$19="Yes",Z$3=Projects!$C$19+Projects!$D$19-1),Projects!$B$19*(Assumptions!$B$10+Assumptions!$B$11+Assumptions!$B$12)*0.05,0)</f>
        <v>0</v>
      </c>
      <c r="AA28" s="30" t="n">
        <f aca="false">IF(AND(Projects!$G$19="Yes",AA$3&gt;=Projects!$C$19,AA$3&lt;Projects!$C$19+Projects!$D$19),Projects!$B$19*INDEX(Curves!$B$4:$AR$4,1,AA$3-Projects!$C$19+1),0)-IF(AND(Projects!$G$19="Yes",AA$3&gt;=Projects!$C$19,AA$3&lt;Projects!$C$19+Projects!$D$19),Projects!$B$19*(Assumptions!$B$10+Assumptions!$B$11+Assumptions!$B$12)/Projects!$D$19*0.95,0)-IF(AND(Projects!$G$19="Yes",AA$3=Projects!$C$19+Projects!$D$19-1),Projects!$B$19*(Assumptions!$B$10+Assumptions!$B$11+Assumptions!$B$12)*0.05,0)</f>
        <v>0</v>
      </c>
      <c r="AB28" s="30" t="n">
        <f aca="false">IF(AND(Projects!$G$19="Yes",AB$3&gt;=Projects!$C$19,AB$3&lt;Projects!$C$19+Projects!$D$19),Projects!$B$19*INDEX(Curves!$B$4:$AR$4,1,AB$3-Projects!$C$19+1),0)-IF(AND(Projects!$G$19="Yes",AB$3&gt;=Projects!$C$19,AB$3&lt;Projects!$C$19+Projects!$D$19),Projects!$B$19*(Assumptions!$B$10+Assumptions!$B$11+Assumptions!$B$12)/Projects!$D$19*0.95,0)-IF(AND(Projects!$G$19="Yes",AB$3=Projects!$C$19+Projects!$D$19-1),Projects!$B$19*(Assumptions!$B$10+Assumptions!$B$11+Assumptions!$B$12)*0.05,0)</f>
        <v>0</v>
      </c>
      <c r="AC28" s="30" t="n">
        <f aca="false">IF(AND(Projects!$G$19="Yes",AC$3&gt;=Projects!$C$19,AC$3&lt;Projects!$C$19+Projects!$D$19),Projects!$B$19*INDEX(Curves!$B$4:$AR$4,1,AC$3-Projects!$C$19+1),0)-IF(AND(Projects!$G$19="Yes",AC$3&gt;=Projects!$C$19,AC$3&lt;Projects!$C$19+Projects!$D$19),Projects!$B$19*(Assumptions!$B$10+Assumptions!$B$11+Assumptions!$B$12)/Projects!$D$19*0.95,0)-IF(AND(Projects!$G$19="Yes",AC$3=Projects!$C$19+Projects!$D$19-1),Projects!$B$19*(Assumptions!$B$10+Assumptions!$B$11+Assumptions!$B$12)*0.05,0)</f>
        <v>0</v>
      </c>
      <c r="AD28" s="30" t="n">
        <f aca="false">IF(AND(Projects!$G$19="Yes",AD$3&gt;=Projects!$C$19,AD$3&lt;Projects!$C$19+Projects!$D$19),Projects!$B$19*INDEX(Curves!$B$4:$AR$4,1,AD$3-Projects!$C$19+1),0)-IF(AND(Projects!$G$19="Yes",AD$3&gt;=Projects!$C$19,AD$3&lt;Projects!$C$19+Projects!$D$19),Projects!$B$19*(Assumptions!$B$10+Assumptions!$B$11+Assumptions!$B$12)/Projects!$D$19*0.95,0)-IF(AND(Projects!$G$19="Yes",AD$3=Projects!$C$19+Projects!$D$19-1),Projects!$B$19*(Assumptions!$B$10+Assumptions!$B$11+Assumptions!$B$12)*0.05,0)</f>
        <v>0</v>
      </c>
      <c r="AE28" s="30" t="n">
        <f aca="false">IF(AND(Projects!$G$19="Yes",AE$3&gt;=Projects!$C$19,AE$3&lt;Projects!$C$19+Projects!$D$19),Projects!$B$19*INDEX(Curves!$B$4:$AR$4,1,AE$3-Projects!$C$19+1),0)-IF(AND(Projects!$G$19="Yes",AE$3&gt;=Projects!$C$19,AE$3&lt;Projects!$C$19+Projects!$D$19),Projects!$B$19*(Assumptions!$B$10+Assumptions!$B$11+Assumptions!$B$12)/Projects!$D$19*0.95,0)-IF(AND(Projects!$G$19="Yes",AE$3=Projects!$C$19+Projects!$D$19-1),Projects!$B$19*(Assumptions!$B$10+Assumptions!$B$11+Assumptions!$B$12)*0.05,0)</f>
        <v>0</v>
      </c>
      <c r="AF28" s="30" t="n">
        <f aca="false">IF(AND(Projects!$G$19="Yes",AF$3&gt;=Projects!$C$19,AF$3&lt;Projects!$C$19+Projects!$D$19),Projects!$B$19*INDEX(Curves!$B$4:$AR$4,1,AF$3-Projects!$C$19+1),0)-IF(AND(Projects!$G$19="Yes",AF$3&gt;=Projects!$C$19,AF$3&lt;Projects!$C$19+Projects!$D$19),Projects!$B$19*(Assumptions!$B$10+Assumptions!$B$11+Assumptions!$B$12)/Projects!$D$19*0.95,0)-IF(AND(Projects!$G$19="Yes",AF$3=Projects!$C$19+Projects!$D$19-1),Projects!$B$19*(Assumptions!$B$10+Assumptions!$B$11+Assumptions!$B$12)*0.05,0)</f>
        <v>0</v>
      </c>
      <c r="AG28" s="30" t="n">
        <f aca="false">IF(AND(Projects!$G$19="Yes",AG$3&gt;=Projects!$C$19,AG$3&lt;Projects!$C$19+Projects!$D$19),Projects!$B$19*INDEX(Curves!$B$4:$AR$4,1,AG$3-Projects!$C$19+1),0)-IF(AND(Projects!$G$19="Yes",AG$3&gt;=Projects!$C$19,AG$3&lt;Projects!$C$19+Projects!$D$19),Projects!$B$19*(Assumptions!$B$10+Assumptions!$B$11+Assumptions!$B$12)/Projects!$D$19*0.95,0)-IF(AND(Projects!$G$19="Yes",AG$3=Projects!$C$19+Projects!$D$19-1),Projects!$B$19*(Assumptions!$B$10+Assumptions!$B$11+Assumptions!$B$12)*0.05,0)</f>
        <v>0</v>
      </c>
      <c r="AH28" s="30" t="n">
        <f aca="false">IF(AND(Projects!$G$19="Yes",AH$3&gt;=Projects!$C$19,AH$3&lt;Projects!$C$19+Projects!$D$19),Projects!$B$19*INDEX(Curves!$B$4:$AR$4,1,AH$3-Projects!$C$19+1),0)-IF(AND(Projects!$G$19="Yes",AH$3&gt;=Projects!$C$19,AH$3&lt;Projects!$C$19+Projects!$D$19),Projects!$B$19*(Assumptions!$B$10+Assumptions!$B$11+Assumptions!$B$12)/Projects!$D$19*0.95,0)-IF(AND(Projects!$G$19="Yes",AH$3=Projects!$C$19+Projects!$D$19-1),Projects!$B$19*(Assumptions!$B$10+Assumptions!$B$11+Assumptions!$B$12)*0.05,0)</f>
        <v>0</v>
      </c>
      <c r="AI28" s="30" t="n">
        <f aca="false">IF(AND(Projects!$G$19="Yes",AI$3&gt;=Projects!$C$19,AI$3&lt;Projects!$C$19+Projects!$D$19),Projects!$B$19*INDEX(Curves!$B$4:$AR$4,1,AI$3-Projects!$C$19+1),0)-IF(AND(Projects!$G$19="Yes",AI$3&gt;=Projects!$C$19,AI$3&lt;Projects!$C$19+Projects!$D$19),Projects!$B$19*(Assumptions!$B$10+Assumptions!$B$11+Assumptions!$B$12)/Projects!$D$19*0.95,0)-IF(AND(Projects!$G$19="Yes",AI$3=Projects!$C$19+Projects!$D$19-1),Projects!$B$19*(Assumptions!$B$10+Assumptions!$B$11+Assumptions!$B$12)*0.05,0)</f>
        <v>0</v>
      </c>
      <c r="AJ28" s="30" t="n">
        <f aca="false">IF(AND(Projects!$G$19="Yes",AJ$3&gt;=Projects!$C$19,AJ$3&lt;Projects!$C$19+Projects!$D$19),Projects!$B$19*INDEX(Curves!$B$4:$AR$4,1,AJ$3-Projects!$C$19+1),0)-IF(AND(Projects!$G$19="Yes",AJ$3&gt;=Projects!$C$19,AJ$3&lt;Projects!$C$19+Projects!$D$19),Projects!$B$19*(Assumptions!$B$10+Assumptions!$B$11+Assumptions!$B$12)/Projects!$D$19*0.95,0)-IF(AND(Projects!$G$19="Yes",AJ$3=Projects!$C$19+Projects!$D$19-1),Projects!$B$19*(Assumptions!$B$10+Assumptions!$B$11+Assumptions!$B$12)*0.05,0)</f>
        <v>0</v>
      </c>
      <c r="AK28" s="30" t="n">
        <f aca="false">IF(AND(Projects!$G$19="Yes",AK$3&gt;=Projects!$C$19,AK$3&lt;Projects!$C$19+Projects!$D$19),Projects!$B$19*INDEX(Curves!$B$4:$AR$4,1,AK$3-Projects!$C$19+1),0)-IF(AND(Projects!$G$19="Yes",AK$3&gt;=Projects!$C$19,AK$3&lt;Projects!$C$19+Projects!$D$19),Projects!$B$19*(Assumptions!$B$10+Assumptions!$B$11+Assumptions!$B$12)/Projects!$D$19*0.95,0)-IF(AND(Projects!$G$19="Yes",AK$3=Projects!$C$19+Projects!$D$19-1),Projects!$B$19*(Assumptions!$B$10+Assumptions!$B$11+Assumptions!$B$12)*0.05,0)</f>
        <v>0</v>
      </c>
      <c r="AL28" s="30" t="n">
        <f aca="false">IF(AND(Projects!$G$19="Yes",AL$3&gt;=Projects!$C$19,AL$3&lt;Projects!$C$19+Projects!$D$19),Projects!$B$19*INDEX(Curves!$B$4:$AR$4,1,AL$3-Projects!$C$19+1),0)-IF(AND(Projects!$G$19="Yes",AL$3&gt;=Projects!$C$19,AL$3&lt;Projects!$C$19+Projects!$D$19),Projects!$B$19*(Assumptions!$B$10+Assumptions!$B$11+Assumptions!$B$12)/Projects!$D$19*0.95,0)-IF(AND(Projects!$G$19="Yes",AL$3=Projects!$C$19+Projects!$D$19-1),Projects!$B$19*(Assumptions!$B$10+Assumptions!$B$11+Assumptions!$B$12)*0.05,0)</f>
        <v>0</v>
      </c>
      <c r="AM28" s="30" t="n">
        <f aca="false">IF(AND(Projects!$G$19="Yes",AM$3&gt;=Projects!$C$19,AM$3&lt;Projects!$C$19+Projects!$D$19),Projects!$B$19*INDEX(Curves!$B$4:$AR$4,1,AM$3-Projects!$C$19+1),0)-IF(AND(Projects!$G$19="Yes",AM$3&gt;=Projects!$C$19,AM$3&lt;Projects!$C$19+Projects!$D$19),Projects!$B$19*(Assumptions!$B$10+Assumptions!$B$11+Assumptions!$B$12)/Projects!$D$19*0.95,0)-IF(AND(Projects!$G$19="Yes",AM$3=Projects!$C$19+Projects!$D$19-1),Projects!$B$19*(Assumptions!$B$10+Assumptions!$B$11+Assumptions!$B$12)*0.05,0)</f>
        <v>0</v>
      </c>
      <c r="AN28" s="30" t="n">
        <f aca="false">IF(AND(Projects!$G$19="Yes",AN$3&gt;=Projects!$C$19,AN$3&lt;Projects!$C$19+Projects!$D$19),Projects!$B$19*INDEX(Curves!$B$4:$AR$4,1,AN$3-Projects!$C$19+1),0)-IF(AND(Projects!$G$19="Yes",AN$3&gt;=Projects!$C$19,AN$3&lt;Projects!$C$19+Projects!$D$19),Projects!$B$19*(Assumptions!$B$10+Assumptions!$B$11+Assumptions!$B$12)/Projects!$D$19*0.95,0)-IF(AND(Projects!$G$19="Yes",AN$3=Projects!$C$19+Projects!$D$19-1),Projects!$B$19*(Assumptions!$B$10+Assumptions!$B$11+Assumptions!$B$12)*0.05,0)</f>
        <v>0</v>
      </c>
      <c r="AO28" s="30" t="n">
        <f aca="false">IF(AND(Projects!$G$19="Yes",AO$3&gt;=Projects!$C$19,AO$3&lt;Projects!$C$19+Projects!$D$19),Projects!$B$19*INDEX(Curves!$B$4:$AR$4,1,AO$3-Projects!$C$19+1),0)-IF(AND(Projects!$G$19="Yes",AO$3&gt;=Projects!$C$19,AO$3&lt;Projects!$C$19+Projects!$D$19),Projects!$B$19*(Assumptions!$B$10+Assumptions!$B$11+Assumptions!$B$12)/Projects!$D$19*0.95,0)-IF(AND(Projects!$G$19="Yes",AO$3=Projects!$C$19+Projects!$D$19-1),Projects!$B$19*(Assumptions!$B$10+Assumptions!$B$11+Assumptions!$B$12)*0.05,0)</f>
        <v>0</v>
      </c>
      <c r="AP28" s="30" t="n">
        <f aca="false">IF(AND(Projects!$G$19="Yes",AP$3&gt;=Projects!$C$19,AP$3&lt;Projects!$C$19+Projects!$D$19),Projects!$B$19*INDEX(Curves!$B$4:$AR$4,1,AP$3-Projects!$C$19+1),0)-IF(AND(Projects!$G$19="Yes",AP$3&gt;=Projects!$C$19,AP$3&lt;Projects!$C$19+Projects!$D$19),Projects!$B$19*(Assumptions!$B$10+Assumptions!$B$11+Assumptions!$B$12)/Projects!$D$19*0.95,0)-IF(AND(Projects!$G$19="Yes",AP$3=Projects!$C$19+Projects!$D$19-1),Projects!$B$19*(Assumptions!$B$10+Assumptions!$B$11+Assumptions!$B$12)*0.05,0)</f>
        <v>0</v>
      </c>
      <c r="AQ28" s="30" t="n">
        <f aca="false">IF(AND(Projects!$G$19="Yes",AQ$3&gt;=Projects!$C$19,AQ$3&lt;Projects!$C$19+Projects!$D$19),Projects!$B$19*INDEX(Curves!$B$4:$AR$4,1,AQ$3-Projects!$C$19+1),0)-IF(AND(Projects!$G$19="Yes",AQ$3&gt;=Projects!$C$19,AQ$3&lt;Projects!$C$19+Projects!$D$19),Projects!$B$19*(Assumptions!$B$10+Assumptions!$B$11+Assumptions!$B$12)/Projects!$D$19*0.95,0)-IF(AND(Projects!$G$19="Yes",AQ$3=Projects!$C$19+Projects!$D$19-1),Projects!$B$19*(Assumptions!$B$10+Assumptions!$B$11+Assumptions!$B$12)*0.05,0)</f>
        <v>0</v>
      </c>
      <c r="AR28" s="30" t="n">
        <f aca="false">IF(AND(Projects!$G$19="Yes",AR$3&gt;=Projects!$C$19,AR$3&lt;Projects!$C$19+Projects!$D$19),Projects!$B$19*INDEX(Curves!$B$4:$AR$4,1,AR$3-Projects!$C$19+1),0)-IF(AND(Projects!$G$19="Yes",AR$3&gt;=Projects!$C$19,AR$3&lt;Projects!$C$19+Projects!$D$19),Projects!$B$19*(Assumptions!$B$10+Assumptions!$B$11+Assumptions!$B$12)/Projects!$D$19*0.95,0)-IF(AND(Projects!$G$19="Yes",AR$3=Projects!$C$19+Projects!$D$19-1),Projects!$B$19*(Assumptions!$B$10+Assumptions!$B$11+Assumptions!$B$12)*0.05,0)</f>
        <v>0</v>
      </c>
      <c r="AS28" s="30" t="n">
        <f aca="false">IF(AND(Projects!$G$19="Yes",AS$3&gt;=Projects!$C$19,AS$3&lt;Projects!$C$19+Projects!$D$19),Projects!$B$19*INDEX(Curves!$B$4:$AR$4,1,AS$3-Projects!$C$19+1),0)-IF(AND(Projects!$G$19="Yes",AS$3&gt;=Projects!$C$19,AS$3&lt;Projects!$C$19+Projects!$D$19),Projects!$B$19*(Assumptions!$B$10+Assumptions!$B$11+Assumptions!$B$12)/Projects!$D$19*0.95,0)-IF(AND(Projects!$G$19="Yes",AS$3=Projects!$C$19+Projects!$D$19-1),Projects!$B$19*(Assumptions!$B$10+Assumptions!$B$11+Assumptions!$B$12)*0.05,0)</f>
        <v>0</v>
      </c>
      <c r="AT28" s="30" t="n">
        <f aca="false">IF(AND(Projects!$G$19="Yes",AT$3&gt;=Projects!$C$19,AT$3&lt;Projects!$C$19+Projects!$D$19),Projects!$B$19*INDEX(Curves!$B$4:$AR$4,1,AT$3-Projects!$C$19+1),0)-IF(AND(Projects!$G$19="Yes",AT$3&gt;=Projects!$C$19,AT$3&lt;Projects!$C$19+Projects!$D$19),Projects!$B$19*(Assumptions!$B$10+Assumptions!$B$11+Assumptions!$B$12)/Projects!$D$19*0.95,0)-IF(AND(Projects!$G$19="Yes",AT$3=Projects!$C$19+Projects!$D$19-1),Projects!$B$19*(Assumptions!$B$10+Assumptions!$B$11+Assumptions!$B$12)*0.05,0)</f>
        <v>0</v>
      </c>
      <c r="AU28" s="30" t="n">
        <f aca="false">IF(AND(Projects!$G$19="Yes",AU$3&gt;=Projects!$C$19,AU$3&lt;Projects!$C$19+Projects!$D$19),Projects!$B$19*INDEX(Curves!$B$4:$AR$4,1,AU$3-Projects!$C$19+1),0)-IF(AND(Projects!$G$19="Yes",AU$3&gt;=Projects!$C$19,AU$3&lt;Projects!$C$19+Projects!$D$19),Projects!$B$19*(Assumptions!$B$10+Assumptions!$B$11+Assumptions!$B$12)/Projects!$D$19*0.95,0)-IF(AND(Projects!$G$19="Yes",AU$3=Projects!$C$19+Projects!$D$19-1),Projects!$B$19*(Assumptions!$B$10+Assumptions!$B$11+Assumptions!$B$12)*0.05,0)</f>
        <v>0</v>
      </c>
      <c r="AV28" s="30" t="n">
        <f aca="false">IF(AND(Projects!$G$19="Yes",AV$3&gt;=Projects!$C$19,AV$3&lt;Projects!$C$19+Projects!$D$19),Projects!$B$19*INDEX(Curves!$B$4:$AR$4,1,AV$3-Projects!$C$19+1),0)-IF(AND(Projects!$G$19="Yes",AV$3&gt;=Projects!$C$19,AV$3&lt;Projects!$C$19+Projects!$D$19),Projects!$B$19*(Assumptions!$B$10+Assumptions!$B$11+Assumptions!$B$12)/Projects!$D$19*0.95,0)-IF(AND(Projects!$G$19="Yes",AV$3=Projects!$C$19+Projects!$D$19-1),Projects!$B$19*(Assumptions!$B$10+Assumptions!$B$11+Assumptions!$B$12)*0.05,0)</f>
        <v>0</v>
      </c>
      <c r="AW28" s="30" t="n">
        <f aca="false">IF(AND(Projects!$G$19="Yes",AW$3&gt;=Projects!$C$19,AW$3&lt;Projects!$C$19+Projects!$D$19),Projects!$B$19*INDEX(Curves!$B$4:$AR$4,1,AW$3-Projects!$C$19+1),0)-IF(AND(Projects!$G$19="Yes",AW$3&gt;=Projects!$C$19,AW$3&lt;Projects!$C$19+Projects!$D$19),Projects!$B$19*(Assumptions!$B$10+Assumptions!$B$11+Assumptions!$B$12)/Projects!$D$19*0.95,0)-IF(AND(Projects!$G$19="Yes",AW$3=Projects!$C$19+Projects!$D$19-1),Projects!$B$19*(Assumptions!$B$10+Assumptions!$B$11+Assumptions!$B$12)*0.05,0)</f>
        <v>0</v>
      </c>
      <c r="AX28" s="30" t="n">
        <f aca="false">IF(AND(Projects!$G$19="Yes",AX$3&gt;=Projects!$C$19,AX$3&lt;Projects!$C$19+Projects!$D$19),Projects!$B$19*INDEX(Curves!$B$4:$AR$4,1,AX$3-Projects!$C$19+1),0)-IF(AND(Projects!$G$19="Yes",AX$3&gt;=Projects!$C$19,AX$3&lt;Projects!$C$19+Projects!$D$19),Projects!$B$19*(Assumptions!$B$10+Assumptions!$B$11+Assumptions!$B$12)/Projects!$D$19*0.95,0)-IF(AND(Projects!$G$19="Yes",AX$3=Projects!$C$19+Projects!$D$19-1),Projects!$B$19*(Assumptions!$B$10+Assumptions!$B$11+Assumptions!$B$12)*0.05,0)</f>
        <v>0</v>
      </c>
      <c r="AY28" s="30" t="n">
        <f aca="false">IF(AND(Projects!$G$19="Yes",AY$3&gt;=Projects!$C$19,AY$3&lt;Projects!$C$19+Projects!$D$19),Projects!$B$19*INDEX(Curves!$B$4:$AR$4,1,AY$3-Projects!$C$19+1),0)-IF(AND(Projects!$G$19="Yes",AY$3&gt;=Projects!$C$19,AY$3&lt;Projects!$C$19+Projects!$D$19),Projects!$B$19*(Assumptions!$B$10+Assumptions!$B$11+Assumptions!$B$12)/Projects!$D$19*0.95,0)-IF(AND(Projects!$G$19="Yes",AY$3=Projects!$C$19+Projects!$D$19-1),Projects!$B$19*(Assumptions!$B$10+Assumptions!$B$11+Assumptions!$B$12)*0.05,0)</f>
        <v>0</v>
      </c>
      <c r="AZ28" s="30" t="n">
        <f aca="false">IF(AND(Projects!$G$19="Yes",AZ$3&gt;=Projects!$C$19,AZ$3&lt;Projects!$C$19+Projects!$D$19),Projects!$B$19*INDEX(Curves!$B$4:$AR$4,1,AZ$3-Projects!$C$19+1),0)-IF(AND(Projects!$G$19="Yes",AZ$3&gt;=Projects!$C$19,AZ$3&lt;Projects!$C$19+Projects!$D$19),Projects!$B$19*(Assumptions!$B$10+Assumptions!$B$11+Assumptions!$B$12)/Projects!$D$19*0.95,0)-IF(AND(Projects!$G$19="Yes",AZ$3=Projects!$C$19+Projects!$D$19-1),Projects!$B$19*(Assumptions!$B$10+Assumptions!$B$11+Assumptions!$B$12)*0.05,0)</f>
        <v>0</v>
      </c>
      <c r="BA28" s="30" t="n">
        <f aca="false">IF(AND(Projects!$G$19="Yes",BA$3&gt;=Projects!$C$19,BA$3&lt;Projects!$C$19+Projects!$D$19),Projects!$B$19*INDEX(Curves!$B$4:$AR$4,1,BA$3-Projects!$C$19+1),0)-IF(AND(Projects!$G$19="Yes",BA$3&gt;=Projects!$C$19,BA$3&lt;Projects!$C$19+Projects!$D$19),Projects!$B$19*(Assumptions!$B$10+Assumptions!$B$11+Assumptions!$B$12)/Projects!$D$19*0.95,0)-IF(AND(Projects!$G$19="Yes",BA$3=Projects!$C$19+Projects!$D$19-1),Projects!$B$19*(Assumptions!$B$10+Assumptions!$B$11+Assumptions!$B$12)*0.05,0)</f>
        <v>0</v>
      </c>
      <c r="BB28" s="30" t="n">
        <f aca="false">IF(AND(Projects!$G$19="Yes",BB$3&gt;=Projects!$C$19,BB$3&lt;Projects!$C$19+Projects!$D$19),Projects!$B$19*INDEX(Curves!$B$4:$AR$4,1,BB$3-Projects!$C$19+1),0)-IF(AND(Projects!$G$19="Yes",BB$3&gt;=Projects!$C$19,BB$3&lt;Projects!$C$19+Projects!$D$19),Projects!$B$19*(Assumptions!$B$10+Assumptions!$B$11+Assumptions!$B$12)/Projects!$D$19*0.95,0)-IF(AND(Projects!$G$19="Yes",BB$3=Projects!$C$19+Projects!$D$19-1),Projects!$B$19*(Assumptions!$B$10+Assumptions!$B$11+Assumptions!$B$12)*0.05,0)</f>
        <v>0</v>
      </c>
      <c r="BC28" s="30" t="n">
        <f aca="false">IF(AND(Projects!$G$19="Yes",BC$3&gt;=Projects!$C$19,BC$3&lt;Projects!$C$19+Projects!$D$19),Projects!$B$19*INDEX(Curves!$B$4:$AR$4,1,BC$3-Projects!$C$19+1),0)-IF(AND(Projects!$G$19="Yes",BC$3&gt;=Projects!$C$19,BC$3&lt;Projects!$C$19+Projects!$D$19),Projects!$B$19*(Assumptions!$B$10+Assumptions!$B$11+Assumptions!$B$12)/Projects!$D$19*0.95,0)-IF(AND(Projects!$G$19="Yes",BC$3=Projects!$C$19+Projects!$D$19-1),Projects!$B$19*(Assumptions!$B$10+Assumptions!$B$11+Assumptions!$B$12)*0.05,0)</f>
        <v>0</v>
      </c>
      <c r="BD28" s="30" t="n">
        <f aca="false">IF(AND(Projects!$G$19="Yes",BD$3&gt;=Projects!$C$19,BD$3&lt;Projects!$C$19+Projects!$D$19),Projects!$B$19*INDEX(Curves!$B$4:$AR$4,1,BD$3-Projects!$C$19+1),0)-IF(AND(Projects!$G$19="Yes",BD$3&gt;=Projects!$C$19,BD$3&lt;Projects!$C$19+Projects!$D$19),Projects!$B$19*(Assumptions!$B$10+Assumptions!$B$11+Assumptions!$B$12)/Projects!$D$19*0.95,0)-IF(AND(Projects!$G$19="Yes",BD$3=Projects!$C$19+Projects!$D$19-1),Projects!$B$19*(Assumptions!$B$10+Assumptions!$B$11+Assumptions!$B$12)*0.05,0)</f>
        <v>0</v>
      </c>
      <c r="BE28" s="30" t="n">
        <f aca="false">IF(AND(Projects!$G$19="Yes",BE$3&gt;=Projects!$C$19,BE$3&lt;Projects!$C$19+Projects!$D$19),Projects!$B$19*INDEX(Curves!$B$4:$AR$4,1,BE$3-Projects!$C$19+1),0)-IF(AND(Projects!$G$19="Yes",BE$3&gt;=Projects!$C$19,BE$3&lt;Projects!$C$19+Projects!$D$19),Projects!$B$19*(Assumptions!$B$10+Assumptions!$B$11+Assumptions!$B$12)/Projects!$D$19*0.95,0)-IF(AND(Projects!$G$19="Yes",BE$3=Projects!$C$19+Projects!$D$19-1),Projects!$B$19*(Assumptions!$B$10+Assumptions!$B$11+Assumptions!$B$12)*0.05,0)</f>
        <v>0</v>
      </c>
      <c r="BF28" s="30" t="n">
        <f aca="false">IF(AND(Projects!$G$19="Yes",BF$3&gt;=Projects!$C$19,BF$3&lt;Projects!$C$19+Projects!$D$19),Projects!$B$19*INDEX(Curves!$B$4:$AR$4,1,BF$3-Projects!$C$19+1),0)-IF(AND(Projects!$G$19="Yes",BF$3&gt;=Projects!$C$19,BF$3&lt;Projects!$C$19+Projects!$D$19),Projects!$B$19*(Assumptions!$B$10+Assumptions!$B$11+Assumptions!$B$12)/Projects!$D$19*0.95,0)-IF(AND(Projects!$G$19="Yes",BF$3=Projects!$C$19+Projects!$D$19-1),Projects!$B$19*(Assumptions!$B$10+Assumptions!$B$11+Assumptions!$B$12)*0.05,0)</f>
        <v>0</v>
      </c>
      <c r="BG28" s="30" t="n">
        <f aca="false">IF(AND(Projects!$G$19="Yes",BG$3&gt;=Projects!$C$19,BG$3&lt;Projects!$C$19+Projects!$D$19),Projects!$B$19*INDEX(Curves!$B$4:$AR$4,1,BG$3-Projects!$C$19+1),0)-IF(AND(Projects!$G$19="Yes",BG$3&gt;=Projects!$C$19,BG$3&lt;Projects!$C$19+Projects!$D$19),Projects!$B$19*(Assumptions!$B$10+Assumptions!$B$11+Assumptions!$B$12)/Projects!$D$19*0.95,0)-IF(AND(Projects!$G$19="Yes",BG$3=Projects!$C$19+Projects!$D$19-1),Projects!$B$19*(Assumptions!$B$10+Assumptions!$B$11+Assumptions!$B$12)*0.05,0)</f>
        <v>0</v>
      </c>
      <c r="BH28" s="30" t="n">
        <f aca="false">IF(AND(Projects!$G$19="Yes",BH$3&gt;=Projects!$C$19,BH$3&lt;Projects!$C$19+Projects!$D$19),Projects!$B$19*INDEX(Curves!$B$4:$AR$4,1,BH$3-Projects!$C$19+1),0)-IF(AND(Projects!$G$19="Yes",BH$3&gt;=Projects!$C$19,BH$3&lt;Projects!$C$19+Projects!$D$19),Projects!$B$19*(Assumptions!$B$10+Assumptions!$B$11+Assumptions!$B$12)/Projects!$D$19*0.95,0)-IF(AND(Projects!$G$19="Yes",BH$3=Projects!$C$19+Projects!$D$19-1),Projects!$B$19*(Assumptions!$B$10+Assumptions!$B$11+Assumptions!$B$12)*0.05,0)</f>
        <v>0</v>
      </c>
      <c r="BI28" s="30" t="n">
        <f aca="false">IF(AND(Projects!$G$19="Yes",BI$3&gt;=Projects!$C$19,BI$3&lt;Projects!$C$19+Projects!$D$19),Projects!$B$19*INDEX(Curves!$B$4:$AR$4,1,BI$3-Projects!$C$19+1),0)-IF(AND(Projects!$G$19="Yes",BI$3&gt;=Projects!$C$19,BI$3&lt;Projects!$C$19+Projects!$D$19),Projects!$B$19*(Assumptions!$B$10+Assumptions!$B$11+Assumptions!$B$12)/Projects!$D$19*0.95,0)-IF(AND(Projects!$G$19="Yes",BI$3=Projects!$C$19+Projects!$D$19-1),Projects!$B$19*(Assumptions!$B$10+Assumptions!$B$11+Assumptions!$B$12)*0.05,0)</f>
        <v>0</v>
      </c>
      <c r="BJ28" s="30" t="n">
        <f aca="false">IF(AND(Projects!$G$19="Yes",BJ$3&gt;=Projects!$C$19,BJ$3&lt;Projects!$C$19+Projects!$D$19),Projects!$B$19*INDEX(Curves!$B$4:$AR$4,1,BJ$3-Projects!$C$19+1),0)-IF(AND(Projects!$G$19="Yes",BJ$3&gt;=Projects!$C$19,BJ$3&lt;Projects!$C$19+Projects!$D$19),Projects!$B$19*(Assumptions!$B$10+Assumptions!$B$11+Assumptions!$B$12)/Projects!$D$19*0.95,0)-IF(AND(Projects!$G$19="Yes",BJ$3=Projects!$C$19+Projects!$D$19-1),Projects!$B$19*(Assumptions!$B$10+Assumptions!$B$11+Assumptions!$B$12)*0.05,0)</f>
        <v>0</v>
      </c>
      <c r="BK28" s="30" t="n">
        <f aca="false">IF(AND(Projects!$G$19="Yes",BK$3&gt;=Projects!$C$19,BK$3&lt;Projects!$C$19+Projects!$D$19),Projects!$B$19*INDEX(Curves!$B$4:$AR$4,1,BK$3-Projects!$C$19+1),0)-IF(AND(Projects!$G$19="Yes",BK$3&gt;=Projects!$C$19,BK$3&lt;Projects!$C$19+Projects!$D$19),Projects!$B$19*(Assumptions!$B$10+Assumptions!$B$11+Assumptions!$B$12)/Projects!$D$19*0.95,0)-IF(AND(Projects!$G$19="Yes",BK$3=Projects!$C$19+Projects!$D$19-1),Projects!$B$19*(Assumptions!$B$10+Assumptions!$B$11+Assumptions!$B$12)*0.05,0)</f>
        <v>0</v>
      </c>
      <c r="BL28" s="30" t="n">
        <f aca="false">IF(AND(Projects!$G$19="Yes",BL$3&gt;=Projects!$C$19,BL$3&lt;Projects!$C$19+Projects!$D$19),Projects!$B$19*INDEX(Curves!$B$4:$AR$4,1,BL$3-Projects!$C$19+1),0)-IF(AND(Projects!$G$19="Yes",BL$3&gt;=Projects!$C$19,BL$3&lt;Projects!$C$19+Projects!$D$19),Projects!$B$19*(Assumptions!$B$10+Assumptions!$B$11+Assumptions!$B$12)/Projects!$D$19*0.95,0)-IF(AND(Projects!$G$19="Yes",BL$3=Projects!$C$19+Projects!$D$19-1),Projects!$B$19*(Assumptions!$B$10+Assumptions!$B$11+Assumptions!$B$12)*0.05,0)</f>
        <v>0</v>
      </c>
      <c r="BM28" s="30" t="n">
        <f aca="false">IF(AND(Projects!$G$19="Yes",BM$3&gt;=Projects!$C$19,BM$3&lt;Projects!$C$19+Projects!$D$19),Projects!$B$19*INDEX(Curves!$B$4:$AR$4,1,BM$3-Projects!$C$19+1),0)-IF(AND(Projects!$G$19="Yes",BM$3&gt;=Projects!$C$19,BM$3&lt;Projects!$C$19+Projects!$D$19),Projects!$B$19*(Assumptions!$B$10+Assumptions!$B$11+Assumptions!$B$12)/Projects!$D$19*0.95,0)-IF(AND(Projects!$G$19="Yes",BM$3=Projects!$C$19+Projects!$D$19-1),Projects!$B$19*(Assumptions!$B$10+Assumptions!$B$11+Assumptions!$B$12)*0.05,0)</f>
        <v>0</v>
      </c>
      <c r="BN28" s="30" t="n">
        <f aca="false">IF(AND(Projects!$G$19="Yes",BN$3&gt;=Projects!$C$19,BN$3&lt;Projects!$C$19+Projects!$D$19),Projects!$B$19*INDEX(Curves!$B$4:$AR$4,1,BN$3-Projects!$C$19+1),0)-IF(AND(Projects!$G$19="Yes",BN$3&gt;=Projects!$C$19,BN$3&lt;Projects!$C$19+Projects!$D$19),Projects!$B$19*(Assumptions!$B$10+Assumptions!$B$11+Assumptions!$B$12)/Projects!$D$19*0.95,0)-IF(AND(Projects!$G$19="Yes",BN$3=Projects!$C$19+Projects!$D$19-1),Projects!$B$19*(Assumptions!$B$10+Assumptions!$B$11+Assumptions!$B$12)*0.05,0)</f>
        <v>0</v>
      </c>
      <c r="BO28" s="30" t="n">
        <f aca="false">IF(AND(Projects!$G$19="Yes",BO$3&gt;=Projects!$C$19,BO$3&lt;Projects!$C$19+Projects!$D$19),Projects!$B$19*INDEX(Curves!$B$4:$AR$4,1,BO$3-Projects!$C$19+1),0)-IF(AND(Projects!$G$19="Yes",BO$3&gt;=Projects!$C$19,BO$3&lt;Projects!$C$19+Projects!$D$19),Projects!$B$19*(Assumptions!$B$10+Assumptions!$B$11+Assumptions!$B$12)/Projects!$D$19*0.95,0)-IF(AND(Projects!$G$19="Yes",BO$3=Projects!$C$19+Projects!$D$19-1),Projects!$B$19*(Assumptions!$B$10+Assumptions!$B$11+Assumptions!$B$12)*0.05,0)</f>
        <v>0</v>
      </c>
      <c r="BP28" s="30" t="n">
        <f aca="false">IF(AND(Projects!$G$19="Yes",BP$3&gt;=Projects!$C$19,BP$3&lt;Projects!$C$19+Projects!$D$19),Projects!$B$19*INDEX(Curves!$B$4:$AR$4,1,BP$3-Projects!$C$19+1),0)-IF(AND(Projects!$G$19="Yes",BP$3&gt;=Projects!$C$19,BP$3&lt;Projects!$C$19+Projects!$D$19),Projects!$B$19*(Assumptions!$B$10+Assumptions!$B$11+Assumptions!$B$12)/Projects!$D$19*0.95,0)-IF(AND(Projects!$G$19="Yes",BP$3=Projects!$C$19+Projects!$D$19-1),Projects!$B$19*(Assumptions!$B$10+Assumptions!$B$11+Assumptions!$B$12)*0.05,0)</f>
        <v>0</v>
      </c>
      <c r="BQ28" s="30" t="n">
        <f aca="false">IF(AND(Projects!$G$19="Yes",BQ$3&gt;=Projects!$C$19,BQ$3&lt;Projects!$C$19+Projects!$D$19),Projects!$B$19*INDEX(Curves!$B$4:$AR$4,1,BQ$3-Projects!$C$19+1),0)-IF(AND(Projects!$G$19="Yes",BQ$3&gt;=Projects!$C$19,BQ$3&lt;Projects!$C$19+Projects!$D$19),Projects!$B$19*(Assumptions!$B$10+Assumptions!$B$11+Assumptions!$B$12)/Projects!$D$19*0.95,0)-IF(AND(Projects!$G$19="Yes",BQ$3=Projects!$C$19+Projects!$D$19-1),Projects!$B$19*(Assumptions!$B$10+Assumptions!$B$11+Assumptions!$B$12)*0.05,0)</f>
        <v>0</v>
      </c>
      <c r="BR28" s="30" t="n">
        <f aca="false">IF(AND(Projects!$G$19="Yes",BR$3&gt;=Projects!$C$19,BR$3&lt;Projects!$C$19+Projects!$D$19),Projects!$B$19*INDEX(Curves!$B$4:$AR$4,1,BR$3-Projects!$C$19+1),0)-IF(AND(Projects!$G$19="Yes",BR$3&gt;=Projects!$C$19,BR$3&lt;Projects!$C$19+Projects!$D$19),Projects!$B$19*(Assumptions!$B$10+Assumptions!$B$11+Assumptions!$B$12)/Projects!$D$19*0.95,0)-IF(AND(Projects!$G$19="Yes",BR$3=Projects!$C$19+Projects!$D$19-1),Projects!$B$19*(Assumptions!$B$10+Assumptions!$B$11+Assumptions!$B$12)*0.05,0)</f>
        <v>0</v>
      </c>
      <c r="BS28" s="30" t="n">
        <f aca="false">IF(AND(Projects!$G$19="Yes",BS$3&gt;=Projects!$C$19,BS$3&lt;Projects!$C$19+Projects!$D$19),Projects!$B$19*INDEX(Curves!$B$4:$AR$4,1,BS$3-Projects!$C$19+1),0)-IF(AND(Projects!$G$19="Yes",BS$3&gt;=Projects!$C$19,BS$3&lt;Projects!$C$19+Projects!$D$19),Projects!$B$19*(Assumptions!$B$10+Assumptions!$B$11+Assumptions!$B$12)/Projects!$D$19*0.95,0)-IF(AND(Projects!$G$19="Yes",BS$3=Projects!$C$19+Projects!$D$19-1),Projects!$B$19*(Assumptions!$B$10+Assumptions!$B$11+Assumptions!$B$12)*0.05,0)</f>
        <v>0</v>
      </c>
      <c r="BT28" s="30" t="n">
        <f aca="false">IF(AND(Projects!$G$19="Yes",BT$3&gt;=Projects!$C$19,BT$3&lt;Projects!$C$19+Projects!$D$19),Projects!$B$19*INDEX(Curves!$B$4:$AR$4,1,BT$3-Projects!$C$19+1),0)-IF(AND(Projects!$G$19="Yes",BT$3&gt;=Projects!$C$19,BT$3&lt;Projects!$C$19+Projects!$D$19),Projects!$B$19*(Assumptions!$B$10+Assumptions!$B$11+Assumptions!$B$12)/Projects!$D$19*0.95,0)-IF(AND(Projects!$G$19="Yes",BT$3=Projects!$C$19+Projects!$D$19-1),Projects!$B$19*(Assumptions!$B$10+Assumptions!$B$11+Assumptions!$B$12)*0.05,0)</f>
        <v>0</v>
      </c>
      <c r="BU28" s="30" t="n">
        <f aca="false">IF(AND(Projects!$G$19="Yes",BU$3&gt;=Projects!$C$19,BU$3&lt;Projects!$C$19+Projects!$D$19),Projects!$B$19*INDEX(Curves!$B$4:$AR$4,1,BU$3-Projects!$C$19+1),0)-IF(AND(Projects!$G$19="Yes",BU$3&gt;=Projects!$C$19,BU$3&lt;Projects!$C$19+Projects!$D$19),Projects!$B$19*(Assumptions!$B$10+Assumptions!$B$11+Assumptions!$B$12)/Projects!$D$19*0.95,0)-IF(AND(Projects!$G$19="Yes",BU$3=Projects!$C$19+Projects!$D$19-1),Projects!$B$19*(Assumptions!$B$10+Assumptions!$B$11+Assumptions!$B$12)*0.05,0)</f>
        <v>0</v>
      </c>
      <c r="BV28" s="30" t="n">
        <f aca="false">IF(AND(Projects!$G$19="Yes",BV$3&gt;=Projects!$C$19,BV$3&lt;Projects!$C$19+Projects!$D$19),Projects!$B$19*INDEX(Curves!$B$4:$AR$4,1,BV$3-Projects!$C$19+1),0)-IF(AND(Projects!$G$19="Yes",BV$3&gt;=Projects!$C$19,BV$3&lt;Projects!$C$19+Projects!$D$19),Projects!$B$19*(Assumptions!$B$10+Assumptions!$B$11+Assumptions!$B$12)/Projects!$D$19*0.95,0)-IF(AND(Projects!$G$19="Yes",BV$3=Projects!$C$19+Projects!$D$19-1),Projects!$B$19*(Assumptions!$B$10+Assumptions!$B$11+Assumptions!$B$12)*0.05,0)</f>
        <v>0</v>
      </c>
      <c r="BW28" s="30" t="n">
        <f aca="false">IF(AND(Projects!$G$19="Yes",BW$3&gt;=Projects!$C$19,BW$3&lt;Projects!$C$19+Projects!$D$19),Projects!$B$19*INDEX(Curves!$B$4:$AR$4,1,BW$3-Projects!$C$19+1),0)-IF(AND(Projects!$G$19="Yes",BW$3&gt;=Projects!$C$19,BW$3&lt;Projects!$C$19+Projects!$D$19),Projects!$B$19*(Assumptions!$B$10+Assumptions!$B$11+Assumptions!$B$12)/Projects!$D$19*0.95,0)-IF(AND(Projects!$G$19="Yes",BW$3=Projects!$C$19+Projects!$D$19-1),Projects!$B$19*(Assumptions!$B$10+Assumptions!$B$11+Assumptions!$B$12)*0.05,0)</f>
        <v>0</v>
      </c>
      <c r="BX28" s="30" t="n">
        <f aca="false">IF(AND(Projects!$G$19="Yes",BX$3&gt;=Projects!$C$19,BX$3&lt;Projects!$C$19+Projects!$D$19),Projects!$B$19*INDEX(Curves!$B$4:$AR$4,1,BX$3-Projects!$C$19+1),0)-IF(AND(Projects!$G$19="Yes",BX$3&gt;=Projects!$C$19,BX$3&lt;Projects!$C$19+Projects!$D$19),Projects!$B$19*(Assumptions!$B$10+Assumptions!$B$11+Assumptions!$B$12)/Projects!$D$19*0.95,0)-IF(AND(Projects!$G$19="Yes",BX$3=Projects!$C$19+Projects!$D$19-1),Projects!$B$19*(Assumptions!$B$10+Assumptions!$B$11+Assumptions!$B$12)*0.05,0)</f>
        <v>0</v>
      </c>
      <c r="BY28" s="30" t="n">
        <f aca="false">IF(AND(Projects!$G$19="Yes",BY$3&gt;=Projects!$C$19,BY$3&lt;Projects!$C$19+Projects!$D$19),Projects!$B$19*INDEX(Curves!$B$4:$AR$4,1,BY$3-Projects!$C$19+1),0)-IF(AND(Projects!$G$19="Yes",BY$3&gt;=Projects!$C$19,BY$3&lt;Projects!$C$19+Projects!$D$19),Projects!$B$19*(Assumptions!$B$10+Assumptions!$B$11+Assumptions!$B$12)/Projects!$D$19*0.95,0)-IF(AND(Projects!$G$19="Yes",BY$3=Projects!$C$19+Projects!$D$19-1),Projects!$B$19*(Assumptions!$B$10+Assumptions!$B$11+Assumptions!$B$12)*0.05,0)</f>
        <v>0</v>
      </c>
      <c r="BZ28" s="30" t="n">
        <f aca="false">IF(AND(Projects!$G$19="Yes",BZ$3&gt;=Projects!$C$19,BZ$3&lt;Projects!$C$19+Projects!$D$19),Projects!$B$19*INDEX(Curves!$B$4:$AR$4,1,BZ$3-Projects!$C$19+1),0)-IF(AND(Projects!$G$19="Yes",BZ$3&gt;=Projects!$C$19,BZ$3&lt;Projects!$C$19+Projects!$D$19),Projects!$B$19*(Assumptions!$B$10+Assumptions!$B$11+Assumptions!$B$12)/Projects!$D$19*0.95,0)-IF(AND(Projects!$G$19="Yes",BZ$3=Projects!$C$19+Projects!$D$19-1),Projects!$B$19*(Assumptions!$B$10+Assumptions!$B$11+Assumptions!$B$12)*0.05,0)</f>
        <v>0</v>
      </c>
      <c r="CA28" s="30" t="n">
        <f aca="false">IF(AND(Projects!$G$19="Yes",CA$3&gt;=Projects!$C$19,CA$3&lt;Projects!$C$19+Projects!$D$19),Projects!$B$19*INDEX(Curves!$B$4:$AR$4,1,CA$3-Projects!$C$19+1),0)-IF(AND(Projects!$G$19="Yes",CA$3&gt;=Projects!$C$19,CA$3&lt;Projects!$C$19+Projects!$D$19),Projects!$B$19*(Assumptions!$B$10+Assumptions!$B$11+Assumptions!$B$12)/Projects!$D$19*0.95,0)-IF(AND(Projects!$G$19="Yes",CA$3=Projects!$C$19+Projects!$D$19-1),Projects!$B$19*(Assumptions!$B$10+Assumptions!$B$11+Assumptions!$B$12)*0.05,0)</f>
        <v>0</v>
      </c>
      <c r="CB28" s="30" t="n">
        <f aca="false">IF(AND(Projects!$G$19="Yes",CB$3&gt;=Projects!$C$19,CB$3&lt;Projects!$C$19+Projects!$D$19),Projects!$B$19*INDEX(Curves!$B$4:$AR$4,1,CB$3-Projects!$C$19+1),0)-IF(AND(Projects!$G$19="Yes",CB$3&gt;=Projects!$C$19,CB$3&lt;Projects!$C$19+Projects!$D$19),Projects!$B$19*(Assumptions!$B$10+Assumptions!$B$11+Assumptions!$B$12)/Projects!$D$19*0.95,0)-IF(AND(Projects!$G$19="Yes",CB$3=Projects!$C$19+Projects!$D$19-1),Projects!$B$19*(Assumptions!$B$10+Assumptions!$B$11+Assumptions!$B$12)*0.05,0)</f>
        <v>0</v>
      </c>
      <c r="CC28" s="30" t="n">
        <f aca="false">IF(AND(Projects!$G$19="Yes",CC$3&gt;=Projects!$C$19,CC$3&lt;Projects!$C$19+Projects!$D$19),Projects!$B$19*INDEX(Curves!$B$4:$AR$4,1,CC$3-Projects!$C$19+1),0)-IF(AND(Projects!$G$19="Yes",CC$3&gt;=Projects!$C$19,CC$3&lt;Projects!$C$19+Projects!$D$19),Projects!$B$19*(Assumptions!$B$10+Assumptions!$B$11+Assumptions!$B$12)/Projects!$D$19*0.95,0)-IF(AND(Projects!$G$19="Yes",CC$3=Projects!$C$19+Projects!$D$19-1),Projects!$B$19*(Assumptions!$B$10+Assumptions!$B$11+Assumptions!$B$12)*0.05,0)</f>
        <v>0</v>
      </c>
      <c r="CD28" s="30" t="n">
        <f aca="false">IF(AND(Projects!$G$19="Yes",CD$3&gt;=Projects!$C$19,CD$3&lt;Projects!$C$19+Projects!$D$19),Projects!$B$19*INDEX(Curves!$B$4:$AR$4,1,CD$3-Projects!$C$19+1),0)-IF(AND(Projects!$G$19="Yes",CD$3&gt;=Projects!$C$19,CD$3&lt;Projects!$C$19+Projects!$D$19),Projects!$B$19*(Assumptions!$B$10+Assumptions!$B$11+Assumptions!$B$12)/Projects!$D$19*0.95,0)-IF(AND(Projects!$G$19="Yes",CD$3=Projects!$C$19+Projects!$D$19-1),Projects!$B$19*(Assumptions!$B$10+Assumptions!$B$11+Assumptions!$B$12)*0.05,0)</f>
        <v>0</v>
      </c>
      <c r="CE28" s="30" t="n">
        <f aca="false">IF(AND(Projects!$G$19="Yes",CE$3&gt;=Projects!$C$19,CE$3&lt;Projects!$C$19+Projects!$D$19),Projects!$B$19*INDEX(Curves!$B$4:$AR$4,1,CE$3-Projects!$C$19+1),0)-IF(AND(Projects!$G$19="Yes",CE$3&gt;=Projects!$C$19,CE$3&lt;Projects!$C$19+Projects!$D$19),Projects!$B$19*(Assumptions!$B$10+Assumptions!$B$11+Assumptions!$B$12)/Projects!$D$19*0.95,0)-IF(AND(Projects!$G$19="Yes",CE$3=Projects!$C$19+Projects!$D$19-1),Projects!$B$19*(Assumptions!$B$10+Assumptions!$B$11+Assumptions!$B$12)*0.05,0)</f>
        <v>0</v>
      </c>
      <c r="CF28" s="30" t="n">
        <f aca="false">IF(AND(Projects!$G$19="Yes",CF$3&gt;=Projects!$C$19,CF$3&lt;Projects!$C$19+Projects!$D$19),Projects!$B$19*INDEX(Curves!$B$4:$AR$4,1,CF$3-Projects!$C$19+1),0)-IF(AND(Projects!$G$19="Yes",CF$3&gt;=Projects!$C$19,CF$3&lt;Projects!$C$19+Projects!$D$19),Projects!$B$19*(Assumptions!$B$10+Assumptions!$B$11+Assumptions!$B$12)/Projects!$D$19*0.95,0)-IF(AND(Projects!$G$19="Yes",CF$3=Projects!$C$19+Projects!$D$19-1),Projects!$B$19*(Assumptions!$B$10+Assumptions!$B$11+Assumptions!$B$12)*0.05,0)</f>
        <v>0</v>
      </c>
      <c r="CG28" s="30" t="n">
        <f aca="false">IF(AND(Projects!$G$19="Yes",CG$3&gt;=Projects!$C$19,CG$3&lt;Projects!$C$19+Projects!$D$19),Projects!$B$19*INDEX(Curves!$B$4:$AR$4,1,CG$3-Projects!$C$19+1),0)-IF(AND(Projects!$G$19="Yes",CG$3&gt;=Projects!$C$19,CG$3&lt;Projects!$C$19+Projects!$D$19),Projects!$B$19*(Assumptions!$B$10+Assumptions!$B$11+Assumptions!$B$12)/Projects!$D$19*0.95,0)-IF(AND(Projects!$G$19="Yes",CG$3=Projects!$C$19+Projects!$D$19-1),Projects!$B$19*(Assumptions!$B$10+Assumptions!$B$11+Assumptions!$B$12)*0.05,0)</f>
        <v>0</v>
      </c>
      <c r="CH28" s="30" t="n">
        <f aca="false">IF(AND(Projects!$G$19="Yes",CH$3&gt;=Projects!$C$19,CH$3&lt;Projects!$C$19+Projects!$D$19),Projects!$B$19*INDEX(Curves!$B$4:$AR$4,1,CH$3-Projects!$C$19+1),0)-IF(AND(Projects!$G$19="Yes",CH$3&gt;=Projects!$C$19,CH$3&lt;Projects!$C$19+Projects!$D$19),Projects!$B$19*(Assumptions!$B$10+Assumptions!$B$11+Assumptions!$B$12)/Projects!$D$19*0.95,0)-IF(AND(Projects!$G$19="Yes",CH$3=Projects!$C$19+Projects!$D$19-1),Projects!$B$19*(Assumptions!$B$10+Assumptions!$B$11+Assumptions!$B$12)*0.05,0)</f>
        <v>0</v>
      </c>
      <c r="CI28" s="30" t="n">
        <f aca="false">IF(AND(Projects!$G$19="Yes",CI$3&gt;=Projects!$C$19,CI$3&lt;Projects!$C$19+Projects!$D$19),Projects!$B$19*INDEX(Curves!$B$4:$AR$4,1,CI$3-Projects!$C$19+1),0)-IF(AND(Projects!$G$19="Yes",CI$3&gt;=Projects!$C$19,CI$3&lt;Projects!$C$19+Projects!$D$19),Projects!$B$19*(Assumptions!$B$10+Assumptions!$B$11+Assumptions!$B$12)/Projects!$D$19*0.95,0)-IF(AND(Projects!$G$19="Yes",CI$3=Projects!$C$19+Projects!$D$19-1),Projects!$B$19*(Assumptions!$B$10+Assumptions!$B$11+Assumptions!$B$12)*0.05,0)</f>
        <v>0</v>
      </c>
      <c r="CJ28" s="30" t="n">
        <f aca="false">IF(AND(Projects!$G$19="Yes",CJ$3&gt;=Projects!$C$19,CJ$3&lt;Projects!$C$19+Projects!$D$19),Projects!$B$19*INDEX(Curves!$B$4:$AR$4,1,CJ$3-Projects!$C$19+1),0)-IF(AND(Projects!$G$19="Yes",CJ$3&gt;=Projects!$C$19,CJ$3&lt;Projects!$C$19+Projects!$D$19),Projects!$B$19*(Assumptions!$B$10+Assumptions!$B$11+Assumptions!$B$12)/Projects!$D$19*0.95,0)-IF(AND(Projects!$G$19="Yes",CJ$3=Projects!$C$19+Projects!$D$19-1),Projects!$B$19*(Assumptions!$B$10+Assumptions!$B$11+Assumptions!$B$12)*0.05,0)</f>
        <v>0</v>
      </c>
      <c r="CK28" s="30" t="n">
        <f aca="false">IF(AND(Projects!$G$19="Yes",CK$3&gt;=Projects!$C$19,CK$3&lt;Projects!$C$19+Projects!$D$19),Projects!$B$19*INDEX(Curves!$B$4:$AR$4,1,CK$3-Projects!$C$19+1),0)-IF(AND(Projects!$G$19="Yes",CK$3&gt;=Projects!$C$19,CK$3&lt;Projects!$C$19+Projects!$D$19),Projects!$B$19*(Assumptions!$B$10+Assumptions!$B$11+Assumptions!$B$12)/Projects!$D$19*0.95,0)-IF(AND(Projects!$G$19="Yes",CK$3=Projects!$C$19+Projects!$D$19-1),Projects!$B$19*(Assumptions!$B$10+Assumptions!$B$11+Assumptions!$B$12)*0.05,0)</f>
        <v>0</v>
      </c>
      <c r="CL28" s="30" t="n">
        <f aca="false">IF(AND(Projects!$G$19="Yes",CL$3&gt;=Projects!$C$19,CL$3&lt;Projects!$C$19+Projects!$D$19),Projects!$B$19*INDEX(Curves!$B$4:$AR$4,1,CL$3-Projects!$C$19+1),0)-IF(AND(Projects!$G$19="Yes",CL$3&gt;=Projects!$C$19,CL$3&lt;Projects!$C$19+Projects!$D$19),Projects!$B$19*(Assumptions!$B$10+Assumptions!$B$11+Assumptions!$B$12)/Projects!$D$19*0.95,0)-IF(AND(Projects!$G$19="Yes",CL$3=Projects!$C$19+Projects!$D$19-1),Projects!$B$19*(Assumptions!$B$10+Assumptions!$B$11+Assumptions!$B$12)*0.05,0)</f>
        <v>0</v>
      </c>
      <c r="CM28" s="30" t="n">
        <f aca="false">IF(AND(Projects!$G$19="Yes",CM$3&gt;=Projects!$C$19,CM$3&lt;Projects!$C$19+Projects!$D$19),Projects!$B$19*INDEX(Curves!$B$4:$AR$4,1,CM$3-Projects!$C$19+1),0)-IF(AND(Projects!$G$19="Yes",CM$3&gt;=Projects!$C$19,CM$3&lt;Projects!$C$19+Projects!$D$19),Projects!$B$19*(Assumptions!$B$10+Assumptions!$B$11+Assumptions!$B$12)/Projects!$D$19*0.95,0)-IF(AND(Projects!$G$19="Yes",CM$3=Projects!$C$19+Projects!$D$19-1),Projects!$B$19*(Assumptions!$B$10+Assumptions!$B$11+Assumptions!$B$12)*0.05,0)</f>
        <v>0</v>
      </c>
      <c r="CN28" s="30" t="n">
        <f aca="false">IF(AND(Projects!$G$19="Yes",CN$3&gt;=Projects!$C$19,CN$3&lt;Projects!$C$19+Projects!$D$19),Projects!$B$19*INDEX(Curves!$B$4:$AR$4,1,CN$3-Projects!$C$19+1),0)-IF(AND(Projects!$G$19="Yes",CN$3&gt;=Projects!$C$19,CN$3&lt;Projects!$C$19+Projects!$D$19),Projects!$B$19*(Assumptions!$B$10+Assumptions!$B$11+Assumptions!$B$12)/Projects!$D$19*0.95,0)-IF(AND(Projects!$G$19="Yes",CN$3=Projects!$C$19+Projects!$D$19-1),Projects!$B$19*(Assumptions!$B$10+Assumptions!$B$11+Assumptions!$B$12)*0.05,0)</f>
        <v>0</v>
      </c>
      <c r="CO28" s="30" t="n">
        <f aca="false">IF(AND(Projects!$G$19="Yes",CO$3&gt;=Projects!$C$19,CO$3&lt;Projects!$C$19+Projects!$D$19),Projects!$B$19*INDEX(Curves!$B$4:$AR$4,1,CO$3-Projects!$C$19+1),0)-IF(AND(Projects!$G$19="Yes",CO$3&gt;=Projects!$C$19,CO$3&lt;Projects!$C$19+Projects!$D$19),Projects!$B$19*(Assumptions!$B$10+Assumptions!$B$11+Assumptions!$B$12)/Projects!$D$19*0.95,0)-IF(AND(Projects!$G$19="Yes",CO$3=Projects!$C$19+Projects!$D$19-1),Projects!$B$19*(Assumptions!$B$10+Assumptions!$B$11+Assumptions!$B$12)*0.05,0)</f>
        <v>0</v>
      </c>
      <c r="CP28" s="30" t="n">
        <f aca="false">IF(AND(Projects!$G$19="Yes",CP$3&gt;=Projects!$C$19,CP$3&lt;Projects!$C$19+Projects!$D$19),Projects!$B$19*INDEX(Curves!$B$4:$AR$4,1,CP$3-Projects!$C$19+1),0)-IF(AND(Projects!$G$19="Yes",CP$3&gt;=Projects!$C$19,CP$3&lt;Projects!$C$19+Projects!$D$19),Projects!$B$19*(Assumptions!$B$10+Assumptions!$B$11+Assumptions!$B$12)/Projects!$D$19*0.95,0)-IF(AND(Projects!$G$19="Yes",CP$3=Projects!$C$19+Projects!$D$19-1),Projects!$B$19*(Assumptions!$B$10+Assumptions!$B$11+Assumptions!$B$12)*0.05,0)</f>
        <v>0</v>
      </c>
      <c r="CQ28" s="30" t="n">
        <f aca="false">IF(AND(Projects!$G$19="Yes",CQ$3&gt;=Projects!$C$19,CQ$3&lt;Projects!$C$19+Projects!$D$19),Projects!$B$19*INDEX(Curves!$B$4:$AR$4,1,CQ$3-Projects!$C$19+1),0)-IF(AND(Projects!$G$19="Yes",CQ$3&gt;=Projects!$C$19,CQ$3&lt;Projects!$C$19+Projects!$D$19),Projects!$B$19*(Assumptions!$B$10+Assumptions!$B$11+Assumptions!$B$12)/Projects!$D$19*0.95,0)-IF(AND(Projects!$G$19="Yes",CQ$3=Projects!$C$19+Projects!$D$19-1),Projects!$B$19*(Assumptions!$B$10+Assumptions!$B$11+Assumptions!$B$12)*0.05,0)</f>
        <v>0</v>
      </c>
      <c r="CR28" s="30" t="n">
        <f aca="false">IF(AND(Projects!$G$19="Yes",CR$3&gt;=Projects!$C$19,CR$3&lt;Projects!$C$19+Projects!$D$19),Projects!$B$19*INDEX(Curves!$B$4:$AR$4,1,CR$3-Projects!$C$19+1),0)-IF(AND(Projects!$G$19="Yes",CR$3&gt;=Projects!$C$19,CR$3&lt;Projects!$C$19+Projects!$D$19),Projects!$B$19*(Assumptions!$B$10+Assumptions!$B$11+Assumptions!$B$12)/Projects!$D$19*0.95,0)-IF(AND(Projects!$G$19="Yes",CR$3=Projects!$C$19+Projects!$D$19-1),Projects!$B$19*(Assumptions!$B$10+Assumptions!$B$11+Assumptions!$B$12)*0.05,0)</f>
        <v>0</v>
      </c>
      <c r="CS28" s="30" t="n">
        <f aca="false">IF(AND(Projects!$G$19="Yes",CS$3&gt;=Projects!$C$19,CS$3&lt;Projects!$C$19+Projects!$D$19),Projects!$B$19*INDEX(Curves!$B$4:$AR$4,1,CS$3-Projects!$C$19+1),0)-IF(AND(Projects!$G$19="Yes",CS$3&gt;=Projects!$C$19,CS$3&lt;Projects!$C$19+Projects!$D$19),Projects!$B$19*(Assumptions!$B$10+Assumptions!$B$11+Assumptions!$B$12)/Projects!$D$19*0.95,0)-IF(AND(Projects!$G$19="Yes",CS$3=Projects!$C$19+Projects!$D$19-1),Projects!$B$19*(Assumptions!$B$10+Assumptions!$B$11+Assumptions!$B$12)*0.05,0)</f>
        <v>0</v>
      </c>
      <c r="CT28" s="30" t="n">
        <f aca="false">IF(AND(Projects!$G$19="Yes",CT$3&gt;=Projects!$C$19,CT$3&lt;Projects!$C$19+Projects!$D$19),Projects!$B$19*INDEX(Curves!$B$4:$AR$4,1,CT$3-Projects!$C$19+1),0)-IF(AND(Projects!$G$19="Yes",CT$3&gt;=Projects!$C$19,CT$3&lt;Projects!$C$19+Projects!$D$19),Projects!$B$19*(Assumptions!$B$10+Assumptions!$B$11+Assumptions!$B$12)/Projects!$D$19*0.95,0)-IF(AND(Projects!$G$19="Yes",CT$3=Projects!$C$19+Projects!$D$19-1),Projects!$B$19*(Assumptions!$B$10+Assumptions!$B$11+Assumptions!$B$12)*0.05,0)</f>
        <v>0</v>
      </c>
      <c r="CU28" s="30" t="n">
        <f aca="false">IF(AND(Projects!$G$19="Yes",CU$3&gt;=Projects!$C$19,CU$3&lt;Projects!$C$19+Projects!$D$19),Projects!$B$19*INDEX(Curves!$B$4:$AR$4,1,CU$3-Projects!$C$19+1),0)-IF(AND(Projects!$G$19="Yes",CU$3&gt;=Projects!$C$19,CU$3&lt;Projects!$C$19+Projects!$D$19),Projects!$B$19*(Assumptions!$B$10+Assumptions!$B$11+Assumptions!$B$12)/Projects!$D$19*0.95,0)-IF(AND(Projects!$G$19="Yes",CU$3=Projects!$C$19+Projects!$D$19-1),Projects!$B$19*(Assumptions!$B$10+Assumptions!$B$11+Assumptions!$B$12)*0.05,0)</f>
        <v>0</v>
      </c>
      <c r="CV28" s="30" t="n">
        <f aca="false">IF(AND(Projects!$G$19="Yes",CV$3&gt;=Projects!$C$19,CV$3&lt;Projects!$C$19+Projects!$D$19),Projects!$B$19*INDEX(Curves!$B$4:$AR$4,1,CV$3-Projects!$C$19+1),0)-IF(AND(Projects!$G$19="Yes",CV$3&gt;=Projects!$C$19,CV$3&lt;Projects!$C$19+Projects!$D$19),Projects!$B$19*(Assumptions!$B$10+Assumptions!$B$11+Assumptions!$B$12)/Projects!$D$19*0.95,0)-IF(AND(Projects!$G$19="Yes",CV$3=Projects!$C$19+Projects!$D$19-1),Projects!$B$19*(Assumptions!$B$10+Assumptions!$B$11+Assumptions!$B$12)*0.05,0)</f>
        <v>0</v>
      </c>
      <c r="CW28" s="30" t="n">
        <f aca="false">IF(AND(Projects!$G$19="Yes",CW$3&gt;=Projects!$C$19,CW$3&lt;Projects!$C$19+Projects!$D$19),Projects!$B$19*INDEX(Curves!$B$4:$AR$4,1,CW$3-Projects!$C$19+1),0)-IF(AND(Projects!$G$19="Yes",CW$3&gt;=Projects!$C$19,CW$3&lt;Projects!$C$19+Projects!$D$19),Projects!$B$19*(Assumptions!$B$10+Assumptions!$B$11+Assumptions!$B$12)/Projects!$D$19*0.95,0)-IF(AND(Projects!$G$19="Yes",CW$3=Projects!$C$19+Projects!$D$19-1),Projects!$B$19*(Assumptions!$B$10+Assumptions!$B$11+Assumptions!$B$12)*0.05,0)</f>
        <v>0</v>
      </c>
      <c r="CX28" s="30" t="n">
        <f aca="false">IF(AND(Projects!$G$19="Yes",CX$3&gt;=Projects!$C$19,CX$3&lt;Projects!$C$19+Projects!$D$19),Projects!$B$19*INDEX(Curves!$B$4:$AR$4,1,CX$3-Projects!$C$19+1),0)-IF(AND(Projects!$G$19="Yes",CX$3&gt;=Projects!$C$19,CX$3&lt;Projects!$C$19+Projects!$D$19),Projects!$B$19*(Assumptions!$B$10+Assumptions!$B$11+Assumptions!$B$12)/Projects!$D$19*0.95,0)-IF(AND(Projects!$G$19="Yes",CX$3=Projects!$C$19+Projects!$D$19-1),Projects!$B$19*(Assumptions!$B$10+Assumptions!$B$11+Assumptions!$B$12)*0.05,0)</f>
        <v>0</v>
      </c>
      <c r="CY28" s="30" t="n">
        <f aca="false">IF(AND(Projects!$G$19="Yes",CY$3&gt;=Projects!$C$19,CY$3&lt;Projects!$C$19+Projects!$D$19),Projects!$B$19*INDEX(Curves!$B$4:$AR$4,1,CY$3-Projects!$C$19+1),0)-IF(AND(Projects!$G$19="Yes",CY$3&gt;=Projects!$C$19,CY$3&lt;Projects!$C$19+Projects!$D$19),Projects!$B$19*(Assumptions!$B$10+Assumptions!$B$11+Assumptions!$B$12)/Projects!$D$19*0.95,0)-IF(AND(Projects!$G$19="Yes",CY$3=Projects!$C$19+Projects!$D$19-1),Projects!$B$19*(Assumptions!$B$10+Assumptions!$B$11+Assumptions!$B$12)*0.05,0)</f>
        <v>0</v>
      </c>
      <c r="CZ28" s="30" t="n">
        <f aca="false">IF(AND(Projects!$G$19="Yes",CZ$3&gt;=Projects!$C$19,CZ$3&lt;Projects!$C$19+Projects!$D$19),Projects!$B$19*INDEX(Curves!$B$4:$AR$4,1,CZ$3-Projects!$C$19+1),0)-IF(AND(Projects!$G$19="Yes",CZ$3&gt;=Projects!$C$19,CZ$3&lt;Projects!$C$19+Projects!$D$19),Projects!$B$19*(Assumptions!$B$10+Assumptions!$B$11+Assumptions!$B$12)/Projects!$D$19*0.95,0)-IF(AND(Projects!$G$19="Yes",CZ$3=Projects!$C$19+Projects!$D$19-1),Projects!$B$19*(Assumptions!$B$10+Assumptions!$B$11+Assumptions!$B$12)*0.05,0)</f>
        <v>0</v>
      </c>
      <c r="DA28" s="30" t="n">
        <f aca="false">IF(AND(Projects!$G$19="Yes",DA$3&gt;=Projects!$C$19,DA$3&lt;Projects!$C$19+Projects!$D$19),Projects!$B$19*INDEX(Curves!$B$4:$AR$4,1,DA$3-Projects!$C$19+1),0)-IF(AND(Projects!$G$19="Yes",DA$3&gt;=Projects!$C$19,DA$3&lt;Projects!$C$19+Projects!$D$19),Projects!$B$19*(Assumptions!$B$10+Assumptions!$B$11+Assumptions!$B$12)/Projects!$D$19*0.95,0)-IF(AND(Projects!$G$19="Yes",DA$3=Projects!$C$19+Projects!$D$19-1),Projects!$B$19*(Assumptions!$B$10+Assumptions!$B$11+Assumptions!$B$12)*0.05,0)</f>
        <v>0</v>
      </c>
      <c r="DB28" s="30" t="n">
        <f aca="false">IF(AND(Projects!$G$19="Yes",DB$3&gt;=Projects!$C$19,DB$3&lt;Projects!$C$19+Projects!$D$19),Projects!$B$19*INDEX(Curves!$B$4:$AR$4,1,DB$3-Projects!$C$19+1),0)-IF(AND(Projects!$G$19="Yes",DB$3&gt;=Projects!$C$19,DB$3&lt;Projects!$C$19+Projects!$D$19),Projects!$B$19*(Assumptions!$B$10+Assumptions!$B$11+Assumptions!$B$12)/Projects!$D$19*0.95,0)-IF(AND(Projects!$G$19="Yes",DB$3=Projects!$C$19+Projects!$D$19-1),Projects!$B$19*(Assumptions!$B$10+Assumptions!$B$11+Assumptions!$B$12)*0.05,0)</f>
        <v>0</v>
      </c>
      <c r="DC28" s="30" t="n">
        <f aca="false">IF(AND(Projects!$G$19="Yes",DC$3&gt;=Projects!$C$19,DC$3&lt;Projects!$C$19+Projects!$D$19),Projects!$B$19*INDEX(Curves!$B$4:$AR$4,1,DC$3-Projects!$C$19+1),0)-IF(AND(Projects!$G$19="Yes",DC$3&gt;=Projects!$C$19,DC$3&lt;Projects!$C$19+Projects!$D$19),Projects!$B$19*(Assumptions!$B$10+Assumptions!$B$11+Assumptions!$B$12)/Projects!$D$19*0.95,0)-IF(AND(Projects!$G$19="Yes",DC$3=Projects!$C$19+Projects!$D$19-1),Projects!$B$19*(Assumptions!$B$10+Assumptions!$B$11+Assumptions!$B$12)*0.05,0)</f>
        <v>0</v>
      </c>
      <c r="DD28" s="30" t="n">
        <f aca="false">IF(AND(Projects!$G$19="Yes",DD$3&gt;=Projects!$C$19,DD$3&lt;Projects!$C$19+Projects!$D$19),Projects!$B$19*INDEX(Curves!$B$4:$AR$4,1,DD$3-Projects!$C$19+1),0)-IF(AND(Projects!$G$19="Yes",DD$3&gt;=Projects!$C$19,DD$3&lt;Projects!$C$19+Projects!$D$19),Projects!$B$19*(Assumptions!$B$10+Assumptions!$B$11+Assumptions!$B$12)/Projects!$D$19*0.95,0)-IF(AND(Projects!$G$19="Yes",DD$3=Projects!$C$19+Projects!$D$19-1),Projects!$B$19*(Assumptions!$B$10+Assumptions!$B$11+Assumptions!$B$12)*0.05,0)</f>
        <v>0</v>
      </c>
      <c r="DE28" s="30" t="n">
        <f aca="false">IF(AND(Projects!$G$19="Yes",DE$3&gt;=Projects!$C$19,DE$3&lt;Projects!$C$19+Projects!$D$19),Projects!$B$19*INDEX(Curves!$B$4:$AR$4,1,DE$3-Projects!$C$19+1),0)-IF(AND(Projects!$G$19="Yes",DE$3&gt;=Projects!$C$19,DE$3&lt;Projects!$C$19+Projects!$D$19),Projects!$B$19*(Assumptions!$B$10+Assumptions!$B$11+Assumptions!$B$12)/Projects!$D$19*0.95,0)-IF(AND(Projects!$G$19="Yes",DE$3=Projects!$C$19+Projects!$D$19-1),Projects!$B$19*(Assumptions!$B$10+Assumptions!$B$11+Assumptions!$B$12)*0.05,0)</f>
        <v>0</v>
      </c>
    </row>
    <row r="29" customFormat="false" ht="15" hidden="true" customHeight="true" outlineLevel="1" collapsed="false">
      <c r="A29" s="32" t="s">
        <v>23</v>
      </c>
      <c r="B29" s="30" t="n">
        <v>0</v>
      </c>
      <c r="C29" s="30" t="n">
        <v>0</v>
      </c>
      <c r="D29" s="30" t="n">
        <v>0</v>
      </c>
      <c r="E29" s="30" t="n">
        <v>0</v>
      </c>
      <c r="F29" s="30" t="n">
        <f aca="false">IF(AND(Projects!$G$20="Yes",F$3&gt;=Projects!$C$20,F$3&lt;Projects!$C$20+Projects!$D$20),Projects!$B$20*INDEX(Curves!$B$4:$AR$4,1,F$3-Projects!$C$20+1),0)-IF(AND(Projects!$G$20="Yes",F$3&gt;=Projects!$C$20,F$3&lt;Projects!$C$20+Projects!$D$20),Projects!$B$20*(Assumptions!$B$10+Assumptions!$B$11+Assumptions!$B$12)/Projects!$D$20*0.95,0)-IF(AND(Projects!$G$20="Yes",F$3=Projects!$C$20+Projects!$D$20-1),Projects!$B$20*(Assumptions!$B$10+Assumptions!$B$11+Assumptions!$B$12)*0.05,0)</f>
        <v>0</v>
      </c>
      <c r="G29" s="30" t="n">
        <f aca="false">IF(AND(Projects!$G$20="Yes",G$3&gt;=Projects!$C$20,G$3&lt;Projects!$C$20+Projects!$D$20),Projects!$B$20*INDEX(Curves!$B$4:$AR$4,1,G$3-Projects!$C$20+1),0)-IF(AND(Projects!$G$20="Yes",G$3&gt;=Projects!$C$20,G$3&lt;Projects!$C$20+Projects!$D$20),Projects!$B$20*(Assumptions!$B$10+Assumptions!$B$11+Assumptions!$B$12)/Projects!$D$20*0.95,0)-IF(AND(Projects!$G$20="Yes",G$3=Projects!$C$20+Projects!$D$20-1),Projects!$B$20*(Assumptions!$B$10+Assumptions!$B$11+Assumptions!$B$12)*0.05,0)</f>
        <v>0</v>
      </c>
      <c r="H29" s="30" t="n">
        <f aca="false">IF(AND(Projects!$G$20="Yes",H$3&gt;=Projects!$C$20,H$3&lt;Projects!$C$20+Projects!$D$20),Projects!$B$20*INDEX(Curves!$B$4:$AR$4,1,H$3-Projects!$C$20+1),0)-IF(AND(Projects!$G$20="Yes",H$3&gt;=Projects!$C$20,H$3&lt;Projects!$C$20+Projects!$D$20),Projects!$B$20*(Assumptions!$B$10+Assumptions!$B$11+Assumptions!$B$12)/Projects!$D$20*0.95,0)-IF(AND(Projects!$G$20="Yes",H$3=Projects!$C$20+Projects!$D$20-1),Projects!$B$20*(Assumptions!$B$10+Assumptions!$B$11+Assumptions!$B$12)*0.05,0)</f>
        <v>0</v>
      </c>
      <c r="I29" s="30" t="n">
        <f aca="false">IF(AND(Projects!$G$20="Yes",I$3&gt;=Projects!$C$20,I$3&lt;Projects!$C$20+Projects!$D$20),Projects!$B$20*INDEX(Curves!$B$4:$AR$4,1,I$3-Projects!$C$20+1),0)-IF(AND(Projects!$G$20="Yes",I$3&gt;=Projects!$C$20,I$3&lt;Projects!$C$20+Projects!$D$20),Projects!$B$20*(Assumptions!$B$10+Assumptions!$B$11+Assumptions!$B$12)/Projects!$D$20*0.95,0)-IF(AND(Projects!$G$20="Yes",I$3=Projects!$C$20+Projects!$D$20-1),Projects!$B$20*(Assumptions!$B$10+Assumptions!$B$11+Assumptions!$B$12)*0.05,0)</f>
        <v>0</v>
      </c>
      <c r="J29" s="30" t="n">
        <f aca="false">IF(AND(Projects!$G$20="Yes",J$3&gt;=Projects!$C$20,J$3&lt;Projects!$C$20+Projects!$D$20),Projects!$B$20*INDEX(Curves!$B$4:$AR$4,1,J$3-Projects!$C$20+1),0)-IF(AND(Projects!$G$20="Yes",J$3&gt;=Projects!$C$20,J$3&lt;Projects!$C$20+Projects!$D$20),Projects!$B$20*(Assumptions!$B$10+Assumptions!$B$11+Assumptions!$B$12)/Projects!$D$20*0.95,0)-IF(AND(Projects!$G$20="Yes",J$3=Projects!$C$20+Projects!$D$20-1),Projects!$B$20*(Assumptions!$B$10+Assumptions!$B$11+Assumptions!$B$12)*0.05,0)</f>
        <v>0</v>
      </c>
      <c r="K29" s="30" t="n">
        <f aca="false">IF(AND(Projects!$G$20="Yes",K$3&gt;=Projects!$C$20,K$3&lt;Projects!$C$20+Projects!$D$20),Projects!$B$20*INDEX(Curves!$B$4:$AR$4,1,K$3-Projects!$C$20+1),0)-IF(AND(Projects!$G$20="Yes",K$3&gt;=Projects!$C$20,K$3&lt;Projects!$C$20+Projects!$D$20),Projects!$B$20*(Assumptions!$B$10+Assumptions!$B$11+Assumptions!$B$12)/Projects!$D$20*0.95,0)-IF(AND(Projects!$G$20="Yes",K$3=Projects!$C$20+Projects!$D$20-1),Projects!$B$20*(Assumptions!$B$10+Assumptions!$B$11+Assumptions!$B$12)*0.05,0)</f>
        <v>0</v>
      </c>
      <c r="L29" s="30" t="n">
        <f aca="false">IF(AND(Projects!$G$20="Yes",L$3&gt;=Projects!$C$20,L$3&lt;Projects!$C$20+Projects!$D$20),Projects!$B$20*INDEX(Curves!$B$4:$AR$4,1,L$3-Projects!$C$20+1),0)-IF(AND(Projects!$G$20="Yes",L$3&gt;=Projects!$C$20,L$3&lt;Projects!$C$20+Projects!$D$20),Projects!$B$20*(Assumptions!$B$10+Assumptions!$B$11+Assumptions!$B$12)/Projects!$D$20*0.95,0)-IF(AND(Projects!$G$20="Yes",L$3=Projects!$C$20+Projects!$D$20-1),Projects!$B$20*(Assumptions!$B$10+Assumptions!$B$11+Assumptions!$B$12)*0.05,0)</f>
        <v>0</v>
      </c>
      <c r="M29" s="30" t="n">
        <f aca="false">IF(AND(Projects!$G$20="Yes",M$3&gt;=Projects!$C$20,M$3&lt;Projects!$C$20+Projects!$D$20),Projects!$B$20*INDEX(Curves!$B$4:$AR$4,1,M$3-Projects!$C$20+1),0)-IF(AND(Projects!$G$20="Yes",M$3&gt;=Projects!$C$20,M$3&lt;Projects!$C$20+Projects!$D$20),Projects!$B$20*(Assumptions!$B$10+Assumptions!$B$11+Assumptions!$B$12)/Projects!$D$20*0.95,0)-IF(AND(Projects!$G$20="Yes",M$3=Projects!$C$20+Projects!$D$20-1),Projects!$B$20*(Assumptions!$B$10+Assumptions!$B$11+Assumptions!$B$12)*0.05,0)</f>
        <v>0</v>
      </c>
      <c r="N29" s="30" t="n">
        <f aca="false">IF(AND(Projects!$G$20="Yes",N$3&gt;=Projects!$C$20,N$3&lt;Projects!$C$20+Projects!$D$20),Projects!$B$20*INDEX(Curves!$B$4:$AR$4,1,N$3-Projects!$C$20+1),0)-IF(AND(Projects!$G$20="Yes",N$3&gt;=Projects!$C$20,N$3&lt;Projects!$C$20+Projects!$D$20),Projects!$B$20*(Assumptions!$B$10+Assumptions!$B$11+Assumptions!$B$12)/Projects!$D$20*0.95,0)-IF(AND(Projects!$G$20="Yes",N$3=Projects!$C$20+Projects!$D$20-1),Projects!$B$20*(Assumptions!$B$10+Assumptions!$B$11+Assumptions!$B$12)*0.05,0)</f>
        <v>0</v>
      </c>
      <c r="O29" s="30" t="n">
        <f aca="false">IF(AND(Projects!$G$20="Yes",O$3&gt;=Projects!$C$20,O$3&lt;Projects!$C$20+Projects!$D$20),Projects!$B$20*INDEX(Curves!$B$4:$AR$4,1,O$3-Projects!$C$20+1),0)-IF(AND(Projects!$G$20="Yes",O$3&gt;=Projects!$C$20,O$3&lt;Projects!$C$20+Projects!$D$20),Projects!$B$20*(Assumptions!$B$10+Assumptions!$B$11+Assumptions!$B$12)/Projects!$D$20*0.95,0)-IF(AND(Projects!$G$20="Yes",O$3=Projects!$C$20+Projects!$D$20-1),Projects!$B$20*(Assumptions!$B$10+Assumptions!$B$11+Assumptions!$B$12)*0.05,0)</f>
        <v>0</v>
      </c>
      <c r="P29" s="30" t="n">
        <f aca="false">IF(AND(Projects!$G$20="Yes",P$3&gt;=Projects!$C$20,P$3&lt;Projects!$C$20+Projects!$D$20),Projects!$B$20*INDEX(Curves!$B$4:$AR$4,1,P$3-Projects!$C$20+1),0)-IF(AND(Projects!$G$20="Yes",P$3&gt;=Projects!$C$20,P$3&lt;Projects!$C$20+Projects!$D$20),Projects!$B$20*(Assumptions!$B$10+Assumptions!$B$11+Assumptions!$B$12)/Projects!$D$20*0.95,0)-IF(AND(Projects!$G$20="Yes",P$3=Projects!$C$20+Projects!$D$20-1),Projects!$B$20*(Assumptions!$B$10+Assumptions!$B$11+Assumptions!$B$12)*0.05,0)</f>
        <v>0</v>
      </c>
      <c r="Q29" s="30" t="n">
        <f aca="false">IF(AND(Projects!$G$20="Yes",Q$3&gt;=Projects!$C$20,Q$3&lt;Projects!$C$20+Projects!$D$20),Projects!$B$20*INDEX(Curves!$B$4:$AR$4,1,Q$3-Projects!$C$20+1),0)-IF(AND(Projects!$G$20="Yes",Q$3&gt;=Projects!$C$20,Q$3&lt;Projects!$C$20+Projects!$D$20),Projects!$B$20*(Assumptions!$B$10+Assumptions!$B$11+Assumptions!$B$12)/Projects!$D$20*0.95,0)-IF(AND(Projects!$G$20="Yes",Q$3=Projects!$C$20+Projects!$D$20-1),Projects!$B$20*(Assumptions!$B$10+Assumptions!$B$11+Assumptions!$B$12)*0.05,0)</f>
        <v>0</v>
      </c>
      <c r="R29" s="30" t="n">
        <f aca="false">IF(AND(Projects!$G$20="Yes",R$3&gt;=Projects!$C$20,R$3&lt;Projects!$C$20+Projects!$D$20),Projects!$B$20*INDEX(Curves!$B$4:$AR$4,1,R$3-Projects!$C$20+1),0)-IF(AND(Projects!$G$20="Yes",R$3&gt;=Projects!$C$20,R$3&lt;Projects!$C$20+Projects!$D$20),Projects!$B$20*(Assumptions!$B$10+Assumptions!$B$11+Assumptions!$B$12)/Projects!$D$20*0.95,0)-IF(AND(Projects!$G$20="Yes",R$3=Projects!$C$20+Projects!$D$20-1),Projects!$B$20*(Assumptions!$B$10+Assumptions!$B$11+Assumptions!$B$12)*0.05,0)</f>
        <v>0</v>
      </c>
      <c r="S29" s="30" t="n">
        <f aca="false">IF(AND(Projects!$G$20="Yes",S$3&gt;=Projects!$C$20,S$3&lt;Projects!$C$20+Projects!$D$20),Projects!$B$20*INDEX(Curves!$B$4:$AR$4,1,S$3-Projects!$C$20+1),0)-IF(AND(Projects!$G$20="Yes",S$3&gt;=Projects!$C$20,S$3&lt;Projects!$C$20+Projects!$D$20),Projects!$B$20*(Assumptions!$B$10+Assumptions!$B$11+Assumptions!$B$12)/Projects!$D$20*0.95,0)-IF(AND(Projects!$G$20="Yes",S$3=Projects!$C$20+Projects!$D$20-1),Projects!$B$20*(Assumptions!$B$10+Assumptions!$B$11+Assumptions!$B$12)*0.05,0)</f>
        <v>0</v>
      </c>
      <c r="T29" s="30" t="n">
        <f aca="false">IF(AND(Projects!$G$20="Yes",T$3&gt;=Projects!$C$20,T$3&lt;Projects!$C$20+Projects!$D$20),Projects!$B$20*INDEX(Curves!$B$4:$AR$4,1,T$3-Projects!$C$20+1),0)-IF(AND(Projects!$G$20="Yes",T$3&gt;=Projects!$C$20,T$3&lt;Projects!$C$20+Projects!$D$20),Projects!$B$20*(Assumptions!$B$10+Assumptions!$B$11+Assumptions!$B$12)/Projects!$D$20*0.95,0)-IF(AND(Projects!$G$20="Yes",T$3=Projects!$C$20+Projects!$D$20-1),Projects!$B$20*(Assumptions!$B$10+Assumptions!$B$11+Assumptions!$B$12)*0.05,0)</f>
        <v>0</v>
      </c>
      <c r="U29" s="30" t="n">
        <f aca="false">IF(AND(Projects!$G$20="Yes",U$3&gt;=Projects!$C$20,U$3&lt;Projects!$C$20+Projects!$D$20),Projects!$B$20*INDEX(Curves!$B$4:$AR$4,1,U$3-Projects!$C$20+1),0)-IF(AND(Projects!$G$20="Yes",U$3&gt;=Projects!$C$20,U$3&lt;Projects!$C$20+Projects!$D$20),Projects!$B$20*(Assumptions!$B$10+Assumptions!$B$11+Assumptions!$B$12)/Projects!$D$20*0.95,0)-IF(AND(Projects!$G$20="Yes",U$3=Projects!$C$20+Projects!$D$20-1),Projects!$B$20*(Assumptions!$B$10+Assumptions!$B$11+Assumptions!$B$12)*0.05,0)</f>
        <v>0</v>
      </c>
      <c r="V29" s="30" t="n">
        <f aca="false">IF(AND(Projects!$G$20="Yes",V$3&gt;=Projects!$C$20,V$3&lt;Projects!$C$20+Projects!$D$20),Projects!$B$20*INDEX(Curves!$B$4:$AR$4,1,V$3-Projects!$C$20+1),0)-IF(AND(Projects!$G$20="Yes",V$3&gt;=Projects!$C$20,V$3&lt;Projects!$C$20+Projects!$D$20),Projects!$B$20*(Assumptions!$B$10+Assumptions!$B$11+Assumptions!$B$12)/Projects!$D$20*0.95,0)-IF(AND(Projects!$G$20="Yes",V$3=Projects!$C$20+Projects!$D$20-1),Projects!$B$20*(Assumptions!$B$10+Assumptions!$B$11+Assumptions!$B$12)*0.05,0)</f>
        <v>0</v>
      </c>
      <c r="W29" s="30" t="n">
        <f aca="false">IF(AND(Projects!$G$20="Yes",W$3&gt;=Projects!$C$20,W$3&lt;Projects!$C$20+Projects!$D$20),Projects!$B$20*INDEX(Curves!$B$4:$AR$4,1,W$3-Projects!$C$20+1),0)-IF(AND(Projects!$G$20="Yes",W$3&gt;=Projects!$C$20,W$3&lt;Projects!$C$20+Projects!$D$20),Projects!$B$20*(Assumptions!$B$10+Assumptions!$B$11+Assumptions!$B$12)/Projects!$D$20*0.95,0)-IF(AND(Projects!$G$20="Yes",W$3=Projects!$C$20+Projects!$D$20-1),Projects!$B$20*(Assumptions!$B$10+Assumptions!$B$11+Assumptions!$B$12)*0.05,0)</f>
        <v>0</v>
      </c>
      <c r="X29" s="30" t="n">
        <f aca="false">IF(AND(Projects!$G$20="Yes",X$3&gt;=Projects!$C$20,X$3&lt;Projects!$C$20+Projects!$D$20),Projects!$B$20*INDEX(Curves!$B$4:$AR$4,1,X$3-Projects!$C$20+1),0)-IF(AND(Projects!$G$20="Yes",X$3&gt;=Projects!$C$20,X$3&lt;Projects!$C$20+Projects!$D$20),Projects!$B$20*(Assumptions!$B$10+Assumptions!$B$11+Assumptions!$B$12)/Projects!$D$20*0.95,0)-IF(AND(Projects!$G$20="Yes",X$3=Projects!$C$20+Projects!$D$20-1),Projects!$B$20*(Assumptions!$B$10+Assumptions!$B$11+Assumptions!$B$12)*0.05,0)</f>
        <v>0</v>
      </c>
      <c r="Y29" s="30" t="n">
        <f aca="false">IF(AND(Projects!$G$20="Yes",Y$3&gt;=Projects!$C$20,Y$3&lt;Projects!$C$20+Projects!$D$20),Projects!$B$20*INDEX(Curves!$B$4:$AR$4,1,Y$3-Projects!$C$20+1),0)-IF(AND(Projects!$G$20="Yes",Y$3&gt;=Projects!$C$20,Y$3&lt;Projects!$C$20+Projects!$D$20),Projects!$B$20*(Assumptions!$B$10+Assumptions!$B$11+Assumptions!$B$12)/Projects!$D$20*0.95,0)-IF(AND(Projects!$G$20="Yes",Y$3=Projects!$C$20+Projects!$D$20-1),Projects!$B$20*(Assumptions!$B$10+Assumptions!$B$11+Assumptions!$B$12)*0.05,0)</f>
        <v>0</v>
      </c>
      <c r="Z29" s="30" t="n">
        <f aca="false">IF(AND(Projects!$G$20="Yes",Z$3&gt;=Projects!$C$20,Z$3&lt;Projects!$C$20+Projects!$D$20),Projects!$B$20*INDEX(Curves!$B$4:$AR$4,1,Z$3-Projects!$C$20+1),0)-IF(AND(Projects!$G$20="Yes",Z$3&gt;=Projects!$C$20,Z$3&lt;Projects!$C$20+Projects!$D$20),Projects!$B$20*(Assumptions!$B$10+Assumptions!$B$11+Assumptions!$B$12)/Projects!$D$20*0.95,0)-IF(AND(Projects!$G$20="Yes",Z$3=Projects!$C$20+Projects!$D$20-1),Projects!$B$20*(Assumptions!$B$10+Assumptions!$B$11+Assumptions!$B$12)*0.05,0)</f>
        <v>0</v>
      </c>
      <c r="AA29" s="30" t="n">
        <f aca="false">IF(AND(Projects!$G$20="Yes",AA$3&gt;=Projects!$C$20,AA$3&lt;Projects!$C$20+Projects!$D$20),Projects!$B$20*INDEX(Curves!$B$4:$AR$4,1,AA$3-Projects!$C$20+1),0)-IF(AND(Projects!$G$20="Yes",AA$3&gt;=Projects!$C$20,AA$3&lt;Projects!$C$20+Projects!$D$20),Projects!$B$20*(Assumptions!$B$10+Assumptions!$B$11+Assumptions!$B$12)/Projects!$D$20*0.95,0)-IF(AND(Projects!$G$20="Yes",AA$3=Projects!$C$20+Projects!$D$20-1),Projects!$B$20*(Assumptions!$B$10+Assumptions!$B$11+Assumptions!$B$12)*0.05,0)</f>
        <v>0</v>
      </c>
      <c r="AB29" s="30" t="n">
        <f aca="false">IF(AND(Projects!$G$20="Yes",AB$3&gt;=Projects!$C$20,AB$3&lt;Projects!$C$20+Projects!$D$20),Projects!$B$20*INDEX(Curves!$B$4:$AR$4,1,AB$3-Projects!$C$20+1),0)-IF(AND(Projects!$G$20="Yes",AB$3&gt;=Projects!$C$20,AB$3&lt;Projects!$C$20+Projects!$D$20),Projects!$B$20*(Assumptions!$B$10+Assumptions!$B$11+Assumptions!$B$12)/Projects!$D$20*0.95,0)-IF(AND(Projects!$G$20="Yes",AB$3=Projects!$C$20+Projects!$D$20-1),Projects!$B$20*(Assumptions!$B$10+Assumptions!$B$11+Assumptions!$B$12)*0.05,0)</f>
        <v>0</v>
      </c>
      <c r="AC29" s="30" t="n">
        <f aca="false">IF(AND(Projects!$G$20="Yes",AC$3&gt;=Projects!$C$20,AC$3&lt;Projects!$C$20+Projects!$D$20),Projects!$B$20*INDEX(Curves!$B$4:$AR$4,1,AC$3-Projects!$C$20+1),0)-IF(AND(Projects!$G$20="Yes",AC$3&gt;=Projects!$C$20,AC$3&lt;Projects!$C$20+Projects!$D$20),Projects!$B$20*(Assumptions!$B$10+Assumptions!$B$11+Assumptions!$B$12)/Projects!$D$20*0.95,0)-IF(AND(Projects!$G$20="Yes",AC$3=Projects!$C$20+Projects!$D$20-1),Projects!$B$20*(Assumptions!$B$10+Assumptions!$B$11+Assumptions!$B$12)*0.05,0)</f>
        <v>0</v>
      </c>
      <c r="AD29" s="30" t="n">
        <f aca="false">IF(AND(Projects!$G$20="Yes",AD$3&gt;=Projects!$C$20,AD$3&lt;Projects!$C$20+Projects!$D$20),Projects!$B$20*INDEX(Curves!$B$4:$AR$4,1,AD$3-Projects!$C$20+1),0)-IF(AND(Projects!$G$20="Yes",AD$3&gt;=Projects!$C$20,AD$3&lt;Projects!$C$20+Projects!$D$20),Projects!$B$20*(Assumptions!$B$10+Assumptions!$B$11+Assumptions!$B$12)/Projects!$D$20*0.95,0)-IF(AND(Projects!$G$20="Yes",AD$3=Projects!$C$20+Projects!$D$20-1),Projects!$B$20*(Assumptions!$B$10+Assumptions!$B$11+Assumptions!$B$12)*0.05,0)</f>
        <v>0</v>
      </c>
      <c r="AE29" s="30" t="n">
        <f aca="false">IF(AND(Projects!$G$20="Yes",AE$3&gt;=Projects!$C$20,AE$3&lt;Projects!$C$20+Projects!$D$20),Projects!$B$20*INDEX(Curves!$B$4:$AR$4,1,AE$3-Projects!$C$20+1),0)-IF(AND(Projects!$G$20="Yes",AE$3&gt;=Projects!$C$20,AE$3&lt;Projects!$C$20+Projects!$D$20),Projects!$B$20*(Assumptions!$B$10+Assumptions!$B$11+Assumptions!$B$12)/Projects!$D$20*0.95,0)-IF(AND(Projects!$G$20="Yes",AE$3=Projects!$C$20+Projects!$D$20-1),Projects!$B$20*(Assumptions!$B$10+Assumptions!$B$11+Assumptions!$B$12)*0.05,0)</f>
        <v>0</v>
      </c>
      <c r="AF29" s="30" t="n">
        <f aca="false">IF(AND(Projects!$G$20="Yes",AF$3&gt;=Projects!$C$20,AF$3&lt;Projects!$C$20+Projects!$D$20),Projects!$B$20*INDEX(Curves!$B$4:$AR$4,1,AF$3-Projects!$C$20+1),0)-IF(AND(Projects!$G$20="Yes",AF$3&gt;=Projects!$C$20,AF$3&lt;Projects!$C$20+Projects!$D$20),Projects!$B$20*(Assumptions!$B$10+Assumptions!$B$11+Assumptions!$B$12)/Projects!$D$20*0.95,0)-IF(AND(Projects!$G$20="Yes",AF$3=Projects!$C$20+Projects!$D$20-1),Projects!$B$20*(Assumptions!$B$10+Assumptions!$B$11+Assumptions!$B$12)*0.05,0)</f>
        <v>0</v>
      </c>
      <c r="AG29" s="30" t="n">
        <f aca="false">IF(AND(Projects!$G$20="Yes",AG$3&gt;=Projects!$C$20,AG$3&lt;Projects!$C$20+Projects!$D$20),Projects!$B$20*INDEX(Curves!$B$4:$AR$4,1,AG$3-Projects!$C$20+1),0)-IF(AND(Projects!$G$20="Yes",AG$3&gt;=Projects!$C$20,AG$3&lt;Projects!$C$20+Projects!$D$20),Projects!$B$20*(Assumptions!$B$10+Assumptions!$B$11+Assumptions!$B$12)/Projects!$D$20*0.95,0)-IF(AND(Projects!$G$20="Yes",AG$3=Projects!$C$20+Projects!$D$20-1),Projects!$B$20*(Assumptions!$B$10+Assumptions!$B$11+Assumptions!$B$12)*0.05,0)</f>
        <v>0</v>
      </c>
      <c r="AH29" s="30" t="n">
        <f aca="false">IF(AND(Projects!$G$20="Yes",AH$3&gt;=Projects!$C$20,AH$3&lt;Projects!$C$20+Projects!$D$20),Projects!$B$20*INDEX(Curves!$B$4:$AR$4,1,AH$3-Projects!$C$20+1),0)-IF(AND(Projects!$G$20="Yes",AH$3&gt;=Projects!$C$20,AH$3&lt;Projects!$C$20+Projects!$D$20),Projects!$B$20*(Assumptions!$B$10+Assumptions!$B$11+Assumptions!$B$12)/Projects!$D$20*0.95,0)-IF(AND(Projects!$G$20="Yes",AH$3=Projects!$C$20+Projects!$D$20-1),Projects!$B$20*(Assumptions!$B$10+Assumptions!$B$11+Assumptions!$B$12)*0.05,0)</f>
        <v>0</v>
      </c>
      <c r="AI29" s="30" t="n">
        <f aca="false">IF(AND(Projects!$G$20="Yes",AI$3&gt;=Projects!$C$20,AI$3&lt;Projects!$C$20+Projects!$D$20),Projects!$B$20*INDEX(Curves!$B$4:$AR$4,1,AI$3-Projects!$C$20+1),0)-IF(AND(Projects!$G$20="Yes",AI$3&gt;=Projects!$C$20,AI$3&lt;Projects!$C$20+Projects!$D$20),Projects!$B$20*(Assumptions!$B$10+Assumptions!$B$11+Assumptions!$B$12)/Projects!$D$20*0.95,0)-IF(AND(Projects!$G$20="Yes",AI$3=Projects!$C$20+Projects!$D$20-1),Projects!$B$20*(Assumptions!$B$10+Assumptions!$B$11+Assumptions!$B$12)*0.05,0)</f>
        <v>0</v>
      </c>
      <c r="AJ29" s="30" t="n">
        <f aca="false">IF(AND(Projects!$G$20="Yes",AJ$3&gt;=Projects!$C$20,AJ$3&lt;Projects!$C$20+Projects!$D$20),Projects!$B$20*INDEX(Curves!$B$4:$AR$4,1,AJ$3-Projects!$C$20+1),0)-IF(AND(Projects!$G$20="Yes",AJ$3&gt;=Projects!$C$20,AJ$3&lt;Projects!$C$20+Projects!$D$20),Projects!$B$20*(Assumptions!$B$10+Assumptions!$B$11+Assumptions!$B$12)/Projects!$D$20*0.95,0)-IF(AND(Projects!$G$20="Yes",AJ$3=Projects!$C$20+Projects!$D$20-1),Projects!$B$20*(Assumptions!$B$10+Assumptions!$B$11+Assumptions!$B$12)*0.05,0)</f>
        <v>0</v>
      </c>
      <c r="AK29" s="30" t="n">
        <f aca="false">IF(AND(Projects!$G$20="Yes",AK$3&gt;=Projects!$C$20,AK$3&lt;Projects!$C$20+Projects!$D$20),Projects!$B$20*INDEX(Curves!$B$4:$AR$4,1,AK$3-Projects!$C$20+1),0)-IF(AND(Projects!$G$20="Yes",AK$3&gt;=Projects!$C$20,AK$3&lt;Projects!$C$20+Projects!$D$20),Projects!$B$20*(Assumptions!$B$10+Assumptions!$B$11+Assumptions!$B$12)/Projects!$D$20*0.95,0)-IF(AND(Projects!$G$20="Yes",AK$3=Projects!$C$20+Projects!$D$20-1),Projects!$B$20*(Assumptions!$B$10+Assumptions!$B$11+Assumptions!$B$12)*0.05,0)</f>
        <v>0</v>
      </c>
      <c r="AL29" s="30" t="n">
        <f aca="false">IF(AND(Projects!$G$20="Yes",AL$3&gt;=Projects!$C$20,AL$3&lt;Projects!$C$20+Projects!$D$20),Projects!$B$20*INDEX(Curves!$B$4:$AR$4,1,AL$3-Projects!$C$20+1),0)-IF(AND(Projects!$G$20="Yes",AL$3&gt;=Projects!$C$20,AL$3&lt;Projects!$C$20+Projects!$D$20),Projects!$B$20*(Assumptions!$B$10+Assumptions!$B$11+Assumptions!$B$12)/Projects!$D$20*0.95,0)-IF(AND(Projects!$G$20="Yes",AL$3=Projects!$C$20+Projects!$D$20-1),Projects!$B$20*(Assumptions!$B$10+Assumptions!$B$11+Assumptions!$B$12)*0.05,0)</f>
        <v>0</v>
      </c>
      <c r="AM29" s="30" t="n">
        <f aca="false">IF(AND(Projects!$G$20="Yes",AM$3&gt;=Projects!$C$20,AM$3&lt;Projects!$C$20+Projects!$D$20),Projects!$B$20*INDEX(Curves!$B$4:$AR$4,1,AM$3-Projects!$C$20+1),0)-IF(AND(Projects!$G$20="Yes",AM$3&gt;=Projects!$C$20,AM$3&lt;Projects!$C$20+Projects!$D$20),Projects!$B$20*(Assumptions!$B$10+Assumptions!$B$11+Assumptions!$B$12)/Projects!$D$20*0.95,0)-IF(AND(Projects!$G$20="Yes",AM$3=Projects!$C$20+Projects!$D$20-1),Projects!$B$20*(Assumptions!$B$10+Assumptions!$B$11+Assumptions!$B$12)*0.05,0)</f>
        <v>0</v>
      </c>
      <c r="AN29" s="30" t="n">
        <f aca="false">IF(AND(Projects!$G$20="Yes",AN$3&gt;=Projects!$C$20,AN$3&lt;Projects!$C$20+Projects!$D$20),Projects!$B$20*INDEX(Curves!$B$4:$AR$4,1,AN$3-Projects!$C$20+1),0)-IF(AND(Projects!$G$20="Yes",AN$3&gt;=Projects!$C$20,AN$3&lt;Projects!$C$20+Projects!$D$20),Projects!$B$20*(Assumptions!$B$10+Assumptions!$B$11+Assumptions!$B$12)/Projects!$D$20*0.95,0)-IF(AND(Projects!$G$20="Yes",AN$3=Projects!$C$20+Projects!$D$20-1),Projects!$B$20*(Assumptions!$B$10+Assumptions!$B$11+Assumptions!$B$12)*0.05,0)</f>
        <v>0</v>
      </c>
      <c r="AO29" s="30" t="n">
        <f aca="false">IF(AND(Projects!$G$20="Yes",AO$3&gt;=Projects!$C$20,AO$3&lt;Projects!$C$20+Projects!$D$20),Projects!$B$20*INDEX(Curves!$B$4:$AR$4,1,AO$3-Projects!$C$20+1),0)-IF(AND(Projects!$G$20="Yes",AO$3&gt;=Projects!$C$20,AO$3&lt;Projects!$C$20+Projects!$D$20),Projects!$B$20*(Assumptions!$B$10+Assumptions!$B$11+Assumptions!$B$12)/Projects!$D$20*0.95,0)-IF(AND(Projects!$G$20="Yes",AO$3=Projects!$C$20+Projects!$D$20-1),Projects!$B$20*(Assumptions!$B$10+Assumptions!$B$11+Assumptions!$B$12)*0.05,0)</f>
        <v>0</v>
      </c>
      <c r="AP29" s="30" t="n">
        <f aca="false">IF(AND(Projects!$G$20="Yes",AP$3&gt;=Projects!$C$20,AP$3&lt;Projects!$C$20+Projects!$D$20),Projects!$B$20*INDEX(Curves!$B$4:$AR$4,1,AP$3-Projects!$C$20+1),0)-IF(AND(Projects!$G$20="Yes",AP$3&gt;=Projects!$C$20,AP$3&lt;Projects!$C$20+Projects!$D$20),Projects!$B$20*(Assumptions!$B$10+Assumptions!$B$11+Assumptions!$B$12)/Projects!$D$20*0.95,0)-IF(AND(Projects!$G$20="Yes",AP$3=Projects!$C$20+Projects!$D$20-1),Projects!$B$20*(Assumptions!$B$10+Assumptions!$B$11+Assumptions!$B$12)*0.05,0)</f>
        <v>0</v>
      </c>
      <c r="AQ29" s="30" t="n">
        <f aca="false">IF(AND(Projects!$G$20="Yes",AQ$3&gt;=Projects!$C$20,AQ$3&lt;Projects!$C$20+Projects!$D$20),Projects!$B$20*INDEX(Curves!$B$4:$AR$4,1,AQ$3-Projects!$C$20+1),0)-IF(AND(Projects!$G$20="Yes",AQ$3&gt;=Projects!$C$20,AQ$3&lt;Projects!$C$20+Projects!$D$20),Projects!$B$20*(Assumptions!$B$10+Assumptions!$B$11+Assumptions!$B$12)/Projects!$D$20*0.95,0)-IF(AND(Projects!$G$20="Yes",AQ$3=Projects!$C$20+Projects!$D$20-1),Projects!$B$20*(Assumptions!$B$10+Assumptions!$B$11+Assumptions!$B$12)*0.05,0)</f>
        <v>0</v>
      </c>
      <c r="AR29" s="30" t="n">
        <f aca="false">IF(AND(Projects!$G$20="Yes",AR$3&gt;=Projects!$C$20,AR$3&lt;Projects!$C$20+Projects!$D$20),Projects!$B$20*INDEX(Curves!$B$4:$AR$4,1,AR$3-Projects!$C$20+1),0)-IF(AND(Projects!$G$20="Yes",AR$3&gt;=Projects!$C$20,AR$3&lt;Projects!$C$20+Projects!$D$20),Projects!$B$20*(Assumptions!$B$10+Assumptions!$B$11+Assumptions!$B$12)/Projects!$D$20*0.95,0)-IF(AND(Projects!$G$20="Yes",AR$3=Projects!$C$20+Projects!$D$20-1),Projects!$B$20*(Assumptions!$B$10+Assumptions!$B$11+Assumptions!$B$12)*0.05,0)</f>
        <v>0</v>
      </c>
      <c r="AS29" s="30" t="n">
        <f aca="false">IF(AND(Projects!$G$20="Yes",AS$3&gt;=Projects!$C$20,AS$3&lt;Projects!$C$20+Projects!$D$20),Projects!$B$20*INDEX(Curves!$B$4:$AR$4,1,AS$3-Projects!$C$20+1),0)-IF(AND(Projects!$G$20="Yes",AS$3&gt;=Projects!$C$20,AS$3&lt;Projects!$C$20+Projects!$D$20),Projects!$B$20*(Assumptions!$B$10+Assumptions!$B$11+Assumptions!$B$12)/Projects!$D$20*0.95,0)-IF(AND(Projects!$G$20="Yes",AS$3=Projects!$C$20+Projects!$D$20-1),Projects!$B$20*(Assumptions!$B$10+Assumptions!$B$11+Assumptions!$B$12)*0.05,0)</f>
        <v>0</v>
      </c>
      <c r="AT29" s="30" t="n">
        <f aca="false">IF(AND(Projects!$G$20="Yes",AT$3&gt;=Projects!$C$20,AT$3&lt;Projects!$C$20+Projects!$D$20),Projects!$B$20*INDEX(Curves!$B$4:$AR$4,1,AT$3-Projects!$C$20+1),0)-IF(AND(Projects!$G$20="Yes",AT$3&gt;=Projects!$C$20,AT$3&lt;Projects!$C$20+Projects!$D$20),Projects!$B$20*(Assumptions!$B$10+Assumptions!$B$11+Assumptions!$B$12)/Projects!$D$20*0.95,0)-IF(AND(Projects!$G$20="Yes",AT$3=Projects!$C$20+Projects!$D$20-1),Projects!$B$20*(Assumptions!$B$10+Assumptions!$B$11+Assumptions!$B$12)*0.05,0)</f>
        <v>0</v>
      </c>
      <c r="AU29" s="30" t="n">
        <f aca="false">IF(AND(Projects!$G$20="Yes",AU$3&gt;=Projects!$C$20,AU$3&lt;Projects!$C$20+Projects!$D$20),Projects!$B$20*INDEX(Curves!$B$4:$AR$4,1,AU$3-Projects!$C$20+1),0)-IF(AND(Projects!$G$20="Yes",AU$3&gt;=Projects!$C$20,AU$3&lt;Projects!$C$20+Projects!$D$20),Projects!$B$20*(Assumptions!$B$10+Assumptions!$B$11+Assumptions!$B$12)/Projects!$D$20*0.95,0)-IF(AND(Projects!$G$20="Yes",AU$3=Projects!$C$20+Projects!$D$20-1),Projects!$B$20*(Assumptions!$B$10+Assumptions!$B$11+Assumptions!$B$12)*0.05,0)</f>
        <v>0</v>
      </c>
      <c r="AV29" s="30" t="n">
        <f aca="false">IF(AND(Projects!$G$20="Yes",AV$3&gt;=Projects!$C$20,AV$3&lt;Projects!$C$20+Projects!$D$20),Projects!$B$20*INDEX(Curves!$B$4:$AR$4,1,AV$3-Projects!$C$20+1),0)-IF(AND(Projects!$G$20="Yes",AV$3&gt;=Projects!$C$20,AV$3&lt;Projects!$C$20+Projects!$D$20),Projects!$B$20*(Assumptions!$B$10+Assumptions!$B$11+Assumptions!$B$12)/Projects!$D$20*0.95,0)-IF(AND(Projects!$G$20="Yes",AV$3=Projects!$C$20+Projects!$D$20-1),Projects!$B$20*(Assumptions!$B$10+Assumptions!$B$11+Assumptions!$B$12)*0.05,0)</f>
        <v>0</v>
      </c>
      <c r="AW29" s="30" t="n">
        <f aca="false">IF(AND(Projects!$G$20="Yes",AW$3&gt;=Projects!$C$20,AW$3&lt;Projects!$C$20+Projects!$D$20),Projects!$B$20*INDEX(Curves!$B$4:$AR$4,1,AW$3-Projects!$C$20+1),0)-IF(AND(Projects!$G$20="Yes",AW$3&gt;=Projects!$C$20,AW$3&lt;Projects!$C$20+Projects!$D$20),Projects!$B$20*(Assumptions!$B$10+Assumptions!$B$11+Assumptions!$B$12)/Projects!$D$20*0.95,0)-IF(AND(Projects!$G$20="Yes",AW$3=Projects!$C$20+Projects!$D$20-1),Projects!$B$20*(Assumptions!$B$10+Assumptions!$B$11+Assumptions!$B$12)*0.05,0)</f>
        <v>0</v>
      </c>
      <c r="AX29" s="30" t="n">
        <f aca="false">IF(AND(Projects!$G$20="Yes",AX$3&gt;=Projects!$C$20,AX$3&lt;Projects!$C$20+Projects!$D$20),Projects!$B$20*INDEX(Curves!$B$4:$AR$4,1,AX$3-Projects!$C$20+1),0)-IF(AND(Projects!$G$20="Yes",AX$3&gt;=Projects!$C$20,AX$3&lt;Projects!$C$20+Projects!$D$20),Projects!$B$20*(Assumptions!$B$10+Assumptions!$B$11+Assumptions!$B$12)/Projects!$D$20*0.95,0)-IF(AND(Projects!$G$20="Yes",AX$3=Projects!$C$20+Projects!$D$20-1),Projects!$B$20*(Assumptions!$B$10+Assumptions!$B$11+Assumptions!$B$12)*0.05,0)</f>
        <v>0</v>
      </c>
      <c r="AY29" s="30" t="n">
        <f aca="false">IF(AND(Projects!$G$20="Yes",AY$3&gt;=Projects!$C$20,AY$3&lt;Projects!$C$20+Projects!$D$20),Projects!$B$20*INDEX(Curves!$B$4:$AR$4,1,AY$3-Projects!$C$20+1),0)-IF(AND(Projects!$G$20="Yes",AY$3&gt;=Projects!$C$20,AY$3&lt;Projects!$C$20+Projects!$D$20),Projects!$B$20*(Assumptions!$B$10+Assumptions!$B$11+Assumptions!$B$12)/Projects!$D$20*0.95,0)-IF(AND(Projects!$G$20="Yes",AY$3=Projects!$C$20+Projects!$D$20-1),Projects!$B$20*(Assumptions!$B$10+Assumptions!$B$11+Assumptions!$B$12)*0.05,0)</f>
        <v>0</v>
      </c>
      <c r="AZ29" s="30" t="n">
        <f aca="false">IF(AND(Projects!$G$20="Yes",AZ$3&gt;=Projects!$C$20,AZ$3&lt;Projects!$C$20+Projects!$D$20),Projects!$B$20*INDEX(Curves!$B$4:$AR$4,1,AZ$3-Projects!$C$20+1),0)-IF(AND(Projects!$G$20="Yes",AZ$3&gt;=Projects!$C$20,AZ$3&lt;Projects!$C$20+Projects!$D$20),Projects!$B$20*(Assumptions!$B$10+Assumptions!$B$11+Assumptions!$B$12)/Projects!$D$20*0.95,0)-IF(AND(Projects!$G$20="Yes",AZ$3=Projects!$C$20+Projects!$D$20-1),Projects!$B$20*(Assumptions!$B$10+Assumptions!$B$11+Assumptions!$B$12)*0.05,0)</f>
        <v>0</v>
      </c>
      <c r="BA29" s="30" t="n">
        <f aca="false">IF(AND(Projects!$G$20="Yes",BA$3&gt;=Projects!$C$20,BA$3&lt;Projects!$C$20+Projects!$D$20),Projects!$B$20*INDEX(Curves!$B$4:$AR$4,1,BA$3-Projects!$C$20+1),0)-IF(AND(Projects!$G$20="Yes",BA$3&gt;=Projects!$C$20,BA$3&lt;Projects!$C$20+Projects!$D$20),Projects!$B$20*(Assumptions!$B$10+Assumptions!$B$11+Assumptions!$B$12)/Projects!$D$20*0.95,0)-IF(AND(Projects!$G$20="Yes",BA$3=Projects!$C$20+Projects!$D$20-1),Projects!$B$20*(Assumptions!$B$10+Assumptions!$B$11+Assumptions!$B$12)*0.05,0)</f>
        <v>0</v>
      </c>
      <c r="BB29" s="30" t="n">
        <f aca="false">IF(AND(Projects!$G$20="Yes",BB$3&gt;=Projects!$C$20,BB$3&lt;Projects!$C$20+Projects!$D$20),Projects!$B$20*INDEX(Curves!$B$4:$AR$4,1,BB$3-Projects!$C$20+1),0)-IF(AND(Projects!$G$20="Yes",BB$3&gt;=Projects!$C$20,BB$3&lt;Projects!$C$20+Projects!$D$20),Projects!$B$20*(Assumptions!$B$10+Assumptions!$B$11+Assumptions!$B$12)/Projects!$D$20*0.95,0)-IF(AND(Projects!$G$20="Yes",BB$3=Projects!$C$20+Projects!$D$20-1),Projects!$B$20*(Assumptions!$B$10+Assumptions!$B$11+Assumptions!$B$12)*0.05,0)</f>
        <v>0</v>
      </c>
      <c r="BC29" s="30" t="n">
        <f aca="false">IF(AND(Projects!$G$20="Yes",BC$3&gt;=Projects!$C$20,BC$3&lt;Projects!$C$20+Projects!$D$20),Projects!$B$20*INDEX(Curves!$B$4:$AR$4,1,BC$3-Projects!$C$20+1),0)-IF(AND(Projects!$G$20="Yes",BC$3&gt;=Projects!$C$20,BC$3&lt;Projects!$C$20+Projects!$D$20),Projects!$B$20*(Assumptions!$B$10+Assumptions!$B$11+Assumptions!$B$12)/Projects!$D$20*0.95,0)-IF(AND(Projects!$G$20="Yes",BC$3=Projects!$C$20+Projects!$D$20-1),Projects!$B$20*(Assumptions!$B$10+Assumptions!$B$11+Assumptions!$B$12)*0.05,0)</f>
        <v>0</v>
      </c>
      <c r="BD29" s="30" t="n">
        <f aca="false">IF(AND(Projects!$G$20="Yes",BD$3&gt;=Projects!$C$20,BD$3&lt;Projects!$C$20+Projects!$D$20),Projects!$B$20*INDEX(Curves!$B$4:$AR$4,1,BD$3-Projects!$C$20+1),0)-IF(AND(Projects!$G$20="Yes",BD$3&gt;=Projects!$C$20,BD$3&lt;Projects!$C$20+Projects!$D$20),Projects!$B$20*(Assumptions!$B$10+Assumptions!$B$11+Assumptions!$B$12)/Projects!$D$20*0.95,0)-IF(AND(Projects!$G$20="Yes",BD$3=Projects!$C$20+Projects!$D$20-1),Projects!$B$20*(Assumptions!$B$10+Assumptions!$B$11+Assumptions!$B$12)*0.05,0)</f>
        <v>0</v>
      </c>
      <c r="BE29" s="30" t="n">
        <f aca="false">IF(AND(Projects!$G$20="Yes",BE$3&gt;=Projects!$C$20,BE$3&lt;Projects!$C$20+Projects!$D$20),Projects!$B$20*INDEX(Curves!$B$4:$AR$4,1,BE$3-Projects!$C$20+1),0)-IF(AND(Projects!$G$20="Yes",BE$3&gt;=Projects!$C$20,BE$3&lt;Projects!$C$20+Projects!$D$20),Projects!$B$20*(Assumptions!$B$10+Assumptions!$B$11+Assumptions!$B$12)/Projects!$D$20*0.95,0)-IF(AND(Projects!$G$20="Yes",BE$3=Projects!$C$20+Projects!$D$20-1),Projects!$B$20*(Assumptions!$B$10+Assumptions!$B$11+Assumptions!$B$12)*0.05,0)</f>
        <v>0</v>
      </c>
      <c r="BF29" s="30" t="n">
        <f aca="false">IF(AND(Projects!$G$20="Yes",BF$3&gt;=Projects!$C$20,BF$3&lt;Projects!$C$20+Projects!$D$20),Projects!$B$20*INDEX(Curves!$B$4:$AR$4,1,BF$3-Projects!$C$20+1),0)-IF(AND(Projects!$G$20="Yes",BF$3&gt;=Projects!$C$20,BF$3&lt;Projects!$C$20+Projects!$D$20),Projects!$B$20*(Assumptions!$B$10+Assumptions!$B$11+Assumptions!$B$12)/Projects!$D$20*0.95,0)-IF(AND(Projects!$G$20="Yes",BF$3=Projects!$C$20+Projects!$D$20-1),Projects!$B$20*(Assumptions!$B$10+Assumptions!$B$11+Assumptions!$B$12)*0.05,0)</f>
        <v>0</v>
      </c>
      <c r="BG29" s="30" t="n">
        <f aca="false">IF(AND(Projects!$G$20="Yes",BG$3&gt;=Projects!$C$20,BG$3&lt;Projects!$C$20+Projects!$D$20),Projects!$B$20*INDEX(Curves!$B$4:$AR$4,1,BG$3-Projects!$C$20+1),0)-IF(AND(Projects!$G$20="Yes",BG$3&gt;=Projects!$C$20,BG$3&lt;Projects!$C$20+Projects!$D$20),Projects!$B$20*(Assumptions!$B$10+Assumptions!$B$11+Assumptions!$B$12)/Projects!$D$20*0.95,0)-IF(AND(Projects!$G$20="Yes",BG$3=Projects!$C$20+Projects!$D$20-1),Projects!$B$20*(Assumptions!$B$10+Assumptions!$B$11+Assumptions!$B$12)*0.05,0)</f>
        <v>0</v>
      </c>
      <c r="BH29" s="30" t="n">
        <f aca="false">IF(AND(Projects!$G$20="Yes",BH$3&gt;=Projects!$C$20,BH$3&lt;Projects!$C$20+Projects!$D$20),Projects!$B$20*INDEX(Curves!$B$4:$AR$4,1,BH$3-Projects!$C$20+1),0)-IF(AND(Projects!$G$20="Yes",BH$3&gt;=Projects!$C$20,BH$3&lt;Projects!$C$20+Projects!$D$20),Projects!$B$20*(Assumptions!$B$10+Assumptions!$B$11+Assumptions!$B$12)/Projects!$D$20*0.95,0)-IF(AND(Projects!$G$20="Yes",BH$3=Projects!$C$20+Projects!$D$20-1),Projects!$B$20*(Assumptions!$B$10+Assumptions!$B$11+Assumptions!$B$12)*0.05,0)</f>
        <v>0</v>
      </c>
      <c r="BI29" s="30" t="n">
        <f aca="false">IF(AND(Projects!$G$20="Yes",BI$3&gt;=Projects!$C$20,BI$3&lt;Projects!$C$20+Projects!$D$20),Projects!$B$20*INDEX(Curves!$B$4:$AR$4,1,BI$3-Projects!$C$20+1),0)-IF(AND(Projects!$G$20="Yes",BI$3&gt;=Projects!$C$20,BI$3&lt;Projects!$C$20+Projects!$D$20),Projects!$B$20*(Assumptions!$B$10+Assumptions!$B$11+Assumptions!$B$12)/Projects!$D$20*0.95,0)-IF(AND(Projects!$G$20="Yes",BI$3=Projects!$C$20+Projects!$D$20-1),Projects!$B$20*(Assumptions!$B$10+Assumptions!$B$11+Assumptions!$B$12)*0.05,0)</f>
        <v>0</v>
      </c>
      <c r="BJ29" s="30" t="n">
        <f aca="false">IF(AND(Projects!$G$20="Yes",BJ$3&gt;=Projects!$C$20,BJ$3&lt;Projects!$C$20+Projects!$D$20),Projects!$B$20*INDEX(Curves!$B$4:$AR$4,1,BJ$3-Projects!$C$20+1),0)-IF(AND(Projects!$G$20="Yes",BJ$3&gt;=Projects!$C$20,BJ$3&lt;Projects!$C$20+Projects!$D$20),Projects!$B$20*(Assumptions!$B$10+Assumptions!$B$11+Assumptions!$B$12)/Projects!$D$20*0.95,0)-IF(AND(Projects!$G$20="Yes",BJ$3=Projects!$C$20+Projects!$D$20-1),Projects!$B$20*(Assumptions!$B$10+Assumptions!$B$11+Assumptions!$B$12)*0.05,0)</f>
        <v>0</v>
      </c>
      <c r="BK29" s="30" t="n">
        <f aca="false">IF(AND(Projects!$G$20="Yes",BK$3&gt;=Projects!$C$20,BK$3&lt;Projects!$C$20+Projects!$D$20),Projects!$B$20*INDEX(Curves!$B$4:$AR$4,1,BK$3-Projects!$C$20+1),0)-IF(AND(Projects!$G$20="Yes",BK$3&gt;=Projects!$C$20,BK$3&lt;Projects!$C$20+Projects!$D$20),Projects!$B$20*(Assumptions!$B$10+Assumptions!$B$11+Assumptions!$B$12)/Projects!$D$20*0.95,0)-IF(AND(Projects!$G$20="Yes",BK$3=Projects!$C$20+Projects!$D$20-1),Projects!$B$20*(Assumptions!$B$10+Assumptions!$B$11+Assumptions!$B$12)*0.05,0)</f>
        <v>0</v>
      </c>
      <c r="BL29" s="30" t="n">
        <f aca="false">IF(AND(Projects!$G$20="Yes",BL$3&gt;=Projects!$C$20,BL$3&lt;Projects!$C$20+Projects!$D$20),Projects!$B$20*INDEX(Curves!$B$4:$AR$4,1,BL$3-Projects!$C$20+1),0)-IF(AND(Projects!$G$20="Yes",BL$3&gt;=Projects!$C$20,BL$3&lt;Projects!$C$20+Projects!$D$20),Projects!$B$20*(Assumptions!$B$10+Assumptions!$B$11+Assumptions!$B$12)/Projects!$D$20*0.95,0)-IF(AND(Projects!$G$20="Yes",BL$3=Projects!$C$20+Projects!$D$20-1),Projects!$B$20*(Assumptions!$B$10+Assumptions!$B$11+Assumptions!$B$12)*0.05,0)</f>
        <v>0</v>
      </c>
      <c r="BM29" s="30" t="n">
        <f aca="false">IF(AND(Projects!$G$20="Yes",BM$3&gt;=Projects!$C$20,BM$3&lt;Projects!$C$20+Projects!$D$20),Projects!$B$20*INDEX(Curves!$B$4:$AR$4,1,BM$3-Projects!$C$20+1),0)-IF(AND(Projects!$G$20="Yes",BM$3&gt;=Projects!$C$20,BM$3&lt;Projects!$C$20+Projects!$D$20),Projects!$B$20*(Assumptions!$B$10+Assumptions!$B$11+Assumptions!$B$12)/Projects!$D$20*0.95,0)-IF(AND(Projects!$G$20="Yes",BM$3=Projects!$C$20+Projects!$D$20-1),Projects!$B$20*(Assumptions!$B$10+Assumptions!$B$11+Assumptions!$B$12)*0.05,0)</f>
        <v>0</v>
      </c>
      <c r="BN29" s="30" t="n">
        <f aca="false">IF(AND(Projects!$G$20="Yes",BN$3&gt;=Projects!$C$20,BN$3&lt;Projects!$C$20+Projects!$D$20),Projects!$B$20*INDEX(Curves!$B$4:$AR$4,1,BN$3-Projects!$C$20+1),0)-IF(AND(Projects!$G$20="Yes",BN$3&gt;=Projects!$C$20,BN$3&lt;Projects!$C$20+Projects!$D$20),Projects!$B$20*(Assumptions!$B$10+Assumptions!$B$11+Assumptions!$B$12)/Projects!$D$20*0.95,0)-IF(AND(Projects!$G$20="Yes",BN$3=Projects!$C$20+Projects!$D$20-1),Projects!$B$20*(Assumptions!$B$10+Assumptions!$B$11+Assumptions!$B$12)*0.05,0)</f>
        <v>0</v>
      </c>
      <c r="BO29" s="30" t="n">
        <f aca="false">IF(AND(Projects!$G$20="Yes",BO$3&gt;=Projects!$C$20,BO$3&lt;Projects!$C$20+Projects!$D$20),Projects!$B$20*INDEX(Curves!$B$4:$AR$4,1,BO$3-Projects!$C$20+1),0)-IF(AND(Projects!$G$20="Yes",BO$3&gt;=Projects!$C$20,BO$3&lt;Projects!$C$20+Projects!$D$20),Projects!$B$20*(Assumptions!$B$10+Assumptions!$B$11+Assumptions!$B$12)/Projects!$D$20*0.95,0)-IF(AND(Projects!$G$20="Yes",BO$3=Projects!$C$20+Projects!$D$20-1),Projects!$B$20*(Assumptions!$B$10+Assumptions!$B$11+Assumptions!$B$12)*0.05,0)</f>
        <v>0</v>
      </c>
      <c r="BP29" s="30" t="n">
        <f aca="false">IF(AND(Projects!$G$20="Yes",BP$3&gt;=Projects!$C$20,BP$3&lt;Projects!$C$20+Projects!$D$20),Projects!$B$20*INDEX(Curves!$B$4:$AR$4,1,BP$3-Projects!$C$20+1),0)-IF(AND(Projects!$G$20="Yes",BP$3&gt;=Projects!$C$20,BP$3&lt;Projects!$C$20+Projects!$D$20),Projects!$B$20*(Assumptions!$B$10+Assumptions!$B$11+Assumptions!$B$12)/Projects!$D$20*0.95,0)-IF(AND(Projects!$G$20="Yes",BP$3=Projects!$C$20+Projects!$D$20-1),Projects!$B$20*(Assumptions!$B$10+Assumptions!$B$11+Assumptions!$B$12)*0.05,0)</f>
        <v>0</v>
      </c>
      <c r="BQ29" s="30" t="n">
        <f aca="false">IF(AND(Projects!$G$20="Yes",BQ$3&gt;=Projects!$C$20,BQ$3&lt;Projects!$C$20+Projects!$D$20),Projects!$B$20*INDEX(Curves!$B$4:$AR$4,1,BQ$3-Projects!$C$20+1),0)-IF(AND(Projects!$G$20="Yes",BQ$3&gt;=Projects!$C$20,BQ$3&lt;Projects!$C$20+Projects!$D$20),Projects!$B$20*(Assumptions!$B$10+Assumptions!$B$11+Assumptions!$B$12)/Projects!$D$20*0.95,0)-IF(AND(Projects!$G$20="Yes",BQ$3=Projects!$C$20+Projects!$D$20-1),Projects!$B$20*(Assumptions!$B$10+Assumptions!$B$11+Assumptions!$B$12)*0.05,0)</f>
        <v>0</v>
      </c>
      <c r="BR29" s="30" t="n">
        <f aca="false">IF(AND(Projects!$G$20="Yes",BR$3&gt;=Projects!$C$20,BR$3&lt;Projects!$C$20+Projects!$D$20),Projects!$B$20*INDEX(Curves!$B$4:$AR$4,1,BR$3-Projects!$C$20+1),0)-IF(AND(Projects!$G$20="Yes",BR$3&gt;=Projects!$C$20,BR$3&lt;Projects!$C$20+Projects!$D$20),Projects!$B$20*(Assumptions!$B$10+Assumptions!$B$11+Assumptions!$B$12)/Projects!$D$20*0.95,0)-IF(AND(Projects!$G$20="Yes",BR$3=Projects!$C$20+Projects!$D$20-1),Projects!$B$20*(Assumptions!$B$10+Assumptions!$B$11+Assumptions!$B$12)*0.05,0)</f>
        <v>0</v>
      </c>
      <c r="BS29" s="30" t="n">
        <f aca="false">IF(AND(Projects!$G$20="Yes",BS$3&gt;=Projects!$C$20,BS$3&lt;Projects!$C$20+Projects!$D$20),Projects!$B$20*INDEX(Curves!$B$4:$AR$4,1,BS$3-Projects!$C$20+1),0)-IF(AND(Projects!$G$20="Yes",BS$3&gt;=Projects!$C$20,BS$3&lt;Projects!$C$20+Projects!$D$20),Projects!$B$20*(Assumptions!$B$10+Assumptions!$B$11+Assumptions!$B$12)/Projects!$D$20*0.95,0)-IF(AND(Projects!$G$20="Yes",BS$3=Projects!$C$20+Projects!$D$20-1),Projects!$B$20*(Assumptions!$B$10+Assumptions!$B$11+Assumptions!$B$12)*0.05,0)</f>
        <v>0</v>
      </c>
      <c r="BT29" s="30" t="n">
        <f aca="false">IF(AND(Projects!$G$20="Yes",BT$3&gt;=Projects!$C$20,BT$3&lt;Projects!$C$20+Projects!$D$20),Projects!$B$20*INDEX(Curves!$B$4:$AR$4,1,BT$3-Projects!$C$20+1),0)-IF(AND(Projects!$G$20="Yes",BT$3&gt;=Projects!$C$20,BT$3&lt;Projects!$C$20+Projects!$D$20),Projects!$B$20*(Assumptions!$B$10+Assumptions!$B$11+Assumptions!$B$12)/Projects!$D$20*0.95,0)-IF(AND(Projects!$G$20="Yes",BT$3=Projects!$C$20+Projects!$D$20-1),Projects!$B$20*(Assumptions!$B$10+Assumptions!$B$11+Assumptions!$B$12)*0.05,0)</f>
        <v>0</v>
      </c>
      <c r="BU29" s="30" t="n">
        <f aca="false">IF(AND(Projects!$G$20="Yes",BU$3&gt;=Projects!$C$20,BU$3&lt;Projects!$C$20+Projects!$D$20),Projects!$B$20*INDEX(Curves!$B$4:$AR$4,1,BU$3-Projects!$C$20+1),0)-IF(AND(Projects!$G$20="Yes",BU$3&gt;=Projects!$C$20,BU$3&lt;Projects!$C$20+Projects!$D$20),Projects!$B$20*(Assumptions!$B$10+Assumptions!$B$11+Assumptions!$B$12)/Projects!$D$20*0.95,0)-IF(AND(Projects!$G$20="Yes",BU$3=Projects!$C$20+Projects!$D$20-1),Projects!$B$20*(Assumptions!$B$10+Assumptions!$B$11+Assumptions!$B$12)*0.05,0)</f>
        <v>0</v>
      </c>
      <c r="BV29" s="30" t="n">
        <f aca="false">IF(AND(Projects!$G$20="Yes",BV$3&gt;=Projects!$C$20,BV$3&lt;Projects!$C$20+Projects!$D$20),Projects!$B$20*INDEX(Curves!$B$4:$AR$4,1,BV$3-Projects!$C$20+1),0)-IF(AND(Projects!$G$20="Yes",BV$3&gt;=Projects!$C$20,BV$3&lt;Projects!$C$20+Projects!$D$20),Projects!$B$20*(Assumptions!$B$10+Assumptions!$B$11+Assumptions!$B$12)/Projects!$D$20*0.95,0)-IF(AND(Projects!$G$20="Yes",BV$3=Projects!$C$20+Projects!$D$20-1),Projects!$B$20*(Assumptions!$B$10+Assumptions!$B$11+Assumptions!$B$12)*0.05,0)</f>
        <v>0</v>
      </c>
      <c r="BW29" s="30" t="n">
        <f aca="false">IF(AND(Projects!$G$20="Yes",BW$3&gt;=Projects!$C$20,BW$3&lt;Projects!$C$20+Projects!$D$20),Projects!$B$20*INDEX(Curves!$B$4:$AR$4,1,BW$3-Projects!$C$20+1),0)-IF(AND(Projects!$G$20="Yes",BW$3&gt;=Projects!$C$20,BW$3&lt;Projects!$C$20+Projects!$D$20),Projects!$B$20*(Assumptions!$B$10+Assumptions!$B$11+Assumptions!$B$12)/Projects!$D$20*0.95,0)-IF(AND(Projects!$G$20="Yes",BW$3=Projects!$C$20+Projects!$D$20-1),Projects!$B$20*(Assumptions!$B$10+Assumptions!$B$11+Assumptions!$B$12)*0.05,0)</f>
        <v>0</v>
      </c>
      <c r="BX29" s="30" t="n">
        <f aca="false">IF(AND(Projects!$G$20="Yes",BX$3&gt;=Projects!$C$20,BX$3&lt;Projects!$C$20+Projects!$D$20),Projects!$B$20*INDEX(Curves!$B$4:$AR$4,1,BX$3-Projects!$C$20+1),0)-IF(AND(Projects!$G$20="Yes",BX$3&gt;=Projects!$C$20,BX$3&lt;Projects!$C$20+Projects!$D$20),Projects!$B$20*(Assumptions!$B$10+Assumptions!$B$11+Assumptions!$B$12)/Projects!$D$20*0.95,0)-IF(AND(Projects!$G$20="Yes",BX$3=Projects!$C$20+Projects!$D$20-1),Projects!$B$20*(Assumptions!$B$10+Assumptions!$B$11+Assumptions!$B$12)*0.05,0)</f>
        <v>0</v>
      </c>
      <c r="BY29" s="30" t="n">
        <f aca="false">IF(AND(Projects!$G$20="Yes",BY$3&gt;=Projects!$C$20,BY$3&lt;Projects!$C$20+Projects!$D$20),Projects!$B$20*INDEX(Curves!$B$4:$AR$4,1,BY$3-Projects!$C$20+1),0)-IF(AND(Projects!$G$20="Yes",BY$3&gt;=Projects!$C$20,BY$3&lt;Projects!$C$20+Projects!$D$20),Projects!$B$20*(Assumptions!$B$10+Assumptions!$B$11+Assumptions!$B$12)/Projects!$D$20*0.95,0)-IF(AND(Projects!$G$20="Yes",BY$3=Projects!$C$20+Projects!$D$20-1),Projects!$B$20*(Assumptions!$B$10+Assumptions!$B$11+Assumptions!$B$12)*0.05,0)</f>
        <v>0</v>
      </c>
      <c r="BZ29" s="30" t="n">
        <f aca="false">IF(AND(Projects!$G$20="Yes",BZ$3&gt;=Projects!$C$20,BZ$3&lt;Projects!$C$20+Projects!$D$20),Projects!$B$20*INDEX(Curves!$B$4:$AR$4,1,BZ$3-Projects!$C$20+1),0)-IF(AND(Projects!$G$20="Yes",BZ$3&gt;=Projects!$C$20,BZ$3&lt;Projects!$C$20+Projects!$D$20),Projects!$B$20*(Assumptions!$B$10+Assumptions!$B$11+Assumptions!$B$12)/Projects!$D$20*0.95,0)-IF(AND(Projects!$G$20="Yes",BZ$3=Projects!$C$20+Projects!$D$20-1),Projects!$B$20*(Assumptions!$B$10+Assumptions!$B$11+Assumptions!$B$12)*0.05,0)</f>
        <v>0</v>
      </c>
      <c r="CA29" s="30" t="n">
        <f aca="false">IF(AND(Projects!$G$20="Yes",CA$3&gt;=Projects!$C$20,CA$3&lt;Projects!$C$20+Projects!$D$20),Projects!$B$20*INDEX(Curves!$B$4:$AR$4,1,CA$3-Projects!$C$20+1),0)-IF(AND(Projects!$G$20="Yes",CA$3&gt;=Projects!$C$20,CA$3&lt;Projects!$C$20+Projects!$D$20),Projects!$B$20*(Assumptions!$B$10+Assumptions!$B$11+Assumptions!$B$12)/Projects!$D$20*0.95,0)-IF(AND(Projects!$G$20="Yes",CA$3=Projects!$C$20+Projects!$D$20-1),Projects!$B$20*(Assumptions!$B$10+Assumptions!$B$11+Assumptions!$B$12)*0.05,0)</f>
        <v>0</v>
      </c>
      <c r="CB29" s="30" t="n">
        <f aca="false">IF(AND(Projects!$G$20="Yes",CB$3&gt;=Projects!$C$20,CB$3&lt;Projects!$C$20+Projects!$D$20),Projects!$B$20*INDEX(Curves!$B$4:$AR$4,1,CB$3-Projects!$C$20+1),0)-IF(AND(Projects!$G$20="Yes",CB$3&gt;=Projects!$C$20,CB$3&lt;Projects!$C$20+Projects!$D$20),Projects!$B$20*(Assumptions!$B$10+Assumptions!$B$11+Assumptions!$B$12)/Projects!$D$20*0.95,0)-IF(AND(Projects!$G$20="Yes",CB$3=Projects!$C$20+Projects!$D$20-1),Projects!$B$20*(Assumptions!$B$10+Assumptions!$B$11+Assumptions!$B$12)*0.05,0)</f>
        <v>0</v>
      </c>
      <c r="CC29" s="30" t="n">
        <f aca="false">IF(AND(Projects!$G$20="Yes",CC$3&gt;=Projects!$C$20,CC$3&lt;Projects!$C$20+Projects!$D$20),Projects!$B$20*INDEX(Curves!$B$4:$AR$4,1,CC$3-Projects!$C$20+1),0)-IF(AND(Projects!$G$20="Yes",CC$3&gt;=Projects!$C$20,CC$3&lt;Projects!$C$20+Projects!$D$20),Projects!$B$20*(Assumptions!$B$10+Assumptions!$B$11+Assumptions!$B$12)/Projects!$D$20*0.95,0)-IF(AND(Projects!$G$20="Yes",CC$3=Projects!$C$20+Projects!$D$20-1),Projects!$B$20*(Assumptions!$B$10+Assumptions!$B$11+Assumptions!$B$12)*0.05,0)</f>
        <v>0</v>
      </c>
      <c r="CD29" s="30" t="n">
        <f aca="false">IF(AND(Projects!$G$20="Yes",CD$3&gt;=Projects!$C$20,CD$3&lt;Projects!$C$20+Projects!$D$20),Projects!$B$20*INDEX(Curves!$B$4:$AR$4,1,CD$3-Projects!$C$20+1),0)-IF(AND(Projects!$G$20="Yes",CD$3&gt;=Projects!$C$20,CD$3&lt;Projects!$C$20+Projects!$D$20),Projects!$B$20*(Assumptions!$B$10+Assumptions!$B$11+Assumptions!$B$12)/Projects!$D$20*0.95,0)-IF(AND(Projects!$G$20="Yes",CD$3=Projects!$C$20+Projects!$D$20-1),Projects!$B$20*(Assumptions!$B$10+Assumptions!$B$11+Assumptions!$B$12)*0.05,0)</f>
        <v>0</v>
      </c>
      <c r="CE29" s="30" t="n">
        <f aca="false">IF(AND(Projects!$G$20="Yes",CE$3&gt;=Projects!$C$20,CE$3&lt;Projects!$C$20+Projects!$D$20),Projects!$B$20*INDEX(Curves!$B$4:$AR$4,1,CE$3-Projects!$C$20+1),0)-IF(AND(Projects!$G$20="Yes",CE$3&gt;=Projects!$C$20,CE$3&lt;Projects!$C$20+Projects!$D$20),Projects!$B$20*(Assumptions!$B$10+Assumptions!$B$11+Assumptions!$B$12)/Projects!$D$20*0.95,0)-IF(AND(Projects!$G$20="Yes",CE$3=Projects!$C$20+Projects!$D$20-1),Projects!$B$20*(Assumptions!$B$10+Assumptions!$B$11+Assumptions!$B$12)*0.05,0)</f>
        <v>0</v>
      </c>
      <c r="CF29" s="30" t="n">
        <f aca="false">IF(AND(Projects!$G$20="Yes",CF$3&gt;=Projects!$C$20,CF$3&lt;Projects!$C$20+Projects!$D$20),Projects!$B$20*INDEX(Curves!$B$4:$AR$4,1,CF$3-Projects!$C$20+1),0)-IF(AND(Projects!$G$20="Yes",CF$3&gt;=Projects!$C$20,CF$3&lt;Projects!$C$20+Projects!$D$20),Projects!$B$20*(Assumptions!$B$10+Assumptions!$B$11+Assumptions!$B$12)/Projects!$D$20*0.95,0)-IF(AND(Projects!$G$20="Yes",CF$3=Projects!$C$20+Projects!$D$20-1),Projects!$B$20*(Assumptions!$B$10+Assumptions!$B$11+Assumptions!$B$12)*0.05,0)</f>
        <v>0</v>
      </c>
      <c r="CG29" s="30" t="n">
        <f aca="false">IF(AND(Projects!$G$20="Yes",CG$3&gt;=Projects!$C$20,CG$3&lt;Projects!$C$20+Projects!$D$20),Projects!$B$20*INDEX(Curves!$B$4:$AR$4,1,CG$3-Projects!$C$20+1),0)-IF(AND(Projects!$G$20="Yes",CG$3&gt;=Projects!$C$20,CG$3&lt;Projects!$C$20+Projects!$D$20),Projects!$B$20*(Assumptions!$B$10+Assumptions!$B$11+Assumptions!$B$12)/Projects!$D$20*0.95,0)-IF(AND(Projects!$G$20="Yes",CG$3=Projects!$C$20+Projects!$D$20-1),Projects!$B$20*(Assumptions!$B$10+Assumptions!$B$11+Assumptions!$B$12)*0.05,0)</f>
        <v>0</v>
      </c>
      <c r="CH29" s="30" t="n">
        <f aca="false">IF(AND(Projects!$G$20="Yes",CH$3&gt;=Projects!$C$20,CH$3&lt;Projects!$C$20+Projects!$D$20),Projects!$B$20*INDEX(Curves!$B$4:$AR$4,1,CH$3-Projects!$C$20+1),0)-IF(AND(Projects!$G$20="Yes",CH$3&gt;=Projects!$C$20,CH$3&lt;Projects!$C$20+Projects!$D$20),Projects!$B$20*(Assumptions!$B$10+Assumptions!$B$11+Assumptions!$B$12)/Projects!$D$20*0.95,0)-IF(AND(Projects!$G$20="Yes",CH$3=Projects!$C$20+Projects!$D$20-1),Projects!$B$20*(Assumptions!$B$10+Assumptions!$B$11+Assumptions!$B$12)*0.05,0)</f>
        <v>0</v>
      </c>
      <c r="CI29" s="30" t="n">
        <f aca="false">IF(AND(Projects!$G$20="Yes",CI$3&gt;=Projects!$C$20,CI$3&lt;Projects!$C$20+Projects!$D$20),Projects!$B$20*INDEX(Curves!$B$4:$AR$4,1,CI$3-Projects!$C$20+1),0)-IF(AND(Projects!$G$20="Yes",CI$3&gt;=Projects!$C$20,CI$3&lt;Projects!$C$20+Projects!$D$20),Projects!$B$20*(Assumptions!$B$10+Assumptions!$B$11+Assumptions!$B$12)/Projects!$D$20*0.95,0)-IF(AND(Projects!$G$20="Yes",CI$3=Projects!$C$20+Projects!$D$20-1),Projects!$B$20*(Assumptions!$B$10+Assumptions!$B$11+Assumptions!$B$12)*0.05,0)</f>
        <v>0</v>
      </c>
      <c r="CJ29" s="30" t="n">
        <f aca="false">IF(AND(Projects!$G$20="Yes",CJ$3&gt;=Projects!$C$20,CJ$3&lt;Projects!$C$20+Projects!$D$20),Projects!$B$20*INDEX(Curves!$B$4:$AR$4,1,CJ$3-Projects!$C$20+1),0)-IF(AND(Projects!$G$20="Yes",CJ$3&gt;=Projects!$C$20,CJ$3&lt;Projects!$C$20+Projects!$D$20),Projects!$B$20*(Assumptions!$B$10+Assumptions!$B$11+Assumptions!$B$12)/Projects!$D$20*0.95,0)-IF(AND(Projects!$G$20="Yes",CJ$3=Projects!$C$20+Projects!$D$20-1),Projects!$B$20*(Assumptions!$B$10+Assumptions!$B$11+Assumptions!$B$12)*0.05,0)</f>
        <v>0</v>
      </c>
      <c r="CK29" s="30" t="n">
        <f aca="false">IF(AND(Projects!$G$20="Yes",CK$3&gt;=Projects!$C$20,CK$3&lt;Projects!$C$20+Projects!$D$20),Projects!$B$20*INDEX(Curves!$B$4:$AR$4,1,CK$3-Projects!$C$20+1),0)-IF(AND(Projects!$G$20="Yes",CK$3&gt;=Projects!$C$20,CK$3&lt;Projects!$C$20+Projects!$D$20),Projects!$B$20*(Assumptions!$B$10+Assumptions!$B$11+Assumptions!$B$12)/Projects!$D$20*0.95,0)-IF(AND(Projects!$G$20="Yes",CK$3=Projects!$C$20+Projects!$D$20-1),Projects!$B$20*(Assumptions!$B$10+Assumptions!$B$11+Assumptions!$B$12)*0.05,0)</f>
        <v>0</v>
      </c>
      <c r="CL29" s="30" t="n">
        <f aca="false">IF(AND(Projects!$G$20="Yes",CL$3&gt;=Projects!$C$20,CL$3&lt;Projects!$C$20+Projects!$D$20),Projects!$B$20*INDEX(Curves!$B$4:$AR$4,1,CL$3-Projects!$C$20+1),0)-IF(AND(Projects!$G$20="Yes",CL$3&gt;=Projects!$C$20,CL$3&lt;Projects!$C$20+Projects!$D$20),Projects!$B$20*(Assumptions!$B$10+Assumptions!$B$11+Assumptions!$B$12)/Projects!$D$20*0.95,0)-IF(AND(Projects!$G$20="Yes",CL$3=Projects!$C$20+Projects!$D$20-1),Projects!$B$20*(Assumptions!$B$10+Assumptions!$B$11+Assumptions!$B$12)*0.05,0)</f>
        <v>0</v>
      </c>
      <c r="CM29" s="30" t="n">
        <f aca="false">IF(AND(Projects!$G$20="Yes",CM$3&gt;=Projects!$C$20,CM$3&lt;Projects!$C$20+Projects!$D$20),Projects!$B$20*INDEX(Curves!$B$4:$AR$4,1,CM$3-Projects!$C$20+1),0)-IF(AND(Projects!$G$20="Yes",CM$3&gt;=Projects!$C$20,CM$3&lt;Projects!$C$20+Projects!$D$20),Projects!$B$20*(Assumptions!$B$10+Assumptions!$B$11+Assumptions!$B$12)/Projects!$D$20*0.95,0)-IF(AND(Projects!$G$20="Yes",CM$3=Projects!$C$20+Projects!$D$20-1),Projects!$B$20*(Assumptions!$B$10+Assumptions!$B$11+Assumptions!$B$12)*0.05,0)</f>
        <v>0</v>
      </c>
      <c r="CN29" s="30" t="n">
        <f aca="false">IF(AND(Projects!$G$20="Yes",CN$3&gt;=Projects!$C$20,CN$3&lt;Projects!$C$20+Projects!$D$20),Projects!$B$20*INDEX(Curves!$B$4:$AR$4,1,CN$3-Projects!$C$20+1),0)-IF(AND(Projects!$G$20="Yes",CN$3&gt;=Projects!$C$20,CN$3&lt;Projects!$C$20+Projects!$D$20),Projects!$B$20*(Assumptions!$B$10+Assumptions!$B$11+Assumptions!$B$12)/Projects!$D$20*0.95,0)-IF(AND(Projects!$G$20="Yes",CN$3=Projects!$C$20+Projects!$D$20-1),Projects!$B$20*(Assumptions!$B$10+Assumptions!$B$11+Assumptions!$B$12)*0.05,0)</f>
        <v>0</v>
      </c>
      <c r="CO29" s="30" t="n">
        <f aca="false">IF(AND(Projects!$G$20="Yes",CO$3&gt;=Projects!$C$20,CO$3&lt;Projects!$C$20+Projects!$D$20),Projects!$B$20*INDEX(Curves!$B$4:$AR$4,1,CO$3-Projects!$C$20+1),0)-IF(AND(Projects!$G$20="Yes",CO$3&gt;=Projects!$C$20,CO$3&lt;Projects!$C$20+Projects!$D$20),Projects!$B$20*(Assumptions!$B$10+Assumptions!$B$11+Assumptions!$B$12)/Projects!$D$20*0.95,0)-IF(AND(Projects!$G$20="Yes",CO$3=Projects!$C$20+Projects!$D$20-1),Projects!$B$20*(Assumptions!$B$10+Assumptions!$B$11+Assumptions!$B$12)*0.05,0)</f>
        <v>0</v>
      </c>
      <c r="CP29" s="30" t="n">
        <f aca="false">IF(AND(Projects!$G$20="Yes",CP$3&gt;=Projects!$C$20,CP$3&lt;Projects!$C$20+Projects!$D$20),Projects!$B$20*INDEX(Curves!$B$4:$AR$4,1,CP$3-Projects!$C$20+1),0)-IF(AND(Projects!$G$20="Yes",CP$3&gt;=Projects!$C$20,CP$3&lt;Projects!$C$20+Projects!$D$20),Projects!$B$20*(Assumptions!$B$10+Assumptions!$B$11+Assumptions!$B$12)/Projects!$D$20*0.95,0)-IF(AND(Projects!$G$20="Yes",CP$3=Projects!$C$20+Projects!$D$20-1),Projects!$B$20*(Assumptions!$B$10+Assumptions!$B$11+Assumptions!$B$12)*0.05,0)</f>
        <v>0</v>
      </c>
      <c r="CQ29" s="30" t="n">
        <f aca="false">IF(AND(Projects!$G$20="Yes",CQ$3&gt;=Projects!$C$20,CQ$3&lt;Projects!$C$20+Projects!$D$20),Projects!$B$20*INDEX(Curves!$B$4:$AR$4,1,CQ$3-Projects!$C$20+1),0)-IF(AND(Projects!$G$20="Yes",CQ$3&gt;=Projects!$C$20,CQ$3&lt;Projects!$C$20+Projects!$D$20),Projects!$B$20*(Assumptions!$B$10+Assumptions!$B$11+Assumptions!$B$12)/Projects!$D$20*0.95,0)-IF(AND(Projects!$G$20="Yes",CQ$3=Projects!$C$20+Projects!$D$20-1),Projects!$B$20*(Assumptions!$B$10+Assumptions!$B$11+Assumptions!$B$12)*0.05,0)</f>
        <v>0</v>
      </c>
      <c r="CR29" s="30" t="n">
        <f aca="false">IF(AND(Projects!$G$20="Yes",CR$3&gt;=Projects!$C$20,CR$3&lt;Projects!$C$20+Projects!$D$20),Projects!$B$20*INDEX(Curves!$B$4:$AR$4,1,CR$3-Projects!$C$20+1),0)-IF(AND(Projects!$G$20="Yes",CR$3&gt;=Projects!$C$20,CR$3&lt;Projects!$C$20+Projects!$D$20),Projects!$B$20*(Assumptions!$B$10+Assumptions!$B$11+Assumptions!$B$12)/Projects!$D$20*0.95,0)-IF(AND(Projects!$G$20="Yes",CR$3=Projects!$C$20+Projects!$D$20-1),Projects!$B$20*(Assumptions!$B$10+Assumptions!$B$11+Assumptions!$B$12)*0.05,0)</f>
        <v>0</v>
      </c>
      <c r="CS29" s="30" t="n">
        <f aca="false">IF(AND(Projects!$G$20="Yes",CS$3&gt;=Projects!$C$20,CS$3&lt;Projects!$C$20+Projects!$D$20),Projects!$B$20*INDEX(Curves!$B$4:$AR$4,1,CS$3-Projects!$C$20+1),0)-IF(AND(Projects!$G$20="Yes",CS$3&gt;=Projects!$C$20,CS$3&lt;Projects!$C$20+Projects!$D$20),Projects!$B$20*(Assumptions!$B$10+Assumptions!$B$11+Assumptions!$B$12)/Projects!$D$20*0.95,0)-IF(AND(Projects!$G$20="Yes",CS$3=Projects!$C$20+Projects!$D$20-1),Projects!$B$20*(Assumptions!$B$10+Assumptions!$B$11+Assumptions!$B$12)*0.05,0)</f>
        <v>0</v>
      </c>
      <c r="CT29" s="30" t="n">
        <f aca="false">IF(AND(Projects!$G$20="Yes",CT$3&gt;=Projects!$C$20,CT$3&lt;Projects!$C$20+Projects!$D$20),Projects!$B$20*INDEX(Curves!$B$4:$AR$4,1,CT$3-Projects!$C$20+1),0)-IF(AND(Projects!$G$20="Yes",CT$3&gt;=Projects!$C$20,CT$3&lt;Projects!$C$20+Projects!$D$20),Projects!$B$20*(Assumptions!$B$10+Assumptions!$B$11+Assumptions!$B$12)/Projects!$D$20*0.95,0)-IF(AND(Projects!$G$20="Yes",CT$3=Projects!$C$20+Projects!$D$20-1),Projects!$B$20*(Assumptions!$B$10+Assumptions!$B$11+Assumptions!$B$12)*0.05,0)</f>
        <v>0</v>
      </c>
      <c r="CU29" s="30" t="n">
        <f aca="false">IF(AND(Projects!$G$20="Yes",CU$3&gt;=Projects!$C$20,CU$3&lt;Projects!$C$20+Projects!$D$20),Projects!$B$20*INDEX(Curves!$B$4:$AR$4,1,CU$3-Projects!$C$20+1),0)-IF(AND(Projects!$G$20="Yes",CU$3&gt;=Projects!$C$20,CU$3&lt;Projects!$C$20+Projects!$D$20),Projects!$B$20*(Assumptions!$B$10+Assumptions!$B$11+Assumptions!$B$12)/Projects!$D$20*0.95,0)-IF(AND(Projects!$G$20="Yes",CU$3=Projects!$C$20+Projects!$D$20-1),Projects!$B$20*(Assumptions!$B$10+Assumptions!$B$11+Assumptions!$B$12)*0.05,0)</f>
        <v>0</v>
      </c>
      <c r="CV29" s="30" t="n">
        <f aca="false">IF(AND(Projects!$G$20="Yes",CV$3&gt;=Projects!$C$20,CV$3&lt;Projects!$C$20+Projects!$D$20),Projects!$B$20*INDEX(Curves!$B$4:$AR$4,1,CV$3-Projects!$C$20+1),0)-IF(AND(Projects!$G$20="Yes",CV$3&gt;=Projects!$C$20,CV$3&lt;Projects!$C$20+Projects!$D$20),Projects!$B$20*(Assumptions!$B$10+Assumptions!$B$11+Assumptions!$B$12)/Projects!$D$20*0.95,0)-IF(AND(Projects!$G$20="Yes",CV$3=Projects!$C$20+Projects!$D$20-1),Projects!$B$20*(Assumptions!$B$10+Assumptions!$B$11+Assumptions!$B$12)*0.05,0)</f>
        <v>0</v>
      </c>
      <c r="CW29" s="30" t="n">
        <f aca="false">IF(AND(Projects!$G$20="Yes",CW$3&gt;=Projects!$C$20,CW$3&lt;Projects!$C$20+Projects!$D$20),Projects!$B$20*INDEX(Curves!$B$4:$AR$4,1,CW$3-Projects!$C$20+1),0)-IF(AND(Projects!$G$20="Yes",CW$3&gt;=Projects!$C$20,CW$3&lt;Projects!$C$20+Projects!$D$20),Projects!$B$20*(Assumptions!$B$10+Assumptions!$B$11+Assumptions!$B$12)/Projects!$D$20*0.95,0)-IF(AND(Projects!$G$20="Yes",CW$3=Projects!$C$20+Projects!$D$20-1),Projects!$B$20*(Assumptions!$B$10+Assumptions!$B$11+Assumptions!$B$12)*0.05,0)</f>
        <v>0</v>
      </c>
      <c r="CX29" s="30" t="n">
        <f aca="false">IF(AND(Projects!$G$20="Yes",CX$3&gt;=Projects!$C$20,CX$3&lt;Projects!$C$20+Projects!$D$20),Projects!$B$20*INDEX(Curves!$B$4:$AR$4,1,CX$3-Projects!$C$20+1),0)-IF(AND(Projects!$G$20="Yes",CX$3&gt;=Projects!$C$20,CX$3&lt;Projects!$C$20+Projects!$D$20),Projects!$B$20*(Assumptions!$B$10+Assumptions!$B$11+Assumptions!$B$12)/Projects!$D$20*0.95,0)-IF(AND(Projects!$G$20="Yes",CX$3=Projects!$C$20+Projects!$D$20-1),Projects!$B$20*(Assumptions!$B$10+Assumptions!$B$11+Assumptions!$B$12)*0.05,0)</f>
        <v>0</v>
      </c>
      <c r="CY29" s="30" t="n">
        <f aca="false">IF(AND(Projects!$G$20="Yes",CY$3&gt;=Projects!$C$20,CY$3&lt;Projects!$C$20+Projects!$D$20),Projects!$B$20*INDEX(Curves!$B$4:$AR$4,1,CY$3-Projects!$C$20+1),0)-IF(AND(Projects!$G$20="Yes",CY$3&gt;=Projects!$C$20,CY$3&lt;Projects!$C$20+Projects!$D$20),Projects!$B$20*(Assumptions!$B$10+Assumptions!$B$11+Assumptions!$B$12)/Projects!$D$20*0.95,0)-IF(AND(Projects!$G$20="Yes",CY$3=Projects!$C$20+Projects!$D$20-1),Projects!$B$20*(Assumptions!$B$10+Assumptions!$B$11+Assumptions!$B$12)*0.05,0)</f>
        <v>0</v>
      </c>
      <c r="CZ29" s="30" t="n">
        <f aca="false">IF(AND(Projects!$G$20="Yes",CZ$3&gt;=Projects!$C$20,CZ$3&lt;Projects!$C$20+Projects!$D$20),Projects!$B$20*INDEX(Curves!$B$4:$AR$4,1,CZ$3-Projects!$C$20+1),0)-IF(AND(Projects!$G$20="Yes",CZ$3&gt;=Projects!$C$20,CZ$3&lt;Projects!$C$20+Projects!$D$20),Projects!$B$20*(Assumptions!$B$10+Assumptions!$B$11+Assumptions!$B$12)/Projects!$D$20*0.95,0)-IF(AND(Projects!$G$20="Yes",CZ$3=Projects!$C$20+Projects!$D$20-1),Projects!$B$20*(Assumptions!$B$10+Assumptions!$B$11+Assumptions!$B$12)*0.05,0)</f>
        <v>0</v>
      </c>
      <c r="DA29" s="30" t="n">
        <f aca="false">IF(AND(Projects!$G$20="Yes",DA$3&gt;=Projects!$C$20,DA$3&lt;Projects!$C$20+Projects!$D$20),Projects!$B$20*INDEX(Curves!$B$4:$AR$4,1,DA$3-Projects!$C$20+1),0)-IF(AND(Projects!$G$20="Yes",DA$3&gt;=Projects!$C$20,DA$3&lt;Projects!$C$20+Projects!$D$20),Projects!$B$20*(Assumptions!$B$10+Assumptions!$B$11+Assumptions!$B$12)/Projects!$D$20*0.95,0)-IF(AND(Projects!$G$20="Yes",DA$3=Projects!$C$20+Projects!$D$20-1),Projects!$B$20*(Assumptions!$B$10+Assumptions!$B$11+Assumptions!$B$12)*0.05,0)</f>
        <v>0</v>
      </c>
      <c r="DB29" s="30" t="n">
        <f aca="false">IF(AND(Projects!$G$20="Yes",DB$3&gt;=Projects!$C$20,DB$3&lt;Projects!$C$20+Projects!$D$20),Projects!$B$20*INDEX(Curves!$B$4:$AR$4,1,DB$3-Projects!$C$20+1),0)-IF(AND(Projects!$G$20="Yes",DB$3&gt;=Projects!$C$20,DB$3&lt;Projects!$C$20+Projects!$D$20),Projects!$B$20*(Assumptions!$B$10+Assumptions!$B$11+Assumptions!$B$12)/Projects!$D$20*0.95,0)-IF(AND(Projects!$G$20="Yes",DB$3=Projects!$C$20+Projects!$D$20-1),Projects!$B$20*(Assumptions!$B$10+Assumptions!$B$11+Assumptions!$B$12)*0.05,0)</f>
        <v>0</v>
      </c>
      <c r="DC29" s="30" t="n">
        <f aca="false">IF(AND(Projects!$G$20="Yes",DC$3&gt;=Projects!$C$20,DC$3&lt;Projects!$C$20+Projects!$D$20),Projects!$B$20*INDEX(Curves!$B$4:$AR$4,1,DC$3-Projects!$C$20+1),0)-IF(AND(Projects!$G$20="Yes",DC$3&gt;=Projects!$C$20,DC$3&lt;Projects!$C$20+Projects!$D$20),Projects!$B$20*(Assumptions!$B$10+Assumptions!$B$11+Assumptions!$B$12)/Projects!$D$20*0.95,0)-IF(AND(Projects!$G$20="Yes",DC$3=Projects!$C$20+Projects!$D$20-1),Projects!$B$20*(Assumptions!$B$10+Assumptions!$B$11+Assumptions!$B$12)*0.05,0)</f>
        <v>0</v>
      </c>
      <c r="DD29" s="30" t="n">
        <f aca="false">IF(AND(Projects!$G$20="Yes",DD$3&gt;=Projects!$C$20,DD$3&lt;Projects!$C$20+Projects!$D$20),Projects!$B$20*INDEX(Curves!$B$4:$AR$4,1,DD$3-Projects!$C$20+1),0)-IF(AND(Projects!$G$20="Yes",DD$3&gt;=Projects!$C$20,DD$3&lt;Projects!$C$20+Projects!$D$20),Projects!$B$20*(Assumptions!$B$10+Assumptions!$B$11+Assumptions!$B$12)/Projects!$D$20*0.95,0)-IF(AND(Projects!$G$20="Yes",DD$3=Projects!$C$20+Projects!$D$20-1),Projects!$B$20*(Assumptions!$B$10+Assumptions!$B$11+Assumptions!$B$12)*0.05,0)</f>
        <v>0</v>
      </c>
      <c r="DE29" s="30" t="n">
        <f aca="false">IF(AND(Projects!$G$20="Yes",DE$3&gt;=Projects!$C$20,DE$3&lt;Projects!$C$20+Projects!$D$20),Projects!$B$20*INDEX(Curves!$B$4:$AR$4,1,DE$3-Projects!$C$20+1),0)-IF(AND(Projects!$G$20="Yes",DE$3&gt;=Projects!$C$20,DE$3&lt;Projects!$C$20+Projects!$D$20),Projects!$B$20*(Assumptions!$B$10+Assumptions!$B$11+Assumptions!$B$12)/Projects!$D$20*0.95,0)-IF(AND(Projects!$G$20="Yes",DE$3=Projects!$C$20+Projects!$D$20-1),Projects!$B$20*(Assumptions!$B$10+Assumptions!$B$11+Assumptions!$B$12)*0.05,0)</f>
        <v>0</v>
      </c>
    </row>
    <row r="30" customFormat="false" ht="15" hidden="true" customHeight="true" outlineLevel="1" collapsed="false">
      <c r="A30" s="32" t="s">
        <v>24</v>
      </c>
      <c r="B30" s="30" t="n">
        <v>0</v>
      </c>
      <c r="C30" s="30" t="n">
        <v>0</v>
      </c>
      <c r="D30" s="30" t="n">
        <v>0</v>
      </c>
      <c r="E30" s="30" t="n">
        <v>0</v>
      </c>
      <c r="F30" s="30" t="n">
        <f aca="false">IF(AND(Projects!$G$21="Yes",F$3&gt;=Projects!$C$21,F$3&lt;Projects!$C$21+Projects!$D$21),Projects!$B$21*INDEX(Curves!$B$4:$AR$4,1,F$3-Projects!$C$21+1),0)-IF(AND(Projects!$G$21="Yes",F$3&gt;=Projects!$C$21,F$3&lt;Projects!$C$21+Projects!$D$21),Projects!$B$21*(Assumptions!$B$10+Assumptions!$B$11+Assumptions!$B$12)/Projects!$D$21*0.95,0)-IF(AND(Projects!$G$21="Yes",F$3=Projects!$C$21+Projects!$D$21-1),Projects!$B$21*(Assumptions!$B$10+Assumptions!$B$11+Assumptions!$B$12)*0.05,0)</f>
        <v>0</v>
      </c>
      <c r="G30" s="30" t="n">
        <f aca="false">IF(AND(Projects!$G$21="Yes",G$3&gt;=Projects!$C$21,G$3&lt;Projects!$C$21+Projects!$D$21),Projects!$B$21*INDEX(Curves!$B$4:$AR$4,1,G$3-Projects!$C$21+1),0)-IF(AND(Projects!$G$21="Yes",G$3&gt;=Projects!$C$21,G$3&lt;Projects!$C$21+Projects!$D$21),Projects!$B$21*(Assumptions!$B$10+Assumptions!$B$11+Assumptions!$B$12)/Projects!$D$21*0.95,0)-IF(AND(Projects!$G$21="Yes",G$3=Projects!$C$21+Projects!$D$21-1),Projects!$B$21*(Assumptions!$B$10+Assumptions!$B$11+Assumptions!$B$12)*0.05,0)</f>
        <v>0</v>
      </c>
      <c r="H30" s="30" t="n">
        <f aca="false">IF(AND(Projects!$G$21="Yes",H$3&gt;=Projects!$C$21,H$3&lt;Projects!$C$21+Projects!$D$21),Projects!$B$21*INDEX(Curves!$B$4:$AR$4,1,H$3-Projects!$C$21+1),0)-IF(AND(Projects!$G$21="Yes",H$3&gt;=Projects!$C$21,H$3&lt;Projects!$C$21+Projects!$D$21),Projects!$B$21*(Assumptions!$B$10+Assumptions!$B$11+Assumptions!$B$12)/Projects!$D$21*0.95,0)-IF(AND(Projects!$G$21="Yes",H$3=Projects!$C$21+Projects!$D$21-1),Projects!$B$21*(Assumptions!$B$10+Assumptions!$B$11+Assumptions!$B$12)*0.05,0)</f>
        <v>0</v>
      </c>
      <c r="I30" s="30" t="n">
        <f aca="false">IF(AND(Projects!$G$21="Yes",I$3&gt;=Projects!$C$21,I$3&lt;Projects!$C$21+Projects!$D$21),Projects!$B$21*INDEX(Curves!$B$4:$AR$4,1,I$3-Projects!$C$21+1),0)-IF(AND(Projects!$G$21="Yes",I$3&gt;=Projects!$C$21,I$3&lt;Projects!$C$21+Projects!$D$21),Projects!$B$21*(Assumptions!$B$10+Assumptions!$B$11+Assumptions!$B$12)/Projects!$D$21*0.95,0)-IF(AND(Projects!$G$21="Yes",I$3=Projects!$C$21+Projects!$D$21-1),Projects!$B$21*(Assumptions!$B$10+Assumptions!$B$11+Assumptions!$B$12)*0.05,0)</f>
        <v>0</v>
      </c>
      <c r="J30" s="30" t="n">
        <f aca="false">IF(AND(Projects!$G$21="Yes",J$3&gt;=Projects!$C$21,J$3&lt;Projects!$C$21+Projects!$D$21),Projects!$B$21*INDEX(Curves!$B$4:$AR$4,1,J$3-Projects!$C$21+1),0)-IF(AND(Projects!$G$21="Yes",J$3&gt;=Projects!$C$21,J$3&lt;Projects!$C$21+Projects!$D$21),Projects!$B$21*(Assumptions!$B$10+Assumptions!$B$11+Assumptions!$B$12)/Projects!$D$21*0.95,0)-IF(AND(Projects!$G$21="Yes",J$3=Projects!$C$21+Projects!$D$21-1),Projects!$B$21*(Assumptions!$B$10+Assumptions!$B$11+Assumptions!$B$12)*0.05,0)</f>
        <v>0</v>
      </c>
      <c r="K30" s="30" t="n">
        <f aca="false">IF(AND(Projects!$G$21="Yes",K$3&gt;=Projects!$C$21,K$3&lt;Projects!$C$21+Projects!$D$21),Projects!$B$21*INDEX(Curves!$B$4:$AR$4,1,K$3-Projects!$C$21+1),0)-IF(AND(Projects!$G$21="Yes",K$3&gt;=Projects!$C$21,K$3&lt;Projects!$C$21+Projects!$D$21),Projects!$B$21*(Assumptions!$B$10+Assumptions!$B$11+Assumptions!$B$12)/Projects!$D$21*0.95,0)-IF(AND(Projects!$G$21="Yes",K$3=Projects!$C$21+Projects!$D$21-1),Projects!$B$21*(Assumptions!$B$10+Assumptions!$B$11+Assumptions!$B$12)*0.05,0)</f>
        <v>0</v>
      </c>
      <c r="L30" s="30" t="n">
        <f aca="false">IF(AND(Projects!$G$21="Yes",L$3&gt;=Projects!$C$21,L$3&lt;Projects!$C$21+Projects!$D$21),Projects!$B$21*INDEX(Curves!$B$4:$AR$4,1,L$3-Projects!$C$21+1),0)-IF(AND(Projects!$G$21="Yes",L$3&gt;=Projects!$C$21,L$3&lt;Projects!$C$21+Projects!$D$21),Projects!$B$21*(Assumptions!$B$10+Assumptions!$B$11+Assumptions!$B$12)/Projects!$D$21*0.95,0)-IF(AND(Projects!$G$21="Yes",L$3=Projects!$C$21+Projects!$D$21-1),Projects!$B$21*(Assumptions!$B$10+Assumptions!$B$11+Assumptions!$B$12)*0.05,0)</f>
        <v>0</v>
      </c>
      <c r="M30" s="30" t="n">
        <f aca="false">IF(AND(Projects!$G$21="Yes",M$3&gt;=Projects!$C$21,M$3&lt;Projects!$C$21+Projects!$D$21),Projects!$B$21*INDEX(Curves!$B$4:$AR$4,1,M$3-Projects!$C$21+1),0)-IF(AND(Projects!$G$21="Yes",M$3&gt;=Projects!$C$21,M$3&lt;Projects!$C$21+Projects!$D$21),Projects!$B$21*(Assumptions!$B$10+Assumptions!$B$11+Assumptions!$B$12)/Projects!$D$21*0.95,0)-IF(AND(Projects!$G$21="Yes",M$3=Projects!$C$21+Projects!$D$21-1),Projects!$B$21*(Assumptions!$B$10+Assumptions!$B$11+Assumptions!$B$12)*0.05,0)</f>
        <v>0</v>
      </c>
      <c r="N30" s="30" t="n">
        <f aca="false">IF(AND(Projects!$G$21="Yes",N$3&gt;=Projects!$C$21,N$3&lt;Projects!$C$21+Projects!$D$21),Projects!$B$21*INDEX(Curves!$B$4:$AR$4,1,N$3-Projects!$C$21+1),0)-IF(AND(Projects!$G$21="Yes",N$3&gt;=Projects!$C$21,N$3&lt;Projects!$C$21+Projects!$D$21),Projects!$B$21*(Assumptions!$B$10+Assumptions!$B$11+Assumptions!$B$12)/Projects!$D$21*0.95,0)-IF(AND(Projects!$G$21="Yes",N$3=Projects!$C$21+Projects!$D$21-1),Projects!$B$21*(Assumptions!$B$10+Assumptions!$B$11+Assumptions!$B$12)*0.05,0)</f>
        <v>0</v>
      </c>
      <c r="O30" s="30" t="n">
        <f aca="false">IF(AND(Projects!$G$21="Yes",O$3&gt;=Projects!$C$21,O$3&lt;Projects!$C$21+Projects!$D$21),Projects!$B$21*INDEX(Curves!$B$4:$AR$4,1,O$3-Projects!$C$21+1),0)-IF(AND(Projects!$G$21="Yes",O$3&gt;=Projects!$C$21,O$3&lt;Projects!$C$21+Projects!$D$21),Projects!$B$21*(Assumptions!$B$10+Assumptions!$B$11+Assumptions!$B$12)/Projects!$D$21*0.95,0)-IF(AND(Projects!$G$21="Yes",O$3=Projects!$C$21+Projects!$D$21-1),Projects!$B$21*(Assumptions!$B$10+Assumptions!$B$11+Assumptions!$B$12)*0.05,0)</f>
        <v>0</v>
      </c>
      <c r="P30" s="30" t="n">
        <f aca="false">IF(AND(Projects!$G$21="Yes",P$3&gt;=Projects!$C$21,P$3&lt;Projects!$C$21+Projects!$D$21),Projects!$B$21*INDEX(Curves!$B$4:$AR$4,1,P$3-Projects!$C$21+1),0)-IF(AND(Projects!$G$21="Yes",P$3&gt;=Projects!$C$21,P$3&lt;Projects!$C$21+Projects!$D$21),Projects!$B$21*(Assumptions!$B$10+Assumptions!$B$11+Assumptions!$B$12)/Projects!$D$21*0.95,0)-IF(AND(Projects!$G$21="Yes",P$3=Projects!$C$21+Projects!$D$21-1),Projects!$B$21*(Assumptions!$B$10+Assumptions!$B$11+Assumptions!$B$12)*0.05,0)</f>
        <v>0</v>
      </c>
      <c r="Q30" s="30" t="n">
        <f aca="false">IF(AND(Projects!$G$21="Yes",Q$3&gt;=Projects!$C$21,Q$3&lt;Projects!$C$21+Projects!$D$21),Projects!$B$21*INDEX(Curves!$B$4:$AR$4,1,Q$3-Projects!$C$21+1),0)-IF(AND(Projects!$G$21="Yes",Q$3&gt;=Projects!$C$21,Q$3&lt;Projects!$C$21+Projects!$D$21),Projects!$B$21*(Assumptions!$B$10+Assumptions!$B$11+Assumptions!$B$12)/Projects!$D$21*0.95,0)-IF(AND(Projects!$G$21="Yes",Q$3=Projects!$C$21+Projects!$D$21-1),Projects!$B$21*(Assumptions!$B$10+Assumptions!$B$11+Assumptions!$B$12)*0.05,0)</f>
        <v>0</v>
      </c>
      <c r="R30" s="30" t="n">
        <f aca="false">IF(AND(Projects!$G$21="Yes",R$3&gt;=Projects!$C$21,R$3&lt;Projects!$C$21+Projects!$D$21),Projects!$B$21*INDEX(Curves!$B$4:$AR$4,1,R$3-Projects!$C$21+1),0)-IF(AND(Projects!$G$21="Yes",R$3&gt;=Projects!$C$21,R$3&lt;Projects!$C$21+Projects!$D$21),Projects!$B$21*(Assumptions!$B$10+Assumptions!$B$11+Assumptions!$B$12)/Projects!$D$21*0.95,0)-IF(AND(Projects!$G$21="Yes",R$3=Projects!$C$21+Projects!$D$21-1),Projects!$B$21*(Assumptions!$B$10+Assumptions!$B$11+Assumptions!$B$12)*0.05,0)</f>
        <v>0</v>
      </c>
      <c r="S30" s="30" t="n">
        <f aca="false">IF(AND(Projects!$G$21="Yes",S$3&gt;=Projects!$C$21,S$3&lt;Projects!$C$21+Projects!$D$21),Projects!$B$21*INDEX(Curves!$B$4:$AR$4,1,S$3-Projects!$C$21+1),0)-IF(AND(Projects!$G$21="Yes",S$3&gt;=Projects!$C$21,S$3&lt;Projects!$C$21+Projects!$D$21),Projects!$B$21*(Assumptions!$B$10+Assumptions!$B$11+Assumptions!$B$12)/Projects!$D$21*0.95,0)-IF(AND(Projects!$G$21="Yes",S$3=Projects!$C$21+Projects!$D$21-1),Projects!$B$21*(Assumptions!$B$10+Assumptions!$B$11+Assumptions!$B$12)*0.05,0)</f>
        <v>0</v>
      </c>
      <c r="T30" s="30" t="n">
        <f aca="false">IF(AND(Projects!$G$21="Yes",T$3&gt;=Projects!$C$21,T$3&lt;Projects!$C$21+Projects!$D$21),Projects!$B$21*INDEX(Curves!$B$4:$AR$4,1,T$3-Projects!$C$21+1),0)-IF(AND(Projects!$G$21="Yes",T$3&gt;=Projects!$C$21,T$3&lt;Projects!$C$21+Projects!$D$21),Projects!$B$21*(Assumptions!$B$10+Assumptions!$B$11+Assumptions!$B$12)/Projects!$D$21*0.95,0)-IF(AND(Projects!$G$21="Yes",T$3=Projects!$C$21+Projects!$D$21-1),Projects!$B$21*(Assumptions!$B$10+Assumptions!$B$11+Assumptions!$B$12)*0.05,0)</f>
        <v>0</v>
      </c>
      <c r="U30" s="30" t="n">
        <f aca="false">IF(AND(Projects!$G$21="Yes",U$3&gt;=Projects!$C$21,U$3&lt;Projects!$C$21+Projects!$D$21),Projects!$B$21*INDEX(Curves!$B$4:$AR$4,1,U$3-Projects!$C$21+1),0)-IF(AND(Projects!$G$21="Yes",U$3&gt;=Projects!$C$21,U$3&lt;Projects!$C$21+Projects!$D$21),Projects!$B$21*(Assumptions!$B$10+Assumptions!$B$11+Assumptions!$B$12)/Projects!$D$21*0.95,0)-IF(AND(Projects!$G$21="Yes",U$3=Projects!$C$21+Projects!$D$21-1),Projects!$B$21*(Assumptions!$B$10+Assumptions!$B$11+Assumptions!$B$12)*0.05,0)</f>
        <v>0</v>
      </c>
      <c r="V30" s="30" t="n">
        <f aca="false">IF(AND(Projects!$G$21="Yes",V$3&gt;=Projects!$C$21,V$3&lt;Projects!$C$21+Projects!$D$21),Projects!$B$21*INDEX(Curves!$B$4:$AR$4,1,V$3-Projects!$C$21+1),0)-IF(AND(Projects!$G$21="Yes",V$3&gt;=Projects!$C$21,V$3&lt;Projects!$C$21+Projects!$D$21),Projects!$B$21*(Assumptions!$B$10+Assumptions!$B$11+Assumptions!$B$12)/Projects!$D$21*0.95,0)-IF(AND(Projects!$G$21="Yes",V$3=Projects!$C$21+Projects!$D$21-1),Projects!$B$21*(Assumptions!$B$10+Assumptions!$B$11+Assumptions!$B$12)*0.05,0)</f>
        <v>0</v>
      </c>
      <c r="W30" s="30" t="n">
        <f aca="false">IF(AND(Projects!$G$21="Yes",W$3&gt;=Projects!$C$21,W$3&lt;Projects!$C$21+Projects!$D$21),Projects!$B$21*INDEX(Curves!$B$4:$AR$4,1,W$3-Projects!$C$21+1),0)-IF(AND(Projects!$G$21="Yes",W$3&gt;=Projects!$C$21,W$3&lt;Projects!$C$21+Projects!$D$21),Projects!$B$21*(Assumptions!$B$10+Assumptions!$B$11+Assumptions!$B$12)/Projects!$D$21*0.95,0)-IF(AND(Projects!$G$21="Yes",W$3=Projects!$C$21+Projects!$D$21-1),Projects!$B$21*(Assumptions!$B$10+Assumptions!$B$11+Assumptions!$B$12)*0.05,0)</f>
        <v>0</v>
      </c>
      <c r="X30" s="30" t="n">
        <f aca="false">IF(AND(Projects!$G$21="Yes",X$3&gt;=Projects!$C$21,X$3&lt;Projects!$C$21+Projects!$D$21),Projects!$B$21*INDEX(Curves!$B$4:$AR$4,1,X$3-Projects!$C$21+1),0)-IF(AND(Projects!$G$21="Yes",X$3&gt;=Projects!$C$21,X$3&lt;Projects!$C$21+Projects!$D$21),Projects!$B$21*(Assumptions!$B$10+Assumptions!$B$11+Assumptions!$B$12)/Projects!$D$21*0.95,0)-IF(AND(Projects!$G$21="Yes",X$3=Projects!$C$21+Projects!$D$21-1),Projects!$B$21*(Assumptions!$B$10+Assumptions!$B$11+Assumptions!$B$12)*0.05,0)</f>
        <v>0</v>
      </c>
      <c r="Y30" s="30" t="n">
        <f aca="false">IF(AND(Projects!$G$21="Yes",Y$3&gt;=Projects!$C$21,Y$3&lt;Projects!$C$21+Projects!$D$21),Projects!$B$21*INDEX(Curves!$B$4:$AR$4,1,Y$3-Projects!$C$21+1),0)-IF(AND(Projects!$G$21="Yes",Y$3&gt;=Projects!$C$21,Y$3&lt;Projects!$C$21+Projects!$D$21),Projects!$B$21*(Assumptions!$B$10+Assumptions!$B$11+Assumptions!$B$12)/Projects!$D$21*0.95,0)-IF(AND(Projects!$G$21="Yes",Y$3=Projects!$C$21+Projects!$D$21-1),Projects!$B$21*(Assumptions!$B$10+Assumptions!$B$11+Assumptions!$B$12)*0.05,0)</f>
        <v>0</v>
      </c>
      <c r="Z30" s="30" t="n">
        <f aca="false">IF(AND(Projects!$G$21="Yes",Z$3&gt;=Projects!$C$21,Z$3&lt;Projects!$C$21+Projects!$D$21),Projects!$B$21*INDEX(Curves!$B$4:$AR$4,1,Z$3-Projects!$C$21+1),0)-IF(AND(Projects!$G$21="Yes",Z$3&gt;=Projects!$C$21,Z$3&lt;Projects!$C$21+Projects!$D$21),Projects!$B$21*(Assumptions!$B$10+Assumptions!$B$11+Assumptions!$B$12)/Projects!$D$21*0.95,0)-IF(AND(Projects!$G$21="Yes",Z$3=Projects!$C$21+Projects!$D$21-1),Projects!$B$21*(Assumptions!$B$10+Assumptions!$B$11+Assumptions!$B$12)*0.05,0)</f>
        <v>0</v>
      </c>
      <c r="AA30" s="30" t="n">
        <f aca="false">IF(AND(Projects!$G$21="Yes",AA$3&gt;=Projects!$C$21,AA$3&lt;Projects!$C$21+Projects!$D$21),Projects!$B$21*INDEX(Curves!$B$4:$AR$4,1,AA$3-Projects!$C$21+1),0)-IF(AND(Projects!$G$21="Yes",AA$3&gt;=Projects!$C$21,AA$3&lt;Projects!$C$21+Projects!$D$21),Projects!$B$21*(Assumptions!$B$10+Assumptions!$B$11+Assumptions!$B$12)/Projects!$D$21*0.95,0)-IF(AND(Projects!$G$21="Yes",AA$3=Projects!$C$21+Projects!$D$21-1),Projects!$B$21*(Assumptions!$B$10+Assumptions!$B$11+Assumptions!$B$12)*0.05,0)</f>
        <v>0</v>
      </c>
      <c r="AB30" s="30" t="n">
        <f aca="false">IF(AND(Projects!$G$21="Yes",AB$3&gt;=Projects!$C$21,AB$3&lt;Projects!$C$21+Projects!$D$21),Projects!$B$21*INDEX(Curves!$B$4:$AR$4,1,AB$3-Projects!$C$21+1),0)-IF(AND(Projects!$G$21="Yes",AB$3&gt;=Projects!$C$21,AB$3&lt;Projects!$C$21+Projects!$D$21),Projects!$B$21*(Assumptions!$B$10+Assumptions!$B$11+Assumptions!$B$12)/Projects!$D$21*0.95,0)-IF(AND(Projects!$G$21="Yes",AB$3=Projects!$C$21+Projects!$D$21-1),Projects!$B$21*(Assumptions!$B$10+Assumptions!$B$11+Assumptions!$B$12)*0.05,0)</f>
        <v>0</v>
      </c>
      <c r="AC30" s="30" t="n">
        <f aca="false">IF(AND(Projects!$G$21="Yes",AC$3&gt;=Projects!$C$21,AC$3&lt;Projects!$C$21+Projects!$D$21),Projects!$B$21*INDEX(Curves!$B$4:$AR$4,1,AC$3-Projects!$C$21+1),0)-IF(AND(Projects!$G$21="Yes",AC$3&gt;=Projects!$C$21,AC$3&lt;Projects!$C$21+Projects!$D$21),Projects!$B$21*(Assumptions!$B$10+Assumptions!$B$11+Assumptions!$B$12)/Projects!$D$21*0.95,0)-IF(AND(Projects!$G$21="Yes",AC$3=Projects!$C$21+Projects!$D$21-1),Projects!$B$21*(Assumptions!$B$10+Assumptions!$B$11+Assumptions!$B$12)*0.05,0)</f>
        <v>0</v>
      </c>
      <c r="AD30" s="30" t="n">
        <f aca="false">IF(AND(Projects!$G$21="Yes",AD$3&gt;=Projects!$C$21,AD$3&lt;Projects!$C$21+Projects!$D$21),Projects!$B$21*INDEX(Curves!$B$4:$AR$4,1,AD$3-Projects!$C$21+1),0)-IF(AND(Projects!$G$21="Yes",AD$3&gt;=Projects!$C$21,AD$3&lt;Projects!$C$21+Projects!$D$21),Projects!$B$21*(Assumptions!$B$10+Assumptions!$B$11+Assumptions!$B$12)/Projects!$D$21*0.95,0)-IF(AND(Projects!$G$21="Yes",AD$3=Projects!$C$21+Projects!$D$21-1),Projects!$B$21*(Assumptions!$B$10+Assumptions!$B$11+Assumptions!$B$12)*0.05,0)</f>
        <v>0</v>
      </c>
      <c r="AE30" s="30" t="n">
        <f aca="false">IF(AND(Projects!$G$21="Yes",AE$3&gt;=Projects!$C$21,AE$3&lt;Projects!$C$21+Projects!$D$21),Projects!$B$21*INDEX(Curves!$B$4:$AR$4,1,AE$3-Projects!$C$21+1),0)-IF(AND(Projects!$G$21="Yes",AE$3&gt;=Projects!$C$21,AE$3&lt;Projects!$C$21+Projects!$D$21),Projects!$B$21*(Assumptions!$B$10+Assumptions!$B$11+Assumptions!$B$12)/Projects!$D$21*0.95,0)-IF(AND(Projects!$G$21="Yes",AE$3=Projects!$C$21+Projects!$D$21-1),Projects!$B$21*(Assumptions!$B$10+Assumptions!$B$11+Assumptions!$B$12)*0.05,0)</f>
        <v>0</v>
      </c>
      <c r="AF30" s="30" t="n">
        <f aca="false">IF(AND(Projects!$G$21="Yes",AF$3&gt;=Projects!$C$21,AF$3&lt;Projects!$C$21+Projects!$D$21),Projects!$B$21*INDEX(Curves!$B$4:$AR$4,1,AF$3-Projects!$C$21+1),0)-IF(AND(Projects!$G$21="Yes",AF$3&gt;=Projects!$C$21,AF$3&lt;Projects!$C$21+Projects!$D$21),Projects!$B$21*(Assumptions!$B$10+Assumptions!$B$11+Assumptions!$B$12)/Projects!$D$21*0.95,0)-IF(AND(Projects!$G$21="Yes",AF$3=Projects!$C$21+Projects!$D$21-1),Projects!$B$21*(Assumptions!$B$10+Assumptions!$B$11+Assumptions!$B$12)*0.05,0)</f>
        <v>0</v>
      </c>
      <c r="AG30" s="30" t="n">
        <f aca="false">IF(AND(Projects!$G$21="Yes",AG$3&gt;=Projects!$C$21,AG$3&lt;Projects!$C$21+Projects!$D$21),Projects!$B$21*INDEX(Curves!$B$4:$AR$4,1,AG$3-Projects!$C$21+1),0)-IF(AND(Projects!$G$21="Yes",AG$3&gt;=Projects!$C$21,AG$3&lt;Projects!$C$21+Projects!$D$21),Projects!$B$21*(Assumptions!$B$10+Assumptions!$B$11+Assumptions!$B$12)/Projects!$D$21*0.95,0)-IF(AND(Projects!$G$21="Yes",AG$3=Projects!$C$21+Projects!$D$21-1),Projects!$B$21*(Assumptions!$B$10+Assumptions!$B$11+Assumptions!$B$12)*0.05,0)</f>
        <v>0</v>
      </c>
      <c r="AH30" s="30" t="n">
        <f aca="false">IF(AND(Projects!$G$21="Yes",AH$3&gt;=Projects!$C$21,AH$3&lt;Projects!$C$21+Projects!$D$21),Projects!$B$21*INDEX(Curves!$B$4:$AR$4,1,AH$3-Projects!$C$21+1),0)-IF(AND(Projects!$G$21="Yes",AH$3&gt;=Projects!$C$21,AH$3&lt;Projects!$C$21+Projects!$D$21),Projects!$B$21*(Assumptions!$B$10+Assumptions!$B$11+Assumptions!$B$12)/Projects!$D$21*0.95,0)-IF(AND(Projects!$G$21="Yes",AH$3=Projects!$C$21+Projects!$D$21-1),Projects!$B$21*(Assumptions!$B$10+Assumptions!$B$11+Assumptions!$B$12)*0.05,0)</f>
        <v>0</v>
      </c>
      <c r="AI30" s="30" t="n">
        <f aca="false">IF(AND(Projects!$G$21="Yes",AI$3&gt;=Projects!$C$21,AI$3&lt;Projects!$C$21+Projects!$D$21),Projects!$B$21*INDEX(Curves!$B$4:$AR$4,1,AI$3-Projects!$C$21+1),0)-IF(AND(Projects!$G$21="Yes",AI$3&gt;=Projects!$C$21,AI$3&lt;Projects!$C$21+Projects!$D$21),Projects!$B$21*(Assumptions!$B$10+Assumptions!$B$11+Assumptions!$B$12)/Projects!$D$21*0.95,0)-IF(AND(Projects!$G$21="Yes",AI$3=Projects!$C$21+Projects!$D$21-1),Projects!$B$21*(Assumptions!$B$10+Assumptions!$B$11+Assumptions!$B$12)*0.05,0)</f>
        <v>0</v>
      </c>
      <c r="AJ30" s="30" t="n">
        <f aca="false">IF(AND(Projects!$G$21="Yes",AJ$3&gt;=Projects!$C$21,AJ$3&lt;Projects!$C$21+Projects!$D$21),Projects!$B$21*INDEX(Curves!$B$4:$AR$4,1,AJ$3-Projects!$C$21+1),0)-IF(AND(Projects!$G$21="Yes",AJ$3&gt;=Projects!$C$21,AJ$3&lt;Projects!$C$21+Projects!$D$21),Projects!$B$21*(Assumptions!$B$10+Assumptions!$B$11+Assumptions!$B$12)/Projects!$D$21*0.95,0)-IF(AND(Projects!$G$21="Yes",AJ$3=Projects!$C$21+Projects!$D$21-1),Projects!$B$21*(Assumptions!$B$10+Assumptions!$B$11+Assumptions!$B$12)*0.05,0)</f>
        <v>0</v>
      </c>
      <c r="AK30" s="30" t="n">
        <f aca="false">IF(AND(Projects!$G$21="Yes",AK$3&gt;=Projects!$C$21,AK$3&lt;Projects!$C$21+Projects!$D$21),Projects!$B$21*INDEX(Curves!$B$4:$AR$4,1,AK$3-Projects!$C$21+1),0)-IF(AND(Projects!$G$21="Yes",AK$3&gt;=Projects!$C$21,AK$3&lt;Projects!$C$21+Projects!$D$21),Projects!$B$21*(Assumptions!$B$10+Assumptions!$B$11+Assumptions!$B$12)/Projects!$D$21*0.95,0)-IF(AND(Projects!$G$21="Yes",AK$3=Projects!$C$21+Projects!$D$21-1),Projects!$B$21*(Assumptions!$B$10+Assumptions!$B$11+Assumptions!$B$12)*0.05,0)</f>
        <v>0</v>
      </c>
      <c r="AL30" s="30" t="n">
        <f aca="false">IF(AND(Projects!$G$21="Yes",AL$3&gt;=Projects!$C$21,AL$3&lt;Projects!$C$21+Projects!$D$21),Projects!$B$21*INDEX(Curves!$B$4:$AR$4,1,AL$3-Projects!$C$21+1),0)-IF(AND(Projects!$G$21="Yes",AL$3&gt;=Projects!$C$21,AL$3&lt;Projects!$C$21+Projects!$D$21),Projects!$B$21*(Assumptions!$B$10+Assumptions!$B$11+Assumptions!$B$12)/Projects!$D$21*0.95,0)-IF(AND(Projects!$G$21="Yes",AL$3=Projects!$C$21+Projects!$D$21-1),Projects!$B$21*(Assumptions!$B$10+Assumptions!$B$11+Assumptions!$B$12)*0.05,0)</f>
        <v>0</v>
      </c>
      <c r="AM30" s="30" t="n">
        <f aca="false">IF(AND(Projects!$G$21="Yes",AM$3&gt;=Projects!$C$21,AM$3&lt;Projects!$C$21+Projects!$D$21),Projects!$B$21*INDEX(Curves!$B$4:$AR$4,1,AM$3-Projects!$C$21+1),0)-IF(AND(Projects!$G$21="Yes",AM$3&gt;=Projects!$C$21,AM$3&lt;Projects!$C$21+Projects!$D$21),Projects!$B$21*(Assumptions!$B$10+Assumptions!$B$11+Assumptions!$B$12)/Projects!$D$21*0.95,0)-IF(AND(Projects!$G$21="Yes",AM$3=Projects!$C$21+Projects!$D$21-1),Projects!$B$21*(Assumptions!$B$10+Assumptions!$B$11+Assumptions!$B$12)*0.05,0)</f>
        <v>0</v>
      </c>
      <c r="AN30" s="30" t="n">
        <f aca="false">IF(AND(Projects!$G$21="Yes",AN$3&gt;=Projects!$C$21,AN$3&lt;Projects!$C$21+Projects!$D$21),Projects!$B$21*INDEX(Curves!$B$4:$AR$4,1,AN$3-Projects!$C$21+1),0)-IF(AND(Projects!$G$21="Yes",AN$3&gt;=Projects!$C$21,AN$3&lt;Projects!$C$21+Projects!$D$21),Projects!$B$21*(Assumptions!$B$10+Assumptions!$B$11+Assumptions!$B$12)/Projects!$D$21*0.95,0)-IF(AND(Projects!$G$21="Yes",AN$3=Projects!$C$21+Projects!$D$21-1),Projects!$B$21*(Assumptions!$B$10+Assumptions!$B$11+Assumptions!$B$12)*0.05,0)</f>
        <v>0</v>
      </c>
      <c r="AO30" s="30" t="n">
        <f aca="false">IF(AND(Projects!$G$21="Yes",AO$3&gt;=Projects!$C$21,AO$3&lt;Projects!$C$21+Projects!$D$21),Projects!$B$21*INDEX(Curves!$B$4:$AR$4,1,AO$3-Projects!$C$21+1),0)-IF(AND(Projects!$G$21="Yes",AO$3&gt;=Projects!$C$21,AO$3&lt;Projects!$C$21+Projects!$D$21),Projects!$B$21*(Assumptions!$B$10+Assumptions!$B$11+Assumptions!$B$12)/Projects!$D$21*0.95,0)-IF(AND(Projects!$G$21="Yes",AO$3=Projects!$C$21+Projects!$D$21-1),Projects!$B$21*(Assumptions!$B$10+Assumptions!$B$11+Assumptions!$B$12)*0.05,0)</f>
        <v>0</v>
      </c>
      <c r="AP30" s="30" t="n">
        <f aca="false">IF(AND(Projects!$G$21="Yes",AP$3&gt;=Projects!$C$21,AP$3&lt;Projects!$C$21+Projects!$D$21),Projects!$B$21*INDEX(Curves!$B$4:$AR$4,1,AP$3-Projects!$C$21+1),0)-IF(AND(Projects!$G$21="Yes",AP$3&gt;=Projects!$C$21,AP$3&lt;Projects!$C$21+Projects!$D$21),Projects!$B$21*(Assumptions!$B$10+Assumptions!$B$11+Assumptions!$B$12)/Projects!$D$21*0.95,0)-IF(AND(Projects!$G$21="Yes",AP$3=Projects!$C$21+Projects!$D$21-1),Projects!$B$21*(Assumptions!$B$10+Assumptions!$B$11+Assumptions!$B$12)*0.05,0)</f>
        <v>0</v>
      </c>
      <c r="AQ30" s="30" t="n">
        <f aca="false">IF(AND(Projects!$G$21="Yes",AQ$3&gt;=Projects!$C$21,AQ$3&lt;Projects!$C$21+Projects!$D$21),Projects!$B$21*INDEX(Curves!$B$4:$AR$4,1,AQ$3-Projects!$C$21+1),0)-IF(AND(Projects!$G$21="Yes",AQ$3&gt;=Projects!$C$21,AQ$3&lt;Projects!$C$21+Projects!$D$21),Projects!$B$21*(Assumptions!$B$10+Assumptions!$B$11+Assumptions!$B$12)/Projects!$D$21*0.95,0)-IF(AND(Projects!$G$21="Yes",AQ$3=Projects!$C$21+Projects!$D$21-1),Projects!$B$21*(Assumptions!$B$10+Assumptions!$B$11+Assumptions!$B$12)*0.05,0)</f>
        <v>0</v>
      </c>
      <c r="AR30" s="30" t="n">
        <f aca="false">IF(AND(Projects!$G$21="Yes",AR$3&gt;=Projects!$C$21,AR$3&lt;Projects!$C$21+Projects!$D$21),Projects!$B$21*INDEX(Curves!$B$4:$AR$4,1,AR$3-Projects!$C$21+1),0)-IF(AND(Projects!$G$21="Yes",AR$3&gt;=Projects!$C$21,AR$3&lt;Projects!$C$21+Projects!$D$21),Projects!$B$21*(Assumptions!$B$10+Assumptions!$B$11+Assumptions!$B$12)/Projects!$D$21*0.95,0)-IF(AND(Projects!$G$21="Yes",AR$3=Projects!$C$21+Projects!$D$21-1),Projects!$B$21*(Assumptions!$B$10+Assumptions!$B$11+Assumptions!$B$12)*0.05,0)</f>
        <v>0</v>
      </c>
      <c r="AS30" s="30" t="n">
        <f aca="false">IF(AND(Projects!$G$21="Yes",AS$3&gt;=Projects!$C$21,AS$3&lt;Projects!$C$21+Projects!$D$21),Projects!$B$21*INDEX(Curves!$B$4:$AR$4,1,AS$3-Projects!$C$21+1),0)-IF(AND(Projects!$G$21="Yes",AS$3&gt;=Projects!$C$21,AS$3&lt;Projects!$C$21+Projects!$D$21),Projects!$B$21*(Assumptions!$B$10+Assumptions!$B$11+Assumptions!$B$12)/Projects!$D$21*0.95,0)-IF(AND(Projects!$G$21="Yes",AS$3=Projects!$C$21+Projects!$D$21-1),Projects!$B$21*(Assumptions!$B$10+Assumptions!$B$11+Assumptions!$B$12)*0.05,0)</f>
        <v>0</v>
      </c>
      <c r="AT30" s="30" t="n">
        <f aca="false">IF(AND(Projects!$G$21="Yes",AT$3&gt;=Projects!$C$21,AT$3&lt;Projects!$C$21+Projects!$D$21),Projects!$B$21*INDEX(Curves!$B$4:$AR$4,1,AT$3-Projects!$C$21+1),0)-IF(AND(Projects!$G$21="Yes",AT$3&gt;=Projects!$C$21,AT$3&lt;Projects!$C$21+Projects!$D$21),Projects!$B$21*(Assumptions!$B$10+Assumptions!$B$11+Assumptions!$B$12)/Projects!$D$21*0.95,0)-IF(AND(Projects!$G$21="Yes",AT$3=Projects!$C$21+Projects!$D$21-1),Projects!$B$21*(Assumptions!$B$10+Assumptions!$B$11+Assumptions!$B$12)*0.05,0)</f>
        <v>0</v>
      </c>
      <c r="AU30" s="30" t="n">
        <f aca="false">IF(AND(Projects!$G$21="Yes",AU$3&gt;=Projects!$C$21,AU$3&lt;Projects!$C$21+Projects!$D$21),Projects!$B$21*INDEX(Curves!$B$4:$AR$4,1,AU$3-Projects!$C$21+1),0)-IF(AND(Projects!$G$21="Yes",AU$3&gt;=Projects!$C$21,AU$3&lt;Projects!$C$21+Projects!$D$21),Projects!$B$21*(Assumptions!$B$10+Assumptions!$B$11+Assumptions!$B$12)/Projects!$D$21*0.95,0)-IF(AND(Projects!$G$21="Yes",AU$3=Projects!$C$21+Projects!$D$21-1),Projects!$B$21*(Assumptions!$B$10+Assumptions!$B$11+Assumptions!$B$12)*0.05,0)</f>
        <v>0</v>
      </c>
      <c r="AV30" s="30" t="n">
        <f aca="false">IF(AND(Projects!$G$21="Yes",AV$3&gt;=Projects!$C$21,AV$3&lt;Projects!$C$21+Projects!$D$21),Projects!$B$21*INDEX(Curves!$B$4:$AR$4,1,AV$3-Projects!$C$21+1),0)-IF(AND(Projects!$G$21="Yes",AV$3&gt;=Projects!$C$21,AV$3&lt;Projects!$C$21+Projects!$D$21),Projects!$B$21*(Assumptions!$B$10+Assumptions!$B$11+Assumptions!$B$12)/Projects!$D$21*0.95,0)-IF(AND(Projects!$G$21="Yes",AV$3=Projects!$C$21+Projects!$D$21-1),Projects!$B$21*(Assumptions!$B$10+Assumptions!$B$11+Assumptions!$B$12)*0.05,0)</f>
        <v>0</v>
      </c>
      <c r="AW30" s="30" t="n">
        <f aca="false">IF(AND(Projects!$G$21="Yes",AW$3&gt;=Projects!$C$21,AW$3&lt;Projects!$C$21+Projects!$D$21),Projects!$B$21*INDEX(Curves!$B$4:$AR$4,1,AW$3-Projects!$C$21+1),0)-IF(AND(Projects!$G$21="Yes",AW$3&gt;=Projects!$C$21,AW$3&lt;Projects!$C$21+Projects!$D$21),Projects!$B$21*(Assumptions!$B$10+Assumptions!$B$11+Assumptions!$B$12)/Projects!$D$21*0.95,0)-IF(AND(Projects!$G$21="Yes",AW$3=Projects!$C$21+Projects!$D$21-1),Projects!$B$21*(Assumptions!$B$10+Assumptions!$B$11+Assumptions!$B$12)*0.05,0)</f>
        <v>0</v>
      </c>
      <c r="AX30" s="30" t="n">
        <f aca="false">IF(AND(Projects!$G$21="Yes",AX$3&gt;=Projects!$C$21,AX$3&lt;Projects!$C$21+Projects!$D$21),Projects!$B$21*INDEX(Curves!$B$4:$AR$4,1,AX$3-Projects!$C$21+1),0)-IF(AND(Projects!$G$21="Yes",AX$3&gt;=Projects!$C$21,AX$3&lt;Projects!$C$21+Projects!$D$21),Projects!$B$21*(Assumptions!$B$10+Assumptions!$B$11+Assumptions!$B$12)/Projects!$D$21*0.95,0)-IF(AND(Projects!$G$21="Yes",AX$3=Projects!$C$21+Projects!$D$21-1),Projects!$B$21*(Assumptions!$B$10+Assumptions!$B$11+Assumptions!$B$12)*0.05,0)</f>
        <v>0</v>
      </c>
      <c r="AY30" s="30" t="n">
        <f aca="false">IF(AND(Projects!$G$21="Yes",AY$3&gt;=Projects!$C$21,AY$3&lt;Projects!$C$21+Projects!$D$21),Projects!$B$21*INDEX(Curves!$B$4:$AR$4,1,AY$3-Projects!$C$21+1),0)-IF(AND(Projects!$G$21="Yes",AY$3&gt;=Projects!$C$21,AY$3&lt;Projects!$C$21+Projects!$D$21),Projects!$B$21*(Assumptions!$B$10+Assumptions!$B$11+Assumptions!$B$12)/Projects!$D$21*0.95,0)-IF(AND(Projects!$G$21="Yes",AY$3=Projects!$C$21+Projects!$D$21-1),Projects!$B$21*(Assumptions!$B$10+Assumptions!$B$11+Assumptions!$B$12)*0.05,0)</f>
        <v>0</v>
      </c>
      <c r="AZ30" s="30" t="n">
        <f aca="false">IF(AND(Projects!$G$21="Yes",AZ$3&gt;=Projects!$C$21,AZ$3&lt;Projects!$C$21+Projects!$D$21),Projects!$B$21*INDEX(Curves!$B$4:$AR$4,1,AZ$3-Projects!$C$21+1),0)-IF(AND(Projects!$G$21="Yes",AZ$3&gt;=Projects!$C$21,AZ$3&lt;Projects!$C$21+Projects!$D$21),Projects!$B$21*(Assumptions!$B$10+Assumptions!$B$11+Assumptions!$B$12)/Projects!$D$21*0.95,0)-IF(AND(Projects!$G$21="Yes",AZ$3=Projects!$C$21+Projects!$D$21-1),Projects!$B$21*(Assumptions!$B$10+Assumptions!$B$11+Assumptions!$B$12)*0.05,0)</f>
        <v>0</v>
      </c>
      <c r="BA30" s="30" t="n">
        <f aca="false">IF(AND(Projects!$G$21="Yes",BA$3&gt;=Projects!$C$21,BA$3&lt;Projects!$C$21+Projects!$D$21),Projects!$B$21*INDEX(Curves!$B$4:$AR$4,1,BA$3-Projects!$C$21+1),0)-IF(AND(Projects!$G$21="Yes",BA$3&gt;=Projects!$C$21,BA$3&lt;Projects!$C$21+Projects!$D$21),Projects!$B$21*(Assumptions!$B$10+Assumptions!$B$11+Assumptions!$B$12)/Projects!$D$21*0.95,0)-IF(AND(Projects!$G$21="Yes",BA$3=Projects!$C$21+Projects!$D$21-1),Projects!$B$21*(Assumptions!$B$10+Assumptions!$B$11+Assumptions!$B$12)*0.05,0)</f>
        <v>0</v>
      </c>
      <c r="BB30" s="30" t="n">
        <f aca="false">IF(AND(Projects!$G$21="Yes",BB$3&gt;=Projects!$C$21,BB$3&lt;Projects!$C$21+Projects!$D$21),Projects!$B$21*INDEX(Curves!$B$4:$AR$4,1,BB$3-Projects!$C$21+1),0)-IF(AND(Projects!$G$21="Yes",BB$3&gt;=Projects!$C$21,BB$3&lt;Projects!$C$21+Projects!$D$21),Projects!$B$21*(Assumptions!$B$10+Assumptions!$B$11+Assumptions!$B$12)/Projects!$D$21*0.95,0)-IF(AND(Projects!$G$21="Yes",BB$3=Projects!$C$21+Projects!$D$21-1),Projects!$B$21*(Assumptions!$B$10+Assumptions!$B$11+Assumptions!$B$12)*0.05,0)</f>
        <v>0</v>
      </c>
      <c r="BC30" s="30" t="n">
        <f aca="false">IF(AND(Projects!$G$21="Yes",BC$3&gt;=Projects!$C$21,BC$3&lt;Projects!$C$21+Projects!$D$21),Projects!$B$21*INDEX(Curves!$B$4:$AR$4,1,BC$3-Projects!$C$21+1),0)-IF(AND(Projects!$G$21="Yes",BC$3&gt;=Projects!$C$21,BC$3&lt;Projects!$C$21+Projects!$D$21),Projects!$B$21*(Assumptions!$B$10+Assumptions!$B$11+Assumptions!$B$12)/Projects!$D$21*0.95,0)-IF(AND(Projects!$G$21="Yes",BC$3=Projects!$C$21+Projects!$D$21-1),Projects!$B$21*(Assumptions!$B$10+Assumptions!$B$11+Assumptions!$B$12)*0.05,0)</f>
        <v>0</v>
      </c>
      <c r="BD30" s="30" t="n">
        <f aca="false">IF(AND(Projects!$G$21="Yes",BD$3&gt;=Projects!$C$21,BD$3&lt;Projects!$C$21+Projects!$D$21),Projects!$B$21*INDEX(Curves!$B$4:$AR$4,1,BD$3-Projects!$C$21+1),0)-IF(AND(Projects!$G$21="Yes",BD$3&gt;=Projects!$C$21,BD$3&lt;Projects!$C$21+Projects!$D$21),Projects!$B$21*(Assumptions!$B$10+Assumptions!$B$11+Assumptions!$B$12)/Projects!$D$21*0.95,0)-IF(AND(Projects!$G$21="Yes",BD$3=Projects!$C$21+Projects!$D$21-1),Projects!$B$21*(Assumptions!$B$10+Assumptions!$B$11+Assumptions!$B$12)*0.05,0)</f>
        <v>0</v>
      </c>
      <c r="BE30" s="30" t="n">
        <f aca="false">IF(AND(Projects!$G$21="Yes",BE$3&gt;=Projects!$C$21,BE$3&lt;Projects!$C$21+Projects!$D$21),Projects!$B$21*INDEX(Curves!$B$4:$AR$4,1,BE$3-Projects!$C$21+1),0)-IF(AND(Projects!$G$21="Yes",BE$3&gt;=Projects!$C$21,BE$3&lt;Projects!$C$21+Projects!$D$21),Projects!$B$21*(Assumptions!$B$10+Assumptions!$B$11+Assumptions!$B$12)/Projects!$D$21*0.95,0)-IF(AND(Projects!$G$21="Yes",BE$3=Projects!$C$21+Projects!$D$21-1),Projects!$B$21*(Assumptions!$B$10+Assumptions!$B$11+Assumptions!$B$12)*0.05,0)</f>
        <v>0</v>
      </c>
      <c r="BF30" s="30" t="n">
        <f aca="false">IF(AND(Projects!$G$21="Yes",BF$3&gt;=Projects!$C$21,BF$3&lt;Projects!$C$21+Projects!$D$21),Projects!$B$21*INDEX(Curves!$B$4:$AR$4,1,BF$3-Projects!$C$21+1),0)-IF(AND(Projects!$G$21="Yes",BF$3&gt;=Projects!$C$21,BF$3&lt;Projects!$C$21+Projects!$D$21),Projects!$B$21*(Assumptions!$B$10+Assumptions!$B$11+Assumptions!$B$12)/Projects!$D$21*0.95,0)-IF(AND(Projects!$G$21="Yes",BF$3=Projects!$C$21+Projects!$D$21-1),Projects!$B$21*(Assumptions!$B$10+Assumptions!$B$11+Assumptions!$B$12)*0.05,0)</f>
        <v>0</v>
      </c>
      <c r="BG30" s="30" t="n">
        <f aca="false">IF(AND(Projects!$G$21="Yes",BG$3&gt;=Projects!$C$21,BG$3&lt;Projects!$C$21+Projects!$D$21),Projects!$B$21*INDEX(Curves!$B$4:$AR$4,1,BG$3-Projects!$C$21+1),0)-IF(AND(Projects!$G$21="Yes",BG$3&gt;=Projects!$C$21,BG$3&lt;Projects!$C$21+Projects!$D$21),Projects!$B$21*(Assumptions!$B$10+Assumptions!$B$11+Assumptions!$B$12)/Projects!$D$21*0.95,0)-IF(AND(Projects!$G$21="Yes",BG$3=Projects!$C$21+Projects!$D$21-1),Projects!$B$21*(Assumptions!$B$10+Assumptions!$B$11+Assumptions!$B$12)*0.05,0)</f>
        <v>0</v>
      </c>
      <c r="BH30" s="30" t="n">
        <f aca="false">IF(AND(Projects!$G$21="Yes",BH$3&gt;=Projects!$C$21,BH$3&lt;Projects!$C$21+Projects!$D$21),Projects!$B$21*INDEX(Curves!$B$4:$AR$4,1,BH$3-Projects!$C$21+1),0)-IF(AND(Projects!$G$21="Yes",BH$3&gt;=Projects!$C$21,BH$3&lt;Projects!$C$21+Projects!$D$21),Projects!$B$21*(Assumptions!$B$10+Assumptions!$B$11+Assumptions!$B$12)/Projects!$D$21*0.95,0)-IF(AND(Projects!$G$21="Yes",BH$3=Projects!$C$21+Projects!$D$21-1),Projects!$B$21*(Assumptions!$B$10+Assumptions!$B$11+Assumptions!$B$12)*0.05,0)</f>
        <v>0</v>
      </c>
      <c r="BI30" s="30" t="n">
        <f aca="false">IF(AND(Projects!$G$21="Yes",BI$3&gt;=Projects!$C$21,BI$3&lt;Projects!$C$21+Projects!$D$21),Projects!$B$21*INDEX(Curves!$B$4:$AR$4,1,BI$3-Projects!$C$21+1),0)-IF(AND(Projects!$G$21="Yes",BI$3&gt;=Projects!$C$21,BI$3&lt;Projects!$C$21+Projects!$D$21),Projects!$B$21*(Assumptions!$B$10+Assumptions!$B$11+Assumptions!$B$12)/Projects!$D$21*0.95,0)-IF(AND(Projects!$G$21="Yes",BI$3=Projects!$C$21+Projects!$D$21-1),Projects!$B$21*(Assumptions!$B$10+Assumptions!$B$11+Assumptions!$B$12)*0.05,0)</f>
        <v>0</v>
      </c>
      <c r="BJ30" s="30" t="n">
        <f aca="false">IF(AND(Projects!$G$21="Yes",BJ$3&gt;=Projects!$C$21,BJ$3&lt;Projects!$C$21+Projects!$D$21),Projects!$B$21*INDEX(Curves!$B$4:$AR$4,1,BJ$3-Projects!$C$21+1),0)-IF(AND(Projects!$G$21="Yes",BJ$3&gt;=Projects!$C$21,BJ$3&lt;Projects!$C$21+Projects!$D$21),Projects!$B$21*(Assumptions!$B$10+Assumptions!$B$11+Assumptions!$B$12)/Projects!$D$21*0.95,0)-IF(AND(Projects!$G$21="Yes",BJ$3=Projects!$C$21+Projects!$D$21-1),Projects!$B$21*(Assumptions!$B$10+Assumptions!$B$11+Assumptions!$B$12)*0.05,0)</f>
        <v>0</v>
      </c>
      <c r="BK30" s="30" t="n">
        <f aca="false">IF(AND(Projects!$G$21="Yes",BK$3&gt;=Projects!$C$21,BK$3&lt;Projects!$C$21+Projects!$D$21),Projects!$B$21*INDEX(Curves!$B$4:$AR$4,1,BK$3-Projects!$C$21+1),0)-IF(AND(Projects!$G$21="Yes",BK$3&gt;=Projects!$C$21,BK$3&lt;Projects!$C$21+Projects!$D$21),Projects!$B$21*(Assumptions!$B$10+Assumptions!$B$11+Assumptions!$B$12)/Projects!$D$21*0.95,0)-IF(AND(Projects!$G$21="Yes",BK$3=Projects!$C$21+Projects!$D$21-1),Projects!$B$21*(Assumptions!$B$10+Assumptions!$B$11+Assumptions!$B$12)*0.05,0)</f>
        <v>0</v>
      </c>
      <c r="BL30" s="30" t="n">
        <f aca="false">IF(AND(Projects!$G$21="Yes",BL$3&gt;=Projects!$C$21,BL$3&lt;Projects!$C$21+Projects!$D$21),Projects!$B$21*INDEX(Curves!$B$4:$AR$4,1,BL$3-Projects!$C$21+1),0)-IF(AND(Projects!$G$21="Yes",BL$3&gt;=Projects!$C$21,BL$3&lt;Projects!$C$21+Projects!$D$21),Projects!$B$21*(Assumptions!$B$10+Assumptions!$B$11+Assumptions!$B$12)/Projects!$D$21*0.95,0)-IF(AND(Projects!$G$21="Yes",BL$3=Projects!$C$21+Projects!$D$21-1),Projects!$B$21*(Assumptions!$B$10+Assumptions!$B$11+Assumptions!$B$12)*0.05,0)</f>
        <v>0</v>
      </c>
      <c r="BM30" s="30" t="n">
        <f aca="false">IF(AND(Projects!$G$21="Yes",BM$3&gt;=Projects!$C$21,BM$3&lt;Projects!$C$21+Projects!$D$21),Projects!$B$21*INDEX(Curves!$B$4:$AR$4,1,BM$3-Projects!$C$21+1),0)-IF(AND(Projects!$G$21="Yes",BM$3&gt;=Projects!$C$21,BM$3&lt;Projects!$C$21+Projects!$D$21),Projects!$B$21*(Assumptions!$B$10+Assumptions!$B$11+Assumptions!$B$12)/Projects!$D$21*0.95,0)-IF(AND(Projects!$G$21="Yes",BM$3=Projects!$C$21+Projects!$D$21-1),Projects!$B$21*(Assumptions!$B$10+Assumptions!$B$11+Assumptions!$B$12)*0.05,0)</f>
        <v>0</v>
      </c>
      <c r="BN30" s="30" t="n">
        <f aca="false">IF(AND(Projects!$G$21="Yes",BN$3&gt;=Projects!$C$21,BN$3&lt;Projects!$C$21+Projects!$D$21),Projects!$B$21*INDEX(Curves!$B$4:$AR$4,1,BN$3-Projects!$C$21+1),0)-IF(AND(Projects!$G$21="Yes",BN$3&gt;=Projects!$C$21,BN$3&lt;Projects!$C$21+Projects!$D$21),Projects!$B$21*(Assumptions!$B$10+Assumptions!$B$11+Assumptions!$B$12)/Projects!$D$21*0.95,0)-IF(AND(Projects!$G$21="Yes",BN$3=Projects!$C$21+Projects!$D$21-1),Projects!$B$21*(Assumptions!$B$10+Assumptions!$B$11+Assumptions!$B$12)*0.05,0)</f>
        <v>0</v>
      </c>
      <c r="BO30" s="30" t="n">
        <f aca="false">IF(AND(Projects!$G$21="Yes",BO$3&gt;=Projects!$C$21,BO$3&lt;Projects!$C$21+Projects!$D$21),Projects!$B$21*INDEX(Curves!$B$4:$AR$4,1,BO$3-Projects!$C$21+1),0)-IF(AND(Projects!$G$21="Yes",BO$3&gt;=Projects!$C$21,BO$3&lt;Projects!$C$21+Projects!$D$21),Projects!$B$21*(Assumptions!$B$10+Assumptions!$B$11+Assumptions!$B$12)/Projects!$D$21*0.95,0)-IF(AND(Projects!$G$21="Yes",BO$3=Projects!$C$21+Projects!$D$21-1),Projects!$B$21*(Assumptions!$B$10+Assumptions!$B$11+Assumptions!$B$12)*0.05,0)</f>
        <v>0</v>
      </c>
      <c r="BP30" s="30" t="n">
        <f aca="false">IF(AND(Projects!$G$21="Yes",BP$3&gt;=Projects!$C$21,BP$3&lt;Projects!$C$21+Projects!$D$21),Projects!$B$21*INDEX(Curves!$B$4:$AR$4,1,BP$3-Projects!$C$21+1),0)-IF(AND(Projects!$G$21="Yes",BP$3&gt;=Projects!$C$21,BP$3&lt;Projects!$C$21+Projects!$D$21),Projects!$B$21*(Assumptions!$B$10+Assumptions!$B$11+Assumptions!$B$12)/Projects!$D$21*0.95,0)-IF(AND(Projects!$G$21="Yes",BP$3=Projects!$C$21+Projects!$D$21-1),Projects!$B$21*(Assumptions!$B$10+Assumptions!$B$11+Assumptions!$B$12)*0.05,0)</f>
        <v>0</v>
      </c>
      <c r="BQ30" s="30" t="n">
        <f aca="false">IF(AND(Projects!$G$21="Yes",BQ$3&gt;=Projects!$C$21,BQ$3&lt;Projects!$C$21+Projects!$D$21),Projects!$B$21*INDEX(Curves!$B$4:$AR$4,1,BQ$3-Projects!$C$21+1),0)-IF(AND(Projects!$G$21="Yes",BQ$3&gt;=Projects!$C$21,BQ$3&lt;Projects!$C$21+Projects!$D$21),Projects!$B$21*(Assumptions!$B$10+Assumptions!$B$11+Assumptions!$B$12)/Projects!$D$21*0.95,0)-IF(AND(Projects!$G$21="Yes",BQ$3=Projects!$C$21+Projects!$D$21-1),Projects!$B$21*(Assumptions!$B$10+Assumptions!$B$11+Assumptions!$B$12)*0.05,0)</f>
        <v>0</v>
      </c>
      <c r="BR30" s="30" t="n">
        <f aca="false">IF(AND(Projects!$G$21="Yes",BR$3&gt;=Projects!$C$21,BR$3&lt;Projects!$C$21+Projects!$D$21),Projects!$B$21*INDEX(Curves!$B$4:$AR$4,1,BR$3-Projects!$C$21+1),0)-IF(AND(Projects!$G$21="Yes",BR$3&gt;=Projects!$C$21,BR$3&lt;Projects!$C$21+Projects!$D$21),Projects!$B$21*(Assumptions!$B$10+Assumptions!$B$11+Assumptions!$B$12)/Projects!$D$21*0.95,0)-IF(AND(Projects!$G$21="Yes",BR$3=Projects!$C$21+Projects!$D$21-1),Projects!$B$21*(Assumptions!$B$10+Assumptions!$B$11+Assumptions!$B$12)*0.05,0)</f>
        <v>0</v>
      </c>
      <c r="BS30" s="30" t="n">
        <f aca="false">IF(AND(Projects!$G$21="Yes",BS$3&gt;=Projects!$C$21,BS$3&lt;Projects!$C$21+Projects!$D$21),Projects!$B$21*INDEX(Curves!$B$4:$AR$4,1,BS$3-Projects!$C$21+1),0)-IF(AND(Projects!$G$21="Yes",BS$3&gt;=Projects!$C$21,BS$3&lt;Projects!$C$21+Projects!$D$21),Projects!$B$21*(Assumptions!$B$10+Assumptions!$B$11+Assumptions!$B$12)/Projects!$D$21*0.95,0)-IF(AND(Projects!$G$21="Yes",BS$3=Projects!$C$21+Projects!$D$21-1),Projects!$B$21*(Assumptions!$B$10+Assumptions!$B$11+Assumptions!$B$12)*0.05,0)</f>
        <v>0</v>
      </c>
      <c r="BT30" s="30" t="n">
        <f aca="false">IF(AND(Projects!$G$21="Yes",BT$3&gt;=Projects!$C$21,BT$3&lt;Projects!$C$21+Projects!$D$21),Projects!$B$21*INDEX(Curves!$B$4:$AR$4,1,BT$3-Projects!$C$21+1),0)-IF(AND(Projects!$G$21="Yes",BT$3&gt;=Projects!$C$21,BT$3&lt;Projects!$C$21+Projects!$D$21),Projects!$B$21*(Assumptions!$B$10+Assumptions!$B$11+Assumptions!$B$12)/Projects!$D$21*0.95,0)-IF(AND(Projects!$G$21="Yes",BT$3=Projects!$C$21+Projects!$D$21-1),Projects!$B$21*(Assumptions!$B$10+Assumptions!$B$11+Assumptions!$B$12)*0.05,0)</f>
        <v>0</v>
      </c>
      <c r="BU30" s="30" t="n">
        <f aca="false">IF(AND(Projects!$G$21="Yes",BU$3&gt;=Projects!$C$21,BU$3&lt;Projects!$C$21+Projects!$D$21),Projects!$B$21*INDEX(Curves!$B$4:$AR$4,1,BU$3-Projects!$C$21+1),0)-IF(AND(Projects!$G$21="Yes",BU$3&gt;=Projects!$C$21,BU$3&lt;Projects!$C$21+Projects!$D$21),Projects!$B$21*(Assumptions!$B$10+Assumptions!$B$11+Assumptions!$B$12)/Projects!$D$21*0.95,0)-IF(AND(Projects!$G$21="Yes",BU$3=Projects!$C$21+Projects!$D$21-1),Projects!$B$21*(Assumptions!$B$10+Assumptions!$B$11+Assumptions!$B$12)*0.05,0)</f>
        <v>0</v>
      </c>
      <c r="BV30" s="30" t="n">
        <f aca="false">IF(AND(Projects!$G$21="Yes",BV$3&gt;=Projects!$C$21,BV$3&lt;Projects!$C$21+Projects!$D$21),Projects!$B$21*INDEX(Curves!$B$4:$AR$4,1,BV$3-Projects!$C$21+1),0)-IF(AND(Projects!$G$21="Yes",BV$3&gt;=Projects!$C$21,BV$3&lt;Projects!$C$21+Projects!$D$21),Projects!$B$21*(Assumptions!$B$10+Assumptions!$B$11+Assumptions!$B$12)/Projects!$D$21*0.95,0)-IF(AND(Projects!$G$21="Yes",BV$3=Projects!$C$21+Projects!$D$21-1),Projects!$B$21*(Assumptions!$B$10+Assumptions!$B$11+Assumptions!$B$12)*0.05,0)</f>
        <v>0</v>
      </c>
      <c r="BW30" s="30" t="n">
        <f aca="false">IF(AND(Projects!$G$21="Yes",BW$3&gt;=Projects!$C$21,BW$3&lt;Projects!$C$21+Projects!$D$21),Projects!$B$21*INDEX(Curves!$B$4:$AR$4,1,BW$3-Projects!$C$21+1),0)-IF(AND(Projects!$G$21="Yes",BW$3&gt;=Projects!$C$21,BW$3&lt;Projects!$C$21+Projects!$D$21),Projects!$B$21*(Assumptions!$B$10+Assumptions!$B$11+Assumptions!$B$12)/Projects!$D$21*0.95,0)-IF(AND(Projects!$G$21="Yes",BW$3=Projects!$C$21+Projects!$D$21-1),Projects!$B$21*(Assumptions!$B$10+Assumptions!$B$11+Assumptions!$B$12)*0.05,0)</f>
        <v>0</v>
      </c>
      <c r="BX30" s="30" t="n">
        <f aca="false">IF(AND(Projects!$G$21="Yes",BX$3&gt;=Projects!$C$21,BX$3&lt;Projects!$C$21+Projects!$D$21),Projects!$B$21*INDEX(Curves!$B$4:$AR$4,1,BX$3-Projects!$C$21+1),0)-IF(AND(Projects!$G$21="Yes",BX$3&gt;=Projects!$C$21,BX$3&lt;Projects!$C$21+Projects!$D$21),Projects!$B$21*(Assumptions!$B$10+Assumptions!$B$11+Assumptions!$B$12)/Projects!$D$21*0.95,0)-IF(AND(Projects!$G$21="Yes",BX$3=Projects!$C$21+Projects!$D$21-1),Projects!$B$21*(Assumptions!$B$10+Assumptions!$B$11+Assumptions!$B$12)*0.05,0)</f>
        <v>0</v>
      </c>
      <c r="BY30" s="30" t="n">
        <f aca="false">IF(AND(Projects!$G$21="Yes",BY$3&gt;=Projects!$C$21,BY$3&lt;Projects!$C$21+Projects!$D$21),Projects!$B$21*INDEX(Curves!$B$4:$AR$4,1,BY$3-Projects!$C$21+1),0)-IF(AND(Projects!$G$21="Yes",BY$3&gt;=Projects!$C$21,BY$3&lt;Projects!$C$21+Projects!$D$21),Projects!$B$21*(Assumptions!$B$10+Assumptions!$B$11+Assumptions!$B$12)/Projects!$D$21*0.95,0)-IF(AND(Projects!$G$21="Yes",BY$3=Projects!$C$21+Projects!$D$21-1),Projects!$B$21*(Assumptions!$B$10+Assumptions!$B$11+Assumptions!$B$12)*0.05,0)</f>
        <v>0</v>
      </c>
      <c r="BZ30" s="30" t="n">
        <f aca="false">IF(AND(Projects!$G$21="Yes",BZ$3&gt;=Projects!$C$21,BZ$3&lt;Projects!$C$21+Projects!$D$21),Projects!$B$21*INDEX(Curves!$B$4:$AR$4,1,BZ$3-Projects!$C$21+1),0)-IF(AND(Projects!$G$21="Yes",BZ$3&gt;=Projects!$C$21,BZ$3&lt;Projects!$C$21+Projects!$D$21),Projects!$B$21*(Assumptions!$B$10+Assumptions!$B$11+Assumptions!$B$12)/Projects!$D$21*0.95,0)-IF(AND(Projects!$G$21="Yes",BZ$3=Projects!$C$21+Projects!$D$21-1),Projects!$B$21*(Assumptions!$B$10+Assumptions!$B$11+Assumptions!$B$12)*0.05,0)</f>
        <v>0</v>
      </c>
      <c r="CA30" s="30" t="n">
        <f aca="false">IF(AND(Projects!$G$21="Yes",CA$3&gt;=Projects!$C$21,CA$3&lt;Projects!$C$21+Projects!$D$21),Projects!$B$21*INDEX(Curves!$B$4:$AR$4,1,CA$3-Projects!$C$21+1),0)-IF(AND(Projects!$G$21="Yes",CA$3&gt;=Projects!$C$21,CA$3&lt;Projects!$C$21+Projects!$D$21),Projects!$B$21*(Assumptions!$B$10+Assumptions!$B$11+Assumptions!$B$12)/Projects!$D$21*0.95,0)-IF(AND(Projects!$G$21="Yes",CA$3=Projects!$C$21+Projects!$D$21-1),Projects!$B$21*(Assumptions!$B$10+Assumptions!$B$11+Assumptions!$B$12)*0.05,0)</f>
        <v>0</v>
      </c>
      <c r="CB30" s="30" t="n">
        <f aca="false">IF(AND(Projects!$G$21="Yes",CB$3&gt;=Projects!$C$21,CB$3&lt;Projects!$C$21+Projects!$D$21),Projects!$B$21*INDEX(Curves!$B$4:$AR$4,1,CB$3-Projects!$C$21+1),0)-IF(AND(Projects!$G$21="Yes",CB$3&gt;=Projects!$C$21,CB$3&lt;Projects!$C$21+Projects!$D$21),Projects!$B$21*(Assumptions!$B$10+Assumptions!$B$11+Assumptions!$B$12)/Projects!$D$21*0.95,0)-IF(AND(Projects!$G$21="Yes",CB$3=Projects!$C$21+Projects!$D$21-1),Projects!$B$21*(Assumptions!$B$10+Assumptions!$B$11+Assumptions!$B$12)*0.05,0)</f>
        <v>0</v>
      </c>
      <c r="CC30" s="30" t="n">
        <f aca="false">IF(AND(Projects!$G$21="Yes",CC$3&gt;=Projects!$C$21,CC$3&lt;Projects!$C$21+Projects!$D$21),Projects!$B$21*INDEX(Curves!$B$4:$AR$4,1,CC$3-Projects!$C$21+1),0)-IF(AND(Projects!$G$21="Yes",CC$3&gt;=Projects!$C$21,CC$3&lt;Projects!$C$21+Projects!$D$21),Projects!$B$21*(Assumptions!$B$10+Assumptions!$B$11+Assumptions!$B$12)/Projects!$D$21*0.95,0)-IF(AND(Projects!$G$21="Yes",CC$3=Projects!$C$21+Projects!$D$21-1),Projects!$B$21*(Assumptions!$B$10+Assumptions!$B$11+Assumptions!$B$12)*0.05,0)</f>
        <v>0</v>
      </c>
      <c r="CD30" s="30" t="n">
        <f aca="false">IF(AND(Projects!$G$21="Yes",CD$3&gt;=Projects!$C$21,CD$3&lt;Projects!$C$21+Projects!$D$21),Projects!$B$21*INDEX(Curves!$B$4:$AR$4,1,CD$3-Projects!$C$21+1),0)-IF(AND(Projects!$G$21="Yes",CD$3&gt;=Projects!$C$21,CD$3&lt;Projects!$C$21+Projects!$D$21),Projects!$B$21*(Assumptions!$B$10+Assumptions!$B$11+Assumptions!$B$12)/Projects!$D$21*0.95,0)-IF(AND(Projects!$G$21="Yes",CD$3=Projects!$C$21+Projects!$D$21-1),Projects!$B$21*(Assumptions!$B$10+Assumptions!$B$11+Assumptions!$B$12)*0.05,0)</f>
        <v>0</v>
      </c>
      <c r="CE30" s="30" t="n">
        <f aca="false">IF(AND(Projects!$G$21="Yes",CE$3&gt;=Projects!$C$21,CE$3&lt;Projects!$C$21+Projects!$D$21),Projects!$B$21*INDEX(Curves!$B$4:$AR$4,1,CE$3-Projects!$C$21+1),0)-IF(AND(Projects!$G$21="Yes",CE$3&gt;=Projects!$C$21,CE$3&lt;Projects!$C$21+Projects!$D$21),Projects!$B$21*(Assumptions!$B$10+Assumptions!$B$11+Assumptions!$B$12)/Projects!$D$21*0.95,0)-IF(AND(Projects!$G$21="Yes",CE$3=Projects!$C$21+Projects!$D$21-1),Projects!$B$21*(Assumptions!$B$10+Assumptions!$B$11+Assumptions!$B$12)*0.05,0)</f>
        <v>0</v>
      </c>
      <c r="CF30" s="30" t="n">
        <f aca="false">IF(AND(Projects!$G$21="Yes",CF$3&gt;=Projects!$C$21,CF$3&lt;Projects!$C$21+Projects!$D$21),Projects!$B$21*INDEX(Curves!$B$4:$AR$4,1,CF$3-Projects!$C$21+1),0)-IF(AND(Projects!$G$21="Yes",CF$3&gt;=Projects!$C$21,CF$3&lt;Projects!$C$21+Projects!$D$21),Projects!$B$21*(Assumptions!$B$10+Assumptions!$B$11+Assumptions!$B$12)/Projects!$D$21*0.95,0)-IF(AND(Projects!$G$21="Yes",CF$3=Projects!$C$21+Projects!$D$21-1),Projects!$B$21*(Assumptions!$B$10+Assumptions!$B$11+Assumptions!$B$12)*0.05,0)</f>
        <v>0</v>
      </c>
      <c r="CG30" s="30" t="n">
        <f aca="false">IF(AND(Projects!$G$21="Yes",CG$3&gt;=Projects!$C$21,CG$3&lt;Projects!$C$21+Projects!$D$21),Projects!$B$21*INDEX(Curves!$B$4:$AR$4,1,CG$3-Projects!$C$21+1),0)-IF(AND(Projects!$G$21="Yes",CG$3&gt;=Projects!$C$21,CG$3&lt;Projects!$C$21+Projects!$D$21),Projects!$B$21*(Assumptions!$B$10+Assumptions!$B$11+Assumptions!$B$12)/Projects!$D$21*0.95,0)-IF(AND(Projects!$G$21="Yes",CG$3=Projects!$C$21+Projects!$D$21-1),Projects!$B$21*(Assumptions!$B$10+Assumptions!$B$11+Assumptions!$B$12)*0.05,0)</f>
        <v>0</v>
      </c>
      <c r="CH30" s="30" t="n">
        <f aca="false">IF(AND(Projects!$G$21="Yes",CH$3&gt;=Projects!$C$21,CH$3&lt;Projects!$C$21+Projects!$D$21),Projects!$B$21*INDEX(Curves!$B$4:$AR$4,1,CH$3-Projects!$C$21+1),0)-IF(AND(Projects!$G$21="Yes",CH$3&gt;=Projects!$C$21,CH$3&lt;Projects!$C$21+Projects!$D$21),Projects!$B$21*(Assumptions!$B$10+Assumptions!$B$11+Assumptions!$B$12)/Projects!$D$21*0.95,0)-IF(AND(Projects!$G$21="Yes",CH$3=Projects!$C$21+Projects!$D$21-1),Projects!$B$21*(Assumptions!$B$10+Assumptions!$B$11+Assumptions!$B$12)*0.05,0)</f>
        <v>0</v>
      </c>
      <c r="CI30" s="30" t="n">
        <f aca="false">IF(AND(Projects!$G$21="Yes",CI$3&gt;=Projects!$C$21,CI$3&lt;Projects!$C$21+Projects!$D$21),Projects!$B$21*INDEX(Curves!$B$4:$AR$4,1,CI$3-Projects!$C$21+1),0)-IF(AND(Projects!$G$21="Yes",CI$3&gt;=Projects!$C$21,CI$3&lt;Projects!$C$21+Projects!$D$21),Projects!$B$21*(Assumptions!$B$10+Assumptions!$B$11+Assumptions!$B$12)/Projects!$D$21*0.95,0)-IF(AND(Projects!$G$21="Yes",CI$3=Projects!$C$21+Projects!$D$21-1),Projects!$B$21*(Assumptions!$B$10+Assumptions!$B$11+Assumptions!$B$12)*0.05,0)</f>
        <v>0</v>
      </c>
      <c r="CJ30" s="30" t="n">
        <f aca="false">IF(AND(Projects!$G$21="Yes",CJ$3&gt;=Projects!$C$21,CJ$3&lt;Projects!$C$21+Projects!$D$21),Projects!$B$21*INDEX(Curves!$B$4:$AR$4,1,CJ$3-Projects!$C$21+1),0)-IF(AND(Projects!$G$21="Yes",CJ$3&gt;=Projects!$C$21,CJ$3&lt;Projects!$C$21+Projects!$D$21),Projects!$B$21*(Assumptions!$B$10+Assumptions!$B$11+Assumptions!$B$12)/Projects!$D$21*0.95,0)-IF(AND(Projects!$G$21="Yes",CJ$3=Projects!$C$21+Projects!$D$21-1),Projects!$B$21*(Assumptions!$B$10+Assumptions!$B$11+Assumptions!$B$12)*0.05,0)</f>
        <v>0</v>
      </c>
      <c r="CK30" s="30" t="n">
        <f aca="false">IF(AND(Projects!$G$21="Yes",CK$3&gt;=Projects!$C$21,CK$3&lt;Projects!$C$21+Projects!$D$21),Projects!$B$21*INDEX(Curves!$B$4:$AR$4,1,CK$3-Projects!$C$21+1),0)-IF(AND(Projects!$G$21="Yes",CK$3&gt;=Projects!$C$21,CK$3&lt;Projects!$C$21+Projects!$D$21),Projects!$B$21*(Assumptions!$B$10+Assumptions!$B$11+Assumptions!$B$12)/Projects!$D$21*0.95,0)-IF(AND(Projects!$G$21="Yes",CK$3=Projects!$C$21+Projects!$D$21-1),Projects!$B$21*(Assumptions!$B$10+Assumptions!$B$11+Assumptions!$B$12)*0.05,0)</f>
        <v>0</v>
      </c>
      <c r="CL30" s="30" t="n">
        <f aca="false">IF(AND(Projects!$G$21="Yes",CL$3&gt;=Projects!$C$21,CL$3&lt;Projects!$C$21+Projects!$D$21),Projects!$B$21*INDEX(Curves!$B$4:$AR$4,1,CL$3-Projects!$C$21+1),0)-IF(AND(Projects!$G$21="Yes",CL$3&gt;=Projects!$C$21,CL$3&lt;Projects!$C$21+Projects!$D$21),Projects!$B$21*(Assumptions!$B$10+Assumptions!$B$11+Assumptions!$B$12)/Projects!$D$21*0.95,0)-IF(AND(Projects!$G$21="Yes",CL$3=Projects!$C$21+Projects!$D$21-1),Projects!$B$21*(Assumptions!$B$10+Assumptions!$B$11+Assumptions!$B$12)*0.05,0)</f>
        <v>0</v>
      </c>
      <c r="CM30" s="30" t="n">
        <f aca="false">IF(AND(Projects!$G$21="Yes",CM$3&gt;=Projects!$C$21,CM$3&lt;Projects!$C$21+Projects!$D$21),Projects!$B$21*INDEX(Curves!$B$4:$AR$4,1,CM$3-Projects!$C$21+1),0)-IF(AND(Projects!$G$21="Yes",CM$3&gt;=Projects!$C$21,CM$3&lt;Projects!$C$21+Projects!$D$21),Projects!$B$21*(Assumptions!$B$10+Assumptions!$B$11+Assumptions!$B$12)/Projects!$D$21*0.95,0)-IF(AND(Projects!$G$21="Yes",CM$3=Projects!$C$21+Projects!$D$21-1),Projects!$B$21*(Assumptions!$B$10+Assumptions!$B$11+Assumptions!$B$12)*0.05,0)</f>
        <v>0</v>
      </c>
      <c r="CN30" s="30" t="n">
        <f aca="false">IF(AND(Projects!$G$21="Yes",CN$3&gt;=Projects!$C$21,CN$3&lt;Projects!$C$21+Projects!$D$21),Projects!$B$21*INDEX(Curves!$B$4:$AR$4,1,CN$3-Projects!$C$21+1),0)-IF(AND(Projects!$G$21="Yes",CN$3&gt;=Projects!$C$21,CN$3&lt;Projects!$C$21+Projects!$D$21),Projects!$B$21*(Assumptions!$B$10+Assumptions!$B$11+Assumptions!$B$12)/Projects!$D$21*0.95,0)-IF(AND(Projects!$G$21="Yes",CN$3=Projects!$C$21+Projects!$D$21-1),Projects!$B$21*(Assumptions!$B$10+Assumptions!$B$11+Assumptions!$B$12)*0.05,0)</f>
        <v>0</v>
      </c>
      <c r="CO30" s="30" t="n">
        <f aca="false">IF(AND(Projects!$G$21="Yes",CO$3&gt;=Projects!$C$21,CO$3&lt;Projects!$C$21+Projects!$D$21),Projects!$B$21*INDEX(Curves!$B$4:$AR$4,1,CO$3-Projects!$C$21+1),0)-IF(AND(Projects!$G$21="Yes",CO$3&gt;=Projects!$C$21,CO$3&lt;Projects!$C$21+Projects!$D$21),Projects!$B$21*(Assumptions!$B$10+Assumptions!$B$11+Assumptions!$B$12)/Projects!$D$21*0.95,0)-IF(AND(Projects!$G$21="Yes",CO$3=Projects!$C$21+Projects!$D$21-1),Projects!$B$21*(Assumptions!$B$10+Assumptions!$B$11+Assumptions!$B$12)*0.05,0)</f>
        <v>0</v>
      </c>
      <c r="CP30" s="30" t="n">
        <f aca="false">IF(AND(Projects!$G$21="Yes",CP$3&gt;=Projects!$C$21,CP$3&lt;Projects!$C$21+Projects!$D$21),Projects!$B$21*INDEX(Curves!$B$4:$AR$4,1,CP$3-Projects!$C$21+1),0)-IF(AND(Projects!$G$21="Yes",CP$3&gt;=Projects!$C$21,CP$3&lt;Projects!$C$21+Projects!$D$21),Projects!$B$21*(Assumptions!$B$10+Assumptions!$B$11+Assumptions!$B$12)/Projects!$D$21*0.95,0)-IF(AND(Projects!$G$21="Yes",CP$3=Projects!$C$21+Projects!$D$21-1),Projects!$B$21*(Assumptions!$B$10+Assumptions!$B$11+Assumptions!$B$12)*0.05,0)</f>
        <v>0</v>
      </c>
      <c r="CQ30" s="30" t="n">
        <f aca="false">IF(AND(Projects!$G$21="Yes",CQ$3&gt;=Projects!$C$21,CQ$3&lt;Projects!$C$21+Projects!$D$21),Projects!$B$21*INDEX(Curves!$B$4:$AR$4,1,CQ$3-Projects!$C$21+1),0)-IF(AND(Projects!$G$21="Yes",CQ$3&gt;=Projects!$C$21,CQ$3&lt;Projects!$C$21+Projects!$D$21),Projects!$B$21*(Assumptions!$B$10+Assumptions!$B$11+Assumptions!$B$12)/Projects!$D$21*0.95,0)-IF(AND(Projects!$G$21="Yes",CQ$3=Projects!$C$21+Projects!$D$21-1),Projects!$B$21*(Assumptions!$B$10+Assumptions!$B$11+Assumptions!$B$12)*0.05,0)</f>
        <v>0</v>
      </c>
      <c r="CR30" s="30" t="n">
        <f aca="false">IF(AND(Projects!$G$21="Yes",CR$3&gt;=Projects!$C$21,CR$3&lt;Projects!$C$21+Projects!$D$21),Projects!$B$21*INDEX(Curves!$B$4:$AR$4,1,CR$3-Projects!$C$21+1),0)-IF(AND(Projects!$G$21="Yes",CR$3&gt;=Projects!$C$21,CR$3&lt;Projects!$C$21+Projects!$D$21),Projects!$B$21*(Assumptions!$B$10+Assumptions!$B$11+Assumptions!$B$12)/Projects!$D$21*0.95,0)-IF(AND(Projects!$G$21="Yes",CR$3=Projects!$C$21+Projects!$D$21-1),Projects!$B$21*(Assumptions!$B$10+Assumptions!$B$11+Assumptions!$B$12)*0.05,0)</f>
        <v>0</v>
      </c>
      <c r="CS30" s="30" t="n">
        <f aca="false">IF(AND(Projects!$G$21="Yes",CS$3&gt;=Projects!$C$21,CS$3&lt;Projects!$C$21+Projects!$D$21),Projects!$B$21*INDEX(Curves!$B$4:$AR$4,1,CS$3-Projects!$C$21+1),0)-IF(AND(Projects!$G$21="Yes",CS$3&gt;=Projects!$C$21,CS$3&lt;Projects!$C$21+Projects!$D$21),Projects!$B$21*(Assumptions!$B$10+Assumptions!$B$11+Assumptions!$B$12)/Projects!$D$21*0.95,0)-IF(AND(Projects!$G$21="Yes",CS$3=Projects!$C$21+Projects!$D$21-1),Projects!$B$21*(Assumptions!$B$10+Assumptions!$B$11+Assumptions!$B$12)*0.05,0)</f>
        <v>0</v>
      </c>
      <c r="CT30" s="30" t="n">
        <f aca="false">IF(AND(Projects!$G$21="Yes",CT$3&gt;=Projects!$C$21,CT$3&lt;Projects!$C$21+Projects!$D$21),Projects!$B$21*INDEX(Curves!$B$4:$AR$4,1,CT$3-Projects!$C$21+1),0)-IF(AND(Projects!$G$21="Yes",CT$3&gt;=Projects!$C$21,CT$3&lt;Projects!$C$21+Projects!$D$21),Projects!$B$21*(Assumptions!$B$10+Assumptions!$B$11+Assumptions!$B$12)/Projects!$D$21*0.95,0)-IF(AND(Projects!$G$21="Yes",CT$3=Projects!$C$21+Projects!$D$21-1),Projects!$B$21*(Assumptions!$B$10+Assumptions!$B$11+Assumptions!$B$12)*0.05,0)</f>
        <v>0</v>
      </c>
      <c r="CU30" s="30" t="n">
        <f aca="false">IF(AND(Projects!$G$21="Yes",CU$3&gt;=Projects!$C$21,CU$3&lt;Projects!$C$21+Projects!$D$21),Projects!$B$21*INDEX(Curves!$B$4:$AR$4,1,CU$3-Projects!$C$21+1),0)-IF(AND(Projects!$G$21="Yes",CU$3&gt;=Projects!$C$21,CU$3&lt;Projects!$C$21+Projects!$D$21),Projects!$B$21*(Assumptions!$B$10+Assumptions!$B$11+Assumptions!$B$12)/Projects!$D$21*0.95,0)-IF(AND(Projects!$G$21="Yes",CU$3=Projects!$C$21+Projects!$D$21-1),Projects!$B$21*(Assumptions!$B$10+Assumptions!$B$11+Assumptions!$B$12)*0.05,0)</f>
        <v>0</v>
      </c>
      <c r="CV30" s="30" t="n">
        <f aca="false">IF(AND(Projects!$G$21="Yes",CV$3&gt;=Projects!$C$21,CV$3&lt;Projects!$C$21+Projects!$D$21),Projects!$B$21*INDEX(Curves!$B$4:$AR$4,1,CV$3-Projects!$C$21+1),0)-IF(AND(Projects!$G$21="Yes",CV$3&gt;=Projects!$C$21,CV$3&lt;Projects!$C$21+Projects!$D$21),Projects!$B$21*(Assumptions!$B$10+Assumptions!$B$11+Assumptions!$B$12)/Projects!$D$21*0.95,0)-IF(AND(Projects!$G$21="Yes",CV$3=Projects!$C$21+Projects!$D$21-1),Projects!$B$21*(Assumptions!$B$10+Assumptions!$B$11+Assumptions!$B$12)*0.05,0)</f>
        <v>0</v>
      </c>
      <c r="CW30" s="30" t="n">
        <f aca="false">IF(AND(Projects!$G$21="Yes",CW$3&gt;=Projects!$C$21,CW$3&lt;Projects!$C$21+Projects!$D$21),Projects!$B$21*INDEX(Curves!$B$4:$AR$4,1,CW$3-Projects!$C$21+1),0)-IF(AND(Projects!$G$21="Yes",CW$3&gt;=Projects!$C$21,CW$3&lt;Projects!$C$21+Projects!$D$21),Projects!$B$21*(Assumptions!$B$10+Assumptions!$B$11+Assumptions!$B$12)/Projects!$D$21*0.95,0)-IF(AND(Projects!$G$21="Yes",CW$3=Projects!$C$21+Projects!$D$21-1),Projects!$B$21*(Assumptions!$B$10+Assumptions!$B$11+Assumptions!$B$12)*0.05,0)</f>
        <v>0</v>
      </c>
      <c r="CX30" s="30" t="n">
        <f aca="false">IF(AND(Projects!$G$21="Yes",CX$3&gt;=Projects!$C$21,CX$3&lt;Projects!$C$21+Projects!$D$21),Projects!$B$21*INDEX(Curves!$B$4:$AR$4,1,CX$3-Projects!$C$21+1),0)-IF(AND(Projects!$G$21="Yes",CX$3&gt;=Projects!$C$21,CX$3&lt;Projects!$C$21+Projects!$D$21),Projects!$B$21*(Assumptions!$B$10+Assumptions!$B$11+Assumptions!$B$12)/Projects!$D$21*0.95,0)-IF(AND(Projects!$G$21="Yes",CX$3=Projects!$C$21+Projects!$D$21-1),Projects!$B$21*(Assumptions!$B$10+Assumptions!$B$11+Assumptions!$B$12)*0.05,0)</f>
        <v>0</v>
      </c>
      <c r="CY30" s="30" t="n">
        <f aca="false">IF(AND(Projects!$G$21="Yes",CY$3&gt;=Projects!$C$21,CY$3&lt;Projects!$C$21+Projects!$D$21),Projects!$B$21*INDEX(Curves!$B$4:$AR$4,1,CY$3-Projects!$C$21+1),0)-IF(AND(Projects!$G$21="Yes",CY$3&gt;=Projects!$C$21,CY$3&lt;Projects!$C$21+Projects!$D$21),Projects!$B$21*(Assumptions!$B$10+Assumptions!$B$11+Assumptions!$B$12)/Projects!$D$21*0.95,0)-IF(AND(Projects!$G$21="Yes",CY$3=Projects!$C$21+Projects!$D$21-1),Projects!$B$21*(Assumptions!$B$10+Assumptions!$B$11+Assumptions!$B$12)*0.05,0)</f>
        <v>0</v>
      </c>
      <c r="CZ30" s="30" t="n">
        <f aca="false">IF(AND(Projects!$G$21="Yes",CZ$3&gt;=Projects!$C$21,CZ$3&lt;Projects!$C$21+Projects!$D$21),Projects!$B$21*INDEX(Curves!$B$4:$AR$4,1,CZ$3-Projects!$C$21+1),0)-IF(AND(Projects!$G$21="Yes",CZ$3&gt;=Projects!$C$21,CZ$3&lt;Projects!$C$21+Projects!$D$21),Projects!$B$21*(Assumptions!$B$10+Assumptions!$B$11+Assumptions!$B$12)/Projects!$D$21*0.95,0)-IF(AND(Projects!$G$21="Yes",CZ$3=Projects!$C$21+Projects!$D$21-1),Projects!$B$21*(Assumptions!$B$10+Assumptions!$B$11+Assumptions!$B$12)*0.05,0)</f>
        <v>0</v>
      </c>
      <c r="DA30" s="30" t="n">
        <f aca="false">IF(AND(Projects!$G$21="Yes",DA$3&gt;=Projects!$C$21,DA$3&lt;Projects!$C$21+Projects!$D$21),Projects!$B$21*INDEX(Curves!$B$4:$AR$4,1,DA$3-Projects!$C$21+1),0)-IF(AND(Projects!$G$21="Yes",DA$3&gt;=Projects!$C$21,DA$3&lt;Projects!$C$21+Projects!$D$21),Projects!$B$21*(Assumptions!$B$10+Assumptions!$B$11+Assumptions!$B$12)/Projects!$D$21*0.95,0)-IF(AND(Projects!$G$21="Yes",DA$3=Projects!$C$21+Projects!$D$21-1),Projects!$B$21*(Assumptions!$B$10+Assumptions!$B$11+Assumptions!$B$12)*0.05,0)</f>
        <v>0</v>
      </c>
      <c r="DB30" s="30" t="n">
        <f aca="false">IF(AND(Projects!$G$21="Yes",DB$3&gt;=Projects!$C$21,DB$3&lt;Projects!$C$21+Projects!$D$21),Projects!$B$21*INDEX(Curves!$B$4:$AR$4,1,DB$3-Projects!$C$21+1),0)-IF(AND(Projects!$G$21="Yes",DB$3&gt;=Projects!$C$21,DB$3&lt;Projects!$C$21+Projects!$D$21),Projects!$B$21*(Assumptions!$B$10+Assumptions!$B$11+Assumptions!$B$12)/Projects!$D$21*0.95,0)-IF(AND(Projects!$G$21="Yes",DB$3=Projects!$C$21+Projects!$D$21-1),Projects!$B$21*(Assumptions!$B$10+Assumptions!$B$11+Assumptions!$B$12)*0.05,0)</f>
        <v>0</v>
      </c>
      <c r="DC30" s="30" t="n">
        <f aca="false">IF(AND(Projects!$G$21="Yes",DC$3&gt;=Projects!$C$21,DC$3&lt;Projects!$C$21+Projects!$D$21),Projects!$B$21*INDEX(Curves!$B$4:$AR$4,1,DC$3-Projects!$C$21+1),0)-IF(AND(Projects!$G$21="Yes",DC$3&gt;=Projects!$C$21,DC$3&lt;Projects!$C$21+Projects!$D$21),Projects!$B$21*(Assumptions!$B$10+Assumptions!$B$11+Assumptions!$B$12)/Projects!$D$21*0.95,0)-IF(AND(Projects!$G$21="Yes",DC$3=Projects!$C$21+Projects!$D$21-1),Projects!$B$21*(Assumptions!$B$10+Assumptions!$B$11+Assumptions!$B$12)*0.05,0)</f>
        <v>0</v>
      </c>
      <c r="DD30" s="30" t="n">
        <f aca="false">IF(AND(Projects!$G$21="Yes",DD$3&gt;=Projects!$C$21,DD$3&lt;Projects!$C$21+Projects!$D$21),Projects!$B$21*INDEX(Curves!$B$4:$AR$4,1,DD$3-Projects!$C$21+1),0)-IF(AND(Projects!$G$21="Yes",DD$3&gt;=Projects!$C$21,DD$3&lt;Projects!$C$21+Projects!$D$21),Projects!$B$21*(Assumptions!$B$10+Assumptions!$B$11+Assumptions!$B$12)/Projects!$D$21*0.95,0)-IF(AND(Projects!$G$21="Yes",DD$3=Projects!$C$21+Projects!$D$21-1),Projects!$B$21*(Assumptions!$B$10+Assumptions!$B$11+Assumptions!$B$12)*0.05,0)</f>
        <v>0</v>
      </c>
      <c r="DE30" s="30" t="n">
        <f aca="false">IF(AND(Projects!$G$21="Yes",DE$3&gt;=Projects!$C$21,DE$3&lt;Projects!$C$21+Projects!$D$21),Projects!$B$21*INDEX(Curves!$B$4:$AR$4,1,DE$3-Projects!$C$21+1),0)-IF(AND(Projects!$G$21="Yes",DE$3&gt;=Projects!$C$21,DE$3&lt;Projects!$C$21+Projects!$D$21),Projects!$B$21*(Assumptions!$B$10+Assumptions!$B$11+Assumptions!$B$12)/Projects!$D$21*0.95,0)-IF(AND(Projects!$G$21="Yes",DE$3=Projects!$C$21+Projects!$D$21-1),Projects!$B$21*(Assumptions!$B$10+Assumptions!$B$11+Assumptions!$B$12)*0.05,0)</f>
        <v>0</v>
      </c>
    </row>
    <row r="31" customFormat="false" ht="15" hidden="true" customHeight="true" outlineLevel="1" collapsed="false">
      <c r="A31" s="32" t="s">
        <v>25</v>
      </c>
      <c r="B31" s="30" t="n">
        <v>0</v>
      </c>
      <c r="C31" s="30" t="n">
        <v>0</v>
      </c>
      <c r="D31" s="30" t="n">
        <v>0</v>
      </c>
      <c r="E31" s="30" t="n">
        <v>0</v>
      </c>
      <c r="F31" s="30" t="n">
        <f aca="false">IF(AND(Projects!$G$22="Yes",F$3&gt;=Projects!$C$22,F$3&lt;Projects!$C$22+Projects!$D$22),Projects!$B$22*INDEX(Curves!$B$4:$AR$4,1,F$3-Projects!$C$22+1),0)-IF(AND(Projects!$G$22="Yes",F$3&gt;=Projects!$C$22,F$3&lt;Projects!$C$22+Projects!$D$22),Projects!$B$22*(Assumptions!$B$10+Assumptions!$B$11+Assumptions!$B$12)/Projects!$D$22*0.95,0)-IF(AND(Projects!$G$22="Yes",F$3=Projects!$C$22+Projects!$D$22-1),Projects!$B$22*(Assumptions!$B$10+Assumptions!$B$11+Assumptions!$B$12)*0.05,0)</f>
        <v>0</v>
      </c>
      <c r="G31" s="30" t="n">
        <f aca="false">IF(AND(Projects!$G$22="Yes",G$3&gt;=Projects!$C$22,G$3&lt;Projects!$C$22+Projects!$D$22),Projects!$B$22*INDEX(Curves!$B$4:$AR$4,1,G$3-Projects!$C$22+1),0)-IF(AND(Projects!$G$22="Yes",G$3&gt;=Projects!$C$22,G$3&lt;Projects!$C$22+Projects!$D$22),Projects!$B$22*(Assumptions!$B$10+Assumptions!$B$11+Assumptions!$B$12)/Projects!$D$22*0.95,0)-IF(AND(Projects!$G$22="Yes",G$3=Projects!$C$22+Projects!$D$22-1),Projects!$B$22*(Assumptions!$B$10+Assumptions!$B$11+Assumptions!$B$12)*0.05,0)</f>
        <v>0</v>
      </c>
      <c r="H31" s="30" t="n">
        <f aca="false">IF(AND(Projects!$G$22="Yes",H$3&gt;=Projects!$C$22,H$3&lt;Projects!$C$22+Projects!$D$22),Projects!$B$22*INDEX(Curves!$B$4:$AR$4,1,H$3-Projects!$C$22+1),0)-IF(AND(Projects!$G$22="Yes",H$3&gt;=Projects!$C$22,H$3&lt;Projects!$C$22+Projects!$D$22),Projects!$B$22*(Assumptions!$B$10+Assumptions!$B$11+Assumptions!$B$12)/Projects!$D$22*0.95,0)-IF(AND(Projects!$G$22="Yes",H$3=Projects!$C$22+Projects!$D$22-1),Projects!$B$22*(Assumptions!$B$10+Assumptions!$B$11+Assumptions!$B$12)*0.05,0)</f>
        <v>0</v>
      </c>
      <c r="I31" s="30" t="n">
        <f aca="false">IF(AND(Projects!$G$22="Yes",I$3&gt;=Projects!$C$22,I$3&lt;Projects!$C$22+Projects!$D$22),Projects!$B$22*INDEX(Curves!$B$4:$AR$4,1,I$3-Projects!$C$22+1),0)-IF(AND(Projects!$G$22="Yes",I$3&gt;=Projects!$C$22,I$3&lt;Projects!$C$22+Projects!$D$22),Projects!$B$22*(Assumptions!$B$10+Assumptions!$B$11+Assumptions!$B$12)/Projects!$D$22*0.95,0)-IF(AND(Projects!$G$22="Yes",I$3=Projects!$C$22+Projects!$D$22-1),Projects!$B$22*(Assumptions!$B$10+Assumptions!$B$11+Assumptions!$B$12)*0.05,0)</f>
        <v>0</v>
      </c>
      <c r="J31" s="30" t="n">
        <f aca="false">IF(AND(Projects!$G$22="Yes",J$3&gt;=Projects!$C$22,J$3&lt;Projects!$C$22+Projects!$D$22),Projects!$B$22*INDEX(Curves!$B$4:$AR$4,1,J$3-Projects!$C$22+1),0)-IF(AND(Projects!$G$22="Yes",J$3&gt;=Projects!$C$22,J$3&lt;Projects!$C$22+Projects!$D$22),Projects!$B$22*(Assumptions!$B$10+Assumptions!$B$11+Assumptions!$B$12)/Projects!$D$22*0.95,0)-IF(AND(Projects!$G$22="Yes",J$3=Projects!$C$22+Projects!$D$22-1),Projects!$B$22*(Assumptions!$B$10+Assumptions!$B$11+Assumptions!$B$12)*0.05,0)</f>
        <v>0</v>
      </c>
      <c r="K31" s="30" t="n">
        <f aca="false">IF(AND(Projects!$G$22="Yes",K$3&gt;=Projects!$C$22,K$3&lt;Projects!$C$22+Projects!$D$22),Projects!$B$22*INDEX(Curves!$B$4:$AR$4,1,K$3-Projects!$C$22+1),0)-IF(AND(Projects!$G$22="Yes",K$3&gt;=Projects!$C$22,K$3&lt;Projects!$C$22+Projects!$D$22),Projects!$B$22*(Assumptions!$B$10+Assumptions!$B$11+Assumptions!$B$12)/Projects!$D$22*0.95,0)-IF(AND(Projects!$G$22="Yes",K$3=Projects!$C$22+Projects!$D$22-1),Projects!$B$22*(Assumptions!$B$10+Assumptions!$B$11+Assumptions!$B$12)*0.05,0)</f>
        <v>0</v>
      </c>
      <c r="L31" s="30" t="n">
        <f aca="false">IF(AND(Projects!$G$22="Yes",L$3&gt;=Projects!$C$22,L$3&lt;Projects!$C$22+Projects!$D$22),Projects!$B$22*INDEX(Curves!$B$4:$AR$4,1,L$3-Projects!$C$22+1),0)-IF(AND(Projects!$G$22="Yes",L$3&gt;=Projects!$C$22,L$3&lt;Projects!$C$22+Projects!$D$22),Projects!$B$22*(Assumptions!$B$10+Assumptions!$B$11+Assumptions!$B$12)/Projects!$D$22*0.95,0)-IF(AND(Projects!$G$22="Yes",L$3=Projects!$C$22+Projects!$D$22-1),Projects!$B$22*(Assumptions!$B$10+Assumptions!$B$11+Assumptions!$B$12)*0.05,0)</f>
        <v>0</v>
      </c>
      <c r="M31" s="30" t="n">
        <f aca="false">IF(AND(Projects!$G$22="Yes",M$3&gt;=Projects!$C$22,M$3&lt;Projects!$C$22+Projects!$D$22),Projects!$B$22*INDEX(Curves!$B$4:$AR$4,1,M$3-Projects!$C$22+1),0)-IF(AND(Projects!$G$22="Yes",M$3&gt;=Projects!$C$22,M$3&lt;Projects!$C$22+Projects!$D$22),Projects!$B$22*(Assumptions!$B$10+Assumptions!$B$11+Assumptions!$B$12)/Projects!$D$22*0.95,0)-IF(AND(Projects!$G$22="Yes",M$3=Projects!$C$22+Projects!$D$22-1),Projects!$B$22*(Assumptions!$B$10+Assumptions!$B$11+Assumptions!$B$12)*0.05,0)</f>
        <v>0</v>
      </c>
      <c r="N31" s="30" t="n">
        <f aca="false">IF(AND(Projects!$G$22="Yes",N$3&gt;=Projects!$C$22,N$3&lt;Projects!$C$22+Projects!$D$22),Projects!$B$22*INDEX(Curves!$B$4:$AR$4,1,N$3-Projects!$C$22+1),0)-IF(AND(Projects!$G$22="Yes",N$3&gt;=Projects!$C$22,N$3&lt;Projects!$C$22+Projects!$D$22),Projects!$B$22*(Assumptions!$B$10+Assumptions!$B$11+Assumptions!$B$12)/Projects!$D$22*0.95,0)-IF(AND(Projects!$G$22="Yes",N$3=Projects!$C$22+Projects!$D$22-1),Projects!$B$22*(Assumptions!$B$10+Assumptions!$B$11+Assumptions!$B$12)*0.05,0)</f>
        <v>0</v>
      </c>
      <c r="O31" s="30" t="n">
        <f aca="false">IF(AND(Projects!$G$22="Yes",O$3&gt;=Projects!$C$22,O$3&lt;Projects!$C$22+Projects!$D$22),Projects!$B$22*INDEX(Curves!$B$4:$AR$4,1,O$3-Projects!$C$22+1),0)-IF(AND(Projects!$G$22="Yes",O$3&gt;=Projects!$C$22,O$3&lt;Projects!$C$22+Projects!$D$22),Projects!$B$22*(Assumptions!$B$10+Assumptions!$B$11+Assumptions!$B$12)/Projects!$D$22*0.95,0)-IF(AND(Projects!$G$22="Yes",O$3=Projects!$C$22+Projects!$D$22-1),Projects!$B$22*(Assumptions!$B$10+Assumptions!$B$11+Assumptions!$B$12)*0.05,0)</f>
        <v>0</v>
      </c>
      <c r="P31" s="30" t="n">
        <f aca="false">IF(AND(Projects!$G$22="Yes",P$3&gt;=Projects!$C$22,P$3&lt;Projects!$C$22+Projects!$D$22),Projects!$B$22*INDEX(Curves!$B$4:$AR$4,1,P$3-Projects!$C$22+1),0)-IF(AND(Projects!$G$22="Yes",P$3&gt;=Projects!$C$22,P$3&lt;Projects!$C$22+Projects!$D$22),Projects!$B$22*(Assumptions!$B$10+Assumptions!$B$11+Assumptions!$B$12)/Projects!$D$22*0.95,0)-IF(AND(Projects!$G$22="Yes",P$3=Projects!$C$22+Projects!$D$22-1),Projects!$B$22*(Assumptions!$B$10+Assumptions!$B$11+Assumptions!$B$12)*0.05,0)</f>
        <v>0</v>
      </c>
      <c r="Q31" s="30" t="n">
        <f aca="false">IF(AND(Projects!$G$22="Yes",Q$3&gt;=Projects!$C$22,Q$3&lt;Projects!$C$22+Projects!$D$22),Projects!$B$22*INDEX(Curves!$B$4:$AR$4,1,Q$3-Projects!$C$22+1),0)-IF(AND(Projects!$G$22="Yes",Q$3&gt;=Projects!$C$22,Q$3&lt;Projects!$C$22+Projects!$D$22),Projects!$B$22*(Assumptions!$B$10+Assumptions!$B$11+Assumptions!$B$12)/Projects!$D$22*0.95,0)-IF(AND(Projects!$G$22="Yes",Q$3=Projects!$C$22+Projects!$D$22-1),Projects!$B$22*(Assumptions!$B$10+Assumptions!$B$11+Assumptions!$B$12)*0.05,0)</f>
        <v>0</v>
      </c>
      <c r="R31" s="30" t="n">
        <f aca="false">IF(AND(Projects!$G$22="Yes",R$3&gt;=Projects!$C$22,R$3&lt;Projects!$C$22+Projects!$D$22),Projects!$B$22*INDEX(Curves!$B$4:$AR$4,1,R$3-Projects!$C$22+1),0)-IF(AND(Projects!$G$22="Yes",R$3&gt;=Projects!$C$22,R$3&lt;Projects!$C$22+Projects!$D$22),Projects!$B$22*(Assumptions!$B$10+Assumptions!$B$11+Assumptions!$B$12)/Projects!$D$22*0.95,0)-IF(AND(Projects!$G$22="Yes",R$3=Projects!$C$22+Projects!$D$22-1),Projects!$B$22*(Assumptions!$B$10+Assumptions!$B$11+Assumptions!$B$12)*0.05,0)</f>
        <v>0</v>
      </c>
      <c r="S31" s="30" t="n">
        <f aca="false">IF(AND(Projects!$G$22="Yes",S$3&gt;=Projects!$C$22,S$3&lt;Projects!$C$22+Projects!$D$22),Projects!$B$22*INDEX(Curves!$B$4:$AR$4,1,S$3-Projects!$C$22+1),0)-IF(AND(Projects!$G$22="Yes",S$3&gt;=Projects!$C$22,S$3&lt;Projects!$C$22+Projects!$D$22),Projects!$B$22*(Assumptions!$B$10+Assumptions!$B$11+Assumptions!$B$12)/Projects!$D$22*0.95,0)-IF(AND(Projects!$G$22="Yes",S$3=Projects!$C$22+Projects!$D$22-1),Projects!$B$22*(Assumptions!$B$10+Assumptions!$B$11+Assumptions!$B$12)*0.05,0)</f>
        <v>0</v>
      </c>
      <c r="T31" s="30" t="n">
        <f aca="false">IF(AND(Projects!$G$22="Yes",T$3&gt;=Projects!$C$22,T$3&lt;Projects!$C$22+Projects!$D$22),Projects!$B$22*INDEX(Curves!$B$4:$AR$4,1,T$3-Projects!$C$22+1),0)-IF(AND(Projects!$G$22="Yes",T$3&gt;=Projects!$C$22,T$3&lt;Projects!$C$22+Projects!$D$22),Projects!$B$22*(Assumptions!$B$10+Assumptions!$B$11+Assumptions!$B$12)/Projects!$D$22*0.95,0)-IF(AND(Projects!$G$22="Yes",T$3=Projects!$C$22+Projects!$D$22-1),Projects!$B$22*(Assumptions!$B$10+Assumptions!$B$11+Assumptions!$B$12)*0.05,0)</f>
        <v>0</v>
      </c>
      <c r="U31" s="30" t="n">
        <f aca="false">IF(AND(Projects!$G$22="Yes",U$3&gt;=Projects!$C$22,U$3&lt;Projects!$C$22+Projects!$D$22),Projects!$B$22*INDEX(Curves!$B$4:$AR$4,1,U$3-Projects!$C$22+1),0)-IF(AND(Projects!$G$22="Yes",U$3&gt;=Projects!$C$22,U$3&lt;Projects!$C$22+Projects!$D$22),Projects!$B$22*(Assumptions!$B$10+Assumptions!$B$11+Assumptions!$B$12)/Projects!$D$22*0.95,0)-IF(AND(Projects!$G$22="Yes",U$3=Projects!$C$22+Projects!$D$22-1),Projects!$B$22*(Assumptions!$B$10+Assumptions!$B$11+Assumptions!$B$12)*0.05,0)</f>
        <v>0</v>
      </c>
      <c r="V31" s="30" t="n">
        <f aca="false">IF(AND(Projects!$G$22="Yes",V$3&gt;=Projects!$C$22,V$3&lt;Projects!$C$22+Projects!$D$22),Projects!$B$22*INDEX(Curves!$B$4:$AR$4,1,V$3-Projects!$C$22+1),0)-IF(AND(Projects!$G$22="Yes",V$3&gt;=Projects!$C$22,V$3&lt;Projects!$C$22+Projects!$D$22),Projects!$B$22*(Assumptions!$B$10+Assumptions!$B$11+Assumptions!$B$12)/Projects!$D$22*0.95,0)-IF(AND(Projects!$G$22="Yes",V$3=Projects!$C$22+Projects!$D$22-1),Projects!$B$22*(Assumptions!$B$10+Assumptions!$B$11+Assumptions!$B$12)*0.05,0)</f>
        <v>0</v>
      </c>
      <c r="W31" s="30" t="n">
        <f aca="false">IF(AND(Projects!$G$22="Yes",W$3&gt;=Projects!$C$22,W$3&lt;Projects!$C$22+Projects!$D$22),Projects!$B$22*INDEX(Curves!$B$4:$AR$4,1,W$3-Projects!$C$22+1),0)-IF(AND(Projects!$G$22="Yes",W$3&gt;=Projects!$C$22,W$3&lt;Projects!$C$22+Projects!$D$22),Projects!$B$22*(Assumptions!$B$10+Assumptions!$B$11+Assumptions!$B$12)/Projects!$D$22*0.95,0)-IF(AND(Projects!$G$22="Yes",W$3=Projects!$C$22+Projects!$D$22-1),Projects!$B$22*(Assumptions!$B$10+Assumptions!$B$11+Assumptions!$B$12)*0.05,0)</f>
        <v>0</v>
      </c>
      <c r="X31" s="30" t="n">
        <f aca="false">IF(AND(Projects!$G$22="Yes",X$3&gt;=Projects!$C$22,X$3&lt;Projects!$C$22+Projects!$D$22),Projects!$B$22*INDEX(Curves!$B$4:$AR$4,1,X$3-Projects!$C$22+1),0)-IF(AND(Projects!$G$22="Yes",X$3&gt;=Projects!$C$22,X$3&lt;Projects!$C$22+Projects!$D$22),Projects!$B$22*(Assumptions!$B$10+Assumptions!$B$11+Assumptions!$B$12)/Projects!$D$22*0.95,0)-IF(AND(Projects!$G$22="Yes",X$3=Projects!$C$22+Projects!$D$22-1),Projects!$B$22*(Assumptions!$B$10+Assumptions!$B$11+Assumptions!$B$12)*0.05,0)</f>
        <v>0</v>
      </c>
      <c r="Y31" s="30" t="n">
        <f aca="false">IF(AND(Projects!$G$22="Yes",Y$3&gt;=Projects!$C$22,Y$3&lt;Projects!$C$22+Projects!$D$22),Projects!$B$22*INDEX(Curves!$B$4:$AR$4,1,Y$3-Projects!$C$22+1),0)-IF(AND(Projects!$G$22="Yes",Y$3&gt;=Projects!$C$22,Y$3&lt;Projects!$C$22+Projects!$D$22),Projects!$B$22*(Assumptions!$B$10+Assumptions!$B$11+Assumptions!$B$12)/Projects!$D$22*0.95,0)-IF(AND(Projects!$G$22="Yes",Y$3=Projects!$C$22+Projects!$D$22-1),Projects!$B$22*(Assumptions!$B$10+Assumptions!$B$11+Assumptions!$B$12)*0.05,0)</f>
        <v>0</v>
      </c>
      <c r="Z31" s="30" t="n">
        <f aca="false">IF(AND(Projects!$G$22="Yes",Z$3&gt;=Projects!$C$22,Z$3&lt;Projects!$C$22+Projects!$D$22),Projects!$B$22*INDEX(Curves!$B$4:$AR$4,1,Z$3-Projects!$C$22+1),0)-IF(AND(Projects!$G$22="Yes",Z$3&gt;=Projects!$C$22,Z$3&lt;Projects!$C$22+Projects!$D$22),Projects!$B$22*(Assumptions!$B$10+Assumptions!$B$11+Assumptions!$B$12)/Projects!$D$22*0.95,0)-IF(AND(Projects!$G$22="Yes",Z$3=Projects!$C$22+Projects!$D$22-1),Projects!$B$22*(Assumptions!$B$10+Assumptions!$B$11+Assumptions!$B$12)*0.05,0)</f>
        <v>0</v>
      </c>
      <c r="AA31" s="30" t="n">
        <f aca="false">IF(AND(Projects!$G$22="Yes",AA$3&gt;=Projects!$C$22,AA$3&lt;Projects!$C$22+Projects!$D$22),Projects!$B$22*INDEX(Curves!$B$4:$AR$4,1,AA$3-Projects!$C$22+1),0)-IF(AND(Projects!$G$22="Yes",AA$3&gt;=Projects!$C$22,AA$3&lt;Projects!$C$22+Projects!$D$22),Projects!$B$22*(Assumptions!$B$10+Assumptions!$B$11+Assumptions!$B$12)/Projects!$D$22*0.95,0)-IF(AND(Projects!$G$22="Yes",AA$3=Projects!$C$22+Projects!$D$22-1),Projects!$B$22*(Assumptions!$B$10+Assumptions!$B$11+Assumptions!$B$12)*0.05,0)</f>
        <v>0</v>
      </c>
      <c r="AB31" s="30" t="n">
        <f aca="false">IF(AND(Projects!$G$22="Yes",AB$3&gt;=Projects!$C$22,AB$3&lt;Projects!$C$22+Projects!$D$22),Projects!$B$22*INDEX(Curves!$B$4:$AR$4,1,AB$3-Projects!$C$22+1),0)-IF(AND(Projects!$G$22="Yes",AB$3&gt;=Projects!$C$22,AB$3&lt;Projects!$C$22+Projects!$D$22),Projects!$B$22*(Assumptions!$B$10+Assumptions!$B$11+Assumptions!$B$12)/Projects!$D$22*0.95,0)-IF(AND(Projects!$G$22="Yes",AB$3=Projects!$C$22+Projects!$D$22-1),Projects!$B$22*(Assumptions!$B$10+Assumptions!$B$11+Assumptions!$B$12)*0.05,0)</f>
        <v>0</v>
      </c>
      <c r="AC31" s="30" t="n">
        <f aca="false">IF(AND(Projects!$G$22="Yes",AC$3&gt;=Projects!$C$22,AC$3&lt;Projects!$C$22+Projects!$D$22),Projects!$B$22*INDEX(Curves!$B$4:$AR$4,1,AC$3-Projects!$C$22+1),0)-IF(AND(Projects!$G$22="Yes",AC$3&gt;=Projects!$C$22,AC$3&lt;Projects!$C$22+Projects!$D$22),Projects!$B$22*(Assumptions!$B$10+Assumptions!$B$11+Assumptions!$B$12)/Projects!$D$22*0.95,0)-IF(AND(Projects!$G$22="Yes",AC$3=Projects!$C$22+Projects!$D$22-1),Projects!$B$22*(Assumptions!$B$10+Assumptions!$B$11+Assumptions!$B$12)*0.05,0)</f>
        <v>0</v>
      </c>
      <c r="AD31" s="30" t="n">
        <f aca="false">IF(AND(Projects!$G$22="Yes",AD$3&gt;=Projects!$C$22,AD$3&lt;Projects!$C$22+Projects!$D$22),Projects!$B$22*INDEX(Curves!$B$4:$AR$4,1,AD$3-Projects!$C$22+1),0)-IF(AND(Projects!$G$22="Yes",AD$3&gt;=Projects!$C$22,AD$3&lt;Projects!$C$22+Projects!$D$22),Projects!$B$22*(Assumptions!$B$10+Assumptions!$B$11+Assumptions!$B$12)/Projects!$D$22*0.95,0)-IF(AND(Projects!$G$22="Yes",AD$3=Projects!$C$22+Projects!$D$22-1),Projects!$B$22*(Assumptions!$B$10+Assumptions!$B$11+Assumptions!$B$12)*0.05,0)</f>
        <v>0</v>
      </c>
      <c r="AE31" s="30" t="n">
        <f aca="false">IF(AND(Projects!$G$22="Yes",AE$3&gt;=Projects!$C$22,AE$3&lt;Projects!$C$22+Projects!$D$22),Projects!$B$22*INDEX(Curves!$B$4:$AR$4,1,AE$3-Projects!$C$22+1),0)-IF(AND(Projects!$G$22="Yes",AE$3&gt;=Projects!$C$22,AE$3&lt;Projects!$C$22+Projects!$D$22),Projects!$B$22*(Assumptions!$B$10+Assumptions!$B$11+Assumptions!$B$12)/Projects!$D$22*0.95,0)-IF(AND(Projects!$G$22="Yes",AE$3=Projects!$C$22+Projects!$D$22-1),Projects!$B$22*(Assumptions!$B$10+Assumptions!$B$11+Assumptions!$B$12)*0.05,0)</f>
        <v>0</v>
      </c>
      <c r="AF31" s="30" t="n">
        <f aca="false">IF(AND(Projects!$G$22="Yes",AF$3&gt;=Projects!$C$22,AF$3&lt;Projects!$C$22+Projects!$D$22),Projects!$B$22*INDEX(Curves!$B$4:$AR$4,1,AF$3-Projects!$C$22+1),0)-IF(AND(Projects!$G$22="Yes",AF$3&gt;=Projects!$C$22,AF$3&lt;Projects!$C$22+Projects!$D$22),Projects!$B$22*(Assumptions!$B$10+Assumptions!$B$11+Assumptions!$B$12)/Projects!$D$22*0.95,0)-IF(AND(Projects!$G$22="Yes",AF$3=Projects!$C$22+Projects!$D$22-1),Projects!$B$22*(Assumptions!$B$10+Assumptions!$B$11+Assumptions!$B$12)*0.05,0)</f>
        <v>0</v>
      </c>
      <c r="AG31" s="30" t="n">
        <f aca="false">IF(AND(Projects!$G$22="Yes",AG$3&gt;=Projects!$C$22,AG$3&lt;Projects!$C$22+Projects!$D$22),Projects!$B$22*INDEX(Curves!$B$4:$AR$4,1,AG$3-Projects!$C$22+1),0)-IF(AND(Projects!$G$22="Yes",AG$3&gt;=Projects!$C$22,AG$3&lt;Projects!$C$22+Projects!$D$22),Projects!$B$22*(Assumptions!$B$10+Assumptions!$B$11+Assumptions!$B$12)/Projects!$D$22*0.95,0)-IF(AND(Projects!$G$22="Yes",AG$3=Projects!$C$22+Projects!$D$22-1),Projects!$B$22*(Assumptions!$B$10+Assumptions!$B$11+Assumptions!$B$12)*0.05,0)</f>
        <v>0</v>
      </c>
      <c r="AH31" s="30" t="n">
        <f aca="false">IF(AND(Projects!$G$22="Yes",AH$3&gt;=Projects!$C$22,AH$3&lt;Projects!$C$22+Projects!$D$22),Projects!$B$22*INDEX(Curves!$B$4:$AR$4,1,AH$3-Projects!$C$22+1),0)-IF(AND(Projects!$G$22="Yes",AH$3&gt;=Projects!$C$22,AH$3&lt;Projects!$C$22+Projects!$D$22),Projects!$B$22*(Assumptions!$B$10+Assumptions!$B$11+Assumptions!$B$12)/Projects!$D$22*0.95,0)-IF(AND(Projects!$G$22="Yes",AH$3=Projects!$C$22+Projects!$D$22-1),Projects!$B$22*(Assumptions!$B$10+Assumptions!$B$11+Assumptions!$B$12)*0.05,0)</f>
        <v>0</v>
      </c>
      <c r="AI31" s="30" t="n">
        <f aca="false">IF(AND(Projects!$G$22="Yes",AI$3&gt;=Projects!$C$22,AI$3&lt;Projects!$C$22+Projects!$D$22),Projects!$B$22*INDEX(Curves!$B$4:$AR$4,1,AI$3-Projects!$C$22+1),0)-IF(AND(Projects!$G$22="Yes",AI$3&gt;=Projects!$C$22,AI$3&lt;Projects!$C$22+Projects!$D$22),Projects!$B$22*(Assumptions!$B$10+Assumptions!$B$11+Assumptions!$B$12)/Projects!$D$22*0.95,0)-IF(AND(Projects!$G$22="Yes",AI$3=Projects!$C$22+Projects!$D$22-1),Projects!$B$22*(Assumptions!$B$10+Assumptions!$B$11+Assumptions!$B$12)*0.05,0)</f>
        <v>0</v>
      </c>
      <c r="AJ31" s="30" t="n">
        <f aca="false">IF(AND(Projects!$G$22="Yes",AJ$3&gt;=Projects!$C$22,AJ$3&lt;Projects!$C$22+Projects!$D$22),Projects!$B$22*INDEX(Curves!$B$4:$AR$4,1,AJ$3-Projects!$C$22+1),0)-IF(AND(Projects!$G$22="Yes",AJ$3&gt;=Projects!$C$22,AJ$3&lt;Projects!$C$22+Projects!$D$22),Projects!$B$22*(Assumptions!$B$10+Assumptions!$B$11+Assumptions!$B$12)/Projects!$D$22*0.95,0)-IF(AND(Projects!$G$22="Yes",AJ$3=Projects!$C$22+Projects!$D$22-1),Projects!$B$22*(Assumptions!$B$10+Assumptions!$B$11+Assumptions!$B$12)*0.05,0)</f>
        <v>0</v>
      </c>
      <c r="AK31" s="30" t="n">
        <f aca="false">IF(AND(Projects!$G$22="Yes",AK$3&gt;=Projects!$C$22,AK$3&lt;Projects!$C$22+Projects!$D$22),Projects!$B$22*INDEX(Curves!$B$4:$AR$4,1,AK$3-Projects!$C$22+1),0)-IF(AND(Projects!$G$22="Yes",AK$3&gt;=Projects!$C$22,AK$3&lt;Projects!$C$22+Projects!$D$22),Projects!$B$22*(Assumptions!$B$10+Assumptions!$B$11+Assumptions!$B$12)/Projects!$D$22*0.95,0)-IF(AND(Projects!$G$22="Yes",AK$3=Projects!$C$22+Projects!$D$22-1),Projects!$B$22*(Assumptions!$B$10+Assumptions!$B$11+Assumptions!$B$12)*0.05,0)</f>
        <v>0</v>
      </c>
      <c r="AL31" s="30" t="n">
        <f aca="false">IF(AND(Projects!$G$22="Yes",AL$3&gt;=Projects!$C$22,AL$3&lt;Projects!$C$22+Projects!$D$22),Projects!$B$22*INDEX(Curves!$B$4:$AR$4,1,AL$3-Projects!$C$22+1),0)-IF(AND(Projects!$G$22="Yes",AL$3&gt;=Projects!$C$22,AL$3&lt;Projects!$C$22+Projects!$D$22),Projects!$B$22*(Assumptions!$B$10+Assumptions!$B$11+Assumptions!$B$12)/Projects!$D$22*0.95,0)-IF(AND(Projects!$G$22="Yes",AL$3=Projects!$C$22+Projects!$D$22-1),Projects!$B$22*(Assumptions!$B$10+Assumptions!$B$11+Assumptions!$B$12)*0.05,0)</f>
        <v>0</v>
      </c>
      <c r="AM31" s="30" t="n">
        <f aca="false">IF(AND(Projects!$G$22="Yes",AM$3&gt;=Projects!$C$22,AM$3&lt;Projects!$C$22+Projects!$D$22),Projects!$B$22*INDEX(Curves!$B$4:$AR$4,1,AM$3-Projects!$C$22+1),0)-IF(AND(Projects!$G$22="Yes",AM$3&gt;=Projects!$C$22,AM$3&lt;Projects!$C$22+Projects!$D$22),Projects!$B$22*(Assumptions!$B$10+Assumptions!$B$11+Assumptions!$B$12)/Projects!$D$22*0.95,0)-IF(AND(Projects!$G$22="Yes",AM$3=Projects!$C$22+Projects!$D$22-1),Projects!$B$22*(Assumptions!$B$10+Assumptions!$B$11+Assumptions!$B$12)*0.05,0)</f>
        <v>0</v>
      </c>
      <c r="AN31" s="30" t="n">
        <f aca="false">IF(AND(Projects!$G$22="Yes",AN$3&gt;=Projects!$C$22,AN$3&lt;Projects!$C$22+Projects!$D$22),Projects!$B$22*INDEX(Curves!$B$4:$AR$4,1,AN$3-Projects!$C$22+1),0)-IF(AND(Projects!$G$22="Yes",AN$3&gt;=Projects!$C$22,AN$3&lt;Projects!$C$22+Projects!$D$22),Projects!$B$22*(Assumptions!$B$10+Assumptions!$B$11+Assumptions!$B$12)/Projects!$D$22*0.95,0)-IF(AND(Projects!$G$22="Yes",AN$3=Projects!$C$22+Projects!$D$22-1),Projects!$B$22*(Assumptions!$B$10+Assumptions!$B$11+Assumptions!$B$12)*0.05,0)</f>
        <v>0</v>
      </c>
      <c r="AO31" s="30" t="n">
        <f aca="false">IF(AND(Projects!$G$22="Yes",AO$3&gt;=Projects!$C$22,AO$3&lt;Projects!$C$22+Projects!$D$22),Projects!$B$22*INDEX(Curves!$B$4:$AR$4,1,AO$3-Projects!$C$22+1),0)-IF(AND(Projects!$G$22="Yes",AO$3&gt;=Projects!$C$22,AO$3&lt;Projects!$C$22+Projects!$D$22),Projects!$B$22*(Assumptions!$B$10+Assumptions!$B$11+Assumptions!$B$12)/Projects!$D$22*0.95,0)-IF(AND(Projects!$G$22="Yes",AO$3=Projects!$C$22+Projects!$D$22-1),Projects!$B$22*(Assumptions!$B$10+Assumptions!$B$11+Assumptions!$B$12)*0.05,0)</f>
        <v>0</v>
      </c>
      <c r="AP31" s="30" t="n">
        <f aca="false">IF(AND(Projects!$G$22="Yes",AP$3&gt;=Projects!$C$22,AP$3&lt;Projects!$C$22+Projects!$D$22),Projects!$B$22*INDEX(Curves!$B$4:$AR$4,1,AP$3-Projects!$C$22+1),0)-IF(AND(Projects!$G$22="Yes",AP$3&gt;=Projects!$C$22,AP$3&lt;Projects!$C$22+Projects!$D$22),Projects!$B$22*(Assumptions!$B$10+Assumptions!$B$11+Assumptions!$B$12)/Projects!$D$22*0.95,0)-IF(AND(Projects!$G$22="Yes",AP$3=Projects!$C$22+Projects!$D$22-1),Projects!$B$22*(Assumptions!$B$10+Assumptions!$B$11+Assumptions!$B$12)*0.05,0)</f>
        <v>0</v>
      </c>
      <c r="AQ31" s="30" t="n">
        <f aca="false">IF(AND(Projects!$G$22="Yes",AQ$3&gt;=Projects!$C$22,AQ$3&lt;Projects!$C$22+Projects!$D$22),Projects!$B$22*INDEX(Curves!$B$4:$AR$4,1,AQ$3-Projects!$C$22+1),0)-IF(AND(Projects!$G$22="Yes",AQ$3&gt;=Projects!$C$22,AQ$3&lt;Projects!$C$22+Projects!$D$22),Projects!$B$22*(Assumptions!$B$10+Assumptions!$B$11+Assumptions!$B$12)/Projects!$D$22*0.95,0)-IF(AND(Projects!$G$22="Yes",AQ$3=Projects!$C$22+Projects!$D$22-1),Projects!$B$22*(Assumptions!$B$10+Assumptions!$B$11+Assumptions!$B$12)*0.05,0)</f>
        <v>0</v>
      </c>
      <c r="AR31" s="30" t="n">
        <f aca="false">IF(AND(Projects!$G$22="Yes",AR$3&gt;=Projects!$C$22,AR$3&lt;Projects!$C$22+Projects!$D$22),Projects!$B$22*INDEX(Curves!$B$4:$AR$4,1,AR$3-Projects!$C$22+1),0)-IF(AND(Projects!$G$22="Yes",AR$3&gt;=Projects!$C$22,AR$3&lt;Projects!$C$22+Projects!$D$22),Projects!$B$22*(Assumptions!$B$10+Assumptions!$B$11+Assumptions!$B$12)/Projects!$D$22*0.95,0)-IF(AND(Projects!$G$22="Yes",AR$3=Projects!$C$22+Projects!$D$22-1),Projects!$B$22*(Assumptions!$B$10+Assumptions!$B$11+Assumptions!$B$12)*0.05,0)</f>
        <v>0</v>
      </c>
      <c r="AS31" s="30" t="n">
        <f aca="false">IF(AND(Projects!$G$22="Yes",AS$3&gt;=Projects!$C$22,AS$3&lt;Projects!$C$22+Projects!$D$22),Projects!$B$22*INDEX(Curves!$B$4:$AR$4,1,AS$3-Projects!$C$22+1),0)-IF(AND(Projects!$G$22="Yes",AS$3&gt;=Projects!$C$22,AS$3&lt;Projects!$C$22+Projects!$D$22),Projects!$B$22*(Assumptions!$B$10+Assumptions!$B$11+Assumptions!$B$12)/Projects!$D$22*0.95,0)-IF(AND(Projects!$G$22="Yes",AS$3=Projects!$C$22+Projects!$D$22-1),Projects!$B$22*(Assumptions!$B$10+Assumptions!$B$11+Assumptions!$B$12)*0.05,0)</f>
        <v>0</v>
      </c>
      <c r="AT31" s="30" t="n">
        <f aca="false">IF(AND(Projects!$G$22="Yes",AT$3&gt;=Projects!$C$22,AT$3&lt;Projects!$C$22+Projects!$D$22),Projects!$B$22*INDEX(Curves!$B$4:$AR$4,1,AT$3-Projects!$C$22+1),0)-IF(AND(Projects!$G$22="Yes",AT$3&gt;=Projects!$C$22,AT$3&lt;Projects!$C$22+Projects!$D$22),Projects!$B$22*(Assumptions!$B$10+Assumptions!$B$11+Assumptions!$B$12)/Projects!$D$22*0.95,0)-IF(AND(Projects!$G$22="Yes",AT$3=Projects!$C$22+Projects!$D$22-1),Projects!$B$22*(Assumptions!$B$10+Assumptions!$B$11+Assumptions!$B$12)*0.05,0)</f>
        <v>0</v>
      </c>
      <c r="AU31" s="30" t="n">
        <f aca="false">IF(AND(Projects!$G$22="Yes",AU$3&gt;=Projects!$C$22,AU$3&lt;Projects!$C$22+Projects!$D$22),Projects!$B$22*INDEX(Curves!$B$4:$AR$4,1,AU$3-Projects!$C$22+1),0)-IF(AND(Projects!$G$22="Yes",AU$3&gt;=Projects!$C$22,AU$3&lt;Projects!$C$22+Projects!$D$22),Projects!$B$22*(Assumptions!$B$10+Assumptions!$B$11+Assumptions!$B$12)/Projects!$D$22*0.95,0)-IF(AND(Projects!$G$22="Yes",AU$3=Projects!$C$22+Projects!$D$22-1),Projects!$B$22*(Assumptions!$B$10+Assumptions!$B$11+Assumptions!$B$12)*0.05,0)</f>
        <v>0</v>
      </c>
      <c r="AV31" s="30" t="n">
        <f aca="false">IF(AND(Projects!$G$22="Yes",AV$3&gt;=Projects!$C$22,AV$3&lt;Projects!$C$22+Projects!$D$22),Projects!$B$22*INDEX(Curves!$B$4:$AR$4,1,AV$3-Projects!$C$22+1),0)-IF(AND(Projects!$G$22="Yes",AV$3&gt;=Projects!$C$22,AV$3&lt;Projects!$C$22+Projects!$D$22),Projects!$B$22*(Assumptions!$B$10+Assumptions!$B$11+Assumptions!$B$12)/Projects!$D$22*0.95,0)-IF(AND(Projects!$G$22="Yes",AV$3=Projects!$C$22+Projects!$D$22-1),Projects!$B$22*(Assumptions!$B$10+Assumptions!$B$11+Assumptions!$B$12)*0.05,0)</f>
        <v>0</v>
      </c>
      <c r="AW31" s="30" t="n">
        <f aca="false">IF(AND(Projects!$G$22="Yes",AW$3&gt;=Projects!$C$22,AW$3&lt;Projects!$C$22+Projects!$D$22),Projects!$B$22*INDEX(Curves!$B$4:$AR$4,1,AW$3-Projects!$C$22+1),0)-IF(AND(Projects!$G$22="Yes",AW$3&gt;=Projects!$C$22,AW$3&lt;Projects!$C$22+Projects!$D$22),Projects!$B$22*(Assumptions!$B$10+Assumptions!$B$11+Assumptions!$B$12)/Projects!$D$22*0.95,0)-IF(AND(Projects!$G$22="Yes",AW$3=Projects!$C$22+Projects!$D$22-1),Projects!$B$22*(Assumptions!$B$10+Assumptions!$B$11+Assumptions!$B$12)*0.05,0)</f>
        <v>0</v>
      </c>
      <c r="AX31" s="30" t="n">
        <f aca="false">IF(AND(Projects!$G$22="Yes",AX$3&gt;=Projects!$C$22,AX$3&lt;Projects!$C$22+Projects!$D$22),Projects!$B$22*INDEX(Curves!$B$4:$AR$4,1,AX$3-Projects!$C$22+1),0)-IF(AND(Projects!$G$22="Yes",AX$3&gt;=Projects!$C$22,AX$3&lt;Projects!$C$22+Projects!$D$22),Projects!$B$22*(Assumptions!$B$10+Assumptions!$B$11+Assumptions!$B$12)/Projects!$D$22*0.95,0)-IF(AND(Projects!$G$22="Yes",AX$3=Projects!$C$22+Projects!$D$22-1),Projects!$B$22*(Assumptions!$B$10+Assumptions!$B$11+Assumptions!$B$12)*0.05,0)</f>
        <v>0</v>
      </c>
      <c r="AY31" s="30" t="n">
        <f aca="false">IF(AND(Projects!$G$22="Yes",AY$3&gt;=Projects!$C$22,AY$3&lt;Projects!$C$22+Projects!$D$22),Projects!$B$22*INDEX(Curves!$B$4:$AR$4,1,AY$3-Projects!$C$22+1),0)-IF(AND(Projects!$G$22="Yes",AY$3&gt;=Projects!$C$22,AY$3&lt;Projects!$C$22+Projects!$D$22),Projects!$B$22*(Assumptions!$B$10+Assumptions!$B$11+Assumptions!$B$12)/Projects!$D$22*0.95,0)-IF(AND(Projects!$G$22="Yes",AY$3=Projects!$C$22+Projects!$D$22-1),Projects!$B$22*(Assumptions!$B$10+Assumptions!$B$11+Assumptions!$B$12)*0.05,0)</f>
        <v>0</v>
      </c>
      <c r="AZ31" s="30" t="n">
        <f aca="false">IF(AND(Projects!$G$22="Yes",AZ$3&gt;=Projects!$C$22,AZ$3&lt;Projects!$C$22+Projects!$D$22),Projects!$B$22*INDEX(Curves!$B$4:$AR$4,1,AZ$3-Projects!$C$22+1),0)-IF(AND(Projects!$G$22="Yes",AZ$3&gt;=Projects!$C$22,AZ$3&lt;Projects!$C$22+Projects!$D$22),Projects!$B$22*(Assumptions!$B$10+Assumptions!$B$11+Assumptions!$B$12)/Projects!$D$22*0.95,0)-IF(AND(Projects!$G$22="Yes",AZ$3=Projects!$C$22+Projects!$D$22-1),Projects!$B$22*(Assumptions!$B$10+Assumptions!$B$11+Assumptions!$B$12)*0.05,0)</f>
        <v>0</v>
      </c>
      <c r="BA31" s="30" t="n">
        <f aca="false">IF(AND(Projects!$G$22="Yes",BA$3&gt;=Projects!$C$22,BA$3&lt;Projects!$C$22+Projects!$D$22),Projects!$B$22*INDEX(Curves!$B$4:$AR$4,1,BA$3-Projects!$C$22+1),0)-IF(AND(Projects!$G$22="Yes",BA$3&gt;=Projects!$C$22,BA$3&lt;Projects!$C$22+Projects!$D$22),Projects!$B$22*(Assumptions!$B$10+Assumptions!$B$11+Assumptions!$B$12)/Projects!$D$22*0.95,0)-IF(AND(Projects!$G$22="Yes",BA$3=Projects!$C$22+Projects!$D$22-1),Projects!$B$22*(Assumptions!$B$10+Assumptions!$B$11+Assumptions!$B$12)*0.05,0)</f>
        <v>0</v>
      </c>
      <c r="BB31" s="30" t="n">
        <f aca="false">IF(AND(Projects!$G$22="Yes",BB$3&gt;=Projects!$C$22,BB$3&lt;Projects!$C$22+Projects!$D$22),Projects!$B$22*INDEX(Curves!$B$4:$AR$4,1,BB$3-Projects!$C$22+1),0)-IF(AND(Projects!$G$22="Yes",BB$3&gt;=Projects!$C$22,BB$3&lt;Projects!$C$22+Projects!$D$22),Projects!$B$22*(Assumptions!$B$10+Assumptions!$B$11+Assumptions!$B$12)/Projects!$D$22*0.95,0)-IF(AND(Projects!$G$22="Yes",BB$3=Projects!$C$22+Projects!$D$22-1),Projects!$B$22*(Assumptions!$B$10+Assumptions!$B$11+Assumptions!$B$12)*0.05,0)</f>
        <v>0</v>
      </c>
      <c r="BC31" s="30" t="n">
        <f aca="false">IF(AND(Projects!$G$22="Yes",BC$3&gt;=Projects!$C$22,BC$3&lt;Projects!$C$22+Projects!$D$22),Projects!$B$22*INDEX(Curves!$B$4:$AR$4,1,BC$3-Projects!$C$22+1),0)-IF(AND(Projects!$G$22="Yes",BC$3&gt;=Projects!$C$22,BC$3&lt;Projects!$C$22+Projects!$D$22),Projects!$B$22*(Assumptions!$B$10+Assumptions!$B$11+Assumptions!$B$12)/Projects!$D$22*0.95,0)-IF(AND(Projects!$G$22="Yes",BC$3=Projects!$C$22+Projects!$D$22-1),Projects!$B$22*(Assumptions!$B$10+Assumptions!$B$11+Assumptions!$B$12)*0.05,0)</f>
        <v>0</v>
      </c>
      <c r="BD31" s="30" t="n">
        <f aca="false">IF(AND(Projects!$G$22="Yes",BD$3&gt;=Projects!$C$22,BD$3&lt;Projects!$C$22+Projects!$D$22),Projects!$B$22*INDEX(Curves!$B$4:$AR$4,1,BD$3-Projects!$C$22+1),0)-IF(AND(Projects!$G$22="Yes",BD$3&gt;=Projects!$C$22,BD$3&lt;Projects!$C$22+Projects!$D$22),Projects!$B$22*(Assumptions!$B$10+Assumptions!$B$11+Assumptions!$B$12)/Projects!$D$22*0.95,0)-IF(AND(Projects!$G$22="Yes",BD$3=Projects!$C$22+Projects!$D$22-1),Projects!$B$22*(Assumptions!$B$10+Assumptions!$B$11+Assumptions!$B$12)*0.05,0)</f>
        <v>0</v>
      </c>
      <c r="BE31" s="30" t="n">
        <f aca="false">IF(AND(Projects!$G$22="Yes",BE$3&gt;=Projects!$C$22,BE$3&lt;Projects!$C$22+Projects!$D$22),Projects!$B$22*INDEX(Curves!$B$4:$AR$4,1,BE$3-Projects!$C$22+1),0)-IF(AND(Projects!$G$22="Yes",BE$3&gt;=Projects!$C$22,BE$3&lt;Projects!$C$22+Projects!$D$22),Projects!$B$22*(Assumptions!$B$10+Assumptions!$B$11+Assumptions!$B$12)/Projects!$D$22*0.95,0)-IF(AND(Projects!$G$22="Yes",BE$3=Projects!$C$22+Projects!$D$22-1),Projects!$B$22*(Assumptions!$B$10+Assumptions!$B$11+Assumptions!$B$12)*0.05,0)</f>
        <v>0</v>
      </c>
      <c r="BF31" s="30" t="n">
        <f aca="false">IF(AND(Projects!$G$22="Yes",BF$3&gt;=Projects!$C$22,BF$3&lt;Projects!$C$22+Projects!$D$22),Projects!$B$22*INDEX(Curves!$B$4:$AR$4,1,BF$3-Projects!$C$22+1),0)-IF(AND(Projects!$G$22="Yes",BF$3&gt;=Projects!$C$22,BF$3&lt;Projects!$C$22+Projects!$D$22),Projects!$B$22*(Assumptions!$B$10+Assumptions!$B$11+Assumptions!$B$12)/Projects!$D$22*0.95,0)-IF(AND(Projects!$G$22="Yes",BF$3=Projects!$C$22+Projects!$D$22-1),Projects!$B$22*(Assumptions!$B$10+Assumptions!$B$11+Assumptions!$B$12)*0.05,0)</f>
        <v>0</v>
      </c>
      <c r="BG31" s="30" t="n">
        <f aca="false">IF(AND(Projects!$G$22="Yes",BG$3&gt;=Projects!$C$22,BG$3&lt;Projects!$C$22+Projects!$D$22),Projects!$B$22*INDEX(Curves!$B$4:$AR$4,1,BG$3-Projects!$C$22+1),0)-IF(AND(Projects!$G$22="Yes",BG$3&gt;=Projects!$C$22,BG$3&lt;Projects!$C$22+Projects!$D$22),Projects!$B$22*(Assumptions!$B$10+Assumptions!$B$11+Assumptions!$B$12)/Projects!$D$22*0.95,0)-IF(AND(Projects!$G$22="Yes",BG$3=Projects!$C$22+Projects!$D$22-1),Projects!$B$22*(Assumptions!$B$10+Assumptions!$B$11+Assumptions!$B$12)*0.05,0)</f>
        <v>0</v>
      </c>
      <c r="BH31" s="30" t="n">
        <f aca="false">IF(AND(Projects!$G$22="Yes",BH$3&gt;=Projects!$C$22,BH$3&lt;Projects!$C$22+Projects!$D$22),Projects!$B$22*INDEX(Curves!$B$4:$AR$4,1,BH$3-Projects!$C$22+1),0)-IF(AND(Projects!$G$22="Yes",BH$3&gt;=Projects!$C$22,BH$3&lt;Projects!$C$22+Projects!$D$22),Projects!$B$22*(Assumptions!$B$10+Assumptions!$B$11+Assumptions!$B$12)/Projects!$D$22*0.95,0)-IF(AND(Projects!$G$22="Yes",BH$3=Projects!$C$22+Projects!$D$22-1),Projects!$B$22*(Assumptions!$B$10+Assumptions!$B$11+Assumptions!$B$12)*0.05,0)</f>
        <v>0</v>
      </c>
      <c r="BI31" s="30" t="n">
        <f aca="false">IF(AND(Projects!$G$22="Yes",BI$3&gt;=Projects!$C$22,BI$3&lt;Projects!$C$22+Projects!$D$22),Projects!$B$22*INDEX(Curves!$B$4:$AR$4,1,BI$3-Projects!$C$22+1),0)-IF(AND(Projects!$G$22="Yes",BI$3&gt;=Projects!$C$22,BI$3&lt;Projects!$C$22+Projects!$D$22),Projects!$B$22*(Assumptions!$B$10+Assumptions!$B$11+Assumptions!$B$12)/Projects!$D$22*0.95,0)-IF(AND(Projects!$G$22="Yes",BI$3=Projects!$C$22+Projects!$D$22-1),Projects!$B$22*(Assumptions!$B$10+Assumptions!$B$11+Assumptions!$B$12)*0.05,0)</f>
        <v>0</v>
      </c>
      <c r="BJ31" s="30" t="n">
        <f aca="false">IF(AND(Projects!$G$22="Yes",BJ$3&gt;=Projects!$C$22,BJ$3&lt;Projects!$C$22+Projects!$D$22),Projects!$B$22*INDEX(Curves!$B$4:$AR$4,1,BJ$3-Projects!$C$22+1),0)-IF(AND(Projects!$G$22="Yes",BJ$3&gt;=Projects!$C$22,BJ$3&lt;Projects!$C$22+Projects!$D$22),Projects!$B$22*(Assumptions!$B$10+Assumptions!$B$11+Assumptions!$B$12)/Projects!$D$22*0.95,0)-IF(AND(Projects!$G$22="Yes",BJ$3=Projects!$C$22+Projects!$D$22-1),Projects!$B$22*(Assumptions!$B$10+Assumptions!$B$11+Assumptions!$B$12)*0.05,0)</f>
        <v>0</v>
      </c>
      <c r="BK31" s="30" t="n">
        <f aca="false">IF(AND(Projects!$G$22="Yes",BK$3&gt;=Projects!$C$22,BK$3&lt;Projects!$C$22+Projects!$D$22),Projects!$B$22*INDEX(Curves!$B$4:$AR$4,1,BK$3-Projects!$C$22+1),0)-IF(AND(Projects!$G$22="Yes",BK$3&gt;=Projects!$C$22,BK$3&lt;Projects!$C$22+Projects!$D$22),Projects!$B$22*(Assumptions!$B$10+Assumptions!$B$11+Assumptions!$B$12)/Projects!$D$22*0.95,0)-IF(AND(Projects!$G$22="Yes",BK$3=Projects!$C$22+Projects!$D$22-1),Projects!$B$22*(Assumptions!$B$10+Assumptions!$B$11+Assumptions!$B$12)*0.05,0)</f>
        <v>0</v>
      </c>
      <c r="BL31" s="30" t="n">
        <f aca="false">IF(AND(Projects!$G$22="Yes",BL$3&gt;=Projects!$C$22,BL$3&lt;Projects!$C$22+Projects!$D$22),Projects!$B$22*INDEX(Curves!$B$4:$AR$4,1,BL$3-Projects!$C$22+1),0)-IF(AND(Projects!$G$22="Yes",BL$3&gt;=Projects!$C$22,BL$3&lt;Projects!$C$22+Projects!$D$22),Projects!$B$22*(Assumptions!$B$10+Assumptions!$B$11+Assumptions!$B$12)/Projects!$D$22*0.95,0)-IF(AND(Projects!$G$22="Yes",BL$3=Projects!$C$22+Projects!$D$22-1),Projects!$B$22*(Assumptions!$B$10+Assumptions!$B$11+Assumptions!$B$12)*0.05,0)</f>
        <v>0</v>
      </c>
      <c r="BM31" s="30" t="n">
        <f aca="false">IF(AND(Projects!$G$22="Yes",BM$3&gt;=Projects!$C$22,BM$3&lt;Projects!$C$22+Projects!$D$22),Projects!$B$22*INDEX(Curves!$B$4:$AR$4,1,BM$3-Projects!$C$22+1),0)-IF(AND(Projects!$G$22="Yes",BM$3&gt;=Projects!$C$22,BM$3&lt;Projects!$C$22+Projects!$D$22),Projects!$B$22*(Assumptions!$B$10+Assumptions!$B$11+Assumptions!$B$12)/Projects!$D$22*0.95,0)-IF(AND(Projects!$G$22="Yes",BM$3=Projects!$C$22+Projects!$D$22-1),Projects!$B$22*(Assumptions!$B$10+Assumptions!$B$11+Assumptions!$B$12)*0.05,0)</f>
        <v>0</v>
      </c>
      <c r="BN31" s="30" t="n">
        <f aca="false">IF(AND(Projects!$G$22="Yes",BN$3&gt;=Projects!$C$22,BN$3&lt;Projects!$C$22+Projects!$D$22),Projects!$B$22*INDEX(Curves!$B$4:$AR$4,1,BN$3-Projects!$C$22+1),0)-IF(AND(Projects!$G$22="Yes",BN$3&gt;=Projects!$C$22,BN$3&lt;Projects!$C$22+Projects!$D$22),Projects!$B$22*(Assumptions!$B$10+Assumptions!$B$11+Assumptions!$B$12)/Projects!$D$22*0.95,0)-IF(AND(Projects!$G$22="Yes",BN$3=Projects!$C$22+Projects!$D$22-1),Projects!$B$22*(Assumptions!$B$10+Assumptions!$B$11+Assumptions!$B$12)*0.05,0)</f>
        <v>0</v>
      </c>
      <c r="BO31" s="30" t="n">
        <f aca="false">IF(AND(Projects!$G$22="Yes",BO$3&gt;=Projects!$C$22,BO$3&lt;Projects!$C$22+Projects!$D$22),Projects!$B$22*INDEX(Curves!$B$4:$AR$4,1,BO$3-Projects!$C$22+1),0)-IF(AND(Projects!$G$22="Yes",BO$3&gt;=Projects!$C$22,BO$3&lt;Projects!$C$22+Projects!$D$22),Projects!$B$22*(Assumptions!$B$10+Assumptions!$B$11+Assumptions!$B$12)/Projects!$D$22*0.95,0)-IF(AND(Projects!$G$22="Yes",BO$3=Projects!$C$22+Projects!$D$22-1),Projects!$B$22*(Assumptions!$B$10+Assumptions!$B$11+Assumptions!$B$12)*0.05,0)</f>
        <v>0</v>
      </c>
      <c r="BP31" s="30" t="n">
        <f aca="false">IF(AND(Projects!$G$22="Yes",BP$3&gt;=Projects!$C$22,BP$3&lt;Projects!$C$22+Projects!$D$22),Projects!$B$22*INDEX(Curves!$B$4:$AR$4,1,BP$3-Projects!$C$22+1),0)-IF(AND(Projects!$G$22="Yes",BP$3&gt;=Projects!$C$22,BP$3&lt;Projects!$C$22+Projects!$D$22),Projects!$B$22*(Assumptions!$B$10+Assumptions!$B$11+Assumptions!$B$12)/Projects!$D$22*0.95,0)-IF(AND(Projects!$G$22="Yes",BP$3=Projects!$C$22+Projects!$D$22-1),Projects!$B$22*(Assumptions!$B$10+Assumptions!$B$11+Assumptions!$B$12)*0.05,0)</f>
        <v>0</v>
      </c>
      <c r="BQ31" s="30" t="n">
        <f aca="false">IF(AND(Projects!$G$22="Yes",BQ$3&gt;=Projects!$C$22,BQ$3&lt;Projects!$C$22+Projects!$D$22),Projects!$B$22*INDEX(Curves!$B$4:$AR$4,1,BQ$3-Projects!$C$22+1),0)-IF(AND(Projects!$G$22="Yes",BQ$3&gt;=Projects!$C$22,BQ$3&lt;Projects!$C$22+Projects!$D$22),Projects!$B$22*(Assumptions!$B$10+Assumptions!$B$11+Assumptions!$B$12)/Projects!$D$22*0.95,0)-IF(AND(Projects!$G$22="Yes",BQ$3=Projects!$C$22+Projects!$D$22-1),Projects!$B$22*(Assumptions!$B$10+Assumptions!$B$11+Assumptions!$B$12)*0.05,0)</f>
        <v>0</v>
      </c>
      <c r="BR31" s="30" t="n">
        <f aca="false">IF(AND(Projects!$G$22="Yes",BR$3&gt;=Projects!$C$22,BR$3&lt;Projects!$C$22+Projects!$D$22),Projects!$B$22*INDEX(Curves!$B$4:$AR$4,1,BR$3-Projects!$C$22+1),0)-IF(AND(Projects!$G$22="Yes",BR$3&gt;=Projects!$C$22,BR$3&lt;Projects!$C$22+Projects!$D$22),Projects!$B$22*(Assumptions!$B$10+Assumptions!$B$11+Assumptions!$B$12)/Projects!$D$22*0.95,0)-IF(AND(Projects!$G$22="Yes",BR$3=Projects!$C$22+Projects!$D$22-1),Projects!$B$22*(Assumptions!$B$10+Assumptions!$B$11+Assumptions!$B$12)*0.05,0)</f>
        <v>0</v>
      </c>
      <c r="BS31" s="30" t="n">
        <f aca="false">IF(AND(Projects!$G$22="Yes",BS$3&gt;=Projects!$C$22,BS$3&lt;Projects!$C$22+Projects!$D$22),Projects!$B$22*INDEX(Curves!$B$4:$AR$4,1,BS$3-Projects!$C$22+1),0)-IF(AND(Projects!$G$22="Yes",BS$3&gt;=Projects!$C$22,BS$3&lt;Projects!$C$22+Projects!$D$22),Projects!$B$22*(Assumptions!$B$10+Assumptions!$B$11+Assumptions!$B$12)/Projects!$D$22*0.95,0)-IF(AND(Projects!$G$22="Yes",BS$3=Projects!$C$22+Projects!$D$22-1),Projects!$B$22*(Assumptions!$B$10+Assumptions!$B$11+Assumptions!$B$12)*0.05,0)</f>
        <v>0</v>
      </c>
      <c r="BT31" s="30" t="n">
        <f aca="false">IF(AND(Projects!$G$22="Yes",BT$3&gt;=Projects!$C$22,BT$3&lt;Projects!$C$22+Projects!$D$22),Projects!$B$22*INDEX(Curves!$B$4:$AR$4,1,BT$3-Projects!$C$22+1),0)-IF(AND(Projects!$G$22="Yes",BT$3&gt;=Projects!$C$22,BT$3&lt;Projects!$C$22+Projects!$D$22),Projects!$B$22*(Assumptions!$B$10+Assumptions!$B$11+Assumptions!$B$12)/Projects!$D$22*0.95,0)-IF(AND(Projects!$G$22="Yes",BT$3=Projects!$C$22+Projects!$D$22-1),Projects!$B$22*(Assumptions!$B$10+Assumptions!$B$11+Assumptions!$B$12)*0.05,0)</f>
        <v>0</v>
      </c>
      <c r="BU31" s="30" t="n">
        <f aca="false">IF(AND(Projects!$G$22="Yes",BU$3&gt;=Projects!$C$22,BU$3&lt;Projects!$C$22+Projects!$D$22),Projects!$B$22*INDEX(Curves!$B$4:$AR$4,1,BU$3-Projects!$C$22+1),0)-IF(AND(Projects!$G$22="Yes",BU$3&gt;=Projects!$C$22,BU$3&lt;Projects!$C$22+Projects!$D$22),Projects!$B$22*(Assumptions!$B$10+Assumptions!$B$11+Assumptions!$B$12)/Projects!$D$22*0.95,0)-IF(AND(Projects!$G$22="Yes",BU$3=Projects!$C$22+Projects!$D$22-1),Projects!$B$22*(Assumptions!$B$10+Assumptions!$B$11+Assumptions!$B$12)*0.05,0)</f>
        <v>0</v>
      </c>
      <c r="BV31" s="30" t="n">
        <f aca="false">IF(AND(Projects!$G$22="Yes",BV$3&gt;=Projects!$C$22,BV$3&lt;Projects!$C$22+Projects!$D$22),Projects!$B$22*INDEX(Curves!$B$4:$AR$4,1,BV$3-Projects!$C$22+1),0)-IF(AND(Projects!$G$22="Yes",BV$3&gt;=Projects!$C$22,BV$3&lt;Projects!$C$22+Projects!$D$22),Projects!$B$22*(Assumptions!$B$10+Assumptions!$B$11+Assumptions!$B$12)/Projects!$D$22*0.95,0)-IF(AND(Projects!$G$22="Yes",BV$3=Projects!$C$22+Projects!$D$22-1),Projects!$B$22*(Assumptions!$B$10+Assumptions!$B$11+Assumptions!$B$12)*0.05,0)</f>
        <v>0</v>
      </c>
      <c r="BW31" s="30" t="n">
        <f aca="false">IF(AND(Projects!$G$22="Yes",BW$3&gt;=Projects!$C$22,BW$3&lt;Projects!$C$22+Projects!$D$22),Projects!$B$22*INDEX(Curves!$B$4:$AR$4,1,BW$3-Projects!$C$22+1),0)-IF(AND(Projects!$G$22="Yes",BW$3&gt;=Projects!$C$22,BW$3&lt;Projects!$C$22+Projects!$D$22),Projects!$B$22*(Assumptions!$B$10+Assumptions!$B$11+Assumptions!$B$12)/Projects!$D$22*0.95,0)-IF(AND(Projects!$G$22="Yes",BW$3=Projects!$C$22+Projects!$D$22-1),Projects!$B$22*(Assumptions!$B$10+Assumptions!$B$11+Assumptions!$B$12)*0.05,0)</f>
        <v>0</v>
      </c>
      <c r="BX31" s="30" t="n">
        <f aca="false">IF(AND(Projects!$G$22="Yes",BX$3&gt;=Projects!$C$22,BX$3&lt;Projects!$C$22+Projects!$D$22),Projects!$B$22*INDEX(Curves!$B$4:$AR$4,1,BX$3-Projects!$C$22+1),0)-IF(AND(Projects!$G$22="Yes",BX$3&gt;=Projects!$C$22,BX$3&lt;Projects!$C$22+Projects!$D$22),Projects!$B$22*(Assumptions!$B$10+Assumptions!$B$11+Assumptions!$B$12)/Projects!$D$22*0.95,0)-IF(AND(Projects!$G$22="Yes",BX$3=Projects!$C$22+Projects!$D$22-1),Projects!$B$22*(Assumptions!$B$10+Assumptions!$B$11+Assumptions!$B$12)*0.05,0)</f>
        <v>0</v>
      </c>
      <c r="BY31" s="30" t="n">
        <f aca="false">IF(AND(Projects!$G$22="Yes",BY$3&gt;=Projects!$C$22,BY$3&lt;Projects!$C$22+Projects!$D$22),Projects!$B$22*INDEX(Curves!$B$4:$AR$4,1,BY$3-Projects!$C$22+1),0)-IF(AND(Projects!$G$22="Yes",BY$3&gt;=Projects!$C$22,BY$3&lt;Projects!$C$22+Projects!$D$22),Projects!$B$22*(Assumptions!$B$10+Assumptions!$B$11+Assumptions!$B$12)/Projects!$D$22*0.95,0)-IF(AND(Projects!$G$22="Yes",BY$3=Projects!$C$22+Projects!$D$22-1),Projects!$B$22*(Assumptions!$B$10+Assumptions!$B$11+Assumptions!$B$12)*0.05,0)</f>
        <v>0</v>
      </c>
      <c r="BZ31" s="30" t="n">
        <f aca="false">IF(AND(Projects!$G$22="Yes",BZ$3&gt;=Projects!$C$22,BZ$3&lt;Projects!$C$22+Projects!$D$22),Projects!$B$22*INDEX(Curves!$B$4:$AR$4,1,BZ$3-Projects!$C$22+1),0)-IF(AND(Projects!$G$22="Yes",BZ$3&gt;=Projects!$C$22,BZ$3&lt;Projects!$C$22+Projects!$D$22),Projects!$B$22*(Assumptions!$B$10+Assumptions!$B$11+Assumptions!$B$12)/Projects!$D$22*0.95,0)-IF(AND(Projects!$G$22="Yes",BZ$3=Projects!$C$22+Projects!$D$22-1),Projects!$B$22*(Assumptions!$B$10+Assumptions!$B$11+Assumptions!$B$12)*0.05,0)</f>
        <v>0</v>
      </c>
      <c r="CA31" s="30" t="n">
        <f aca="false">IF(AND(Projects!$G$22="Yes",CA$3&gt;=Projects!$C$22,CA$3&lt;Projects!$C$22+Projects!$D$22),Projects!$B$22*INDEX(Curves!$B$4:$AR$4,1,CA$3-Projects!$C$22+1),0)-IF(AND(Projects!$G$22="Yes",CA$3&gt;=Projects!$C$22,CA$3&lt;Projects!$C$22+Projects!$D$22),Projects!$B$22*(Assumptions!$B$10+Assumptions!$B$11+Assumptions!$B$12)/Projects!$D$22*0.95,0)-IF(AND(Projects!$G$22="Yes",CA$3=Projects!$C$22+Projects!$D$22-1),Projects!$B$22*(Assumptions!$B$10+Assumptions!$B$11+Assumptions!$B$12)*0.05,0)</f>
        <v>0</v>
      </c>
      <c r="CB31" s="30" t="n">
        <f aca="false">IF(AND(Projects!$G$22="Yes",CB$3&gt;=Projects!$C$22,CB$3&lt;Projects!$C$22+Projects!$D$22),Projects!$B$22*INDEX(Curves!$B$4:$AR$4,1,CB$3-Projects!$C$22+1),0)-IF(AND(Projects!$G$22="Yes",CB$3&gt;=Projects!$C$22,CB$3&lt;Projects!$C$22+Projects!$D$22),Projects!$B$22*(Assumptions!$B$10+Assumptions!$B$11+Assumptions!$B$12)/Projects!$D$22*0.95,0)-IF(AND(Projects!$G$22="Yes",CB$3=Projects!$C$22+Projects!$D$22-1),Projects!$B$22*(Assumptions!$B$10+Assumptions!$B$11+Assumptions!$B$12)*0.05,0)</f>
        <v>0</v>
      </c>
      <c r="CC31" s="30" t="n">
        <f aca="false">IF(AND(Projects!$G$22="Yes",CC$3&gt;=Projects!$C$22,CC$3&lt;Projects!$C$22+Projects!$D$22),Projects!$B$22*INDEX(Curves!$B$4:$AR$4,1,CC$3-Projects!$C$22+1),0)-IF(AND(Projects!$G$22="Yes",CC$3&gt;=Projects!$C$22,CC$3&lt;Projects!$C$22+Projects!$D$22),Projects!$B$22*(Assumptions!$B$10+Assumptions!$B$11+Assumptions!$B$12)/Projects!$D$22*0.95,0)-IF(AND(Projects!$G$22="Yes",CC$3=Projects!$C$22+Projects!$D$22-1),Projects!$B$22*(Assumptions!$B$10+Assumptions!$B$11+Assumptions!$B$12)*0.05,0)</f>
        <v>0</v>
      </c>
      <c r="CD31" s="30" t="n">
        <f aca="false">IF(AND(Projects!$G$22="Yes",CD$3&gt;=Projects!$C$22,CD$3&lt;Projects!$C$22+Projects!$D$22),Projects!$B$22*INDEX(Curves!$B$4:$AR$4,1,CD$3-Projects!$C$22+1),0)-IF(AND(Projects!$G$22="Yes",CD$3&gt;=Projects!$C$22,CD$3&lt;Projects!$C$22+Projects!$D$22),Projects!$B$22*(Assumptions!$B$10+Assumptions!$B$11+Assumptions!$B$12)/Projects!$D$22*0.95,0)-IF(AND(Projects!$G$22="Yes",CD$3=Projects!$C$22+Projects!$D$22-1),Projects!$B$22*(Assumptions!$B$10+Assumptions!$B$11+Assumptions!$B$12)*0.05,0)</f>
        <v>0</v>
      </c>
      <c r="CE31" s="30" t="n">
        <f aca="false">IF(AND(Projects!$G$22="Yes",CE$3&gt;=Projects!$C$22,CE$3&lt;Projects!$C$22+Projects!$D$22),Projects!$B$22*INDEX(Curves!$B$4:$AR$4,1,CE$3-Projects!$C$22+1),0)-IF(AND(Projects!$G$22="Yes",CE$3&gt;=Projects!$C$22,CE$3&lt;Projects!$C$22+Projects!$D$22),Projects!$B$22*(Assumptions!$B$10+Assumptions!$B$11+Assumptions!$B$12)/Projects!$D$22*0.95,0)-IF(AND(Projects!$G$22="Yes",CE$3=Projects!$C$22+Projects!$D$22-1),Projects!$B$22*(Assumptions!$B$10+Assumptions!$B$11+Assumptions!$B$12)*0.05,0)</f>
        <v>0</v>
      </c>
      <c r="CF31" s="30" t="n">
        <f aca="false">IF(AND(Projects!$G$22="Yes",CF$3&gt;=Projects!$C$22,CF$3&lt;Projects!$C$22+Projects!$D$22),Projects!$B$22*INDEX(Curves!$B$4:$AR$4,1,CF$3-Projects!$C$22+1),0)-IF(AND(Projects!$G$22="Yes",CF$3&gt;=Projects!$C$22,CF$3&lt;Projects!$C$22+Projects!$D$22),Projects!$B$22*(Assumptions!$B$10+Assumptions!$B$11+Assumptions!$B$12)/Projects!$D$22*0.95,0)-IF(AND(Projects!$G$22="Yes",CF$3=Projects!$C$22+Projects!$D$22-1),Projects!$B$22*(Assumptions!$B$10+Assumptions!$B$11+Assumptions!$B$12)*0.05,0)</f>
        <v>0</v>
      </c>
      <c r="CG31" s="30" t="n">
        <f aca="false">IF(AND(Projects!$G$22="Yes",CG$3&gt;=Projects!$C$22,CG$3&lt;Projects!$C$22+Projects!$D$22),Projects!$B$22*INDEX(Curves!$B$4:$AR$4,1,CG$3-Projects!$C$22+1),0)-IF(AND(Projects!$G$22="Yes",CG$3&gt;=Projects!$C$22,CG$3&lt;Projects!$C$22+Projects!$D$22),Projects!$B$22*(Assumptions!$B$10+Assumptions!$B$11+Assumptions!$B$12)/Projects!$D$22*0.95,0)-IF(AND(Projects!$G$22="Yes",CG$3=Projects!$C$22+Projects!$D$22-1),Projects!$B$22*(Assumptions!$B$10+Assumptions!$B$11+Assumptions!$B$12)*0.05,0)</f>
        <v>0</v>
      </c>
      <c r="CH31" s="30" t="n">
        <f aca="false">IF(AND(Projects!$G$22="Yes",CH$3&gt;=Projects!$C$22,CH$3&lt;Projects!$C$22+Projects!$D$22),Projects!$B$22*INDEX(Curves!$B$4:$AR$4,1,CH$3-Projects!$C$22+1),0)-IF(AND(Projects!$G$22="Yes",CH$3&gt;=Projects!$C$22,CH$3&lt;Projects!$C$22+Projects!$D$22),Projects!$B$22*(Assumptions!$B$10+Assumptions!$B$11+Assumptions!$B$12)/Projects!$D$22*0.95,0)-IF(AND(Projects!$G$22="Yes",CH$3=Projects!$C$22+Projects!$D$22-1),Projects!$B$22*(Assumptions!$B$10+Assumptions!$B$11+Assumptions!$B$12)*0.05,0)</f>
        <v>0</v>
      </c>
      <c r="CI31" s="30" t="n">
        <f aca="false">IF(AND(Projects!$G$22="Yes",CI$3&gt;=Projects!$C$22,CI$3&lt;Projects!$C$22+Projects!$D$22),Projects!$B$22*INDEX(Curves!$B$4:$AR$4,1,CI$3-Projects!$C$22+1),0)-IF(AND(Projects!$G$22="Yes",CI$3&gt;=Projects!$C$22,CI$3&lt;Projects!$C$22+Projects!$D$22),Projects!$B$22*(Assumptions!$B$10+Assumptions!$B$11+Assumptions!$B$12)/Projects!$D$22*0.95,0)-IF(AND(Projects!$G$22="Yes",CI$3=Projects!$C$22+Projects!$D$22-1),Projects!$B$22*(Assumptions!$B$10+Assumptions!$B$11+Assumptions!$B$12)*0.05,0)</f>
        <v>0</v>
      </c>
      <c r="CJ31" s="30" t="n">
        <f aca="false">IF(AND(Projects!$G$22="Yes",CJ$3&gt;=Projects!$C$22,CJ$3&lt;Projects!$C$22+Projects!$D$22),Projects!$B$22*INDEX(Curves!$B$4:$AR$4,1,CJ$3-Projects!$C$22+1),0)-IF(AND(Projects!$G$22="Yes",CJ$3&gt;=Projects!$C$22,CJ$3&lt;Projects!$C$22+Projects!$D$22),Projects!$B$22*(Assumptions!$B$10+Assumptions!$B$11+Assumptions!$B$12)/Projects!$D$22*0.95,0)-IF(AND(Projects!$G$22="Yes",CJ$3=Projects!$C$22+Projects!$D$22-1),Projects!$B$22*(Assumptions!$B$10+Assumptions!$B$11+Assumptions!$B$12)*0.05,0)</f>
        <v>0</v>
      </c>
      <c r="CK31" s="30" t="n">
        <f aca="false">IF(AND(Projects!$G$22="Yes",CK$3&gt;=Projects!$C$22,CK$3&lt;Projects!$C$22+Projects!$D$22),Projects!$B$22*INDEX(Curves!$B$4:$AR$4,1,CK$3-Projects!$C$22+1),0)-IF(AND(Projects!$G$22="Yes",CK$3&gt;=Projects!$C$22,CK$3&lt;Projects!$C$22+Projects!$D$22),Projects!$B$22*(Assumptions!$B$10+Assumptions!$B$11+Assumptions!$B$12)/Projects!$D$22*0.95,0)-IF(AND(Projects!$G$22="Yes",CK$3=Projects!$C$22+Projects!$D$22-1),Projects!$B$22*(Assumptions!$B$10+Assumptions!$B$11+Assumptions!$B$12)*0.05,0)</f>
        <v>0</v>
      </c>
      <c r="CL31" s="30" t="n">
        <f aca="false">IF(AND(Projects!$G$22="Yes",CL$3&gt;=Projects!$C$22,CL$3&lt;Projects!$C$22+Projects!$D$22),Projects!$B$22*INDEX(Curves!$B$4:$AR$4,1,CL$3-Projects!$C$22+1),0)-IF(AND(Projects!$G$22="Yes",CL$3&gt;=Projects!$C$22,CL$3&lt;Projects!$C$22+Projects!$D$22),Projects!$B$22*(Assumptions!$B$10+Assumptions!$B$11+Assumptions!$B$12)/Projects!$D$22*0.95,0)-IF(AND(Projects!$G$22="Yes",CL$3=Projects!$C$22+Projects!$D$22-1),Projects!$B$22*(Assumptions!$B$10+Assumptions!$B$11+Assumptions!$B$12)*0.05,0)</f>
        <v>0</v>
      </c>
      <c r="CM31" s="30" t="n">
        <f aca="false">IF(AND(Projects!$G$22="Yes",CM$3&gt;=Projects!$C$22,CM$3&lt;Projects!$C$22+Projects!$D$22),Projects!$B$22*INDEX(Curves!$B$4:$AR$4,1,CM$3-Projects!$C$22+1),0)-IF(AND(Projects!$G$22="Yes",CM$3&gt;=Projects!$C$22,CM$3&lt;Projects!$C$22+Projects!$D$22),Projects!$B$22*(Assumptions!$B$10+Assumptions!$B$11+Assumptions!$B$12)/Projects!$D$22*0.95,0)-IF(AND(Projects!$G$22="Yes",CM$3=Projects!$C$22+Projects!$D$22-1),Projects!$B$22*(Assumptions!$B$10+Assumptions!$B$11+Assumptions!$B$12)*0.05,0)</f>
        <v>0</v>
      </c>
      <c r="CN31" s="30" t="n">
        <f aca="false">IF(AND(Projects!$G$22="Yes",CN$3&gt;=Projects!$C$22,CN$3&lt;Projects!$C$22+Projects!$D$22),Projects!$B$22*INDEX(Curves!$B$4:$AR$4,1,CN$3-Projects!$C$22+1),0)-IF(AND(Projects!$G$22="Yes",CN$3&gt;=Projects!$C$22,CN$3&lt;Projects!$C$22+Projects!$D$22),Projects!$B$22*(Assumptions!$B$10+Assumptions!$B$11+Assumptions!$B$12)/Projects!$D$22*0.95,0)-IF(AND(Projects!$G$22="Yes",CN$3=Projects!$C$22+Projects!$D$22-1),Projects!$B$22*(Assumptions!$B$10+Assumptions!$B$11+Assumptions!$B$12)*0.05,0)</f>
        <v>0</v>
      </c>
      <c r="CO31" s="30" t="n">
        <f aca="false">IF(AND(Projects!$G$22="Yes",CO$3&gt;=Projects!$C$22,CO$3&lt;Projects!$C$22+Projects!$D$22),Projects!$B$22*INDEX(Curves!$B$4:$AR$4,1,CO$3-Projects!$C$22+1),0)-IF(AND(Projects!$G$22="Yes",CO$3&gt;=Projects!$C$22,CO$3&lt;Projects!$C$22+Projects!$D$22),Projects!$B$22*(Assumptions!$B$10+Assumptions!$B$11+Assumptions!$B$12)/Projects!$D$22*0.95,0)-IF(AND(Projects!$G$22="Yes",CO$3=Projects!$C$22+Projects!$D$22-1),Projects!$B$22*(Assumptions!$B$10+Assumptions!$B$11+Assumptions!$B$12)*0.05,0)</f>
        <v>0</v>
      </c>
      <c r="CP31" s="30" t="n">
        <f aca="false">IF(AND(Projects!$G$22="Yes",CP$3&gt;=Projects!$C$22,CP$3&lt;Projects!$C$22+Projects!$D$22),Projects!$B$22*INDEX(Curves!$B$4:$AR$4,1,CP$3-Projects!$C$22+1),0)-IF(AND(Projects!$G$22="Yes",CP$3&gt;=Projects!$C$22,CP$3&lt;Projects!$C$22+Projects!$D$22),Projects!$B$22*(Assumptions!$B$10+Assumptions!$B$11+Assumptions!$B$12)/Projects!$D$22*0.95,0)-IF(AND(Projects!$G$22="Yes",CP$3=Projects!$C$22+Projects!$D$22-1),Projects!$B$22*(Assumptions!$B$10+Assumptions!$B$11+Assumptions!$B$12)*0.05,0)</f>
        <v>0</v>
      </c>
      <c r="CQ31" s="30" t="n">
        <f aca="false">IF(AND(Projects!$G$22="Yes",CQ$3&gt;=Projects!$C$22,CQ$3&lt;Projects!$C$22+Projects!$D$22),Projects!$B$22*INDEX(Curves!$B$4:$AR$4,1,CQ$3-Projects!$C$22+1),0)-IF(AND(Projects!$G$22="Yes",CQ$3&gt;=Projects!$C$22,CQ$3&lt;Projects!$C$22+Projects!$D$22),Projects!$B$22*(Assumptions!$B$10+Assumptions!$B$11+Assumptions!$B$12)/Projects!$D$22*0.95,0)-IF(AND(Projects!$G$22="Yes",CQ$3=Projects!$C$22+Projects!$D$22-1),Projects!$B$22*(Assumptions!$B$10+Assumptions!$B$11+Assumptions!$B$12)*0.05,0)</f>
        <v>0</v>
      </c>
      <c r="CR31" s="30" t="n">
        <f aca="false">IF(AND(Projects!$G$22="Yes",CR$3&gt;=Projects!$C$22,CR$3&lt;Projects!$C$22+Projects!$D$22),Projects!$B$22*INDEX(Curves!$B$4:$AR$4,1,CR$3-Projects!$C$22+1),0)-IF(AND(Projects!$G$22="Yes",CR$3&gt;=Projects!$C$22,CR$3&lt;Projects!$C$22+Projects!$D$22),Projects!$B$22*(Assumptions!$B$10+Assumptions!$B$11+Assumptions!$B$12)/Projects!$D$22*0.95,0)-IF(AND(Projects!$G$22="Yes",CR$3=Projects!$C$22+Projects!$D$22-1),Projects!$B$22*(Assumptions!$B$10+Assumptions!$B$11+Assumptions!$B$12)*0.05,0)</f>
        <v>0</v>
      </c>
      <c r="CS31" s="30" t="n">
        <f aca="false">IF(AND(Projects!$G$22="Yes",CS$3&gt;=Projects!$C$22,CS$3&lt;Projects!$C$22+Projects!$D$22),Projects!$B$22*INDEX(Curves!$B$4:$AR$4,1,CS$3-Projects!$C$22+1),0)-IF(AND(Projects!$G$22="Yes",CS$3&gt;=Projects!$C$22,CS$3&lt;Projects!$C$22+Projects!$D$22),Projects!$B$22*(Assumptions!$B$10+Assumptions!$B$11+Assumptions!$B$12)/Projects!$D$22*0.95,0)-IF(AND(Projects!$G$22="Yes",CS$3=Projects!$C$22+Projects!$D$22-1),Projects!$B$22*(Assumptions!$B$10+Assumptions!$B$11+Assumptions!$B$12)*0.05,0)</f>
        <v>0</v>
      </c>
      <c r="CT31" s="30" t="n">
        <f aca="false">IF(AND(Projects!$G$22="Yes",CT$3&gt;=Projects!$C$22,CT$3&lt;Projects!$C$22+Projects!$D$22),Projects!$B$22*INDEX(Curves!$B$4:$AR$4,1,CT$3-Projects!$C$22+1),0)-IF(AND(Projects!$G$22="Yes",CT$3&gt;=Projects!$C$22,CT$3&lt;Projects!$C$22+Projects!$D$22),Projects!$B$22*(Assumptions!$B$10+Assumptions!$B$11+Assumptions!$B$12)/Projects!$D$22*0.95,0)-IF(AND(Projects!$G$22="Yes",CT$3=Projects!$C$22+Projects!$D$22-1),Projects!$B$22*(Assumptions!$B$10+Assumptions!$B$11+Assumptions!$B$12)*0.05,0)</f>
        <v>0</v>
      </c>
      <c r="CU31" s="30" t="n">
        <f aca="false">IF(AND(Projects!$G$22="Yes",CU$3&gt;=Projects!$C$22,CU$3&lt;Projects!$C$22+Projects!$D$22),Projects!$B$22*INDEX(Curves!$B$4:$AR$4,1,CU$3-Projects!$C$22+1),0)-IF(AND(Projects!$G$22="Yes",CU$3&gt;=Projects!$C$22,CU$3&lt;Projects!$C$22+Projects!$D$22),Projects!$B$22*(Assumptions!$B$10+Assumptions!$B$11+Assumptions!$B$12)/Projects!$D$22*0.95,0)-IF(AND(Projects!$G$22="Yes",CU$3=Projects!$C$22+Projects!$D$22-1),Projects!$B$22*(Assumptions!$B$10+Assumptions!$B$11+Assumptions!$B$12)*0.05,0)</f>
        <v>0</v>
      </c>
      <c r="CV31" s="30" t="n">
        <f aca="false">IF(AND(Projects!$G$22="Yes",CV$3&gt;=Projects!$C$22,CV$3&lt;Projects!$C$22+Projects!$D$22),Projects!$B$22*INDEX(Curves!$B$4:$AR$4,1,CV$3-Projects!$C$22+1),0)-IF(AND(Projects!$G$22="Yes",CV$3&gt;=Projects!$C$22,CV$3&lt;Projects!$C$22+Projects!$D$22),Projects!$B$22*(Assumptions!$B$10+Assumptions!$B$11+Assumptions!$B$12)/Projects!$D$22*0.95,0)-IF(AND(Projects!$G$22="Yes",CV$3=Projects!$C$22+Projects!$D$22-1),Projects!$B$22*(Assumptions!$B$10+Assumptions!$B$11+Assumptions!$B$12)*0.05,0)</f>
        <v>0</v>
      </c>
      <c r="CW31" s="30" t="n">
        <f aca="false">IF(AND(Projects!$G$22="Yes",CW$3&gt;=Projects!$C$22,CW$3&lt;Projects!$C$22+Projects!$D$22),Projects!$B$22*INDEX(Curves!$B$4:$AR$4,1,CW$3-Projects!$C$22+1),0)-IF(AND(Projects!$G$22="Yes",CW$3&gt;=Projects!$C$22,CW$3&lt;Projects!$C$22+Projects!$D$22),Projects!$B$22*(Assumptions!$B$10+Assumptions!$B$11+Assumptions!$B$12)/Projects!$D$22*0.95,0)-IF(AND(Projects!$G$22="Yes",CW$3=Projects!$C$22+Projects!$D$22-1),Projects!$B$22*(Assumptions!$B$10+Assumptions!$B$11+Assumptions!$B$12)*0.05,0)</f>
        <v>0</v>
      </c>
      <c r="CX31" s="30" t="n">
        <f aca="false">IF(AND(Projects!$G$22="Yes",CX$3&gt;=Projects!$C$22,CX$3&lt;Projects!$C$22+Projects!$D$22),Projects!$B$22*INDEX(Curves!$B$4:$AR$4,1,CX$3-Projects!$C$22+1),0)-IF(AND(Projects!$G$22="Yes",CX$3&gt;=Projects!$C$22,CX$3&lt;Projects!$C$22+Projects!$D$22),Projects!$B$22*(Assumptions!$B$10+Assumptions!$B$11+Assumptions!$B$12)/Projects!$D$22*0.95,0)-IF(AND(Projects!$G$22="Yes",CX$3=Projects!$C$22+Projects!$D$22-1),Projects!$B$22*(Assumptions!$B$10+Assumptions!$B$11+Assumptions!$B$12)*0.05,0)</f>
        <v>0</v>
      </c>
      <c r="CY31" s="30" t="n">
        <f aca="false">IF(AND(Projects!$G$22="Yes",CY$3&gt;=Projects!$C$22,CY$3&lt;Projects!$C$22+Projects!$D$22),Projects!$B$22*INDEX(Curves!$B$4:$AR$4,1,CY$3-Projects!$C$22+1),0)-IF(AND(Projects!$G$22="Yes",CY$3&gt;=Projects!$C$22,CY$3&lt;Projects!$C$22+Projects!$D$22),Projects!$B$22*(Assumptions!$B$10+Assumptions!$B$11+Assumptions!$B$12)/Projects!$D$22*0.95,0)-IF(AND(Projects!$G$22="Yes",CY$3=Projects!$C$22+Projects!$D$22-1),Projects!$B$22*(Assumptions!$B$10+Assumptions!$B$11+Assumptions!$B$12)*0.05,0)</f>
        <v>0</v>
      </c>
      <c r="CZ31" s="30" t="n">
        <f aca="false">IF(AND(Projects!$G$22="Yes",CZ$3&gt;=Projects!$C$22,CZ$3&lt;Projects!$C$22+Projects!$D$22),Projects!$B$22*INDEX(Curves!$B$4:$AR$4,1,CZ$3-Projects!$C$22+1),0)-IF(AND(Projects!$G$22="Yes",CZ$3&gt;=Projects!$C$22,CZ$3&lt;Projects!$C$22+Projects!$D$22),Projects!$B$22*(Assumptions!$B$10+Assumptions!$B$11+Assumptions!$B$12)/Projects!$D$22*0.95,0)-IF(AND(Projects!$G$22="Yes",CZ$3=Projects!$C$22+Projects!$D$22-1),Projects!$B$22*(Assumptions!$B$10+Assumptions!$B$11+Assumptions!$B$12)*0.05,0)</f>
        <v>0</v>
      </c>
      <c r="DA31" s="30" t="n">
        <f aca="false">IF(AND(Projects!$G$22="Yes",DA$3&gt;=Projects!$C$22,DA$3&lt;Projects!$C$22+Projects!$D$22),Projects!$B$22*INDEX(Curves!$B$4:$AR$4,1,DA$3-Projects!$C$22+1),0)-IF(AND(Projects!$G$22="Yes",DA$3&gt;=Projects!$C$22,DA$3&lt;Projects!$C$22+Projects!$D$22),Projects!$B$22*(Assumptions!$B$10+Assumptions!$B$11+Assumptions!$B$12)/Projects!$D$22*0.95,0)-IF(AND(Projects!$G$22="Yes",DA$3=Projects!$C$22+Projects!$D$22-1),Projects!$B$22*(Assumptions!$B$10+Assumptions!$B$11+Assumptions!$B$12)*0.05,0)</f>
        <v>0</v>
      </c>
      <c r="DB31" s="30" t="n">
        <f aca="false">IF(AND(Projects!$G$22="Yes",DB$3&gt;=Projects!$C$22,DB$3&lt;Projects!$C$22+Projects!$D$22),Projects!$B$22*INDEX(Curves!$B$4:$AR$4,1,DB$3-Projects!$C$22+1),0)-IF(AND(Projects!$G$22="Yes",DB$3&gt;=Projects!$C$22,DB$3&lt;Projects!$C$22+Projects!$D$22),Projects!$B$22*(Assumptions!$B$10+Assumptions!$B$11+Assumptions!$B$12)/Projects!$D$22*0.95,0)-IF(AND(Projects!$G$22="Yes",DB$3=Projects!$C$22+Projects!$D$22-1),Projects!$B$22*(Assumptions!$B$10+Assumptions!$B$11+Assumptions!$B$12)*0.05,0)</f>
        <v>0</v>
      </c>
      <c r="DC31" s="30" t="n">
        <f aca="false">IF(AND(Projects!$G$22="Yes",DC$3&gt;=Projects!$C$22,DC$3&lt;Projects!$C$22+Projects!$D$22),Projects!$B$22*INDEX(Curves!$B$4:$AR$4,1,DC$3-Projects!$C$22+1),0)-IF(AND(Projects!$G$22="Yes",DC$3&gt;=Projects!$C$22,DC$3&lt;Projects!$C$22+Projects!$D$22),Projects!$B$22*(Assumptions!$B$10+Assumptions!$B$11+Assumptions!$B$12)/Projects!$D$22*0.95,0)-IF(AND(Projects!$G$22="Yes",DC$3=Projects!$C$22+Projects!$D$22-1),Projects!$B$22*(Assumptions!$B$10+Assumptions!$B$11+Assumptions!$B$12)*0.05,0)</f>
        <v>0</v>
      </c>
      <c r="DD31" s="30" t="n">
        <f aca="false">IF(AND(Projects!$G$22="Yes",DD$3&gt;=Projects!$C$22,DD$3&lt;Projects!$C$22+Projects!$D$22),Projects!$B$22*INDEX(Curves!$B$4:$AR$4,1,DD$3-Projects!$C$22+1),0)-IF(AND(Projects!$G$22="Yes",DD$3&gt;=Projects!$C$22,DD$3&lt;Projects!$C$22+Projects!$D$22),Projects!$B$22*(Assumptions!$B$10+Assumptions!$B$11+Assumptions!$B$12)/Projects!$D$22*0.95,0)-IF(AND(Projects!$G$22="Yes",DD$3=Projects!$C$22+Projects!$D$22-1),Projects!$B$22*(Assumptions!$B$10+Assumptions!$B$11+Assumptions!$B$12)*0.05,0)</f>
        <v>0</v>
      </c>
      <c r="DE31" s="30" t="n">
        <f aca="false">IF(AND(Projects!$G$22="Yes",DE$3&gt;=Projects!$C$22,DE$3&lt;Projects!$C$22+Projects!$D$22),Projects!$B$22*INDEX(Curves!$B$4:$AR$4,1,DE$3-Projects!$C$22+1),0)-IF(AND(Projects!$G$22="Yes",DE$3&gt;=Projects!$C$22,DE$3&lt;Projects!$C$22+Projects!$D$22),Projects!$B$22*(Assumptions!$B$10+Assumptions!$B$11+Assumptions!$B$12)/Projects!$D$22*0.95,0)-IF(AND(Projects!$G$22="Yes",DE$3=Projects!$C$22+Projects!$D$22-1),Projects!$B$22*(Assumptions!$B$10+Assumptions!$B$11+Assumptions!$B$12)*0.05,0)</f>
        <v>0</v>
      </c>
    </row>
    <row r="32" customFormat="false" ht="15" hidden="true" customHeight="true" outlineLevel="1" collapsed="false">
      <c r="A32" s="32" t="s">
        <v>26</v>
      </c>
      <c r="B32" s="30" t="n">
        <v>0</v>
      </c>
      <c r="C32" s="30" t="n">
        <v>0</v>
      </c>
      <c r="D32" s="30" t="n">
        <v>0</v>
      </c>
      <c r="E32" s="30" t="n">
        <v>0</v>
      </c>
      <c r="F32" s="30" t="n">
        <f aca="false">IF(AND(Projects!$G$23="Yes",F$3&gt;=Projects!$C$23,F$3&lt;Projects!$C$23+Projects!$D$23),Projects!$B$23*INDEX(Curves!$B$4:$AR$4,1,F$3-Projects!$C$23+1),0)-IF(AND(Projects!$G$23="Yes",F$3&gt;=Projects!$C$23,F$3&lt;Projects!$C$23+Projects!$D$23),Projects!$B$23*(Assumptions!$B$10+Assumptions!$B$11+Assumptions!$B$12)/Projects!$D$23*0.95,0)-IF(AND(Projects!$G$23="Yes",F$3=Projects!$C$23+Projects!$D$23-1),Projects!$B$23*(Assumptions!$B$10+Assumptions!$B$11+Assumptions!$B$12)*0.05,0)</f>
        <v>0</v>
      </c>
      <c r="G32" s="30" t="n">
        <f aca="false">IF(AND(Projects!$G$23="Yes",G$3&gt;=Projects!$C$23,G$3&lt;Projects!$C$23+Projects!$D$23),Projects!$B$23*INDEX(Curves!$B$4:$AR$4,1,G$3-Projects!$C$23+1),0)-IF(AND(Projects!$G$23="Yes",G$3&gt;=Projects!$C$23,G$3&lt;Projects!$C$23+Projects!$D$23),Projects!$B$23*(Assumptions!$B$10+Assumptions!$B$11+Assumptions!$B$12)/Projects!$D$23*0.95,0)-IF(AND(Projects!$G$23="Yes",G$3=Projects!$C$23+Projects!$D$23-1),Projects!$B$23*(Assumptions!$B$10+Assumptions!$B$11+Assumptions!$B$12)*0.05,0)</f>
        <v>0</v>
      </c>
      <c r="H32" s="30" t="n">
        <f aca="false">IF(AND(Projects!$G$23="Yes",H$3&gt;=Projects!$C$23,H$3&lt;Projects!$C$23+Projects!$D$23),Projects!$B$23*INDEX(Curves!$B$4:$AR$4,1,H$3-Projects!$C$23+1),0)-IF(AND(Projects!$G$23="Yes",H$3&gt;=Projects!$C$23,H$3&lt;Projects!$C$23+Projects!$D$23),Projects!$B$23*(Assumptions!$B$10+Assumptions!$B$11+Assumptions!$B$12)/Projects!$D$23*0.95,0)-IF(AND(Projects!$G$23="Yes",H$3=Projects!$C$23+Projects!$D$23-1),Projects!$B$23*(Assumptions!$B$10+Assumptions!$B$11+Assumptions!$B$12)*0.05,0)</f>
        <v>0</v>
      </c>
      <c r="I32" s="30" t="n">
        <f aca="false">IF(AND(Projects!$G$23="Yes",I$3&gt;=Projects!$C$23,I$3&lt;Projects!$C$23+Projects!$D$23),Projects!$B$23*INDEX(Curves!$B$4:$AR$4,1,I$3-Projects!$C$23+1),0)-IF(AND(Projects!$G$23="Yes",I$3&gt;=Projects!$C$23,I$3&lt;Projects!$C$23+Projects!$D$23),Projects!$B$23*(Assumptions!$B$10+Assumptions!$B$11+Assumptions!$B$12)/Projects!$D$23*0.95,0)-IF(AND(Projects!$G$23="Yes",I$3=Projects!$C$23+Projects!$D$23-1),Projects!$B$23*(Assumptions!$B$10+Assumptions!$B$11+Assumptions!$B$12)*0.05,0)</f>
        <v>0</v>
      </c>
      <c r="J32" s="30" t="n">
        <f aca="false">IF(AND(Projects!$G$23="Yes",J$3&gt;=Projects!$C$23,J$3&lt;Projects!$C$23+Projects!$D$23),Projects!$B$23*INDEX(Curves!$B$4:$AR$4,1,J$3-Projects!$C$23+1),0)-IF(AND(Projects!$G$23="Yes",J$3&gt;=Projects!$C$23,J$3&lt;Projects!$C$23+Projects!$D$23),Projects!$B$23*(Assumptions!$B$10+Assumptions!$B$11+Assumptions!$B$12)/Projects!$D$23*0.95,0)-IF(AND(Projects!$G$23="Yes",J$3=Projects!$C$23+Projects!$D$23-1),Projects!$B$23*(Assumptions!$B$10+Assumptions!$B$11+Assumptions!$B$12)*0.05,0)</f>
        <v>0</v>
      </c>
      <c r="K32" s="30" t="n">
        <f aca="false">IF(AND(Projects!$G$23="Yes",K$3&gt;=Projects!$C$23,K$3&lt;Projects!$C$23+Projects!$D$23),Projects!$B$23*INDEX(Curves!$B$4:$AR$4,1,K$3-Projects!$C$23+1),0)-IF(AND(Projects!$G$23="Yes",K$3&gt;=Projects!$C$23,K$3&lt;Projects!$C$23+Projects!$D$23),Projects!$B$23*(Assumptions!$B$10+Assumptions!$B$11+Assumptions!$B$12)/Projects!$D$23*0.95,0)-IF(AND(Projects!$G$23="Yes",K$3=Projects!$C$23+Projects!$D$23-1),Projects!$B$23*(Assumptions!$B$10+Assumptions!$B$11+Assumptions!$B$12)*0.05,0)</f>
        <v>0</v>
      </c>
      <c r="L32" s="30" t="n">
        <f aca="false">IF(AND(Projects!$G$23="Yes",L$3&gt;=Projects!$C$23,L$3&lt;Projects!$C$23+Projects!$D$23),Projects!$B$23*INDEX(Curves!$B$4:$AR$4,1,L$3-Projects!$C$23+1),0)-IF(AND(Projects!$G$23="Yes",L$3&gt;=Projects!$C$23,L$3&lt;Projects!$C$23+Projects!$D$23),Projects!$B$23*(Assumptions!$B$10+Assumptions!$B$11+Assumptions!$B$12)/Projects!$D$23*0.95,0)-IF(AND(Projects!$G$23="Yes",L$3=Projects!$C$23+Projects!$D$23-1),Projects!$B$23*(Assumptions!$B$10+Assumptions!$B$11+Assumptions!$B$12)*0.05,0)</f>
        <v>0</v>
      </c>
      <c r="M32" s="30" t="n">
        <f aca="false">IF(AND(Projects!$G$23="Yes",M$3&gt;=Projects!$C$23,M$3&lt;Projects!$C$23+Projects!$D$23),Projects!$B$23*INDEX(Curves!$B$4:$AR$4,1,M$3-Projects!$C$23+1),0)-IF(AND(Projects!$G$23="Yes",M$3&gt;=Projects!$C$23,M$3&lt;Projects!$C$23+Projects!$D$23),Projects!$B$23*(Assumptions!$B$10+Assumptions!$B$11+Assumptions!$B$12)/Projects!$D$23*0.95,0)-IF(AND(Projects!$G$23="Yes",M$3=Projects!$C$23+Projects!$D$23-1),Projects!$B$23*(Assumptions!$B$10+Assumptions!$B$11+Assumptions!$B$12)*0.05,0)</f>
        <v>0</v>
      </c>
      <c r="N32" s="30" t="n">
        <f aca="false">IF(AND(Projects!$G$23="Yes",N$3&gt;=Projects!$C$23,N$3&lt;Projects!$C$23+Projects!$D$23),Projects!$B$23*INDEX(Curves!$B$4:$AR$4,1,N$3-Projects!$C$23+1),0)-IF(AND(Projects!$G$23="Yes",N$3&gt;=Projects!$C$23,N$3&lt;Projects!$C$23+Projects!$D$23),Projects!$B$23*(Assumptions!$B$10+Assumptions!$B$11+Assumptions!$B$12)/Projects!$D$23*0.95,0)-IF(AND(Projects!$G$23="Yes",N$3=Projects!$C$23+Projects!$D$23-1),Projects!$B$23*(Assumptions!$B$10+Assumptions!$B$11+Assumptions!$B$12)*0.05,0)</f>
        <v>0</v>
      </c>
      <c r="O32" s="30" t="n">
        <f aca="false">IF(AND(Projects!$G$23="Yes",O$3&gt;=Projects!$C$23,O$3&lt;Projects!$C$23+Projects!$D$23),Projects!$B$23*INDEX(Curves!$B$4:$AR$4,1,O$3-Projects!$C$23+1),0)-IF(AND(Projects!$G$23="Yes",O$3&gt;=Projects!$C$23,O$3&lt;Projects!$C$23+Projects!$D$23),Projects!$B$23*(Assumptions!$B$10+Assumptions!$B$11+Assumptions!$B$12)/Projects!$D$23*0.95,0)-IF(AND(Projects!$G$23="Yes",O$3=Projects!$C$23+Projects!$D$23-1),Projects!$B$23*(Assumptions!$B$10+Assumptions!$B$11+Assumptions!$B$12)*0.05,0)</f>
        <v>0</v>
      </c>
      <c r="P32" s="30" t="n">
        <f aca="false">IF(AND(Projects!$G$23="Yes",P$3&gt;=Projects!$C$23,P$3&lt;Projects!$C$23+Projects!$D$23),Projects!$B$23*INDEX(Curves!$B$4:$AR$4,1,P$3-Projects!$C$23+1),0)-IF(AND(Projects!$G$23="Yes",P$3&gt;=Projects!$C$23,P$3&lt;Projects!$C$23+Projects!$D$23),Projects!$B$23*(Assumptions!$B$10+Assumptions!$B$11+Assumptions!$B$12)/Projects!$D$23*0.95,0)-IF(AND(Projects!$G$23="Yes",P$3=Projects!$C$23+Projects!$D$23-1),Projects!$B$23*(Assumptions!$B$10+Assumptions!$B$11+Assumptions!$B$12)*0.05,0)</f>
        <v>0</v>
      </c>
      <c r="Q32" s="30" t="n">
        <f aca="false">IF(AND(Projects!$G$23="Yes",Q$3&gt;=Projects!$C$23,Q$3&lt;Projects!$C$23+Projects!$D$23),Projects!$B$23*INDEX(Curves!$B$4:$AR$4,1,Q$3-Projects!$C$23+1),0)-IF(AND(Projects!$G$23="Yes",Q$3&gt;=Projects!$C$23,Q$3&lt;Projects!$C$23+Projects!$D$23),Projects!$B$23*(Assumptions!$B$10+Assumptions!$B$11+Assumptions!$B$12)/Projects!$D$23*0.95,0)-IF(AND(Projects!$G$23="Yes",Q$3=Projects!$C$23+Projects!$D$23-1),Projects!$B$23*(Assumptions!$B$10+Assumptions!$B$11+Assumptions!$B$12)*0.05,0)</f>
        <v>0</v>
      </c>
      <c r="R32" s="30" t="n">
        <f aca="false">IF(AND(Projects!$G$23="Yes",R$3&gt;=Projects!$C$23,R$3&lt;Projects!$C$23+Projects!$D$23),Projects!$B$23*INDEX(Curves!$B$4:$AR$4,1,R$3-Projects!$C$23+1),0)-IF(AND(Projects!$G$23="Yes",R$3&gt;=Projects!$C$23,R$3&lt;Projects!$C$23+Projects!$D$23),Projects!$B$23*(Assumptions!$B$10+Assumptions!$B$11+Assumptions!$B$12)/Projects!$D$23*0.95,0)-IF(AND(Projects!$G$23="Yes",R$3=Projects!$C$23+Projects!$D$23-1),Projects!$B$23*(Assumptions!$B$10+Assumptions!$B$11+Assumptions!$B$12)*0.05,0)</f>
        <v>0</v>
      </c>
      <c r="S32" s="30" t="n">
        <f aca="false">IF(AND(Projects!$G$23="Yes",S$3&gt;=Projects!$C$23,S$3&lt;Projects!$C$23+Projects!$D$23),Projects!$B$23*INDEX(Curves!$B$4:$AR$4,1,S$3-Projects!$C$23+1),0)-IF(AND(Projects!$G$23="Yes",S$3&gt;=Projects!$C$23,S$3&lt;Projects!$C$23+Projects!$D$23),Projects!$B$23*(Assumptions!$B$10+Assumptions!$B$11+Assumptions!$B$12)/Projects!$D$23*0.95,0)-IF(AND(Projects!$G$23="Yes",S$3=Projects!$C$23+Projects!$D$23-1),Projects!$B$23*(Assumptions!$B$10+Assumptions!$B$11+Assumptions!$B$12)*0.05,0)</f>
        <v>0</v>
      </c>
      <c r="T32" s="30" t="n">
        <f aca="false">IF(AND(Projects!$G$23="Yes",T$3&gt;=Projects!$C$23,T$3&lt;Projects!$C$23+Projects!$D$23),Projects!$B$23*INDEX(Curves!$B$4:$AR$4,1,T$3-Projects!$C$23+1),0)-IF(AND(Projects!$G$23="Yes",T$3&gt;=Projects!$C$23,T$3&lt;Projects!$C$23+Projects!$D$23),Projects!$B$23*(Assumptions!$B$10+Assumptions!$B$11+Assumptions!$B$12)/Projects!$D$23*0.95,0)-IF(AND(Projects!$G$23="Yes",T$3=Projects!$C$23+Projects!$D$23-1),Projects!$B$23*(Assumptions!$B$10+Assumptions!$B$11+Assumptions!$B$12)*0.05,0)</f>
        <v>0</v>
      </c>
      <c r="U32" s="30" t="n">
        <f aca="false">IF(AND(Projects!$G$23="Yes",U$3&gt;=Projects!$C$23,U$3&lt;Projects!$C$23+Projects!$D$23),Projects!$B$23*INDEX(Curves!$B$4:$AR$4,1,U$3-Projects!$C$23+1),0)-IF(AND(Projects!$G$23="Yes",U$3&gt;=Projects!$C$23,U$3&lt;Projects!$C$23+Projects!$D$23),Projects!$B$23*(Assumptions!$B$10+Assumptions!$B$11+Assumptions!$B$12)/Projects!$D$23*0.95,0)-IF(AND(Projects!$G$23="Yes",U$3=Projects!$C$23+Projects!$D$23-1),Projects!$B$23*(Assumptions!$B$10+Assumptions!$B$11+Assumptions!$B$12)*0.05,0)</f>
        <v>0</v>
      </c>
      <c r="V32" s="30" t="n">
        <f aca="false">IF(AND(Projects!$G$23="Yes",V$3&gt;=Projects!$C$23,V$3&lt;Projects!$C$23+Projects!$D$23),Projects!$B$23*INDEX(Curves!$B$4:$AR$4,1,V$3-Projects!$C$23+1),0)-IF(AND(Projects!$G$23="Yes",V$3&gt;=Projects!$C$23,V$3&lt;Projects!$C$23+Projects!$D$23),Projects!$B$23*(Assumptions!$B$10+Assumptions!$B$11+Assumptions!$B$12)/Projects!$D$23*0.95,0)-IF(AND(Projects!$G$23="Yes",V$3=Projects!$C$23+Projects!$D$23-1),Projects!$B$23*(Assumptions!$B$10+Assumptions!$B$11+Assumptions!$B$12)*0.05,0)</f>
        <v>0</v>
      </c>
      <c r="W32" s="30" t="n">
        <f aca="false">IF(AND(Projects!$G$23="Yes",W$3&gt;=Projects!$C$23,W$3&lt;Projects!$C$23+Projects!$D$23),Projects!$B$23*INDEX(Curves!$B$4:$AR$4,1,W$3-Projects!$C$23+1),0)-IF(AND(Projects!$G$23="Yes",W$3&gt;=Projects!$C$23,W$3&lt;Projects!$C$23+Projects!$D$23),Projects!$B$23*(Assumptions!$B$10+Assumptions!$B$11+Assumptions!$B$12)/Projects!$D$23*0.95,0)-IF(AND(Projects!$G$23="Yes",W$3=Projects!$C$23+Projects!$D$23-1),Projects!$B$23*(Assumptions!$B$10+Assumptions!$B$11+Assumptions!$B$12)*0.05,0)</f>
        <v>0</v>
      </c>
      <c r="X32" s="30" t="n">
        <f aca="false">IF(AND(Projects!$G$23="Yes",X$3&gt;=Projects!$C$23,X$3&lt;Projects!$C$23+Projects!$D$23),Projects!$B$23*INDEX(Curves!$B$4:$AR$4,1,X$3-Projects!$C$23+1),0)-IF(AND(Projects!$G$23="Yes",X$3&gt;=Projects!$C$23,X$3&lt;Projects!$C$23+Projects!$D$23),Projects!$B$23*(Assumptions!$B$10+Assumptions!$B$11+Assumptions!$B$12)/Projects!$D$23*0.95,0)-IF(AND(Projects!$G$23="Yes",X$3=Projects!$C$23+Projects!$D$23-1),Projects!$B$23*(Assumptions!$B$10+Assumptions!$B$11+Assumptions!$B$12)*0.05,0)</f>
        <v>0</v>
      </c>
      <c r="Y32" s="30" t="n">
        <f aca="false">IF(AND(Projects!$G$23="Yes",Y$3&gt;=Projects!$C$23,Y$3&lt;Projects!$C$23+Projects!$D$23),Projects!$B$23*INDEX(Curves!$B$4:$AR$4,1,Y$3-Projects!$C$23+1),0)-IF(AND(Projects!$G$23="Yes",Y$3&gt;=Projects!$C$23,Y$3&lt;Projects!$C$23+Projects!$D$23),Projects!$B$23*(Assumptions!$B$10+Assumptions!$B$11+Assumptions!$B$12)/Projects!$D$23*0.95,0)-IF(AND(Projects!$G$23="Yes",Y$3=Projects!$C$23+Projects!$D$23-1),Projects!$B$23*(Assumptions!$B$10+Assumptions!$B$11+Assumptions!$B$12)*0.05,0)</f>
        <v>0</v>
      </c>
      <c r="Z32" s="30" t="n">
        <f aca="false">IF(AND(Projects!$G$23="Yes",Z$3&gt;=Projects!$C$23,Z$3&lt;Projects!$C$23+Projects!$D$23),Projects!$B$23*INDEX(Curves!$B$4:$AR$4,1,Z$3-Projects!$C$23+1),0)-IF(AND(Projects!$G$23="Yes",Z$3&gt;=Projects!$C$23,Z$3&lt;Projects!$C$23+Projects!$D$23),Projects!$B$23*(Assumptions!$B$10+Assumptions!$B$11+Assumptions!$B$12)/Projects!$D$23*0.95,0)-IF(AND(Projects!$G$23="Yes",Z$3=Projects!$C$23+Projects!$D$23-1),Projects!$B$23*(Assumptions!$B$10+Assumptions!$B$11+Assumptions!$B$12)*0.05,0)</f>
        <v>0</v>
      </c>
      <c r="AA32" s="30" t="n">
        <f aca="false">IF(AND(Projects!$G$23="Yes",AA$3&gt;=Projects!$C$23,AA$3&lt;Projects!$C$23+Projects!$D$23),Projects!$B$23*INDEX(Curves!$B$4:$AR$4,1,AA$3-Projects!$C$23+1),0)-IF(AND(Projects!$G$23="Yes",AA$3&gt;=Projects!$C$23,AA$3&lt;Projects!$C$23+Projects!$D$23),Projects!$B$23*(Assumptions!$B$10+Assumptions!$B$11+Assumptions!$B$12)/Projects!$D$23*0.95,0)-IF(AND(Projects!$G$23="Yes",AA$3=Projects!$C$23+Projects!$D$23-1),Projects!$B$23*(Assumptions!$B$10+Assumptions!$B$11+Assumptions!$B$12)*0.05,0)</f>
        <v>0</v>
      </c>
      <c r="AB32" s="30" t="n">
        <f aca="false">IF(AND(Projects!$G$23="Yes",AB$3&gt;=Projects!$C$23,AB$3&lt;Projects!$C$23+Projects!$D$23),Projects!$B$23*INDEX(Curves!$B$4:$AR$4,1,AB$3-Projects!$C$23+1),0)-IF(AND(Projects!$G$23="Yes",AB$3&gt;=Projects!$C$23,AB$3&lt;Projects!$C$23+Projects!$D$23),Projects!$B$23*(Assumptions!$B$10+Assumptions!$B$11+Assumptions!$B$12)/Projects!$D$23*0.95,0)-IF(AND(Projects!$G$23="Yes",AB$3=Projects!$C$23+Projects!$D$23-1),Projects!$B$23*(Assumptions!$B$10+Assumptions!$B$11+Assumptions!$B$12)*0.05,0)</f>
        <v>0</v>
      </c>
      <c r="AC32" s="30" t="n">
        <f aca="false">IF(AND(Projects!$G$23="Yes",AC$3&gt;=Projects!$C$23,AC$3&lt;Projects!$C$23+Projects!$D$23),Projects!$B$23*INDEX(Curves!$B$4:$AR$4,1,AC$3-Projects!$C$23+1),0)-IF(AND(Projects!$G$23="Yes",AC$3&gt;=Projects!$C$23,AC$3&lt;Projects!$C$23+Projects!$D$23),Projects!$B$23*(Assumptions!$B$10+Assumptions!$B$11+Assumptions!$B$12)/Projects!$D$23*0.95,0)-IF(AND(Projects!$G$23="Yes",AC$3=Projects!$C$23+Projects!$D$23-1),Projects!$B$23*(Assumptions!$B$10+Assumptions!$B$11+Assumptions!$B$12)*0.05,0)</f>
        <v>0</v>
      </c>
      <c r="AD32" s="30" t="n">
        <f aca="false">IF(AND(Projects!$G$23="Yes",AD$3&gt;=Projects!$C$23,AD$3&lt;Projects!$C$23+Projects!$D$23),Projects!$B$23*INDEX(Curves!$B$4:$AR$4,1,AD$3-Projects!$C$23+1),0)-IF(AND(Projects!$G$23="Yes",AD$3&gt;=Projects!$C$23,AD$3&lt;Projects!$C$23+Projects!$D$23),Projects!$B$23*(Assumptions!$B$10+Assumptions!$B$11+Assumptions!$B$12)/Projects!$D$23*0.95,0)-IF(AND(Projects!$G$23="Yes",AD$3=Projects!$C$23+Projects!$D$23-1),Projects!$B$23*(Assumptions!$B$10+Assumptions!$B$11+Assumptions!$B$12)*0.05,0)</f>
        <v>0</v>
      </c>
      <c r="AE32" s="30" t="n">
        <f aca="false">IF(AND(Projects!$G$23="Yes",AE$3&gt;=Projects!$C$23,AE$3&lt;Projects!$C$23+Projects!$D$23),Projects!$B$23*INDEX(Curves!$B$4:$AR$4,1,AE$3-Projects!$C$23+1),0)-IF(AND(Projects!$G$23="Yes",AE$3&gt;=Projects!$C$23,AE$3&lt;Projects!$C$23+Projects!$D$23),Projects!$B$23*(Assumptions!$B$10+Assumptions!$B$11+Assumptions!$B$12)/Projects!$D$23*0.95,0)-IF(AND(Projects!$G$23="Yes",AE$3=Projects!$C$23+Projects!$D$23-1),Projects!$B$23*(Assumptions!$B$10+Assumptions!$B$11+Assumptions!$B$12)*0.05,0)</f>
        <v>0</v>
      </c>
      <c r="AF32" s="30" t="n">
        <f aca="false">IF(AND(Projects!$G$23="Yes",AF$3&gt;=Projects!$C$23,AF$3&lt;Projects!$C$23+Projects!$D$23),Projects!$B$23*INDEX(Curves!$B$4:$AR$4,1,AF$3-Projects!$C$23+1),0)-IF(AND(Projects!$G$23="Yes",AF$3&gt;=Projects!$C$23,AF$3&lt;Projects!$C$23+Projects!$D$23),Projects!$B$23*(Assumptions!$B$10+Assumptions!$B$11+Assumptions!$B$12)/Projects!$D$23*0.95,0)-IF(AND(Projects!$G$23="Yes",AF$3=Projects!$C$23+Projects!$D$23-1),Projects!$B$23*(Assumptions!$B$10+Assumptions!$B$11+Assumptions!$B$12)*0.05,0)</f>
        <v>0</v>
      </c>
      <c r="AG32" s="30" t="n">
        <f aca="false">IF(AND(Projects!$G$23="Yes",AG$3&gt;=Projects!$C$23,AG$3&lt;Projects!$C$23+Projects!$D$23),Projects!$B$23*INDEX(Curves!$B$4:$AR$4,1,AG$3-Projects!$C$23+1),0)-IF(AND(Projects!$G$23="Yes",AG$3&gt;=Projects!$C$23,AG$3&lt;Projects!$C$23+Projects!$D$23),Projects!$B$23*(Assumptions!$B$10+Assumptions!$B$11+Assumptions!$B$12)/Projects!$D$23*0.95,0)-IF(AND(Projects!$G$23="Yes",AG$3=Projects!$C$23+Projects!$D$23-1),Projects!$B$23*(Assumptions!$B$10+Assumptions!$B$11+Assumptions!$B$12)*0.05,0)</f>
        <v>0</v>
      </c>
      <c r="AH32" s="30" t="n">
        <f aca="false">IF(AND(Projects!$G$23="Yes",AH$3&gt;=Projects!$C$23,AH$3&lt;Projects!$C$23+Projects!$D$23),Projects!$B$23*INDEX(Curves!$B$4:$AR$4,1,AH$3-Projects!$C$23+1),0)-IF(AND(Projects!$G$23="Yes",AH$3&gt;=Projects!$C$23,AH$3&lt;Projects!$C$23+Projects!$D$23),Projects!$B$23*(Assumptions!$B$10+Assumptions!$B$11+Assumptions!$B$12)/Projects!$D$23*0.95,0)-IF(AND(Projects!$G$23="Yes",AH$3=Projects!$C$23+Projects!$D$23-1),Projects!$B$23*(Assumptions!$B$10+Assumptions!$B$11+Assumptions!$B$12)*0.05,0)</f>
        <v>0</v>
      </c>
      <c r="AI32" s="30" t="n">
        <f aca="false">IF(AND(Projects!$G$23="Yes",AI$3&gt;=Projects!$C$23,AI$3&lt;Projects!$C$23+Projects!$D$23),Projects!$B$23*INDEX(Curves!$B$4:$AR$4,1,AI$3-Projects!$C$23+1),0)-IF(AND(Projects!$G$23="Yes",AI$3&gt;=Projects!$C$23,AI$3&lt;Projects!$C$23+Projects!$D$23),Projects!$B$23*(Assumptions!$B$10+Assumptions!$B$11+Assumptions!$B$12)/Projects!$D$23*0.95,0)-IF(AND(Projects!$G$23="Yes",AI$3=Projects!$C$23+Projects!$D$23-1),Projects!$B$23*(Assumptions!$B$10+Assumptions!$B$11+Assumptions!$B$12)*0.05,0)</f>
        <v>0</v>
      </c>
      <c r="AJ32" s="30" t="n">
        <f aca="false">IF(AND(Projects!$G$23="Yes",AJ$3&gt;=Projects!$C$23,AJ$3&lt;Projects!$C$23+Projects!$D$23),Projects!$B$23*INDEX(Curves!$B$4:$AR$4,1,AJ$3-Projects!$C$23+1),0)-IF(AND(Projects!$G$23="Yes",AJ$3&gt;=Projects!$C$23,AJ$3&lt;Projects!$C$23+Projects!$D$23),Projects!$B$23*(Assumptions!$B$10+Assumptions!$B$11+Assumptions!$B$12)/Projects!$D$23*0.95,0)-IF(AND(Projects!$G$23="Yes",AJ$3=Projects!$C$23+Projects!$D$23-1),Projects!$B$23*(Assumptions!$B$10+Assumptions!$B$11+Assumptions!$B$12)*0.05,0)</f>
        <v>0</v>
      </c>
      <c r="AK32" s="30" t="n">
        <f aca="false">IF(AND(Projects!$G$23="Yes",AK$3&gt;=Projects!$C$23,AK$3&lt;Projects!$C$23+Projects!$D$23),Projects!$B$23*INDEX(Curves!$B$4:$AR$4,1,AK$3-Projects!$C$23+1),0)-IF(AND(Projects!$G$23="Yes",AK$3&gt;=Projects!$C$23,AK$3&lt;Projects!$C$23+Projects!$D$23),Projects!$B$23*(Assumptions!$B$10+Assumptions!$B$11+Assumptions!$B$12)/Projects!$D$23*0.95,0)-IF(AND(Projects!$G$23="Yes",AK$3=Projects!$C$23+Projects!$D$23-1),Projects!$B$23*(Assumptions!$B$10+Assumptions!$B$11+Assumptions!$B$12)*0.05,0)</f>
        <v>0</v>
      </c>
      <c r="AL32" s="30" t="n">
        <f aca="false">IF(AND(Projects!$G$23="Yes",AL$3&gt;=Projects!$C$23,AL$3&lt;Projects!$C$23+Projects!$D$23),Projects!$B$23*INDEX(Curves!$B$4:$AR$4,1,AL$3-Projects!$C$23+1),0)-IF(AND(Projects!$G$23="Yes",AL$3&gt;=Projects!$C$23,AL$3&lt;Projects!$C$23+Projects!$D$23),Projects!$B$23*(Assumptions!$B$10+Assumptions!$B$11+Assumptions!$B$12)/Projects!$D$23*0.95,0)-IF(AND(Projects!$G$23="Yes",AL$3=Projects!$C$23+Projects!$D$23-1),Projects!$B$23*(Assumptions!$B$10+Assumptions!$B$11+Assumptions!$B$12)*0.05,0)</f>
        <v>0</v>
      </c>
      <c r="AM32" s="30" t="n">
        <f aca="false">IF(AND(Projects!$G$23="Yes",AM$3&gt;=Projects!$C$23,AM$3&lt;Projects!$C$23+Projects!$D$23),Projects!$B$23*INDEX(Curves!$B$4:$AR$4,1,AM$3-Projects!$C$23+1),0)-IF(AND(Projects!$G$23="Yes",AM$3&gt;=Projects!$C$23,AM$3&lt;Projects!$C$23+Projects!$D$23),Projects!$B$23*(Assumptions!$B$10+Assumptions!$B$11+Assumptions!$B$12)/Projects!$D$23*0.95,0)-IF(AND(Projects!$G$23="Yes",AM$3=Projects!$C$23+Projects!$D$23-1),Projects!$B$23*(Assumptions!$B$10+Assumptions!$B$11+Assumptions!$B$12)*0.05,0)</f>
        <v>0</v>
      </c>
      <c r="AN32" s="30" t="n">
        <f aca="false">IF(AND(Projects!$G$23="Yes",AN$3&gt;=Projects!$C$23,AN$3&lt;Projects!$C$23+Projects!$D$23),Projects!$B$23*INDEX(Curves!$B$4:$AR$4,1,AN$3-Projects!$C$23+1),0)-IF(AND(Projects!$G$23="Yes",AN$3&gt;=Projects!$C$23,AN$3&lt;Projects!$C$23+Projects!$D$23),Projects!$B$23*(Assumptions!$B$10+Assumptions!$B$11+Assumptions!$B$12)/Projects!$D$23*0.95,0)-IF(AND(Projects!$G$23="Yes",AN$3=Projects!$C$23+Projects!$D$23-1),Projects!$B$23*(Assumptions!$B$10+Assumptions!$B$11+Assumptions!$B$12)*0.05,0)</f>
        <v>0</v>
      </c>
      <c r="AO32" s="30" t="n">
        <f aca="false">IF(AND(Projects!$G$23="Yes",AO$3&gt;=Projects!$C$23,AO$3&lt;Projects!$C$23+Projects!$D$23),Projects!$B$23*INDEX(Curves!$B$4:$AR$4,1,AO$3-Projects!$C$23+1),0)-IF(AND(Projects!$G$23="Yes",AO$3&gt;=Projects!$C$23,AO$3&lt;Projects!$C$23+Projects!$D$23),Projects!$B$23*(Assumptions!$B$10+Assumptions!$B$11+Assumptions!$B$12)/Projects!$D$23*0.95,0)-IF(AND(Projects!$G$23="Yes",AO$3=Projects!$C$23+Projects!$D$23-1),Projects!$B$23*(Assumptions!$B$10+Assumptions!$B$11+Assumptions!$B$12)*0.05,0)</f>
        <v>0</v>
      </c>
      <c r="AP32" s="30" t="n">
        <f aca="false">IF(AND(Projects!$G$23="Yes",AP$3&gt;=Projects!$C$23,AP$3&lt;Projects!$C$23+Projects!$D$23),Projects!$B$23*INDEX(Curves!$B$4:$AR$4,1,AP$3-Projects!$C$23+1),0)-IF(AND(Projects!$G$23="Yes",AP$3&gt;=Projects!$C$23,AP$3&lt;Projects!$C$23+Projects!$D$23),Projects!$B$23*(Assumptions!$B$10+Assumptions!$B$11+Assumptions!$B$12)/Projects!$D$23*0.95,0)-IF(AND(Projects!$G$23="Yes",AP$3=Projects!$C$23+Projects!$D$23-1),Projects!$B$23*(Assumptions!$B$10+Assumptions!$B$11+Assumptions!$B$12)*0.05,0)</f>
        <v>0</v>
      </c>
      <c r="AQ32" s="30" t="n">
        <f aca="false">IF(AND(Projects!$G$23="Yes",AQ$3&gt;=Projects!$C$23,AQ$3&lt;Projects!$C$23+Projects!$D$23),Projects!$B$23*INDEX(Curves!$B$4:$AR$4,1,AQ$3-Projects!$C$23+1),0)-IF(AND(Projects!$G$23="Yes",AQ$3&gt;=Projects!$C$23,AQ$3&lt;Projects!$C$23+Projects!$D$23),Projects!$B$23*(Assumptions!$B$10+Assumptions!$B$11+Assumptions!$B$12)/Projects!$D$23*0.95,0)-IF(AND(Projects!$G$23="Yes",AQ$3=Projects!$C$23+Projects!$D$23-1),Projects!$B$23*(Assumptions!$B$10+Assumptions!$B$11+Assumptions!$B$12)*0.05,0)</f>
        <v>0</v>
      </c>
      <c r="AR32" s="30" t="n">
        <f aca="false">IF(AND(Projects!$G$23="Yes",AR$3&gt;=Projects!$C$23,AR$3&lt;Projects!$C$23+Projects!$D$23),Projects!$B$23*INDEX(Curves!$B$4:$AR$4,1,AR$3-Projects!$C$23+1),0)-IF(AND(Projects!$G$23="Yes",AR$3&gt;=Projects!$C$23,AR$3&lt;Projects!$C$23+Projects!$D$23),Projects!$B$23*(Assumptions!$B$10+Assumptions!$B$11+Assumptions!$B$12)/Projects!$D$23*0.95,0)-IF(AND(Projects!$G$23="Yes",AR$3=Projects!$C$23+Projects!$D$23-1),Projects!$B$23*(Assumptions!$B$10+Assumptions!$B$11+Assumptions!$B$12)*0.05,0)</f>
        <v>0</v>
      </c>
      <c r="AS32" s="30" t="n">
        <f aca="false">IF(AND(Projects!$G$23="Yes",AS$3&gt;=Projects!$C$23,AS$3&lt;Projects!$C$23+Projects!$D$23),Projects!$B$23*INDEX(Curves!$B$4:$AR$4,1,AS$3-Projects!$C$23+1),0)-IF(AND(Projects!$G$23="Yes",AS$3&gt;=Projects!$C$23,AS$3&lt;Projects!$C$23+Projects!$D$23),Projects!$B$23*(Assumptions!$B$10+Assumptions!$B$11+Assumptions!$B$12)/Projects!$D$23*0.95,0)-IF(AND(Projects!$G$23="Yes",AS$3=Projects!$C$23+Projects!$D$23-1),Projects!$B$23*(Assumptions!$B$10+Assumptions!$B$11+Assumptions!$B$12)*0.05,0)</f>
        <v>0</v>
      </c>
      <c r="AT32" s="30" t="n">
        <f aca="false">IF(AND(Projects!$G$23="Yes",AT$3&gt;=Projects!$C$23,AT$3&lt;Projects!$C$23+Projects!$D$23),Projects!$B$23*INDEX(Curves!$B$4:$AR$4,1,AT$3-Projects!$C$23+1),0)-IF(AND(Projects!$G$23="Yes",AT$3&gt;=Projects!$C$23,AT$3&lt;Projects!$C$23+Projects!$D$23),Projects!$B$23*(Assumptions!$B$10+Assumptions!$B$11+Assumptions!$B$12)/Projects!$D$23*0.95,0)-IF(AND(Projects!$G$23="Yes",AT$3=Projects!$C$23+Projects!$D$23-1),Projects!$B$23*(Assumptions!$B$10+Assumptions!$B$11+Assumptions!$B$12)*0.05,0)</f>
        <v>0</v>
      </c>
      <c r="AU32" s="30" t="n">
        <f aca="false">IF(AND(Projects!$G$23="Yes",AU$3&gt;=Projects!$C$23,AU$3&lt;Projects!$C$23+Projects!$D$23),Projects!$B$23*INDEX(Curves!$B$4:$AR$4,1,AU$3-Projects!$C$23+1),0)-IF(AND(Projects!$G$23="Yes",AU$3&gt;=Projects!$C$23,AU$3&lt;Projects!$C$23+Projects!$D$23),Projects!$B$23*(Assumptions!$B$10+Assumptions!$B$11+Assumptions!$B$12)/Projects!$D$23*0.95,0)-IF(AND(Projects!$G$23="Yes",AU$3=Projects!$C$23+Projects!$D$23-1),Projects!$B$23*(Assumptions!$B$10+Assumptions!$B$11+Assumptions!$B$12)*0.05,0)</f>
        <v>0</v>
      </c>
      <c r="AV32" s="30" t="n">
        <f aca="false">IF(AND(Projects!$G$23="Yes",AV$3&gt;=Projects!$C$23,AV$3&lt;Projects!$C$23+Projects!$D$23),Projects!$B$23*INDEX(Curves!$B$4:$AR$4,1,AV$3-Projects!$C$23+1),0)-IF(AND(Projects!$G$23="Yes",AV$3&gt;=Projects!$C$23,AV$3&lt;Projects!$C$23+Projects!$D$23),Projects!$B$23*(Assumptions!$B$10+Assumptions!$B$11+Assumptions!$B$12)/Projects!$D$23*0.95,0)-IF(AND(Projects!$G$23="Yes",AV$3=Projects!$C$23+Projects!$D$23-1),Projects!$B$23*(Assumptions!$B$10+Assumptions!$B$11+Assumptions!$B$12)*0.05,0)</f>
        <v>0</v>
      </c>
      <c r="AW32" s="30" t="n">
        <f aca="false">IF(AND(Projects!$G$23="Yes",AW$3&gt;=Projects!$C$23,AW$3&lt;Projects!$C$23+Projects!$D$23),Projects!$B$23*INDEX(Curves!$B$4:$AR$4,1,AW$3-Projects!$C$23+1),0)-IF(AND(Projects!$G$23="Yes",AW$3&gt;=Projects!$C$23,AW$3&lt;Projects!$C$23+Projects!$D$23),Projects!$B$23*(Assumptions!$B$10+Assumptions!$B$11+Assumptions!$B$12)/Projects!$D$23*0.95,0)-IF(AND(Projects!$G$23="Yes",AW$3=Projects!$C$23+Projects!$D$23-1),Projects!$B$23*(Assumptions!$B$10+Assumptions!$B$11+Assumptions!$B$12)*0.05,0)</f>
        <v>0</v>
      </c>
      <c r="AX32" s="30" t="n">
        <f aca="false">IF(AND(Projects!$G$23="Yes",AX$3&gt;=Projects!$C$23,AX$3&lt;Projects!$C$23+Projects!$D$23),Projects!$B$23*INDEX(Curves!$B$4:$AR$4,1,AX$3-Projects!$C$23+1),0)-IF(AND(Projects!$G$23="Yes",AX$3&gt;=Projects!$C$23,AX$3&lt;Projects!$C$23+Projects!$D$23),Projects!$B$23*(Assumptions!$B$10+Assumptions!$B$11+Assumptions!$B$12)/Projects!$D$23*0.95,0)-IF(AND(Projects!$G$23="Yes",AX$3=Projects!$C$23+Projects!$D$23-1),Projects!$B$23*(Assumptions!$B$10+Assumptions!$B$11+Assumptions!$B$12)*0.05,0)</f>
        <v>0</v>
      </c>
      <c r="AY32" s="30" t="n">
        <f aca="false">IF(AND(Projects!$G$23="Yes",AY$3&gt;=Projects!$C$23,AY$3&lt;Projects!$C$23+Projects!$D$23),Projects!$B$23*INDEX(Curves!$B$4:$AR$4,1,AY$3-Projects!$C$23+1),0)-IF(AND(Projects!$G$23="Yes",AY$3&gt;=Projects!$C$23,AY$3&lt;Projects!$C$23+Projects!$D$23),Projects!$B$23*(Assumptions!$B$10+Assumptions!$B$11+Assumptions!$B$12)/Projects!$D$23*0.95,0)-IF(AND(Projects!$G$23="Yes",AY$3=Projects!$C$23+Projects!$D$23-1),Projects!$B$23*(Assumptions!$B$10+Assumptions!$B$11+Assumptions!$B$12)*0.05,0)</f>
        <v>0</v>
      </c>
      <c r="AZ32" s="30" t="n">
        <f aca="false">IF(AND(Projects!$G$23="Yes",AZ$3&gt;=Projects!$C$23,AZ$3&lt;Projects!$C$23+Projects!$D$23),Projects!$B$23*INDEX(Curves!$B$4:$AR$4,1,AZ$3-Projects!$C$23+1),0)-IF(AND(Projects!$G$23="Yes",AZ$3&gt;=Projects!$C$23,AZ$3&lt;Projects!$C$23+Projects!$D$23),Projects!$B$23*(Assumptions!$B$10+Assumptions!$B$11+Assumptions!$B$12)/Projects!$D$23*0.95,0)-IF(AND(Projects!$G$23="Yes",AZ$3=Projects!$C$23+Projects!$D$23-1),Projects!$B$23*(Assumptions!$B$10+Assumptions!$B$11+Assumptions!$B$12)*0.05,0)</f>
        <v>0</v>
      </c>
      <c r="BA32" s="30" t="n">
        <f aca="false">IF(AND(Projects!$G$23="Yes",BA$3&gt;=Projects!$C$23,BA$3&lt;Projects!$C$23+Projects!$D$23),Projects!$B$23*INDEX(Curves!$B$4:$AR$4,1,BA$3-Projects!$C$23+1),0)-IF(AND(Projects!$G$23="Yes",BA$3&gt;=Projects!$C$23,BA$3&lt;Projects!$C$23+Projects!$D$23),Projects!$B$23*(Assumptions!$B$10+Assumptions!$B$11+Assumptions!$B$12)/Projects!$D$23*0.95,0)-IF(AND(Projects!$G$23="Yes",BA$3=Projects!$C$23+Projects!$D$23-1),Projects!$B$23*(Assumptions!$B$10+Assumptions!$B$11+Assumptions!$B$12)*0.05,0)</f>
        <v>0</v>
      </c>
      <c r="BB32" s="30" t="n">
        <f aca="false">IF(AND(Projects!$G$23="Yes",BB$3&gt;=Projects!$C$23,BB$3&lt;Projects!$C$23+Projects!$D$23),Projects!$B$23*INDEX(Curves!$B$4:$AR$4,1,BB$3-Projects!$C$23+1),0)-IF(AND(Projects!$G$23="Yes",BB$3&gt;=Projects!$C$23,BB$3&lt;Projects!$C$23+Projects!$D$23),Projects!$B$23*(Assumptions!$B$10+Assumptions!$B$11+Assumptions!$B$12)/Projects!$D$23*0.95,0)-IF(AND(Projects!$G$23="Yes",BB$3=Projects!$C$23+Projects!$D$23-1),Projects!$B$23*(Assumptions!$B$10+Assumptions!$B$11+Assumptions!$B$12)*0.05,0)</f>
        <v>0</v>
      </c>
      <c r="BC32" s="30" t="n">
        <f aca="false">IF(AND(Projects!$G$23="Yes",BC$3&gt;=Projects!$C$23,BC$3&lt;Projects!$C$23+Projects!$D$23),Projects!$B$23*INDEX(Curves!$B$4:$AR$4,1,BC$3-Projects!$C$23+1),0)-IF(AND(Projects!$G$23="Yes",BC$3&gt;=Projects!$C$23,BC$3&lt;Projects!$C$23+Projects!$D$23),Projects!$B$23*(Assumptions!$B$10+Assumptions!$B$11+Assumptions!$B$12)/Projects!$D$23*0.95,0)-IF(AND(Projects!$G$23="Yes",BC$3=Projects!$C$23+Projects!$D$23-1),Projects!$B$23*(Assumptions!$B$10+Assumptions!$B$11+Assumptions!$B$12)*0.05,0)</f>
        <v>0</v>
      </c>
      <c r="BD32" s="30" t="n">
        <f aca="false">IF(AND(Projects!$G$23="Yes",BD$3&gt;=Projects!$C$23,BD$3&lt;Projects!$C$23+Projects!$D$23),Projects!$B$23*INDEX(Curves!$B$4:$AR$4,1,BD$3-Projects!$C$23+1),0)-IF(AND(Projects!$G$23="Yes",BD$3&gt;=Projects!$C$23,BD$3&lt;Projects!$C$23+Projects!$D$23),Projects!$B$23*(Assumptions!$B$10+Assumptions!$B$11+Assumptions!$B$12)/Projects!$D$23*0.95,0)-IF(AND(Projects!$G$23="Yes",BD$3=Projects!$C$23+Projects!$D$23-1),Projects!$B$23*(Assumptions!$B$10+Assumptions!$B$11+Assumptions!$B$12)*0.05,0)</f>
        <v>0</v>
      </c>
      <c r="BE32" s="30" t="n">
        <f aca="false">IF(AND(Projects!$G$23="Yes",BE$3&gt;=Projects!$C$23,BE$3&lt;Projects!$C$23+Projects!$D$23),Projects!$B$23*INDEX(Curves!$B$4:$AR$4,1,BE$3-Projects!$C$23+1),0)-IF(AND(Projects!$G$23="Yes",BE$3&gt;=Projects!$C$23,BE$3&lt;Projects!$C$23+Projects!$D$23),Projects!$B$23*(Assumptions!$B$10+Assumptions!$B$11+Assumptions!$B$12)/Projects!$D$23*0.95,0)-IF(AND(Projects!$G$23="Yes",BE$3=Projects!$C$23+Projects!$D$23-1),Projects!$B$23*(Assumptions!$B$10+Assumptions!$B$11+Assumptions!$B$12)*0.05,0)</f>
        <v>0</v>
      </c>
      <c r="BF32" s="30" t="n">
        <f aca="false">IF(AND(Projects!$G$23="Yes",BF$3&gt;=Projects!$C$23,BF$3&lt;Projects!$C$23+Projects!$D$23),Projects!$B$23*INDEX(Curves!$B$4:$AR$4,1,BF$3-Projects!$C$23+1),0)-IF(AND(Projects!$G$23="Yes",BF$3&gt;=Projects!$C$23,BF$3&lt;Projects!$C$23+Projects!$D$23),Projects!$B$23*(Assumptions!$B$10+Assumptions!$B$11+Assumptions!$B$12)/Projects!$D$23*0.95,0)-IF(AND(Projects!$G$23="Yes",BF$3=Projects!$C$23+Projects!$D$23-1),Projects!$B$23*(Assumptions!$B$10+Assumptions!$B$11+Assumptions!$B$12)*0.05,0)</f>
        <v>0</v>
      </c>
      <c r="BG32" s="30" t="n">
        <f aca="false">IF(AND(Projects!$G$23="Yes",BG$3&gt;=Projects!$C$23,BG$3&lt;Projects!$C$23+Projects!$D$23),Projects!$B$23*INDEX(Curves!$B$4:$AR$4,1,BG$3-Projects!$C$23+1),0)-IF(AND(Projects!$G$23="Yes",BG$3&gt;=Projects!$C$23,BG$3&lt;Projects!$C$23+Projects!$D$23),Projects!$B$23*(Assumptions!$B$10+Assumptions!$B$11+Assumptions!$B$12)/Projects!$D$23*0.95,0)-IF(AND(Projects!$G$23="Yes",BG$3=Projects!$C$23+Projects!$D$23-1),Projects!$B$23*(Assumptions!$B$10+Assumptions!$B$11+Assumptions!$B$12)*0.05,0)</f>
        <v>0</v>
      </c>
      <c r="BH32" s="30" t="n">
        <f aca="false">IF(AND(Projects!$G$23="Yes",BH$3&gt;=Projects!$C$23,BH$3&lt;Projects!$C$23+Projects!$D$23),Projects!$B$23*INDEX(Curves!$B$4:$AR$4,1,BH$3-Projects!$C$23+1),0)-IF(AND(Projects!$G$23="Yes",BH$3&gt;=Projects!$C$23,BH$3&lt;Projects!$C$23+Projects!$D$23),Projects!$B$23*(Assumptions!$B$10+Assumptions!$B$11+Assumptions!$B$12)/Projects!$D$23*0.95,0)-IF(AND(Projects!$G$23="Yes",BH$3=Projects!$C$23+Projects!$D$23-1),Projects!$B$23*(Assumptions!$B$10+Assumptions!$B$11+Assumptions!$B$12)*0.05,0)</f>
        <v>0</v>
      </c>
      <c r="BI32" s="30" t="n">
        <f aca="false">IF(AND(Projects!$G$23="Yes",BI$3&gt;=Projects!$C$23,BI$3&lt;Projects!$C$23+Projects!$D$23),Projects!$B$23*INDEX(Curves!$B$4:$AR$4,1,BI$3-Projects!$C$23+1),0)-IF(AND(Projects!$G$23="Yes",BI$3&gt;=Projects!$C$23,BI$3&lt;Projects!$C$23+Projects!$D$23),Projects!$B$23*(Assumptions!$B$10+Assumptions!$B$11+Assumptions!$B$12)/Projects!$D$23*0.95,0)-IF(AND(Projects!$G$23="Yes",BI$3=Projects!$C$23+Projects!$D$23-1),Projects!$B$23*(Assumptions!$B$10+Assumptions!$B$11+Assumptions!$B$12)*0.05,0)</f>
        <v>0</v>
      </c>
      <c r="BJ32" s="30" t="n">
        <f aca="false">IF(AND(Projects!$G$23="Yes",BJ$3&gt;=Projects!$C$23,BJ$3&lt;Projects!$C$23+Projects!$D$23),Projects!$B$23*INDEX(Curves!$B$4:$AR$4,1,BJ$3-Projects!$C$23+1),0)-IF(AND(Projects!$G$23="Yes",BJ$3&gt;=Projects!$C$23,BJ$3&lt;Projects!$C$23+Projects!$D$23),Projects!$B$23*(Assumptions!$B$10+Assumptions!$B$11+Assumptions!$B$12)/Projects!$D$23*0.95,0)-IF(AND(Projects!$G$23="Yes",BJ$3=Projects!$C$23+Projects!$D$23-1),Projects!$B$23*(Assumptions!$B$10+Assumptions!$B$11+Assumptions!$B$12)*0.05,0)</f>
        <v>0</v>
      </c>
      <c r="BK32" s="30" t="n">
        <f aca="false">IF(AND(Projects!$G$23="Yes",BK$3&gt;=Projects!$C$23,BK$3&lt;Projects!$C$23+Projects!$D$23),Projects!$B$23*INDEX(Curves!$B$4:$AR$4,1,BK$3-Projects!$C$23+1),0)-IF(AND(Projects!$G$23="Yes",BK$3&gt;=Projects!$C$23,BK$3&lt;Projects!$C$23+Projects!$D$23),Projects!$B$23*(Assumptions!$B$10+Assumptions!$B$11+Assumptions!$B$12)/Projects!$D$23*0.95,0)-IF(AND(Projects!$G$23="Yes",BK$3=Projects!$C$23+Projects!$D$23-1),Projects!$B$23*(Assumptions!$B$10+Assumptions!$B$11+Assumptions!$B$12)*0.05,0)</f>
        <v>0</v>
      </c>
      <c r="BL32" s="30" t="n">
        <f aca="false">IF(AND(Projects!$G$23="Yes",BL$3&gt;=Projects!$C$23,BL$3&lt;Projects!$C$23+Projects!$D$23),Projects!$B$23*INDEX(Curves!$B$4:$AR$4,1,BL$3-Projects!$C$23+1),0)-IF(AND(Projects!$G$23="Yes",BL$3&gt;=Projects!$C$23,BL$3&lt;Projects!$C$23+Projects!$D$23),Projects!$B$23*(Assumptions!$B$10+Assumptions!$B$11+Assumptions!$B$12)/Projects!$D$23*0.95,0)-IF(AND(Projects!$G$23="Yes",BL$3=Projects!$C$23+Projects!$D$23-1),Projects!$B$23*(Assumptions!$B$10+Assumptions!$B$11+Assumptions!$B$12)*0.05,0)</f>
        <v>0</v>
      </c>
      <c r="BM32" s="30" t="n">
        <f aca="false">IF(AND(Projects!$G$23="Yes",BM$3&gt;=Projects!$C$23,BM$3&lt;Projects!$C$23+Projects!$D$23),Projects!$B$23*INDEX(Curves!$B$4:$AR$4,1,BM$3-Projects!$C$23+1),0)-IF(AND(Projects!$G$23="Yes",BM$3&gt;=Projects!$C$23,BM$3&lt;Projects!$C$23+Projects!$D$23),Projects!$B$23*(Assumptions!$B$10+Assumptions!$B$11+Assumptions!$B$12)/Projects!$D$23*0.95,0)-IF(AND(Projects!$G$23="Yes",BM$3=Projects!$C$23+Projects!$D$23-1),Projects!$B$23*(Assumptions!$B$10+Assumptions!$B$11+Assumptions!$B$12)*0.05,0)</f>
        <v>0</v>
      </c>
      <c r="BN32" s="30" t="n">
        <f aca="false">IF(AND(Projects!$G$23="Yes",BN$3&gt;=Projects!$C$23,BN$3&lt;Projects!$C$23+Projects!$D$23),Projects!$B$23*INDEX(Curves!$B$4:$AR$4,1,BN$3-Projects!$C$23+1),0)-IF(AND(Projects!$G$23="Yes",BN$3&gt;=Projects!$C$23,BN$3&lt;Projects!$C$23+Projects!$D$23),Projects!$B$23*(Assumptions!$B$10+Assumptions!$B$11+Assumptions!$B$12)/Projects!$D$23*0.95,0)-IF(AND(Projects!$G$23="Yes",BN$3=Projects!$C$23+Projects!$D$23-1),Projects!$B$23*(Assumptions!$B$10+Assumptions!$B$11+Assumptions!$B$12)*0.05,0)</f>
        <v>0</v>
      </c>
      <c r="BO32" s="30" t="n">
        <f aca="false">IF(AND(Projects!$G$23="Yes",BO$3&gt;=Projects!$C$23,BO$3&lt;Projects!$C$23+Projects!$D$23),Projects!$B$23*INDEX(Curves!$B$4:$AR$4,1,BO$3-Projects!$C$23+1),0)-IF(AND(Projects!$G$23="Yes",BO$3&gt;=Projects!$C$23,BO$3&lt;Projects!$C$23+Projects!$D$23),Projects!$B$23*(Assumptions!$B$10+Assumptions!$B$11+Assumptions!$B$12)/Projects!$D$23*0.95,0)-IF(AND(Projects!$G$23="Yes",BO$3=Projects!$C$23+Projects!$D$23-1),Projects!$B$23*(Assumptions!$B$10+Assumptions!$B$11+Assumptions!$B$12)*0.05,0)</f>
        <v>0</v>
      </c>
      <c r="BP32" s="30" t="n">
        <f aca="false">IF(AND(Projects!$G$23="Yes",BP$3&gt;=Projects!$C$23,BP$3&lt;Projects!$C$23+Projects!$D$23),Projects!$B$23*INDEX(Curves!$B$4:$AR$4,1,BP$3-Projects!$C$23+1),0)-IF(AND(Projects!$G$23="Yes",BP$3&gt;=Projects!$C$23,BP$3&lt;Projects!$C$23+Projects!$D$23),Projects!$B$23*(Assumptions!$B$10+Assumptions!$B$11+Assumptions!$B$12)/Projects!$D$23*0.95,0)-IF(AND(Projects!$G$23="Yes",BP$3=Projects!$C$23+Projects!$D$23-1),Projects!$B$23*(Assumptions!$B$10+Assumptions!$B$11+Assumptions!$B$12)*0.05,0)</f>
        <v>0</v>
      </c>
      <c r="BQ32" s="30" t="n">
        <f aca="false">IF(AND(Projects!$G$23="Yes",BQ$3&gt;=Projects!$C$23,BQ$3&lt;Projects!$C$23+Projects!$D$23),Projects!$B$23*INDEX(Curves!$B$4:$AR$4,1,BQ$3-Projects!$C$23+1),0)-IF(AND(Projects!$G$23="Yes",BQ$3&gt;=Projects!$C$23,BQ$3&lt;Projects!$C$23+Projects!$D$23),Projects!$B$23*(Assumptions!$B$10+Assumptions!$B$11+Assumptions!$B$12)/Projects!$D$23*0.95,0)-IF(AND(Projects!$G$23="Yes",BQ$3=Projects!$C$23+Projects!$D$23-1),Projects!$B$23*(Assumptions!$B$10+Assumptions!$B$11+Assumptions!$B$12)*0.05,0)</f>
        <v>0</v>
      </c>
      <c r="BR32" s="30" t="n">
        <f aca="false">IF(AND(Projects!$G$23="Yes",BR$3&gt;=Projects!$C$23,BR$3&lt;Projects!$C$23+Projects!$D$23),Projects!$B$23*INDEX(Curves!$B$4:$AR$4,1,BR$3-Projects!$C$23+1),0)-IF(AND(Projects!$G$23="Yes",BR$3&gt;=Projects!$C$23,BR$3&lt;Projects!$C$23+Projects!$D$23),Projects!$B$23*(Assumptions!$B$10+Assumptions!$B$11+Assumptions!$B$12)/Projects!$D$23*0.95,0)-IF(AND(Projects!$G$23="Yes",BR$3=Projects!$C$23+Projects!$D$23-1),Projects!$B$23*(Assumptions!$B$10+Assumptions!$B$11+Assumptions!$B$12)*0.05,0)</f>
        <v>0</v>
      </c>
      <c r="BS32" s="30" t="n">
        <f aca="false">IF(AND(Projects!$G$23="Yes",BS$3&gt;=Projects!$C$23,BS$3&lt;Projects!$C$23+Projects!$D$23),Projects!$B$23*INDEX(Curves!$B$4:$AR$4,1,BS$3-Projects!$C$23+1),0)-IF(AND(Projects!$G$23="Yes",BS$3&gt;=Projects!$C$23,BS$3&lt;Projects!$C$23+Projects!$D$23),Projects!$B$23*(Assumptions!$B$10+Assumptions!$B$11+Assumptions!$B$12)/Projects!$D$23*0.95,0)-IF(AND(Projects!$G$23="Yes",BS$3=Projects!$C$23+Projects!$D$23-1),Projects!$B$23*(Assumptions!$B$10+Assumptions!$B$11+Assumptions!$B$12)*0.05,0)</f>
        <v>0</v>
      </c>
      <c r="BT32" s="30" t="n">
        <f aca="false">IF(AND(Projects!$G$23="Yes",BT$3&gt;=Projects!$C$23,BT$3&lt;Projects!$C$23+Projects!$D$23),Projects!$B$23*INDEX(Curves!$B$4:$AR$4,1,BT$3-Projects!$C$23+1),0)-IF(AND(Projects!$G$23="Yes",BT$3&gt;=Projects!$C$23,BT$3&lt;Projects!$C$23+Projects!$D$23),Projects!$B$23*(Assumptions!$B$10+Assumptions!$B$11+Assumptions!$B$12)/Projects!$D$23*0.95,0)-IF(AND(Projects!$G$23="Yes",BT$3=Projects!$C$23+Projects!$D$23-1),Projects!$B$23*(Assumptions!$B$10+Assumptions!$B$11+Assumptions!$B$12)*0.05,0)</f>
        <v>0</v>
      </c>
      <c r="BU32" s="30" t="n">
        <f aca="false">IF(AND(Projects!$G$23="Yes",BU$3&gt;=Projects!$C$23,BU$3&lt;Projects!$C$23+Projects!$D$23),Projects!$B$23*INDEX(Curves!$B$4:$AR$4,1,BU$3-Projects!$C$23+1),0)-IF(AND(Projects!$G$23="Yes",BU$3&gt;=Projects!$C$23,BU$3&lt;Projects!$C$23+Projects!$D$23),Projects!$B$23*(Assumptions!$B$10+Assumptions!$B$11+Assumptions!$B$12)/Projects!$D$23*0.95,0)-IF(AND(Projects!$G$23="Yes",BU$3=Projects!$C$23+Projects!$D$23-1),Projects!$B$23*(Assumptions!$B$10+Assumptions!$B$11+Assumptions!$B$12)*0.05,0)</f>
        <v>0</v>
      </c>
      <c r="BV32" s="30" t="n">
        <f aca="false">IF(AND(Projects!$G$23="Yes",BV$3&gt;=Projects!$C$23,BV$3&lt;Projects!$C$23+Projects!$D$23),Projects!$B$23*INDEX(Curves!$B$4:$AR$4,1,BV$3-Projects!$C$23+1),0)-IF(AND(Projects!$G$23="Yes",BV$3&gt;=Projects!$C$23,BV$3&lt;Projects!$C$23+Projects!$D$23),Projects!$B$23*(Assumptions!$B$10+Assumptions!$B$11+Assumptions!$B$12)/Projects!$D$23*0.95,0)-IF(AND(Projects!$G$23="Yes",BV$3=Projects!$C$23+Projects!$D$23-1),Projects!$B$23*(Assumptions!$B$10+Assumptions!$B$11+Assumptions!$B$12)*0.05,0)</f>
        <v>0</v>
      </c>
      <c r="BW32" s="30" t="n">
        <f aca="false">IF(AND(Projects!$G$23="Yes",BW$3&gt;=Projects!$C$23,BW$3&lt;Projects!$C$23+Projects!$D$23),Projects!$B$23*INDEX(Curves!$B$4:$AR$4,1,BW$3-Projects!$C$23+1),0)-IF(AND(Projects!$G$23="Yes",BW$3&gt;=Projects!$C$23,BW$3&lt;Projects!$C$23+Projects!$D$23),Projects!$B$23*(Assumptions!$B$10+Assumptions!$B$11+Assumptions!$B$12)/Projects!$D$23*0.95,0)-IF(AND(Projects!$G$23="Yes",BW$3=Projects!$C$23+Projects!$D$23-1),Projects!$B$23*(Assumptions!$B$10+Assumptions!$B$11+Assumptions!$B$12)*0.05,0)</f>
        <v>0</v>
      </c>
      <c r="BX32" s="30" t="n">
        <f aca="false">IF(AND(Projects!$G$23="Yes",BX$3&gt;=Projects!$C$23,BX$3&lt;Projects!$C$23+Projects!$D$23),Projects!$B$23*INDEX(Curves!$B$4:$AR$4,1,BX$3-Projects!$C$23+1),0)-IF(AND(Projects!$G$23="Yes",BX$3&gt;=Projects!$C$23,BX$3&lt;Projects!$C$23+Projects!$D$23),Projects!$B$23*(Assumptions!$B$10+Assumptions!$B$11+Assumptions!$B$12)/Projects!$D$23*0.95,0)-IF(AND(Projects!$G$23="Yes",BX$3=Projects!$C$23+Projects!$D$23-1),Projects!$B$23*(Assumptions!$B$10+Assumptions!$B$11+Assumptions!$B$12)*0.05,0)</f>
        <v>0</v>
      </c>
      <c r="BY32" s="30" t="n">
        <f aca="false">IF(AND(Projects!$G$23="Yes",BY$3&gt;=Projects!$C$23,BY$3&lt;Projects!$C$23+Projects!$D$23),Projects!$B$23*INDEX(Curves!$B$4:$AR$4,1,BY$3-Projects!$C$23+1),0)-IF(AND(Projects!$G$23="Yes",BY$3&gt;=Projects!$C$23,BY$3&lt;Projects!$C$23+Projects!$D$23),Projects!$B$23*(Assumptions!$B$10+Assumptions!$B$11+Assumptions!$B$12)/Projects!$D$23*0.95,0)-IF(AND(Projects!$G$23="Yes",BY$3=Projects!$C$23+Projects!$D$23-1),Projects!$B$23*(Assumptions!$B$10+Assumptions!$B$11+Assumptions!$B$12)*0.05,0)</f>
        <v>0</v>
      </c>
      <c r="BZ32" s="30" t="n">
        <f aca="false">IF(AND(Projects!$G$23="Yes",BZ$3&gt;=Projects!$C$23,BZ$3&lt;Projects!$C$23+Projects!$D$23),Projects!$B$23*INDEX(Curves!$B$4:$AR$4,1,BZ$3-Projects!$C$23+1),0)-IF(AND(Projects!$G$23="Yes",BZ$3&gt;=Projects!$C$23,BZ$3&lt;Projects!$C$23+Projects!$D$23),Projects!$B$23*(Assumptions!$B$10+Assumptions!$B$11+Assumptions!$B$12)/Projects!$D$23*0.95,0)-IF(AND(Projects!$G$23="Yes",BZ$3=Projects!$C$23+Projects!$D$23-1),Projects!$B$23*(Assumptions!$B$10+Assumptions!$B$11+Assumptions!$B$12)*0.05,0)</f>
        <v>0</v>
      </c>
      <c r="CA32" s="30" t="n">
        <f aca="false">IF(AND(Projects!$G$23="Yes",CA$3&gt;=Projects!$C$23,CA$3&lt;Projects!$C$23+Projects!$D$23),Projects!$B$23*INDEX(Curves!$B$4:$AR$4,1,CA$3-Projects!$C$23+1),0)-IF(AND(Projects!$G$23="Yes",CA$3&gt;=Projects!$C$23,CA$3&lt;Projects!$C$23+Projects!$D$23),Projects!$B$23*(Assumptions!$B$10+Assumptions!$B$11+Assumptions!$B$12)/Projects!$D$23*0.95,0)-IF(AND(Projects!$G$23="Yes",CA$3=Projects!$C$23+Projects!$D$23-1),Projects!$B$23*(Assumptions!$B$10+Assumptions!$B$11+Assumptions!$B$12)*0.05,0)</f>
        <v>0</v>
      </c>
      <c r="CB32" s="30" t="n">
        <f aca="false">IF(AND(Projects!$G$23="Yes",CB$3&gt;=Projects!$C$23,CB$3&lt;Projects!$C$23+Projects!$D$23),Projects!$B$23*INDEX(Curves!$B$4:$AR$4,1,CB$3-Projects!$C$23+1),0)-IF(AND(Projects!$G$23="Yes",CB$3&gt;=Projects!$C$23,CB$3&lt;Projects!$C$23+Projects!$D$23),Projects!$B$23*(Assumptions!$B$10+Assumptions!$B$11+Assumptions!$B$12)/Projects!$D$23*0.95,0)-IF(AND(Projects!$G$23="Yes",CB$3=Projects!$C$23+Projects!$D$23-1),Projects!$B$23*(Assumptions!$B$10+Assumptions!$B$11+Assumptions!$B$12)*0.05,0)</f>
        <v>0</v>
      </c>
      <c r="CC32" s="30" t="n">
        <f aca="false">IF(AND(Projects!$G$23="Yes",CC$3&gt;=Projects!$C$23,CC$3&lt;Projects!$C$23+Projects!$D$23),Projects!$B$23*INDEX(Curves!$B$4:$AR$4,1,CC$3-Projects!$C$23+1),0)-IF(AND(Projects!$G$23="Yes",CC$3&gt;=Projects!$C$23,CC$3&lt;Projects!$C$23+Projects!$D$23),Projects!$B$23*(Assumptions!$B$10+Assumptions!$B$11+Assumptions!$B$12)/Projects!$D$23*0.95,0)-IF(AND(Projects!$G$23="Yes",CC$3=Projects!$C$23+Projects!$D$23-1),Projects!$B$23*(Assumptions!$B$10+Assumptions!$B$11+Assumptions!$B$12)*0.05,0)</f>
        <v>0</v>
      </c>
      <c r="CD32" s="30" t="n">
        <f aca="false">IF(AND(Projects!$G$23="Yes",CD$3&gt;=Projects!$C$23,CD$3&lt;Projects!$C$23+Projects!$D$23),Projects!$B$23*INDEX(Curves!$B$4:$AR$4,1,CD$3-Projects!$C$23+1),0)-IF(AND(Projects!$G$23="Yes",CD$3&gt;=Projects!$C$23,CD$3&lt;Projects!$C$23+Projects!$D$23),Projects!$B$23*(Assumptions!$B$10+Assumptions!$B$11+Assumptions!$B$12)/Projects!$D$23*0.95,0)-IF(AND(Projects!$G$23="Yes",CD$3=Projects!$C$23+Projects!$D$23-1),Projects!$B$23*(Assumptions!$B$10+Assumptions!$B$11+Assumptions!$B$12)*0.05,0)</f>
        <v>0</v>
      </c>
      <c r="CE32" s="30" t="n">
        <f aca="false">IF(AND(Projects!$G$23="Yes",CE$3&gt;=Projects!$C$23,CE$3&lt;Projects!$C$23+Projects!$D$23),Projects!$B$23*INDEX(Curves!$B$4:$AR$4,1,CE$3-Projects!$C$23+1),0)-IF(AND(Projects!$G$23="Yes",CE$3&gt;=Projects!$C$23,CE$3&lt;Projects!$C$23+Projects!$D$23),Projects!$B$23*(Assumptions!$B$10+Assumptions!$B$11+Assumptions!$B$12)/Projects!$D$23*0.95,0)-IF(AND(Projects!$G$23="Yes",CE$3=Projects!$C$23+Projects!$D$23-1),Projects!$B$23*(Assumptions!$B$10+Assumptions!$B$11+Assumptions!$B$12)*0.05,0)</f>
        <v>0</v>
      </c>
      <c r="CF32" s="30" t="n">
        <f aca="false">IF(AND(Projects!$G$23="Yes",CF$3&gt;=Projects!$C$23,CF$3&lt;Projects!$C$23+Projects!$D$23),Projects!$B$23*INDEX(Curves!$B$4:$AR$4,1,CF$3-Projects!$C$23+1),0)-IF(AND(Projects!$G$23="Yes",CF$3&gt;=Projects!$C$23,CF$3&lt;Projects!$C$23+Projects!$D$23),Projects!$B$23*(Assumptions!$B$10+Assumptions!$B$11+Assumptions!$B$12)/Projects!$D$23*0.95,0)-IF(AND(Projects!$G$23="Yes",CF$3=Projects!$C$23+Projects!$D$23-1),Projects!$B$23*(Assumptions!$B$10+Assumptions!$B$11+Assumptions!$B$12)*0.05,0)</f>
        <v>0</v>
      </c>
      <c r="CG32" s="30" t="n">
        <f aca="false">IF(AND(Projects!$G$23="Yes",CG$3&gt;=Projects!$C$23,CG$3&lt;Projects!$C$23+Projects!$D$23),Projects!$B$23*INDEX(Curves!$B$4:$AR$4,1,CG$3-Projects!$C$23+1),0)-IF(AND(Projects!$G$23="Yes",CG$3&gt;=Projects!$C$23,CG$3&lt;Projects!$C$23+Projects!$D$23),Projects!$B$23*(Assumptions!$B$10+Assumptions!$B$11+Assumptions!$B$12)/Projects!$D$23*0.95,0)-IF(AND(Projects!$G$23="Yes",CG$3=Projects!$C$23+Projects!$D$23-1),Projects!$B$23*(Assumptions!$B$10+Assumptions!$B$11+Assumptions!$B$12)*0.05,0)</f>
        <v>0</v>
      </c>
      <c r="CH32" s="30" t="n">
        <f aca="false">IF(AND(Projects!$G$23="Yes",CH$3&gt;=Projects!$C$23,CH$3&lt;Projects!$C$23+Projects!$D$23),Projects!$B$23*INDEX(Curves!$B$4:$AR$4,1,CH$3-Projects!$C$23+1),0)-IF(AND(Projects!$G$23="Yes",CH$3&gt;=Projects!$C$23,CH$3&lt;Projects!$C$23+Projects!$D$23),Projects!$B$23*(Assumptions!$B$10+Assumptions!$B$11+Assumptions!$B$12)/Projects!$D$23*0.95,0)-IF(AND(Projects!$G$23="Yes",CH$3=Projects!$C$23+Projects!$D$23-1),Projects!$B$23*(Assumptions!$B$10+Assumptions!$B$11+Assumptions!$B$12)*0.05,0)</f>
        <v>0</v>
      </c>
      <c r="CI32" s="30" t="n">
        <f aca="false">IF(AND(Projects!$G$23="Yes",CI$3&gt;=Projects!$C$23,CI$3&lt;Projects!$C$23+Projects!$D$23),Projects!$B$23*INDEX(Curves!$B$4:$AR$4,1,CI$3-Projects!$C$23+1),0)-IF(AND(Projects!$G$23="Yes",CI$3&gt;=Projects!$C$23,CI$3&lt;Projects!$C$23+Projects!$D$23),Projects!$B$23*(Assumptions!$B$10+Assumptions!$B$11+Assumptions!$B$12)/Projects!$D$23*0.95,0)-IF(AND(Projects!$G$23="Yes",CI$3=Projects!$C$23+Projects!$D$23-1),Projects!$B$23*(Assumptions!$B$10+Assumptions!$B$11+Assumptions!$B$12)*0.05,0)</f>
        <v>0</v>
      </c>
      <c r="CJ32" s="30" t="n">
        <f aca="false">IF(AND(Projects!$G$23="Yes",CJ$3&gt;=Projects!$C$23,CJ$3&lt;Projects!$C$23+Projects!$D$23),Projects!$B$23*INDEX(Curves!$B$4:$AR$4,1,CJ$3-Projects!$C$23+1),0)-IF(AND(Projects!$G$23="Yes",CJ$3&gt;=Projects!$C$23,CJ$3&lt;Projects!$C$23+Projects!$D$23),Projects!$B$23*(Assumptions!$B$10+Assumptions!$B$11+Assumptions!$B$12)/Projects!$D$23*0.95,0)-IF(AND(Projects!$G$23="Yes",CJ$3=Projects!$C$23+Projects!$D$23-1),Projects!$B$23*(Assumptions!$B$10+Assumptions!$B$11+Assumptions!$B$12)*0.05,0)</f>
        <v>0</v>
      </c>
      <c r="CK32" s="30" t="n">
        <f aca="false">IF(AND(Projects!$G$23="Yes",CK$3&gt;=Projects!$C$23,CK$3&lt;Projects!$C$23+Projects!$D$23),Projects!$B$23*INDEX(Curves!$B$4:$AR$4,1,CK$3-Projects!$C$23+1),0)-IF(AND(Projects!$G$23="Yes",CK$3&gt;=Projects!$C$23,CK$3&lt;Projects!$C$23+Projects!$D$23),Projects!$B$23*(Assumptions!$B$10+Assumptions!$B$11+Assumptions!$B$12)/Projects!$D$23*0.95,0)-IF(AND(Projects!$G$23="Yes",CK$3=Projects!$C$23+Projects!$D$23-1),Projects!$B$23*(Assumptions!$B$10+Assumptions!$B$11+Assumptions!$B$12)*0.05,0)</f>
        <v>0</v>
      </c>
      <c r="CL32" s="30" t="n">
        <f aca="false">IF(AND(Projects!$G$23="Yes",CL$3&gt;=Projects!$C$23,CL$3&lt;Projects!$C$23+Projects!$D$23),Projects!$B$23*INDEX(Curves!$B$4:$AR$4,1,CL$3-Projects!$C$23+1),0)-IF(AND(Projects!$G$23="Yes",CL$3&gt;=Projects!$C$23,CL$3&lt;Projects!$C$23+Projects!$D$23),Projects!$B$23*(Assumptions!$B$10+Assumptions!$B$11+Assumptions!$B$12)/Projects!$D$23*0.95,0)-IF(AND(Projects!$G$23="Yes",CL$3=Projects!$C$23+Projects!$D$23-1),Projects!$B$23*(Assumptions!$B$10+Assumptions!$B$11+Assumptions!$B$12)*0.05,0)</f>
        <v>0</v>
      </c>
      <c r="CM32" s="30" t="n">
        <f aca="false">IF(AND(Projects!$G$23="Yes",CM$3&gt;=Projects!$C$23,CM$3&lt;Projects!$C$23+Projects!$D$23),Projects!$B$23*INDEX(Curves!$B$4:$AR$4,1,CM$3-Projects!$C$23+1),0)-IF(AND(Projects!$G$23="Yes",CM$3&gt;=Projects!$C$23,CM$3&lt;Projects!$C$23+Projects!$D$23),Projects!$B$23*(Assumptions!$B$10+Assumptions!$B$11+Assumptions!$B$12)/Projects!$D$23*0.95,0)-IF(AND(Projects!$G$23="Yes",CM$3=Projects!$C$23+Projects!$D$23-1),Projects!$B$23*(Assumptions!$B$10+Assumptions!$B$11+Assumptions!$B$12)*0.05,0)</f>
        <v>0</v>
      </c>
      <c r="CN32" s="30" t="n">
        <f aca="false">IF(AND(Projects!$G$23="Yes",CN$3&gt;=Projects!$C$23,CN$3&lt;Projects!$C$23+Projects!$D$23),Projects!$B$23*INDEX(Curves!$B$4:$AR$4,1,CN$3-Projects!$C$23+1),0)-IF(AND(Projects!$G$23="Yes",CN$3&gt;=Projects!$C$23,CN$3&lt;Projects!$C$23+Projects!$D$23),Projects!$B$23*(Assumptions!$B$10+Assumptions!$B$11+Assumptions!$B$12)/Projects!$D$23*0.95,0)-IF(AND(Projects!$G$23="Yes",CN$3=Projects!$C$23+Projects!$D$23-1),Projects!$B$23*(Assumptions!$B$10+Assumptions!$B$11+Assumptions!$B$12)*0.05,0)</f>
        <v>0</v>
      </c>
      <c r="CO32" s="30" t="n">
        <f aca="false">IF(AND(Projects!$G$23="Yes",CO$3&gt;=Projects!$C$23,CO$3&lt;Projects!$C$23+Projects!$D$23),Projects!$B$23*INDEX(Curves!$B$4:$AR$4,1,CO$3-Projects!$C$23+1),0)-IF(AND(Projects!$G$23="Yes",CO$3&gt;=Projects!$C$23,CO$3&lt;Projects!$C$23+Projects!$D$23),Projects!$B$23*(Assumptions!$B$10+Assumptions!$B$11+Assumptions!$B$12)/Projects!$D$23*0.95,0)-IF(AND(Projects!$G$23="Yes",CO$3=Projects!$C$23+Projects!$D$23-1),Projects!$B$23*(Assumptions!$B$10+Assumptions!$B$11+Assumptions!$B$12)*0.05,0)</f>
        <v>0</v>
      </c>
      <c r="CP32" s="30" t="n">
        <f aca="false">IF(AND(Projects!$G$23="Yes",CP$3&gt;=Projects!$C$23,CP$3&lt;Projects!$C$23+Projects!$D$23),Projects!$B$23*INDEX(Curves!$B$4:$AR$4,1,CP$3-Projects!$C$23+1),0)-IF(AND(Projects!$G$23="Yes",CP$3&gt;=Projects!$C$23,CP$3&lt;Projects!$C$23+Projects!$D$23),Projects!$B$23*(Assumptions!$B$10+Assumptions!$B$11+Assumptions!$B$12)/Projects!$D$23*0.95,0)-IF(AND(Projects!$G$23="Yes",CP$3=Projects!$C$23+Projects!$D$23-1),Projects!$B$23*(Assumptions!$B$10+Assumptions!$B$11+Assumptions!$B$12)*0.05,0)</f>
        <v>0</v>
      </c>
      <c r="CQ32" s="30" t="n">
        <f aca="false">IF(AND(Projects!$G$23="Yes",CQ$3&gt;=Projects!$C$23,CQ$3&lt;Projects!$C$23+Projects!$D$23),Projects!$B$23*INDEX(Curves!$B$4:$AR$4,1,CQ$3-Projects!$C$23+1),0)-IF(AND(Projects!$G$23="Yes",CQ$3&gt;=Projects!$C$23,CQ$3&lt;Projects!$C$23+Projects!$D$23),Projects!$B$23*(Assumptions!$B$10+Assumptions!$B$11+Assumptions!$B$12)/Projects!$D$23*0.95,0)-IF(AND(Projects!$G$23="Yes",CQ$3=Projects!$C$23+Projects!$D$23-1),Projects!$B$23*(Assumptions!$B$10+Assumptions!$B$11+Assumptions!$B$12)*0.05,0)</f>
        <v>0</v>
      </c>
      <c r="CR32" s="30" t="n">
        <f aca="false">IF(AND(Projects!$G$23="Yes",CR$3&gt;=Projects!$C$23,CR$3&lt;Projects!$C$23+Projects!$D$23),Projects!$B$23*INDEX(Curves!$B$4:$AR$4,1,CR$3-Projects!$C$23+1),0)-IF(AND(Projects!$G$23="Yes",CR$3&gt;=Projects!$C$23,CR$3&lt;Projects!$C$23+Projects!$D$23),Projects!$B$23*(Assumptions!$B$10+Assumptions!$B$11+Assumptions!$B$12)/Projects!$D$23*0.95,0)-IF(AND(Projects!$G$23="Yes",CR$3=Projects!$C$23+Projects!$D$23-1),Projects!$B$23*(Assumptions!$B$10+Assumptions!$B$11+Assumptions!$B$12)*0.05,0)</f>
        <v>0</v>
      </c>
      <c r="CS32" s="30" t="n">
        <f aca="false">IF(AND(Projects!$G$23="Yes",CS$3&gt;=Projects!$C$23,CS$3&lt;Projects!$C$23+Projects!$D$23),Projects!$B$23*INDEX(Curves!$B$4:$AR$4,1,CS$3-Projects!$C$23+1),0)-IF(AND(Projects!$G$23="Yes",CS$3&gt;=Projects!$C$23,CS$3&lt;Projects!$C$23+Projects!$D$23),Projects!$B$23*(Assumptions!$B$10+Assumptions!$B$11+Assumptions!$B$12)/Projects!$D$23*0.95,0)-IF(AND(Projects!$G$23="Yes",CS$3=Projects!$C$23+Projects!$D$23-1),Projects!$B$23*(Assumptions!$B$10+Assumptions!$B$11+Assumptions!$B$12)*0.05,0)</f>
        <v>0</v>
      </c>
      <c r="CT32" s="30" t="n">
        <f aca="false">IF(AND(Projects!$G$23="Yes",CT$3&gt;=Projects!$C$23,CT$3&lt;Projects!$C$23+Projects!$D$23),Projects!$B$23*INDEX(Curves!$B$4:$AR$4,1,CT$3-Projects!$C$23+1),0)-IF(AND(Projects!$G$23="Yes",CT$3&gt;=Projects!$C$23,CT$3&lt;Projects!$C$23+Projects!$D$23),Projects!$B$23*(Assumptions!$B$10+Assumptions!$B$11+Assumptions!$B$12)/Projects!$D$23*0.95,0)-IF(AND(Projects!$G$23="Yes",CT$3=Projects!$C$23+Projects!$D$23-1),Projects!$B$23*(Assumptions!$B$10+Assumptions!$B$11+Assumptions!$B$12)*0.05,0)</f>
        <v>0</v>
      </c>
      <c r="CU32" s="30" t="n">
        <f aca="false">IF(AND(Projects!$G$23="Yes",CU$3&gt;=Projects!$C$23,CU$3&lt;Projects!$C$23+Projects!$D$23),Projects!$B$23*INDEX(Curves!$B$4:$AR$4,1,CU$3-Projects!$C$23+1),0)-IF(AND(Projects!$G$23="Yes",CU$3&gt;=Projects!$C$23,CU$3&lt;Projects!$C$23+Projects!$D$23),Projects!$B$23*(Assumptions!$B$10+Assumptions!$B$11+Assumptions!$B$12)/Projects!$D$23*0.95,0)-IF(AND(Projects!$G$23="Yes",CU$3=Projects!$C$23+Projects!$D$23-1),Projects!$B$23*(Assumptions!$B$10+Assumptions!$B$11+Assumptions!$B$12)*0.05,0)</f>
        <v>0</v>
      </c>
      <c r="CV32" s="30" t="n">
        <f aca="false">IF(AND(Projects!$G$23="Yes",CV$3&gt;=Projects!$C$23,CV$3&lt;Projects!$C$23+Projects!$D$23),Projects!$B$23*INDEX(Curves!$B$4:$AR$4,1,CV$3-Projects!$C$23+1),0)-IF(AND(Projects!$G$23="Yes",CV$3&gt;=Projects!$C$23,CV$3&lt;Projects!$C$23+Projects!$D$23),Projects!$B$23*(Assumptions!$B$10+Assumptions!$B$11+Assumptions!$B$12)/Projects!$D$23*0.95,0)-IF(AND(Projects!$G$23="Yes",CV$3=Projects!$C$23+Projects!$D$23-1),Projects!$B$23*(Assumptions!$B$10+Assumptions!$B$11+Assumptions!$B$12)*0.05,0)</f>
        <v>0</v>
      </c>
      <c r="CW32" s="30" t="n">
        <f aca="false">IF(AND(Projects!$G$23="Yes",CW$3&gt;=Projects!$C$23,CW$3&lt;Projects!$C$23+Projects!$D$23),Projects!$B$23*INDEX(Curves!$B$4:$AR$4,1,CW$3-Projects!$C$23+1),0)-IF(AND(Projects!$G$23="Yes",CW$3&gt;=Projects!$C$23,CW$3&lt;Projects!$C$23+Projects!$D$23),Projects!$B$23*(Assumptions!$B$10+Assumptions!$B$11+Assumptions!$B$12)/Projects!$D$23*0.95,0)-IF(AND(Projects!$G$23="Yes",CW$3=Projects!$C$23+Projects!$D$23-1),Projects!$B$23*(Assumptions!$B$10+Assumptions!$B$11+Assumptions!$B$12)*0.05,0)</f>
        <v>0</v>
      </c>
      <c r="CX32" s="30" t="n">
        <f aca="false">IF(AND(Projects!$G$23="Yes",CX$3&gt;=Projects!$C$23,CX$3&lt;Projects!$C$23+Projects!$D$23),Projects!$B$23*INDEX(Curves!$B$4:$AR$4,1,CX$3-Projects!$C$23+1),0)-IF(AND(Projects!$G$23="Yes",CX$3&gt;=Projects!$C$23,CX$3&lt;Projects!$C$23+Projects!$D$23),Projects!$B$23*(Assumptions!$B$10+Assumptions!$B$11+Assumptions!$B$12)/Projects!$D$23*0.95,0)-IF(AND(Projects!$G$23="Yes",CX$3=Projects!$C$23+Projects!$D$23-1),Projects!$B$23*(Assumptions!$B$10+Assumptions!$B$11+Assumptions!$B$12)*0.05,0)</f>
        <v>0</v>
      </c>
      <c r="CY32" s="30" t="n">
        <f aca="false">IF(AND(Projects!$G$23="Yes",CY$3&gt;=Projects!$C$23,CY$3&lt;Projects!$C$23+Projects!$D$23),Projects!$B$23*INDEX(Curves!$B$4:$AR$4,1,CY$3-Projects!$C$23+1),0)-IF(AND(Projects!$G$23="Yes",CY$3&gt;=Projects!$C$23,CY$3&lt;Projects!$C$23+Projects!$D$23),Projects!$B$23*(Assumptions!$B$10+Assumptions!$B$11+Assumptions!$B$12)/Projects!$D$23*0.95,0)-IF(AND(Projects!$G$23="Yes",CY$3=Projects!$C$23+Projects!$D$23-1),Projects!$B$23*(Assumptions!$B$10+Assumptions!$B$11+Assumptions!$B$12)*0.05,0)</f>
        <v>0</v>
      </c>
      <c r="CZ32" s="30" t="n">
        <f aca="false">IF(AND(Projects!$G$23="Yes",CZ$3&gt;=Projects!$C$23,CZ$3&lt;Projects!$C$23+Projects!$D$23),Projects!$B$23*INDEX(Curves!$B$4:$AR$4,1,CZ$3-Projects!$C$23+1),0)-IF(AND(Projects!$G$23="Yes",CZ$3&gt;=Projects!$C$23,CZ$3&lt;Projects!$C$23+Projects!$D$23),Projects!$B$23*(Assumptions!$B$10+Assumptions!$B$11+Assumptions!$B$12)/Projects!$D$23*0.95,0)-IF(AND(Projects!$G$23="Yes",CZ$3=Projects!$C$23+Projects!$D$23-1),Projects!$B$23*(Assumptions!$B$10+Assumptions!$B$11+Assumptions!$B$12)*0.05,0)</f>
        <v>0</v>
      </c>
      <c r="DA32" s="30" t="n">
        <f aca="false">IF(AND(Projects!$G$23="Yes",DA$3&gt;=Projects!$C$23,DA$3&lt;Projects!$C$23+Projects!$D$23),Projects!$B$23*INDEX(Curves!$B$4:$AR$4,1,DA$3-Projects!$C$23+1),0)-IF(AND(Projects!$G$23="Yes",DA$3&gt;=Projects!$C$23,DA$3&lt;Projects!$C$23+Projects!$D$23),Projects!$B$23*(Assumptions!$B$10+Assumptions!$B$11+Assumptions!$B$12)/Projects!$D$23*0.95,0)-IF(AND(Projects!$G$23="Yes",DA$3=Projects!$C$23+Projects!$D$23-1),Projects!$B$23*(Assumptions!$B$10+Assumptions!$B$11+Assumptions!$B$12)*0.05,0)</f>
        <v>0</v>
      </c>
      <c r="DB32" s="30" t="n">
        <f aca="false">IF(AND(Projects!$G$23="Yes",DB$3&gt;=Projects!$C$23,DB$3&lt;Projects!$C$23+Projects!$D$23),Projects!$B$23*INDEX(Curves!$B$4:$AR$4,1,DB$3-Projects!$C$23+1),0)-IF(AND(Projects!$G$23="Yes",DB$3&gt;=Projects!$C$23,DB$3&lt;Projects!$C$23+Projects!$D$23),Projects!$B$23*(Assumptions!$B$10+Assumptions!$B$11+Assumptions!$B$12)/Projects!$D$23*0.95,0)-IF(AND(Projects!$G$23="Yes",DB$3=Projects!$C$23+Projects!$D$23-1),Projects!$B$23*(Assumptions!$B$10+Assumptions!$B$11+Assumptions!$B$12)*0.05,0)</f>
        <v>0</v>
      </c>
      <c r="DC32" s="30" t="n">
        <f aca="false">IF(AND(Projects!$G$23="Yes",DC$3&gt;=Projects!$C$23,DC$3&lt;Projects!$C$23+Projects!$D$23),Projects!$B$23*INDEX(Curves!$B$4:$AR$4,1,DC$3-Projects!$C$23+1),0)-IF(AND(Projects!$G$23="Yes",DC$3&gt;=Projects!$C$23,DC$3&lt;Projects!$C$23+Projects!$D$23),Projects!$B$23*(Assumptions!$B$10+Assumptions!$B$11+Assumptions!$B$12)/Projects!$D$23*0.95,0)-IF(AND(Projects!$G$23="Yes",DC$3=Projects!$C$23+Projects!$D$23-1),Projects!$B$23*(Assumptions!$B$10+Assumptions!$B$11+Assumptions!$B$12)*0.05,0)</f>
        <v>0</v>
      </c>
      <c r="DD32" s="30" t="n">
        <f aca="false">IF(AND(Projects!$G$23="Yes",DD$3&gt;=Projects!$C$23,DD$3&lt;Projects!$C$23+Projects!$D$23),Projects!$B$23*INDEX(Curves!$B$4:$AR$4,1,DD$3-Projects!$C$23+1),0)-IF(AND(Projects!$G$23="Yes",DD$3&gt;=Projects!$C$23,DD$3&lt;Projects!$C$23+Projects!$D$23),Projects!$B$23*(Assumptions!$B$10+Assumptions!$B$11+Assumptions!$B$12)/Projects!$D$23*0.95,0)-IF(AND(Projects!$G$23="Yes",DD$3=Projects!$C$23+Projects!$D$23-1),Projects!$B$23*(Assumptions!$B$10+Assumptions!$B$11+Assumptions!$B$12)*0.05,0)</f>
        <v>0</v>
      </c>
      <c r="DE32" s="30" t="n">
        <f aca="false">IF(AND(Projects!$G$23="Yes",DE$3&gt;=Projects!$C$23,DE$3&lt;Projects!$C$23+Projects!$D$23),Projects!$B$23*INDEX(Curves!$B$4:$AR$4,1,DE$3-Projects!$C$23+1),0)-IF(AND(Projects!$G$23="Yes",DE$3&gt;=Projects!$C$23,DE$3&lt;Projects!$C$23+Projects!$D$23),Projects!$B$23*(Assumptions!$B$10+Assumptions!$B$11+Assumptions!$B$12)/Projects!$D$23*0.95,0)-IF(AND(Projects!$G$23="Yes",DE$3=Projects!$C$23+Projects!$D$23-1),Projects!$B$23*(Assumptions!$B$10+Assumptions!$B$11+Assumptions!$B$12)*0.05,0)</f>
        <v>0</v>
      </c>
    </row>
    <row r="33" customFormat="false" ht="15" hidden="true" customHeight="true" outlineLevel="1" collapsed="false">
      <c r="A33" s="32" t="s">
        <v>27</v>
      </c>
      <c r="B33" s="30" t="n">
        <v>0</v>
      </c>
      <c r="C33" s="30" t="n">
        <v>0</v>
      </c>
      <c r="D33" s="30" t="n">
        <v>0</v>
      </c>
      <c r="E33" s="30" t="n">
        <v>0</v>
      </c>
      <c r="F33" s="30" t="n">
        <f aca="false">IF(AND(Projects!$G$24="Yes",F$3&gt;=Projects!$C$24,F$3&lt;Projects!$C$24+Projects!$D$24),Projects!$B$24*INDEX(Curves!$B$4:$AR$4,1,F$3-Projects!$C$24+1),0)-IF(AND(Projects!$G$24="Yes",F$3&gt;=Projects!$C$24,F$3&lt;Projects!$C$24+Projects!$D$24),Projects!$B$24*(Assumptions!$B$10+Assumptions!$B$11+Assumptions!$B$12)/Projects!$D$24*0.95,0)-IF(AND(Projects!$G$24="Yes",F$3=Projects!$C$24+Projects!$D$24-1),Projects!$B$24*(Assumptions!$B$10+Assumptions!$B$11+Assumptions!$B$12)*0.05,0)</f>
        <v>0</v>
      </c>
      <c r="G33" s="30" t="n">
        <f aca="false">IF(AND(Projects!$G$24="Yes",G$3&gt;=Projects!$C$24,G$3&lt;Projects!$C$24+Projects!$D$24),Projects!$B$24*INDEX(Curves!$B$4:$AR$4,1,G$3-Projects!$C$24+1),0)-IF(AND(Projects!$G$24="Yes",G$3&gt;=Projects!$C$24,G$3&lt;Projects!$C$24+Projects!$D$24),Projects!$B$24*(Assumptions!$B$10+Assumptions!$B$11+Assumptions!$B$12)/Projects!$D$24*0.95,0)-IF(AND(Projects!$G$24="Yes",G$3=Projects!$C$24+Projects!$D$24-1),Projects!$B$24*(Assumptions!$B$10+Assumptions!$B$11+Assumptions!$B$12)*0.05,0)</f>
        <v>0</v>
      </c>
      <c r="H33" s="30" t="n">
        <f aca="false">IF(AND(Projects!$G$24="Yes",H$3&gt;=Projects!$C$24,H$3&lt;Projects!$C$24+Projects!$D$24),Projects!$B$24*INDEX(Curves!$B$4:$AR$4,1,H$3-Projects!$C$24+1),0)-IF(AND(Projects!$G$24="Yes",H$3&gt;=Projects!$C$24,H$3&lt;Projects!$C$24+Projects!$D$24),Projects!$B$24*(Assumptions!$B$10+Assumptions!$B$11+Assumptions!$B$12)/Projects!$D$24*0.95,0)-IF(AND(Projects!$G$24="Yes",H$3=Projects!$C$24+Projects!$D$24-1),Projects!$B$24*(Assumptions!$B$10+Assumptions!$B$11+Assumptions!$B$12)*0.05,0)</f>
        <v>0</v>
      </c>
      <c r="I33" s="30" t="n">
        <f aca="false">IF(AND(Projects!$G$24="Yes",I$3&gt;=Projects!$C$24,I$3&lt;Projects!$C$24+Projects!$D$24),Projects!$B$24*INDEX(Curves!$B$4:$AR$4,1,I$3-Projects!$C$24+1),0)-IF(AND(Projects!$G$24="Yes",I$3&gt;=Projects!$C$24,I$3&lt;Projects!$C$24+Projects!$D$24),Projects!$B$24*(Assumptions!$B$10+Assumptions!$B$11+Assumptions!$B$12)/Projects!$D$24*0.95,0)-IF(AND(Projects!$G$24="Yes",I$3=Projects!$C$24+Projects!$D$24-1),Projects!$B$24*(Assumptions!$B$10+Assumptions!$B$11+Assumptions!$B$12)*0.05,0)</f>
        <v>0</v>
      </c>
      <c r="J33" s="30" t="n">
        <f aca="false">IF(AND(Projects!$G$24="Yes",J$3&gt;=Projects!$C$24,J$3&lt;Projects!$C$24+Projects!$D$24),Projects!$B$24*INDEX(Curves!$B$4:$AR$4,1,J$3-Projects!$C$24+1),0)-IF(AND(Projects!$G$24="Yes",J$3&gt;=Projects!$C$24,J$3&lt;Projects!$C$24+Projects!$D$24),Projects!$B$24*(Assumptions!$B$10+Assumptions!$B$11+Assumptions!$B$12)/Projects!$D$24*0.95,0)-IF(AND(Projects!$G$24="Yes",J$3=Projects!$C$24+Projects!$D$24-1),Projects!$B$24*(Assumptions!$B$10+Assumptions!$B$11+Assumptions!$B$12)*0.05,0)</f>
        <v>0</v>
      </c>
      <c r="K33" s="30" t="n">
        <f aca="false">IF(AND(Projects!$G$24="Yes",K$3&gt;=Projects!$C$24,K$3&lt;Projects!$C$24+Projects!$D$24),Projects!$B$24*INDEX(Curves!$B$4:$AR$4,1,K$3-Projects!$C$24+1),0)-IF(AND(Projects!$G$24="Yes",K$3&gt;=Projects!$C$24,K$3&lt;Projects!$C$24+Projects!$D$24),Projects!$B$24*(Assumptions!$B$10+Assumptions!$B$11+Assumptions!$B$12)/Projects!$D$24*0.95,0)-IF(AND(Projects!$G$24="Yes",K$3=Projects!$C$24+Projects!$D$24-1),Projects!$B$24*(Assumptions!$B$10+Assumptions!$B$11+Assumptions!$B$12)*0.05,0)</f>
        <v>0</v>
      </c>
      <c r="L33" s="30" t="n">
        <f aca="false">IF(AND(Projects!$G$24="Yes",L$3&gt;=Projects!$C$24,L$3&lt;Projects!$C$24+Projects!$D$24),Projects!$B$24*INDEX(Curves!$B$4:$AR$4,1,L$3-Projects!$C$24+1),0)-IF(AND(Projects!$G$24="Yes",L$3&gt;=Projects!$C$24,L$3&lt;Projects!$C$24+Projects!$D$24),Projects!$B$24*(Assumptions!$B$10+Assumptions!$B$11+Assumptions!$B$12)/Projects!$D$24*0.95,0)-IF(AND(Projects!$G$24="Yes",L$3=Projects!$C$24+Projects!$D$24-1),Projects!$B$24*(Assumptions!$B$10+Assumptions!$B$11+Assumptions!$B$12)*0.05,0)</f>
        <v>0</v>
      </c>
      <c r="M33" s="30" t="n">
        <f aca="false">IF(AND(Projects!$G$24="Yes",M$3&gt;=Projects!$C$24,M$3&lt;Projects!$C$24+Projects!$D$24),Projects!$B$24*INDEX(Curves!$B$4:$AR$4,1,M$3-Projects!$C$24+1),0)-IF(AND(Projects!$G$24="Yes",M$3&gt;=Projects!$C$24,M$3&lt;Projects!$C$24+Projects!$D$24),Projects!$B$24*(Assumptions!$B$10+Assumptions!$B$11+Assumptions!$B$12)/Projects!$D$24*0.95,0)-IF(AND(Projects!$G$24="Yes",M$3=Projects!$C$24+Projects!$D$24-1),Projects!$B$24*(Assumptions!$B$10+Assumptions!$B$11+Assumptions!$B$12)*0.05,0)</f>
        <v>0</v>
      </c>
      <c r="N33" s="30" t="n">
        <f aca="false">IF(AND(Projects!$G$24="Yes",N$3&gt;=Projects!$C$24,N$3&lt;Projects!$C$24+Projects!$D$24),Projects!$B$24*INDEX(Curves!$B$4:$AR$4,1,N$3-Projects!$C$24+1),0)-IF(AND(Projects!$G$24="Yes",N$3&gt;=Projects!$C$24,N$3&lt;Projects!$C$24+Projects!$D$24),Projects!$B$24*(Assumptions!$B$10+Assumptions!$B$11+Assumptions!$B$12)/Projects!$D$24*0.95,0)-IF(AND(Projects!$G$24="Yes",N$3=Projects!$C$24+Projects!$D$24-1),Projects!$B$24*(Assumptions!$B$10+Assumptions!$B$11+Assumptions!$B$12)*0.05,0)</f>
        <v>0</v>
      </c>
      <c r="O33" s="30" t="n">
        <f aca="false">IF(AND(Projects!$G$24="Yes",O$3&gt;=Projects!$C$24,O$3&lt;Projects!$C$24+Projects!$D$24),Projects!$B$24*INDEX(Curves!$B$4:$AR$4,1,O$3-Projects!$C$24+1),0)-IF(AND(Projects!$G$24="Yes",O$3&gt;=Projects!$C$24,O$3&lt;Projects!$C$24+Projects!$D$24),Projects!$B$24*(Assumptions!$B$10+Assumptions!$B$11+Assumptions!$B$12)/Projects!$D$24*0.95,0)-IF(AND(Projects!$G$24="Yes",O$3=Projects!$C$24+Projects!$D$24-1),Projects!$B$24*(Assumptions!$B$10+Assumptions!$B$11+Assumptions!$B$12)*0.05,0)</f>
        <v>0</v>
      </c>
      <c r="P33" s="30" t="n">
        <f aca="false">IF(AND(Projects!$G$24="Yes",P$3&gt;=Projects!$C$24,P$3&lt;Projects!$C$24+Projects!$D$24),Projects!$B$24*INDEX(Curves!$B$4:$AR$4,1,P$3-Projects!$C$24+1),0)-IF(AND(Projects!$G$24="Yes",P$3&gt;=Projects!$C$24,P$3&lt;Projects!$C$24+Projects!$D$24),Projects!$B$24*(Assumptions!$B$10+Assumptions!$B$11+Assumptions!$B$12)/Projects!$D$24*0.95,0)-IF(AND(Projects!$G$24="Yes",P$3=Projects!$C$24+Projects!$D$24-1),Projects!$B$24*(Assumptions!$B$10+Assumptions!$B$11+Assumptions!$B$12)*0.05,0)</f>
        <v>0</v>
      </c>
      <c r="Q33" s="30" t="n">
        <f aca="false">IF(AND(Projects!$G$24="Yes",Q$3&gt;=Projects!$C$24,Q$3&lt;Projects!$C$24+Projects!$D$24),Projects!$B$24*INDEX(Curves!$B$4:$AR$4,1,Q$3-Projects!$C$24+1),0)-IF(AND(Projects!$G$24="Yes",Q$3&gt;=Projects!$C$24,Q$3&lt;Projects!$C$24+Projects!$D$24),Projects!$B$24*(Assumptions!$B$10+Assumptions!$B$11+Assumptions!$B$12)/Projects!$D$24*0.95,0)-IF(AND(Projects!$G$24="Yes",Q$3=Projects!$C$24+Projects!$D$24-1),Projects!$B$24*(Assumptions!$B$10+Assumptions!$B$11+Assumptions!$B$12)*0.05,0)</f>
        <v>0</v>
      </c>
      <c r="R33" s="30" t="n">
        <f aca="false">IF(AND(Projects!$G$24="Yes",R$3&gt;=Projects!$C$24,R$3&lt;Projects!$C$24+Projects!$D$24),Projects!$B$24*INDEX(Curves!$B$4:$AR$4,1,R$3-Projects!$C$24+1),0)-IF(AND(Projects!$G$24="Yes",R$3&gt;=Projects!$C$24,R$3&lt;Projects!$C$24+Projects!$D$24),Projects!$B$24*(Assumptions!$B$10+Assumptions!$B$11+Assumptions!$B$12)/Projects!$D$24*0.95,0)-IF(AND(Projects!$G$24="Yes",R$3=Projects!$C$24+Projects!$D$24-1),Projects!$B$24*(Assumptions!$B$10+Assumptions!$B$11+Assumptions!$B$12)*0.05,0)</f>
        <v>0</v>
      </c>
      <c r="S33" s="30" t="n">
        <f aca="false">IF(AND(Projects!$G$24="Yes",S$3&gt;=Projects!$C$24,S$3&lt;Projects!$C$24+Projects!$D$24),Projects!$B$24*INDEX(Curves!$B$4:$AR$4,1,S$3-Projects!$C$24+1),0)-IF(AND(Projects!$G$24="Yes",S$3&gt;=Projects!$C$24,S$3&lt;Projects!$C$24+Projects!$D$24),Projects!$B$24*(Assumptions!$B$10+Assumptions!$B$11+Assumptions!$B$12)/Projects!$D$24*0.95,0)-IF(AND(Projects!$G$24="Yes",S$3=Projects!$C$24+Projects!$D$24-1),Projects!$B$24*(Assumptions!$B$10+Assumptions!$B$11+Assumptions!$B$12)*0.05,0)</f>
        <v>0</v>
      </c>
      <c r="T33" s="30" t="n">
        <f aca="false">IF(AND(Projects!$G$24="Yes",T$3&gt;=Projects!$C$24,T$3&lt;Projects!$C$24+Projects!$D$24),Projects!$B$24*INDEX(Curves!$B$4:$AR$4,1,T$3-Projects!$C$24+1),0)-IF(AND(Projects!$G$24="Yes",T$3&gt;=Projects!$C$24,T$3&lt;Projects!$C$24+Projects!$D$24),Projects!$B$24*(Assumptions!$B$10+Assumptions!$B$11+Assumptions!$B$12)/Projects!$D$24*0.95,0)-IF(AND(Projects!$G$24="Yes",T$3=Projects!$C$24+Projects!$D$24-1),Projects!$B$24*(Assumptions!$B$10+Assumptions!$B$11+Assumptions!$B$12)*0.05,0)</f>
        <v>0</v>
      </c>
      <c r="U33" s="30" t="n">
        <f aca="false">IF(AND(Projects!$G$24="Yes",U$3&gt;=Projects!$C$24,U$3&lt;Projects!$C$24+Projects!$D$24),Projects!$B$24*INDEX(Curves!$B$4:$AR$4,1,U$3-Projects!$C$24+1),0)-IF(AND(Projects!$G$24="Yes",U$3&gt;=Projects!$C$24,U$3&lt;Projects!$C$24+Projects!$D$24),Projects!$B$24*(Assumptions!$B$10+Assumptions!$B$11+Assumptions!$B$12)/Projects!$D$24*0.95,0)-IF(AND(Projects!$G$24="Yes",U$3=Projects!$C$24+Projects!$D$24-1),Projects!$B$24*(Assumptions!$B$10+Assumptions!$B$11+Assumptions!$B$12)*0.05,0)</f>
        <v>0</v>
      </c>
      <c r="V33" s="30" t="n">
        <f aca="false">IF(AND(Projects!$G$24="Yes",V$3&gt;=Projects!$C$24,V$3&lt;Projects!$C$24+Projects!$D$24),Projects!$B$24*INDEX(Curves!$B$4:$AR$4,1,V$3-Projects!$C$24+1),0)-IF(AND(Projects!$G$24="Yes",V$3&gt;=Projects!$C$24,V$3&lt;Projects!$C$24+Projects!$D$24),Projects!$B$24*(Assumptions!$B$10+Assumptions!$B$11+Assumptions!$B$12)/Projects!$D$24*0.95,0)-IF(AND(Projects!$G$24="Yes",V$3=Projects!$C$24+Projects!$D$24-1),Projects!$B$24*(Assumptions!$B$10+Assumptions!$B$11+Assumptions!$B$12)*0.05,0)</f>
        <v>0</v>
      </c>
      <c r="W33" s="30" t="n">
        <f aca="false">IF(AND(Projects!$G$24="Yes",W$3&gt;=Projects!$C$24,W$3&lt;Projects!$C$24+Projects!$D$24),Projects!$B$24*INDEX(Curves!$B$4:$AR$4,1,W$3-Projects!$C$24+1),0)-IF(AND(Projects!$G$24="Yes",W$3&gt;=Projects!$C$24,W$3&lt;Projects!$C$24+Projects!$D$24),Projects!$B$24*(Assumptions!$B$10+Assumptions!$B$11+Assumptions!$B$12)/Projects!$D$24*0.95,0)-IF(AND(Projects!$G$24="Yes",W$3=Projects!$C$24+Projects!$D$24-1),Projects!$B$24*(Assumptions!$B$10+Assumptions!$B$11+Assumptions!$B$12)*0.05,0)</f>
        <v>0</v>
      </c>
      <c r="X33" s="30" t="n">
        <f aca="false">IF(AND(Projects!$G$24="Yes",X$3&gt;=Projects!$C$24,X$3&lt;Projects!$C$24+Projects!$D$24),Projects!$B$24*INDEX(Curves!$B$4:$AR$4,1,X$3-Projects!$C$24+1),0)-IF(AND(Projects!$G$24="Yes",X$3&gt;=Projects!$C$24,X$3&lt;Projects!$C$24+Projects!$D$24),Projects!$B$24*(Assumptions!$B$10+Assumptions!$B$11+Assumptions!$B$12)/Projects!$D$24*0.95,0)-IF(AND(Projects!$G$24="Yes",X$3=Projects!$C$24+Projects!$D$24-1),Projects!$B$24*(Assumptions!$B$10+Assumptions!$B$11+Assumptions!$B$12)*0.05,0)</f>
        <v>0</v>
      </c>
      <c r="Y33" s="30" t="n">
        <f aca="false">IF(AND(Projects!$G$24="Yes",Y$3&gt;=Projects!$C$24,Y$3&lt;Projects!$C$24+Projects!$D$24),Projects!$B$24*INDEX(Curves!$B$4:$AR$4,1,Y$3-Projects!$C$24+1),0)-IF(AND(Projects!$G$24="Yes",Y$3&gt;=Projects!$C$24,Y$3&lt;Projects!$C$24+Projects!$D$24),Projects!$B$24*(Assumptions!$B$10+Assumptions!$B$11+Assumptions!$B$12)/Projects!$D$24*0.95,0)-IF(AND(Projects!$G$24="Yes",Y$3=Projects!$C$24+Projects!$D$24-1),Projects!$B$24*(Assumptions!$B$10+Assumptions!$B$11+Assumptions!$B$12)*0.05,0)</f>
        <v>0</v>
      </c>
      <c r="Z33" s="30" t="n">
        <f aca="false">IF(AND(Projects!$G$24="Yes",Z$3&gt;=Projects!$C$24,Z$3&lt;Projects!$C$24+Projects!$D$24),Projects!$B$24*INDEX(Curves!$B$4:$AR$4,1,Z$3-Projects!$C$24+1),0)-IF(AND(Projects!$G$24="Yes",Z$3&gt;=Projects!$C$24,Z$3&lt;Projects!$C$24+Projects!$D$24),Projects!$B$24*(Assumptions!$B$10+Assumptions!$B$11+Assumptions!$B$12)/Projects!$D$24*0.95,0)-IF(AND(Projects!$G$24="Yes",Z$3=Projects!$C$24+Projects!$D$24-1),Projects!$B$24*(Assumptions!$B$10+Assumptions!$B$11+Assumptions!$B$12)*0.05,0)</f>
        <v>0</v>
      </c>
      <c r="AA33" s="30" t="n">
        <f aca="false">IF(AND(Projects!$G$24="Yes",AA$3&gt;=Projects!$C$24,AA$3&lt;Projects!$C$24+Projects!$D$24),Projects!$B$24*INDEX(Curves!$B$4:$AR$4,1,AA$3-Projects!$C$24+1),0)-IF(AND(Projects!$G$24="Yes",AA$3&gt;=Projects!$C$24,AA$3&lt;Projects!$C$24+Projects!$D$24),Projects!$B$24*(Assumptions!$B$10+Assumptions!$B$11+Assumptions!$B$12)/Projects!$D$24*0.95,0)-IF(AND(Projects!$G$24="Yes",AA$3=Projects!$C$24+Projects!$D$24-1),Projects!$B$24*(Assumptions!$B$10+Assumptions!$B$11+Assumptions!$B$12)*0.05,0)</f>
        <v>0</v>
      </c>
      <c r="AB33" s="30" t="n">
        <f aca="false">IF(AND(Projects!$G$24="Yes",AB$3&gt;=Projects!$C$24,AB$3&lt;Projects!$C$24+Projects!$D$24),Projects!$B$24*INDEX(Curves!$B$4:$AR$4,1,AB$3-Projects!$C$24+1),0)-IF(AND(Projects!$G$24="Yes",AB$3&gt;=Projects!$C$24,AB$3&lt;Projects!$C$24+Projects!$D$24),Projects!$B$24*(Assumptions!$B$10+Assumptions!$B$11+Assumptions!$B$12)/Projects!$D$24*0.95,0)-IF(AND(Projects!$G$24="Yes",AB$3=Projects!$C$24+Projects!$D$24-1),Projects!$B$24*(Assumptions!$B$10+Assumptions!$B$11+Assumptions!$B$12)*0.05,0)</f>
        <v>0</v>
      </c>
      <c r="AC33" s="30" t="n">
        <f aca="false">IF(AND(Projects!$G$24="Yes",AC$3&gt;=Projects!$C$24,AC$3&lt;Projects!$C$24+Projects!$D$24),Projects!$B$24*INDEX(Curves!$B$4:$AR$4,1,AC$3-Projects!$C$24+1),0)-IF(AND(Projects!$G$24="Yes",AC$3&gt;=Projects!$C$24,AC$3&lt;Projects!$C$24+Projects!$D$24),Projects!$B$24*(Assumptions!$B$10+Assumptions!$B$11+Assumptions!$B$12)/Projects!$D$24*0.95,0)-IF(AND(Projects!$G$24="Yes",AC$3=Projects!$C$24+Projects!$D$24-1),Projects!$B$24*(Assumptions!$B$10+Assumptions!$B$11+Assumptions!$B$12)*0.05,0)</f>
        <v>0</v>
      </c>
      <c r="AD33" s="30" t="n">
        <f aca="false">IF(AND(Projects!$G$24="Yes",AD$3&gt;=Projects!$C$24,AD$3&lt;Projects!$C$24+Projects!$D$24),Projects!$B$24*INDEX(Curves!$B$4:$AR$4,1,AD$3-Projects!$C$24+1),0)-IF(AND(Projects!$G$24="Yes",AD$3&gt;=Projects!$C$24,AD$3&lt;Projects!$C$24+Projects!$D$24),Projects!$B$24*(Assumptions!$B$10+Assumptions!$B$11+Assumptions!$B$12)/Projects!$D$24*0.95,0)-IF(AND(Projects!$G$24="Yes",AD$3=Projects!$C$24+Projects!$D$24-1),Projects!$B$24*(Assumptions!$B$10+Assumptions!$B$11+Assumptions!$B$12)*0.05,0)</f>
        <v>0</v>
      </c>
      <c r="AE33" s="30" t="n">
        <f aca="false">IF(AND(Projects!$G$24="Yes",AE$3&gt;=Projects!$C$24,AE$3&lt;Projects!$C$24+Projects!$D$24),Projects!$B$24*INDEX(Curves!$B$4:$AR$4,1,AE$3-Projects!$C$24+1),0)-IF(AND(Projects!$G$24="Yes",AE$3&gt;=Projects!$C$24,AE$3&lt;Projects!$C$24+Projects!$D$24),Projects!$B$24*(Assumptions!$B$10+Assumptions!$B$11+Assumptions!$B$12)/Projects!$D$24*0.95,0)-IF(AND(Projects!$G$24="Yes",AE$3=Projects!$C$24+Projects!$D$24-1),Projects!$B$24*(Assumptions!$B$10+Assumptions!$B$11+Assumptions!$B$12)*0.05,0)</f>
        <v>0</v>
      </c>
      <c r="AF33" s="30" t="n">
        <f aca="false">IF(AND(Projects!$G$24="Yes",AF$3&gt;=Projects!$C$24,AF$3&lt;Projects!$C$24+Projects!$D$24),Projects!$B$24*INDEX(Curves!$B$4:$AR$4,1,AF$3-Projects!$C$24+1),0)-IF(AND(Projects!$G$24="Yes",AF$3&gt;=Projects!$C$24,AF$3&lt;Projects!$C$24+Projects!$D$24),Projects!$B$24*(Assumptions!$B$10+Assumptions!$B$11+Assumptions!$B$12)/Projects!$D$24*0.95,0)-IF(AND(Projects!$G$24="Yes",AF$3=Projects!$C$24+Projects!$D$24-1),Projects!$B$24*(Assumptions!$B$10+Assumptions!$B$11+Assumptions!$B$12)*0.05,0)</f>
        <v>0</v>
      </c>
      <c r="AG33" s="30" t="n">
        <f aca="false">IF(AND(Projects!$G$24="Yes",AG$3&gt;=Projects!$C$24,AG$3&lt;Projects!$C$24+Projects!$D$24),Projects!$B$24*INDEX(Curves!$B$4:$AR$4,1,AG$3-Projects!$C$24+1),0)-IF(AND(Projects!$G$24="Yes",AG$3&gt;=Projects!$C$24,AG$3&lt;Projects!$C$24+Projects!$D$24),Projects!$B$24*(Assumptions!$B$10+Assumptions!$B$11+Assumptions!$B$12)/Projects!$D$24*0.95,0)-IF(AND(Projects!$G$24="Yes",AG$3=Projects!$C$24+Projects!$D$24-1),Projects!$B$24*(Assumptions!$B$10+Assumptions!$B$11+Assumptions!$B$12)*0.05,0)</f>
        <v>0</v>
      </c>
      <c r="AH33" s="30" t="n">
        <f aca="false">IF(AND(Projects!$G$24="Yes",AH$3&gt;=Projects!$C$24,AH$3&lt;Projects!$C$24+Projects!$D$24),Projects!$B$24*INDEX(Curves!$B$4:$AR$4,1,AH$3-Projects!$C$24+1),0)-IF(AND(Projects!$G$24="Yes",AH$3&gt;=Projects!$C$24,AH$3&lt;Projects!$C$24+Projects!$D$24),Projects!$B$24*(Assumptions!$B$10+Assumptions!$B$11+Assumptions!$B$12)/Projects!$D$24*0.95,0)-IF(AND(Projects!$G$24="Yes",AH$3=Projects!$C$24+Projects!$D$24-1),Projects!$B$24*(Assumptions!$B$10+Assumptions!$B$11+Assumptions!$B$12)*0.05,0)</f>
        <v>0</v>
      </c>
      <c r="AI33" s="30" t="n">
        <f aca="false">IF(AND(Projects!$G$24="Yes",AI$3&gt;=Projects!$C$24,AI$3&lt;Projects!$C$24+Projects!$D$24),Projects!$B$24*INDEX(Curves!$B$4:$AR$4,1,AI$3-Projects!$C$24+1),0)-IF(AND(Projects!$G$24="Yes",AI$3&gt;=Projects!$C$24,AI$3&lt;Projects!$C$24+Projects!$D$24),Projects!$B$24*(Assumptions!$B$10+Assumptions!$B$11+Assumptions!$B$12)/Projects!$D$24*0.95,0)-IF(AND(Projects!$G$24="Yes",AI$3=Projects!$C$24+Projects!$D$24-1),Projects!$B$24*(Assumptions!$B$10+Assumptions!$B$11+Assumptions!$B$12)*0.05,0)</f>
        <v>0</v>
      </c>
      <c r="AJ33" s="30" t="n">
        <f aca="false">IF(AND(Projects!$G$24="Yes",AJ$3&gt;=Projects!$C$24,AJ$3&lt;Projects!$C$24+Projects!$D$24),Projects!$B$24*INDEX(Curves!$B$4:$AR$4,1,AJ$3-Projects!$C$24+1),0)-IF(AND(Projects!$G$24="Yes",AJ$3&gt;=Projects!$C$24,AJ$3&lt;Projects!$C$24+Projects!$D$24),Projects!$B$24*(Assumptions!$B$10+Assumptions!$B$11+Assumptions!$B$12)/Projects!$D$24*0.95,0)-IF(AND(Projects!$G$24="Yes",AJ$3=Projects!$C$24+Projects!$D$24-1),Projects!$B$24*(Assumptions!$B$10+Assumptions!$B$11+Assumptions!$B$12)*0.05,0)</f>
        <v>0</v>
      </c>
      <c r="AK33" s="30" t="n">
        <f aca="false">IF(AND(Projects!$G$24="Yes",AK$3&gt;=Projects!$C$24,AK$3&lt;Projects!$C$24+Projects!$D$24),Projects!$B$24*INDEX(Curves!$B$4:$AR$4,1,AK$3-Projects!$C$24+1),0)-IF(AND(Projects!$G$24="Yes",AK$3&gt;=Projects!$C$24,AK$3&lt;Projects!$C$24+Projects!$D$24),Projects!$B$24*(Assumptions!$B$10+Assumptions!$B$11+Assumptions!$B$12)/Projects!$D$24*0.95,0)-IF(AND(Projects!$G$24="Yes",AK$3=Projects!$C$24+Projects!$D$24-1),Projects!$B$24*(Assumptions!$B$10+Assumptions!$B$11+Assumptions!$B$12)*0.05,0)</f>
        <v>0</v>
      </c>
      <c r="AL33" s="30" t="n">
        <f aca="false">IF(AND(Projects!$G$24="Yes",AL$3&gt;=Projects!$C$24,AL$3&lt;Projects!$C$24+Projects!$D$24),Projects!$B$24*INDEX(Curves!$B$4:$AR$4,1,AL$3-Projects!$C$24+1),0)-IF(AND(Projects!$G$24="Yes",AL$3&gt;=Projects!$C$24,AL$3&lt;Projects!$C$24+Projects!$D$24),Projects!$B$24*(Assumptions!$B$10+Assumptions!$B$11+Assumptions!$B$12)/Projects!$D$24*0.95,0)-IF(AND(Projects!$G$24="Yes",AL$3=Projects!$C$24+Projects!$D$24-1),Projects!$B$24*(Assumptions!$B$10+Assumptions!$B$11+Assumptions!$B$12)*0.05,0)</f>
        <v>0</v>
      </c>
      <c r="AM33" s="30" t="n">
        <f aca="false">IF(AND(Projects!$G$24="Yes",AM$3&gt;=Projects!$C$24,AM$3&lt;Projects!$C$24+Projects!$D$24),Projects!$B$24*INDEX(Curves!$B$4:$AR$4,1,AM$3-Projects!$C$24+1),0)-IF(AND(Projects!$G$24="Yes",AM$3&gt;=Projects!$C$24,AM$3&lt;Projects!$C$24+Projects!$D$24),Projects!$B$24*(Assumptions!$B$10+Assumptions!$B$11+Assumptions!$B$12)/Projects!$D$24*0.95,0)-IF(AND(Projects!$G$24="Yes",AM$3=Projects!$C$24+Projects!$D$24-1),Projects!$B$24*(Assumptions!$B$10+Assumptions!$B$11+Assumptions!$B$12)*0.05,0)</f>
        <v>0</v>
      </c>
      <c r="AN33" s="30" t="n">
        <f aca="false">IF(AND(Projects!$G$24="Yes",AN$3&gt;=Projects!$C$24,AN$3&lt;Projects!$C$24+Projects!$D$24),Projects!$B$24*INDEX(Curves!$B$4:$AR$4,1,AN$3-Projects!$C$24+1),0)-IF(AND(Projects!$G$24="Yes",AN$3&gt;=Projects!$C$24,AN$3&lt;Projects!$C$24+Projects!$D$24),Projects!$B$24*(Assumptions!$B$10+Assumptions!$B$11+Assumptions!$B$12)/Projects!$D$24*0.95,0)-IF(AND(Projects!$G$24="Yes",AN$3=Projects!$C$24+Projects!$D$24-1),Projects!$B$24*(Assumptions!$B$10+Assumptions!$B$11+Assumptions!$B$12)*0.05,0)</f>
        <v>0</v>
      </c>
      <c r="AO33" s="30" t="n">
        <f aca="false">IF(AND(Projects!$G$24="Yes",AO$3&gt;=Projects!$C$24,AO$3&lt;Projects!$C$24+Projects!$D$24),Projects!$B$24*INDEX(Curves!$B$4:$AR$4,1,AO$3-Projects!$C$24+1),0)-IF(AND(Projects!$G$24="Yes",AO$3&gt;=Projects!$C$24,AO$3&lt;Projects!$C$24+Projects!$D$24),Projects!$B$24*(Assumptions!$B$10+Assumptions!$B$11+Assumptions!$B$12)/Projects!$D$24*0.95,0)-IF(AND(Projects!$G$24="Yes",AO$3=Projects!$C$24+Projects!$D$24-1),Projects!$B$24*(Assumptions!$B$10+Assumptions!$B$11+Assumptions!$B$12)*0.05,0)</f>
        <v>0</v>
      </c>
      <c r="AP33" s="30" t="n">
        <f aca="false">IF(AND(Projects!$G$24="Yes",AP$3&gt;=Projects!$C$24,AP$3&lt;Projects!$C$24+Projects!$D$24),Projects!$B$24*INDEX(Curves!$B$4:$AR$4,1,AP$3-Projects!$C$24+1),0)-IF(AND(Projects!$G$24="Yes",AP$3&gt;=Projects!$C$24,AP$3&lt;Projects!$C$24+Projects!$D$24),Projects!$B$24*(Assumptions!$B$10+Assumptions!$B$11+Assumptions!$B$12)/Projects!$D$24*0.95,0)-IF(AND(Projects!$G$24="Yes",AP$3=Projects!$C$24+Projects!$D$24-1),Projects!$B$24*(Assumptions!$B$10+Assumptions!$B$11+Assumptions!$B$12)*0.05,0)</f>
        <v>0</v>
      </c>
      <c r="AQ33" s="30" t="n">
        <f aca="false">IF(AND(Projects!$G$24="Yes",AQ$3&gt;=Projects!$C$24,AQ$3&lt;Projects!$C$24+Projects!$D$24),Projects!$B$24*INDEX(Curves!$B$4:$AR$4,1,AQ$3-Projects!$C$24+1),0)-IF(AND(Projects!$G$24="Yes",AQ$3&gt;=Projects!$C$24,AQ$3&lt;Projects!$C$24+Projects!$D$24),Projects!$B$24*(Assumptions!$B$10+Assumptions!$B$11+Assumptions!$B$12)/Projects!$D$24*0.95,0)-IF(AND(Projects!$G$24="Yes",AQ$3=Projects!$C$24+Projects!$D$24-1),Projects!$B$24*(Assumptions!$B$10+Assumptions!$B$11+Assumptions!$B$12)*0.05,0)</f>
        <v>0</v>
      </c>
      <c r="AR33" s="30" t="n">
        <f aca="false">IF(AND(Projects!$G$24="Yes",AR$3&gt;=Projects!$C$24,AR$3&lt;Projects!$C$24+Projects!$D$24),Projects!$B$24*INDEX(Curves!$B$4:$AR$4,1,AR$3-Projects!$C$24+1),0)-IF(AND(Projects!$G$24="Yes",AR$3&gt;=Projects!$C$24,AR$3&lt;Projects!$C$24+Projects!$D$24),Projects!$B$24*(Assumptions!$B$10+Assumptions!$B$11+Assumptions!$B$12)/Projects!$D$24*0.95,0)-IF(AND(Projects!$G$24="Yes",AR$3=Projects!$C$24+Projects!$D$24-1),Projects!$B$24*(Assumptions!$B$10+Assumptions!$B$11+Assumptions!$B$12)*0.05,0)</f>
        <v>0</v>
      </c>
      <c r="AS33" s="30" t="n">
        <f aca="false">IF(AND(Projects!$G$24="Yes",AS$3&gt;=Projects!$C$24,AS$3&lt;Projects!$C$24+Projects!$D$24),Projects!$B$24*INDEX(Curves!$B$4:$AR$4,1,AS$3-Projects!$C$24+1),0)-IF(AND(Projects!$G$24="Yes",AS$3&gt;=Projects!$C$24,AS$3&lt;Projects!$C$24+Projects!$D$24),Projects!$B$24*(Assumptions!$B$10+Assumptions!$B$11+Assumptions!$B$12)/Projects!$D$24*0.95,0)-IF(AND(Projects!$G$24="Yes",AS$3=Projects!$C$24+Projects!$D$24-1),Projects!$B$24*(Assumptions!$B$10+Assumptions!$B$11+Assumptions!$B$12)*0.05,0)</f>
        <v>0</v>
      </c>
      <c r="AT33" s="30" t="n">
        <f aca="false">IF(AND(Projects!$G$24="Yes",AT$3&gt;=Projects!$C$24,AT$3&lt;Projects!$C$24+Projects!$D$24),Projects!$B$24*INDEX(Curves!$B$4:$AR$4,1,AT$3-Projects!$C$24+1),0)-IF(AND(Projects!$G$24="Yes",AT$3&gt;=Projects!$C$24,AT$3&lt;Projects!$C$24+Projects!$D$24),Projects!$B$24*(Assumptions!$B$10+Assumptions!$B$11+Assumptions!$B$12)/Projects!$D$24*0.95,0)-IF(AND(Projects!$G$24="Yes",AT$3=Projects!$C$24+Projects!$D$24-1),Projects!$B$24*(Assumptions!$B$10+Assumptions!$B$11+Assumptions!$B$12)*0.05,0)</f>
        <v>0</v>
      </c>
      <c r="AU33" s="30" t="n">
        <f aca="false">IF(AND(Projects!$G$24="Yes",AU$3&gt;=Projects!$C$24,AU$3&lt;Projects!$C$24+Projects!$D$24),Projects!$B$24*INDEX(Curves!$B$4:$AR$4,1,AU$3-Projects!$C$24+1),0)-IF(AND(Projects!$G$24="Yes",AU$3&gt;=Projects!$C$24,AU$3&lt;Projects!$C$24+Projects!$D$24),Projects!$B$24*(Assumptions!$B$10+Assumptions!$B$11+Assumptions!$B$12)/Projects!$D$24*0.95,0)-IF(AND(Projects!$G$24="Yes",AU$3=Projects!$C$24+Projects!$D$24-1),Projects!$B$24*(Assumptions!$B$10+Assumptions!$B$11+Assumptions!$B$12)*0.05,0)</f>
        <v>0</v>
      </c>
      <c r="AV33" s="30" t="n">
        <f aca="false">IF(AND(Projects!$G$24="Yes",AV$3&gt;=Projects!$C$24,AV$3&lt;Projects!$C$24+Projects!$D$24),Projects!$B$24*INDEX(Curves!$B$4:$AR$4,1,AV$3-Projects!$C$24+1),0)-IF(AND(Projects!$G$24="Yes",AV$3&gt;=Projects!$C$24,AV$3&lt;Projects!$C$24+Projects!$D$24),Projects!$B$24*(Assumptions!$B$10+Assumptions!$B$11+Assumptions!$B$12)/Projects!$D$24*0.95,0)-IF(AND(Projects!$G$24="Yes",AV$3=Projects!$C$24+Projects!$D$24-1),Projects!$B$24*(Assumptions!$B$10+Assumptions!$B$11+Assumptions!$B$12)*0.05,0)</f>
        <v>0</v>
      </c>
      <c r="AW33" s="30" t="n">
        <f aca="false">IF(AND(Projects!$G$24="Yes",AW$3&gt;=Projects!$C$24,AW$3&lt;Projects!$C$24+Projects!$D$24),Projects!$B$24*INDEX(Curves!$B$4:$AR$4,1,AW$3-Projects!$C$24+1),0)-IF(AND(Projects!$G$24="Yes",AW$3&gt;=Projects!$C$24,AW$3&lt;Projects!$C$24+Projects!$D$24),Projects!$B$24*(Assumptions!$B$10+Assumptions!$B$11+Assumptions!$B$12)/Projects!$D$24*0.95,0)-IF(AND(Projects!$G$24="Yes",AW$3=Projects!$C$24+Projects!$D$24-1),Projects!$B$24*(Assumptions!$B$10+Assumptions!$B$11+Assumptions!$B$12)*0.05,0)</f>
        <v>0</v>
      </c>
      <c r="AX33" s="30" t="n">
        <f aca="false">IF(AND(Projects!$G$24="Yes",AX$3&gt;=Projects!$C$24,AX$3&lt;Projects!$C$24+Projects!$D$24),Projects!$B$24*INDEX(Curves!$B$4:$AR$4,1,AX$3-Projects!$C$24+1),0)-IF(AND(Projects!$G$24="Yes",AX$3&gt;=Projects!$C$24,AX$3&lt;Projects!$C$24+Projects!$D$24),Projects!$B$24*(Assumptions!$B$10+Assumptions!$B$11+Assumptions!$B$12)/Projects!$D$24*0.95,0)-IF(AND(Projects!$G$24="Yes",AX$3=Projects!$C$24+Projects!$D$24-1),Projects!$B$24*(Assumptions!$B$10+Assumptions!$B$11+Assumptions!$B$12)*0.05,0)</f>
        <v>0</v>
      </c>
      <c r="AY33" s="30" t="n">
        <f aca="false">IF(AND(Projects!$G$24="Yes",AY$3&gt;=Projects!$C$24,AY$3&lt;Projects!$C$24+Projects!$D$24),Projects!$B$24*INDEX(Curves!$B$4:$AR$4,1,AY$3-Projects!$C$24+1),0)-IF(AND(Projects!$G$24="Yes",AY$3&gt;=Projects!$C$24,AY$3&lt;Projects!$C$24+Projects!$D$24),Projects!$B$24*(Assumptions!$B$10+Assumptions!$B$11+Assumptions!$B$12)/Projects!$D$24*0.95,0)-IF(AND(Projects!$G$24="Yes",AY$3=Projects!$C$24+Projects!$D$24-1),Projects!$B$24*(Assumptions!$B$10+Assumptions!$B$11+Assumptions!$B$12)*0.05,0)</f>
        <v>0</v>
      </c>
      <c r="AZ33" s="30" t="n">
        <f aca="false">IF(AND(Projects!$G$24="Yes",AZ$3&gt;=Projects!$C$24,AZ$3&lt;Projects!$C$24+Projects!$D$24),Projects!$B$24*INDEX(Curves!$B$4:$AR$4,1,AZ$3-Projects!$C$24+1),0)-IF(AND(Projects!$G$24="Yes",AZ$3&gt;=Projects!$C$24,AZ$3&lt;Projects!$C$24+Projects!$D$24),Projects!$B$24*(Assumptions!$B$10+Assumptions!$B$11+Assumptions!$B$12)/Projects!$D$24*0.95,0)-IF(AND(Projects!$G$24="Yes",AZ$3=Projects!$C$24+Projects!$D$24-1),Projects!$B$24*(Assumptions!$B$10+Assumptions!$B$11+Assumptions!$B$12)*0.05,0)</f>
        <v>0</v>
      </c>
      <c r="BA33" s="30" t="n">
        <f aca="false">IF(AND(Projects!$G$24="Yes",BA$3&gt;=Projects!$C$24,BA$3&lt;Projects!$C$24+Projects!$D$24),Projects!$B$24*INDEX(Curves!$B$4:$AR$4,1,BA$3-Projects!$C$24+1),0)-IF(AND(Projects!$G$24="Yes",BA$3&gt;=Projects!$C$24,BA$3&lt;Projects!$C$24+Projects!$D$24),Projects!$B$24*(Assumptions!$B$10+Assumptions!$B$11+Assumptions!$B$12)/Projects!$D$24*0.95,0)-IF(AND(Projects!$G$24="Yes",BA$3=Projects!$C$24+Projects!$D$24-1),Projects!$B$24*(Assumptions!$B$10+Assumptions!$B$11+Assumptions!$B$12)*0.05,0)</f>
        <v>0</v>
      </c>
      <c r="BB33" s="30" t="n">
        <f aca="false">IF(AND(Projects!$G$24="Yes",BB$3&gt;=Projects!$C$24,BB$3&lt;Projects!$C$24+Projects!$D$24),Projects!$B$24*INDEX(Curves!$B$4:$AR$4,1,BB$3-Projects!$C$24+1),0)-IF(AND(Projects!$G$24="Yes",BB$3&gt;=Projects!$C$24,BB$3&lt;Projects!$C$24+Projects!$D$24),Projects!$B$24*(Assumptions!$B$10+Assumptions!$B$11+Assumptions!$B$12)/Projects!$D$24*0.95,0)-IF(AND(Projects!$G$24="Yes",BB$3=Projects!$C$24+Projects!$D$24-1),Projects!$B$24*(Assumptions!$B$10+Assumptions!$B$11+Assumptions!$B$12)*0.05,0)</f>
        <v>0</v>
      </c>
      <c r="BC33" s="30" t="n">
        <f aca="false">IF(AND(Projects!$G$24="Yes",BC$3&gt;=Projects!$C$24,BC$3&lt;Projects!$C$24+Projects!$D$24),Projects!$B$24*INDEX(Curves!$B$4:$AR$4,1,BC$3-Projects!$C$24+1),0)-IF(AND(Projects!$G$24="Yes",BC$3&gt;=Projects!$C$24,BC$3&lt;Projects!$C$24+Projects!$D$24),Projects!$B$24*(Assumptions!$B$10+Assumptions!$B$11+Assumptions!$B$12)/Projects!$D$24*0.95,0)-IF(AND(Projects!$G$24="Yes",BC$3=Projects!$C$24+Projects!$D$24-1),Projects!$B$24*(Assumptions!$B$10+Assumptions!$B$11+Assumptions!$B$12)*0.05,0)</f>
        <v>0</v>
      </c>
      <c r="BD33" s="30" t="n">
        <f aca="false">IF(AND(Projects!$G$24="Yes",BD$3&gt;=Projects!$C$24,BD$3&lt;Projects!$C$24+Projects!$D$24),Projects!$B$24*INDEX(Curves!$B$4:$AR$4,1,BD$3-Projects!$C$24+1),0)-IF(AND(Projects!$G$24="Yes",BD$3&gt;=Projects!$C$24,BD$3&lt;Projects!$C$24+Projects!$D$24),Projects!$B$24*(Assumptions!$B$10+Assumptions!$B$11+Assumptions!$B$12)/Projects!$D$24*0.95,0)-IF(AND(Projects!$G$24="Yes",BD$3=Projects!$C$24+Projects!$D$24-1),Projects!$B$24*(Assumptions!$B$10+Assumptions!$B$11+Assumptions!$B$12)*0.05,0)</f>
        <v>0</v>
      </c>
      <c r="BE33" s="30" t="n">
        <f aca="false">IF(AND(Projects!$G$24="Yes",BE$3&gt;=Projects!$C$24,BE$3&lt;Projects!$C$24+Projects!$D$24),Projects!$B$24*INDEX(Curves!$B$4:$AR$4,1,BE$3-Projects!$C$24+1),0)-IF(AND(Projects!$G$24="Yes",BE$3&gt;=Projects!$C$24,BE$3&lt;Projects!$C$24+Projects!$D$24),Projects!$B$24*(Assumptions!$B$10+Assumptions!$B$11+Assumptions!$B$12)/Projects!$D$24*0.95,0)-IF(AND(Projects!$G$24="Yes",BE$3=Projects!$C$24+Projects!$D$24-1),Projects!$B$24*(Assumptions!$B$10+Assumptions!$B$11+Assumptions!$B$12)*0.05,0)</f>
        <v>0</v>
      </c>
      <c r="BF33" s="30" t="n">
        <f aca="false">IF(AND(Projects!$G$24="Yes",BF$3&gt;=Projects!$C$24,BF$3&lt;Projects!$C$24+Projects!$D$24),Projects!$B$24*INDEX(Curves!$B$4:$AR$4,1,BF$3-Projects!$C$24+1),0)-IF(AND(Projects!$G$24="Yes",BF$3&gt;=Projects!$C$24,BF$3&lt;Projects!$C$24+Projects!$D$24),Projects!$B$24*(Assumptions!$B$10+Assumptions!$B$11+Assumptions!$B$12)/Projects!$D$24*0.95,0)-IF(AND(Projects!$G$24="Yes",BF$3=Projects!$C$24+Projects!$D$24-1),Projects!$B$24*(Assumptions!$B$10+Assumptions!$B$11+Assumptions!$B$12)*0.05,0)</f>
        <v>0</v>
      </c>
      <c r="BG33" s="30" t="n">
        <f aca="false">IF(AND(Projects!$G$24="Yes",BG$3&gt;=Projects!$C$24,BG$3&lt;Projects!$C$24+Projects!$D$24),Projects!$B$24*INDEX(Curves!$B$4:$AR$4,1,BG$3-Projects!$C$24+1),0)-IF(AND(Projects!$G$24="Yes",BG$3&gt;=Projects!$C$24,BG$3&lt;Projects!$C$24+Projects!$D$24),Projects!$B$24*(Assumptions!$B$10+Assumptions!$B$11+Assumptions!$B$12)/Projects!$D$24*0.95,0)-IF(AND(Projects!$G$24="Yes",BG$3=Projects!$C$24+Projects!$D$24-1),Projects!$B$24*(Assumptions!$B$10+Assumptions!$B$11+Assumptions!$B$12)*0.05,0)</f>
        <v>0</v>
      </c>
      <c r="BH33" s="30" t="n">
        <f aca="false">IF(AND(Projects!$G$24="Yes",BH$3&gt;=Projects!$C$24,BH$3&lt;Projects!$C$24+Projects!$D$24),Projects!$B$24*INDEX(Curves!$B$4:$AR$4,1,BH$3-Projects!$C$24+1),0)-IF(AND(Projects!$G$24="Yes",BH$3&gt;=Projects!$C$24,BH$3&lt;Projects!$C$24+Projects!$D$24),Projects!$B$24*(Assumptions!$B$10+Assumptions!$B$11+Assumptions!$B$12)/Projects!$D$24*0.95,0)-IF(AND(Projects!$G$24="Yes",BH$3=Projects!$C$24+Projects!$D$24-1),Projects!$B$24*(Assumptions!$B$10+Assumptions!$B$11+Assumptions!$B$12)*0.05,0)</f>
        <v>0</v>
      </c>
      <c r="BI33" s="30" t="n">
        <f aca="false">IF(AND(Projects!$G$24="Yes",BI$3&gt;=Projects!$C$24,BI$3&lt;Projects!$C$24+Projects!$D$24),Projects!$B$24*INDEX(Curves!$B$4:$AR$4,1,BI$3-Projects!$C$24+1),0)-IF(AND(Projects!$G$24="Yes",BI$3&gt;=Projects!$C$24,BI$3&lt;Projects!$C$24+Projects!$D$24),Projects!$B$24*(Assumptions!$B$10+Assumptions!$B$11+Assumptions!$B$12)/Projects!$D$24*0.95,0)-IF(AND(Projects!$G$24="Yes",BI$3=Projects!$C$24+Projects!$D$24-1),Projects!$B$24*(Assumptions!$B$10+Assumptions!$B$11+Assumptions!$B$12)*0.05,0)</f>
        <v>0</v>
      </c>
      <c r="BJ33" s="30" t="n">
        <f aca="false">IF(AND(Projects!$G$24="Yes",BJ$3&gt;=Projects!$C$24,BJ$3&lt;Projects!$C$24+Projects!$D$24),Projects!$B$24*INDEX(Curves!$B$4:$AR$4,1,BJ$3-Projects!$C$24+1),0)-IF(AND(Projects!$G$24="Yes",BJ$3&gt;=Projects!$C$24,BJ$3&lt;Projects!$C$24+Projects!$D$24),Projects!$B$24*(Assumptions!$B$10+Assumptions!$B$11+Assumptions!$B$12)/Projects!$D$24*0.95,0)-IF(AND(Projects!$G$24="Yes",BJ$3=Projects!$C$24+Projects!$D$24-1),Projects!$B$24*(Assumptions!$B$10+Assumptions!$B$11+Assumptions!$B$12)*0.05,0)</f>
        <v>0</v>
      </c>
      <c r="BK33" s="30" t="n">
        <f aca="false">IF(AND(Projects!$G$24="Yes",BK$3&gt;=Projects!$C$24,BK$3&lt;Projects!$C$24+Projects!$D$24),Projects!$B$24*INDEX(Curves!$B$4:$AR$4,1,BK$3-Projects!$C$24+1),0)-IF(AND(Projects!$G$24="Yes",BK$3&gt;=Projects!$C$24,BK$3&lt;Projects!$C$24+Projects!$D$24),Projects!$B$24*(Assumptions!$B$10+Assumptions!$B$11+Assumptions!$B$12)/Projects!$D$24*0.95,0)-IF(AND(Projects!$G$24="Yes",BK$3=Projects!$C$24+Projects!$D$24-1),Projects!$B$24*(Assumptions!$B$10+Assumptions!$B$11+Assumptions!$B$12)*0.05,0)</f>
        <v>0</v>
      </c>
      <c r="BL33" s="30" t="n">
        <f aca="false">IF(AND(Projects!$G$24="Yes",BL$3&gt;=Projects!$C$24,BL$3&lt;Projects!$C$24+Projects!$D$24),Projects!$B$24*INDEX(Curves!$B$4:$AR$4,1,BL$3-Projects!$C$24+1),0)-IF(AND(Projects!$G$24="Yes",BL$3&gt;=Projects!$C$24,BL$3&lt;Projects!$C$24+Projects!$D$24),Projects!$B$24*(Assumptions!$B$10+Assumptions!$B$11+Assumptions!$B$12)/Projects!$D$24*0.95,0)-IF(AND(Projects!$G$24="Yes",BL$3=Projects!$C$24+Projects!$D$24-1),Projects!$B$24*(Assumptions!$B$10+Assumptions!$B$11+Assumptions!$B$12)*0.05,0)</f>
        <v>0</v>
      </c>
      <c r="BM33" s="30" t="n">
        <f aca="false">IF(AND(Projects!$G$24="Yes",BM$3&gt;=Projects!$C$24,BM$3&lt;Projects!$C$24+Projects!$D$24),Projects!$B$24*INDEX(Curves!$B$4:$AR$4,1,BM$3-Projects!$C$24+1),0)-IF(AND(Projects!$G$24="Yes",BM$3&gt;=Projects!$C$24,BM$3&lt;Projects!$C$24+Projects!$D$24),Projects!$B$24*(Assumptions!$B$10+Assumptions!$B$11+Assumptions!$B$12)/Projects!$D$24*0.95,0)-IF(AND(Projects!$G$24="Yes",BM$3=Projects!$C$24+Projects!$D$24-1),Projects!$B$24*(Assumptions!$B$10+Assumptions!$B$11+Assumptions!$B$12)*0.05,0)</f>
        <v>0</v>
      </c>
      <c r="BN33" s="30" t="n">
        <f aca="false">IF(AND(Projects!$G$24="Yes",BN$3&gt;=Projects!$C$24,BN$3&lt;Projects!$C$24+Projects!$D$24),Projects!$B$24*INDEX(Curves!$B$4:$AR$4,1,BN$3-Projects!$C$24+1),0)-IF(AND(Projects!$G$24="Yes",BN$3&gt;=Projects!$C$24,BN$3&lt;Projects!$C$24+Projects!$D$24),Projects!$B$24*(Assumptions!$B$10+Assumptions!$B$11+Assumptions!$B$12)/Projects!$D$24*0.95,0)-IF(AND(Projects!$G$24="Yes",BN$3=Projects!$C$24+Projects!$D$24-1),Projects!$B$24*(Assumptions!$B$10+Assumptions!$B$11+Assumptions!$B$12)*0.05,0)</f>
        <v>0</v>
      </c>
      <c r="BO33" s="30" t="n">
        <f aca="false">IF(AND(Projects!$G$24="Yes",BO$3&gt;=Projects!$C$24,BO$3&lt;Projects!$C$24+Projects!$D$24),Projects!$B$24*INDEX(Curves!$B$4:$AR$4,1,BO$3-Projects!$C$24+1),0)-IF(AND(Projects!$G$24="Yes",BO$3&gt;=Projects!$C$24,BO$3&lt;Projects!$C$24+Projects!$D$24),Projects!$B$24*(Assumptions!$B$10+Assumptions!$B$11+Assumptions!$B$12)/Projects!$D$24*0.95,0)-IF(AND(Projects!$G$24="Yes",BO$3=Projects!$C$24+Projects!$D$24-1),Projects!$B$24*(Assumptions!$B$10+Assumptions!$B$11+Assumptions!$B$12)*0.05,0)</f>
        <v>0</v>
      </c>
      <c r="BP33" s="30" t="n">
        <f aca="false">IF(AND(Projects!$G$24="Yes",BP$3&gt;=Projects!$C$24,BP$3&lt;Projects!$C$24+Projects!$D$24),Projects!$B$24*INDEX(Curves!$B$4:$AR$4,1,BP$3-Projects!$C$24+1),0)-IF(AND(Projects!$G$24="Yes",BP$3&gt;=Projects!$C$24,BP$3&lt;Projects!$C$24+Projects!$D$24),Projects!$B$24*(Assumptions!$B$10+Assumptions!$B$11+Assumptions!$B$12)/Projects!$D$24*0.95,0)-IF(AND(Projects!$G$24="Yes",BP$3=Projects!$C$24+Projects!$D$24-1),Projects!$B$24*(Assumptions!$B$10+Assumptions!$B$11+Assumptions!$B$12)*0.05,0)</f>
        <v>0</v>
      </c>
      <c r="BQ33" s="30" t="n">
        <f aca="false">IF(AND(Projects!$G$24="Yes",BQ$3&gt;=Projects!$C$24,BQ$3&lt;Projects!$C$24+Projects!$D$24),Projects!$B$24*INDEX(Curves!$B$4:$AR$4,1,BQ$3-Projects!$C$24+1),0)-IF(AND(Projects!$G$24="Yes",BQ$3&gt;=Projects!$C$24,BQ$3&lt;Projects!$C$24+Projects!$D$24),Projects!$B$24*(Assumptions!$B$10+Assumptions!$B$11+Assumptions!$B$12)/Projects!$D$24*0.95,0)-IF(AND(Projects!$G$24="Yes",BQ$3=Projects!$C$24+Projects!$D$24-1),Projects!$B$24*(Assumptions!$B$10+Assumptions!$B$11+Assumptions!$B$12)*0.05,0)</f>
        <v>0</v>
      </c>
      <c r="BR33" s="30" t="n">
        <f aca="false">IF(AND(Projects!$G$24="Yes",BR$3&gt;=Projects!$C$24,BR$3&lt;Projects!$C$24+Projects!$D$24),Projects!$B$24*INDEX(Curves!$B$4:$AR$4,1,BR$3-Projects!$C$24+1),0)-IF(AND(Projects!$G$24="Yes",BR$3&gt;=Projects!$C$24,BR$3&lt;Projects!$C$24+Projects!$D$24),Projects!$B$24*(Assumptions!$B$10+Assumptions!$B$11+Assumptions!$B$12)/Projects!$D$24*0.95,0)-IF(AND(Projects!$G$24="Yes",BR$3=Projects!$C$24+Projects!$D$24-1),Projects!$B$24*(Assumptions!$B$10+Assumptions!$B$11+Assumptions!$B$12)*0.05,0)</f>
        <v>0</v>
      </c>
      <c r="BS33" s="30" t="n">
        <f aca="false">IF(AND(Projects!$G$24="Yes",BS$3&gt;=Projects!$C$24,BS$3&lt;Projects!$C$24+Projects!$D$24),Projects!$B$24*INDEX(Curves!$B$4:$AR$4,1,BS$3-Projects!$C$24+1),0)-IF(AND(Projects!$G$24="Yes",BS$3&gt;=Projects!$C$24,BS$3&lt;Projects!$C$24+Projects!$D$24),Projects!$B$24*(Assumptions!$B$10+Assumptions!$B$11+Assumptions!$B$12)/Projects!$D$24*0.95,0)-IF(AND(Projects!$G$24="Yes",BS$3=Projects!$C$24+Projects!$D$24-1),Projects!$B$24*(Assumptions!$B$10+Assumptions!$B$11+Assumptions!$B$12)*0.05,0)</f>
        <v>0</v>
      </c>
      <c r="BT33" s="30" t="n">
        <f aca="false">IF(AND(Projects!$G$24="Yes",BT$3&gt;=Projects!$C$24,BT$3&lt;Projects!$C$24+Projects!$D$24),Projects!$B$24*INDEX(Curves!$B$4:$AR$4,1,BT$3-Projects!$C$24+1),0)-IF(AND(Projects!$G$24="Yes",BT$3&gt;=Projects!$C$24,BT$3&lt;Projects!$C$24+Projects!$D$24),Projects!$B$24*(Assumptions!$B$10+Assumptions!$B$11+Assumptions!$B$12)/Projects!$D$24*0.95,0)-IF(AND(Projects!$G$24="Yes",BT$3=Projects!$C$24+Projects!$D$24-1),Projects!$B$24*(Assumptions!$B$10+Assumptions!$B$11+Assumptions!$B$12)*0.05,0)</f>
        <v>0</v>
      </c>
      <c r="BU33" s="30" t="n">
        <f aca="false">IF(AND(Projects!$G$24="Yes",BU$3&gt;=Projects!$C$24,BU$3&lt;Projects!$C$24+Projects!$D$24),Projects!$B$24*INDEX(Curves!$B$4:$AR$4,1,BU$3-Projects!$C$24+1),0)-IF(AND(Projects!$G$24="Yes",BU$3&gt;=Projects!$C$24,BU$3&lt;Projects!$C$24+Projects!$D$24),Projects!$B$24*(Assumptions!$B$10+Assumptions!$B$11+Assumptions!$B$12)/Projects!$D$24*0.95,0)-IF(AND(Projects!$G$24="Yes",BU$3=Projects!$C$24+Projects!$D$24-1),Projects!$B$24*(Assumptions!$B$10+Assumptions!$B$11+Assumptions!$B$12)*0.05,0)</f>
        <v>0</v>
      </c>
      <c r="BV33" s="30" t="n">
        <f aca="false">IF(AND(Projects!$G$24="Yes",BV$3&gt;=Projects!$C$24,BV$3&lt;Projects!$C$24+Projects!$D$24),Projects!$B$24*INDEX(Curves!$B$4:$AR$4,1,BV$3-Projects!$C$24+1),0)-IF(AND(Projects!$G$24="Yes",BV$3&gt;=Projects!$C$24,BV$3&lt;Projects!$C$24+Projects!$D$24),Projects!$B$24*(Assumptions!$B$10+Assumptions!$B$11+Assumptions!$B$12)/Projects!$D$24*0.95,0)-IF(AND(Projects!$G$24="Yes",BV$3=Projects!$C$24+Projects!$D$24-1),Projects!$B$24*(Assumptions!$B$10+Assumptions!$B$11+Assumptions!$B$12)*0.05,0)</f>
        <v>0</v>
      </c>
      <c r="BW33" s="30" t="n">
        <f aca="false">IF(AND(Projects!$G$24="Yes",BW$3&gt;=Projects!$C$24,BW$3&lt;Projects!$C$24+Projects!$D$24),Projects!$B$24*INDEX(Curves!$B$4:$AR$4,1,BW$3-Projects!$C$24+1),0)-IF(AND(Projects!$G$24="Yes",BW$3&gt;=Projects!$C$24,BW$3&lt;Projects!$C$24+Projects!$D$24),Projects!$B$24*(Assumptions!$B$10+Assumptions!$B$11+Assumptions!$B$12)/Projects!$D$24*0.95,0)-IF(AND(Projects!$G$24="Yes",BW$3=Projects!$C$24+Projects!$D$24-1),Projects!$B$24*(Assumptions!$B$10+Assumptions!$B$11+Assumptions!$B$12)*0.05,0)</f>
        <v>0</v>
      </c>
      <c r="BX33" s="30" t="n">
        <f aca="false">IF(AND(Projects!$G$24="Yes",BX$3&gt;=Projects!$C$24,BX$3&lt;Projects!$C$24+Projects!$D$24),Projects!$B$24*INDEX(Curves!$B$4:$AR$4,1,BX$3-Projects!$C$24+1),0)-IF(AND(Projects!$G$24="Yes",BX$3&gt;=Projects!$C$24,BX$3&lt;Projects!$C$24+Projects!$D$24),Projects!$B$24*(Assumptions!$B$10+Assumptions!$B$11+Assumptions!$B$12)/Projects!$D$24*0.95,0)-IF(AND(Projects!$G$24="Yes",BX$3=Projects!$C$24+Projects!$D$24-1),Projects!$B$24*(Assumptions!$B$10+Assumptions!$B$11+Assumptions!$B$12)*0.05,0)</f>
        <v>0</v>
      </c>
      <c r="BY33" s="30" t="n">
        <f aca="false">IF(AND(Projects!$G$24="Yes",BY$3&gt;=Projects!$C$24,BY$3&lt;Projects!$C$24+Projects!$D$24),Projects!$B$24*INDEX(Curves!$B$4:$AR$4,1,BY$3-Projects!$C$24+1),0)-IF(AND(Projects!$G$24="Yes",BY$3&gt;=Projects!$C$24,BY$3&lt;Projects!$C$24+Projects!$D$24),Projects!$B$24*(Assumptions!$B$10+Assumptions!$B$11+Assumptions!$B$12)/Projects!$D$24*0.95,0)-IF(AND(Projects!$G$24="Yes",BY$3=Projects!$C$24+Projects!$D$24-1),Projects!$B$24*(Assumptions!$B$10+Assumptions!$B$11+Assumptions!$B$12)*0.05,0)</f>
        <v>0</v>
      </c>
      <c r="BZ33" s="30" t="n">
        <f aca="false">IF(AND(Projects!$G$24="Yes",BZ$3&gt;=Projects!$C$24,BZ$3&lt;Projects!$C$24+Projects!$D$24),Projects!$B$24*INDEX(Curves!$B$4:$AR$4,1,BZ$3-Projects!$C$24+1),0)-IF(AND(Projects!$G$24="Yes",BZ$3&gt;=Projects!$C$24,BZ$3&lt;Projects!$C$24+Projects!$D$24),Projects!$B$24*(Assumptions!$B$10+Assumptions!$B$11+Assumptions!$B$12)/Projects!$D$24*0.95,0)-IF(AND(Projects!$G$24="Yes",BZ$3=Projects!$C$24+Projects!$D$24-1),Projects!$B$24*(Assumptions!$B$10+Assumptions!$B$11+Assumptions!$B$12)*0.05,0)</f>
        <v>0</v>
      </c>
      <c r="CA33" s="30" t="n">
        <f aca="false">IF(AND(Projects!$G$24="Yes",CA$3&gt;=Projects!$C$24,CA$3&lt;Projects!$C$24+Projects!$D$24),Projects!$B$24*INDEX(Curves!$B$4:$AR$4,1,CA$3-Projects!$C$24+1),0)-IF(AND(Projects!$G$24="Yes",CA$3&gt;=Projects!$C$24,CA$3&lt;Projects!$C$24+Projects!$D$24),Projects!$B$24*(Assumptions!$B$10+Assumptions!$B$11+Assumptions!$B$12)/Projects!$D$24*0.95,0)-IF(AND(Projects!$G$24="Yes",CA$3=Projects!$C$24+Projects!$D$24-1),Projects!$B$24*(Assumptions!$B$10+Assumptions!$B$11+Assumptions!$B$12)*0.05,0)</f>
        <v>0</v>
      </c>
      <c r="CB33" s="30" t="n">
        <f aca="false">IF(AND(Projects!$G$24="Yes",CB$3&gt;=Projects!$C$24,CB$3&lt;Projects!$C$24+Projects!$D$24),Projects!$B$24*INDEX(Curves!$B$4:$AR$4,1,CB$3-Projects!$C$24+1),0)-IF(AND(Projects!$G$24="Yes",CB$3&gt;=Projects!$C$24,CB$3&lt;Projects!$C$24+Projects!$D$24),Projects!$B$24*(Assumptions!$B$10+Assumptions!$B$11+Assumptions!$B$12)/Projects!$D$24*0.95,0)-IF(AND(Projects!$G$24="Yes",CB$3=Projects!$C$24+Projects!$D$24-1),Projects!$B$24*(Assumptions!$B$10+Assumptions!$B$11+Assumptions!$B$12)*0.05,0)</f>
        <v>0</v>
      </c>
      <c r="CC33" s="30" t="n">
        <f aca="false">IF(AND(Projects!$G$24="Yes",CC$3&gt;=Projects!$C$24,CC$3&lt;Projects!$C$24+Projects!$D$24),Projects!$B$24*INDEX(Curves!$B$4:$AR$4,1,CC$3-Projects!$C$24+1),0)-IF(AND(Projects!$G$24="Yes",CC$3&gt;=Projects!$C$24,CC$3&lt;Projects!$C$24+Projects!$D$24),Projects!$B$24*(Assumptions!$B$10+Assumptions!$B$11+Assumptions!$B$12)/Projects!$D$24*0.95,0)-IF(AND(Projects!$G$24="Yes",CC$3=Projects!$C$24+Projects!$D$24-1),Projects!$B$24*(Assumptions!$B$10+Assumptions!$B$11+Assumptions!$B$12)*0.05,0)</f>
        <v>0</v>
      </c>
      <c r="CD33" s="30" t="n">
        <f aca="false">IF(AND(Projects!$G$24="Yes",CD$3&gt;=Projects!$C$24,CD$3&lt;Projects!$C$24+Projects!$D$24),Projects!$B$24*INDEX(Curves!$B$4:$AR$4,1,CD$3-Projects!$C$24+1),0)-IF(AND(Projects!$G$24="Yes",CD$3&gt;=Projects!$C$24,CD$3&lt;Projects!$C$24+Projects!$D$24),Projects!$B$24*(Assumptions!$B$10+Assumptions!$B$11+Assumptions!$B$12)/Projects!$D$24*0.95,0)-IF(AND(Projects!$G$24="Yes",CD$3=Projects!$C$24+Projects!$D$24-1),Projects!$B$24*(Assumptions!$B$10+Assumptions!$B$11+Assumptions!$B$12)*0.05,0)</f>
        <v>0</v>
      </c>
      <c r="CE33" s="30" t="n">
        <f aca="false">IF(AND(Projects!$G$24="Yes",CE$3&gt;=Projects!$C$24,CE$3&lt;Projects!$C$24+Projects!$D$24),Projects!$B$24*INDEX(Curves!$B$4:$AR$4,1,CE$3-Projects!$C$24+1),0)-IF(AND(Projects!$G$24="Yes",CE$3&gt;=Projects!$C$24,CE$3&lt;Projects!$C$24+Projects!$D$24),Projects!$B$24*(Assumptions!$B$10+Assumptions!$B$11+Assumptions!$B$12)/Projects!$D$24*0.95,0)-IF(AND(Projects!$G$24="Yes",CE$3=Projects!$C$24+Projects!$D$24-1),Projects!$B$24*(Assumptions!$B$10+Assumptions!$B$11+Assumptions!$B$12)*0.05,0)</f>
        <v>0</v>
      </c>
      <c r="CF33" s="30" t="n">
        <f aca="false">IF(AND(Projects!$G$24="Yes",CF$3&gt;=Projects!$C$24,CF$3&lt;Projects!$C$24+Projects!$D$24),Projects!$B$24*INDEX(Curves!$B$4:$AR$4,1,CF$3-Projects!$C$24+1),0)-IF(AND(Projects!$G$24="Yes",CF$3&gt;=Projects!$C$24,CF$3&lt;Projects!$C$24+Projects!$D$24),Projects!$B$24*(Assumptions!$B$10+Assumptions!$B$11+Assumptions!$B$12)/Projects!$D$24*0.95,0)-IF(AND(Projects!$G$24="Yes",CF$3=Projects!$C$24+Projects!$D$24-1),Projects!$B$24*(Assumptions!$B$10+Assumptions!$B$11+Assumptions!$B$12)*0.05,0)</f>
        <v>0</v>
      </c>
      <c r="CG33" s="30" t="n">
        <f aca="false">IF(AND(Projects!$G$24="Yes",CG$3&gt;=Projects!$C$24,CG$3&lt;Projects!$C$24+Projects!$D$24),Projects!$B$24*INDEX(Curves!$B$4:$AR$4,1,CG$3-Projects!$C$24+1),0)-IF(AND(Projects!$G$24="Yes",CG$3&gt;=Projects!$C$24,CG$3&lt;Projects!$C$24+Projects!$D$24),Projects!$B$24*(Assumptions!$B$10+Assumptions!$B$11+Assumptions!$B$12)/Projects!$D$24*0.95,0)-IF(AND(Projects!$G$24="Yes",CG$3=Projects!$C$24+Projects!$D$24-1),Projects!$B$24*(Assumptions!$B$10+Assumptions!$B$11+Assumptions!$B$12)*0.05,0)</f>
        <v>0</v>
      </c>
      <c r="CH33" s="30" t="n">
        <f aca="false">IF(AND(Projects!$G$24="Yes",CH$3&gt;=Projects!$C$24,CH$3&lt;Projects!$C$24+Projects!$D$24),Projects!$B$24*INDEX(Curves!$B$4:$AR$4,1,CH$3-Projects!$C$24+1),0)-IF(AND(Projects!$G$24="Yes",CH$3&gt;=Projects!$C$24,CH$3&lt;Projects!$C$24+Projects!$D$24),Projects!$B$24*(Assumptions!$B$10+Assumptions!$B$11+Assumptions!$B$12)/Projects!$D$24*0.95,0)-IF(AND(Projects!$G$24="Yes",CH$3=Projects!$C$24+Projects!$D$24-1),Projects!$B$24*(Assumptions!$B$10+Assumptions!$B$11+Assumptions!$B$12)*0.05,0)</f>
        <v>0</v>
      </c>
      <c r="CI33" s="30" t="n">
        <f aca="false">IF(AND(Projects!$G$24="Yes",CI$3&gt;=Projects!$C$24,CI$3&lt;Projects!$C$24+Projects!$D$24),Projects!$B$24*INDEX(Curves!$B$4:$AR$4,1,CI$3-Projects!$C$24+1),0)-IF(AND(Projects!$G$24="Yes",CI$3&gt;=Projects!$C$24,CI$3&lt;Projects!$C$24+Projects!$D$24),Projects!$B$24*(Assumptions!$B$10+Assumptions!$B$11+Assumptions!$B$12)/Projects!$D$24*0.95,0)-IF(AND(Projects!$G$24="Yes",CI$3=Projects!$C$24+Projects!$D$24-1),Projects!$B$24*(Assumptions!$B$10+Assumptions!$B$11+Assumptions!$B$12)*0.05,0)</f>
        <v>0</v>
      </c>
      <c r="CJ33" s="30" t="n">
        <f aca="false">IF(AND(Projects!$G$24="Yes",CJ$3&gt;=Projects!$C$24,CJ$3&lt;Projects!$C$24+Projects!$D$24),Projects!$B$24*INDEX(Curves!$B$4:$AR$4,1,CJ$3-Projects!$C$24+1),0)-IF(AND(Projects!$G$24="Yes",CJ$3&gt;=Projects!$C$24,CJ$3&lt;Projects!$C$24+Projects!$D$24),Projects!$B$24*(Assumptions!$B$10+Assumptions!$B$11+Assumptions!$B$12)/Projects!$D$24*0.95,0)-IF(AND(Projects!$G$24="Yes",CJ$3=Projects!$C$24+Projects!$D$24-1),Projects!$B$24*(Assumptions!$B$10+Assumptions!$B$11+Assumptions!$B$12)*0.05,0)</f>
        <v>0</v>
      </c>
      <c r="CK33" s="30" t="n">
        <f aca="false">IF(AND(Projects!$G$24="Yes",CK$3&gt;=Projects!$C$24,CK$3&lt;Projects!$C$24+Projects!$D$24),Projects!$B$24*INDEX(Curves!$B$4:$AR$4,1,CK$3-Projects!$C$24+1),0)-IF(AND(Projects!$G$24="Yes",CK$3&gt;=Projects!$C$24,CK$3&lt;Projects!$C$24+Projects!$D$24),Projects!$B$24*(Assumptions!$B$10+Assumptions!$B$11+Assumptions!$B$12)/Projects!$D$24*0.95,0)-IF(AND(Projects!$G$24="Yes",CK$3=Projects!$C$24+Projects!$D$24-1),Projects!$B$24*(Assumptions!$B$10+Assumptions!$B$11+Assumptions!$B$12)*0.05,0)</f>
        <v>0</v>
      </c>
      <c r="CL33" s="30" t="n">
        <f aca="false">IF(AND(Projects!$G$24="Yes",CL$3&gt;=Projects!$C$24,CL$3&lt;Projects!$C$24+Projects!$D$24),Projects!$B$24*INDEX(Curves!$B$4:$AR$4,1,CL$3-Projects!$C$24+1),0)-IF(AND(Projects!$G$24="Yes",CL$3&gt;=Projects!$C$24,CL$3&lt;Projects!$C$24+Projects!$D$24),Projects!$B$24*(Assumptions!$B$10+Assumptions!$B$11+Assumptions!$B$12)/Projects!$D$24*0.95,0)-IF(AND(Projects!$G$24="Yes",CL$3=Projects!$C$24+Projects!$D$24-1),Projects!$B$24*(Assumptions!$B$10+Assumptions!$B$11+Assumptions!$B$12)*0.05,0)</f>
        <v>0</v>
      </c>
      <c r="CM33" s="30" t="n">
        <f aca="false">IF(AND(Projects!$G$24="Yes",CM$3&gt;=Projects!$C$24,CM$3&lt;Projects!$C$24+Projects!$D$24),Projects!$B$24*INDEX(Curves!$B$4:$AR$4,1,CM$3-Projects!$C$24+1),0)-IF(AND(Projects!$G$24="Yes",CM$3&gt;=Projects!$C$24,CM$3&lt;Projects!$C$24+Projects!$D$24),Projects!$B$24*(Assumptions!$B$10+Assumptions!$B$11+Assumptions!$B$12)/Projects!$D$24*0.95,0)-IF(AND(Projects!$G$24="Yes",CM$3=Projects!$C$24+Projects!$D$24-1),Projects!$B$24*(Assumptions!$B$10+Assumptions!$B$11+Assumptions!$B$12)*0.05,0)</f>
        <v>0</v>
      </c>
      <c r="CN33" s="30" t="n">
        <f aca="false">IF(AND(Projects!$G$24="Yes",CN$3&gt;=Projects!$C$24,CN$3&lt;Projects!$C$24+Projects!$D$24),Projects!$B$24*INDEX(Curves!$B$4:$AR$4,1,CN$3-Projects!$C$24+1),0)-IF(AND(Projects!$G$24="Yes",CN$3&gt;=Projects!$C$24,CN$3&lt;Projects!$C$24+Projects!$D$24),Projects!$B$24*(Assumptions!$B$10+Assumptions!$B$11+Assumptions!$B$12)/Projects!$D$24*0.95,0)-IF(AND(Projects!$G$24="Yes",CN$3=Projects!$C$24+Projects!$D$24-1),Projects!$B$24*(Assumptions!$B$10+Assumptions!$B$11+Assumptions!$B$12)*0.05,0)</f>
        <v>0</v>
      </c>
      <c r="CO33" s="30" t="n">
        <f aca="false">IF(AND(Projects!$G$24="Yes",CO$3&gt;=Projects!$C$24,CO$3&lt;Projects!$C$24+Projects!$D$24),Projects!$B$24*INDEX(Curves!$B$4:$AR$4,1,CO$3-Projects!$C$24+1),0)-IF(AND(Projects!$G$24="Yes",CO$3&gt;=Projects!$C$24,CO$3&lt;Projects!$C$24+Projects!$D$24),Projects!$B$24*(Assumptions!$B$10+Assumptions!$B$11+Assumptions!$B$12)/Projects!$D$24*0.95,0)-IF(AND(Projects!$G$24="Yes",CO$3=Projects!$C$24+Projects!$D$24-1),Projects!$B$24*(Assumptions!$B$10+Assumptions!$B$11+Assumptions!$B$12)*0.05,0)</f>
        <v>0</v>
      </c>
      <c r="CP33" s="30" t="n">
        <f aca="false">IF(AND(Projects!$G$24="Yes",CP$3&gt;=Projects!$C$24,CP$3&lt;Projects!$C$24+Projects!$D$24),Projects!$B$24*INDEX(Curves!$B$4:$AR$4,1,CP$3-Projects!$C$24+1),0)-IF(AND(Projects!$G$24="Yes",CP$3&gt;=Projects!$C$24,CP$3&lt;Projects!$C$24+Projects!$D$24),Projects!$B$24*(Assumptions!$B$10+Assumptions!$B$11+Assumptions!$B$12)/Projects!$D$24*0.95,0)-IF(AND(Projects!$G$24="Yes",CP$3=Projects!$C$24+Projects!$D$24-1),Projects!$B$24*(Assumptions!$B$10+Assumptions!$B$11+Assumptions!$B$12)*0.05,0)</f>
        <v>0</v>
      </c>
      <c r="CQ33" s="30" t="n">
        <f aca="false">IF(AND(Projects!$G$24="Yes",CQ$3&gt;=Projects!$C$24,CQ$3&lt;Projects!$C$24+Projects!$D$24),Projects!$B$24*INDEX(Curves!$B$4:$AR$4,1,CQ$3-Projects!$C$24+1),0)-IF(AND(Projects!$G$24="Yes",CQ$3&gt;=Projects!$C$24,CQ$3&lt;Projects!$C$24+Projects!$D$24),Projects!$B$24*(Assumptions!$B$10+Assumptions!$B$11+Assumptions!$B$12)/Projects!$D$24*0.95,0)-IF(AND(Projects!$G$24="Yes",CQ$3=Projects!$C$24+Projects!$D$24-1),Projects!$B$24*(Assumptions!$B$10+Assumptions!$B$11+Assumptions!$B$12)*0.05,0)</f>
        <v>0</v>
      </c>
      <c r="CR33" s="30" t="n">
        <f aca="false">IF(AND(Projects!$G$24="Yes",CR$3&gt;=Projects!$C$24,CR$3&lt;Projects!$C$24+Projects!$D$24),Projects!$B$24*INDEX(Curves!$B$4:$AR$4,1,CR$3-Projects!$C$24+1),0)-IF(AND(Projects!$G$24="Yes",CR$3&gt;=Projects!$C$24,CR$3&lt;Projects!$C$24+Projects!$D$24),Projects!$B$24*(Assumptions!$B$10+Assumptions!$B$11+Assumptions!$B$12)/Projects!$D$24*0.95,0)-IF(AND(Projects!$G$24="Yes",CR$3=Projects!$C$24+Projects!$D$24-1),Projects!$B$24*(Assumptions!$B$10+Assumptions!$B$11+Assumptions!$B$12)*0.05,0)</f>
        <v>0</v>
      </c>
      <c r="CS33" s="30" t="n">
        <f aca="false">IF(AND(Projects!$G$24="Yes",CS$3&gt;=Projects!$C$24,CS$3&lt;Projects!$C$24+Projects!$D$24),Projects!$B$24*INDEX(Curves!$B$4:$AR$4,1,CS$3-Projects!$C$24+1),0)-IF(AND(Projects!$G$24="Yes",CS$3&gt;=Projects!$C$24,CS$3&lt;Projects!$C$24+Projects!$D$24),Projects!$B$24*(Assumptions!$B$10+Assumptions!$B$11+Assumptions!$B$12)/Projects!$D$24*0.95,0)-IF(AND(Projects!$G$24="Yes",CS$3=Projects!$C$24+Projects!$D$24-1),Projects!$B$24*(Assumptions!$B$10+Assumptions!$B$11+Assumptions!$B$12)*0.05,0)</f>
        <v>0</v>
      </c>
      <c r="CT33" s="30" t="n">
        <f aca="false">IF(AND(Projects!$G$24="Yes",CT$3&gt;=Projects!$C$24,CT$3&lt;Projects!$C$24+Projects!$D$24),Projects!$B$24*INDEX(Curves!$B$4:$AR$4,1,CT$3-Projects!$C$24+1),0)-IF(AND(Projects!$G$24="Yes",CT$3&gt;=Projects!$C$24,CT$3&lt;Projects!$C$24+Projects!$D$24),Projects!$B$24*(Assumptions!$B$10+Assumptions!$B$11+Assumptions!$B$12)/Projects!$D$24*0.95,0)-IF(AND(Projects!$G$24="Yes",CT$3=Projects!$C$24+Projects!$D$24-1),Projects!$B$24*(Assumptions!$B$10+Assumptions!$B$11+Assumptions!$B$12)*0.05,0)</f>
        <v>0</v>
      </c>
      <c r="CU33" s="30" t="n">
        <f aca="false">IF(AND(Projects!$G$24="Yes",CU$3&gt;=Projects!$C$24,CU$3&lt;Projects!$C$24+Projects!$D$24),Projects!$B$24*INDEX(Curves!$B$4:$AR$4,1,CU$3-Projects!$C$24+1),0)-IF(AND(Projects!$G$24="Yes",CU$3&gt;=Projects!$C$24,CU$3&lt;Projects!$C$24+Projects!$D$24),Projects!$B$24*(Assumptions!$B$10+Assumptions!$B$11+Assumptions!$B$12)/Projects!$D$24*0.95,0)-IF(AND(Projects!$G$24="Yes",CU$3=Projects!$C$24+Projects!$D$24-1),Projects!$B$24*(Assumptions!$B$10+Assumptions!$B$11+Assumptions!$B$12)*0.05,0)</f>
        <v>0</v>
      </c>
      <c r="CV33" s="30" t="n">
        <f aca="false">IF(AND(Projects!$G$24="Yes",CV$3&gt;=Projects!$C$24,CV$3&lt;Projects!$C$24+Projects!$D$24),Projects!$B$24*INDEX(Curves!$B$4:$AR$4,1,CV$3-Projects!$C$24+1),0)-IF(AND(Projects!$G$24="Yes",CV$3&gt;=Projects!$C$24,CV$3&lt;Projects!$C$24+Projects!$D$24),Projects!$B$24*(Assumptions!$B$10+Assumptions!$B$11+Assumptions!$B$12)/Projects!$D$24*0.95,0)-IF(AND(Projects!$G$24="Yes",CV$3=Projects!$C$24+Projects!$D$24-1),Projects!$B$24*(Assumptions!$B$10+Assumptions!$B$11+Assumptions!$B$12)*0.05,0)</f>
        <v>0</v>
      </c>
      <c r="CW33" s="30" t="n">
        <f aca="false">IF(AND(Projects!$G$24="Yes",CW$3&gt;=Projects!$C$24,CW$3&lt;Projects!$C$24+Projects!$D$24),Projects!$B$24*INDEX(Curves!$B$4:$AR$4,1,CW$3-Projects!$C$24+1),0)-IF(AND(Projects!$G$24="Yes",CW$3&gt;=Projects!$C$24,CW$3&lt;Projects!$C$24+Projects!$D$24),Projects!$B$24*(Assumptions!$B$10+Assumptions!$B$11+Assumptions!$B$12)/Projects!$D$24*0.95,0)-IF(AND(Projects!$G$24="Yes",CW$3=Projects!$C$24+Projects!$D$24-1),Projects!$B$24*(Assumptions!$B$10+Assumptions!$B$11+Assumptions!$B$12)*0.05,0)</f>
        <v>0</v>
      </c>
      <c r="CX33" s="30" t="n">
        <f aca="false">IF(AND(Projects!$G$24="Yes",CX$3&gt;=Projects!$C$24,CX$3&lt;Projects!$C$24+Projects!$D$24),Projects!$B$24*INDEX(Curves!$B$4:$AR$4,1,CX$3-Projects!$C$24+1),0)-IF(AND(Projects!$G$24="Yes",CX$3&gt;=Projects!$C$24,CX$3&lt;Projects!$C$24+Projects!$D$24),Projects!$B$24*(Assumptions!$B$10+Assumptions!$B$11+Assumptions!$B$12)/Projects!$D$24*0.95,0)-IF(AND(Projects!$G$24="Yes",CX$3=Projects!$C$24+Projects!$D$24-1),Projects!$B$24*(Assumptions!$B$10+Assumptions!$B$11+Assumptions!$B$12)*0.05,0)</f>
        <v>0</v>
      </c>
      <c r="CY33" s="30" t="n">
        <f aca="false">IF(AND(Projects!$G$24="Yes",CY$3&gt;=Projects!$C$24,CY$3&lt;Projects!$C$24+Projects!$D$24),Projects!$B$24*INDEX(Curves!$B$4:$AR$4,1,CY$3-Projects!$C$24+1),0)-IF(AND(Projects!$G$24="Yes",CY$3&gt;=Projects!$C$24,CY$3&lt;Projects!$C$24+Projects!$D$24),Projects!$B$24*(Assumptions!$B$10+Assumptions!$B$11+Assumptions!$B$12)/Projects!$D$24*0.95,0)-IF(AND(Projects!$G$24="Yes",CY$3=Projects!$C$24+Projects!$D$24-1),Projects!$B$24*(Assumptions!$B$10+Assumptions!$B$11+Assumptions!$B$12)*0.05,0)</f>
        <v>0</v>
      </c>
      <c r="CZ33" s="30" t="n">
        <f aca="false">IF(AND(Projects!$G$24="Yes",CZ$3&gt;=Projects!$C$24,CZ$3&lt;Projects!$C$24+Projects!$D$24),Projects!$B$24*INDEX(Curves!$B$4:$AR$4,1,CZ$3-Projects!$C$24+1),0)-IF(AND(Projects!$G$24="Yes",CZ$3&gt;=Projects!$C$24,CZ$3&lt;Projects!$C$24+Projects!$D$24),Projects!$B$24*(Assumptions!$B$10+Assumptions!$B$11+Assumptions!$B$12)/Projects!$D$24*0.95,0)-IF(AND(Projects!$G$24="Yes",CZ$3=Projects!$C$24+Projects!$D$24-1),Projects!$B$24*(Assumptions!$B$10+Assumptions!$B$11+Assumptions!$B$12)*0.05,0)</f>
        <v>0</v>
      </c>
      <c r="DA33" s="30" t="n">
        <f aca="false">IF(AND(Projects!$G$24="Yes",DA$3&gt;=Projects!$C$24,DA$3&lt;Projects!$C$24+Projects!$D$24),Projects!$B$24*INDEX(Curves!$B$4:$AR$4,1,DA$3-Projects!$C$24+1),0)-IF(AND(Projects!$G$24="Yes",DA$3&gt;=Projects!$C$24,DA$3&lt;Projects!$C$24+Projects!$D$24),Projects!$B$24*(Assumptions!$B$10+Assumptions!$B$11+Assumptions!$B$12)/Projects!$D$24*0.95,0)-IF(AND(Projects!$G$24="Yes",DA$3=Projects!$C$24+Projects!$D$24-1),Projects!$B$24*(Assumptions!$B$10+Assumptions!$B$11+Assumptions!$B$12)*0.05,0)</f>
        <v>0</v>
      </c>
      <c r="DB33" s="30" t="n">
        <f aca="false">IF(AND(Projects!$G$24="Yes",DB$3&gt;=Projects!$C$24,DB$3&lt;Projects!$C$24+Projects!$D$24),Projects!$B$24*INDEX(Curves!$B$4:$AR$4,1,DB$3-Projects!$C$24+1),0)-IF(AND(Projects!$G$24="Yes",DB$3&gt;=Projects!$C$24,DB$3&lt;Projects!$C$24+Projects!$D$24),Projects!$B$24*(Assumptions!$B$10+Assumptions!$B$11+Assumptions!$B$12)/Projects!$D$24*0.95,0)-IF(AND(Projects!$G$24="Yes",DB$3=Projects!$C$24+Projects!$D$24-1),Projects!$B$24*(Assumptions!$B$10+Assumptions!$B$11+Assumptions!$B$12)*0.05,0)</f>
        <v>0</v>
      </c>
      <c r="DC33" s="30" t="n">
        <f aca="false">IF(AND(Projects!$G$24="Yes",DC$3&gt;=Projects!$C$24,DC$3&lt;Projects!$C$24+Projects!$D$24),Projects!$B$24*INDEX(Curves!$B$4:$AR$4,1,DC$3-Projects!$C$24+1),0)-IF(AND(Projects!$G$24="Yes",DC$3&gt;=Projects!$C$24,DC$3&lt;Projects!$C$24+Projects!$D$24),Projects!$B$24*(Assumptions!$B$10+Assumptions!$B$11+Assumptions!$B$12)/Projects!$D$24*0.95,0)-IF(AND(Projects!$G$24="Yes",DC$3=Projects!$C$24+Projects!$D$24-1),Projects!$B$24*(Assumptions!$B$10+Assumptions!$B$11+Assumptions!$B$12)*0.05,0)</f>
        <v>0</v>
      </c>
      <c r="DD33" s="30" t="n">
        <f aca="false">IF(AND(Projects!$G$24="Yes",DD$3&gt;=Projects!$C$24,DD$3&lt;Projects!$C$24+Projects!$D$24),Projects!$B$24*INDEX(Curves!$B$4:$AR$4,1,DD$3-Projects!$C$24+1),0)-IF(AND(Projects!$G$24="Yes",DD$3&gt;=Projects!$C$24,DD$3&lt;Projects!$C$24+Projects!$D$24),Projects!$B$24*(Assumptions!$B$10+Assumptions!$B$11+Assumptions!$B$12)/Projects!$D$24*0.95,0)-IF(AND(Projects!$G$24="Yes",DD$3=Projects!$C$24+Projects!$D$24-1),Projects!$B$24*(Assumptions!$B$10+Assumptions!$B$11+Assumptions!$B$12)*0.05,0)</f>
        <v>0</v>
      </c>
      <c r="DE33" s="30" t="n">
        <f aca="false">IF(AND(Projects!$G$24="Yes",DE$3&gt;=Projects!$C$24,DE$3&lt;Projects!$C$24+Projects!$D$24),Projects!$B$24*INDEX(Curves!$B$4:$AR$4,1,DE$3-Projects!$C$24+1),0)-IF(AND(Projects!$G$24="Yes",DE$3&gt;=Projects!$C$24,DE$3&lt;Projects!$C$24+Projects!$D$24),Projects!$B$24*(Assumptions!$B$10+Assumptions!$B$11+Assumptions!$B$12)/Projects!$D$24*0.95,0)-IF(AND(Projects!$G$24="Yes",DE$3=Projects!$C$24+Projects!$D$24-1),Projects!$B$24*(Assumptions!$B$10+Assumptions!$B$11+Assumptions!$B$12)*0.05,0)</f>
        <v>0</v>
      </c>
    </row>
    <row r="34" customFormat="false" ht="15" hidden="true" customHeight="true" outlineLevel="1" collapsed="false">
      <c r="A34" s="32" t="s">
        <v>28</v>
      </c>
      <c r="B34" s="30" t="n">
        <v>0</v>
      </c>
      <c r="C34" s="30" t="n">
        <v>0</v>
      </c>
      <c r="D34" s="30" t="n">
        <v>0</v>
      </c>
      <c r="E34" s="30" t="n">
        <v>0</v>
      </c>
      <c r="F34" s="30" t="n">
        <f aca="false">IF(AND(Projects!$G$25="Yes",F$3&gt;=Projects!$C$25,F$3&lt;Projects!$C$25+Projects!$D$25),Projects!$B$25*INDEX(Curves!$B$4:$AR$4,1,F$3-Projects!$C$25+1),0)-IF(AND(Projects!$G$25="Yes",F$3&gt;=Projects!$C$25,F$3&lt;Projects!$C$25+Projects!$D$25),Projects!$B$25*(Assumptions!$B$10+Assumptions!$B$11+Assumptions!$B$12)/Projects!$D$25*0.95,0)-IF(AND(Projects!$G$25="Yes",F$3=Projects!$C$25+Projects!$D$25-1),Projects!$B$25*(Assumptions!$B$10+Assumptions!$B$11+Assumptions!$B$12)*0.05,0)</f>
        <v>0</v>
      </c>
      <c r="G34" s="30" t="n">
        <f aca="false">IF(AND(Projects!$G$25="Yes",G$3&gt;=Projects!$C$25,G$3&lt;Projects!$C$25+Projects!$D$25),Projects!$B$25*INDEX(Curves!$B$4:$AR$4,1,G$3-Projects!$C$25+1),0)-IF(AND(Projects!$G$25="Yes",G$3&gt;=Projects!$C$25,G$3&lt;Projects!$C$25+Projects!$D$25),Projects!$B$25*(Assumptions!$B$10+Assumptions!$B$11+Assumptions!$B$12)/Projects!$D$25*0.95,0)-IF(AND(Projects!$G$25="Yes",G$3=Projects!$C$25+Projects!$D$25-1),Projects!$B$25*(Assumptions!$B$10+Assumptions!$B$11+Assumptions!$B$12)*0.05,0)</f>
        <v>0</v>
      </c>
      <c r="H34" s="30" t="n">
        <f aca="false">IF(AND(Projects!$G$25="Yes",H$3&gt;=Projects!$C$25,H$3&lt;Projects!$C$25+Projects!$D$25),Projects!$B$25*INDEX(Curves!$B$4:$AR$4,1,H$3-Projects!$C$25+1),0)-IF(AND(Projects!$G$25="Yes",H$3&gt;=Projects!$C$25,H$3&lt;Projects!$C$25+Projects!$D$25),Projects!$B$25*(Assumptions!$B$10+Assumptions!$B$11+Assumptions!$B$12)/Projects!$D$25*0.95,0)-IF(AND(Projects!$G$25="Yes",H$3=Projects!$C$25+Projects!$D$25-1),Projects!$B$25*(Assumptions!$B$10+Assumptions!$B$11+Assumptions!$B$12)*0.05,0)</f>
        <v>0</v>
      </c>
      <c r="I34" s="30" t="n">
        <f aca="false">IF(AND(Projects!$G$25="Yes",I$3&gt;=Projects!$C$25,I$3&lt;Projects!$C$25+Projects!$D$25),Projects!$B$25*INDEX(Curves!$B$4:$AR$4,1,I$3-Projects!$C$25+1),0)-IF(AND(Projects!$G$25="Yes",I$3&gt;=Projects!$C$25,I$3&lt;Projects!$C$25+Projects!$D$25),Projects!$B$25*(Assumptions!$B$10+Assumptions!$B$11+Assumptions!$B$12)/Projects!$D$25*0.95,0)-IF(AND(Projects!$G$25="Yes",I$3=Projects!$C$25+Projects!$D$25-1),Projects!$B$25*(Assumptions!$B$10+Assumptions!$B$11+Assumptions!$B$12)*0.05,0)</f>
        <v>0</v>
      </c>
      <c r="J34" s="30" t="n">
        <f aca="false">IF(AND(Projects!$G$25="Yes",J$3&gt;=Projects!$C$25,J$3&lt;Projects!$C$25+Projects!$D$25),Projects!$B$25*INDEX(Curves!$B$4:$AR$4,1,J$3-Projects!$C$25+1),0)-IF(AND(Projects!$G$25="Yes",J$3&gt;=Projects!$C$25,J$3&lt;Projects!$C$25+Projects!$D$25),Projects!$B$25*(Assumptions!$B$10+Assumptions!$B$11+Assumptions!$B$12)/Projects!$D$25*0.95,0)-IF(AND(Projects!$G$25="Yes",J$3=Projects!$C$25+Projects!$D$25-1),Projects!$B$25*(Assumptions!$B$10+Assumptions!$B$11+Assumptions!$B$12)*0.05,0)</f>
        <v>0</v>
      </c>
      <c r="K34" s="30" t="n">
        <f aca="false">IF(AND(Projects!$G$25="Yes",K$3&gt;=Projects!$C$25,K$3&lt;Projects!$C$25+Projects!$D$25),Projects!$B$25*INDEX(Curves!$B$4:$AR$4,1,K$3-Projects!$C$25+1),0)-IF(AND(Projects!$G$25="Yes",K$3&gt;=Projects!$C$25,K$3&lt;Projects!$C$25+Projects!$D$25),Projects!$B$25*(Assumptions!$B$10+Assumptions!$B$11+Assumptions!$B$12)/Projects!$D$25*0.95,0)-IF(AND(Projects!$G$25="Yes",K$3=Projects!$C$25+Projects!$D$25-1),Projects!$B$25*(Assumptions!$B$10+Assumptions!$B$11+Assumptions!$B$12)*0.05,0)</f>
        <v>0</v>
      </c>
      <c r="L34" s="30" t="n">
        <f aca="false">IF(AND(Projects!$G$25="Yes",L$3&gt;=Projects!$C$25,L$3&lt;Projects!$C$25+Projects!$D$25),Projects!$B$25*INDEX(Curves!$B$4:$AR$4,1,L$3-Projects!$C$25+1),0)-IF(AND(Projects!$G$25="Yes",L$3&gt;=Projects!$C$25,L$3&lt;Projects!$C$25+Projects!$D$25),Projects!$B$25*(Assumptions!$B$10+Assumptions!$B$11+Assumptions!$B$12)/Projects!$D$25*0.95,0)-IF(AND(Projects!$G$25="Yes",L$3=Projects!$C$25+Projects!$D$25-1),Projects!$B$25*(Assumptions!$B$10+Assumptions!$B$11+Assumptions!$B$12)*0.05,0)</f>
        <v>0</v>
      </c>
      <c r="M34" s="30" t="n">
        <f aca="false">IF(AND(Projects!$G$25="Yes",M$3&gt;=Projects!$C$25,M$3&lt;Projects!$C$25+Projects!$D$25),Projects!$B$25*INDEX(Curves!$B$4:$AR$4,1,M$3-Projects!$C$25+1),0)-IF(AND(Projects!$G$25="Yes",M$3&gt;=Projects!$C$25,M$3&lt;Projects!$C$25+Projects!$D$25),Projects!$B$25*(Assumptions!$B$10+Assumptions!$B$11+Assumptions!$B$12)/Projects!$D$25*0.95,0)-IF(AND(Projects!$G$25="Yes",M$3=Projects!$C$25+Projects!$D$25-1),Projects!$B$25*(Assumptions!$B$10+Assumptions!$B$11+Assumptions!$B$12)*0.05,0)</f>
        <v>0</v>
      </c>
      <c r="N34" s="30" t="n">
        <f aca="false">IF(AND(Projects!$G$25="Yes",N$3&gt;=Projects!$C$25,N$3&lt;Projects!$C$25+Projects!$D$25),Projects!$B$25*INDEX(Curves!$B$4:$AR$4,1,N$3-Projects!$C$25+1),0)-IF(AND(Projects!$G$25="Yes",N$3&gt;=Projects!$C$25,N$3&lt;Projects!$C$25+Projects!$D$25),Projects!$B$25*(Assumptions!$B$10+Assumptions!$B$11+Assumptions!$B$12)/Projects!$D$25*0.95,0)-IF(AND(Projects!$G$25="Yes",N$3=Projects!$C$25+Projects!$D$25-1),Projects!$B$25*(Assumptions!$B$10+Assumptions!$B$11+Assumptions!$B$12)*0.05,0)</f>
        <v>0</v>
      </c>
      <c r="O34" s="30" t="n">
        <f aca="false">IF(AND(Projects!$G$25="Yes",O$3&gt;=Projects!$C$25,O$3&lt;Projects!$C$25+Projects!$D$25),Projects!$B$25*INDEX(Curves!$B$4:$AR$4,1,O$3-Projects!$C$25+1),0)-IF(AND(Projects!$G$25="Yes",O$3&gt;=Projects!$C$25,O$3&lt;Projects!$C$25+Projects!$D$25),Projects!$B$25*(Assumptions!$B$10+Assumptions!$B$11+Assumptions!$B$12)/Projects!$D$25*0.95,0)-IF(AND(Projects!$G$25="Yes",O$3=Projects!$C$25+Projects!$D$25-1),Projects!$B$25*(Assumptions!$B$10+Assumptions!$B$11+Assumptions!$B$12)*0.05,0)</f>
        <v>0</v>
      </c>
      <c r="P34" s="30" t="n">
        <f aca="false">IF(AND(Projects!$G$25="Yes",P$3&gt;=Projects!$C$25,P$3&lt;Projects!$C$25+Projects!$D$25),Projects!$B$25*INDEX(Curves!$B$4:$AR$4,1,P$3-Projects!$C$25+1),0)-IF(AND(Projects!$G$25="Yes",P$3&gt;=Projects!$C$25,P$3&lt;Projects!$C$25+Projects!$D$25),Projects!$B$25*(Assumptions!$B$10+Assumptions!$B$11+Assumptions!$B$12)/Projects!$D$25*0.95,0)-IF(AND(Projects!$G$25="Yes",P$3=Projects!$C$25+Projects!$D$25-1),Projects!$B$25*(Assumptions!$B$10+Assumptions!$B$11+Assumptions!$B$12)*0.05,0)</f>
        <v>0</v>
      </c>
      <c r="Q34" s="30" t="n">
        <f aca="false">IF(AND(Projects!$G$25="Yes",Q$3&gt;=Projects!$C$25,Q$3&lt;Projects!$C$25+Projects!$D$25),Projects!$B$25*INDEX(Curves!$B$4:$AR$4,1,Q$3-Projects!$C$25+1),0)-IF(AND(Projects!$G$25="Yes",Q$3&gt;=Projects!$C$25,Q$3&lt;Projects!$C$25+Projects!$D$25),Projects!$B$25*(Assumptions!$B$10+Assumptions!$B$11+Assumptions!$B$12)/Projects!$D$25*0.95,0)-IF(AND(Projects!$G$25="Yes",Q$3=Projects!$C$25+Projects!$D$25-1),Projects!$B$25*(Assumptions!$B$10+Assumptions!$B$11+Assumptions!$B$12)*0.05,0)</f>
        <v>0</v>
      </c>
      <c r="R34" s="30" t="n">
        <f aca="false">IF(AND(Projects!$G$25="Yes",R$3&gt;=Projects!$C$25,R$3&lt;Projects!$C$25+Projects!$D$25),Projects!$B$25*INDEX(Curves!$B$4:$AR$4,1,R$3-Projects!$C$25+1),0)-IF(AND(Projects!$G$25="Yes",R$3&gt;=Projects!$C$25,R$3&lt;Projects!$C$25+Projects!$D$25),Projects!$B$25*(Assumptions!$B$10+Assumptions!$B$11+Assumptions!$B$12)/Projects!$D$25*0.95,0)-IF(AND(Projects!$G$25="Yes",R$3=Projects!$C$25+Projects!$D$25-1),Projects!$B$25*(Assumptions!$B$10+Assumptions!$B$11+Assumptions!$B$12)*0.05,0)</f>
        <v>0</v>
      </c>
      <c r="S34" s="30" t="n">
        <f aca="false">IF(AND(Projects!$G$25="Yes",S$3&gt;=Projects!$C$25,S$3&lt;Projects!$C$25+Projects!$D$25),Projects!$B$25*INDEX(Curves!$B$4:$AR$4,1,S$3-Projects!$C$25+1),0)-IF(AND(Projects!$G$25="Yes",S$3&gt;=Projects!$C$25,S$3&lt;Projects!$C$25+Projects!$D$25),Projects!$B$25*(Assumptions!$B$10+Assumptions!$B$11+Assumptions!$B$12)/Projects!$D$25*0.95,0)-IF(AND(Projects!$G$25="Yes",S$3=Projects!$C$25+Projects!$D$25-1),Projects!$B$25*(Assumptions!$B$10+Assumptions!$B$11+Assumptions!$B$12)*0.05,0)</f>
        <v>0</v>
      </c>
      <c r="T34" s="30" t="n">
        <f aca="false">IF(AND(Projects!$G$25="Yes",T$3&gt;=Projects!$C$25,T$3&lt;Projects!$C$25+Projects!$D$25),Projects!$B$25*INDEX(Curves!$B$4:$AR$4,1,T$3-Projects!$C$25+1),0)-IF(AND(Projects!$G$25="Yes",T$3&gt;=Projects!$C$25,T$3&lt;Projects!$C$25+Projects!$D$25),Projects!$B$25*(Assumptions!$B$10+Assumptions!$B$11+Assumptions!$B$12)/Projects!$D$25*0.95,0)-IF(AND(Projects!$G$25="Yes",T$3=Projects!$C$25+Projects!$D$25-1),Projects!$B$25*(Assumptions!$B$10+Assumptions!$B$11+Assumptions!$B$12)*0.05,0)</f>
        <v>0</v>
      </c>
      <c r="U34" s="30" t="n">
        <f aca="false">IF(AND(Projects!$G$25="Yes",U$3&gt;=Projects!$C$25,U$3&lt;Projects!$C$25+Projects!$D$25),Projects!$B$25*INDEX(Curves!$B$4:$AR$4,1,U$3-Projects!$C$25+1),0)-IF(AND(Projects!$G$25="Yes",U$3&gt;=Projects!$C$25,U$3&lt;Projects!$C$25+Projects!$D$25),Projects!$B$25*(Assumptions!$B$10+Assumptions!$B$11+Assumptions!$B$12)/Projects!$D$25*0.95,0)-IF(AND(Projects!$G$25="Yes",U$3=Projects!$C$25+Projects!$D$25-1),Projects!$B$25*(Assumptions!$B$10+Assumptions!$B$11+Assumptions!$B$12)*0.05,0)</f>
        <v>0</v>
      </c>
      <c r="V34" s="30" t="n">
        <f aca="false">IF(AND(Projects!$G$25="Yes",V$3&gt;=Projects!$C$25,V$3&lt;Projects!$C$25+Projects!$D$25),Projects!$B$25*INDEX(Curves!$B$4:$AR$4,1,V$3-Projects!$C$25+1),0)-IF(AND(Projects!$G$25="Yes",V$3&gt;=Projects!$C$25,V$3&lt;Projects!$C$25+Projects!$D$25),Projects!$B$25*(Assumptions!$B$10+Assumptions!$B$11+Assumptions!$B$12)/Projects!$D$25*0.95,0)-IF(AND(Projects!$G$25="Yes",V$3=Projects!$C$25+Projects!$D$25-1),Projects!$B$25*(Assumptions!$B$10+Assumptions!$B$11+Assumptions!$B$12)*0.05,0)</f>
        <v>0</v>
      </c>
      <c r="W34" s="30" t="n">
        <f aca="false">IF(AND(Projects!$G$25="Yes",W$3&gt;=Projects!$C$25,W$3&lt;Projects!$C$25+Projects!$D$25),Projects!$B$25*INDEX(Curves!$B$4:$AR$4,1,W$3-Projects!$C$25+1),0)-IF(AND(Projects!$G$25="Yes",W$3&gt;=Projects!$C$25,W$3&lt;Projects!$C$25+Projects!$D$25),Projects!$B$25*(Assumptions!$B$10+Assumptions!$B$11+Assumptions!$B$12)/Projects!$D$25*0.95,0)-IF(AND(Projects!$G$25="Yes",W$3=Projects!$C$25+Projects!$D$25-1),Projects!$B$25*(Assumptions!$B$10+Assumptions!$B$11+Assumptions!$B$12)*0.05,0)</f>
        <v>0</v>
      </c>
      <c r="X34" s="30" t="n">
        <f aca="false">IF(AND(Projects!$G$25="Yes",X$3&gt;=Projects!$C$25,X$3&lt;Projects!$C$25+Projects!$D$25),Projects!$B$25*INDEX(Curves!$B$4:$AR$4,1,X$3-Projects!$C$25+1),0)-IF(AND(Projects!$G$25="Yes",X$3&gt;=Projects!$C$25,X$3&lt;Projects!$C$25+Projects!$D$25),Projects!$B$25*(Assumptions!$B$10+Assumptions!$B$11+Assumptions!$B$12)/Projects!$D$25*0.95,0)-IF(AND(Projects!$G$25="Yes",X$3=Projects!$C$25+Projects!$D$25-1),Projects!$B$25*(Assumptions!$B$10+Assumptions!$B$11+Assumptions!$B$12)*0.05,0)</f>
        <v>0</v>
      </c>
      <c r="Y34" s="30" t="n">
        <f aca="false">IF(AND(Projects!$G$25="Yes",Y$3&gt;=Projects!$C$25,Y$3&lt;Projects!$C$25+Projects!$D$25),Projects!$B$25*INDEX(Curves!$B$4:$AR$4,1,Y$3-Projects!$C$25+1),0)-IF(AND(Projects!$G$25="Yes",Y$3&gt;=Projects!$C$25,Y$3&lt;Projects!$C$25+Projects!$D$25),Projects!$B$25*(Assumptions!$B$10+Assumptions!$B$11+Assumptions!$B$12)/Projects!$D$25*0.95,0)-IF(AND(Projects!$G$25="Yes",Y$3=Projects!$C$25+Projects!$D$25-1),Projects!$B$25*(Assumptions!$B$10+Assumptions!$B$11+Assumptions!$B$12)*0.05,0)</f>
        <v>0</v>
      </c>
      <c r="Z34" s="30" t="n">
        <f aca="false">IF(AND(Projects!$G$25="Yes",Z$3&gt;=Projects!$C$25,Z$3&lt;Projects!$C$25+Projects!$D$25),Projects!$B$25*INDEX(Curves!$B$4:$AR$4,1,Z$3-Projects!$C$25+1),0)-IF(AND(Projects!$G$25="Yes",Z$3&gt;=Projects!$C$25,Z$3&lt;Projects!$C$25+Projects!$D$25),Projects!$B$25*(Assumptions!$B$10+Assumptions!$B$11+Assumptions!$B$12)/Projects!$D$25*0.95,0)-IF(AND(Projects!$G$25="Yes",Z$3=Projects!$C$25+Projects!$D$25-1),Projects!$B$25*(Assumptions!$B$10+Assumptions!$B$11+Assumptions!$B$12)*0.05,0)</f>
        <v>0</v>
      </c>
      <c r="AA34" s="30" t="n">
        <f aca="false">IF(AND(Projects!$G$25="Yes",AA$3&gt;=Projects!$C$25,AA$3&lt;Projects!$C$25+Projects!$D$25),Projects!$B$25*INDEX(Curves!$B$4:$AR$4,1,AA$3-Projects!$C$25+1),0)-IF(AND(Projects!$G$25="Yes",AA$3&gt;=Projects!$C$25,AA$3&lt;Projects!$C$25+Projects!$D$25),Projects!$B$25*(Assumptions!$B$10+Assumptions!$B$11+Assumptions!$B$12)/Projects!$D$25*0.95,0)-IF(AND(Projects!$G$25="Yes",AA$3=Projects!$C$25+Projects!$D$25-1),Projects!$B$25*(Assumptions!$B$10+Assumptions!$B$11+Assumptions!$B$12)*0.05,0)</f>
        <v>0</v>
      </c>
      <c r="AB34" s="30" t="n">
        <f aca="false">IF(AND(Projects!$G$25="Yes",AB$3&gt;=Projects!$C$25,AB$3&lt;Projects!$C$25+Projects!$D$25),Projects!$B$25*INDEX(Curves!$B$4:$AR$4,1,AB$3-Projects!$C$25+1),0)-IF(AND(Projects!$G$25="Yes",AB$3&gt;=Projects!$C$25,AB$3&lt;Projects!$C$25+Projects!$D$25),Projects!$B$25*(Assumptions!$B$10+Assumptions!$B$11+Assumptions!$B$12)/Projects!$D$25*0.95,0)-IF(AND(Projects!$G$25="Yes",AB$3=Projects!$C$25+Projects!$D$25-1),Projects!$B$25*(Assumptions!$B$10+Assumptions!$B$11+Assumptions!$B$12)*0.05,0)</f>
        <v>0</v>
      </c>
      <c r="AC34" s="30" t="n">
        <f aca="false">IF(AND(Projects!$G$25="Yes",AC$3&gt;=Projects!$C$25,AC$3&lt;Projects!$C$25+Projects!$D$25),Projects!$B$25*INDEX(Curves!$B$4:$AR$4,1,AC$3-Projects!$C$25+1),0)-IF(AND(Projects!$G$25="Yes",AC$3&gt;=Projects!$C$25,AC$3&lt;Projects!$C$25+Projects!$D$25),Projects!$B$25*(Assumptions!$B$10+Assumptions!$B$11+Assumptions!$B$12)/Projects!$D$25*0.95,0)-IF(AND(Projects!$G$25="Yes",AC$3=Projects!$C$25+Projects!$D$25-1),Projects!$B$25*(Assumptions!$B$10+Assumptions!$B$11+Assumptions!$B$12)*0.05,0)</f>
        <v>0</v>
      </c>
      <c r="AD34" s="30" t="n">
        <f aca="false">IF(AND(Projects!$G$25="Yes",AD$3&gt;=Projects!$C$25,AD$3&lt;Projects!$C$25+Projects!$D$25),Projects!$B$25*INDEX(Curves!$B$4:$AR$4,1,AD$3-Projects!$C$25+1),0)-IF(AND(Projects!$G$25="Yes",AD$3&gt;=Projects!$C$25,AD$3&lt;Projects!$C$25+Projects!$D$25),Projects!$B$25*(Assumptions!$B$10+Assumptions!$B$11+Assumptions!$B$12)/Projects!$D$25*0.95,0)-IF(AND(Projects!$G$25="Yes",AD$3=Projects!$C$25+Projects!$D$25-1),Projects!$B$25*(Assumptions!$B$10+Assumptions!$B$11+Assumptions!$B$12)*0.05,0)</f>
        <v>0</v>
      </c>
      <c r="AE34" s="30" t="n">
        <f aca="false">IF(AND(Projects!$G$25="Yes",AE$3&gt;=Projects!$C$25,AE$3&lt;Projects!$C$25+Projects!$D$25),Projects!$B$25*INDEX(Curves!$B$4:$AR$4,1,AE$3-Projects!$C$25+1),0)-IF(AND(Projects!$G$25="Yes",AE$3&gt;=Projects!$C$25,AE$3&lt;Projects!$C$25+Projects!$D$25),Projects!$B$25*(Assumptions!$B$10+Assumptions!$B$11+Assumptions!$B$12)/Projects!$D$25*0.95,0)-IF(AND(Projects!$G$25="Yes",AE$3=Projects!$C$25+Projects!$D$25-1),Projects!$B$25*(Assumptions!$B$10+Assumptions!$B$11+Assumptions!$B$12)*0.05,0)</f>
        <v>0</v>
      </c>
      <c r="AF34" s="30" t="n">
        <f aca="false">IF(AND(Projects!$G$25="Yes",AF$3&gt;=Projects!$C$25,AF$3&lt;Projects!$C$25+Projects!$D$25),Projects!$B$25*INDEX(Curves!$B$4:$AR$4,1,AF$3-Projects!$C$25+1),0)-IF(AND(Projects!$G$25="Yes",AF$3&gt;=Projects!$C$25,AF$3&lt;Projects!$C$25+Projects!$D$25),Projects!$B$25*(Assumptions!$B$10+Assumptions!$B$11+Assumptions!$B$12)/Projects!$D$25*0.95,0)-IF(AND(Projects!$G$25="Yes",AF$3=Projects!$C$25+Projects!$D$25-1),Projects!$B$25*(Assumptions!$B$10+Assumptions!$B$11+Assumptions!$B$12)*0.05,0)</f>
        <v>0</v>
      </c>
      <c r="AG34" s="30" t="n">
        <f aca="false">IF(AND(Projects!$G$25="Yes",AG$3&gt;=Projects!$C$25,AG$3&lt;Projects!$C$25+Projects!$D$25),Projects!$B$25*INDEX(Curves!$B$4:$AR$4,1,AG$3-Projects!$C$25+1),0)-IF(AND(Projects!$G$25="Yes",AG$3&gt;=Projects!$C$25,AG$3&lt;Projects!$C$25+Projects!$D$25),Projects!$B$25*(Assumptions!$B$10+Assumptions!$B$11+Assumptions!$B$12)/Projects!$D$25*0.95,0)-IF(AND(Projects!$G$25="Yes",AG$3=Projects!$C$25+Projects!$D$25-1),Projects!$B$25*(Assumptions!$B$10+Assumptions!$B$11+Assumptions!$B$12)*0.05,0)</f>
        <v>0</v>
      </c>
      <c r="AH34" s="30" t="n">
        <f aca="false">IF(AND(Projects!$G$25="Yes",AH$3&gt;=Projects!$C$25,AH$3&lt;Projects!$C$25+Projects!$D$25),Projects!$B$25*INDEX(Curves!$B$4:$AR$4,1,AH$3-Projects!$C$25+1),0)-IF(AND(Projects!$G$25="Yes",AH$3&gt;=Projects!$C$25,AH$3&lt;Projects!$C$25+Projects!$D$25),Projects!$B$25*(Assumptions!$B$10+Assumptions!$B$11+Assumptions!$B$12)/Projects!$D$25*0.95,0)-IF(AND(Projects!$G$25="Yes",AH$3=Projects!$C$25+Projects!$D$25-1),Projects!$B$25*(Assumptions!$B$10+Assumptions!$B$11+Assumptions!$B$12)*0.05,0)</f>
        <v>0</v>
      </c>
      <c r="AI34" s="30" t="n">
        <f aca="false">IF(AND(Projects!$G$25="Yes",AI$3&gt;=Projects!$C$25,AI$3&lt;Projects!$C$25+Projects!$D$25),Projects!$B$25*INDEX(Curves!$B$4:$AR$4,1,AI$3-Projects!$C$25+1),0)-IF(AND(Projects!$G$25="Yes",AI$3&gt;=Projects!$C$25,AI$3&lt;Projects!$C$25+Projects!$D$25),Projects!$B$25*(Assumptions!$B$10+Assumptions!$B$11+Assumptions!$B$12)/Projects!$D$25*0.95,0)-IF(AND(Projects!$G$25="Yes",AI$3=Projects!$C$25+Projects!$D$25-1),Projects!$B$25*(Assumptions!$B$10+Assumptions!$B$11+Assumptions!$B$12)*0.05,0)</f>
        <v>0</v>
      </c>
      <c r="AJ34" s="30" t="n">
        <f aca="false">IF(AND(Projects!$G$25="Yes",AJ$3&gt;=Projects!$C$25,AJ$3&lt;Projects!$C$25+Projects!$D$25),Projects!$B$25*INDEX(Curves!$B$4:$AR$4,1,AJ$3-Projects!$C$25+1),0)-IF(AND(Projects!$G$25="Yes",AJ$3&gt;=Projects!$C$25,AJ$3&lt;Projects!$C$25+Projects!$D$25),Projects!$B$25*(Assumptions!$B$10+Assumptions!$B$11+Assumptions!$B$12)/Projects!$D$25*0.95,0)-IF(AND(Projects!$G$25="Yes",AJ$3=Projects!$C$25+Projects!$D$25-1),Projects!$B$25*(Assumptions!$B$10+Assumptions!$B$11+Assumptions!$B$12)*0.05,0)</f>
        <v>0</v>
      </c>
      <c r="AK34" s="30" t="n">
        <f aca="false">IF(AND(Projects!$G$25="Yes",AK$3&gt;=Projects!$C$25,AK$3&lt;Projects!$C$25+Projects!$D$25),Projects!$B$25*INDEX(Curves!$B$4:$AR$4,1,AK$3-Projects!$C$25+1),0)-IF(AND(Projects!$G$25="Yes",AK$3&gt;=Projects!$C$25,AK$3&lt;Projects!$C$25+Projects!$D$25),Projects!$B$25*(Assumptions!$B$10+Assumptions!$B$11+Assumptions!$B$12)/Projects!$D$25*0.95,0)-IF(AND(Projects!$G$25="Yes",AK$3=Projects!$C$25+Projects!$D$25-1),Projects!$B$25*(Assumptions!$B$10+Assumptions!$B$11+Assumptions!$B$12)*0.05,0)</f>
        <v>0</v>
      </c>
      <c r="AL34" s="30" t="n">
        <f aca="false">IF(AND(Projects!$G$25="Yes",AL$3&gt;=Projects!$C$25,AL$3&lt;Projects!$C$25+Projects!$D$25),Projects!$B$25*INDEX(Curves!$B$4:$AR$4,1,AL$3-Projects!$C$25+1),0)-IF(AND(Projects!$G$25="Yes",AL$3&gt;=Projects!$C$25,AL$3&lt;Projects!$C$25+Projects!$D$25),Projects!$B$25*(Assumptions!$B$10+Assumptions!$B$11+Assumptions!$B$12)/Projects!$D$25*0.95,0)-IF(AND(Projects!$G$25="Yes",AL$3=Projects!$C$25+Projects!$D$25-1),Projects!$B$25*(Assumptions!$B$10+Assumptions!$B$11+Assumptions!$B$12)*0.05,0)</f>
        <v>0</v>
      </c>
      <c r="AM34" s="30" t="n">
        <f aca="false">IF(AND(Projects!$G$25="Yes",AM$3&gt;=Projects!$C$25,AM$3&lt;Projects!$C$25+Projects!$D$25),Projects!$B$25*INDEX(Curves!$B$4:$AR$4,1,AM$3-Projects!$C$25+1),0)-IF(AND(Projects!$G$25="Yes",AM$3&gt;=Projects!$C$25,AM$3&lt;Projects!$C$25+Projects!$D$25),Projects!$B$25*(Assumptions!$B$10+Assumptions!$B$11+Assumptions!$B$12)/Projects!$D$25*0.95,0)-IF(AND(Projects!$G$25="Yes",AM$3=Projects!$C$25+Projects!$D$25-1),Projects!$B$25*(Assumptions!$B$10+Assumptions!$B$11+Assumptions!$B$12)*0.05,0)</f>
        <v>0</v>
      </c>
      <c r="AN34" s="30" t="n">
        <f aca="false">IF(AND(Projects!$G$25="Yes",AN$3&gt;=Projects!$C$25,AN$3&lt;Projects!$C$25+Projects!$D$25),Projects!$B$25*INDEX(Curves!$B$4:$AR$4,1,AN$3-Projects!$C$25+1),0)-IF(AND(Projects!$G$25="Yes",AN$3&gt;=Projects!$C$25,AN$3&lt;Projects!$C$25+Projects!$D$25),Projects!$B$25*(Assumptions!$B$10+Assumptions!$B$11+Assumptions!$B$12)/Projects!$D$25*0.95,0)-IF(AND(Projects!$G$25="Yes",AN$3=Projects!$C$25+Projects!$D$25-1),Projects!$B$25*(Assumptions!$B$10+Assumptions!$B$11+Assumptions!$B$12)*0.05,0)</f>
        <v>0</v>
      </c>
      <c r="AO34" s="30" t="n">
        <f aca="false">IF(AND(Projects!$G$25="Yes",AO$3&gt;=Projects!$C$25,AO$3&lt;Projects!$C$25+Projects!$D$25),Projects!$B$25*INDEX(Curves!$B$4:$AR$4,1,AO$3-Projects!$C$25+1),0)-IF(AND(Projects!$G$25="Yes",AO$3&gt;=Projects!$C$25,AO$3&lt;Projects!$C$25+Projects!$D$25),Projects!$B$25*(Assumptions!$B$10+Assumptions!$B$11+Assumptions!$B$12)/Projects!$D$25*0.95,0)-IF(AND(Projects!$G$25="Yes",AO$3=Projects!$C$25+Projects!$D$25-1),Projects!$B$25*(Assumptions!$B$10+Assumptions!$B$11+Assumptions!$B$12)*0.05,0)</f>
        <v>0</v>
      </c>
      <c r="AP34" s="30" t="n">
        <f aca="false">IF(AND(Projects!$G$25="Yes",AP$3&gt;=Projects!$C$25,AP$3&lt;Projects!$C$25+Projects!$D$25),Projects!$B$25*INDEX(Curves!$B$4:$AR$4,1,AP$3-Projects!$C$25+1),0)-IF(AND(Projects!$G$25="Yes",AP$3&gt;=Projects!$C$25,AP$3&lt;Projects!$C$25+Projects!$D$25),Projects!$B$25*(Assumptions!$B$10+Assumptions!$B$11+Assumptions!$B$12)/Projects!$D$25*0.95,0)-IF(AND(Projects!$G$25="Yes",AP$3=Projects!$C$25+Projects!$D$25-1),Projects!$B$25*(Assumptions!$B$10+Assumptions!$B$11+Assumptions!$B$12)*0.05,0)</f>
        <v>0</v>
      </c>
      <c r="AQ34" s="30" t="n">
        <f aca="false">IF(AND(Projects!$G$25="Yes",AQ$3&gt;=Projects!$C$25,AQ$3&lt;Projects!$C$25+Projects!$D$25),Projects!$B$25*INDEX(Curves!$B$4:$AR$4,1,AQ$3-Projects!$C$25+1),0)-IF(AND(Projects!$G$25="Yes",AQ$3&gt;=Projects!$C$25,AQ$3&lt;Projects!$C$25+Projects!$D$25),Projects!$B$25*(Assumptions!$B$10+Assumptions!$B$11+Assumptions!$B$12)/Projects!$D$25*0.95,0)-IF(AND(Projects!$G$25="Yes",AQ$3=Projects!$C$25+Projects!$D$25-1),Projects!$B$25*(Assumptions!$B$10+Assumptions!$B$11+Assumptions!$B$12)*0.05,0)</f>
        <v>0</v>
      </c>
      <c r="AR34" s="30" t="n">
        <f aca="false">IF(AND(Projects!$G$25="Yes",AR$3&gt;=Projects!$C$25,AR$3&lt;Projects!$C$25+Projects!$D$25),Projects!$B$25*INDEX(Curves!$B$4:$AR$4,1,AR$3-Projects!$C$25+1),0)-IF(AND(Projects!$G$25="Yes",AR$3&gt;=Projects!$C$25,AR$3&lt;Projects!$C$25+Projects!$D$25),Projects!$B$25*(Assumptions!$B$10+Assumptions!$B$11+Assumptions!$B$12)/Projects!$D$25*0.95,0)-IF(AND(Projects!$G$25="Yes",AR$3=Projects!$C$25+Projects!$D$25-1),Projects!$B$25*(Assumptions!$B$10+Assumptions!$B$11+Assumptions!$B$12)*0.05,0)</f>
        <v>0</v>
      </c>
      <c r="AS34" s="30" t="n">
        <f aca="false">IF(AND(Projects!$G$25="Yes",AS$3&gt;=Projects!$C$25,AS$3&lt;Projects!$C$25+Projects!$D$25),Projects!$B$25*INDEX(Curves!$B$4:$AR$4,1,AS$3-Projects!$C$25+1),0)-IF(AND(Projects!$G$25="Yes",AS$3&gt;=Projects!$C$25,AS$3&lt;Projects!$C$25+Projects!$D$25),Projects!$B$25*(Assumptions!$B$10+Assumptions!$B$11+Assumptions!$B$12)/Projects!$D$25*0.95,0)-IF(AND(Projects!$G$25="Yes",AS$3=Projects!$C$25+Projects!$D$25-1),Projects!$B$25*(Assumptions!$B$10+Assumptions!$B$11+Assumptions!$B$12)*0.05,0)</f>
        <v>0</v>
      </c>
      <c r="AT34" s="30" t="n">
        <f aca="false">IF(AND(Projects!$G$25="Yes",AT$3&gt;=Projects!$C$25,AT$3&lt;Projects!$C$25+Projects!$D$25),Projects!$B$25*INDEX(Curves!$B$4:$AR$4,1,AT$3-Projects!$C$25+1),0)-IF(AND(Projects!$G$25="Yes",AT$3&gt;=Projects!$C$25,AT$3&lt;Projects!$C$25+Projects!$D$25),Projects!$B$25*(Assumptions!$B$10+Assumptions!$B$11+Assumptions!$B$12)/Projects!$D$25*0.95,0)-IF(AND(Projects!$G$25="Yes",AT$3=Projects!$C$25+Projects!$D$25-1),Projects!$B$25*(Assumptions!$B$10+Assumptions!$B$11+Assumptions!$B$12)*0.05,0)</f>
        <v>0</v>
      </c>
      <c r="AU34" s="30" t="n">
        <f aca="false">IF(AND(Projects!$G$25="Yes",AU$3&gt;=Projects!$C$25,AU$3&lt;Projects!$C$25+Projects!$D$25),Projects!$B$25*INDEX(Curves!$B$4:$AR$4,1,AU$3-Projects!$C$25+1),0)-IF(AND(Projects!$G$25="Yes",AU$3&gt;=Projects!$C$25,AU$3&lt;Projects!$C$25+Projects!$D$25),Projects!$B$25*(Assumptions!$B$10+Assumptions!$B$11+Assumptions!$B$12)/Projects!$D$25*0.95,0)-IF(AND(Projects!$G$25="Yes",AU$3=Projects!$C$25+Projects!$D$25-1),Projects!$B$25*(Assumptions!$B$10+Assumptions!$B$11+Assumptions!$B$12)*0.05,0)</f>
        <v>0</v>
      </c>
      <c r="AV34" s="30" t="n">
        <f aca="false">IF(AND(Projects!$G$25="Yes",AV$3&gt;=Projects!$C$25,AV$3&lt;Projects!$C$25+Projects!$D$25),Projects!$B$25*INDEX(Curves!$B$4:$AR$4,1,AV$3-Projects!$C$25+1),0)-IF(AND(Projects!$G$25="Yes",AV$3&gt;=Projects!$C$25,AV$3&lt;Projects!$C$25+Projects!$D$25),Projects!$B$25*(Assumptions!$B$10+Assumptions!$B$11+Assumptions!$B$12)/Projects!$D$25*0.95,0)-IF(AND(Projects!$G$25="Yes",AV$3=Projects!$C$25+Projects!$D$25-1),Projects!$B$25*(Assumptions!$B$10+Assumptions!$B$11+Assumptions!$B$12)*0.05,0)</f>
        <v>0</v>
      </c>
      <c r="AW34" s="30" t="n">
        <f aca="false">IF(AND(Projects!$G$25="Yes",AW$3&gt;=Projects!$C$25,AW$3&lt;Projects!$C$25+Projects!$D$25),Projects!$B$25*INDEX(Curves!$B$4:$AR$4,1,AW$3-Projects!$C$25+1),0)-IF(AND(Projects!$G$25="Yes",AW$3&gt;=Projects!$C$25,AW$3&lt;Projects!$C$25+Projects!$D$25),Projects!$B$25*(Assumptions!$B$10+Assumptions!$B$11+Assumptions!$B$12)/Projects!$D$25*0.95,0)-IF(AND(Projects!$G$25="Yes",AW$3=Projects!$C$25+Projects!$D$25-1),Projects!$B$25*(Assumptions!$B$10+Assumptions!$B$11+Assumptions!$B$12)*0.05,0)</f>
        <v>0</v>
      </c>
      <c r="AX34" s="30" t="n">
        <f aca="false">IF(AND(Projects!$G$25="Yes",AX$3&gt;=Projects!$C$25,AX$3&lt;Projects!$C$25+Projects!$D$25),Projects!$B$25*INDEX(Curves!$B$4:$AR$4,1,AX$3-Projects!$C$25+1),0)-IF(AND(Projects!$G$25="Yes",AX$3&gt;=Projects!$C$25,AX$3&lt;Projects!$C$25+Projects!$D$25),Projects!$B$25*(Assumptions!$B$10+Assumptions!$B$11+Assumptions!$B$12)/Projects!$D$25*0.95,0)-IF(AND(Projects!$G$25="Yes",AX$3=Projects!$C$25+Projects!$D$25-1),Projects!$B$25*(Assumptions!$B$10+Assumptions!$B$11+Assumptions!$B$12)*0.05,0)</f>
        <v>0</v>
      </c>
      <c r="AY34" s="30" t="n">
        <f aca="false">IF(AND(Projects!$G$25="Yes",AY$3&gt;=Projects!$C$25,AY$3&lt;Projects!$C$25+Projects!$D$25),Projects!$B$25*INDEX(Curves!$B$4:$AR$4,1,AY$3-Projects!$C$25+1),0)-IF(AND(Projects!$G$25="Yes",AY$3&gt;=Projects!$C$25,AY$3&lt;Projects!$C$25+Projects!$D$25),Projects!$B$25*(Assumptions!$B$10+Assumptions!$B$11+Assumptions!$B$12)/Projects!$D$25*0.95,0)-IF(AND(Projects!$G$25="Yes",AY$3=Projects!$C$25+Projects!$D$25-1),Projects!$B$25*(Assumptions!$B$10+Assumptions!$B$11+Assumptions!$B$12)*0.05,0)</f>
        <v>0</v>
      </c>
      <c r="AZ34" s="30" t="n">
        <f aca="false">IF(AND(Projects!$G$25="Yes",AZ$3&gt;=Projects!$C$25,AZ$3&lt;Projects!$C$25+Projects!$D$25),Projects!$B$25*INDEX(Curves!$B$4:$AR$4,1,AZ$3-Projects!$C$25+1),0)-IF(AND(Projects!$G$25="Yes",AZ$3&gt;=Projects!$C$25,AZ$3&lt;Projects!$C$25+Projects!$D$25),Projects!$B$25*(Assumptions!$B$10+Assumptions!$B$11+Assumptions!$B$12)/Projects!$D$25*0.95,0)-IF(AND(Projects!$G$25="Yes",AZ$3=Projects!$C$25+Projects!$D$25-1),Projects!$B$25*(Assumptions!$B$10+Assumptions!$B$11+Assumptions!$B$12)*0.05,0)</f>
        <v>0</v>
      </c>
      <c r="BA34" s="30" t="n">
        <f aca="false">IF(AND(Projects!$G$25="Yes",BA$3&gt;=Projects!$C$25,BA$3&lt;Projects!$C$25+Projects!$D$25),Projects!$B$25*INDEX(Curves!$B$4:$AR$4,1,BA$3-Projects!$C$25+1),0)-IF(AND(Projects!$G$25="Yes",BA$3&gt;=Projects!$C$25,BA$3&lt;Projects!$C$25+Projects!$D$25),Projects!$B$25*(Assumptions!$B$10+Assumptions!$B$11+Assumptions!$B$12)/Projects!$D$25*0.95,0)-IF(AND(Projects!$G$25="Yes",BA$3=Projects!$C$25+Projects!$D$25-1),Projects!$B$25*(Assumptions!$B$10+Assumptions!$B$11+Assumptions!$B$12)*0.05,0)</f>
        <v>0</v>
      </c>
      <c r="BB34" s="30" t="n">
        <f aca="false">IF(AND(Projects!$G$25="Yes",BB$3&gt;=Projects!$C$25,BB$3&lt;Projects!$C$25+Projects!$D$25),Projects!$B$25*INDEX(Curves!$B$4:$AR$4,1,BB$3-Projects!$C$25+1),0)-IF(AND(Projects!$G$25="Yes",BB$3&gt;=Projects!$C$25,BB$3&lt;Projects!$C$25+Projects!$D$25),Projects!$B$25*(Assumptions!$B$10+Assumptions!$B$11+Assumptions!$B$12)/Projects!$D$25*0.95,0)-IF(AND(Projects!$G$25="Yes",BB$3=Projects!$C$25+Projects!$D$25-1),Projects!$B$25*(Assumptions!$B$10+Assumptions!$B$11+Assumptions!$B$12)*0.05,0)</f>
        <v>0</v>
      </c>
      <c r="BC34" s="30" t="n">
        <f aca="false">IF(AND(Projects!$G$25="Yes",BC$3&gt;=Projects!$C$25,BC$3&lt;Projects!$C$25+Projects!$D$25),Projects!$B$25*INDEX(Curves!$B$4:$AR$4,1,BC$3-Projects!$C$25+1),0)-IF(AND(Projects!$G$25="Yes",BC$3&gt;=Projects!$C$25,BC$3&lt;Projects!$C$25+Projects!$D$25),Projects!$B$25*(Assumptions!$B$10+Assumptions!$B$11+Assumptions!$B$12)/Projects!$D$25*0.95,0)-IF(AND(Projects!$G$25="Yes",BC$3=Projects!$C$25+Projects!$D$25-1),Projects!$B$25*(Assumptions!$B$10+Assumptions!$B$11+Assumptions!$B$12)*0.05,0)</f>
        <v>0</v>
      </c>
      <c r="BD34" s="30" t="n">
        <f aca="false">IF(AND(Projects!$G$25="Yes",BD$3&gt;=Projects!$C$25,BD$3&lt;Projects!$C$25+Projects!$D$25),Projects!$B$25*INDEX(Curves!$B$4:$AR$4,1,BD$3-Projects!$C$25+1),0)-IF(AND(Projects!$G$25="Yes",BD$3&gt;=Projects!$C$25,BD$3&lt;Projects!$C$25+Projects!$D$25),Projects!$B$25*(Assumptions!$B$10+Assumptions!$B$11+Assumptions!$B$12)/Projects!$D$25*0.95,0)-IF(AND(Projects!$G$25="Yes",BD$3=Projects!$C$25+Projects!$D$25-1),Projects!$B$25*(Assumptions!$B$10+Assumptions!$B$11+Assumptions!$B$12)*0.05,0)</f>
        <v>0</v>
      </c>
      <c r="BE34" s="30" t="n">
        <f aca="false">IF(AND(Projects!$G$25="Yes",BE$3&gt;=Projects!$C$25,BE$3&lt;Projects!$C$25+Projects!$D$25),Projects!$B$25*INDEX(Curves!$B$4:$AR$4,1,BE$3-Projects!$C$25+1),0)-IF(AND(Projects!$G$25="Yes",BE$3&gt;=Projects!$C$25,BE$3&lt;Projects!$C$25+Projects!$D$25),Projects!$B$25*(Assumptions!$B$10+Assumptions!$B$11+Assumptions!$B$12)/Projects!$D$25*0.95,0)-IF(AND(Projects!$G$25="Yes",BE$3=Projects!$C$25+Projects!$D$25-1),Projects!$B$25*(Assumptions!$B$10+Assumptions!$B$11+Assumptions!$B$12)*0.05,0)</f>
        <v>0</v>
      </c>
      <c r="BF34" s="30" t="n">
        <f aca="false">IF(AND(Projects!$G$25="Yes",BF$3&gt;=Projects!$C$25,BF$3&lt;Projects!$C$25+Projects!$D$25),Projects!$B$25*INDEX(Curves!$B$4:$AR$4,1,BF$3-Projects!$C$25+1),0)-IF(AND(Projects!$G$25="Yes",BF$3&gt;=Projects!$C$25,BF$3&lt;Projects!$C$25+Projects!$D$25),Projects!$B$25*(Assumptions!$B$10+Assumptions!$B$11+Assumptions!$B$12)/Projects!$D$25*0.95,0)-IF(AND(Projects!$G$25="Yes",BF$3=Projects!$C$25+Projects!$D$25-1),Projects!$B$25*(Assumptions!$B$10+Assumptions!$B$11+Assumptions!$B$12)*0.05,0)</f>
        <v>0</v>
      </c>
      <c r="BG34" s="30" t="n">
        <f aca="false">IF(AND(Projects!$G$25="Yes",BG$3&gt;=Projects!$C$25,BG$3&lt;Projects!$C$25+Projects!$D$25),Projects!$B$25*INDEX(Curves!$B$4:$AR$4,1,BG$3-Projects!$C$25+1),0)-IF(AND(Projects!$G$25="Yes",BG$3&gt;=Projects!$C$25,BG$3&lt;Projects!$C$25+Projects!$D$25),Projects!$B$25*(Assumptions!$B$10+Assumptions!$B$11+Assumptions!$B$12)/Projects!$D$25*0.95,0)-IF(AND(Projects!$G$25="Yes",BG$3=Projects!$C$25+Projects!$D$25-1),Projects!$B$25*(Assumptions!$B$10+Assumptions!$B$11+Assumptions!$B$12)*0.05,0)</f>
        <v>0</v>
      </c>
      <c r="BH34" s="30" t="n">
        <f aca="false">IF(AND(Projects!$G$25="Yes",BH$3&gt;=Projects!$C$25,BH$3&lt;Projects!$C$25+Projects!$D$25),Projects!$B$25*INDEX(Curves!$B$4:$AR$4,1,BH$3-Projects!$C$25+1),0)-IF(AND(Projects!$G$25="Yes",BH$3&gt;=Projects!$C$25,BH$3&lt;Projects!$C$25+Projects!$D$25),Projects!$B$25*(Assumptions!$B$10+Assumptions!$B$11+Assumptions!$B$12)/Projects!$D$25*0.95,0)-IF(AND(Projects!$G$25="Yes",BH$3=Projects!$C$25+Projects!$D$25-1),Projects!$B$25*(Assumptions!$B$10+Assumptions!$B$11+Assumptions!$B$12)*0.05,0)</f>
        <v>0</v>
      </c>
      <c r="BI34" s="30" t="n">
        <f aca="false">IF(AND(Projects!$G$25="Yes",BI$3&gt;=Projects!$C$25,BI$3&lt;Projects!$C$25+Projects!$D$25),Projects!$B$25*INDEX(Curves!$B$4:$AR$4,1,BI$3-Projects!$C$25+1),0)-IF(AND(Projects!$G$25="Yes",BI$3&gt;=Projects!$C$25,BI$3&lt;Projects!$C$25+Projects!$D$25),Projects!$B$25*(Assumptions!$B$10+Assumptions!$B$11+Assumptions!$B$12)/Projects!$D$25*0.95,0)-IF(AND(Projects!$G$25="Yes",BI$3=Projects!$C$25+Projects!$D$25-1),Projects!$B$25*(Assumptions!$B$10+Assumptions!$B$11+Assumptions!$B$12)*0.05,0)</f>
        <v>0</v>
      </c>
      <c r="BJ34" s="30" t="n">
        <f aca="false">IF(AND(Projects!$G$25="Yes",BJ$3&gt;=Projects!$C$25,BJ$3&lt;Projects!$C$25+Projects!$D$25),Projects!$B$25*INDEX(Curves!$B$4:$AR$4,1,BJ$3-Projects!$C$25+1),0)-IF(AND(Projects!$G$25="Yes",BJ$3&gt;=Projects!$C$25,BJ$3&lt;Projects!$C$25+Projects!$D$25),Projects!$B$25*(Assumptions!$B$10+Assumptions!$B$11+Assumptions!$B$12)/Projects!$D$25*0.95,0)-IF(AND(Projects!$G$25="Yes",BJ$3=Projects!$C$25+Projects!$D$25-1),Projects!$B$25*(Assumptions!$B$10+Assumptions!$B$11+Assumptions!$B$12)*0.05,0)</f>
        <v>0</v>
      </c>
      <c r="BK34" s="30" t="n">
        <f aca="false">IF(AND(Projects!$G$25="Yes",BK$3&gt;=Projects!$C$25,BK$3&lt;Projects!$C$25+Projects!$D$25),Projects!$B$25*INDEX(Curves!$B$4:$AR$4,1,BK$3-Projects!$C$25+1),0)-IF(AND(Projects!$G$25="Yes",BK$3&gt;=Projects!$C$25,BK$3&lt;Projects!$C$25+Projects!$D$25),Projects!$B$25*(Assumptions!$B$10+Assumptions!$B$11+Assumptions!$B$12)/Projects!$D$25*0.95,0)-IF(AND(Projects!$G$25="Yes",BK$3=Projects!$C$25+Projects!$D$25-1),Projects!$B$25*(Assumptions!$B$10+Assumptions!$B$11+Assumptions!$B$12)*0.05,0)</f>
        <v>0</v>
      </c>
      <c r="BL34" s="30" t="n">
        <f aca="false">IF(AND(Projects!$G$25="Yes",BL$3&gt;=Projects!$C$25,BL$3&lt;Projects!$C$25+Projects!$D$25),Projects!$B$25*INDEX(Curves!$B$4:$AR$4,1,BL$3-Projects!$C$25+1),0)-IF(AND(Projects!$G$25="Yes",BL$3&gt;=Projects!$C$25,BL$3&lt;Projects!$C$25+Projects!$D$25),Projects!$B$25*(Assumptions!$B$10+Assumptions!$B$11+Assumptions!$B$12)/Projects!$D$25*0.95,0)-IF(AND(Projects!$G$25="Yes",BL$3=Projects!$C$25+Projects!$D$25-1),Projects!$B$25*(Assumptions!$B$10+Assumptions!$B$11+Assumptions!$B$12)*0.05,0)</f>
        <v>0</v>
      </c>
      <c r="BM34" s="30" t="n">
        <f aca="false">IF(AND(Projects!$G$25="Yes",BM$3&gt;=Projects!$C$25,BM$3&lt;Projects!$C$25+Projects!$D$25),Projects!$B$25*INDEX(Curves!$B$4:$AR$4,1,BM$3-Projects!$C$25+1),0)-IF(AND(Projects!$G$25="Yes",BM$3&gt;=Projects!$C$25,BM$3&lt;Projects!$C$25+Projects!$D$25),Projects!$B$25*(Assumptions!$B$10+Assumptions!$B$11+Assumptions!$B$12)/Projects!$D$25*0.95,0)-IF(AND(Projects!$G$25="Yes",BM$3=Projects!$C$25+Projects!$D$25-1),Projects!$B$25*(Assumptions!$B$10+Assumptions!$B$11+Assumptions!$B$12)*0.05,0)</f>
        <v>0</v>
      </c>
      <c r="BN34" s="30" t="n">
        <f aca="false">IF(AND(Projects!$G$25="Yes",BN$3&gt;=Projects!$C$25,BN$3&lt;Projects!$C$25+Projects!$D$25),Projects!$B$25*INDEX(Curves!$B$4:$AR$4,1,BN$3-Projects!$C$25+1),0)-IF(AND(Projects!$G$25="Yes",BN$3&gt;=Projects!$C$25,BN$3&lt;Projects!$C$25+Projects!$D$25),Projects!$B$25*(Assumptions!$B$10+Assumptions!$B$11+Assumptions!$B$12)/Projects!$D$25*0.95,0)-IF(AND(Projects!$G$25="Yes",BN$3=Projects!$C$25+Projects!$D$25-1),Projects!$B$25*(Assumptions!$B$10+Assumptions!$B$11+Assumptions!$B$12)*0.05,0)</f>
        <v>0</v>
      </c>
      <c r="BO34" s="30" t="n">
        <f aca="false">IF(AND(Projects!$G$25="Yes",BO$3&gt;=Projects!$C$25,BO$3&lt;Projects!$C$25+Projects!$D$25),Projects!$B$25*INDEX(Curves!$B$4:$AR$4,1,BO$3-Projects!$C$25+1),0)-IF(AND(Projects!$G$25="Yes",BO$3&gt;=Projects!$C$25,BO$3&lt;Projects!$C$25+Projects!$D$25),Projects!$B$25*(Assumptions!$B$10+Assumptions!$B$11+Assumptions!$B$12)/Projects!$D$25*0.95,0)-IF(AND(Projects!$G$25="Yes",BO$3=Projects!$C$25+Projects!$D$25-1),Projects!$B$25*(Assumptions!$B$10+Assumptions!$B$11+Assumptions!$B$12)*0.05,0)</f>
        <v>0</v>
      </c>
      <c r="BP34" s="30" t="n">
        <f aca="false">IF(AND(Projects!$G$25="Yes",BP$3&gt;=Projects!$C$25,BP$3&lt;Projects!$C$25+Projects!$D$25),Projects!$B$25*INDEX(Curves!$B$4:$AR$4,1,BP$3-Projects!$C$25+1),0)-IF(AND(Projects!$G$25="Yes",BP$3&gt;=Projects!$C$25,BP$3&lt;Projects!$C$25+Projects!$D$25),Projects!$B$25*(Assumptions!$B$10+Assumptions!$B$11+Assumptions!$B$12)/Projects!$D$25*0.95,0)-IF(AND(Projects!$G$25="Yes",BP$3=Projects!$C$25+Projects!$D$25-1),Projects!$B$25*(Assumptions!$B$10+Assumptions!$B$11+Assumptions!$B$12)*0.05,0)</f>
        <v>0</v>
      </c>
      <c r="BQ34" s="30" t="n">
        <f aca="false">IF(AND(Projects!$G$25="Yes",BQ$3&gt;=Projects!$C$25,BQ$3&lt;Projects!$C$25+Projects!$D$25),Projects!$B$25*INDEX(Curves!$B$4:$AR$4,1,BQ$3-Projects!$C$25+1),0)-IF(AND(Projects!$G$25="Yes",BQ$3&gt;=Projects!$C$25,BQ$3&lt;Projects!$C$25+Projects!$D$25),Projects!$B$25*(Assumptions!$B$10+Assumptions!$B$11+Assumptions!$B$12)/Projects!$D$25*0.95,0)-IF(AND(Projects!$G$25="Yes",BQ$3=Projects!$C$25+Projects!$D$25-1),Projects!$B$25*(Assumptions!$B$10+Assumptions!$B$11+Assumptions!$B$12)*0.05,0)</f>
        <v>0</v>
      </c>
      <c r="BR34" s="30" t="n">
        <f aca="false">IF(AND(Projects!$G$25="Yes",BR$3&gt;=Projects!$C$25,BR$3&lt;Projects!$C$25+Projects!$D$25),Projects!$B$25*INDEX(Curves!$B$4:$AR$4,1,BR$3-Projects!$C$25+1),0)-IF(AND(Projects!$G$25="Yes",BR$3&gt;=Projects!$C$25,BR$3&lt;Projects!$C$25+Projects!$D$25),Projects!$B$25*(Assumptions!$B$10+Assumptions!$B$11+Assumptions!$B$12)/Projects!$D$25*0.95,0)-IF(AND(Projects!$G$25="Yes",BR$3=Projects!$C$25+Projects!$D$25-1),Projects!$B$25*(Assumptions!$B$10+Assumptions!$B$11+Assumptions!$B$12)*0.05,0)</f>
        <v>0</v>
      </c>
      <c r="BS34" s="30" t="n">
        <f aca="false">IF(AND(Projects!$G$25="Yes",BS$3&gt;=Projects!$C$25,BS$3&lt;Projects!$C$25+Projects!$D$25),Projects!$B$25*INDEX(Curves!$B$4:$AR$4,1,BS$3-Projects!$C$25+1),0)-IF(AND(Projects!$G$25="Yes",BS$3&gt;=Projects!$C$25,BS$3&lt;Projects!$C$25+Projects!$D$25),Projects!$B$25*(Assumptions!$B$10+Assumptions!$B$11+Assumptions!$B$12)/Projects!$D$25*0.95,0)-IF(AND(Projects!$G$25="Yes",BS$3=Projects!$C$25+Projects!$D$25-1),Projects!$B$25*(Assumptions!$B$10+Assumptions!$B$11+Assumptions!$B$12)*0.05,0)</f>
        <v>0</v>
      </c>
      <c r="BT34" s="30" t="n">
        <f aca="false">IF(AND(Projects!$G$25="Yes",BT$3&gt;=Projects!$C$25,BT$3&lt;Projects!$C$25+Projects!$D$25),Projects!$B$25*INDEX(Curves!$B$4:$AR$4,1,BT$3-Projects!$C$25+1),0)-IF(AND(Projects!$G$25="Yes",BT$3&gt;=Projects!$C$25,BT$3&lt;Projects!$C$25+Projects!$D$25),Projects!$B$25*(Assumptions!$B$10+Assumptions!$B$11+Assumptions!$B$12)/Projects!$D$25*0.95,0)-IF(AND(Projects!$G$25="Yes",BT$3=Projects!$C$25+Projects!$D$25-1),Projects!$B$25*(Assumptions!$B$10+Assumptions!$B$11+Assumptions!$B$12)*0.05,0)</f>
        <v>0</v>
      </c>
      <c r="BU34" s="30" t="n">
        <f aca="false">IF(AND(Projects!$G$25="Yes",BU$3&gt;=Projects!$C$25,BU$3&lt;Projects!$C$25+Projects!$D$25),Projects!$B$25*INDEX(Curves!$B$4:$AR$4,1,BU$3-Projects!$C$25+1),0)-IF(AND(Projects!$G$25="Yes",BU$3&gt;=Projects!$C$25,BU$3&lt;Projects!$C$25+Projects!$D$25),Projects!$B$25*(Assumptions!$B$10+Assumptions!$B$11+Assumptions!$B$12)/Projects!$D$25*0.95,0)-IF(AND(Projects!$G$25="Yes",BU$3=Projects!$C$25+Projects!$D$25-1),Projects!$B$25*(Assumptions!$B$10+Assumptions!$B$11+Assumptions!$B$12)*0.05,0)</f>
        <v>0</v>
      </c>
      <c r="BV34" s="30" t="n">
        <f aca="false">IF(AND(Projects!$G$25="Yes",BV$3&gt;=Projects!$C$25,BV$3&lt;Projects!$C$25+Projects!$D$25),Projects!$B$25*INDEX(Curves!$B$4:$AR$4,1,BV$3-Projects!$C$25+1),0)-IF(AND(Projects!$G$25="Yes",BV$3&gt;=Projects!$C$25,BV$3&lt;Projects!$C$25+Projects!$D$25),Projects!$B$25*(Assumptions!$B$10+Assumptions!$B$11+Assumptions!$B$12)/Projects!$D$25*0.95,0)-IF(AND(Projects!$G$25="Yes",BV$3=Projects!$C$25+Projects!$D$25-1),Projects!$B$25*(Assumptions!$B$10+Assumptions!$B$11+Assumptions!$B$12)*0.05,0)</f>
        <v>0</v>
      </c>
      <c r="BW34" s="30" t="n">
        <f aca="false">IF(AND(Projects!$G$25="Yes",BW$3&gt;=Projects!$C$25,BW$3&lt;Projects!$C$25+Projects!$D$25),Projects!$B$25*INDEX(Curves!$B$4:$AR$4,1,BW$3-Projects!$C$25+1),0)-IF(AND(Projects!$G$25="Yes",BW$3&gt;=Projects!$C$25,BW$3&lt;Projects!$C$25+Projects!$D$25),Projects!$B$25*(Assumptions!$B$10+Assumptions!$B$11+Assumptions!$B$12)/Projects!$D$25*0.95,0)-IF(AND(Projects!$G$25="Yes",BW$3=Projects!$C$25+Projects!$D$25-1),Projects!$B$25*(Assumptions!$B$10+Assumptions!$B$11+Assumptions!$B$12)*0.05,0)</f>
        <v>0</v>
      </c>
      <c r="BX34" s="30" t="n">
        <f aca="false">IF(AND(Projects!$G$25="Yes",BX$3&gt;=Projects!$C$25,BX$3&lt;Projects!$C$25+Projects!$D$25),Projects!$B$25*INDEX(Curves!$B$4:$AR$4,1,BX$3-Projects!$C$25+1),0)-IF(AND(Projects!$G$25="Yes",BX$3&gt;=Projects!$C$25,BX$3&lt;Projects!$C$25+Projects!$D$25),Projects!$B$25*(Assumptions!$B$10+Assumptions!$B$11+Assumptions!$B$12)/Projects!$D$25*0.95,0)-IF(AND(Projects!$G$25="Yes",BX$3=Projects!$C$25+Projects!$D$25-1),Projects!$B$25*(Assumptions!$B$10+Assumptions!$B$11+Assumptions!$B$12)*0.05,0)</f>
        <v>0</v>
      </c>
      <c r="BY34" s="30" t="n">
        <f aca="false">IF(AND(Projects!$G$25="Yes",BY$3&gt;=Projects!$C$25,BY$3&lt;Projects!$C$25+Projects!$D$25),Projects!$B$25*INDEX(Curves!$B$4:$AR$4,1,BY$3-Projects!$C$25+1),0)-IF(AND(Projects!$G$25="Yes",BY$3&gt;=Projects!$C$25,BY$3&lt;Projects!$C$25+Projects!$D$25),Projects!$B$25*(Assumptions!$B$10+Assumptions!$B$11+Assumptions!$B$12)/Projects!$D$25*0.95,0)-IF(AND(Projects!$G$25="Yes",BY$3=Projects!$C$25+Projects!$D$25-1),Projects!$B$25*(Assumptions!$B$10+Assumptions!$B$11+Assumptions!$B$12)*0.05,0)</f>
        <v>0</v>
      </c>
      <c r="BZ34" s="30" t="n">
        <f aca="false">IF(AND(Projects!$G$25="Yes",BZ$3&gt;=Projects!$C$25,BZ$3&lt;Projects!$C$25+Projects!$D$25),Projects!$B$25*INDEX(Curves!$B$4:$AR$4,1,BZ$3-Projects!$C$25+1),0)-IF(AND(Projects!$G$25="Yes",BZ$3&gt;=Projects!$C$25,BZ$3&lt;Projects!$C$25+Projects!$D$25),Projects!$B$25*(Assumptions!$B$10+Assumptions!$B$11+Assumptions!$B$12)/Projects!$D$25*0.95,0)-IF(AND(Projects!$G$25="Yes",BZ$3=Projects!$C$25+Projects!$D$25-1),Projects!$B$25*(Assumptions!$B$10+Assumptions!$B$11+Assumptions!$B$12)*0.05,0)</f>
        <v>0</v>
      </c>
      <c r="CA34" s="30" t="n">
        <f aca="false">IF(AND(Projects!$G$25="Yes",CA$3&gt;=Projects!$C$25,CA$3&lt;Projects!$C$25+Projects!$D$25),Projects!$B$25*INDEX(Curves!$B$4:$AR$4,1,CA$3-Projects!$C$25+1),0)-IF(AND(Projects!$G$25="Yes",CA$3&gt;=Projects!$C$25,CA$3&lt;Projects!$C$25+Projects!$D$25),Projects!$B$25*(Assumptions!$B$10+Assumptions!$B$11+Assumptions!$B$12)/Projects!$D$25*0.95,0)-IF(AND(Projects!$G$25="Yes",CA$3=Projects!$C$25+Projects!$D$25-1),Projects!$B$25*(Assumptions!$B$10+Assumptions!$B$11+Assumptions!$B$12)*0.05,0)</f>
        <v>0</v>
      </c>
      <c r="CB34" s="30" t="n">
        <f aca="false">IF(AND(Projects!$G$25="Yes",CB$3&gt;=Projects!$C$25,CB$3&lt;Projects!$C$25+Projects!$D$25),Projects!$B$25*INDEX(Curves!$B$4:$AR$4,1,CB$3-Projects!$C$25+1),0)-IF(AND(Projects!$G$25="Yes",CB$3&gt;=Projects!$C$25,CB$3&lt;Projects!$C$25+Projects!$D$25),Projects!$B$25*(Assumptions!$B$10+Assumptions!$B$11+Assumptions!$B$12)/Projects!$D$25*0.95,0)-IF(AND(Projects!$G$25="Yes",CB$3=Projects!$C$25+Projects!$D$25-1),Projects!$B$25*(Assumptions!$B$10+Assumptions!$B$11+Assumptions!$B$12)*0.05,0)</f>
        <v>0</v>
      </c>
      <c r="CC34" s="30" t="n">
        <f aca="false">IF(AND(Projects!$G$25="Yes",CC$3&gt;=Projects!$C$25,CC$3&lt;Projects!$C$25+Projects!$D$25),Projects!$B$25*INDEX(Curves!$B$4:$AR$4,1,CC$3-Projects!$C$25+1),0)-IF(AND(Projects!$G$25="Yes",CC$3&gt;=Projects!$C$25,CC$3&lt;Projects!$C$25+Projects!$D$25),Projects!$B$25*(Assumptions!$B$10+Assumptions!$B$11+Assumptions!$B$12)/Projects!$D$25*0.95,0)-IF(AND(Projects!$G$25="Yes",CC$3=Projects!$C$25+Projects!$D$25-1),Projects!$B$25*(Assumptions!$B$10+Assumptions!$B$11+Assumptions!$B$12)*0.05,0)</f>
        <v>0</v>
      </c>
      <c r="CD34" s="30" t="n">
        <f aca="false">IF(AND(Projects!$G$25="Yes",CD$3&gt;=Projects!$C$25,CD$3&lt;Projects!$C$25+Projects!$D$25),Projects!$B$25*INDEX(Curves!$B$4:$AR$4,1,CD$3-Projects!$C$25+1),0)-IF(AND(Projects!$G$25="Yes",CD$3&gt;=Projects!$C$25,CD$3&lt;Projects!$C$25+Projects!$D$25),Projects!$B$25*(Assumptions!$B$10+Assumptions!$B$11+Assumptions!$B$12)/Projects!$D$25*0.95,0)-IF(AND(Projects!$G$25="Yes",CD$3=Projects!$C$25+Projects!$D$25-1),Projects!$B$25*(Assumptions!$B$10+Assumptions!$B$11+Assumptions!$B$12)*0.05,0)</f>
        <v>0</v>
      </c>
      <c r="CE34" s="30" t="n">
        <f aca="false">IF(AND(Projects!$G$25="Yes",CE$3&gt;=Projects!$C$25,CE$3&lt;Projects!$C$25+Projects!$D$25),Projects!$B$25*INDEX(Curves!$B$4:$AR$4,1,CE$3-Projects!$C$25+1),0)-IF(AND(Projects!$G$25="Yes",CE$3&gt;=Projects!$C$25,CE$3&lt;Projects!$C$25+Projects!$D$25),Projects!$B$25*(Assumptions!$B$10+Assumptions!$B$11+Assumptions!$B$12)/Projects!$D$25*0.95,0)-IF(AND(Projects!$G$25="Yes",CE$3=Projects!$C$25+Projects!$D$25-1),Projects!$B$25*(Assumptions!$B$10+Assumptions!$B$11+Assumptions!$B$12)*0.05,0)</f>
        <v>0</v>
      </c>
      <c r="CF34" s="30" t="n">
        <f aca="false">IF(AND(Projects!$G$25="Yes",CF$3&gt;=Projects!$C$25,CF$3&lt;Projects!$C$25+Projects!$D$25),Projects!$B$25*INDEX(Curves!$B$4:$AR$4,1,CF$3-Projects!$C$25+1),0)-IF(AND(Projects!$G$25="Yes",CF$3&gt;=Projects!$C$25,CF$3&lt;Projects!$C$25+Projects!$D$25),Projects!$B$25*(Assumptions!$B$10+Assumptions!$B$11+Assumptions!$B$12)/Projects!$D$25*0.95,0)-IF(AND(Projects!$G$25="Yes",CF$3=Projects!$C$25+Projects!$D$25-1),Projects!$B$25*(Assumptions!$B$10+Assumptions!$B$11+Assumptions!$B$12)*0.05,0)</f>
        <v>0</v>
      </c>
      <c r="CG34" s="30" t="n">
        <f aca="false">IF(AND(Projects!$G$25="Yes",CG$3&gt;=Projects!$C$25,CG$3&lt;Projects!$C$25+Projects!$D$25),Projects!$B$25*INDEX(Curves!$B$4:$AR$4,1,CG$3-Projects!$C$25+1),0)-IF(AND(Projects!$G$25="Yes",CG$3&gt;=Projects!$C$25,CG$3&lt;Projects!$C$25+Projects!$D$25),Projects!$B$25*(Assumptions!$B$10+Assumptions!$B$11+Assumptions!$B$12)/Projects!$D$25*0.95,0)-IF(AND(Projects!$G$25="Yes",CG$3=Projects!$C$25+Projects!$D$25-1),Projects!$B$25*(Assumptions!$B$10+Assumptions!$B$11+Assumptions!$B$12)*0.05,0)</f>
        <v>0</v>
      </c>
      <c r="CH34" s="30" t="n">
        <f aca="false">IF(AND(Projects!$G$25="Yes",CH$3&gt;=Projects!$C$25,CH$3&lt;Projects!$C$25+Projects!$D$25),Projects!$B$25*INDEX(Curves!$B$4:$AR$4,1,CH$3-Projects!$C$25+1),0)-IF(AND(Projects!$G$25="Yes",CH$3&gt;=Projects!$C$25,CH$3&lt;Projects!$C$25+Projects!$D$25),Projects!$B$25*(Assumptions!$B$10+Assumptions!$B$11+Assumptions!$B$12)/Projects!$D$25*0.95,0)-IF(AND(Projects!$G$25="Yes",CH$3=Projects!$C$25+Projects!$D$25-1),Projects!$B$25*(Assumptions!$B$10+Assumptions!$B$11+Assumptions!$B$12)*0.05,0)</f>
        <v>0</v>
      </c>
      <c r="CI34" s="30" t="n">
        <f aca="false">IF(AND(Projects!$G$25="Yes",CI$3&gt;=Projects!$C$25,CI$3&lt;Projects!$C$25+Projects!$D$25),Projects!$B$25*INDEX(Curves!$B$4:$AR$4,1,CI$3-Projects!$C$25+1),0)-IF(AND(Projects!$G$25="Yes",CI$3&gt;=Projects!$C$25,CI$3&lt;Projects!$C$25+Projects!$D$25),Projects!$B$25*(Assumptions!$B$10+Assumptions!$B$11+Assumptions!$B$12)/Projects!$D$25*0.95,0)-IF(AND(Projects!$G$25="Yes",CI$3=Projects!$C$25+Projects!$D$25-1),Projects!$B$25*(Assumptions!$B$10+Assumptions!$B$11+Assumptions!$B$12)*0.05,0)</f>
        <v>0</v>
      </c>
      <c r="CJ34" s="30" t="n">
        <f aca="false">IF(AND(Projects!$G$25="Yes",CJ$3&gt;=Projects!$C$25,CJ$3&lt;Projects!$C$25+Projects!$D$25),Projects!$B$25*INDEX(Curves!$B$4:$AR$4,1,CJ$3-Projects!$C$25+1),0)-IF(AND(Projects!$G$25="Yes",CJ$3&gt;=Projects!$C$25,CJ$3&lt;Projects!$C$25+Projects!$D$25),Projects!$B$25*(Assumptions!$B$10+Assumptions!$B$11+Assumptions!$B$12)/Projects!$D$25*0.95,0)-IF(AND(Projects!$G$25="Yes",CJ$3=Projects!$C$25+Projects!$D$25-1),Projects!$B$25*(Assumptions!$B$10+Assumptions!$B$11+Assumptions!$B$12)*0.05,0)</f>
        <v>0</v>
      </c>
      <c r="CK34" s="30" t="n">
        <f aca="false">IF(AND(Projects!$G$25="Yes",CK$3&gt;=Projects!$C$25,CK$3&lt;Projects!$C$25+Projects!$D$25),Projects!$B$25*INDEX(Curves!$B$4:$AR$4,1,CK$3-Projects!$C$25+1),0)-IF(AND(Projects!$G$25="Yes",CK$3&gt;=Projects!$C$25,CK$3&lt;Projects!$C$25+Projects!$D$25),Projects!$B$25*(Assumptions!$B$10+Assumptions!$B$11+Assumptions!$B$12)/Projects!$D$25*0.95,0)-IF(AND(Projects!$G$25="Yes",CK$3=Projects!$C$25+Projects!$D$25-1),Projects!$B$25*(Assumptions!$B$10+Assumptions!$B$11+Assumptions!$B$12)*0.05,0)</f>
        <v>0</v>
      </c>
      <c r="CL34" s="30" t="n">
        <f aca="false">IF(AND(Projects!$G$25="Yes",CL$3&gt;=Projects!$C$25,CL$3&lt;Projects!$C$25+Projects!$D$25),Projects!$B$25*INDEX(Curves!$B$4:$AR$4,1,CL$3-Projects!$C$25+1),0)-IF(AND(Projects!$G$25="Yes",CL$3&gt;=Projects!$C$25,CL$3&lt;Projects!$C$25+Projects!$D$25),Projects!$B$25*(Assumptions!$B$10+Assumptions!$B$11+Assumptions!$B$12)/Projects!$D$25*0.95,0)-IF(AND(Projects!$G$25="Yes",CL$3=Projects!$C$25+Projects!$D$25-1),Projects!$B$25*(Assumptions!$B$10+Assumptions!$B$11+Assumptions!$B$12)*0.05,0)</f>
        <v>0</v>
      </c>
      <c r="CM34" s="30" t="n">
        <f aca="false">IF(AND(Projects!$G$25="Yes",CM$3&gt;=Projects!$C$25,CM$3&lt;Projects!$C$25+Projects!$D$25),Projects!$B$25*INDEX(Curves!$B$4:$AR$4,1,CM$3-Projects!$C$25+1),0)-IF(AND(Projects!$G$25="Yes",CM$3&gt;=Projects!$C$25,CM$3&lt;Projects!$C$25+Projects!$D$25),Projects!$B$25*(Assumptions!$B$10+Assumptions!$B$11+Assumptions!$B$12)/Projects!$D$25*0.95,0)-IF(AND(Projects!$G$25="Yes",CM$3=Projects!$C$25+Projects!$D$25-1),Projects!$B$25*(Assumptions!$B$10+Assumptions!$B$11+Assumptions!$B$12)*0.05,0)</f>
        <v>0</v>
      </c>
      <c r="CN34" s="30" t="n">
        <f aca="false">IF(AND(Projects!$G$25="Yes",CN$3&gt;=Projects!$C$25,CN$3&lt;Projects!$C$25+Projects!$D$25),Projects!$B$25*INDEX(Curves!$B$4:$AR$4,1,CN$3-Projects!$C$25+1),0)-IF(AND(Projects!$G$25="Yes",CN$3&gt;=Projects!$C$25,CN$3&lt;Projects!$C$25+Projects!$D$25),Projects!$B$25*(Assumptions!$B$10+Assumptions!$B$11+Assumptions!$B$12)/Projects!$D$25*0.95,0)-IF(AND(Projects!$G$25="Yes",CN$3=Projects!$C$25+Projects!$D$25-1),Projects!$B$25*(Assumptions!$B$10+Assumptions!$B$11+Assumptions!$B$12)*0.05,0)</f>
        <v>0</v>
      </c>
      <c r="CO34" s="30" t="n">
        <f aca="false">IF(AND(Projects!$G$25="Yes",CO$3&gt;=Projects!$C$25,CO$3&lt;Projects!$C$25+Projects!$D$25),Projects!$B$25*INDEX(Curves!$B$4:$AR$4,1,CO$3-Projects!$C$25+1),0)-IF(AND(Projects!$G$25="Yes",CO$3&gt;=Projects!$C$25,CO$3&lt;Projects!$C$25+Projects!$D$25),Projects!$B$25*(Assumptions!$B$10+Assumptions!$B$11+Assumptions!$B$12)/Projects!$D$25*0.95,0)-IF(AND(Projects!$G$25="Yes",CO$3=Projects!$C$25+Projects!$D$25-1),Projects!$B$25*(Assumptions!$B$10+Assumptions!$B$11+Assumptions!$B$12)*0.05,0)</f>
        <v>0</v>
      </c>
      <c r="CP34" s="30" t="n">
        <f aca="false">IF(AND(Projects!$G$25="Yes",CP$3&gt;=Projects!$C$25,CP$3&lt;Projects!$C$25+Projects!$D$25),Projects!$B$25*INDEX(Curves!$B$4:$AR$4,1,CP$3-Projects!$C$25+1),0)-IF(AND(Projects!$G$25="Yes",CP$3&gt;=Projects!$C$25,CP$3&lt;Projects!$C$25+Projects!$D$25),Projects!$B$25*(Assumptions!$B$10+Assumptions!$B$11+Assumptions!$B$12)/Projects!$D$25*0.95,0)-IF(AND(Projects!$G$25="Yes",CP$3=Projects!$C$25+Projects!$D$25-1),Projects!$B$25*(Assumptions!$B$10+Assumptions!$B$11+Assumptions!$B$12)*0.05,0)</f>
        <v>0</v>
      </c>
      <c r="CQ34" s="30" t="n">
        <f aca="false">IF(AND(Projects!$G$25="Yes",CQ$3&gt;=Projects!$C$25,CQ$3&lt;Projects!$C$25+Projects!$D$25),Projects!$B$25*INDEX(Curves!$B$4:$AR$4,1,CQ$3-Projects!$C$25+1),0)-IF(AND(Projects!$G$25="Yes",CQ$3&gt;=Projects!$C$25,CQ$3&lt;Projects!$C$25+Projects!$D$25),Projects!$B$25*(Assumptions!$B$10+Assumptions!$B$11+Assumptions!$B$12)/Projects!$D$25*0.95,0)-IF(AND(Projects!$G$25="Yes",CQ$3=Projects!$C$25+Projects!$D$25-1),Projects!$B$25*(Assumptions!$B$10+Assumptions!$B$11+Assumptions!$B$12)*0.05,0)</f>
        <v>0</v>
      </c>
      <c r="CR34" s="30" t="n">
        <f aca="false">IF(AND(Projects!$G$25="Yes",CR$3&gt;=Projects!$C$25,CR$3&lt;Projects!$C$25+Projects!$D$25),Projects!$B$25*INDEX(Curves!$B$4:$AR$4,1,CR$3-Projects!$C$25+1),0)-IF(AND(Projects!$G$25="Yes",CR$3&gt;=Projects!$C$25,CR$3&lt;Projects!$C$25+Projects!$D$25),Projects!$B$25*(Assumptions!$B$10+Assumptions!$B$11+Assumptions!$B$12)/Projects!$D$25*0.95,0)-IF(AND(Projects!$G$25="Yes",CR$3=Projects!$C$25+Projects!$D$25-1),Projects!$B$25*(Assumptions!$B$10+Assumptions!$B$11+Assumptions!$B$12)*0.05,0)</f>
        <v>0</v>
      </c>
      <c r="CS34" s="30" t="n">
        <f aca="false">IF(AND(Projects!$G$25="Yes",CS$3&gt;=Projects!$C$25,CS$3&lt;Projects!$C$25+Projects!$D$25),Projects!$B$25*INDEX(Curves!$B$4:$AR$4,1,CS$3-Projects!$C$25+1),0)-IF(AND(Projects!$G$25="Yes",CS$3&gt;=Projects!$C$25,CS$3&lt;Projects!$C$25+Projects!$D$25),Projects!$B$25*(Assumptions!$B$10+Assumptions!$B$11+Assumptions!$B$12)/Projects!$D$25*0.95,0)-IF(AND(Projects!$G$25="Yes",CS$3=Projects!$C$25+Projects!$D$25-1),Projects!$B$25*(Assumptions!$B$10+Assumptions!$B$11+Assumptions!$B$12)*0.05,0)</f>
        <v>0</v>
      </c>
      <c r="CT34" s="30" t="n">
        <f aca="false">IF(AND(Projects!$G$25="Yes",CT$3&gt;=Projects!$C$25,CT$3&lt;Projects!$C$25+Projects!$D$25),Projects!$B$25*INDEX(Curves!$B$4:$AR$4,1,CT$3-Projects!$C$25+1),0)-IF(AND(Projects!$G$25="Yes",CT$3&gt;=Projects!$C$25,CT$3&lt;Projects!$C$25+Projects!$D$25),Projects!$B$25*(Assumptions!$B$10+Assumptions!$B$11+Assumptions!$B$12)/Projects!$D$25*0.95,0)-IF(AND(Projects!$G$25="Yes",CT$3=Projects!$C$25+Projects!$D$25-1),Projects!$B$25*(Assumptions!$B$10+Assumptions!$B$11+Assumptions!$B$12)*0.05,0)</f>
        <v>0</v>
      </c>
      <c r="CU34" s="30" t="n">
        <f aca="false">IF(AND(Projects!$G$25="Yes",CU$3&gt;=Projects!$C$25,CU$3&lt;Projects!$C$25+Projects!$D$25),Projects!$B$25*INDEX(Curves!$B$4:$AR$4,1,CU$3-Projects!$C$25+1),0)-IF(AND(Projects!$G$25="Yes",CU$3&gt;=Projects!$C$25,CU$3&lt;Projects!$C$25+Projects!$D$25),Projects!$B$25*(Assumptions!$B$10+Assumptions!$B$11+Assumptions!$B$12)/Projects!$D$25*0.95,0)-IF(AND(Projects!$G$25="Yes",CU$3=Projects!$C$25+Projects!$D$25-1),Projects!$B$25*(Assumptions!$B$10+Assumptions!$B$11+Assumptions!$B$12)*0.05,0)</f>
        <v>0</v>
      </c>
      <c r="CV34" s="30" t="n">
        <f aca="false">IF(AND(Projects!$G$25="Yes",CV$3&gt;=Projects!$C$25,CV$3&lt;Projects!$C$25+Projects!$D$25),Projects!$B$25*INDEX(Curves!$B$4:$AR$4,1,CV$3-Projects!$C$25+1),0)-IF(AND(Projects!$G$25="Yes",CV$3&gt;=Projects!$C$25,CV$3&lt;Projects!$C$25+Projects!$D$25),Projects!$B$25*(Assumptions!$B$10+Assumptions!$B$11+Assumptions!$B$12)/Projects!$D$25*0.95,0)-IF(AND(Projects!$G$25="Yes",CV$3=Projects!$C$25+Projects!$D$25-1),Projects!$B$25*(Assumptions!$B$10+Assumptions!$B$11+Assumptions!$B$12)*0.05,0)</f>
        <v>0</v>
      </c>
      <c r="CW34" s="30" t="n">
        <f aca="false">IF(AND(Projects!$G$25="Yes",CW$3&gt;=Projects!$C$25,CW$3&lt;Projects!$C$25+Projects!$D$25),Projects!$B$25*INDEX(Curves!$B$4:$AR$4,1,CW$3-Projects!$C$25+1),0)-IF(AND(Projects!$G$25="Yes",CW$3&gt;=Projects!$C$25,CW$3&lt;Projects!$C$25+Projects!$D$25),Projects!$B$25*(Assumptions!$B$10+Assumptions!$B$11+Assumptions!$B$12)/Projects!$D$25*0.95,0)-IF(AND(Projects!$G$25="Yes",CW$3=Projects!$C$25+Projects!$D$25-1),Projects!$B$25*(Assumptions!$B$10+Assumptions!$B$11+Assumptions!$B$12)*0.05,0)</f>
        <v>0</v>
      </c>
      <c r="CX34" s="30" t="n">
        <f aca="false">IF(AND(Projects!$G$25="Yes",CX$3&gt;=Projects!$C$25,CX$3&lt;Projects!$C$25+Projects!$D$25),Projects!$B$25*INDEX(Curves!$B$4:$AR$4,1,CX$3-Projects!$C$25+1),0)-IF(AND(Projects!$G$25="Yes",CX$3&gt;=Projects!$C$25,CX$3&lt;Projects!$C$25+Projects!$D$25),Projects!$B$25*(Assumptions!$B$10+Assumptions!$B$11+Assumptions!$B$12)/Projects!$D$25*0.95,0)-IF(AND(Projects!$G$25="Yes",CX$3=Projects!$C$25+Projects!$D$25-1),Projects!$B$25*(Assumptions!$B$10+Assumptions!$B$11+Assumptions!$B$12)*0.05,0)</f>
        <v>0</v>
      </c>
      <c r="CY34" s="30" t="n">
        <f aca="false">IF(AND(Projects!$G$25="Yes",CY$3&gt;=Projects!$C$25,CY$3&lt;Projects!$C$25+Projects!$D$25),Projects!$B$25*INDEX(Curves!$B$4:$AR$4,1,CY$3-Projects!$C$25+1),0)-IF(AND(Projects!$G$25="Yes",CY$3&gt;=Projects!$C$25,CY$3&lt;Projects!$C$25+Projects!$D$25),Projects!$B$25*(Assumptions!$B$10+Assumptions!$B$11+Assumptions!$B$12)/Projects!$D$25*0.95,0)-IF(AND(Projects!$G$25="Yes",CY$3=Projects!$C$25+Projects!$D$25-1),Projects!$B$25*(Assumptions!$B$10+Assumptions!$B$11+Assumptions!$B$12)*0.05,0)</f>
        <v>0</v>
      </c>
      <c r="CZ34" s="30" t="n">
        <f aca="false">IF(AND(Projects!$G$25="Yes",CZ$3&gt;=Projects!$C$25,CZ$3&lt;Projects!$C$25+Projects!$D$25),Projects!$B$25*INDEX(Curves!$B$4:$AR$4,1,CZ$3-Projects!$C$25+1),0)-IF(AND(Projects!$G$25="Yes",CZ$3&gt;=Projects!$C$25,CZ$3&lt;Projects!$C$25+Projects!$D$25),Projects!$B$25*(Assumptions!$B$10+Assumptions!$B$11+Assumptions!$B$12)/Projects!$D$25*0.95,0)-IF(AND(Projects!$G$25="Yes",CZ$3=Projects!$C$25+Projects!$D$25-1),Projects!$B$25*(Assumptions!$B$10+Assumptions!$B$11+Assumptions!$B$12)*0.05,0)</f>
        <v>0</v>
      </c>
      <c r="DA34" s="30" t="n">
        <f aca="false">IF(AND(Projects!$G$25="Yes",DA$3&gt;=Projects!$C$25,DA$3&lt;Projects!$C$25+Projects!$D$25),Projects!$B$25*INDEX(Curves!$B$4:$AR$4,1,DA$3-Projects!$C$25+1),0)-IF(AND(Projects!$G$25="Yes",DA$3&gt;=Projects!$C$25,DA$3&lt;Projects!$C$25+Projects!$D$25),Projects!$B$25*(Assumptions!$B$10+Assumptions!$B$11+Assumptions!$B$12)/Projects!$D$25*0.95,0)-IF(AND(Projects!$G$25="Yes",DA$3=Projects!$C$25+Projects!$D$25-1),Projects!$B$25*(Assumptions!$B$10+Assumptions!$B$11+Assumptions!$B$12)*0.05,0)</f>
        <v>0</v>
      </c>
      <c r="DB34" s="30" t="n">
        <f aca="false">IF(AND(Projects!$G$25="Yes",DB$3&gt;=Projects!$C$25,DB$3&lt;Projects!$C$25+Projects!$D$25),Projects!$B$25*INDEX(Curves!$B$4:$AR$4,1,DB$3-Projects!$C$25+1),0)-IF(AND(Projects!$G$25="Yes",DB$3&gt;=Projects!$C$25,DB$3&lt;Projects!$C$25+Projects!$D$25),Projects!$B$25*(Assumptions!$B$10+Assumptions!$B$11+Assumptions!$B$12)/Projects!$D$25*0.95,0)-IF(AND(Projects!$G$25="Yes",DB$3=Projects!$C$25+Projects!$D$25-1),Projects!$B$25*(Assumptions!$B$10+Assumptions!$B$11+Assumptions!$B$12)*0.05,0)</f>
        <v>0</v>
      </c>
      <c r="DC34" s="30" t="n">
        <f aca="false">IF(AND(Projects!$G$25="Yes",DC$3&gt;=Projects!$C$25,DC$3&lt;Projects!$C$25+Projects!$D$25),Projects!$B$25*INDEX(Curves!$B$4:$AR$4,1,DC$3-Projects!$C$25+1),0)-IF(AND(Projects!$G$25="Yes",DC$3&gt;=Projects!$C$25,DC$3&lt;Projects!$C$25+Projects!$D$25),Projects!$B$25*(Assumptions!$B$10+Assumptions!$B$11+Assumptions!$B$12)/Projects!$D$25*0.95,0)-IF(AND(Projects!$G$25="Yes",DC$3=Projects!$C$25+Projects!$D$25-1),Projects!$B$25*(Assumptions!$B$10+Assumptions!$B$11+Assumptions!$B$12)*0.05,0)</f>
        <v>0</v>
      </c>
      <c r="DD34" s="30" t="n">
        <f aca="false">IF(AND(Projects!$G$25="Yes",DD$3&gt;=Projects!$C$25,DD$3&lt;Projects!$C$25+Projects!$D$25),Projects!$B$25*INDEX(Curves!$B$4:$AR$4,1,DD$3-Projects!$C$25+1),0)-IF(AND(Projects!$G$25="Yes",DD$3&gt;=Projects!$C$25,DD$3&lt;Projects!$C$25+Projects!$D$25),Projects!$B$25*(Assumptions!$B$10+Assumptions!$B$11+Assumptions!$B$12)/Projects!$D$25*0.95,0)-IF(AND(Projects!$G$25="Yes",DD$3=Projects!$C$25+Projects!$D$25-1),Projects!$B$25*(Assumptions!$B$10+Assumptions!$B$11+Assumptions!$B$12)*0.05,0)</f>
        <v>0</v>
      </c>
      <c r="DE34" s="30" t="n">
        <f aca="false">IF(AND(Projects!$G$25="Yes",DE$3&gt;=Projects!$C$25,DE$3&lt;Projects!$C$25+Projects!$D$25),Projects!$B$25*INDEX(Curves!$B$4:$AR$4,1,DE$3-Projects!$C$25+1),0)-IF(AND(Projects!$G$25="Yes",DE$3&gt;=Projects!$C$25,DE$3&lt;Projects!$C$25+Projects!$D$25),Projects!$B$25*(Assumptions!$B$10+Assumptions!$B$11+Assumptions!$B$12)/Projects!$D$25*0.95,0)-IF(AND(Projects!$G$25="Yes",DE$3=Projects!$C$25+Projects!$D$25-1),Projects!$B$25*(Assumptions!$B$10+Assumptions!$B$11+Assumptions!$B$12)*0.05,0)</f>
        <v>0</v>
      </c>
    </row>
    <row r="35" customFormat="false" ht="15" hidden="true" customHeight="true" outlineLevel="1" collapsed="false">
      <c r="A35" s="32" t="s">
        <v>29</v>
      </c>
      <c r="B35" s="30" t="n">
        <v>0</v>
      </c>
      <c r="C35" s="30" t="n">
        <v>0</v>
      </c>
      <c r="D35" s="30" t="n">
        <v>0</v>
      </c>
      <c r="E35" s="30" t="n">
        <v>0</v>
      </c>
      <c r="F35" s="30" t="n">
        <f aca="false">IF(AND(Projects!$G$26="Yes",F$3&gt;=Projects!$C$26,F$3&lt;Projects!$C$26+Projects!$D$26),Projects!$B$26*INDEX(Curves!$B$4:$AR$4,1,F$3-Projects!$C$26+1),0)-IF(AND(Projects!$G$26="Yes",F$3&gt;=Projects!$C$26,F$3&lt;Projects!$C$26+Projects!$D$26),Projects!$B$26*(Assumptions!$B$10+Assumptions!$B$11+Assumptions!$B$12)/Projects!$D$26*0.95,0)-IF(AND(Projects!$G$26="Yes",F$3=Projects!$C$26+Projects!$D$26-1),Projects!$B$26*(Assumptions!$B$10+Assumptions!$B$11+Assumptions!$B$12)*0.05,0)</f>
        <v>0</v>
      </c>
      <c r="G35" s="30" t="n">
        <f aca="false">IF(AND(Projects!$G$26="Yes",G$3&gt;=Projects!$C$26,G$3&lt;Projects!$C$26+Projects!$D$26),Projects!$B$26*INDEX(Curves!$B$4:$AR$4,1,G$3-Projects!$C$26+1),0)-IF(AND(Projects!$G$26="Yes",G$3&gt;=Projects!$C$26,G$3&lt;Projects!$C$26+Projects!$D$26),Projects!$B$26*(Assumptions!$B$10+Assumptions!$B$11+Assumptions!$B$12)/Projects!$D$26*0.95,0)-IF(AND(Projects!$G$26="Yes",G$3=Projects!$C$26+Projects!$D$26-1),Projects!$B$26*(Assumptions!$B$10+Assumptions!$B$11+Assumptions!$B$12)*0.05,0)</f>
        <v>0</v>
      </c>
      <c r="H35" s="30" t="n">
        <f aca="false">IF(AND(Projects!$G$26="Yes",H$3&gt;=Projects!$C$26,H$3&lt;Projects!$C$26+Projects!$D$26),Projects!$B$26*INDEX(Curves!$B$4:$AR$4,1,H$3-Projects!$C$26+1),0)-IF(AND(Projects!$G$26="Yes",H$3&gt;=Projects!$C$26,H$3&lt;Projects!$C$26+Projects!$D$26),Projects!$B$26*(Assumptions!$B$10+Assumptions!$B$11+Assumptions!$B$12)/Projects!$D$26*0.95,0)-IF(AND(Projects!$G$26="Yes",H$3=Projects!$C$26+Projects!$D$26-1),Projects!$B$26*(Assumptions!$B$10+Assumptions!$B$11+Assumptions!$B$12)*0.05,0)</f>
        <v>0</v>
      </c>
      <c r="I35" s="30" t="n">
        <f aca="false">IF(AND(Projects!$G$26="Yes",I$3&gt;=Projects!$C$26,I$3&lt;Projects!$C$26+Projects!$D$26),Projects!$B$26*INDEX(Curves!$B$4:$AR$4,1,I$3-Projects!$C$26+1),0)-IF(AND(Projects!$G$26="Yes",I$3&gt;=Projects!$C$26,I$3&lt;Projects!$C$26+Projects!$D$26),Projects!$B$26*(Assumptions!$B$10+Assumptions!$B$11+Assumptions!$B$12)/Projects!$D$26*0.95,0)-IF(AND(Projects!$G$26="Yes",I$3=Projects!$C$26+Projects!$D$26-1),Projects!$B$26*(Assumptions!$B$10+Assumptions!$B$11+Assumptions!$B$12)*0.05,0)</f>
        <v>0</v>
      </c>
      <c r="J35" s="30" t="n">
        <f aca="false">IF(AND(Projects!$G$26="Yes",J$3&gt;=Projects!$C$26,J$3&lt;Projects!$C$26+Projects!$D$26),Projects!$B$26*INDEX(Curves!$B$4:$AR$4,1,J$3-Projects!$C$26+1),0)-IF(AND(Projects!$G$26="Yes",J$3&gt;=Projects!$C$26,J$3&lt;Projects!$C$26+Projects!$D$26),Projects!$B$26*(Assumptions!$B$10+Assumptions!$B$11+Assumptions!$B$12)/Projects!$D$26*0.95,0)-IF(AND(Projects!$G$26="Yes",J$3=Projects!$C$26+Projects!$D$26-1),Projects!$B$26*(Assumptions!$B$10+Assumptions!$B$11+Assumptions!$B$12)*0.05,0)</f>
        <v>0</v>
      </c>
      <c r="K35" s="30" t="n">
        <f aca="false">IF(AND(Projects!$G$26="Yes",K$3&gt;=Projects!$C$26,K$3&lt;Projects!$C$26+Projects!$D$26),Projects!$B$26*INDEX(Curves!$B$4:$AR$4,1,K$3-Projects!$C$26+1),0)-IF(AND(Projects!$G$26="Yes",K$3&gt;=Projects!$C$26,K$3&lt;Projects!$C$26+Projects!$D$26),Projects!$B$26*(Assumptions!$B$10+Assumptions!$B$11+Assumptions!$B$12)/Projects!$D$26*0.95,0)-IF(AND(Projects!$G$26="Yes",K$3=Projects!$C$26+Projects!$D$26-1),Projects!$B$26*(Assumptions!$B$10+Assumptions!$B$11+Assumptions!$B$12)*0.05,0)</f>
        <v>0</v>
      </c>
      <c r="L35" s="30" t="n">
        <f aca="false">IF(AND(Projects!$G$26="Yes",L$3&gt;=Projects!$C$26,L$3&lt;Projects!$C$26+Projects!$D$26),Projects!$B$26*INDEX(Curves!$B$4:$AR$4,1,L$3-Projects!$C$26+1),0)-IF(AND(Projects!$G$26="Yes",L$3&gt;=Projects!$C$26,L$3&lt;Projects!$C$26+Projects!$D$26),Projects!$B$26*(Assumptions!$B$10+Assumptions!$B$11+Assumptions!$B$12)/Projects!$D$26*0.95,0)-IF(AND(Projects!$G$26="Yes",L$3=Projects!$C$26+Projects!$D$26-1),Projects!$B$26*(Assumptions!$B$10+Assumptions!$B$11+Assumptions!$B$12)*0.05,0)</f>
        <v>0</v>
      </c>
      <c r="M35" s="30" t="n">
        <f aca="false">IF(AND(Projects!$G$26="Yes",M$3&gt;=Projects!$C$26,M$3&lt;Projects!$C$26+Projects!$D$26),Projects!$B$26*INDEX(Curves!$B$4:$AR$4,1,M$3-Projects!$C$26+1),0)-IF(AND(Projects!$G$26="Yes",M$3&gt;=Projects!$C$26,M$3&lt;Projects!$C$26+Projects!$D$26),Projects!$B$26*(Assumptions!$B$10+Assumptions!$B$11+Assumptions!$B$12)/Projects!$D$26*0.95,0)-IF(AND(Projects!$G$26="Yes",M$3=Projects!$C$26+Projects!$D$26-1),Projects!$B$26*(Assumptions!$B$10+Assumptions!$B$11+Assumptions!$B$12)*0.05,0)</f>
        <v>0</v>
      </c>
      <c r="N35" s="30" t="n">
        <f aca="false">IF(AND(Projects!$G$26="Yes",N$3&gt;=Projects!$C$26,N$3&lt;Projects!$C$26+Projects!$D$26),Projects!$B$26*INDEX(Curves!$B$4:$AR$4,1,N$3-Projects!$C$26+1),0)-IF(AND(Projects!$G$26="Yes",N$3&gt;=Projects!$C$26,N$3&lt;Projects!$C$26+Projects!$D$26),Projects!$B$26*(Assumptions!$B$10+Assumptions!$B$11+Assumptions!$B$12)/Projects!$D$26*0.95,0)-IF(AND(Projects!$G$26="Yes",N$3=Projects!$C$26+Projects!$D$26-1),Projects!$B$26*(Assumptions!$B$10+Assumptions!$B$11+Assumptions!$B$12)*0.05,0)</f>
        <v>0</v>
      </c>
      <c r="O35" s="30" t="n">
        <f aca="false">IF(AND(Projects!$G$26="Yes",O$3&gt;=Projects!$C$26,O$3&lt;Projects!$C$26+Projects!$D$26),Projects!$B$26*INDEX(Curves!$B$4:$AR$4,1,O$3-Projects!$C$26+1),0)-IF(AND(Projects!$G$26="Yes",O$3&gt;=Projects!$C$26,O$3&lt;Projects!$C$26+Projects!$D$26),Projects!$B$26*(Assumptions!$B$10+Assumptions!$B$11+Assumptions!$B$12)/Projects!$D$26*0.95,0)-IF(AND(Projects!$G$26="Yes",O$3=Projects!$C$26+Projects!$D$26-1),Projects!$B$26*(Assumptions!$B$10+Assumptions!$B$11+Assumptions!$B$12)*0.05,0)</f>
        <v>0</v>
      </c>
      <c r="P35" s="30" t="n">
        <f aca="false">IF(AND(Projects!$G$26="Yes",P$3&gt;=Projects!$C$26,P$3&lt;Projects!$C$26+Projects!$D$26),Projects!$B$26*INDEX(Curves!$B$4:$AR$4,1,P$3-Projects!$C$26+1),0)-IF(AND(Projects!$G$26="Yes",P$3&gt;=Projects!$C$26,P$3&lt;Projects!$C$26+Projects!$D$26),Projects!$B$26*(Assumptions!$B$10+Assumptions!$B$11+Assumptions!$B$12)/Projects!$D$26*0.95,0)-IF(AND(Projects!$G$26="Yes",P$3=Projects!$C$26+Projects!$D$26-1),Projects!$B$26*(Assumptions!$B$10+Assumptions!$B$11+Assumptions!$B$12)*0.05,0)</f>
        <v>0</v>
      </c>
      <c r="Q35" s="30" t="n">
        <f aca="false">IF(AND(Projects!$G$26="Yes",Q$3&gt;=Projects!$C$26,Q$3&lt;Projects!$C$26+Projects!$D$26),Projects!$B$26*INDEX(Curves!$B$4:$AR$4,1,Q$3-Projects!$C$26+1),0)-IF(AND(Projects!$G$26="Yes",Q$3&gt;=Projects!$C$26,Q$3&lt;Projects!$C$26+Projects!$D$26),Projects!$B$26*(Assumptions!$B$10+Assumptions!$B$11+Assumptions!$B$12)/Projects!$D$26*0.95,0)-IF(AND(Projects!$G$26="Yes",Q$3=Projects!$C$26+Projects!$D$26-1),Projects!$B$26*(Assumptions!$B$10+Assumptions!$B$11+Assumptions!$B$12)*0.05,0)</f>
        <v>0</v>
      </c>
      <c r="R35" s="30" t="n">
        <f aca="false">IF(AND(Projects!$G$26="Yes",R$3&gt;=Projects!$C$26,R$3&lt;Projects!$C$26+Projects!$D$26),Projects!$B$26*INDEX(Curves!$B$4:$AR$4,1,R$3-Projects!$C$26+1),0)-IF(AND(Projects!$G$26="Yes",R$3&gt;=Projects!$C$26,R$3&lt;Projects!$C$26+Projects!$D$26),Projects!$B$26*(Assumptions!$B$10+Assumptions!$B$11+Assumptions!$B$12)/Projects!$D$26*0.95,0)-IF(AND(Projects!$G$26="Yes",R$3=Projects!$C$26+Projects!$D$26-1),Projects!$B$26*(Assumptions!$B$10+Assumptions!$B$11+Assumptions!$B$12)*0.05,0)</f>
        <v>0</v>
      </c>
      <c r="S35" s="30" t="n">
        <f aca="false">IF(AND(Projects!$G$26="Yes",S$3&gt;=Projects!$C$26,S$3&lt;Projects!$C$26+Projects!$D$26),Projects!$B$26*INDEX(Curves!$B$4:$AR$4,1,S$3-Projects!$C$26+1),0)-IF(AND(Projects!$G$26="Yes",S$3&gt;=Projects!$C$26,S$3&lt;Projects!$C$26+Projects!$D$26),Projects!$B$26*(Assumptions!$B$10+Assumptions!$B$11+Assumptions!$B$12)/Projects!$D$26*0.95,0)-IF(AND(Projects!$G$26="Yes",S$3=Projects!$C$26+Projects!$D$26-1),Projects!$B$26*(Assumptions!$B$10+Assumptions!$B$11+Assumptions!$B$12)*0.05,0)</f>
        <v>0</v>
      </c>
      <c r="T35" s="30" t="n">
        <f aca="false">IF(AND(Projects!$G$26="Yes",T$3&gt;=Projects!$C$26,T$3&lt;Projects!$C$26+Projects!$D$26),Projects!$B$26*INDEX(Curves!$B$4:$AR$4,1,T$3-Projects!$C$26+1),0)-IF(AND(Projects!$G$26="Yes",T$3&gt;=Projects!$C$26,T$3&lt;Projects!$C$26+Projects!$D$26),Projects!$B$26*(Assumptions!$B$10+Assumptions!$B$11+Assumptions!$B$12)/Projects!$D$26*0.95,0)-IF(AND(Projects!$G$26="Yes",T$3=Projects!$C$26+Projects!$D$26-1),Projects!$B$26*(Assumptions!$B$10+Assumptions!$B$11+Assumptions!$B$12)*0.05,0)</f>
        <v>0</v>
      </c>
      <c r="U35" s="30" t="n">
        <f aca="false">IF(AND(Projects!$G$26="Yes",U$3&gt;=Projects!$C$26,U$3&lt;Projects!$C$26+Projects!$D$26),Projects!$B$26*INDEX(Curves!$B$4:$AR$4,1,U$3-Projects!$C$26+1),0)-IF(AND(Projects!$G$26="Yes",U$3&gt;=Projects!$C$26,U$3&lt;Projects!$C$26+Projects!$D$26),Projects!$B$26*(Assumptions!$B$10+Assumptions!$B$11+Assumptions!$B$12)/Projects!$D$26*0.95,0)-IF(AND(Projects!$G$26="Yes",U$3=Projects!$C$26+Projects!$D$26-1),Projects!$B$26*(Assumptions!$B$10+Assumptions!$B$11+Assumptions!$B$12)*0.05,0)</f>
        <v>0</v>
      </c>
      <c r="V35" s="30" t="n">
        <f aca="false">IF(AND(Projects!$G$26="Yes",V$3&gt;=Projects!$C$26,V$3&lt;Projects!$C$26+Projects!$D$26),Projects!$B$26*INDEX(Curves!$B$4:$AR$4,1,V$3-Projects!$C$26+1),0)-IF(AND(Projects!$G$26="Yes",V$3&gt;=Projects!$C$26,V$3&lt;Projects!$C$26+Projects!$D$26),Projects!$B$26*(Assumptions!$B$10+Assumptions!$B$11+Assumptions!$B$12)/Projects!$D$26*0.95,0)-IF(AND(Projects!$G$26="Yes",V$3=Projects!$C$26+Projects!$D$26-1),Projects!$B$26*(Assumptions!$B$10+Assumptions!$B$11+Assumptions!$B$12)*0.05,0)</f>
        <v>0</v>
      </c>
      <c r="W35" s="30" t="n">
        <f aca="false">IF(AND(Projects!$G$26="Yes",W$3&gt;=Projects!$C$26,W$3&lt;Projects!$C$26+Projects!$D$26),Projects!$B$26*INDEX(Curves!$B$4:$AR$4,1,W$3-Projects!$C$26+1),0)-IF(AND(Projects!$G$26="Yes",W$3&gt;=Projects!$C$26,W$3&lt;Projects!$C$26+Projects!$D$26),Projects!$B$26*(Assumptions!$B$10+Assumptions!$B$11+Assumptions!$B$12)/Projects!$D$26*0.95,0)-IF(AND(Projects!$G$26="Yes",W$3=Projects!$C$26+Projects!$D$26-1),Projects!$B$26*(Assumptions!$B$10+Assumptions!$B$11+Assumptions!$B$12)*0.05,0)</f>
        <v>0</v>
      </c>
      <c r="X35" s="30" t="n">
        <f aca="false">IF(AND(Projects!$G$26="Yes",X$3&gt;=Projects!$C$26,X$3&lt;Projects!$C$26+Projects!$D$26),Projects!$B$26*INDEX(Curves!$B$4:$AR$4,1,X$3-Projects!$C$26+1),0)-IF(AND(Projects!$G$26="Yes",X$3&gt;=Projects!$C$26,X$3&lt;Projects!$C$26+Projects!$D$26),Projects!$B$26*(Assumptions!$B$10+Assumptions!$B$11+Assumptions!$B$12)/Projects!$D$26*0.95,0)-IF(AND(Projects!$G$26="Yes",X$3=Projects!$C$26+Projects!$D$26-1),Projects!$B$26*(Assumptions!$B$10+Assumptions!$B$11+Assumptions!$B$12)*0.05,0)</f>
        <v>0</v>
      </c>
      <c r="Y35" s="30" t="n">
        <f aca="false">IF(AND(Projects!$G$26="Yes",Y$3&gt;=Projects!$C$26,Y$3&lt;Projects!$C$26+Projects!$D$26),Projects!$B$26*INDEX(Curves!$B$4:$AR$4,1,Y$3-Projects!$C$26+1),0)-IF(AND(Projects!$G$26="Yes",Y$3&gt;=Projects!$C$26,Y$3&lt;Projects!$C$26+Projects!$D$26),Projects!$B$26*(Assumptions!$B$10+Assumptions!$B$11+Assumptions!$B$12)/Projects!$D$26*0.95,0)-IF(AND(Projects!$G$26="Yes",Y$3=Projects!$C$26+Projects!$D$26-1),Projects!$B$26*(Assumptions!$B$10+Assumptions!$B$11+Assumptions!$B$12)*0.05,0)</f>
        <v>0</v>
      </c>
      <c r="Z35" s="30" t="n">
        <f aca="false">IF(AND(Projects!$G$26="Yes",Z$3&gt;=Projects!$C$26,Z$3&lt;Projects!$C$26+Projects!$D$26),Projects!$B$26*INDEX(Curves!$B$4:$AR$4,1,Z$3-Projects!$C$26+1),0)-IF(AND(Projects!$G$26="Yes",Z$3&gt;=Projects!$C$26,Z$3&lt;Projects!$C$26+Projects!$D$26),Projects!$B$26*(Assumptions!$B$10+Assumptions!$B$11+Assumptions!$B$12)/Projects!$D$26*0.95,0)-IF(AND(Projects!$G$26="Yes",Z$3=Projects!$C$26+Projects!$D$26-1),Projects!$B$26*(Assumptions!$B$10+Assumptions!$B$11+Assumptions!$B$12)*0.05,0)</f>
        <v>0</v>
      </c>
      <c r="AA35" s="30" t="n">
        <f aca="false">IF(AND(Projects!$G$26="Yes",AA$3&gt;=Projects!$C$26,AA$3&lt;Projects!$C$26+Projects!$D$26),Projects!$B$26*INDEX(Curves!$B$4:$AR$4,1,AA$3-Projects!$C$26+1),0)-IF(AND(Projects!$G$26="Yes",AA$3&gt;=Projects!$C$26,AA$3&lt;Projects!$C$26+Projects!$D$26),Projects!$B$26*(Assumptions!$B$10+Assumptions!$B$11+Assumptions!$B$12)/Projects!$D$26*0.95,0)-IF(AND(Projects!$G$26="Yes",AA$3=Projects!$C$26+Projects!$D$26-1),Projects!$B$26*(Assumptions!$B$10+Assumptions!$B$11+Assumptions!$B$12)*0.05,0)</f>
        <v>0</v>
      </c>
      <c r="AB35" s="30" t="n">
        <f aca="false">IF(AND(Projects!$G$26="Yes",AB$3&gt;=Projects!$C$26,AB$3&lt;Projects!$C$26+Projects!$D$26),Projects!$B$26*INDEX(Curves!$B$4:$AR$4,1,AB$3-Projects!$C$26+1),0)-IF(AND(Projects!$G$26="Yes",AB$3&gt;=Projects!$C$26,AB$3&lt;Projects!$C$26+Projects!$D$26),Projects!$B$26*(Assumptions!$B$10+Assumptions!$B$11+Assumptions!$B$12)/Projects!$D$26*0.95,0)-IF(AND(Projects!$G$26="Yes",AB$3=Projects!$C$26+Projects!$D$26-1),Projects!$B$26*(Assumptions!$B$10+Assumptions!$B$11+Assumptions!$B$12)*0.05,0)</f>
        <v>0</v>
      </c>
      <c r="AC35" s="30" t="n">
        <f aca="false">IF(AND(Projects!$G$26="Yes",AC$3&gt;=Projects!$C$26,AC$3&lt;Projects!$C$26+Projects!$D$26),Projects!$B$26*INDEX(Curves!$B$4:$AR$4,1,AC$3-Projects!$C$26+1),0)-IF(AND(Projects!$G$26="Yes",AC$3&gt;=Projects!$C$26,AC$3&lt;Projects!$C$26+Projects!$D$26),Projects!$B$26*(Assumptions!$B$10+Assumptions!$B$11+Assumptions!$B$12)/Projects!$D$26*0.95,0)-IF(AND(Projects!$G$26="Yes",AC$3=Projects!$C$26+Projects!$D$26-1),Projects!$B$26*(Assumptions!$B$10+Assumptions!$B$11+Assumptions!$B$12)*0.05,0)</f>
        <v>0</v>
      </c>
      <c r="AD35" s="30" t="n">
        <f aca="false">IF(AND(Projects!$G$26="Yes",AD$3&gt;=Projects!$C$26,AD$3&lt;Projects!$C$26+Projects!$D$26),Projects!$B$26*INDEX(Curves!$B$4:$AR$4,1,AD$3-Projects!$C$26+1),0)-IF(AND(Projects!$G$26="Yes",AD$3&gt;=Projects!$C$26,AD$3&lt;Projects!$C$26+Projects!$D$26),Projects!$B$26*(Assumptions!$B$10+Assumptions!$B$11+Assumptions!$B$12)/Projects!$D$26*0.95,0)-IF(AND(Projects!$G$26="Yes",AD$3=Projects!$C$26+Projects!$D$26-1),Projects!$B$26*(Assumptions!$B$10+Assumptions!$B$11+Assumptions!$B$12)*0.05,0)</f>
        <v>0</v>
      </c>
      <c r="AE35" s="30" t="n">
        <f aca="false">IF(AND(Projects!$G$26="Yes",AE$3&gt;=Projects!$C$26,AE$3&lt;Projects!$C$26+Projects!$D$26),Projects!$B$26*INDEX(Curves!$B$4:$AR$4,1,AE$3-Projects!$C$26+1),0)-IF(AND(Projects!$G$26="Yes",AE$3&gt;=Projects!$C$26,AE$3&lt;Projects!$C$26+Projects!$D$26),Projects!$B$26*(Assumptions!$B$10+Assumptions!$B$11+Assumptions!$B$12)/Projects!$D$26*0.95,0)-IF(AND(Projects!$G$26="Yes",AE$3=Projects!$C$26+Projects!$D$26-1),Projects!$B$26*(Assumptions!$B$10+Assumptions!$B$11+Assumptions!$B$12)*0.05,0)</f>
        <v>0</v>
      </c>
      <c r="AF35" s="30" t="n">
        <f aca="false">IF(AND(Projects!$G$26="Yes",AF$3&gt;=Projects!$C$26,AF$3&lt;Projects!$C$26+Projects!$D$26),Projects!$B$26*INDEX(Curves!$B$4:$AR$4,1,AF$3-Projects!$C$26+1),0)-IF(AND(Projects!$G$26="Yes",AF$3&gt;=Projects!$C$26,AF$3&lt;Projects!$C$26+Projects!$D$26),Projects!$B$26*(Assumptions!$B$10+Assumptions!$B$11+Assumptions!$B$12)/Projects!$D$26*0.95,0)-IF(AND(Projects!$G$26="Yes",AF$3=Projects!$C$26+Projects!$D$26-1),Projects!$B$26*(Assumptions!$B$10+Assumptions!$B$11+Assumptions!$B$12)*0.05,0)</f>
        <v>0</v>
      </c>
      <c r="AG35" s="30" t="n">
        <f aca="false">IF(AND(Projects!$G$26="Yes",AG$3&gt;=Projects!$C$26,AG$3&lt;Projects!$C$26+Projects!$D$26),Projects!$B$26*INDEX(Curves!$B$4:$AR$4,1,AG$3-Projects!$C$26+1),0)-IF(AND(Projects!$G$26="Yes",AG$3&gt;=Projects!$C$26,AG$3&lt;Projects!$C$26+Projects!$D$26),Projects!$B$26*(Assumptions!$B$10+Assumptions!$B$11+Assumptions!$B$12)/Projects!$D$26*0.95,0)-IF(AND(Projects!$G$26="Yes",AG$3=Projects!$C$26+Projects!$D$26-1),Projects!$B$26*(Assumptions!$B$10+Assumptions!$B$11+Assumptions!$B$12)*0.05,0)</f>
        <v>0</v>
      </c>
      <c r="AH35" s="30" t="n">
        <f aca="false">IF(AND(Projects!$G$26="Yes",AH$3&gt;=Projects!$C$26,AH$3&lt;Projects!$C$26+Projects!$D$26),Projects!$B$26*INDEX(Curves!$B$4:$AR$4,1,AH$3-Projects!$C$26+1),0)-IF(AND(Projects!$G$26="Yes",AH$3&gt;=Projects!$C$26,AH$3&lt;Projects!$C$26+Projects!$D$26),Projects!$B$26*(Assumptions!$B$10+Assumptions!$B$11+Assumptions!$B$12)/Projects!$D$26*0.95,0)-IF(AND(Projects!$G$26="Yes",AH$3=Projects!$C$26+Projects!$D$26-1),Projects!$B$26*(Assumptions!$B$10+Assumptions!$B$11+Assumptions!$B$12)*0.05,0)</f>
        <v>0</v>
      </c>
      <c r="AI35" s="30" t="n">
        <f aca="false">IF(AND(Projects!$G$26="Yes",AI$3&gt;=Projects!$C$26,AI$3&lt;Projects!$C$26+Projects!$D$26),Projects!$B$26*INDEX(Curves!$B$4:$AR$4,1,AI$3-Projects!$C$26+1),0)-IF(AND(Projects!$G$26="Yes",AI$3&gt;=Projects!$C$26,AI$3&lt;Projects!$C$26+Projects!$D$26),Projects!$B$26*(Assumptions!$B$10+Assumptions!$B$11+Assumptions!$B$12)/Projects!$D$26*0.95,0)-IF(AND(Projects!$G$26="Yes",AI$3=Projects!$C$26+Projects!$D$26-1),Projects!$B$26*(Assumptions!$B$10+Assumptions!$B$11+Assumptions!$B$12)*0.05,0)</f>
        <v>0</v>
      </c>
      <c r="AJ35" s="30" t="n">
        <f aca="false">IF(AND(Projects!$G$26="Yes",AJ$3&gt;=Projects!$C$26,AJ$3&lt;Projects!$C$26+Projects!$D$26),Projects!$B$26*INDEX(Curves!$B$4:$AR$4,1,AJ$3-Projects!$C$26+1),0)-IF(AND(Projects!$G$26="Yes",AJ$3&gt;=Projects!$C$26,AJ$3&lt;Projects!$C$26+Projects!$D$26),Projects!$B$26*(Assumptions!$B$10+Assumptions!$B$11+Assumptions!$B$12)/Projects!$D$26*0.95,0)-IF(AND(Projects!$G$26="Yes",AJ$3=Projects!$C$26+Projects!$D$26-1),Projects!$B$26*(Assumptions!$B$10+Assumptions!$B$11+Assumptions!$B$12)*0.05,0)</f>
        <v>0</v>
      </c>
      <c r="AK35" s="30" t="n">
        <f aca="false">IF(AND(Projects!$G$26="Yes",AK$3&gt;=Projects!$C$26,AK$3&lt;Projects!$C$26+Projects!$D$26),Projects!$B$26*INDEX(Curves!$B$4:$AR$4,1,AK$3-Projects!$C$26+1),0)-IF(AND(Projects!$G$26="Yes",AK$3&gt;=Projects!$C$26,AK$3&lt;Projects!$C$26+Projects!$D$26),Projects!$B$26*(Assumptions!$B$10+Assumptions!$B$11+Assumptions!$B$12)/Projects!$D$26*0.95,0)-IF(AND(Projects!$G$26="Yes",AK$3=Projects!$C$26+Projects!$D$26-1),Projects!$B$26*(Assumptions!$B$10+Assumptions!$B$11+Assumptions!$B$12)*0.05,0)</f>
        <v>0</v>
      </c>
      <c r="AL35" s="30" t="n">
        <f aca="false">IF(AND(Projects!$G$26="Yes",AL$3&gt;=Projects!$C$26,AL$3&lt;Projects!$C$26+Projects!$D$26),Projects!$B$26*INDEX(Curves!$B$4:$AR$4,1,AL$3-Projects!$C$26+1),0)-IF(AND(Projects!$G$26="Yes",AL$3&gt;=Projects!$C$26,AL$3&lt;Projects!$C$26+Projects!$D$26),Projects!$B$26*(Assumptions!$B$10+Assumptions!$B$11+Assumptions!$B$12)/Projects!$D$26*0.95,0)-IF(AND(Projects!$G$26="Yes",AL$3=Projects!$C$26+Projects!$D$26-1),Projects!$B$26*(Assumptions!$B$10+Assumptions!$B$11+Assumptions!$B$12)*0.05,0)</f>
        <v>0</v>
      </c>
      <c r="AM35" s="30" t="n">
        <f aca="false">IF(AND(Projects!$G$26="Yes",AM$3&gt;=Projects!$C$26,AM$3&lt;Projects!$C$26+Projects!$D$26),Projects!$B$26*INDEX(Curves!$B$4:$AR$4,1,AM$3-Projects!$C$26+1),0)-IF(AND(Projects!$G$26="Yes",AM$3&gt;=Projects!$C$26,AM$3&lt;Projects!$C$26+Projects!$D$26),Projects!$B$26*(Assumptions!$B$10+Assumptions!$B$11+Assumptions!$B$12)/Projects!$D$26*0.95,0)-IF(AND(Projects!$G$26="Yes",AM$3=Projects!$C$26+Projects!$D$26-1),Projects!$B$26*(Assumptions!$B$10+Assumptions!$B$11+Assumptions!$B$12)*0.05,0)</f>
        <v>0</v>
      </c>
      <c r="AN35" s="30" t="n">
        <f aca="false">IF(AND(Projects!$G$26="Yes",AN$3&gt;=Projects!$C$26,AN$3&lt;Projects!$C$26+Projects!$D$26),Projects!$B$26*INDEX(Curves!$B$4:$AR$4,1,AN$3-Projects!$C$26+1),0)-IF(AND(Projects!$G$26="Yes",AN$3&gt;=Projects!$C$26,AN$3&lt;Projects!$C$26+Projects!$D$26),Projects!$B$26*(Assumptions!$B$10+Assumptions!$B$11+Assumptions!$B$12)/Projects!$D$26*0.95,0)-IF(AND(Projects!$G$26="Yes",AN$3=Projects!$C$26+Projects!$D$26-1),Projects!$B$26*(Assumptions!$B$10+Assumptions!$B$11+Assumptions!$B$12)*0.05,0)</f>
        <v>0</v>
      </c>
      <c r="AO35" s="30" t="n">
        <f aca="false">IF(AND(Projects!$G$26="Yes",AO$3&gt;=Projects!$C$26,AO$3&lt;Projects!$C$26+Projects!$D$26),Projects!$B$26*INDEX(Curves!$B$4:$AR$4,1,AO$3-Projects!$C$26+1),0)-IF(AND(Projects!$G$26="Yes",AO$3&gt;=Projects!$C$26,AO$3&lt;Projects!$C$26+Projects!$D$26),Projects!$B$26*(Assumptions!$B$10+Assumptions!$B$11+Assumptions!$B$12)/Projects!$D$26*0.95,0)-IF(AND(Projects!$G$26="Yes",AO$3=Projects!$C$26+Projects!$D$26-1),Projects!$B$26*(Assumptions!$B$10+Assumptions!$B$11+Assumptions!$B$12)*0.05,0)</f>
        <v>0</v>
      </c>
      <c r="AP35" s="30" t="n">
        <f aca="false">IF(AND(Projects!$G$26="Yes",AP$3&gt;=Projects!$C$26,AP$3&lt;Projects!$C$26+Projects!$D$26),Projects!$B$26*INDEX(Curves!$B$4:$AR$4,1,AP$3-Projects!$C$26+1),0)-IF(AND(Projects!$G$26="Yes",AP$3&gt;=Projects!$C$26,AP$3&lt;Projects!$C$26+Projects!$D$26),Projects!$B$26*(Assumptions!$B$10+Assumptions!$B$11+Assumptions!$B$12)/Projects!$D$26*0.95,0)-IF(AND(Projects!$G$26="Yes",AP$3=Projects!$C$26+Projects!$D$26-1),Projects!$B$26*(Assumptions!$B$10+Assumptions!$B$11+Assumptions!$B$12)*0.05,0)</f>
        <v>0</v>
      </c>
      <c r="AQ35" s="30" t="n">
        <f aca="false">IF(AND(Projects!$G$26="Yes",AQ$3&gt;=Projects!$C$26,AQ$3&lt;Projects!$C$26+Projects!$D$26),Projects!$B$26*INDEX(Curves!$B$4:$AR$4,1,AQ$3-Projects!$C$26+1),0)-IF(AND(Projects!$G$26="Yes",AQ$3&gt;=Projects!$C$26,AQ$3&lt;Projects!$C$26+Projects!$D$26),Projects!$B$26*(Assumptions!$B$10+Assumptions!$B$11+Assumptions!$B$12)/Projects!$D$26*0.95,0)-IF(AND(Projects!$G$26="Yes",AQ$3=Projects!$C$26+Projects!$D$26-1),Projects!$B$26*(Assumptions!$B$10+Assumptions!$B$11+Assumptions!$B$12)*0.05,0)</f>
        <v>0</v>
      </c>
      <c r="AR35" s="30" t="n">
        <f aca="false">IF(AND(Projects!$G$26="Yes",AR$3&gt;=Projects!$C$26,AR$3&lt;Projects!$C$26+Projects!$D$26),Projects!$B$26*INDEX(Curves!$B$4:$AR$4,1,AR$3-Projects!$C$26+1),0)-IF(AND(Projects!$G$26="Yes",AR$3&gt;=Projects!$C$26,AR$3&lt;Projects!$C$26+Projects!$D$26),Projects!$B$26*(Assumptions!$B$10+Assumptions!$B$11+Assumptions!$B$12)/Projects!$D$26*0.95,0)-IF(AND(Projects!$G$26="Yes",AR$3=Projects!$C$26+Projects!$D$26-1),Projects!$B$26*(Assumptions!$B$10+Assumptions!$B$11+Assumptions!$B$12)*0.05,0)</f>
        <v>0</v>
      </c>
      <c r="AS35" s="30" t="n">
        <f aca="false">IF(AND(Projects!$G$26="Yes",AS$3&gt;=Projects!$C$26,AS$3&lt;Projects!$C$26+Projects!$D$26),Projects!$B$26*INDEX(Curves!$B$4:$AR$4,1,AS$3-Projects!$C$26+1),0)-IF(AND(Projects!$G$26="Yes",AS$3&gt;=Projects!$C$26,AS$3&lt;Projects!$C$26+Projects!$D$26),Projects!$B$26*(Assumptions!$B$10+Assumptions!$B$11+Assumptions!$B$12)/Projects!$D$26*0.95,0)-IF(AND(Projects!$G$26="Yes",AS$3=Projects!$C$26+Projects!$D$26-1),Projects!$B$26*(Assumptions!$B$10+Assumptions!$B$11+Assumptions!$B$12)*0.05,0)</f>
        <v>0</v>
      </c>
      <c r="AT35" s="30" t="n">
        <f aca="false">IF(AND(Projects!$G$26="Yes",AT$3&gt;=Projects!$C$26,AT$3&lt;Projects!$C$26+Projects!$D$26),Projects!$B$26*INDEX(Curves!$B$4:$AR$4,1,AT$3-Projects!$C$26+1),0)-IF(AND(Projects!$G$26="Yes",AT$3&gt;=Projects!$C$26,AT$3&lt;Projects!$C$26+Projects!$D$26),Projects!$B$26*(Assumptions!$B$10+Assumptions!$B$11+Assumptions!$B$12)/Projects!$D$26*0.95,0)-IF(AND(Projects!$G$26="Yes",AT$3=Projects!$C$26+Projects!$D$26-1),Projects!$B$26*(Assumptions!$B$10+Assumptions!$B$11+Assumptions!$B$12)*0.05,0)</f>
        <v>0</v>
      </c>
      <c r="AU35" s="30" t="n">
        <f aca="false">IF(AND(Projects!$G$26="Yes",AU$3&gt;=Projects!$C$26,AU$3&lt;Projects!$C$26+Projects!$D$26),Projects!$B$26*INDEX(Curves!$B$4:$AR$4,1,AU$3-Projects!$C$26+1),0)-IF(AND(Projects!$G$26="Yes",AU$3&gt;=Projects!$C$26,AU$3&lt;Projects!$C$26+Projects!$D$26),Projects!$B$26*(Assumptions!$B$10+Assumptions!$B$11+Assumptions!$B$12)/Projects!$D$26*0.95,0)-IF(AND(Projects!$G$26="Yes",AU$3=Projects!$C$26+Projects!$D$26-1),Projects!$B$26*(Assumptions!$B$10+Assumptions!$B$11+Assumptions!$B$12)*0.05,0)</f>
        <v>0</v>
      </c>
      <c r="AV35" s="30" t="n">
        <f aca="false">IF(AND(Projects!$G$26="Yes",AV$3&gt;=Projects!$C$26,AV$3&lt;Projects!$C$26+Projects!$D$26),Projects!$B$26*INDEX(Curves!$B$4:$AR$4,1,AV$3-Projects!$C$26+1),0)-IF(AND(Projects!$G$26="Yes",AV$3&gt;=Projects!$C$26,AV$3&lt;Projects!$C$26+Projects!$D$26),Projects!$B$26*(Assumptions!$B$10+Assumptions!$B$11+Assumptions!$B$12)/Projects!$D$26*0.95,0)-IF(AND(Projects!$G$26="Yes",AV$3=Projects!$C$26+Projects!$D$26-1),Projects!$B$26*(Assumptions!$B$10+Assumptions!$B$11+Assumptions!$B$12)*0.05,0)</f>
        <v>0</v>
      </c>
      <c r="AW35" s="30" t="n">
        <f aca="false">IF(AND(Projects!$G$26="Yes",AW$3&gt;=Projects!$C$26,AW$3&lt;Projects!$C$26+Projects!$D$26),Projects!$B$26*INDEX(Curves!$B$4:$AR$4,1,AW$3-Projects!$C$26+1),0)-IF(AND(Projects!$G$26="Yes",AW$3&gt;=Projects!$C$26,AW$3&lt;Projects!$C$26+Projects!$D$26),Projects!$B$26*(Assumptions!$B$10+Assumptions!$B$11+Assumptions!$B$12)/Projects!$D$26*0.95,0)-IF(AND(Projects!$G$26="Yes",AW$3=Projects!$C$26+Projects!$D$26-1),Projects!$B$26*(Assumptions!$B$10+Assumptions!$B$11+Assumptions!$B$12)*0.05,0)</f>
        <v>0</v>
      </c>
      <c r="AX35" s="30" t="n">
        <f aca="false">IF(AND(Projects!$G$26="Yes",AX$3&gt;=Projects!$C$26,AX$3&lt;Projects!$C$26+Projects!$D$26),Projects!$B$26*INDEX(Curves!$B$4:$AR$4,1,AX$3-Projects!$C$26+1),0)-IF(AND(Projects!$G$26="Yes",AX$3&gt;=Projects!$C$26,AX$3&lt;Projects!$C$26+Projects!$D$26),Projects!$B$26*(Assumptions!$B$10+Assumptions!$B$11+Assumptions!$B$12)/Projects!$D$26*0.95,0)-IF(AND(Projects!$G$26="Yes",AX$3=Projects!$C$26+Projects!$D$26-1),Projects!$B$26*(Assumptions!$B$10+Assumptions!$B$11+Assumptions!$B$12)*0.05,0)</f>
        <v>0</v>
      </c>
      <c r="AY35" s="30" t="n">
        <f aca="false">IF(AND(Projects!$G$26="Yes",AY$3&gt;=Projects!$C$26,AY$3&lt;Projects!$C$26+Projects!$D$26),Projects!$B$26*INDEX(Curves!$B$4:$AR$4,1,AY$3-Projects!$C$26+1),0)-IF(AND(Projects!$G$26="Yes",AY$3&gt;=Projects!$C$26,AY$3&lt;Projects!$C$26+Projects!$D$26),Projects!$B$26*(Assumptions!$B$10+Assumptions!$B$11+Assumptions!$B$12)/Projects!$D$26*0.95,0)-IF(AND(Projects!$G$26="Yes",AY$3=Projects!$C$26+Projects!$D$26-1),Projects!$B$26*(Assumptions!$B$10+Assumptions!$B$11+Assumptions!$B$12)*0.05,0)</f>
        <v>0</v>
      </c>
      <c r="AZ35" s="30" t="n">
        <f aca="false">IF(AND(Projects!$G$26="Yes",AZ$3&gt;=Projects!$C$26,AZ$3&lt;Projects!$C$26+Projects!$D$26),Projects!$B$26*INDEX(Curves!$B$4:$AR$4,1,AZ$3-Projects!$C$26+1),0)-IF(AND(Projects!$G$26="Yes",AZ$3&gt;=Projects!$C$26,AZ$3&lt;Projects!$C$26+Projects!$D$26),Projects!$B$26*(Assumptions!$B$10+Assumptions!$B$11+Assumptions!$B$12)/Projects!$D$26*0.95,0)-IF(AND(Projects!$G$26="Yes",AZ$3=Projects!$C$26+Projects!$D$26-1),Projects!$B$26*(Assumptions!$B$10+Assumptions!$B$11+Assumptions!$B$12)*0.05,0)</f>
        <v>0</v>
      </c>
      <c r="BA35" s="30" t="n">
        <f aca="false">IF(AND(Projects!$G$26="Yes",BA$3&gt;=Projects!$C$26,BA$3&lt;Projects!$C$26+Projects!$D$26),Projects!$B$26*INDEX(Curves!$B$4:$AR$4,1,BA$3-Projects!$C$26+1),0)-IF(AND(Projects!$G$26="Yes",BA$3&gt;=Projects!$C$26,BA$3&lt;Projects!$C$26+Projects!$D$26),Projects!$B$26*(Assumptions!$B$10+Assumptions!$B$11+Assumptions!$B$12)/Projects!$D$26*0.95,0)-IF(AND(Projects!$G$26="Yes",BA$3=Projects!$C$26+Projects!$D$26-1),Projects!$B$26*(Assumptions!$B$10+Assumptions!$B$11+Assumptions!$B$12)*0.05,0)</f>
        <v>0</v>
      </c>
      <c r="BB35" s="30" t="n">
        <f aca="false">IF(AND(Projects!$G$26="Yes",BB$3&gt;=Projects!$C$26,BB$3&lt;Projects!$C$26+Projects!$D$26),Projects!$B$26*INDEX(Curves!$B$4:$AR$4,1,BB$3-Projects!$C$26+1),0)-IF(AND(Projects!$G$26="Yes",BB$3&gt;=Projects!$C$26,BB$3&lt;Projects!$C$26+Projects!$D$26),Projects!$B$26*(Assumptions!$B$10+Assumptions!$B$11+Assumptions!$B$12)/Projects!$D$26*0.95,0)-IF(AND(Projects!$G$26="Yes",BB$3=Projects!$C$26+Projects!$D$26-1),Projects!$B$26*(Assumptions!$B$10+Assumptions!$B$11+Assumptions!$B$12)*0.05,0)</f>
        <v>0</v>
      </c>
      <c r="BC35" s="30" t="n">
        <f aca="false">IF(AND(Projects!$G$26="Yes",BC$3&gt;=Projects!$C$26,BC$3&lt;Projects!$C$26+Projects!$D$26),Projects!$B$26*INDEX(Curves!$B$4:$AR$4,1,BC$3-Projects!$C$26+1),0)-IF(AND(Projects!$G$26="Yes",BC$3&gt;=Projects!$C$26,BC$3&lt;Projects!$C$26+Projects!$D$26),Projects!$B$26*(Assumptions!$B$10+Assumptions!$B$11+Assumptions!$B$12)/Projects!$D$26*0.95,0)-IF(AND(Projects!$G$26="Yes",BC$3=Projects!$C$26+Projects!$D$26-1),Projects!$B$26*(Assumptions!$B$10+Assumptions!$B$11+Assumptions!$B$12)*0.05,0)</f>
        <v>0</v>
      </c>
      <c r="BD35" s="30" t="n">
        <f aca="false">IF(AND(Projects!$G$26="Yes",BD$3&gt;=Projects!$C$26,BD$3&lt;Projects!$C$26+Projects!$D$26),Projects!$B$26*INDEX(Curves!$B$4:$AR$4,1,BD$3-Projects!$C$26+1),0)-IF(AND(Projects!$G$26="Yes",BD$3&gt;=Projects!$C$26,BD$3&lt;Projects!$C$26+Projects!$D$26),Projects!$B$26*(Assumptions!$B$10+Assumptions!$B$11+Assumptions!$B$12)/Projects!$D$26*0.95,0)-IF(AND(Projects!$G$26="Yes",BD$3=Projects!$C$26+Projects!$D$26-1),Projects!$B$26*(Assumptions!$B$10+Assumptions!$B$11+Assumptions!$B$12)*0.05,0)</f>
        <v>0</v>
      </c>
      <c r="BE35" s="30" t="n">
        <f aca="false">IF(AND(Projects!$G$26="Yes",BE$3&gt;=Projects!$C$26,BE$3&lt;Projects!$C$26+Projects!$D$26),Projects!$B$26*INDEX(Curves!$B$4:$AR$4,1,BE$3-Projects!$C$26+1),0)-IF(AND(Projects!$G$26="Yes",BE$3&gt;=Projects!$C$26,BE$3&lt;Projects!$C$26+Projects!$D$26),Projects!$B$26*(Assumptions!$B$10+Assumptions!$B$11+Assumptions!$B$12)/Projects!$D$26*0.95,0)-IF(AND(Projects!$G$26="Yes",BE$3=Projects!$C$26+Projects!$D$26-1),Projects!$B$26*(Assumptions!$B$10+Assumptions!$B$11+Assumptions!$B$12)*0.05,0)</f>
        <v>0</v>
      </c>
      <c r="BF35" s="30" t="n">
        <f aca="false">IF(AND(Projects!$G$26="Yes",BF$3&gt;=Projects!$C$26,BF$3&lt;Projects!$C$26+Projects!$D$26),Projects!$B$26*INDEX(Curves!$B$4:$AR$4,1,BF$3-Projects!$C$26+1),0)-IF(AND(Projects!$G$26="Yes",BF$3&gt;=Projects!$C$26,BF$3&lt;Projects!$C$26+Projects!$D$26),Projects!$B$26*(Assumptions!$B$10+Assumptions!$B$11+Assumptions!$B$12)/Projects!$D$26*0.95,0)-IF(AND(Projects!$G$26="Yes",BF$3=Projects!$C$26+Projects!$D$26-1),Projects!$B$26*(Assumptions!$B$10+Assumptions!$B$11+Assumptions!$B$12)*0.05,0)</f>
        <v>0</v>
      </c>
      <c r="BG35" s="30" t="n">
        <f aca="false">IF(AND(Projects!$G$26="Yes",BG$3&gt;=Projects!$C$26,BG$3&lt;Projects!$C$26+Projects!$D$26),Projects!$B$26*INDEX(Curves!$B$4:$AR$4,1,BG$3-Projects!$C$26+1),0)-IF(AND(Projects!$G$26="Yes",BG$3&gt;=Projects!$C$26,BG$3&lt;Projects!$C$26+Projects!$D$26),Projects!$B$26*(Assumptions!$B$10+Assumptions!$B$11+Assumptions!$B$12)/Projects!$D$26*0.95,0)-IF(AND(Projects!$G$26="Yes",BG$3=Projects!$C$26+Projects!$D$26-1),Projects!$B$26*(Assumptions!$B$10+Assumptions!$B$11+Assumptions!$B$12)*0.05,0)</f>
        <v>0</v>
      </c>
      <c r="BH35" s="30" t="n">
        <f aca="false">IF(AND(Projects!$G$26="Yes",BH$3&gt;=Projects!$C$26,BH$3&lt;Projects!$C$26+Projects!$D$26),Projects!$B$26*INDEX(Curves!$B$4:$AR$4,1,BH$3-Projects!$C$26+1),0)-IF(AND(Projects!$G$26="Yes",BH$3&gt;=Projects!$C$26,BH$3&lt;Projects!$C$26+Projects!$D$26),Projects!$B$26*(Assumptions!$B$10+Assumptions!$B$11+Assumptions!$B$12)/Projects!$D$26*0.95,0)-IF(AND(Projects!$G$26="Yes",BH$3=Projects!$C$26+Projects!$D$26-1),Projects!$B$26*(Assumptions!$B$10+Assumptions!$B$11+Assumptions!$B$12)*0.05,0)</f>
        <v>0</v>
      </c>
      <c r="BI35" s="30" t="n">
        <f aca="false">IF(AND(Projects!$G$26="Yes",BI$3&gt;=Projects!$C$26,BI$3&lt;Projects!$C$26+Projects!$D$26),Projects!$B$26*INDEX(Curves!$B$4:$AR$4,1,BI$3-Projects!$C$26+1),0)-IF(AND(Projects!$G$26="Yes",BI$3&gt;=Projects!$C$26,BI$3&lt;Projects!$C$26+Projects!$D$26),Projects!$B$26*(Assumptions!$B$10+Assumptions!$B$11+Assumptions!$B$12)/Projects!$D$26*0.95,0)-IF(AND(Projects!$G$26="Yes",BI$3=Projects!$C$26+Projects!$D$26-1),Projects!$B$26*(Assumptions!$B$10+Assumptions!$B$11+Assumptions!$B$12)*0.05,0)</f>
        <v>0</v>
      </c>
      <c r="BJ35" s="30" t="n">
        <f aca="false">IF(AND(Projects!$G$26="Yes",BJ$3&gt;=Projects!$C$26,BJ$3&lt;Projects!$C$26+Projects!$D$26),Projects!$B$26*INDEX(Curves!$B$4:$AR$4,1,BJ$3-Projects!$C$26+1),0)-IF(AND(Projects!$G$26="Yes",BJ$3&gt;=Projects!$C$26,BJ$3&lt;Projects!$C$26+Projects!$D$26),Projects!$B$26*(Assumptions!$B$10+Assumptions!$B$11+Assumptions!$B$12)/Projects!$D$26*0.95,0)-IF(AND(Projects!$G$26="Yes",BJ$3=Projects!$C$26+Projects!$D$26-1),Projects!$B$26*(Assumptions!$B$10+Assumptions!$B$11+Assumptions!$B$12)*0.05,0)</f>
        <v>0</v>
      </c>
      <c r="BK35" s="30" t="n">
        <f aca="false">IF(AND(Projects!$G$26="Yes",BK$3&gt;=Projects!$C$26,BK$3&lt;Projects!$C$26+Projects!$D$26),Projects!$B$26*INDEX(Curves!$B$4:$AR$4,1,BK$3-Projects!$C$26+1),0)-IF(AND(Projects!$G$26="Yes",BK$3&gt;=Projects!$C$26,BK$3&lt;Projects!$C$26+Projects!$D$26),Projects!$B$26*(Assumptions!$B$10+Assumptions!$B$11+Assumptions!$B$12)/Projects!$D$26*0.95,0)-IF(AND(Projects!$G$26="Yes",BK$3=Projects!$C$26+Projects!$D$26-1),Projects!$B$26*(Assumptions!$B$10+Assumptions!$B$11+Assumptions!$B$12)*0.05,0)</f>
        <v>0</v>
      </c>
      <c r="BL35" s="30" t="n">
        <f aca="false">IF(AND(Projects!$G$26="Yes",BL$3&gt;=Projects!$C$26,BL$3&lt;Projects!$C$26+Projects!$D$26),Projects!$B$26*INDEX(Curves!$B$4:$AR$4,1,BL$3-Projects!$C$26+1),0)-IF(AND(Projects!$G$26="Yes",BL$3&gt;=Projects!$C$26,BL$3&lt;Projects!$C$26+Projects!$D$26),Projects!$B$26*(Assumptions!$B$10+Assumptions!$B$11+Assumptions!$B$12)/Projects!$D$26*0.95,0)-IF(AND(Projects!$G$26="Yes",BL$3=Projects!$C$26+Projects!$D$26-1),Projects!$B$26*(Assumptions!$B$10+Assumptions!$B$11+Assumptions!$B$12)*0.05,0)</f>
        <v>0</v>
      </c>
      <c r="BM35" s="30" t="n">
        <f aca="false">IF(AND(Projects!$G$26="Yes",BM$3&gt;=Projects!$C$26,BM$3&lt;Projects!$C$26+Projects!$D$26),Projects!$B$26*INDEX(Curves!$B$4:$AR$4,1,BM$3-Projects!$C$26+1),0)-IF(AND(Projects!$G$26="Yes",BM$3&gt;=Projects!$C$26,BM$3&lt;Projects!$C$26+Projects!$D$26),Projects!$B$26*(Assumptions!$B$10+Assumptions!$B$11+Assumptions!$B$12)/Projects!$D$26*0.95,0)-IF(AND(Projects!$G$26="Yes",BM$3=Projects!$C$26+Projects!$D$26-1),Projects!$B$26*(Assumptions!$B$10+Assumptions!$B$11+Assumptions!$B$12)*0.05,0)</f>
        <v>0</v>
      </c>
      <c r="BN35" s="30" t="n">
        <f aca="false">IF(AND(Projects!$G$26="Yes",BN$3&gt;=Projects!$C$26,BN$3&lt;Projects!$C$26+Projects!$D$26),Projects!$B$26*INDEX(Curves!$B$4:$AR$4,1,BN$3-Projects!$C$26+1),0)-IF(AND(Projects!$G$26="Yes",BN$3&gt;=Projects!$C$26,BN$3&lt;Projects!$C$26+Projects!$D$26),Projects!$B$26*(Assumptions!$B$10+Assumptions!$B$11+Assumptions!$B$12)/Projects!$D$26*0.95,0)-IF(AND(Projects!$G$26="Yes",BN$3=Projects!$C$26+Projects!$D$26-1),Projects!$B$26*(Assumptions!$B$10+Assumptions!$B$11+Assumptions!$B$12)*0.05,0)</f>
        <v>0</v>
      </c>
      <c r="BO35" s="30" t="n">
        <f aca="false">IF(AND(Projects!$G$26="Yes",BO$3&gt;=Projects!$C$26,BO$3&lt;Projects!$C$26+Projects!$D$26),Projects!$B$26*INDEX(Curves!$B$4:$AR$4,1,BO$3-Projects!$C$26+1),0)-IF(AND(Projects!$G$26="Yes",BO$3&gt;=Projects!$C$26,BO$3&lt;Projects!$C$26+Projects!$D$26),Projects!$B$26*(Assumptions!$B$10+Assumptions!$B$11+Assumptions!$B$12)/Projects!$D$26*0.95,0)-IF(AND(Projects!$G$26="Yes",BO$3=Projects!$C$26+Projects!$D$26-1),Projects!$B$26*(Assumptions!$B$10+Assumptions!$B$11+Assumptions!$B$12)*0.05,0)</f>
        <v>0</v>
      </c>
      <c r="BP35" s="30" t="n">
        <f aca="false">IF(AND(Projects!$G$26="Yes",BP$3&gt;=Projects!$C$26,BP$3&lt;Projects!$C$26+Projects!$D$26),Projects!$B$26*INDEX(Curves!$B$4:$AR$4,1,BP$3-Projects!$C$26+1),0)-IF(AND(Projects!$G$26="Yes",BP$3&gt;=Projects!$C$26,BP$3&lt;Projects!$C$26+Projects!$D$26),Projects!$B$26*(Assumptions!$B$10+Assumptions!$B$11+Assumptions!$B$12)/Projects!$D$26*0.95,0)-IF(AND(Projects!$G$26="Yes",BP$3=Projects!$C$26+Projects!$D$26-1),Projects!$B$26*(Assumptions!$B$10+Assumptions!$B$11+Assumptions!$B$12)*0.05,0)</f>
        <v>0</v>
      </c>
      <c r="BQ35" s="30" t="n">
        <f aca="false">IF(AND(Projects!$G$26="Yes",BQ$3&gt;=Projects!$C$26,BQ$3&lt;Projects!$C$26+Projects!$D$26),Projects!$B$26*INDEX(Curves!$B$4:$AR$4,1,BQ$3-Projects!$C$26+1),0)-IF(AND(Projects!$G$26="Yes",BQ$3&gt;=Projects!$C$26,BQ$3&lt;Projects!$C$26+Projects!$D$26),Projects!$B$26*(Assumptions!$B$10+Assumptions!$B$11+Assumptions!$B$12)/Projects!$D$26*0.95,0)-IF(AND(Projects!$G$26="Yes",BQ$3=Projects!$C$26+Projects!$D$26-1),Projects!$B$26*(Assumptions!$B$10+Assumptions!$B$11+Assumptions!$B$12)*0.05,0)</f>
        <v>0</v>
      </c>
      <c r="BR35" s="30" t="n">
        <f aca="false">IF(AND(Projects!$G$26="Yes",BR$3&gt;=Projects!$C$26,BR$3&lt;Projects!$C$26+Projects!$D$26),Projects!$B$26*INDEX(Curves!$B$4:$AR$4,1,BR$3-Projects!$C$26+1),0)-IF(AND(Projects!$G$26="Yes",BR$3&gt;=Projects!$C$26,BR$3&lt;Projects!$C$26+Projects!$D$26),Projects!$B$26*(Assumptions!$B$10+Assumptions!$B$11+Assumptions!$B$12)/Projects!$D$26*0.95,0)-IF(AND(Projects!$G$26="Yes",BR$3=Projects!$C$26+Projects!$D$26-1),Projects!$B$26*(Assumptions!$B$10+Assumptions!$B$11+Assumptions!$B$12)*0.05,0)</f>
        <v>0</v>
      </c>
      <c r="BS35" s="30" t="n">
        <f aca="false">IF(AND(Projects!$G$26="Yes",BS$3&gt;=Projects!$C$26,BS$3&lt;Projects!$C$26+Projects!$D$26),Projects!$B$26*INDEX(Curves!$B$4:$AR$4,1,BS$3-Projects!$C$26+1),0)-IF(AND(Projects!$G$26="Yes",BS$3&gt;=Projects!$C$26,BS$3&lt;Projects!$C$26+Projects!$D$26),Projects!$B$26*(Assumptions!$B$10+Assumptions!$B$11+Assumptions!$B$12)/Projects!$D$26*0.95,0)-IF(AND(Projects!$G$26="Yes",BS$3=Projects!$C$26+Projects!$D$26-1),Projects!$B$26*(Assumptions!$B$10+Assumptions!$B$11+Assumptions!$B$12)*0.05,0)</f>
        <v>0</v>
      </c>
      <c r="BT35" s="30" t="n">
        <f aca="false">IF(AND(Projects!$G$26="Yes",BT$3&gt;=Projects!$C$26,BT$3&lt;Projects!$C$26+Projects!$D$26),Projects!$B$26*INDEX(Curves!$B$4:$AR$4,1,BT$3-Projects!$C$26+1),0)-IF(AND(Projects!$G$26="Yes",BT$3&gt;=Projects!$C$26,BT$3&lt;Projects!$C$26+Projects!$D$26),Projects!$B$26*(Assumptions!$B$10+Assumptions!$B$11+Assumptions!$B$12)/Projects!$D$26*0.95,0)-IF(AND(Projects!$G$26="Yes",BT$3=Projects!$C$26+Projects!$D$26-1),Projects!$B$26*(Assumptions!$B$10+Assumptions!$B$11+Assumptions!$B$12)*0.05,0)</f>
        <v>0</v>
      </c>
      <c r="BU35" s="30" t="n">
        <f aca="false">IF(AND(Projects!$G$26="Yes",BU$3&gt;=Projects!$C$26,BU$3&lt;Projects!$C$26+Projects!$D$26),Projects!$B$26*INDEX(Curves!$B$4:$AR$4,1,BU$3-Projects!$C$26+1),0)-IF(AND(Projects!$G$26="Yes",BU$3&gt;=Projects!$C$26,BU$3&lt;Projects!$C$26+Projects!$D$26),Projects!$B$26*(Assumptions!$B$10+Assumptions!$B$11+Assumptions!$B$12)/Projects!$D$26*0.95,0)-IF(AND(Projects!$G$26="Yes",BU$3=Projects!$C$26+Projects!$D$26-1),Projects!$B$26*(Assumptions!$B$10+Assumptions!$B$11+Assumptions!$B$12)*0.05,0)</f>
        <v>0</v>
      </c>
      <c r="BV35" s="30" t="n">
        <f aca="false">IF(AND(Projects!$G$26="Yes",BV$3&gt;=Projects!$C$26,BV$3&lt;Projects!$C$26+Projects!$D$26),Projects!$B$26*INDEX(Curves!$B$4:$AR$4,1,BV$3-Projects!$C$26+1),0)-IF(AND(Projects!$G$26="Yes",BV$3&gt;=Projects!$C$26,BV$3&lt;Projects!$C$26+Projects!$D$26),Projects!$B$26*(Assumptions!$B$10+Assumptions!$B$11+Assumptions!$B$12)/Projects!$D$26*0.95,0)-IF(AND(Projects!$G$26="Yes",BV$3=Projects!$C$26+Projects!$D$26-1),Projects!$B$26*(Assumptions!$B$10+Assumptions!$B$11+Assumptions!$B$12)*0.05,0)</f>
        <v>0</v>
      </c>
      <c r="BW35" s="30" t="n">
        <f aca="false">IF(AND(Projects!$G$26="Yes",BW$3&gt;=Projects!$C$26,BW$3&lt;Projects!$C$26+Projects!$D$26),Projects!$B$26*INDEX(Curves!$B$4:$AR$4,1,BW$3-Projects!$C$26+1),0)-IF(AND(Projects!$G$26="Yes",BW$3&gt;=Projects!$C$26,BW$3&lt;Projects!$C$26+Projects!$D$26),Projects!$B$26*(Assumptions!$B$10+Assumptions!$B$11+Assumptions!$B$12)/Projects!$D$26*0.95,0)-IF(AND(Projects!$G$26="Yes",BW$3=Projects!$C$26+Projects!$D$26-1),Projects!$B$26*(Assumptions!$B$10+Assumptions!$B$11+Assumptions!$B$12)*0.05,0)</f>
        <v>0</v>
      </c>
      <c r="BX35" s="30" t="n">
        <f aca="false">IF(AND(Projects!$G$26="Yes",BX$3&gt;=Projects!$C$26,BX$3&lt;Projects!$C$26+Projects!$D$26),Projects!$B$26*INDEX(Curves!$B$4:$AR$4,1,BX$3-Projects!$C$26+1),0)-IF(AND(Projects!$G$26="Yes",BX$3&gt;=Projects!$C$26,BX$3&lt;Projects!$C$26+Projects!$D$26),Projects!$B$26*(Assumptions!$B$10+Assumptions!$B$11+Assumptions!$B$12)/Projects!$D$26*0.95,0)-IF(AND(Projects!$G$26="Yes",BX$3=Projects!$C$26+Projects!$D$26-1),Projects!$B$26*(Assumptions!$B$10+Assumptions!$B$11+Assumptions!$B$12)*0.05,0)</f>
        <v>0</v>
      </c>
      <c r="BY35" s="30" t="n">
        <f aca="false">IF(AND(Projects!$G$26="Yes",BY$3&gt;=Projects!$C$26,BY$3&lt;Projects!$C$26+Projects!$D$26),Projects!$B$26*INDEX(Curves!$B$4:$AR$4,1,BY$3-Projects!$C$26+1),0)-IF(AND(Projects!$G$26="Yes",BY$3&gt;=Projects!$C$26,BY$3&lt;Projects!$C$26+Projects!$D$26),Projects!$B$26*(Assumptions!$B$10+Assumptions!$B$11+Assumptions!$B$12)/Projects!$D$26*0.95,0)-IF(AND(Projects!$G$26="Yes",BY$3=Projects!$C$26+Projects!$D$26-1),Projects!$B$26*(Assumptions!$B$10+Assumptions!$B$11+Assumptions!$B$12)*0.05,0)</f>
        <v>0</v>
      </c>
      <c r="BZ35" s="30" t="n">
        <f aca="false">IF(AND(Projects!$G$26="Yes",BZ$3&gt;=Projects!$C$26,BZ$3&lt;Projects!$C$26+Projects!$D$26),Projects!$B$26*INDEX(Curves!$B$4:$AR$4,1,BZ$3-Projects!$C$26+1),0)-IF(AND(Projects!$G$26="Yes",BZ$3&gt;=Projects!$C$26,BZ$3&lt;Projects!$C$26+Projects!$D$26),Projects!$B$26*(Assumptions!$B$10+Assumptions!$B$11+Assumptions!$B$12)/Projects!$D$26*0.95,0)-IF(AND(Projects!$G$26="Yes",BZ$3=Projects!$C$26+Projects!$D$26-1),Projects!$B$26*(Assumptions!$B$10+Assumptions!$B$11+Assumptions!$B$12)*0.05,0)</f>
        <v>0</v>
      </c>
      <c r="CA35" s="30" t="n">
        <f aca="false">IF(AND(Projects!$G$26="Yes",CA$3&gt;=Projects!$C$26,CA$3&lt;Projects!$C$26+Projects!$D$26),Projects!$B$26*INDEX(Curves!$B$4:$AR$4,1,CA$3-Projects!$C$26+1),0)-IF(AND(Projects!$G$26="Yes",CA$3&gt;=Projects!$C$26,CA$3&lt;Projects!$C$26+Projects!$D$26),Projects!$B$26*(Assumptions!$B$10+Assumptions!$B$11+Assumptions!$B$12)/Projects!$D$26*0.95,0)-IF(AND(Projects!$G$26="Yes",CA$3=Projects!$C$26+Projects!$D$26-1),Projects!$B$26*(Assumptions!$B$10+Assumptions!$B$11+Assumptions!$B$12)*0.05,0)</f>
        <v>0</v>
      </c>
      <c r="CB35" s="30" t="n">
        <f aca="false">IF(AND(Projects!$G$26="Yes",CB$3&gt;=Projects!$C$26,CB$3&lt;Projects!$C$26+Projects!$D$26),Projects!$B$26*INDEX(Curves!$B$4:$AR$4,1,CB$3-Projects!$C$26+1),0)-IF(AND(Projects!$G$26="Yes",CB$3&gt;=Projects!$C$26,CB$3&lt;Projects!$C$26+Projects!$D$26),Projects!$B$26*(Assumptions!$B$10+Assumptions!$B$11+Assumptions!$B$12)/Projects!$D$26*0.95,0)-IF(AND(Projects!$G$26="Yes",CB$3=Projects!$C$26+Projects!$D$26-1),Projects!$B$26*(Assumptions!$B$10+Assumptions!$B$11+Assumptions!$B$12)*0.05,0)</f>
        <v>0</v>
      </c>
      <c r="CC35" s="30" t="n">
        <f aca="false">IF(AND(Projects!$G$26="Yes",CC$3&gt;=Projects!$C$26,CC$3&lt;Projects!$C$26+Projects!$D$26),Projects!$B$26*INDEX(Curves!$B$4:$AR$4,1,CC$3-Projects!$C$26+1),0)-IF(AND(Projects!$G$26="Yes",CC$3&gt;=Projects!$C$26,CC$3&lt;Projects!$C$26+Projects!$D$26),Projects!$B$26*(Assumptions!$B$10+Assumptions!$B$11+Assumptions!$B$12)/Projects!$D$26*0.95,0)-IF(AND(Projects!$G$26="Yes",CC$3=Projects!$C$26+Projects!$D$26-1),Projects!$B$26*(Assumptions!$B$10+Assumptions!$B$11+Assumptions!$B$12)*0.05,0)</f>
        <v>0</v>
      </c>
      <c r="CD35" s="30" t="n">
        <f aca="false">IF(AND(Projects!$G$26="Yes",CD$3&gt;=Projects!$C$26,CD$3&lt;Projects!$C$26+Projects!$D$26),Projects!$B$26*INDEX(Curves!$B$4:$AR$4,1,CD$3-Projects!$C$26+1),0)-IF(AND(Projects!$G$26="Yes",CD$3&gt;=Projects!$C$26,CD$3&lt;Projects!$C$26+Projects!$D$26),Projects!$B$26*(Assumptions!$B$10+Assumptions!$B$11+Assumptions!$B$12)/Projects!$D$26*0.95,0)-IF(AND(Projects!$G$26="Yes",CD$3=Projects!$C$26+Projects!$D$26-1),Projects!$B$26*(Assumptions!$B$10+Assumptions!$B$11+Assumptions!$B$12)*0.05,0)</f>
        <v>0</v>
      </c>
      <c r="CE35" s="30" t="n">
        <f aca="false">IF(AND(Projects!$G$26="Yes",CE$3&gt;=Projects!$C$26,CE$3&lt;Projects!$C$26+Projects!$D$26),Projects!$B$26*INDEX(Curves!$B$4:$AR$4,1,CE$3-Projects!$C$26+1),0)-IF(AND(Projects!$G$26="Yes",CE$3&gt;=Projects!$C$26,CE$3&lt;Projects!$C$26+Projects!$D$26),Projects!$B$26*(Assumptions!$B$10+Assumptions!$B$11+Assumptions!$B$12)/Projects!$D$26*0.95,0)-IF(AND(Projects!$G$26="Yes",CE$3=Projects!$C$26+Projects!$D$26-1),Projects!$B$26*(Assumptions!$B$10+Assumptions!$B$11+Assumptions!$B$12)*0.05,0)</f>
        <v>0</v>
      </c>
      <c r="CF35" s="30" t="n">
        <f aca="false">IF(AND(Projects!$G$26="Yes",CF$3&gt;=Projects!$C$26,CF$3&lt;Projects!$C$26+Projects!$D$26),Projects!$B$26*INDEX(Curves!$B$4:$AR$4,1,CF$3-Projects!$C$26+1),0)-IF(AND(Projects!$G$26="Yes",CF$3&gt;=Projects!$C$26,CF$3&lt;Projects!$C$26+Projects!$D$26),Projects!$B$26*(Assumptions!$B$10+Assumptions!$B$11+Assumptions!$B$12)/Projects!$D$26*0.95,0)-IF(AND(Projects!$G$26="Yes",CF$3=Projects!$C$26+Projects!$D$26-1),Projects!$B$26*(Assumptions!$B$10+Assumptions!$B$11+Assumptions!$B$12)*0.05,0)</f>
        <v>0</v>
      </c>
      <c r="CG35" s="30" t="n">
        <f aca="false">IF(AND(Projects!$G$26="Yes",CG$3&gt;=Projects!$C$26,CG$3&lt;Projects!$C$26+Projects!$D$26),Projects!$B$26*INDEX(Curves!$B$4:$AR$4,1,CG$3-Projects!$C$26+1),0)-IF(AND(Projects!$G$26="Yes",CG$3&gt;=Projects!$C$26,CG$3&lt;Projects!$C$26+Projects!$D$26),Projects!$B$26*(Assumptions!$B$10+Assumptions!$B$11+Assumptions!$B$12)/Projects!$D$26*0.95,0)-IF(AND(Projects!$G$26="Yes",CG$3=Projects!$C$26+Projects!$D$26-1),Projects!$B$26*(Assumptions!$B$10+Assumptions!$B$11+Assumptions!$B$12)*0.05,0)</f>
        <v>0</v>
      </c>
      <c r="CH35" s="30" t="n">
        <f aca="false">IF(AND(Projects!$G$26="Yes",CH$3&gt;=Projects!$C$26,CH$3&lt;Projects!$C$26+Projects!$D$26),Projects!$B$26*INDEX(Curves!$B$4:$AR$4,1,CH$3-Projects!$C$26+1),0)-IF(AND(Projects!$G$26="Yes",CH$3&gt;=Projects!$C$26,CH$3&lt;Projects!$C$26+Projects!$D$26),Projects!$B$26*(Assumptions!$B$10+Assumptions!$B$11+Assumptions!$B$12)/Projects!$D$26*0.95,0)-IF(AND(Projects!$G$26="Yes",CH$3=Projects!$C$26+Projects!$D$26-1),Projects!$B$26*(Assumptions!$B$10+Assumptions!$B$11+Assumptions!$B$12)*0.05,0)</f>
        <v>0</v>
      </c>
      <c r="CI35" s="30" t="n">
        <f aca="false">IF(AND(Projects!$G$26="Yes",CI$3&gt;=Projects!$C$26,CI$3&lt;Projects!$C$26+Projects!$D$26),Projects!$B$26*INDEX(Curves!$B$4:$AR$4,1,CI$3-Projects!$C$26+1),0)-IF(AND(Projects!$G$26="Yes",CI$3&gt;=Projects!$C$26,CI$3&lt;Projects!$C$26+Projects!$D$26),Projects!$B$26*(Assumptions!$B$10+Assumptions!$B$11+Assumptions!$B$12)/Projects!$D$26*0.95,0)-IF(AND(Projects!$G$26="Yes",CI$3=Projects!$C$26+Projects!$D$26-1),Projects!$B$26*(Assumptions!$B$10+Assumptions!$B$11+Assumptions!$B$12)*0.05,0)</f>
        <v>0</v>
      </c>
      <c r="CJ35" s="30" t="n">
        <f aca="false">IF(AND(Projects!$G$26="Yes",CJ$3&gt;=Projects!$C$26,CJ$3&lt;Projects!$C$26+Projects!$D$26),Projects!$B$26*INDEX(Curves!$B$4:$AR$4,1,CJ$3-Projects!$C$26+1),0)-IF(AND(Projects!$G$26="Yes",CJ$3&gt;=Projects!$C$26,CJ$3&lt;Projects!$C$26+Projects!$D$26),Projects!$B$26*(Assumptions!$B$10+Assumptions!$B$11+Assumptions!$B$12)/Projects!$D$26*0.95,0)-IF(AND(Projects!$G$26="Yes",CJ$3=Projects!$C$26+Projects!$D$26-1),Projects!$B$26*(Assumptions!$B$10+Assumptions!$B$11+Assumptions!$B$12)*0.05,0)</f>
        <v>0</v>
      </c>
      <c r="CK35" s="30" t="n">
        <f aca="false">IF(AND(Projects!$G$26="Yes",CK$3&gt;=Projects!$C$26,CK$3&lt;Projects!$C$26+Projects!$D$26),Projects!$B$26*INDEX(Curves!$B$4:$AR$4,1,CK$3-Projects!$C$26+1),0)-IF(AND(Projects!$G$26="Yes",CK$3&gt;=Projects!$C$26,CK$3&lt;Projects!$C$26+Projects!$D$26),Projects!$B$26*(Assumptions!$B$10+Assumptions!$B$11+Assumptions!$B$12)/Projects!$D$26*0.95,0)-IF(AND(Projects!$G$26="Yes",CK$3=Projects!$C$26+Projects!$D$26-1),Projects!$B$26*(Assumptions!$B$10+Assumptions!$B$11+Assumptions!$B$12)*0.05,0)</f>
        <v>0</v>
      </c>
      <c r="CL35" s="30" t="n">
        <f aca="false">IF(AND(Projects!$G$26="Yes",CL$3&gt;=Projects!$C$26,CL$3&lt;Projects!$C$26+Projects!$D$26),Projects!$B$26*INDEX(Curves!$B$4:$AR$4,1,CL$3-Projects!$C$26+1),0)-IF(AND(Projects!$G$26="Yes",CL$3&gt;=Projects!$C$26,CL$3&lt;Projects!$C$26+Projects!$D$26),Projects!$B$26*(Assumptions!$B$10+Assumptions!$B$11+Assumptions!$B$12)/Projects!$D$26*0.95,0)-IF(AND(Projects!$G$26="Yes",CL$3=Projects!$C$26+Projects!$D$26-1),Projects!$B$26*(Assumptions!$B$10+Assumptions!$B$11+Assumptions!$B$12)*0.05,0)</f>
        <v>0</v>
      </c>
      <c r="CM35" s="30" t="n">
        <f aca="false">IF(AND(Projects!$G$26="Yes",CM$3&gt;=Projects!$C$26,CM$3&lt;Projects!$C$26+Projects!$D$26),Projects!$B$26*INDEX(Curves!$B$4:$AR$4,1,CM$3-Projects!$C$26+1),0)-IF(AND(Projects!$G$26="Yes",CM$3&gt;=Projects!$C$26,CM$3&lt;Projects!$C$26+Projects!$D$26),Projects!$B$26*(Assumptions!$B$10+Assumptions!$B$11+Assumptions!$B$12)/Projects!$D$26*0.95,0)-IF(AND(Projects!$G$26="Yes",CM$3=Projects!$C$26+Projects!$D$26-1),Projects!$B$26*(Assumptions!$B$10+Assumptions!$B$11+Assumptions!$B$12)*0.05,0)</f>
        <v>0</v>
      </c>
      <c r="CN35" s="30" t="n">
        <f aca="false">IF(AND(Projects!$G$26="Yes",CN$3&gt;=Projects!$C$26,CN$3&lt;Projects!$C$26+Projects!$D$26),Projects!$B$26*INDEX(Curves!$B$4:$AR$4,1,CN$3-Projects!$C$26+1),0)-IF(AND(Projects!$G$26="Yes",CN$3&gt;=Projects!$C$26,CN$3&lt;Projects!$C$26+Projects!$D$26),Projects!$B$26*(Assumptions!$B$10+Assumptions!$B$11+Assumptions!$B$12)/Projects!$D$26*0.95,0)-IF(AND(Projects!$G$26="Yes",CN$3=Projects!$C$26+Projects!$D$26-1),Projects!$B$26*(Assumptions!$B$10+Assumptions!$B$11+Assumptions!$B$12)*0.05,0)</f>
        <v>0</v>
      </c>
      <c r="CO35" s="30" t="n">
        <f aca="false">IF(AND(Projects!$G$26="Yes",CO$3&gt;=Projects!$C$26,CO$3&lt;Projects!$C$26+Projects!$D$26),Projects!$B$26*INDEX(Curves!$B$4:$AR$4,1,CO$3-Projects!$C$26+1),0)-IF(AND(Projects!$G$26="Yes",CO$3&gt;=Projects!$C$26,CO$3&lt;Projects!$C$26+Projects!$D$26),Projects!$B$26*(Assumptions!$B$10+Assumptions!$B$11+Assumptions!$B$12)/Projects!$D$26*0.95,0)-IF(AND(Projects!$G$26="Yes",CO$3=Projects!$C$26+Projects!$D$26-1),Projects!$B$26*(Assumptions!$B$10+Assumptions!$B$11+Assumptions!$B$12)*0.05,0)</f>
        <v>0</v>
      </c>
      <c r="CP35" s="30" t="n">
        <f aca="false">IF(AND(Projects!$G$26="Yes",CP$3&gt;=Projects!$C$26,CP$3&lt;Projects!$C$26+Projects!$D$26),Projects!$B$26*INDEX(Curves!$B$4:$AR$4,1,CP$3-Projects!$C$26+1),0)-IF(AND(Projects!$G$26="Yes",CP$3&gt;=Projects!$C$26,CP$3&lt;Projects!$C$26+Projects!$D$26),Projects!$B$26*(Assumptions!$B$10+Assumptions!$B$11+Assumptions!$B$12)/Projects!$D$26*0.95,0)-IF(AND(Projects!$G$26="Yes",CP$3=Projects!$C$26+Projects!$D$26-1),Projects!$B$26*(Assumptions!$B$10+Assumptions!$B$11+Assumptions!$B$12)*0.05,0)</f>
        <v>0</v>
      </c>
      <c r="CQ35" s="30" t="n">
        <f aca="false">IF(AND(Projects!$G$26="Yes",CQ$3&gt;=Projects!$C$26,CQ$3&lt;Projects!$C$26+Projects!$D$26),Projects!$B$26*INDEX(Curves!$B$4:$AR$4,1,CQ$3-Projects!$C$26+1),0)-IF(AND(Projects!$G$26="Yes",CQ$3&gt;=Projects!$C$26,CQ$3&lt;Projects!$C$26+Projects!$D$26),Projects!$B$26*(Assumptions!$B$10+Assumptions!$B$11+Assumptions!$B$12)/Projects!$D$26*0.95,0)-IF(AND(Projects!$G$26="Yes",CQ$3=Projects!$C$26+Projects!$D$26-1),Projects!$B$26*(Assumptions!$B$10+Assumptions!$B$11+Assumptions!$B$12)*0.05,0)</f>
        <v>0</v>
      </c>
      <c r="CR35" s="30" t="n">
        <f aca="false">IF(AND(Projects!$G$26="Yes",CR$3&gt;=Projects!$C$26,CR$3&lt;Projects!$C$26+Projects!$D$26),Projects!$B$26*INDEX(Curves!$B$4:$AR$4,1,CR$3-Projects!$C$26+1),0)-IF(AND(Projects!$G$26="Yes",CR$3&gt;=Projects!$C$26,CR$3&lt;Projects!$C$26+Projects!$D$26),Projects!$B$26*(Assumptions!$B$10+Assumptions!$B$11+Assumptions!$B$12)/Projects!$D$26*0.95,0)-IF(AND(Projects!$G$26="Yes",CR$3=Projects!$C$26+Projects!$D$26-1),Projects!$B$26*(Assumptions!$B$10+Assumptions!$B$11+Assumptions!$B$12)*0.05,0)</f>
        <v>0</v>
      </c>
      <c r="CS35" s="30" t="n">
        <f aca="false">IF(AND(Projects!$G$26="Yes",CS$3&gt;=Projects!$C$26,CS$3&lt;Projects!$C$26+Projects!$D$26),Projects!$B$26*INDEX(Curves!$B$4:$AR$4,1,CS$3-Projects!$C$26+1),0)-IF(AND(Projects!$G$26="Yes",CS$3&gt;=Projects!$C$26,CS$3&lt;Projects!$C$26+Projects!$D$26),Projects!$B$26*(Assumptions!$B$10+Assumptions!$B$11+Assumptions!$B$12)/Projects!$D$26*0.95,0)-IF(AND(Projects!$G$26="Yes",CS$3=Projects!$C$26+Projects!$D$26-1),Projects!$B$26*(Assumptions!$B$10+Assumptions!$B$11+Assumptions!$B$12)*0.05,0)</f>
        <v>0</v>
      </c>
      <c r="CT35" s="30" t="n">
        <f aca="false">IF(AND(Projects!$G$26="Yes",CT$3&gt;=Projects!$C$26,CT$3&lt;Projects!$C$26+Projects!$D$26),Projects!$B$26*INDEX(Curves!$B$4:$AR$4,1,CT$3-Projects!$C$26+1),0)-IF(AND(Projects!$G$26="Yes",CT$3&gt;=Projects!$C$26,CT$3&lt;Projects!$C$26+Projects!$D$26),Projects!$B$26*(Assumptions!$B$10+Assumptions!$B$11+Assumptions!$B$12)/Projects!$D$26*0.95,0)-IF(AND(Projects!$G$26="Yes",CT$3=Projects!$C$26+Projects!$D$26-1),Projects!$B$26*(Assumptions!$B$10+Assumptions!$B$11+Assumptions!$B$12)*0.05,0)</f>
        <v>0</v>
      </c>
      <c r="CU35" s="30" t="n">
        <f aca="false">IF(AND(Projects!$G$26="Yes",CU$3&gt;=Projects!$C$26,CU$3&lt;Projects!$C$26+Projects!$D$26),Projects!$B$26*INDEX(Curves!$B$4:$AR$4,1,CU$3-Projects!$C$26+1),0)-IF(AND(Projects!$G$26="Yes",CU$3&gt;=Projects!$C$26,CU$3&lt;Projects!$C$26+Projects!$D$26),Projects!$B$26*(Assumptions!$B$10+Assumptions!$B$11+Assumptions!$B$12)/Projects!$D$26*0.95,0)-IF(AND(Projects!$G$26="Yes",CU$3=Projects!$C$26+Projects!$D$26-1),Projects!$B$26*(Assumptions!$B$10+Assumptions!$B$11+Assumptions!$B$12)*0.05,0)</f>
        <v>0</v>
      </c>
      <c r="CV35" s="30" t="n">
        <f aca="false">IF(AND(Projects!$G$26="Yes",CV$3&gt;=Projects!$C$26,CV$3&lt;Projects!$C$26+Projects!$D$26),Projects!$B$26*INDEX(Curves!$B$4:$AR$4,1,CV$3-Projects!$C$26+1),0)-IF(AND(Projects!$G$26="Yes",CV$3&gt;=Projects!$C$26,CV$3&lt;Projects!$C$26+Projects!$D$26),Projects!$B$26*(Assumptions!$B$10+Assumptions!$B$11+Assumptions!$B$12)/Projects!$D$26*0.95,0)-IF(AND(Projects!$G$26="Yes",CV$3=Projects!$C$26+Projects!$D$26-1),Projects!$B$26*(Assumptions!$B$10+Assumptions!$B$11+Assumptions!$B$12)*0.05,0)</f>
        <v>0</v>
      </c>
      <c r="CW35" s="30" t="n">
        <f aca="false">IF(AND(Projects!$G$26="Yes",CW$3&gt;=Projects!$C$26,CW$3&lt;Projects!$C$26+Projects!$D$26),Projects!$B$26*INDEX(Curves!$B$4:$AR$4,1,CW$3-Projects!$C$26+1),0)-IF(AND(Projects!$G$26="Yes",CW$3&gt;=Projects!$C$26,CW$3&lt;Projects!$C$26+Projects!$D$26),Projects!$B$26*(Assumptions!$B$10+Assumptions!$B$11+Assumptions!$B$12)/Projects!$D$26*0.95,0)-IF(AND(Projects!$G$26="Yes",CW$3=Projects!$C$26+Projects!$D$26-1),Projects!$B$26*(Assumptions!$B$10+Assumptions!$B$11+Assumptions!$B$12)*0.05,0)</f>
        <v>0</v>
      </c>
      <c r="CX35" s="30" t="n">
        <f aca="false">IF(AND(Projects!$G$26="Yes",CX$3&gt;=Projects!$C$26,CX$3&lt;Projects!$C$26+Projects!$D$26),Projects!$B$26*INDEX(Curves!$B$4:$AR$4,1,CX$3-Projects!$C$26+1),0)-IF(AND(Projects!$G$26="Yes",CX$3&gt;=Projects!$C$26,CX$3&lt;Projects!$C$26+Projects!$D$26),Projects!$B$26*(Assumptions!$B$10+Assumptions!$B$11+Assumptions!$B$12)/Projects!$D$26*0.95,0)-IF(AND(Projects!$G$26="Yes",CX$3=Projects!$C$26+Projects!$D$26-1),Projects!$B$26*(Assumptions!$B$10+Assumptions!$B$11+Assumptions!$B$12)*0.05,0)</f>
        <v>0</v>
      </c>
      <c r="CY35" s="30" t="n">
        <f aca="false">IF(AND(Projects!$G$26="Yes",CY$3&gt;=Projects!$C$26,CY$3&lt;Projects!$C$26+Projects!$D$26),Projects!$B$26*INDEX(Curves!$B$4:$AR$4,1,CY$3-Projects!$C$26+1),0)-IF(AND(Projects!$G$26="Yes",CY$3&gt;=Projects!$C$26,CY$3&lt;Projects!$C$26+Projects!$D$26),Projects!$B$26*(Assumptions!$B$10+Assumptions!$B$11+Assumptions!$B$12)/Projects!$D$26*0.95,0)-IF(AND(Projects!$G$26="Yes",CY$3=Projects!$C$26+Projects!$D$26-1),Projects!$B$26*(Assumptions!$B$10+Assumptions!$B$11+Assumptions!$B$12)*0.05,0)</f>
        <v>0</v>
      </c>
      <c r="CZ35" s="30" t="n">
        <f aca="false">IF(AND(Projects!$G$26="Yes",CZ$3&gt;=Projects!$C$26,CZ$3&lt;Projects!$C$26+Projects!$D$26),Projects!$B$26*INDEX(Curves!$B$4:$AR$4,1,CZ$3-Projects!$C$26+1),0)-IF(AND(Projects!$G$26="Yes",CZ$3&gt;=Projects!$C$26,CZ$3&lt;Projects!$C$26+Projects!$D$26),Projects!$B$26*(Assumptions!$B$10+Assumptions!$B$11+Assumptions!$B$12)/Projects!$D$26*0.95,0)-IF(AND(Projects!$G$26="Yes",CZ$3=Projects!$C$26+Projects!$D$26-1),Projects!$B$26*(Assumptions!$B$10+Assumptions!$B$11+Assumptions!$B$12)*0.05,0)</f>
        <v>0</v>
      </c>
      <c r="DA35" s="30" t="n">
        <f aca="false">IF(AND(Projects!$G$26="Yes",DA$3&gt;=Projects!$C$26,DA$3&lt;Projects!$C$26+Projects!$D$26),Projects!$B$26*INDEX(Curves!$B$4:$AR$4,1,DA$3-Projects!$C$26+1),0)-IF(AND(Projects!$G$26="Yes",DA$3&gt;=Projects!$C$26,DA$3&lt;Projects!$C$26+Projects!$D$26),Projects!$B$26*(Assumptions!$B$10+Assumptions!$B$11+Assumptions!$B$12)/Projects!$D$26*0.95,0)-IF(AND(Projects!$G$26="Yes",DA$3=Projects!$C$26+Projects!$D$26-1),Projects!$B$26*(Assumptions!$B$10+Assumptions!$B$11+Assumptions!$B$12)*0.05,0)</f>
        <v>0</v>
      </c>
      <c r="DB35" s="30" t="n">
        <f aca="false">IF(AND(Projects!$G$26="Yes",DB$3&gt;=Projects!$C$26,DB$3&lt;Projects!$C$26+Projects!$D$26),Projects!$B$26*INDEX(Curves!$B$4:$AR$4,1,DB$3-Projects!$C$26+1),0)-IF(AND(Projects!$G$26="Yes",DB$3&gt;=Projects!$C$26,DB$3&lt;Projects!$C$26+Projects!$D$26),Projects!$B$26*(Assumptions!$B$10+Assumptions!$B$11+Assumptions!$B$12)/Projects!$D$26*0.95,0)-IF(AND(Projects!$G$26="Yes",DB$3=Projects!$C$26+Projects!$D$26-1),Projects!$B$26*(Assumptions!$B$10+Assumptions!$B$11+Assumptions!$B$12)*0.05,0)</f>
        <v>0</v>
      </c>
      <c r="DC35" s="30" t="n">
        <f aca="false">IF(AND(Projects!$G$26="Yes",DC$3&gt;=Projects!$C$26,DC$3&lt;Projects!$C$26+Projects!$D$26),Projects!$B$26*INDEX(Curves!$B$4:$AR$4,1,DC$3-Projects!$C$26+1),0)-IF(AND(Projects!$G$26="Yes",DC$3&gt;=Projects!$C$26,DC$3&lt;Projects!$C$26+Projects!$D$26),Projects!$B$26*(Assumptions!$B$10+Assumptions!$B$11+Assumptions!$B$12)/Projects!$D$26*0.95,0)-IF(AND(Projects!$G$26="Yes",DC$3=Projects!$C$26+Projects!$D$26-1),Projects!$B$26*(Assumptions!$B$10+Assumptions!$B$11+Assumptions!$B$12)*0.05,0)</f>
        <v>0</v>
      </c>
      <c r="DD35" s="30" t="n">
        <f aca="false">IF(AND(Projects!$G$26="Yes",DD$3&gt;=Projects!$C$26,DD$3&lt;Projects!$C$26+Projects!$D$26),Projects!$B$26*INDEX(Curves!$B$4:$AR$4,1,DD$3-Projects!$C$26+1),0)-IF(AND(Projects!$G$26="Yes",DD$3&gt;=Projects!$C$26,DD$3&lt;Projects!$C$26+Projects!$D$26),Projects!$B$26*(Assumptions!$B$10+Assumptions!$B$11+Assumptions!$B$12)/Projects!$D$26*0.95,0)-IF(AND(Projects!$G$26="Yes",DD$3=Projects!$C$26+Projects!$D$26-1),Projects!$B$26*(Assumptions!$B$10+Assumptions!$B$11+Assumptions!$B$12)*0.05,0)</f>
        <v>0</v>
      </c>
      <c r="DE35" s="30" t="n">
        <f aca="false">IF(AND(Projects!$G$26="Yes",DE$3&gt;=Projects!$C$26,DE$3&lt;Projects!$C$26+Projects!$D$26),Projects!$B$26*INDEX(Curves!$B$4:$AR$4,1,DE$3-Projects!$C$26+1),0)-IF(AND(Projects!$G$26="Yes",DE$3&gt;=Projects!$C$26,DE$3&lt;Projects!$C$26+Projects!$D$26),Projects!$B$26*(Assumptions!$B$10+Assumptions!$B$11+Assumptions!$B$12)/Projects!$D$26*0.95,0)-IF(AND(Projects!$G$26="Yes",DE$3=Projects!$C$26+Projects!$D$26-1),Projects!$B$26*(Assumptions!$B$10+Assumptions!$B$11+Assumptions!$B$12)*0.05,0)</f>
        <v>0</v>
      </c>
    </row>
    <row r="36" customFormat="false" ht="15" hidden="true" customHeight="true" outlineLevel="1" collapsed="false">
      <c r="A36" s="32" t="s">
        <v>30</v>
      </c>
      <c r="B36" s="30" t="n">
        <v>0</v>
      </c>
      <c r="C36" s="30" t="n">
        <v>0</v>
      </c>
      <c r="D36" s="30" t="n">
        <v>0</v>
      </c>
      <c r="E36" s="30" t="n">
        <v>0</v>
      </c>
      <c r="F36" s="30" t="n">
        <f aca="false">IF(AND(Projects!$G$27="Yes",F$3&gt;=Projects!$C$27,F$3&lt;Projects!$C$27+Projects!$D$27),Projects!$B$27*INDEX(Curves!$B$4:$AR$4,1,F$3-Projects!$C$27+1),0)-IF(AND(Projects!$G$27="Yes",F$3&gt;=Projects!$C$27,F$3&lt;Projects!$C$27+Projects!$D$27),Projects!$B$27*(Assumptions!$B$10+Assumptions!$B$11+Assumptions!$B$12)/Projects!$D$27*0.95,0)-IF(AND(Projects!$G$27="Yes",F$3=Projects!$C$27+Projects!$D$27-1),Projects!$B$27*(Assumptions!$B$10+Assumptions!$B$11+Assumptions!$B$12)*0.05,0)</f>
        <v>0</v>
      </c>
      <c r="G36" s="30" t="n">
        <f aca="false">IF(AND(Projects!$G$27="Yes",G$3&gt;=Projects!$C$27,G$3&lt;Projects!$C$27+Projects!$D$27),Projects!$B$27*INDEX(Curves!$B$4:$AR$4,1,G$3-Projects!$C$27+1),0)-IF(AND(Projects!$G$27="Yes",G$3&gt;=Projects!$C$27,G$3&lt;Projects!$C$27+Projects!$D$27),Projects!$B$27*(Assumptions!$B$10+Assumptions!$B$11+Assumptions!$B$12)/Projects!$D$27*0.95,0)-IF(AND(Projects!$G$27="Yes",G$3=Projects!$C$27+Projects!$D$27-1),Projects!$B$27*(Assumptions!$B$10+Assumptions!$B$11+Assumptions!$B$12)*0.05,0)</f>
        <v>0</v>
      </c>
      <c r="H36" s="30" t="n">
        <f aca="false">IF(AND(Projects!$G$27="Yes",H$3&gt;=Projects!$C$27,H$3&lt;Projects!$C$27+Projects!$D$27),Projects!$B$27*INDEX(Curves!$B$4:$AR$4,1,H$3-Projects!$C$27+1),0)-IF(AND(Projects!$G$27="Yes",H$3&gt;=Projects!$C$27,H$3&lt;Projects!$C$27+Projects!$D$27),Projects!$B$27*(Assumptions!$B$10+Assumptions!$B$11+Assumptions!$B$12)/Projects!$D$27*0.95,0)-IF(AND(Projects!$G$27="Yes",H$3=Projects!$C$27+Projects!$D$27-1),Projects!$B$27*(Assumptions!$B$10+Assumptions!$B$11+Assumptions!$B$12)*0.05,0)</f>
        <v>0</v>
      </c>
      <c r="I36" s="30" t="n">
        <f aca="false">IF(AND(Projects!$G$27="Yes",I$3&gt;=Projects!$C$27,I$3&lt;Projects!$C$27+Projects!$D$27),Projects!$B$27*INDEX(Curves!$B$4:$AR$4,1,I$3-Projects!$C$27+1),0)-IF(AND(Projects!$G$27="Yes",I$3&gt;=Projects!$C$27,I$3&lt;Projects!$C$27+Projects!$D$27),Projects!$B$27*(Assumptions!$B$10+Assumptions!$B$11+Assumptions!$B$12)/Projects!$D$27*0.95,0)-IF(AND(Projects!$G$27="Yes",I$3=Projects!$C$27+Projects!$D$27-1),Projects!$B$27*(Assumptions!$B$10+Assumptions!$B$11+Assumptions!$B$12)*0.05,0)</f>
        <v>0</v>
      </c>
      <c r="J36" s="30" t="n">
        <f aca="false">IF(AND(Projects!$G$27="Yes",J$3&gt;=Projects!$C$27,J$3&lt;Projects!$C$27+Projects!$D$27),Projects!$B$27*INDEX(Curves!$B$4:$AR$4,1,J$3-Projects!$C$27+1),0)-IF(AND(Projects!$G$27="Yes",J$3&gt;=Projects!$C$27,J$3&lt;Projects!$C$27+Projects!$D$27),Projects!$B$27*(Assumptions!$B$10+Assumptions!$B$11+Assumptions!$B$12)/Projects!$D$27*0.95,0)-IF(AND(Projects!$G$27="Yes",J$3=Projects!$C$27+Projects!$D$27-1),Projects!$B$27*(Assumptions!$B$10+Assumptions!$B$11+Assumptions!$B$12)*0.05,0)</f>
        <v>0</v>
      </c>
      <c r="K36" s="30" t="n">
        <f aca="false">IF(AND(Projects!$G$27="Yes",K$3&gt;=Projects!$C$27,K$3&lt;Projects!$C$27+Projects!$D$27),Projects!$B$27*INDEX(Curves!$B$4:$AR$4,1,K$3-Projects!$C$27+1),0)-IF(AND(Projects!$G$27="Yes",K$3&gt;=Projects!$C$27,K$3&lt;Projects!$C$27+Projects!$D$27),Projects!$B$27*(Assumptions!$B$10+Assumptions!$B$11+Assumptions!$B$12)/Projects!$D$27*0.95,0)-IF(AND(Projects!$G$27="Yes",K$3=Projects!$C$27+Projects!$D$27-1),Projects!$B$27*(Assumptions!$B$10+Assumptions!$B$11+Assumptions!$B$12)*0.05,0)</f>
        <v>0</v>
      </c>
      <c r="L36" s="30" t="n">
        <f aca="false">IF(AND(Projects!$G$27="Yes",L$3&gt;=Projects!$C$27,L$3&lt;Projects!$C$27+Projects!$D$27),Projects!$B$27*INDEX(Curves!$B$4:$AR$4,1,L$3-Projects!$C$27+1),0)-IF(AND(Projects!$G$27="Yes",L$3&gt;=Projects!$C$27,L$3&lt;Projects!$C$27+Projects!$D$27),Projects!$B$27*(Assumptions!$B$10+Assumptions!$B$11+Assumptions!$B$12)/Projects!$D$27*0.95,0)-IF(AND(Projects!$G$27="Yes",L$3=Projects!$C$27+Projects!$D$27-1),Projects!$B$27*(Assumptions!$B$10+Assumptions!$B$11+Assumptions!$B$12)*0.05,0)</f>
        <v>0</v>
      </c>
      <c r="M36" s="30" t="n">
        <f aca="false">IF(AND(Projects!$G$27="Yes",M$3&gt;=Projects!$C$27,M$3&lt;Projects!$C$27+Projects!$D$27),Projects!$B$27*INDEX(Curves!$B$4:$AR$4,1,M$3-Projects!$C$27+1),0)-IF(AND(Projects!$G$27="Yes",M$3&gt;=Projects!$C$27,M$3&lt;Projects!$C$27+Projects!$D$27),Projects!$B$27*(Assumptions!$B$10+Assumptions!$B$11+Assumptions!$B$12)/Projects!$D$27*0.95,0)-IF(AND(Projects!$G$27="Yes",M$3=Projects!$C$27+Projects!$D$27-1),Projects!$B$27*(Assumptions!$B$10+Assumptions!$B$11+Assumptions!$B$12)*0.05,0)</f>
        <v>0</v>
      </c>
      <c r="N36" s="30" t="n">
        <f aca="false">IF(AND(Projects!$G$27="Yes",N$3&gt;=Projects!$C$27,N$3&lt;Projects!$C$27+Projects!$D$27),Projects!$B$27*INDEX(Curves!$B$4:$AR$4,1,N$3-Projects!$C$27+1),0)-IF(AND(Projects!$G$27="Yes",N$3&gt;=Projects!$C$27,N$3&lt;Projects!$C$27+Projects!$D$27),Projects!$B$27*(Assumptions!$B$10+Assumptions!$B$11+Assumptions!$B$12)/Projects!$D$27*0.95,0)-IF(AND(Projects!$G$27="Yes",N$3=Projects!$C$27+Projects!$D$27-1),Projects!$B$27*(Assumptions!$B$10+Assumptions!$B$11+Assumptions!$B$12)*0.05,0)</f>
        <v>0</v>
      </c>
      <c r="O36" s="30" t="n">
        <f aca="false">IF(AND(Projects!$G$27="Yes",O$3&gt;=Projects!$C$27,O$3&lt;Projects!$C$27+Projects!$D$27),Projects!$B$27*INDEX(Curves!$B$4:$AR$4,1,O$3-Projects!$C$27+1),0)-IF(AND(Projects!$G$27="Yes",O$3&gt;=Projects!$C$27,O$3&lt;Projects!$C$27+Projects!$D$27),Projects!$B$27*(Assumptions!$B$10+Assumptions!$B$11+Assumptions!$B$12)/Projects!$D$27*0.95,0)-IF(AND(Projects!$G$27="Yes",O$3=Projects!$C$27+Projects!$D$27-1),Projects!$B$27*(Assumptions!$B$10+Assumptions!$B$11+Assumptions!$B$12)*0.05,0)</f>
        <v>0</v>
      </c>
      <c r="P36" s="30" t="n">
        <f aca="false">IF(AND(Projects!$G$27="Yes",P$3&gt;=Projects!$C$27,P$3&lt;Projects!$C$27+Projects!$D$27),Projects!$B$27*INDEX(Curves!$B$4:$AR$4,1,P$3-Projects!$C$27+1),0)-IF(AND(Projects!$G$27="Yes",P$3&gt;=Projects!$C$27,P$3&lt;Projects!$C$27+Projects!$D$27),Projects!$B$27*(Assumptions!$B$10+Assumptions!$B$11+Assumptions!$B$12)/Projects!$D$27*0.95,0)-IF(AND(Projects!$G$27="Yes",P$3=Projects!$C$27+Projects!$D$27-1),Projects!$B$27*(Assumptions!$B$10+Assumptions!$B$11+Assumptions!$B$12)*0.05,0)</f>
        <v>0</v>
      </c>
      <c r="Q36" s="30" t="n">
        <f aca="false">IF(AND(Projects!$G$27="Yes",Q$3&gt;=Projects!$C$27,Q$3&lt;Projects!$C$27+Projects!$D$27),Projects!$B$27*INDEX(Curves!$B$4:$AR$4,1,Q$3-Projects!$C$27+1),0)-IF(AND(Projects!$G$27="Yes",Q$3&gt;=Projects!$C$27,Q$3&lt;Projects!$C$27+Projects!$D$27),Projects!$B$27*(Assumptions!$B$10+Assumptions!$B$11+Assumptions!$B$12)/Projects!$D$27*0.95,0)-IF(AND(Projects!$G$27="Yes",Q$3=Projects!$C$27+Projects!$D$27-1),Projects!$B$27*(Assumptions!$B$10+Assumptions!$B$11+Assumptions!$B$12)*0.05,0)</f>
        <v>0</v>
      </c>
      <c r="R36" s="30" t="n">
        <f aca="false">IF(AND(Projects!$G$27="Yes",R$3&gt;=Projects!$C$27,R$3&lt;Projects!$C$27+Projects!$D$27),Projects!$B$27*INDEX(Curves!$B$4:$AR$4,1,R$3-Projects!$C$27+1),0)-IF(AND(Projects!$G$27="Yes",R$3&gt;=Projects!$C$27,R$3&lt;Projects!$C$27+Projects!$D$27),Projects!$B$27*(Assumptions!$B$10+Assumptions!$B$11+Assumptions!$B$12)/Projects!$D$27*0.95,0)-IF(AND(Projects!$G$27="Yes",R$3=Projects!$C$27+Projects!$D$27-1),Projects!$B$27*(Assumptions!$B$10+Assumptions!$B$11+Assumptions!$B$12)*0.05,0)</f>
        <v>0</v>
      </c>
      <c r="S36" s="30" t="n">
        <f aca="false">IF(AND(Projects!$G$27="Yes",S$3&gt;=Projects!$C$27,S$3&lt;Projects!$C$27+Projects!$D$27),Projects!$B$27*INDEX(Curves!$B$4:$AR$4,1,S$3-Projects!$C$27+1),0)-IF(AND(Projects!$G$27="Yes",S$3&gt;=Projects!$C$27,S$3&lt;Projects!$C$27+Projects!$D$27),Projects!$B$27*(Assumptions!$B$10+Assumptions!$B$11+Assumptions!$B$12)/Projects!$D$27*0.95,0)-IF(AND(Projects!$G$27="Yes",S$3=Projects!$C$27+Projects!$D$27-1),Projects!$B$27*(Assumptions!$B$10+Assumptions!$B$11+Assumptions!$B$12)*0.05,0)</f>
        <v>0</v>
      </c>
      <c r="T36" s="30" t="n">
        <f aca="false">IF(AND(Projects!$G$27="Yes",T$3&gt;=Projects!$C$27,T$3&lt;Projects!$C$27+Projects!$D$27),Projects!$B$27*INDEX(Curves!$B$4:$AR$4,1,T$3-Projects!$C$27+1),0)-IF(AND(Projects!$G$27="Yes",T$3&gt;=Projects!$C$27,T$3&lt;Projects!$C$27+Projects!$D$27),Projects!$B$27*(Assumptions!$B$10+Assumptions!$B$11+Assumptions!$B$12)/Projects!$D$27*0.95,0)-IF(AND(Projects!$G$27="Yes",T$3=Projects!$C$27+Projects!$D$27-1),Projects!$B$27*(Assumptions!$B$10+Assumptions!$B$11+Assumptions!$B$12)*0.05,0)</f>
        <v>0</v>
      </c>
      <c r="U36" s="30" t="n">
        <f aca="false">IF(AND(Projects!$G$27="Yes",U$3&gt;=Projects!$C$27,U$3&lt;Projects!$C$27+Projects!$D$27),Projects!$B$27*INDEX(Curves!$B$4:$AR$4,1,U$3-Projects!$C$27+1),0)-IF(AND(Projects!$G$27="Yes",U$3&gt;=Projects!$C$27,U$3&lt;Projects!$C$27+Projects!$D$27),Projects!$B$27*(Assumptions!$B$10+Assumptions!$B$11+Assumptions!$B$12)/Projects!$D$27*0.95,0)-IF(AND(Projects!$G$27="Yes",U$3=Projects!$C$27+Projects!$D$27-1),Projects!$B$27*(Assumptions!$B$10+Assumptions!$B$11+Assumptions!$B$12)*0.05,0)</f>
        <v>0</v>
      </c>
      <c r="V36" s="30" t="n">
        <f aca="false">IF(AND(Projects!$G$27="Yes",V$3&gt;=Projects!$C$27,V$3&lt;Projects!$C$27+Projects!$D$27),Projects!$B$27*INDEX(Curves!$B$4:$AR$4,1,V$3-Projects!$C$27+1),0)-IF(AND(Projects!$G$27="Yes",V$3&gt;=Projects!$C$27,V$3&lt;Projects!$C$27+Projects!$D$27),Projects!$B$27*(Assumptions!$B$10+Assumptions!$B$11+Assumptions!$B$12)/Projects!$D$27*0.95,0)-IF(AND(Projects!$G$27="Yes",V$3=Projects!$C$27+Projects!$D$27-1),Projects!$B$27*(Assumptions!$B$10+Assumptions!$B$11+Assumptions!$B$12)*0.05,0)</f>
        <v>0</v>
      </c>
      <c r="W36" s="30" t="n">
        <f aca="false">IF(AND(Projects!$G$27="Yes",W$3&gt;=Projects!$C$27,W$3&lt;Projects!$C$27+Projects!$D$27),Projects!$B$27*INDEX(Curves!$B$4:$AR$4,1,W$3-Projects!$C$27+1),0)-IF(AND(Projects!$G$27="Yes",W$3&gt;=Projects!$C$27,W$3&lt;Projects!$C$27+Projects!$D$27),Projects!$B$27*(Assumptions!$B$10+Assumptions!$B$11+Assumptions!$B$12)/Projects!$D$27*0.95,0)-IF(AND(Projects!$G$27="Yes",W$3=Projects!$C$27+Projects!$D$27-1),Projects!$B$27*(Assumptions!$B$10+Assumptions!$B$11+Assumptions!$B$12)*0.05,0)</f>
        <v>0</v>
      </c>
      <c r="X36" s="30" t="n">
        <f aca="false">IF(AND(Projects!$G$27="Yes",X$3&gt;=Projects!$C$27,X$3&lt;Projects!$C$27+Projects!$D$27),Projects!$B$27*INDEX(Curves!$B$4:$AR$4,1,X$3-Projects!$C$27+1),0)-IF(AND(Projects!$G$27="Yes",X$3&gt;=Projects!$C$27,X$3&lt;Projects!$C$27+Projects!$D$27),Projects!$B$27*(Assumptions!$B$10+Assumptions!$B$11+Assumptions!$B$12)/Projects!$D$27*0.95,0)-IF(AND(Projects!$G$27="Yes",X$3=Projects!$C$27+Projects!$D$27-1),Projects!$B$27*(Assumptions!$B$10+Assumptions!$B$11+Assumptions!$B$12)*0.05,0)</f>
        <v>0</v>
      </c>
      <c r="Y36" s="30" t="n">
        <f aca="false">IF(AND(Projects!$G$27="Yes",Y$3&gt;=Projects!$C$27,Y$3&lt;Projects!$C$27+Projects!$D$27),Projects!$B$27*INDEX(Curves!$B$4:$AR$4,1,Y$3-Projects!$C$27+1),0)-IF(AND(Projects!$G$27="Yes",Y$3&gt;=Projects!$C$27,Y$3&lt;Projects!$C$27+Projects!$D$27),Projects!$B$27*(Assumptions!$B$10+Assumptions!$B$11+Assumptions!$B$12)/Projects!$D$27*0.95,0)-IF(AND(Projects!$G$27="Yes",Y$3=Projects!$C$27+Projects!$D$27-1),Projects!$B$27*(Assumptions!$B$10+Assumptions!$B$11+Assumptions!$B$12)*0.05,0)</f>
        <v>0</v>
      </c>
      <c r="Z36" s="30" t="n">
        <f aca="false">IF(AND(Projects!$G$27="Yes",Z$3&gt;=Projects!$C$27,Z$3&lt;Projects!$C$27+Projects!$D$27),Projects!$B$27*INDEX(Curves!$B$4:$AR$4,1,Z$3-Projects!$C$27+1),0)-IF(AND(Projects!$G$27="Yes",Z$3&gt;=Projects!$C$27,Z$3&lt;Projects!$C$27+Projects!$D$27),Projects!$B$27*(Assumptions!$B$10+Assumptions!$B$11+Assumptions!$B$12)/Projects!$D$27*0.95,0)-IF(AND(Projects!$G$27="Yes",Z$3=Projects!$C$27+Projects!$D$27-1),Projects!$B$27*(Assumptions!$B$10+Assumptions!$B$11+Assumptions!$B$12)*0.05,0)</f>
        <v>0</v>
      </c>
      <c r="AA36" s="30" t="n">
        <f aca="false">IF(AND(Projects!$G$27="Yes",AA$3&gt;=Projects!$C$27,AA$3&lt;Projects!$C$27+Projects!$D$27),Projects!$B$27*INDEX(Curves!$B$4:$AR$4,1,AA$3-Projects!$C$27+1),0)-IF(AND(Projects!$G$27="Yes",AA$3&gt;=Projects!$C$27,AA$3&lt;Projects!$C$27+Projects!$D$27),Projects!$B$27*(Assumptions!$B$10+Assumptions!$B$11+Assumptions!$B$12)/Projects!$D$27*0.95,0)-IF(AND(Projects!$G$27="Yes",AA$3=Projects!$C$27+Projects!$D$27-1),Projects!$B$27*(Assumptions!$B$10+Assumptions!$B$11+Assumptions!$B$12)*0.05,0)</f>
        <v>0</v>
      </c>
      <c r="AB36" s="30" t="n">
        <f aca="false">IF(AND(Projects!$G$27="Yes",AB$3&gt;=Projects!$C$27,AB$3&lt;Projects!$C$27+Projects!$D$27),Projects!$B$27*INDEX(Curves!$B$4:$AR$4,1,AB$3-Projects!$C$27+1),0)-IF(AND(Projects!$G$27="Yes",AB$3&gt;=Projects!$C$27,AB$3&lt;Projects!$C$27+Projects!$D$27),Projects!$B$27*(Assumptions!$B$10+Assumptions!$B$11+Assumptions!$B$12)/Projects!$D$27*0.95,0)-IF(AND(Projects!$G$27="Yes",AB$3=Projects!$C$27+Projects!$D$27-1),Projects!$B$27*(Assumptions!$B$10+Assumptions!$B$11+Assumptions!$B$12)*0.05,0)</f>
        <v>0</v>
      </c>
      <c r="AC36" s="30" t="n">
        <f aca="false">IF(AND(Projects!$G$27="Yes",AC$3&gt;=Projects!$C$27,AC$3&lt;Projects!$C$27+Projects!$D$27),Projects!$B$27*INDEX(Curves!$B$4:$AR$4,1,AC$3-Projects!$C$27+1),0)-IF(AND(Projects!$G$27="Yes",AC$3&gt;=Projects!$C$27,AC$3&lt;Projects!$C$27+Projects!$D$27),Projects!$B$27*(Assumptions!$B$10+Assumptions!$B$11+Assumptions!$B$12)/Projects!$D$27*0.95,0)-IF(AND(Projects!$G$27="Yes",AC$3=Projects!$C$27+Projects!$D$27-1),Projects!$B$27*(Assumptions!$B$10+Assumptions!$B$11+Assumptions!$B$12)*0.05,0)</f>
        <v>0</v>
      </c>
      <c r="AD36" s="30" t="n">
        <f aca="false">IF(AND(Projects!$G$27="Yes",AD$3&gt;=Projects!$C$27,AD$3&lt;Projects!$C$27+Projects!$D$27),Projects!$B$27*INDEX(Curves!$B$4:$AR$4,1,AD$3-Projects!$C$27+1),0)-IF(AND(Projects!$G$27="Yes",AD$3&gt;=Projects!$C$27,AD$3&lt;Projects!$C$27+Projects!$D$27),Projects!$B$27*(Assumptions!$B$10+Assumptions!$B$11+Assumptions!$B$12)/Projects!$D$27*0.95,0)-IF(AND(Projects!$G$27="Yes",AD$3=Projects!$C$27+Projects!$D$27-1),Projects!$B$27*(Assumptions!$B$10+Assumptions!$B$11+Assumptions!$B$12)*0.05,0)</f>
        <v>0</v>
      </c>
      <c r="AE36" s="30" t="n">
        <f aca="false">IF(AND(Projects!$G$27="Yes",AE$3&gt;=Projects!$C$27,AE$3&lt;Projects!$C$27+Projects!$D$27),Projects!$B$27*INDEX(Curves!$B$4:$AR$4,1,AE$3-Projects!$C$27+1),0)-IF(AND(Projects!$G$27="Yes",AE$3&gt;=Projects!$C$27,AE$3&lt;Projects!$C$27+Projects!$D$27),Projects!$B$27*(Assumptions!$B$10+Assumptions!$B$11+Assumptions!$B$12)/Projects!$D$27*0.95,0)-IF(AND(Projects!$G$27="Yes",AE$3=Projects!$C$27+Projects!$D$27-1),Projects!$B$27*(Assumptions!$B$10+Assumptions!$B$11+Assumptions!$B$12)*0.05,0)</f>
        <v>0</v>
      </c>
      <c r="AF36" s="30" t="n">
        <f aca="false">IF(AND(Projects!$G$27="Yes",AF$3&gt;=Projects!$C$27,AF$3&lt;Projects!$C$27+Projects!$D$27),Projects!$B$27*INDEX(Curves!$B$4:$AR$4,1,AF$3-Projects!$C$27+1),0)-IF(AND(Projects!$G$27="Yes",AF$3&gt;=Projects!$C$27,AF$3&lt;Projects!$C$27+Projects!$D$27),Projects!$B$27*(Assumptions!$B$10+Assumptions!$B$11+Assumptions!$B$12)/Projects!$D$27*0.95,0)-IF(AND(Projects!$G$27="Yes",AF$3=Projects!$C$27+Projects!$D$27-1),Projects!$B$27*(Assumptions!$B$10+Assumptions!$B$11+Assumptions!$B$12)*0.05,0)</f>
        <v>0</v>
      </c>
      <c r="AG36" s="30" t="n">
        <f aca="false">IF(AND(Projects!$G$27="Yes",AG$3&gt;=Projects!$C$27,AG$3&lt;Projects!$C$27+Projects!$D$27),Projects!$B$27*INDEX(Curves!$B$4:$AR$4,1,AG$3-Projects!$C$27+1),0)-IF(AND(Projects!$G$27="Yes",AG$3&gt;=Projects!$C$27,AG$3&lt;Projects!$C$27+Projects!$D$27),Projects!$B$27*(Assumptions!$B$10+Assumptions!$B$11+Assumptions!$B$12)/Projects!$D$27*0.95,0)-IF(AND(Projects!$G$27="Yes",AG$3=Projects!$C$27+Projects!$D$27-1),Projects!$B$27*(Assumptions!$B$10+Assumptions!$B$11+Assumptions!$B$12)*0.05,0)</f>
        <v>0</v>
      </c>
      <c r="AH36" s="30" t="n">
        <f aca="false">IF(AND(Projects!$G$27="Yes",AH$3&gt;=Projects!$C$27,AH$3&lt;Projects!$C$27+Projects!$D$27),Projects!$B$27*INDEX(Curves!$B$4:$AR$4,1,AH$3-Projects!$C$27+1),0)-IF(AND(Projects!$G$27="Yes",AH$3&gt;=Projects!$C$27,AH$3&lt;Projects!$C$27+Projects!$D$27),Projects!$B$27*(Assumptions!$B$10+Assumptions!$B$11+Assumptions!$B$12)/Projects!$D$27*0.95,0)-IF(AND(Projects!$G$27="Yes",AH$3=Projects!$C$27+Projects!$D$27-1),Projects!$B$27*(Assumptions!$B$10+Assumptions!$B$11+Assumptions!$B$12)*0.05,0)</f>
        <v>0</v>
      </c>
      <c r="AI36" s="30" t="n">
        <f aca="false">IF(AND(Projects!$G$27="Yes",AI$3&gt;=Projects!$C$27,AI$3&lt;Projects!$C$27+Projects!$D$27),Projects!$B$27*INDEX(Curves!$B$4:$AR$4,1,AI$3-Projects!$C$27+1),0)-IF(AND(Projects!$G$27="Yes",AI$3&gt;=Projects!$C$27,AI$3&lt;Projects!$C$27+Projects!$D$27),Projects!$B$27*(Assumptions!$B$10+Assumptions!$B$11+Assumptions!$B$12)/Projects!$D$27*0.95,0)-IF(AND(Projects!$G$27="Yes",AI$3=Projects!$C$27+Projects!$D$27-1),Projects!$B$27*(Assumptions!$B$10+Assumptions!$B$11+Assumptions!$B$12)*0.05,0)</f>
        <v>0</v>
      </c>
      <c r="AJ36" s="30" t="n">
        <f aca="false">IF(AND(Projects!$G$27="Yes",AJ$3&gt;=Projects!$C$27,AJ$3&lt;Projects!$C$27+Projects!$D$27),Projects!$B$27*INDEX(Curves!$B$4:$AR$4,1,AJ$3-Projects!$C$27+1),0)-IF(AND(Projects!$G$27="Yes",AJ$3&gt;=Projects!$C$27,AJ$3&lt;Projects!$C$27+Projects!$D$27),Projects!$B$27*(Assumptions!$B$10+Assumptions!$B$11+Assumptions!$B$12)/Projects!$D$27*0.95,0)-IF(AND(Projects!$G$27="Yes",AJ$3=Projects!$C$27+Projects!$D$27-1),Projects!$B$27*(Assumptions!$B$10+Assumptions!$B$11+Assumptions!$B$12)*0.05,0)</f>
        <v>0</v>
      </c>
      <c r="AK36" s="30" t="n">
        <f aca="false">IF(AND(Projects!$G$27="Yes",AK$3&gt;=Projects!$C$27,AK$3&lt;Projects!$C$27+Projects!$D$27),Projects!$B$27*INDEX(Curves!$B$4:$AR$4,1,AK$3-Projects!$C$27+1),0)-IF(AND(Projects!$G$27="Yes",AK$3&gt;=Projects!$C$27,AK$3&lt;Projects!$C$27+Projects!$D$27),Projects!$B$27*(Assumptions!$B$10+Assumptions!$B$11+Assumptions!$B$12)/Projects!$D$27*0.95,0)-IF(AND(Projects!$G$27="Yes",AK$3=Projects!$C$27+Projects!$D$27-1),Projects!$B$27*(Assumptions!$B$10+Assumptions!$B$11+Assumptions!$B$12)*0.05,0)</f>
        <v>0</v>
      </c>
      <c r="AL36" s="30" t="n">
        <f aca="false">IF(AND(Projects!$G$27="Yes",AL$3&gt;=Projects!$C$27,AL$3&lt;Projects!$C$27+Projects!$D$27),Projects!$B$27*INDEX(Curves!$B$4:$AR$4,1,AL$3-Projects!$C$27+1),0)-IF(AND(Projects!$G$27="Yes",AL$3&gt;=Projects!$C$27,AL$3&lt;Projects!$C$27+Projects!$D$27),Projects!$B$27*(Assumptions!$B$10+Assumptions!$B$11+Assumptions!$B$12)/Projects!$D$27*0.95,0)-IF(AND(Projects!$G$27="Yes",AL$3=Projects!$C$27+Projects!$D$27-1),Projects!$B$27*(Assumptions!$B$10+Assumptions!$B$11+Assumptions!$B$12)*0.05,0)</f>
        <v>0</v>
      </c>
      <c r="AM36" s="30" t="n">
        <f aca="false">IF(AND(Projects!$G$27="Yes",AM$3&gt;=Projects!$C$27,AM$3&lt;Projects!$C$27+Projects!$D$27),Projects!$B$27*INDEX(Curves!$B$4:$AR$4,1,AM$3-Projects!$C$27+1),0)-IF(AND(Projects!$G$27="Yes",AM$3&gt;=Projects!$C$27,AM$3&lt;Projects!$C$27+Projects!$D$27),Projects!$B$27*(Assumptions!$B$10+Assumptions!$B$11+Assumptions!$B$12)/Projects!$D$27*0.95,0)-IF(AND(Projects!$G$27="Yes",AM$3=Projects!$C$27+Projects!$D$27-1),Projects!$B$27*(Assumptions!$B$10+Assumptions!$B$11+Assumptions!$B$12)*0.05,0)</f>
        <v>0</v>
      </c>
      <c r="AN36" s="30" t="n">
        <f aca="false">IF(AND(Projects!$G$27="Yes",AN$3&gt;=Projects!$C$27,AN$3&lt;Projects!$C$27+Projects!$D$27),Projects!$B$27*INDEX(Curves!$B$4:$AR$4,1,AN$3-Projects!$C$27+1),0)-IF(AND(Projects!$G$27="Yes",AN$3&gt;=Projects!$C$27,AN$3&lt;Projects!$C$27+Projects!$D$27),Projects!$B$27*(Assumptions!$B$10+Assumptions!$B$11+Assumptions!$B$12)/Projects!$D$27*0.95,0)-IF(AND(Projects!$G$27="Yes",AN$3=Projects!$C$27+Projects!$D$27-1),Projects!$B$27*(Assumptions!$B$10+Assumptions!$B$11+Assumptions!$B$12)*0.05,0)</f>
        <v>0</v>
      </c>
      <c r="AO36" s="30" t="n">
        <f aca="false">IF(AND(Projects!$G$27="Yes",AO$3&gt;=Projects!$C$27,AO$3&lt;Projects!$C$27+Projects!$D$27),Projects!$B$27*INDEX(Curves!$B$4:$AR$4,1,AO$3-Projects!$C$27+1),0)-IF(AND(Projects!$G$27="Yes",AO$3&gt;=Projects!$C$27,AO$3&lt;Projects!$C$27+Projects!$D$27),Projects!$B$27*(Assumptions!$B$10+Assumptions!$B$11+Assumptions!$B$12)/Projects!$D$27*0.95,0)-IF(AND(Projects!$G$27="Yes",AO$3=Projects!$C$27+Projects!$D$27-1),Projects!$B$27*(Assumptions!$B$10+Assumptions!$B$11+Assumptions!$B$12)*0.05,0)</f>
        <v>0</v>
      </c>
      <c r="AP36" s="30" t="n">
        <f aca="false">IF(AND(Projects!$G$27="Yes",AP$3&gt;=Projects!$C$27,AP$3&lt;Projects!$C$27+Projects!$D$27),Projects!$B$27*INDEX(Curves!$B$4:$AR$4,1,AP$3-Projects!$C$27+1),0)-IF(AND(Projects!$G$27="Yes",AP$3&gt;=Projects!$C$27,AP$3&lt;Projects!$C$27+Projects!$D$27),Projects!$B$27*(Assumptions!$B$10+Assumptions!$B$11+Assumptions!$B$12)/Projects!$D$27*0.95,0)-IF(AND(Projects!$G$27="Yes",AP$3=Projects!$C$27+Projects!$D$27-1),Projects!$B$27*(Assumptions!$B$10+Assumptions!$B$11+Assumptions!$B$12)*0.05,0)</f>
        <v>0</v>
      </c>
      <c r="AQ36" s="30" t="n">
        <f aca="false">IF(AND(Projects!$G$27="Yes",AQ$3&gt;=Projects!$C$27,AQ$3&lt;Projects!$C$27+Projects!$D$27),Projects!$B$27*INDEX(Curves!$B$4:$AR$4,1,AQ$3-Projects!$C$27+1),0)-IF(AND(Projects!$G$27="Yes",AQ$3&gt;=Projects!$C$27,AQ$3&lt;Projects!$C$27+Projects!$D$27),Projects!$B$27*(Assumptions!$B$10+Assumptions!$B$11+Assumptions!$B$12)/Projects!$D$27*0.95,0)-IF(AND(Projects!$G$27="Yes",AQ$3=Projects!$C$27+Projects!$D$27-1),Projects!$B$27*(Assumptions!$B$10+Assumptions!$B$11+Assumptions!$B$12)*0.05,0)</f>
        <v>0</v>
      </c>
      <c r="AR36" s="30" t="n">
        <f aca="false">IF(AND(Projects!$G$27="Yes",AR$3&gt;=Projects!$C$27,AR$3&lt;Projects!$C$27+Projects!$D$27),Projects!$B$27*INDEX(Curves!$B$4:$AR$4,1,AR$3-Projects!$C$27+1),0)-IF(AND(Projects!$G$27="Yes",AR$3&gt;=Projects!$C$27,AR$3&lt;Projects!$C$27+Projects!$D$27),Projects!$B$27*(Assumptions!$B$10+Assumptions!$B$11+Assumptions!$B$12)/Projects!$D$27*0.95,0)-IF(AND(Projects!$G$27="Yes",AR$3=Projects!$C$27+Projects!$D$27-1),Projects!$B$27*(Assumptions!$B$10+Assumptions!$B$11+Assumptions!$B$12)*0.05,0)</f>
        <v>0</v>
      </c>
      <c r="AS36" s="30" t="n">
        <f aca="false">IF(AND(Projects!$G$27="Yes",AS$3&gt;=Projects!$C$27,AS$3&lt;Projects!$C$27+Projects!$D$27),Projects!$B$27*INDEX(Curves!$B$4:$AR$4,1,AS$3-Projects!$C$27+1),0)-IF(AND(Projects!$G$27="Yes",AS$3&gt;=Projects!$C$27,AS$3&lt;Projects!$C$27+Projects!$D$27),Projects!$B$27*(Assumptions!$B$10+Assumptions!$B$11+Assumptions!$B$12)/Projects!$D$27*0.95,0)-IF(AND(Projects!$G$27="Yes",AS$3=Projects!$C$27+Projects!$D$27-1),Projects!$B$27*(Assumptions!$B$10+Assumptions!$B$11+Assumptions!$B$12)*0.05,0)</f>
        <v>0</v>
      </c>
      <c r="AT36" s="30" t="n">
        <f aca="false">IF(AND(Projects!$G$27="Yes",AT$3&gt;=Projects!$C$27,AT$3&lt;Projects!$C$27+Projects!$D$27),Projects!$B$27*INDEX(Curves!$B$4:$AR$4,1,AT$3-Projects!$C$27+1),0)-IF(AND(Projects!$G$27="Yes",AT$3&gt;=Projects!$C$27,AT$3&lt;Projects!$C$27+Projects!$D$27),Projects!$B$27*(Assumptions!$B$10+Assumptions!$B$11+Assumptions!$B$12)/Projects!$D$27*0.95,0)-IF(AND(Projects!$G$27="Yes",AT$3=Projects!$C$27+Projects!$D$27-1),Projects!$B$27*(Assumptions!$B$10+Assumptions!$B$11+Assumptions!$B$12)*0.05,0)</f>
        <v>0</v>
      </c>
      <c r="AU36" s="30" t="n">
        <f aca="false">IF(AND(Projects!$G$27="Yes",AU$3&gt;=Projects!$C$27,AU$3&lt;Projects!$C$27+Projects!$D$27),Projects!$B$27*INDEX(Curves!$B$4:$AR$4,1,AU$3-Projects!$C$27+1),0)-IF(AND(Projects!$G$27="Yes",AU$3&gt;=Projects!$C$27,AU$3&lt;Projects!$C$27+Projects!$D$27),Projects!$B$27*(Assumptions!$B$10+Assumptions!$B$11+Assumptions!$B$12)/Projects!$D$27*0.95,0)-IF(AND(Projects!$G$27="Yes",AU$3=Projects!$C$27+Projects!$D$27-1),Projects!$B$27*(Assumptions!$B$10+Assumptions!$B$11+Assumptions!$B$12)*0.05,0)</f>
        <v>0</v>
      </c>
      <c r="AV36" s="30" t="n">
        <f aca="false">IF(AND(Projects!$G$27="Yes",AV$3&gt;=Projects!$C$27,AV$3&lt;Projects!$C$27+Projects!$D$27),Projects!$B$27*INDEX(Curves!$B$4:$AR$4,1,AV$3-Projects!$C$27+1),0)-IF(AND(Projects!$G$27="Yes",AV$3&gt;=Projects!$C$27,AV$3&lt;Projects!$C$27+Projects!$D$27),Projects!$B$27*(Assumptions!$B$10+Assumptions!$B$11+Assumptions!$B$12)/Projects!$D$27*0.95,0)-IF(AND(Projects!$G$27="Yes",AV$3=Projects!$C$27+Projects!$D$27-1),Projects!$B$27*(Assumptions!$B$10+Assumptions!$B$11+Assumptions!$B$12)*0.05,0)</f>
        <v>0</v>
      </c>
      <c r="AW36" s="30" t="n">
        <f aca="false">IF(AND(Projects!$G$27="Yes",AW$3&gt;=Projects!$C$27,AW$3&lt;Projects!$C$27+Projects!$D$27),Projects!$B$27*INDEX(Curves!$B$4:$AR$4,1,AW$3-Projects!$C$27+1),0)-IF(AND(Projects!$G$27="Yes",AW$3&gt;=Projects!$C$27,AW$3&lt;Projects!$C$27+Projects!$D$27),Projects!$B$27*(Assumptions!$B$10+Assumptions!$B$11+Assumptions!$B$12)/Projects!$D$27*0.95,0)-IF(AND(Projects!$G$27="Yes",AW$3=Projects!$C$27+Projects!$D$27-1),Projects!$B$27*(Assumptions!$B$10+Assumptions!$B$11+Assumptions!$B$12)*0.05,0)</f>
        <v>0</v>
      </c>
      <c r="AX36" s="30" t="n">
        <f aca="false">IF(AND(Projects!$G$27="Yes",AX$3&gt;=Projects!$C$27,AX$3&lt;Projects!$C$27+Projects!$D$27),Projects!$B$27*INDEX(Curves!$B$4:$AR$4,1,AX$3-Projects!$C$27+1),0)-IF(AND(Projects!$G$27="Yes",AX$3&gt;=Projects!$C$27,AX$3&lt;Projects!$C$27+Projects!$D$27),Projects!$B$27*(Assumptions!$B$10+Assumptions!$B$11+Assumptions!$B$12)/Projects!$D$27*0.95,0)-IF(AND(Projects!$G$27="Yes",AX$3=Projects!$C$27+Projects!$D$27-1),Projects!$B$27*(Assumptions!$B$10+Assumptions!$B$11+Assumptions!$B$12)*0.05,0)</f>
        <v>0</v>
      </c>
      <c r="AY36" s="30" t="n">
        <f aca="false">IF(AND(Projects!$G$27="Yes",AY$3&gt;=Projects!$C$27,AY$3&lt;Projects!$C$27+Projects!$D$27),Projects!$B$27*INDEX(Curves!$B$4:$AR$4,1,AY$3-Projects!$C$27+1),0)-IF(AND(Projects!$G$27="Yes",AY$3&gt;=Projects!$C$27,AY$3&lt;Projects!$C$27+Projects!$D$27),Projects!$B$27*(Assumptions!$B$10+Assumptions!$B$11+Assumptions!$B$12)/Projects!$D$27*0.95,0)-IF(AND(Projects!$G$27="Yes",AY$3=Projects!$C$27+Projects!$D$27-1),Projects!$B$27*(Assumptions!$B$10+Assumptions!$B$11+Assumptions!$B$12)*0.05,0)</f>
        <v>0</v>
      </c>
      <c r="AZ36" s="30" t="n">
        <f aca="false">IF(AND(Projects!$G$27="Yes",AZ$3&gt;=Projects!$C$27,AZ$3&lt;Projects!$C$27+Projects!$D$27),Projects!$B$27*INDEX(Curves!$B$4:$AR$4,1,AZ$3-Projects!$C$27+1),0)-IF(AND(Projects!$G$27="Yes",AZ$3&gt;=Projects!$C$27,AZ$3&lt;Projects!$C$27+Projects!$D$27),Projects!$B$27*(Assumptions!$B$10+Assumptions!$B$11+Assumptions!$B$12)/Projects!$D$27*0.95,0)-IF(AND(Projects!$G$27="Yes",AZ$3=Projects!$C$27+Projects!$D$27-1),Projects!$B$27*(Assumptions!$B$10+Assumptions!$B$11+Assumptions!$B$12)*0.05,0)</f>
        <v>0</v>
      </c>
      <c r="BA36" s="30" t="n">
        <f aca="false">IF(AND(Projects!$G$27="Yes",BA$3&gt;=Projects!$C$27,BA$3&lt;Projects!$C$27+Projects!$D$27),Projects!$B$27*INDEX(Curves!$B$4:$AR$4,1,BA$3-Projects!$C$27+1),0)-IF(AND(Projects!$G$27="Yes",BA$3&gt;=Projects!$C$27,BA$3&lt;Projects!$C$27+Projects!$D$27),Projects!$B$27*(Assumptions!$B$10+Assumptions!$B$11+Assumptions!$B$12)/Projects!$D$27*0.95,0)-IF(AND(Projects!$G$27="Yes",BA$3=Projects!$C$27+Projects!$D$27-1),Projects!$B$27*(Assumptions!$B$10+Assumptions!$B$11+Assumptions!$B$12)*0.05,0)</f>
        <v>0</v>
      </c>
      <c r="BB36" s="30" t="n">
        <f aca="false">IF(AND(Projects!$G$27="Yes",BB$3&gt;=Projects!$C$27,BB$3&lt;Projects!$C$27+Projects!$D$27),Projects!$B$27*INDEX(Curves!$B$4:$AR$4,1,BB$3-Projects!$C$27+1),0)-IF(AND(Projects!$G$27="Yes",BB$3&gt;=Projects!$C$27,BB$3&lt;Projects!$C$27+Projects!$D$27),Projects!$B$27*(Assumptions!$B$10+Assumptions!$B$11+Assumptions!$B$12)/Projects!$D$27*0.95,0)-IF(AND(Projects!$G$27="Yes",BB$3=Projects!$C$27+Projects!$D$27-1),Projects!$B$27*(Assumptions!$B$10+Assumptions!$B$11+Assumptions!$B$12)*0.05,0)</f>
        <v>0</v>
      </c>
      <c r="BC36" s="30" t="n">
        <f aca="false">IF(AND(Projects!$G$27="Yes",BC$3&gt;=Projects!$C$27,BC$3&lt;Projects!$C$27+Projects!$D$27),Projects!$B$27*INDEX(Curves!$B$4:$AR$4,1,BC$3-Projects!$C$27+1),0)-IF(AND(Projects!$G$27="Yes",BC$3&gt;=Projects!$C$27,BC$3&lt;Projects!$C$27+Projects!$D$27),Projects!$B$27*(Assumptions!$B$10+Assumptions!$B$11+Assumptions!$B$12)/Projects!$D$27*0.95,0)-IF(AND(Projects!$G$27="Yes",BC$3=Projects!$C$27+Projects!$D$27-1),Projects!$B$27*(Assumptions!$B$10+Assumptions!$B$11+Assumptions!$B$12)*0.05,0)</f>
        <v>0</v>
      </c>
      <c r="BD36" s="30" t="n">
        <f aca="false">IF(AND(Projects!$G$27="Yes",BD$3&gt;=Projects!$C$27,BD$3&lt;Projects!$C$27+Projects!$D$27),Projects!$B$27*INDEX(Curves!$B$4:$AR$4,1,BD$3-Projects!$C$27+1),0)-IF(AND(Projects!$G$27="Yes",BD$3&gt;=Projects!$C$27,BD$3&lt;Projects!$C$27+Projects!$D$27),Projects!$B$27*(Assumptions!$B$10+Assumptions!$B$11+Assumptions!$B$12)/Projects!$D$27*0.95,0)-IF(AND(Projects!$G$27="Yes",BD$3=Projects!$C$27+Projects!$D$27-1),Projects!$B$27*(Assumptions!$B$10+Assumptions!$B$11+Assumptions!$B$12)*0.05,0)</f>
        <v>0</v>
      </c>
      <c r="BE36" s="30" t="n">
        <f aca="false">IF(AND(Projects!$G$27="Yes",BE$3&gt;=Projects!$C$27,BE$3&lt;Projects!$C$27+Projects!$D$27),Projects!$B$27*INDEX(Curves!$B$4:$AR$4,1,BE$3-Projects!$C$27+1),0)-IF(AND(Projects!$G$27="Yes",BE$3&gt;=Projects!$C$27,BE$3&lt;Projects!$C$27+Projects!$D$27),Projects!$B$27*(Assumptions!$B$10+Assumptions!$B$11+Assumptions!$B$12)/Projects!$D$27*0.95,0)-IF(AND(Projects!$G$27="Yes",BE$3=Projects!$C$27+Projects!$D$27-1),Projects!$B$27*(Assumptions!$B$10+Assumptions!$B$11+Assumptions!$B$12)*0.05,0)</f>
        <v>0</v>
      </c>
      <c r="BF36" s="30" t="n">
        <f aca="false">IF(AND(Projects!$G$27="Yes",BF$3&gt;=Projects!$C$27,BF$3&lt;Projects!$C$27+Projects!$D$27),Projects!$B$27*INDEX(Curves!$B$4:$AR$4,1,BF$3-Projects!$C$27+1),0)-IF(AND(Projects!$G$27="Yes",BF$3&gt;=Projects!$C$27,BF$3&lt;Projects!$C$27+Projects!$D$27),Projects!$B$27*(Assumptions!$B$10+Assumptions!$B$11+Assumptions!$B$12)/Projects!$D$27*0.95,0)-IF(AND(Projects!$G$27="Yes",BF$3=Projects!$C$27+Projects!$D$27-1),Projects!$B$27*(Assumptions!$B$10+Assumptions!$B$11+Assumptions!$B$12)*0.05,0)</f>
        <v>0</v>
      </c>
      <c r="BG36" s="30" t="n">
        <f aca="false">IF(AND(Projects!$G$27="Yes",BG$3&gt;=Projects!$C$27,BG$3&lt;Projects!$C$27+Projects!$D$27),Projects!$B$27*INDEX(Curves!$B$4:$AR$4,1,BG$3-Projects!$C$27+1),0)-IF(AND(Projects!$G$27="Yes",BG$3&gt;=Projects!$C$27,BG$3&lt;Projects!$C$27+Projects!$D$27),Projects!$B$27*(Assumptions!$B$10+Assumptions!$B$11+Assumptions!$B$12)/Projects!$D$27*0.95,0)-IF(AND(Projects!$G$27="Yes",BG$3=Projects!$C$27+Projects!$D$27-1),Projects!$B$27*(Assumptions!$B$10+Assumptions!$B$11+Assumptions!$B$12)*0.05,0)</f>
        <v>0</v>
      </c>
      <c r="BH36" s="30" t="n">
        <f aca="false">IF(AND(Projects!$G$27="Yes",BH$3&gt;=Projects!$C$27,BH$3&lt;Projects!$C$27+Projects!$D$27),Projects!$B$27*INDEX(Curves!$B$4:$AR$4,1,BH$3-Projects!$C$27+1),0)-IF(AND(Projects!$G$27="Yes",BH$3&gt;=Projects!$C$27,BH$3&lt;Projects!$C$27+Projects!$D$27),Projects!$B$27*(Assumptions!$B$10+Assumptions!$B$11+Assumptions!$B$12)/Projects!$D$27*0.95,0)-IF(AND(Projects!$G$27="Yes",BH$3=Projects!$C$27+Projects!$D$27-1),Projects!$B$27*(Assumptions!$B$10+Assumptions!$B$11+Assumptions!$B$12)*0.05,0)</f>
        <v>0</v>
      </c>
      <c r="BI36" s="30" t="n">
        <f aca="false">IF(AND(Projects!$G$27="Yes",BI$3&gt;=Projects!$C$27,BI$3&lt;Projects!$C$27+Projects!$D$27),Projects!$B$27*INDEX(Curves!$B$4:$AR$4,1,BI$3-Projects!$C$27+1),0)-IF(AND(Projects!$G$27="Yes",BI$3&gt;=Projects!$C$27,BI$3&lt;Projects!$C$27+Projects!$D$27),Projects!$B$27*(Assumptions!$B$10+Assumptions!$B$11+Assumptions!$B$12)/Projects!$D$27*0.95,0)-IF(AND(Projects!$G$27="Yes",BI$3=Projects!$C$27+Projects!$D$27-1),Projects!$B$27*(Assumptions!$B$10+Assumptions!$B$11+Assumptions!$B$12)*0.05,0)</f>
        <v>0</v>
      </c>
      <c r="BJ36" s="30" t="n">
        <f aca="false">IF(AND(Projects!$G$27="Yes",BJ$3&gt;=Projects!$C$27,BJ$3&lt;Projects!$C$27+Projects!$D$27),Projects!$B$27*INDEX(Curves!$B$4:$AR$4,1,BJ$3-Projects!$C$27+1),0)-IF(AND(Projects!$G$27="Yes",BJ$3&gt;=Projects!$C$27,BJ$3&lt;Projects!$C$27+Projects!$D$27),Projects!$B$27*(Assumptions!$B$10+Assumptions!$B$11+Assumptions!$B$12)/Projects!$D$27*0.95,0)-IF(AND(Projects!$G$27="Yes",BJ$3=Projects!$C$27+Projects!$D$27-1),Projects!$B$27*(Assumptions!$B$10+Assumptions!$B$11+Assumptions!$B$12)*0.05,0)</f>
        <v>0</v>
      </c>
      <c r="BK36" s="30" t="n">
        <f aca="false">IF(AND(Projects!$G$27="Yes",BK$3&gt;=Projects!$C$27,BK$3&lt;Projects!$C$27+Projects!$D$27),Projects!$B$27*INDEX(Curves!$B$4:$AR$4,1,BK$3-Projects!$C$27+1),0)-IF(AND(Projects!$G$27="Yes",BK$3&gt;=Projects!$C$27,BK$3&lt;Projects!$C$27+Projects!$D$27),Projects!$B$27*(Assumptions!$B$10+Assumptions!$B$11+Assumptions!$B$12)/Projects!$D$27*0.95,0)-IF(AND(Projects!$G$27="Yes",BK$3=Projects!$C$27+Projects!$D$27-1),Projects!$B$27*(Assumptions!$B$10+Assumptions!$B$11+Assumptions!$B$12)*0.05,0)</f>
        <v>0</v>
      </c>
      <c r="BL36" s="30" t="n">
        <f aca="false">IF(AND(Projects!$G$27="Yes",BL$3&gt;=Projects!$C$27,BL$3&lt;Projects!$C$27+Projects!$D$27),Projects!$B$27*INDEX(Curves!$B$4:$AR$4,1,BL$3-Projects!$C$27+1),0)-IF(AND(Projects!$G$27="Yes",BL$3&gt;=Projects!$C$27,BL$3&lt;Projects!$C$27+Projects!$D$27),Projects!$B$27*(Assumptions!$B$10+Assumptions!$B$11+Assumptions!$B$12)/Projects!$D$27*0.95,0)-IF(AND(Projects!$G$27="Yes",BL$3=Projects!$C$27+Projects!$D$27-1),Projects!$B$27*(Assumptions!$B$10+Assumptions!$B$11+Assumptions!$B$12)*0.05,0)</f>
        <v>0</v>
      </c>
      <c r="BM36" s="30" t="n">
        <f aca="false">IF(AND(Projects!$G$27="Yes",BM$3&gt;=Projects!$C$27,BM$3&lt;Projects!$C$27+Projects!$D$27),Projects!$B$27*INDEX(Curves!$B$4:$AR$4,1,BM$3-Projects!$C$27+1),0)-IF(AND(Projects!$G$27="Yes",BM$3&gt;=Projects!$C$27,BM$3&lt;Projects!$C$27+Projects!$D$27),Projects!$B$27*(Assumptions!$B$10+Assumptions!$B$11+Assumptions!$B$12)/Projects!$D$27*0.95,0)-IF(AND(Projects!$G$27="Yes",BM$3=Projects!$C$27+Projects!$D$27-1),Projects!$B$27*(Assumptions!$B$10+Assumptions!$B$11+Assumptions!$B$12)*0.05,0)</f>
        <v>0</v>
      </c>
      <c r="BN36" s="30" t="n">
        <f aca="false">IF(AND(Projects!$G$27="Yes",BN$3&gt;=Projects!$C$27,BN$3&lt;Projects!$C$27+Projects!$D$27),Projects!$B$27*INDEX(Curves!$B$4:$AR$4,1,BN$3-Projects!$C$27+1),0)-IF(AND(Projects!$G$27="Yes",BN$3&gt;=Projects!$C$27,BN$3&lt;Projects!$C$27+Projects!$D$27),Projects!$B$27*(Assumptions!$B$10+Assumptions!$B$11+Assumptions!$B$12)/Projects!$D$27*0.95,0)-IF(AND(Projects!$G$27="Yes",BN$3=Projects!$C$27+Projects!$D$27-1),Projects!$B$27*(Assumptions!$B$10+Assumptions!$B$11+Assumptions!$B$12)*0.05,0)</f>
        <v>0</v>
      </c>
      <c r="BO36" s="30" t="n">
        <f aca="false">IF(AND(Projects!$G$27="Yes",BO$3&gt;=Projects!$C$27,BO$3&lt;Projects!$C$27+Projects!$D$27),Projects!$B$27*INDEX(Curves!$B$4:$AR$4,1,BO$3-Projects!$C$27+1),0)-IF(AND(Projects!$G$27="Yes",BO$3&gt;=Projects!$C$27,BO$3&lt;Projects!$C$27+Projects!$D$27),Projects!$B$27*(Assumptions!$B$10+Assumptions!$B$11+Assumptions!$B$12)/Projects!$D$27*0.95,0)-IF(AND(Projects!$G$27="Yes",BO$3=Projects!$C$27+Projects!$D$27-1),Projects!$B$27*(Assumptions!$B$10+Assumptions!$B$11+Assumptions!$B$12)*0.05,0)</f>
        <v>0</v>
      </c>
      <c r="BP36" s="30" t="n">
        <f aca="false">IF(AND(Projects!$G$27="Yes",BP$3&gt;=Projects!$C$27,BP$3&lt;Projects!$C$27+Projects!$D$27),Projects!$B$27*INDEX(Curves!$B$4:$AR$4,1,BP$3-Projects!$C$27+1),0)-IF(AND(Projects!$G$27="Yes",BP$3&gt;=Projects!$C$27,BP$3&lt;Projects!$C$27+Projects!$D$27),Projects!$B$27*(Assumptions!$B$10+Assumptions!$B$11+Assumptions!$B$12)/Projects!$D$27*0.95,0)-IF(AND(Projects!$G$27="Yes",BP$3=Projects!$C$27+Projects!$D$27-1),Projects!$B$27*(Assumptions!$B$10+Assumptions!$B$11+Assumptions!$B$12)*0.05,0)</f>
        <v>0</v>
      </c>
      <c r="BQ36" s="30" t="n">
        <f aca="false">IF(AND(Projects!$G$27="Yes",BQ$3&gt;=Projects!$C$27,BQ$3&lt;Projects!$C$27+Projects!$D$27),Projects!$B$27*INDEX(Curves!$B$4:$AR$4,1,BQ$3-Projects!$C$27+1),0)-IF(AND(Projects!$G$27="Yes",BQ$3&gt;=Projects!$C$27,BQ$3&lt;Projects!$C$27+Projects!$D$27),Projects!$B$27*(Assumptions!$B$10+Assumptions!$B$11+Assumptions!$B$12)/Projects!$D$27*0.95,0)-IF(AND(Projects!$G$27="Yes",BQ$3=Projects!$C$27+Projects!$D$27-1),Projects!$B$27*(Assumptions!$B$10+Assumptions!$B$11+Assumptions!$B$12)*0.05,0)</f>
        <v>0</v>
      </c>
      <c r="BR36" s="30" t="n">
        <f aca="false">IF(AND(Projects!$G$27="Yes",BR$3&gt;=Projects!$C$27,BR$3&lt;Projects!$C$27+Projects!$D$27),Projects!$B$27*INDEX(Curves!$B$4:$AR$4,1,BR$3-Projects!$C$27+1),0)-IF(AND(Projects!$G$27="Yes",BR$3&gt;=Projects!$C$27,BR$3&lt;Projects!$C$27+Projects!$D$27),Projects!$B$27*(Assumptions!$B$10+Assumptions!$B$11+Assumptions!$B$12)/Projects!$D$27*0.95,0)-IF(AND(Projects!$G$27="Yes",BR$3=Projects!$C$27+Projects!$D$27-1),Projects!$B$27*(Assumptions!$B$10+Assumptions!$B$11+Assumptions!$B$12)*0.05,0)</f>
        <v>0</v>
      </c>
      <c r="BS36" s="30" t="n">
        <f aca="false">IF(AND(Projects!$G$27="Yes",BS$3&gt;=Projects!$C$27,BS$3&lt;Projects!$C$27+Projects!$D$27),Projects!$B$27*INDEX(Curves!$B$4:$AR$4,1,BS$3-Projects!$C$27+1),0)-IF(AND(Projects!$G$27="Yes",BS$3&gt;=Projects!$C$27,BS$3&lt;Projects!$C$27+Projects!$D$27),Projects!$B$27*(Assumptions!$B$10+Assumptions!$B$11+Assumptions!$B$12)/Projects!$D$27*0.95,0)-IF(AND(Projects!$G$27="Yes",BS$3=Projects!$C$27+Projects!$D$27-1),Projects!$B$27*(Assumptions!$B$10+Assumptions!$B$11+Assumptions!$B$12)*0.05,0)</f>
        <v>0</v>
      </c>
      <c r="BT36" s="30" t="n">
        <f aca="false">IF(AND(Projects!$G$27="Yes",BT$3&gt;=Projects!$C$27,BT$3&lt;Projects!$C$27+Projects!$D$27),Projects!$B$27*INDEX(Curves!$B$4:$AR$4,1,BT$3-Projects!$C$27+1),0)-IF(AND(Projects!$G$27="Yes",BT$3&gt;=Projects!$C$27,BT$3&lt;Projects!$C$27+Projects!$D$27),Projects!$B$27*(Assumptions!$B$10+Assumptions!$B$11+Assumptions!$B$12)/Projects!$D$27*0.95,0)-IF(AND(Projects!$G$27="Yes",BT$3=Projects!$C$27+Projects!$D$27-1),Projects!$B$27*(Assumptions!$B$10+Assumptions!$B$11+Assumptions!$B$12)*0.05,0)</f>
        <v>0</v>
      </c>
      <c r="BU36" s="30" t="n">
        <f aca="false">IF(AND(Projects!$G$27="Yes",BU$3&gt;=Projects!$C$27,BU$3&lt;Projects!$C$27+Projects!$D$27),Projects!$B$27*INDEX(Curves!$B$4:$AR$4,1,BU$3-Projects!$C$27+1),0)-IF(AND(Projects!$G$27="Yes",BU$3&gt;=Projects!$C$27,BU$3&lt;Projects!$C$27+Projects!$D$27),Projects!$B$27*(Assumptions!$B$10+Assumptions!$B$11+Assumptions!$B$12)/Projects!$D$27*0.95,0)-IF(AND(Projects!$G$27="Yes",BU$3=Projects!$C$27+Projects!$D$27-1),Projects!$B$27*(Assumptions!$B$10+Assumptions!$B$11+Assumptions!$B$12)*0.05,0)</f>
        <v>0</v>
      </c>
      <c r="BV36" s="30" t="n">
        <f aca="false">IF(AND(Projects!$G$27="Yes",BV$3&gt;=Projects!$C$27,BV$3&lt;Projects!$C$27+Projects!$D$27),Projects!$B$27*INDEX(Curves!$B$4:$AR$4,1,BV$3-Projects!$C$27+1),0)-IF(AND(Projects!$G$27="Yes",BV$3&gt;=Projects!$C$27,BV$3&lt;Projects!$C$27+Projects!$D$27),Projects!$B$27*(Assumptions!$B$10+Assumptions!$B$11+Assumptions!$B$12)/Projects!$D$27*0.95,0)-IF(AND(Projects!$G$27="Yes",BV$3=Projects!$C$27+Projects!$D$27-1),Projects!$B$27*(Assumptions!$B$10+Assumptions!$B$11+Assumptions!$B$12)*0.05,0)</f>
        <v>0</v>
      </c>
      <c r="BW36" s="30" t="n">
        <f aca="false">IF(AND(Projects!$G$27="Yes",BW$3&gt;=Projects!$C$27,BW$3&lt;Projects!$C$27+Projects!$D$27),Projects!$B$27*INDEX(Curves!$B$4:$AR$4,1,BW$3-Projects!$C$27+1),0)-IF(AND(Projects!$G$27="Yes",BW$3&gt;=Projects!$C$27,BW$3&lt;Projects!$C$27+Projects!$D$27),Projects!$B$27*(Assumptions!$B$10+Assumptions!$B$11+Assumptions!$B$12)/Projects!$D$27*0.95,0)-IF(AND(Projects!$G$27="Yes",BW$3=Projects!$C$27+Projects!$D$27-1),Projects!$B$27*(Assumptions!$B$10+Assumptions!$B$11+Assumptions!$B$12)*0.05,0)</f>
        <v>0</v>
      </c>
      <c r="BX36" s="30" t="n">
        <f aca="false">IF(AND(Projects!$G$27="Yes",BX$3&gt;=Projects!$C$27,BX$3&lt;Projects!$C$27+Projects!$D$27),Projects!$B$27*INDEX(Curves!$B$4:$AR$4,1,BX$3-Projects!$C$27+1),0)-IF(AND(Projects!$G$27="Yes",BX$3&gt;=Projects!$C$27,BX$3&lt;Projects!$C$27+Projects!$D$27),Projects!$B$27*(Assumptions!$B$10+Assumptions!$B$11+Assumptions!$B$12)/Projects!$D$27*0.95,0)-IF(AND(Projects!$G$27="Yes",BX$3=Projects!$C$27+Projects!$D$27-1),Projects!$B$27*(Assumptions!$B$10+Assumptions!$B$11+Assumptions!$B$12)*0.05,0)</f>
        <v>0</v>
      </c>
      <c r="BY36" s="30" t="n">
        <f aca="false">IF(AND(Projects!$G$27="Yes",BY$3&gt;=Projects!$C$27,BY$3&lt;Projects!$C$27+Projects!$D$27),Projects!$B$27*INDEX(Curves!$B$4:$AR$4,1,BY$3-Projects!$C$27+1),0)-IF(AND(Projects!$G$27="Yes",BY$3&gt;=Projects!$C$27,BY$3&lt;Projects!$C$27+Projects!$D$27),Projects!$B$27*(Assumptions!$B$10+Assumptions!$B$11+Assumptions!$B$12)/Projects!$D$27*0.95,0)-IF(AND(Projects!$G$27="Yes",BY$3=Projects!$C$27+Projects!$D$27-1),Projects!$B$27*(Assumptions!$B$10+Assumptions!$B$11+Assumptions!$B$12)*0.05,0)</f>
        <v>0</v>
      </c>
      <c r="BZ36" s="30" t="n">
        <f aca="false">IF(AND(Projects!$G$27="Yes",BZ$3&gt;=Projects!$C$27,BZ$3&lt;Projects!$C$27+Projects!$D$27),Projects!$B$27*INDEX(Curves!$B$4:$AR$4,1,BZ$3-Projects!$C$27+1),0)-IF(AND(Projects!$G$27="Yes",BZ$3&gt;=Projects!$C$27,BZ$3&lt;Projects!$C$27+Projects!$D$27),Projects!$B$27*(Assumptions!$B$10+Assumptions!$B$11+Assumptions!$B$12)/Projects!$D$27*0.95,0)-IF(AND(Projects!$G$27="Yes",BZ$3=Projects!$C$27+Projects!$D$27-1),Projects!$B$27*(Assumptions!$B$10+Assumptions!$B$11+Assumptions!$B$12)*0.05,0)</f>
        <v>0</v>
      </c>
      <c r="CA36" s="30" t="n">
        <f aca="false">IF(AND(Projects!$G$27="Yes",CA$3&gt;=Projects!$C$27,CA$3&lt;Projects!$C$27+Projects!$D$27),Projects!$B$27*INDEX(Curves!$B$4:$AR$4,1,CA$3-Projects!$C$27+1),0)-IF(AND(Projects!$G$27="Yes",CA$3&gt;=Projects!$C$27,CA$3&lt;Projects!$C$27+Projects!$D$27),Projects!$B$27*(Assumptions!$B$10+Assumptions!$B$11+Assumptions!$B$12)/Projects!$D$27*0.95,0)-IF(AND(Projects!$G$27="Yes",CA$3=Projects!$C$27+Projects!$D$27-1),Projects!$B$27*(Assumptions!$B$10+Assumptions!$B$11+Assumptions!$B$12)*0.05,0)</f>
        <v>0</v>
      </c>
      <c r="CB36" s="30" t="n">
        <f aca="false">IF(AND(Projects!$G$27="Yes",CB$3&gt;=Projects!$C$27,CB$3&lt;Projects!$C$27+Projects!$D$27),Projects!$B$27*INDEX(Curves!$B$4:$AR$4,1,CB$3-Projects!$C$27+1),0)-IF(AND(Projects!$G$27="Yes",CB$3&gt;=Projects!$C$27,CB$3&lt;Projects!$C$27+Projects!$D$27),Projects!$B$27*(Assumptions!$B$10+Assumptions!$B$11+Assumptions!$B$12)/Projects!$D$27*0.95,0)-IF(AND(Projects!$G$27="Yes",CB$3=Projects!$C$27+Projects!$D$27-1),Projects!$B$27*(Assumptions!$B$10+Assumptions!$B$11+Assumptions!$B$12)*0.05,0)</f>
        <v>0</v>
      </c>
      <c r="CC36" s="30" t="n">
        <f aca="false">IF(AND(Projects!$G$27="Yes",CC$3&gt;=Projects!$C$27,CC$3&lt;Projects!$C$27+Projects!$D$27),Projects!$B$27*INDEX(Curves!$B$4:$AR$4,1,CC$3-Projects!$C$27+1),0)-IF(AND(Projects!$G$27="Yes",CC$3&gt;=Projects!$C$27,CC$3&lt;Projects!$C$27+Projects!$D$27),Projects!$B$27*(Assumptions!$B$10+Assumptions!$B$11+Assumptions!$B$12)/Projects!$D$27*0.95,0)-IF(AND(Projects!$G$27="Yes",CC$3=Projects!$C$27+Projects!$D$27-1),Projects!$B$27*(Assumptions!$B$10+Assumptions!$B$11+Assumptions!$B$12)*0.05,0)</f>
        <v>0</v>
      </c>
      <c r="CD36" s="30" t="n">
        <f aca="false">IF(AND(Projects!$G$27="Yes",CD$3&gt;=Projects!$C$27,CD$3&lt;Projects!$C$27+Projects!$D$27),Projects!$B$27*INDEX(Curves!$B$4:$AR$4,1,CD$3-Projects!$C$27+1),0)-IF(AND(Projects!$G$27="Yes",CD$3&gt;=Projects!$C$27,CD$3&lt;Projects!$C$27+Projects!$D$27),Projects!$B$27*(Assumptions!$B$10+Assumptions!$B$11+Assumptions!$B$12)/Projects!$D$27*0.95,0)-IF(AND(Projects!$G$27="Yes",CD$3=Projects!$C$27+Projects!$D$27-1),Projects!$B$27*(Assumptions!$B$10+Assumptions!$B$11+Assumptions!$B$12)*0.05,0)</f>
        <v>0</v>
      </c>
      <c r="CE36" s="30" t="n">
        <f aca="false">IF(AND(Projects!$G$27="Yes",CE$3&gt;=Projects!$C$27,CE$3&lt;Projects!$C$27+Projects!$D$27),Projects!$B$27*INDEX(Curves!$B$4:$AR$4,1,CE$3-Projects!$C$27+1),0)-IF(AND(Projects!$G$27="Yes",CE$3&gt;=Projects!$C$27,CE$3&lt;Projects!$C$27+Projects!$D$27),Projects!$B$27*(Assumptions!$B$10+Assumptions!$B$11+Assumptions!$B$12)/Projects!$D$27*0.95,0)-IF(AND(Projects!$G$27="Yes",CE$3=Projects!$C$27+Projects!$D$27-1),Projects!$B$27*(Assumptions!$B$10+Assumptions!$B$11+Assumptions!$B$12)*0.05,0)</f>
        <v>0</v>
      </c>
      <c r="CF36" s="30" t="n">
        <f aca="false">IF(AND(Projects!$G$27="Yes",CF$3&gt;=Projects!$C$27,CF$3&lt;Projects!$C$27+Projects!$D$27),Projects!$B$27*INDEX(Curves!$B$4:$AR$4,1,CF$3-Projects!$C$27+1),0)-IF(AND(Projects!$G$27="Yes",CF$3&gt;=Projects!$C$27,CF$3&lt;Projects!$C$27+Projects!$D$27),Projects!$B$27*(Assumptions!$B$10+Assumptions!$B$11+Assumptions!$B$12)/Projects!$D$27*0.95,0)-IF(AND(Projects!$G$27="Yes",CF$3=Projects!$C$27+Projects!$D$27-1),Projects!$B$27*(Assumptions!$B$10+Assumptions!$B$11+Assumptions!$B$12)*0.05,0)</f>
        <v>0</v>
      </c>
      <c r="CG36" s="30" t="n">
        <f aca="false">IF(AND(Projects!$G$27="Yes",CG$3&gt;=Projects!$C$27,CG$3&lt;Projects!$C$27+Projects!$D$27),Projects!$B$27*INDEX(Curves!$B$4:$AR$4,1,CG$3-Projects!$C$27+1),0)-IF(AND(Projects!$G$27="Yes",CG$3&gt;=Projects!$C$27,CG$3&lt;Projects!$C$27+Projects!$D$27),Projects!$B$27*(Assumptions!$B$10+Assumptions!$B$11+Assumptions!$B$12)/Projects!$D$27*0.95,0)-IF(AND(Projects!$G$27="Yes",CG$3=Projects!$C$27+Projects!$D$27-1),Projects!$B$27*(Assumptions!$B$10+Assumptions!$B$11+Assumptions!$B$12)*0.05,0)</f>
        <v>0</v>
      </c>
      <c r="CH36" s="30" t="n">
        <f aca="false">IF(AND(Projects!$G$27="Yes",CH$3&gt;=Projects!$C$27,CH$3&lt;Projects!$C$27+Projects!$D$27),Projects!$B$27*INDEX(Curves!$B$4:$AR$4,1,CH$3-Projects!$C$27+1),0)-IF(AND(Projects!$G$27="Yes",CH$3&gt;=Projects!$C$27,CH$3&lt;Projects!$C$27+Projects!$D$27),Projects!$B$27*(Assumptions!$B$10+Assumptions!$B$11+Assumptions!$B$12)/Projects!$D$27*0.95,0)-IF(AND(Projects!$G$27="Yes",CH$3=Projects!$C$27+Projects!$D$27-1),Projects!$B$27*(Assumptions!$B$10+Assumptions!$B$11+Assumptions!$B$12)*0.05,0)</f>
        <v>0</v>
      </c>
      <c r="CI36" s="30" t="n">
        <f aca="false">IF(AND(Projects!$G$27="Yes",CI$3&gt;=Projects!$C$27,CI$3&lt;Projects!$C$27+Projects!$D$27),Projects!$B$27*INDEX(Curves!$B$4:$AR$4,1,CI$3-Projects!$C$27+1),0)-IF(AND(Projects!$G$27="Yes",CI$3&gt;=Projects!$C$27,CI$3&lt;Projects!$C$27+Projects!$D$27),Projects!$B$27*(Assumptions!$B$10+Assumptions!$B$11+Assumptions!$B$12)/Projects!$D$27*0.95,0)-IF(AND(Projects!$G$27="Yes",CI$3=Projects!$C$27+Projects!$D$27-1),Projects!$B$27*(Assumptions!$B$10+Assumptions!$B$11+Assumptions!$B$12)*0.05,0)</f>
        <v>0</v>
      </c>
      <c r="CJ36" s="30" t="n">
        <f aca="false">IF(AND(Projects!$G$27="Yes",CJ$3&gt;=Projects!$C$27,CJ$3&lt;Projects!$C$27+Projects!$D$27),Projects!$B$27*INDEX(Curves!$B$4:$AR$4,1,CJ$3-Projects!$C$27+1),0)-IF(AND(Projects!$G$27="Yes",CJ$3&gt;=Projects!$C$27,CJ$3&lt;Projects!$C$27+Projects!$D$27),Projects!$B$27*(Assumptions!$B$10+Assumptions!$B$11+Assumptions!$B$12)/Projects!$D$27*0.95,0)-IF(AND(Projects!$G$27="Yes",CJ$3=Projects!$C$27+Projects!$D$27-1),Projects!$B$27*(Assumptions!$B$10+Assumptions!$B$11+Assumptions!$B$12)*0.05,0)</f>
        <v>0</v>
      </c>
      <c r="CK36" s="30" t="n">
        <f aca="false">IF(AND(Projects!$G$27="Yes",CK$3&gt;=Projects!$C$27,CK$3&lt;Projects!$C$27+Projects!$D$27),Projects!$B$27*INDEX(Curves!$B$4:$AR$4,1,CK$3-Projects!$C$27+1),0)-IF(AND(Projects!$G$27="Yes",CK$3&gt;=Projects!$C$27,CK$3&lt;Projects!$C$27+Projects!$D$27),Projects!$B$27*(Assumptions!$B$10+Assumptions!$B$11+Assumptions!$B$12)/Projects!$D$27*0.95,0)-IF(AND(Projects!$G$27="Yes",CK$3=Projects!$C$27+Projects!$D$27-1),Projects!$B$27*(Assumptions!$B$10+Assumptions!$B$11+Assumptions!$B$12)*0.05,0)</f>
        <v>0</v>
      </c>
      <c r="CL36" s="30" t="n">
        <f aca="false">IF(AND(Projects!$G$27="Yes",CL$3&gt;=Projects!$C$27,CL$3&lt;Projects!$C$27+Projects!$D$27),Projects!$B$27*INDEX(Curves!$B$4:$AR$4,1,CL$3-Projects!$C$27+1),0)-IF(AND(Projects!$G$27="Yes",CL$3&gt;=Projects!$C$27,CL$3&lt;Projects!$C$27+Projects!$D$27),Projects!$B$27*(Assumptions!$B$10+Assumptions!$B$11+Assumptions!$B$12)/Projects!$D$27*0.95,0)-IF(AND(Projects!$G$27="Yes",CL$3=Projects!$C$27+Projects!$D$27-1),Projects!$B$27*(Assumptions!$B$10+Assumptions!$B$11+Assumptions!$B$12)*0.05,0)</f>
        <v>0</v>
      </c>
      <c r="CM36" s="30" t="n">
        <f aca="false">IF(AND(Projects!$G$27="Yes",CM$3&gt;=Projects!$C$27,CM$3&lt;Projects!$C$27+Projects!$D$27),Projects!$B$27*INDEX(Curves!$B$4:$AR$4,1,CM$3-Projects!$C$27+1),0)-IF(AND(Projects!$G$27="Yes",CM$3&gt;=Projects!$C$27,CM$3&lt;Projects!$C$27+Projects!$D$27),Projects!$B$27*(Assumptions!$B$10+Assumptions!$B$11+Assumptions!$B$12)/Projects!$D$27*0.95,0)-IF(AND(Projects!$G$27="Yes",CM$3=Projects!$C$27+Projects!$D$27-1),Projects!$B$27*(Assumptions!$B$10+Assumptions!$B$11+Assumptions!$B$12)*0.05,0)</f>
        <v>0</v>
      </c>
      <c r="CN36" s="30" t="n">
        <f aca="false">IF(AND(Projects!$G$27="Yes",CN$3&gt;=Projects!$C$27,CN$3&lt;Projects!$C$27+Projects!$D$27),Projects!$B$27*INDEX(Curves!$B$4:$AR$4,1,CN$3-Projects!$C$27+1),0)-IF(AND(Projects!$G$27="Yes",CN$3&gt;=Projects!$C$27,CN$3&lt;Projects!$C$27+Projects!$D$27),Projects!$B$27*(Assumptions!$B$10+Assumptions!$B$11+Assumptions!$B$12)/Projects!$D$27*0.95,0)-IF(AND(Projects!$G$27="Yes",CN$3=Projects!$C$27+Projects!$D$27-1),Projects!$B$27*(Assumptions!$B$10+Assumptions!$B$11+Assumptions!$B$12)*0.05,0)</f>
        <v>0</v>
      </c>
      <c r="CO36" s="30" t="n">
        <f aca="false">IF(AND(Projects!$G$27="Yes",CO$3&gt;=Projects!$C$27,CO$3&lt;Projects!$C$27+Projects!$D$27),Projects!$B$27*INDEX(Curves!$B$4:$AR$4,1,CO$3-Projects!$C$27+1),0)-IF(AND(Projects!$G$27="Yes",CO$3&gt;=Projects!$C$27,CO$3&lt;Projects!$C$27+Projects!$D$27),Projects!$B$27*(Assumptions!$B$10+Assumptions!$B$11+Assumptions!$B$12)/Projects!$D$27*0.95,0)-IF(AND(Projects!$G$27="Yes",CO$3=Projects!$C$27+Projects!$D$27-1),Projects!$B$27*(Assumptions!$B$10+Assumptions!$B$11+Assumptions!$B$12)*0.05,0)</f>
        <v>0</v>
      </c>
      <c r="CP36" s="30" t="n">
        <f aca="false">IF(AND(Projects!$G$27="Yes",CP$3&gt;=Projects!$C$27,CP$3&lt;Projects!$C$27+Projects!$D$27),Projects!$B$27*INDEX(Curves!$B$4:$AR$4,1,CP$3-Projects!$C$27+1),0)-IF(AND(Projects!$G$27="Yes",CP$3&gt;=Projects!$C$27,CP$3&lt;Projects!$C$27+Projects!$D$27),Projects!$B$27*(Assumptions!$B$10+Assumptions!$B$11+Assumptions!$B$12)/Projects!$D$27*0.95,0)-IF(AND(Projects!$G$27="Yes",CP$3=Projects!$C$27+Projects!$D$27-1),Projects!$B$27*(Assumptions!$B$10+Assumptions!$B$11+Assumptions!$B$12)*0.05,0)</f>
        <v>0</v>
      </c>
      <c r="CQ36" s="30" t="n">
        <f aca="false">IF(AND(Projects!$G$27="Yes",CQ$3&gt;=Projects!$C$27,CQ$3&lt;Projects!$C$27+Projects!$D$27),Projects!$B$27*INDEX(Curves!$B$4:$AR$4,1,CQ$3-Projects!$C$27+1),0)-IF(AND(Projects!$G$27="Yes",CQ$3&gt;=Projects!$C$27,CQ$3&lt;Projects!$C$27+Projects!$D$27),Projects!$B$27*(Assumptions!$B$10+Assumptions!$B$11+Assumptions!$B$12)/Projects!$D$27*0.95,0)-IF(AND(Projects!$G$27="Yes",CQ$3=Projects!$C$27+Projects!$D$27-1),Projects!$B$27*(Assumptions!$B$10+Assumptions!$B$11+Assumptions!$B$12)*0.05,0)</f>
        <v>0</v>
      </c>
      <c r="CR36" s="30" t="n">
        <f aca="false">IF(AND(Projects!$G$27="Yes",CR$3&gt;=Projects!$C$27,CR$3&lt;Projects!$C$27+Projects!$D$27),Projects!$B$27*INDEX(Curves!$B$4:$AR$4,1,CR$3-Projects!$C$27+1),0)-IF(AND(Projects!$G$27="Yes",CR$3&gt;=Projects!$C$27,CR$3&lt;Projects!$C$27+Projects!$D$27),Projects!$B$27*(Assumptions!$B$10+Assumptions!$B$11+Assumptions!$B$12)/Projects!$D$27*0.95,0)-IF(AND(Projects!$G$27="Yes",CR$3=Projects!$C$27+Projects!$D$27-1),Projects!$B$27*(Assumptions!$B$10+Assumptions!$B$11+Assumptions!$B$12)*0.05,0)</f>
        <v>0</v>
      </c>
      <c r="CS36" s="30" t="n">
        <f aca="false">IF(AND(Projects!$G$27="Yes",CS$3&gt;=Projects!$C$27,CS$3&lt;Projects!$C$27+Projects!$D$27),Projects!$B$27*INDEX(Curves!$B$4:$AR$4,1,CS$3-Projects!$C$27+1),0)-IF(AND(Projects!$G$27="Yes",CS$3&gt;=Projects!$C$27,CS$3&lt;Projects!$C$27+Projects!$D$27),Projects!$B$27*(Assumptions!$B$10+Assumptions!$B$11+Assumptions!$B$12)/Projects!$D$27*0.95,0)-IF(AND(Projects!$G$27="Yes",CS$3=Projects!$C$27+Projects!$D$27-1),Projects!$B$27*(Assumptions!$B$10+Assumptions!$B$11+Assumptions!$B$12)*0.05,0)</f>
        <v>0</v>
      </c>
      <c r="CT36" s="30" t="n">
        <f aca="false">IF(AND(Projects!$G$27="Yes",CT$3&gt;=Projects!$C$27,CT$3&lt;Projects!$C$27+Projects!$D$27),Projects!$B$27*INDEX(Curves!$B$4:$AR$4,1,CT$3-Projects!$C$27+1),0)-IF(AND(Projects!$G$27="Yes",CT$3&gt;=Projects!$C$27,CT$3&lt;Projects!$C$27+Projects!$D$27),Projects!$B$27*(Assumptions!$B$10+Assumptions!$B$11+Assumptions!$B$12)/Projects!$D$27*0.95,0)-IF(AND(Projects!$G$27="Yes",CT$3=Projects!$C$27+Projects!$D$27-1),Projects!$B$27*(Assumptions!$B$10+Assumptions!$B$11+Assumptions!$B$12)*0.05,0)</f>
        <v>0</v>
      </c>
      <c r="CU36" s="30" t="n">
        <f aca="false">IF(AND(Projects!$G$27="Yes",CU$3&gt;=Projects!$C$27,CU$3&lt;Projects!$C$27+Projects!$D$27),Projects!$B$27*INDEX(Curves!$B$4:$AR$4,1,CU$3-Projects!$C$27+1),0)-IF(AND(Projects!$G$27="Yes",CU$3&gt;=Projects!$C$27,CU$3&lt;Projects!$C$27+Projects!$D$27),Projects!$B$27*(Assumptions!$B$10+Assumptions!$B$11+Assumptions!$B$12)/Projects!$D$27*0.95,0)-IF(AND(Projects!$G$27="Yes",CU$3=Projects!$C$27+Projects!$D$27-1),Projects!$B$27*(Assumptions!$B$10+Assumptions!$B$11+Assumptions!$B$12)*0.05,0)</f>
        <v>0</v>
      </c>
      <c r="CV36" s="30" t="n">
        <f aca="false">IF(AND(Projects!$G$27="Yes",CV$3&gt;=Projects!$C$27,CV$3&lt;Projects!$C$27+Projects!$D$27),Projects!$B$27*INDEX(Curves!$B$4:$AR$4,1,CV$3-Projects!$C$27+1),0)-IF(AND(Projects!$G$27="Yes",CV$3&gt;=Projects!$C$27,CV$3&lt;Projects!$C$27+Projects!$D$27),Projects!$B$27*(Assumptions!$B$10+Assumptions!$B$11+Assumptions!$B$12)/Projects!$D$27*0.95,0)-IF(AND(Projects!$G$27="Yes",CV$3=Projects!$C$27+Projects!$D$27-1),Projects!$B$27*(Assumptions!$B$10+Assumptions!$B$11+Assumptions!$B$12)*0.05,0)</f>
        <v>0</v>
      </c>
      <c r="CW36" s="30" t="n">
        <f aca="false">IF(AND(Projects!$G$27="Yes",CW$3&gt;=Projects!$C$27,CW$3&lt;Projects!$C$27+Projects!$D$27),Projects!$B$27*INDEX(Curves!$B$4:$AR$4,1,CW$3-Projects!$C$27+1),0)-IF(AND(Projects!$G$27="Yes",CW$3&gt;=Projects!$C$27,CW$3&lt;Projects!$C$27+Projects!$D$27),Projects!$B$27*(Assumptions!$B$10+Assumptions!$B$11+Assumptions!$B$12)/Projects!$D$27*0.95,0)-IF(AND(Projects!$G$27="Yes",CW$3=Projects!$C$27+Projects!$D$27-1),Projects!$B$27*(Assumptions!$B$10+Assumptions!$B$11+Assumptions!$B$12)*0.05,0)</f>
        <v>0</v>
      </c>
      <c r="CX36" s="30" t="n">
        <f aca="false">IF(AND(Projects!$G$27="Yes",CX$3&gt;=Projects!$C$27,CX$3&lt;Projects!$C$27+Projects!$D$27),Projects!$B$27*INDEX(Curves!$B$4:$AR$4,1,CX$3-Projects!$C$27+1),0)-IF(AND(Projects!$G$27="Yes",CX$3&gt;=Projects!$C$27,CX$3&lt;Projects!$C$27+Projects!$D$27),Projects!$B$27*(Assumptions!$B$10+Assumptions!$B$11+Assumptions!$B$12)/Projects!$D$27*0.95,0)-IF(AND(Projects!$G$27="Yes",CX$3=Projects!$C$27+Projects!$D$27-1),Projects!$B$27*(Assumptions!$B$10+Assumptions!$B$11+Assumptions!$B$12)*0.05,0)</f>
        <v>0</v>
      </c>
      <c r="CY36" s="30" t="n">
        <f aca="false">IF(AND(Projects!$G$27="Yes",CY$3&gt;=Projects!$C$27,CY$3&lt;Projects!$C$27+Projects!$D$27),Projects!$B$27*INDEX(Curves!$B$4:$AR$4,1,CY$3-Projects!$C$27+1),0)-IF(AND(Projects!$G$27="Yes",CY$3&gt;=Projects!$C$27,CY$3&lt;Projects!$C$27+Projects!$D$27),Projects!$B$27*(Assumptions!$B$10+Assumptions!$B$11+Assumptions!$B$12)/Projects!$D$27*0.95,0)-IF(AND(Projects!$G$27="Yes",CY$3=Projects!$C$27+Projects!$D$27-1),Projects!$B$27*(Assumptions!$B$10+Assumptions!$B$11+Assumptions!$B$12)*0.05,0)</f>
        <v>0</v>
      </c>
      <c r="CZ36" s="30" t="n">
        <f aca="false">IF(AND(Projects!$G$27="Yes",CZ$3&gt;=Projects!$C$27,CZ$3&lt;Projects!$C$27+Projects!$D$27),Projects!$B$27*INDEX(Curves!$B$4:$AR$4,1,CZ$3-Projects!$C$27+1),0)-IF(AND(Projects!$G$27="Yes",CZ$3&gt;=Projects!$C$27,CZ$3&lt;Projects!$C$27+Projects!$D$27),Projects!$B$27*(Assumptions!$B$10+Assumptions!$B$11+Assumptions!$B$12)/Projects!$D$27*0.95,0)-IF(AND(Projects!$G$27="Yes",CZ$3=Projects!$C$27+Projects!$D$27-1),Projects!$B$27*(Assumptions!$B$10+Assumptions!$B$11+Assumptions!$B$12)*0.05,0)</f>
        <v>0</v>
      </c>
      <c r="DA36" s="30" t="n">
        <f aca="false">IF(AND(Projects!$G$27="Yes",DA$3&gt;=Projects!$C$27,DA$3&lt;Projects!$C$27+Projects!$D$27),Projects!$B$27*INDEX(Curves!$B$4:$AR$4,1,DA$3-Projects!$C$27+1),0)-IF(AND(Projects!$G$27="Yes",DA$3&gt;=Projects!$C$27,DA$3&lt;Projects!$C$27+Projects!$D$27),Projects!$B$27*(Assumptions!$B$10+Assumptions!$B$11+Assumptions!$B$12)/Projects!$D$27*0.95,0)-IF(AND(Projects!$G$27="Yes",DA$3=Projects!$C$27+Projects!$D$27-1),Projects!$B$27*(Assumptions!$B$10+Assumptions!$B$11+Assumptions!$B$12)*0.05,0)</f>
        <v>0</v>
      </c>
      <c r="DB36" s="30" t="n">
        <f aca="false">IF(AND(Projects!$G$27="Yes",DB$3&gt;=Projects!$C$27,DB$3&lt;Projects!$C$27+Projects!$D$27),Projects!$B$27*INDEX(Curves!$B$4:$AR$4,1,DB$3-Projects!$C$27+1),0)-IF(AND(Projects!$G$27="Yes",DB$3&gt;=Projects!$C$27,DB$3&lt;Projects!$C$27+Projects!$D$27),Projects!$B$27*(Assumptions!$B$10+Assumptions!$B$11+Assumptions!$B$12)/Projects!$D$27*0.95,0)-IF(AND(Projects!$G$27="Yes",DB$3=Projects!$C$27+Projects!$D$27-1),Projects!$B$27*(Assumptions!$B$10+Assumptions!$B$11+Assumptions!$B$12)*0.05,0)</f>
        <v>0</v>
      </c>
      <c r="DC36" s="30" t="n">
        <f aca="false">IF(AND(Projects!$G$27="Yes",DC$3&gt;=Projects!$C$27,DC$3&lt;Projects!$C$27+Projects!$D$27),Projects!$B$27*INDEX(Curves!$B$4:$AR$4,1,DC$3-Projects!$C$27+1),0)-IF(AND(Projects!$G$27="Yes",DC$3&gt;=Projects!$C$27,DC$3&lt;Projects!$C$27+Projects!$D$27),Projects!$B$27*(Assumptions!$B$10+Assumptions!$B$11+Assumptions!$B$12)/Projects!$D$27*0.95,0)-IF(AND(Projects!$G$27="Yes",DC$3=Projects!$C$27+Projects!$D$27-1),Projects!$B$27*(Assumptions!$B$10+Assumptions!$B$11+Assumptions!$B$12)*0.05,0)</f>
        <v>0</v>
      </c>
      <c r="DD36" s="30" t="n">
        <f aca="false">IF(AND(Projects!$G$27="Yes",DD$3&gt;=Projects!$C$27,DD$3&lt;Projects!$C$27+Projects!$D$27),Projects!$B$27*INDEX(Curves!$B$4:$AR$4,1,DD$3-Projects!$C$27+1),0)-IF(AND(Projects!$G$27="Yes",DD$3&gt;=Projects!$C$27,DD$3&lt;Projects!$C$27+Projects!$D$27),Projects!$B$27*(Assumptions!$B$10+Assumptions!$B$11+Assumptions!$B$12)/Projects!$D$27*0.95,0)-IF(AND(Projects!$G$27="Yes",DD$3=Projects!$C$27+Projects!$D$27-1),Projects!$B$27*(Assumptions!$B$10+Assumptions!$B$11+Assumptions!$B$12)*0.05,0)</f>
        <v>0</v>
      </c>
      <c r="DE36" s="30" t="n">
        <f aca="false">IF(AND(Projects!$G$27="Yes",DE$3&gt;=Projects!$C$27,DE$3&lt;Projects!$C$27+Projects!$D$27),Projects!$B$27*INDEX(Curves!$B$4:$AR$4,1,DE$3-Projects!$C$27+1),0)-IF(AND(Projects!$G$27="Yes",DE$3&gt;=Projects!$C$27,DE$3&lt;Projects!$C$27+Projects!$D$27),Projects!$B$27*(Assumptions!$B$10+Assumptions!$B$11+Assumptions!$B$12)/Projects!$D$27*0.95,0)-IF(AND(Projects!$G$27="Yes",DE$3=Projects!$C$27+Projects!$D$27-1),Projects!$B$27*(Assumptions!$B$10+Assumptions!$B$11+Assumptions!$B$12)*0.05,0)</f>
        <v>0</v>
      </c>
    </row>
    <row r="37" customFormat="false" ht="15" hidden="true" customHeight="true" outlineLevel="1" collapsed="false">
      <c r="A37" s="32" t="s">
        <v>31</v>
      </c>
      <c r="B37" s="30" t="n">
        <v>0</v>
      </c>
      <c r="C37" s="30" t="n">
        <v>0</v>
      </c>
      <c r="D37" s="30" t="n">
        <v>0</v>
      </c>
      <c r="E37" s="30" t="n">
        <v>0</v>
      </c>
      <c r="F37" s="30" t="n">
        <f aca="false">IF(AND(Projects!$G$28="Yes",F$3&gt;=Projects!$C$28,F$3&lt;Projects!$C$28+Projects!$D$28),Projects!$B$28*INDEX(Curves!$B$4:$AR$4,1,F$3-Projects!$C$28+1),0)-IF(AND(Projects!$G$28="Yes",F$3&gt;=Projects!$C$28,F$3&lt;Projects!$C$28+Projects!$D$28),Projects!$B$28*(Assumptions!$B$10+Assumptions!$B$11+Assumptions!$B$12)/Projects!$D$28*0.95,0)-IF(AND(Projects!$G$28="Yes",F$3=Projects!$C$28+Projects!$D$28-1),Projects!$B$28*(Assumptions!$B$10+Assumptions!$B$11+Assumptions!$B$12)*0.05,0)</f>
        <v>0</v>
      </c>
      <c r="G37" s="30" t="n">
        <f aca="false">IF(AND(Projects!$G$28="Yes",G$3&gt;=Projects!$C$28,G$3&lt;Projects!$C$28+Projects!$D$28),Projects!$B$28*INDEX(Curves!$B$4:$AR$4,1,G$3-Projects!$C$28+1),0)-IF(AND(Projects!$G$28="Yes",G$3&gt;=Projects!$C$28,G$3&lt;Projects!$C$28+Projects!$D$28),Projects!$B$28*(Assumptions!$B$10+Assumptions!$B$11+Assumptions!$B$12)/Projects!$D$28*0.95,0)-IF(AND(Projects!$G$28="Yes",G$3=Projects!$C$28+Projects!$D$28-1),Projects!$B$28*(Assumptions!$B$10+Assumptions!$B$11+Assumptions!$B$12)*0.05,0)</f>
        <v>0</v>
      </c>
      <c r="H37" s="30" t="n">
        <f aca="false">IF(AND(Projects!$G$28="Yes",H$3&gt;=Projects!$C$28,H$3&lt;Projects!$C$28+Projects!$D$28),Projects!$B$28*INDEX(Curves!$B$4:$AR$4,1,H$3-Projects!$C$28+1),0)-IF(AND(Projects!$G$28="Yes",H$3&gt;=Projects!$C$28,H$3&lt;Projects!$C$28+Projects!$D$28),Projects!$B$28*(Assumptions!$B$10+Assumptions!$B$11+Assumptions!$B$12)/Projects!$D$28*0.95,0)-IF(AND(Projects!$G$28="Yes",H$3=Projects!$C$28+Projects!$D$28-1),Projects!$B$28*(Assumptions!$B$10+Assumptions!$B$11+Assumptions!$B$12)*0.05,0)</f>
        <v>0</v>
      </c>
      <c r="I37" s="30" t="n">
        <f aca="false">IF(AND(Projects!$G$28="Yes",I$3&gt;=Projects!$C$28,I$3&lt;Projects!$C$28+Projects!$D$28),Projects!$B$28*INDEX(Curves!$B$4:$AR$4,1,I$3-Projects!$C$28+1),0)-IF(AND(Projects!$G$28="Yes",I$3&gt;=Projects!$C$28,I$3&lt;Projects!$C$28+Projects!$D$28),Projects!$B$28*(Assumptions!$B$10+Assumptions!$B$11+Assumptions!$B$12)/Projects!$D$28*0.95,0)-IF(AND(Projects!$G$28="Yes",I$3=Projects!$C$28+Projects!$D$28-1),Projects!$B$28*(Assumptions!$B$10+Assumptions!$B$11+Assumptions!$B$12)*0.05,0)</f>
        <v>0</v>
      </c>
      <c r="J37" s="30" t="n">
        <f aca="false">IF(AND(Projects!$G$28="Yes",J$3&gt;=Projects!$C$28,J$3&lt;Projects!$C$28+Projects!$D$28),Projects!$B$28*INDEX(Curves!$B$4:$AR$4,1,J$3-Projects!$C$28+1),0)-IF(AND(Projects!$G$28="Yes",J$3&gt;=Projects!$C$28,J$3&lt;Projects!$C$28+Projects!$D$28),Projects!$B$28*(Assumptions!$B$10+Assumptions!$B$11+Assumptions!$B$12)/Projects!$D$28*0.95,0)-IF(AND(Projects!$G$28="Yes",J$3=Projects!$C$28+Projects!$D$28-1),Projects!$B$28*(Assumptions!$B$10+Assumptions!$B$11+Assumptions!$B$12)*0.05,0)</f>
        <v>0</v>
      </c>
      <c r="K37" s="30" t="n">
        <f aca="false">IF(AND(Projects!$G$28="Yes",K$3&gt;=Projects!$C$28,K$3&lt;Projects!$C$28+Projects!$D$28),Projects!$B$28*INDEX(Curves!$B$4:$AR$4,1,K$3-Projects!$C$28+1),0)-IF(AND(Projects!$G$28="Yes",K$3&gt;=Projects!$C$28,K$3&lt;Projects!$C$28+Projects!$D$28),Projects!$B$28*(Assumptions!$B$10+Assumptions!$B$11+Assumptions!$B$12)/Projects!$D$28*0.95,0)-IF(AND(Projects!$G$28="Yes",K$3=Projects!$C$28+Projects!$D$28-1),Projects!$B$28*(Assumptions!$B$10+Assumptions!$B$11+Assumptions!$B$12)*0.05,0)</f>
        <v>0</v>
      </c>
      <c r="L37" s="30" t="n">
        <f aca="false">IF(AND(Projects!$G$28="Yes",L$3&gt;=Projects!$C$28,L$3&lt;Projects!$C$28+Projects!$D$28),Projects!$B$28*INDEX(Curves!$B$4:$AR$4,1,L$3-Projects!$C$28+1),0)-IF(AND(Projects!$G$28="Yes",L$3&gt;=Projects!$C$28,L$3&lt;Projects!$C$28+Projects!$D$28),Projects!$B$28*(Assumptions!$B$10+Assumptions!$B$11+Assumptions!$B$12)/Projects!$D$28*0.95,0)-IF(AND(Projects!$G$28="Yes",L$3=Projects!$C$28+Projects!$D$28-1),Projects!$B$28*(Assumptions!$B$10+Assumptions!$B$11+Assumptions!$B$12)*0.05,0)</f>
        <v>0</v>
      </c>
      <c r="M37" s="30" t="n">
        <f aca="false">IF(AND(Projects!$G$28="Yes",M$3&gt;=Projects!$C$28,M$3&lt;Projects!$C$28+Projects!$D$28),Projects!$B$28*INDEX(Curves!$B$4:$AR$4,1,M$3-Projects!$C$28+1),0)-IF(AND(Projects!$G$28="Yes",M$3&gt;=Projects!$C$28,M$3&lt;Projects!$C$28+Projects!$D$28),Projects!$B$28*(Assumptions!$B$10+Assumptions!$B$11+Assumptions!$B$12)/Projects!$D$28*0.95,0)-IF(AND(Projects!$G$28="Yes",M$3=Projects!$C$28+Projects!$D$28-1),Projects!$B$28*(Assumptions!$B$10+Assumptions!$B$11+Assumptions!$B$12)*0.05,0)</f>
        <v>0</v>
      </c>
      <c r="N37" s="30" t="n">
        <f aca="false">IF(AND(Projects!$G$28="Yes",N$3&gt;=Projects!$C$28,N$3&lt;Projects!$C$28+Projects!$D$28),Projects!$B$28*INDEX(Curves!$B$4:$AR$4,1,N$3-Projects!$C$28+1),0)-IF(AND(Projects!$G$28="Yes",N$3&gt;=Projects!$C$28,N$3&lt;Projects!$C$28+Projects!$D$28),Projects!$B$28*(Assumptions!$B$10+Assumptions!$B$11+Assumptions!$B$12)/Projects!$D$28*0.95,0)-IF(AND(Projects!$G$28="Yes",N$3=Projects!$C$28+Projects!$D$28-1),Projects!$B$28*(Assumptions!$B$10+Assumptions!$B$11+Assumptions!$B$12)*0.05,0)</f>
        <v>0</v>
      </c>
      <c r="O37" s="30" t="n">
        <f aca="false">IF(AND(Projects!$G$28="Yes",O$3&gt;=Projects!$C$28,O$3&lt;Projects!$C$28+Projects!$D$28),Projects!$B$28*INDEX(Curves!$B$4:$AR$4,1,O$3-Projects!$C$28+1),0)-IF(AND(Projects!$G$28="Yes",O$3&gt;=Projects!$C$28,O$3&lt;Projects!$C$28+Projects!$D$28),Projects!$B$28*(Assumptions!$B$10+Assumptions!$B$11+Assumptions!$B$12)/Projects!$D$28*0.95,0)-IF(AND(Projects!$G$28="Yes",O$3=Projects!$C$28+Projects!$D$28-1),Projects!$B$28*(Assumptions!$B$10+Assumptions!$B$11+Assumptions!$B$12)*0.05,0)</f>
        <v>0</v>
      </c>
      <c r="P37" s="30" t="n">
        <f aca="false">IF(AND(Projects!$G$28="Yes",P$3&gt;=Projects!$C$28,P$3&lt;Projects!$C$28+Projects!$D$28),Projects!$B$28*INDEX(Curves!$B$4:$AR$4,1,P$3-Projects!$C$28+1),0)-IF(AND(Projects!$G$28="Yes",P$3&gt;=Projects!$C$28,P$3&lt;Projects!$C$28+Projects!$D$28),Projects!$B$28*(Assumptions!$B$10+Assumptions!$B$11+Assumptions!$B$12)/Projects!$D$28*0.95,0)-IF(AND(Projects!$G$28="Yes",P$3=Projects!$C$28+Projects!$D$28-1),Projects!$B$28*(Assumptions!$B$10+Assumptions!$B$11+Assumptions!$B$12)*0.05,0)</f>
        <v>0</v>
      </c>
      <c r="Q37" s="30" t="n">
        <f aca="false">IF(AND(Projects!$G$28="Yes",Q$3&gt;=Projects!$C$28,Q$3&lt;Projects!$C$28+Projects!$D$28),Projects!$B$28*INDEX(Curves!$B$4:$AR$4,1,Q$3-Projects!$C$28+1),0)-IF(AND(Projects!$G$28="Yes",Q$3&gt;=Projects!$C$28,Q$3&lt;Projects!$C$28+Projects!$D$28),Projects!$B$28*(Assumptions!$B$10+Assumptions!$B$11+Assumptions!$B$12)/Projects!$D$28*0.95,0)-IF(AND(Projects!$G$28="Yes",Q$3=Projects!$C$28+Projects!$D$28-1),Projects!$B$28*(Assumptions!$B$10+Assumptions!$B$11+Assumptions!$B$12)*0.05,0)</f>
        <v>0</v>
      </c>
      <c r="R37" s="30" t="n">
        <f aca="false">IF(AND(Projects!$G$28="Yes",R$3&gt;=Projects!$C$28,R$3&lt;Projects!$C$28+Projects!$D$28),Projects!$B$28*INDEX(Curves!$B$4:$AR$4,1,R$3-Projects!$C$28+1),0)-IF(AND(Projects!$G$28="Yes",R$3&gt;=Projects!$C$28,R$3&lt;Projects!$C$28+Projects!$D$28),Projects!$B$28*(Assumptions!$B$10+Assumptions!$B$11+Assumptions!$B$12)/Projects!$D$28*0.95,0)-IF(AND(Projects!$G$28="Yes",R$3=Projects!$C$28+Projects!$D$28-1),Projects!$B$28*(Assumptions!$B$10+Assumptions!$B$11+Assumptions!$B$12)*0.05,0)</f>
        <v>0</v>
      </c>
      <c r="S37" s="30" t="n">
        <f aca="false">IF(AND(Projects!$G$28="Yes",S$3&gt;=Projects!$C$28,S$3&lt;Projects!$C$28+Projects!$D$28),Projects!$B$28*INDEX(Curves!$B$4:$AR$4,1,S$3-Projects!$C$28+1),0)-IF(AND(Projects!$G$28="Yes",S$3&gt;=Projects!$C$28,S$3&lt;Projects!$C$28+Projects!$D$28),Projects!$B$28*(Assumptions!$B$10+Assumptions!$B$11+Assumptions!$B$12)/Projects!$D$28*0.95,0)-IF(AND(Projects!$G$28="Yes",S$3=Projects!$C$28+Projects!$D$28-1),Projects!$B$28*(Assumptions!$B$10+Assumptions!$B$11+Assumptions!$B$12)*0.05,0)</f>
        <v>0</v>
      </c>
      <c r="T37" s="30" t="n">
        <f aca="false">IF(AND(Projects!$G$28="Yes",T$3&gt;=Projects!$C$28,T$3&lt;Projects!$C$28+Projects!$D$28),Projects!$B$28*INDEX(Curves!$B$4:$AR$4,1,T$3-Projects!$C$28+1),0)-IF(AND(Projects!$G$28="Yes",T$3&gt;=Projects!$C$28,T$3&lt;Projects!$C$28+Projects!$D$28),Projects!$B$28*(Assumptions!$B$10+Assumptions!$B$11+Assumptions!$B$12)/Projects!$D$28*0.95,0)-IF(AND(Projects!$G$28="Yes",T$3=Projects!$C$28+Projects!$D$28-1),Projects!$B$28*(Assumptions!$B$10+Assumptions!$B$11+Assumptions!$B$12)*0.05,0)</f>
        <v>0</v>
      </c>
      <c r="U37" s="30" t="n">
        <f aca="false">IF(AND(Projects!$G$28="Yes",U$3&gt;=Projects!$C$28,U$3&lt;Projects!$C$28+Projects!$D$28),Projects!$B$28*INDEX(Curves!$B$4:$AR$4,1,U$3-Projects!$C$28+1),0)-IF(AND(Projects!$G$28="Yes",U$3&gt;=Projects!$C$28,U$3&lt;Projects!$C$28+Projects!$D$28),Projects!$B$28*(Assumptions!$B$10+Assumptions!$B$11+Assumptions!$B$12)/Projects!$D$28*0.95,0)-IF(AND(Projects!$G$28="Yes",U$3=Projects!$C$28+Projects!$D$28-1),Projects!$B$28*(Assumptions!$B$10+Assumptions!$B$11+Assumptions!$B$12)*0.05,0)</f>
        <v>0</v>
      </c>
      <c r="V37" s="30" t="n">
        <f aca="false">IF(AND(Projects!$G$28="Yes",V$3&gt;=Projects!$C$28,V$3&lt;Projects!$C$28+Projects!$D$28),Projects!$B$28*INDEX(Curves!$B$4:$AR$4,1,V$3-Projects!$C$28+1),0)-IF(AND(Projects!$G$28="Yes",V$3&gt;=Projects!$C$28,V$3&lt;Projects!$C$28+Projects!$D$28),Projects!$B$28*(Assumptions!$B$10+Assumptions!$B$11+Assumptions!$B$12)/Projects!$D$28*0.95,0)-IF(AND(Projects!$G$28="Yes",V$3=Projects!$C$28+Projects!$D$28-1),Projects!$B$28*(Assumptions!$B$10+Assumptions!$B$11+Assumptions!$B$12)*0.05,0)</f>
        <v>0</v>
      </c>
      <c r="W37" s="30" t="n">
        <f aca="false">IF(AND(Projects!$G$28="Yes",W$3&gt;=Projects!$C$28,W$3&lt;Projects!$C$28+Projects!$D$28),Projects!$B$28*INDEX(Curves!$B$4:$AR$4,1,W$3-Projects!$C$28+1),0)-IF(AND(Projects!$G$28="Yes",W$3&gt;=Projects!$C$28,W$3&lt;Projects!$C$28+Projects!$D$28),Projects!$B$28*(Assumptions!$B$10+Assumptions!$B$11+Assumptions!$B$12)/Projects!$D$28*0.95,0)-IF(AND(Projects!$G$28="Yes",W$3=Projects!$C$28+Projects!$D$28-1),Projects!$B$28*(Assumptions!$B$10+Assumptions!$B$11+Assumptions!$B$12)*0.05,0)</f>
        <v>0</v>
      </c>
      <c r="X37" s="30" t="n">
        <f aca="false">IF(AND(Projects!$G$28="Yes",X$3&gt;=Projects!$C$28,X$3&lt;Projects!$C$28+Projects!$D$28),Projects!$B$28*INDEX(Curves!$B$4:$AR$4,1,X$3-Projects!$C$28+1),0)-IF(AND(Projects!$G$28="Yes",X$3&gt;=Projects!$C$28,X$3&lt;Projects!$C$28+Projects!$D$28),Projects!$B$28*(Assumptions!$B$10+Assumptions!$B$11+Assumptions!$B$12)/Projects!$D$28*0.95,0)-IF(AND(Projects!$G$28="Yes",X$3=Projects!$C$28+Projects!$D$28-1),Projects!$B$28*(Assumptions!$B$10+Assumptions!$B$11+Assumptions!$B$12)*0.05,0)</f>
        <v>0</v>
      </c>
      <c r="Y37" s="30" t="n">
        <f aca="false">IF(AND(Projects!$G$28="Yes",Y$3&gt;=Projects!$C$28,Y$3&lt;Projects!$C$28+Projects!$D$28),Projects!$B$28*INDEX(Curves!$B$4:$AR$4,1,Y$3-Projects!$C$28+1),0)-IF(AND(Projects!$G$28="Yes",Y$3&gt;=Projects!$C$28,Y$3&lt;Projects!$C$28+Projects!$D$28),Projects!$B$28*(Assumptions!$B$10+Assumptions!$B$11+Assumptions!$B$12)/Projects!$D$28*0.95,0)-IF(AND(Projects!$G$28="Yes",Y$3=Projects!$C$28+Projects!$D$28-1),Projects!$B$28*(Assumptions!$B$10+Assumptions!$B$11+Assumptions!$B$12)*0.05,0)</f>
        <v>0</v>
      </c>
      <c r="Z37" s="30" t="n">
        <f aca="false">IF(AND(Projects!$G$28="Yes",Z$3&gt;=Projects!$C$28,Z$3&lt;Projects!$C$28+Projects!$D$28),Projects!$B$28*INDEX(Curves!$B$4:$AR$4,1,Z$3-Projects!$C$28+1),0)-IF(AND(Projects!$G$28="Yes",Z$3&gt;=Projects!$C$28,Z$3&lt;Projects!$C$28+Projects!$D$28),Projects!$B$28*(Assumptions!$B$10+Assumptions!$B$11+Assumptions!$B$12)/Projects!$D$28*0.95,0)-IF(AND(Projects!$G$28="Yes",Z$3=Projects!$C$28+Projects!$D$28-1),Projects!$B$28*(Assumptions!$B$10+Assumptions!$B$11+Assumptions!$B$12)*0.05,0)</f>
        <v>0</v>
      </c>
      <c r="AA37" s="30" t="n">
        <f aca="false">IF(AND(Projects!$G$28="Yes",AA$3&gt;=Projects!$C$28,AA$3&lt;Projects!$C$28+Projects!$D$28),Projects!$B$28*INDEX(Curves!$B$4:$AR$4,1,AA$3-Projects!$C$28+1),0)-IF(AND(Projects!$G$28="Yes",AA$3&gt;=Projects!$C$28,AA$3&lt;Projects!$C$28+Projects!$D$28),Projects!$B$28*(Assumptions!$B$10+Assumptions!$B$11+Assumptions!$B$12)/Projects!$D$28*0.95,0)-IF(AND(Projects!$G$28="Yes",AA$3=Projects!$C$28+Projects!$D$28-1),Projects!$B$28*(Assumptions!$B$10+Assumptions!$B$11+Assumptions!$B$12)*0.05,0)</f>
        <v>0</v>
      </c>
      <c r="AB37" s="30" t="n">
        <f aca="false">IF(AND(Projects!$G$28="Yes",AB$3&gt;=Projects!$C$28,AB$3&lt;Projects!$C$28+Projects!$D$28),Projects!$B$28*INDEX(Curves!$B$4:$AR$4,1,AB$3-Projects!$C$28+1),0)-IF(AND(Projects!$G$28="Yes",AB$3&gt;=Projects!$C$28,AB$3&lt;Projects!$C$28+Projects!$D$28),Projects!$B$28*(Assumptions!$B$10+Assumptions!$B$11+Assumptions!$B$12)/Projects!$D$28*0.95,0)-IF(AND(Projects!$G$28="Yes",AB$3=Projects!$C$28+Projects!$D$28-1),Projects!$B$28*(Assumptions!$B$10+Assumptions!$B$11+Assumptions!$B$12)*0.05,0)</f>
        <v>0</v>
      </c>
      <c r="AC37" s="30" t="n">
        <f aca="false">IF(AND(Projects!$G$28="Yes",AC$3&gt;=Projects!$C$28,AC$3&lt;Projects!$C$28+Projects!$D$28),Projects!$B$28*INDEX(Curves!$B$4:$AR$4,1,AC$3-Projects!$C$28+1),0)-IF(AND(Projects!$G$28="Yes",AC$3&gt;=Projects!$C$28,AC$3&lt;Projects!$C$28+Projects!$D$28),Projects!$B$28*(Assumptions!$B$10+Assumptions!$B$11+Assumptions!$B$12)/Projects!$D$28*0.95,0)-IF(AND(Projects!$G$28="Yes",AC$3=Projects!$C$28+Projects!$D$28-1),Projects!$B$28*(Assumptions!$B$10+Assumptions!$B$11+Assumptions!$B$12)*0.05,0)</f>
        <v>0</v>
      </c>
      <c r="AD37" s="30" t="n">
        <f aca="false">IF(AND(Projects!$G$28="Yes",AD$3&gt;=Projects!$C$28,AD$3&lt;Projects!$C$28+Projects!$D$28),Projects!$B$28*INDEX(Curves!$B$4:$AR$4,1,AD$3-Projects!$C$28+1),0)-IF(AND(Projects!$G$28="Yes",AD$3&gt;=Projects!$C$28,AD$3&lt;Projects!$C$28+Projects!$D$28),Projects!$B$28*(Assumptions!$B$10+Assumptions!$B$11+Assumptions!$B$12)/Projects!$D$28*0.95,0)-IF(AND(Projects!$G$28="Yes",AD$3=Projects!$C$28+Projects!$D$28-1),Projects!$B$28*(Assumptions!$B$10+Assumptions!$B$11+Assumptions!$B$12)*0.05,0)</f>
        <v>0</v>
      </c>
      <c r="AE37" s="30" t="n">
        <f aca="false">IF(AND(Projects!$G$28="Yes",AE$3&gt;=Projects!$C$28,AE$3&lt;Projects!$C$28+Projects!$D$28),Projects!$B$28*INDEX(Curves!$B$4:$AR$4,1,AE$3-Projects!$C$28+1),0)-IF(AND(Projects!$G$28="Yes",AE$3&gt;=Projects!$C$28,AE$3&lt;Projects!$C$28+Projects!$D$28),Projects!$B$28*(Assumptions!$B$10+Assumptions!$B$11+Assumptions!$B$12)/Projects!$D$28*0.95,0)-IF(AND(Projects!$G$28="Yes",AE$3=Projects!$C$28+Projects!$D$28-1),Projects!$B$28*(Assumptions!$B$10+Assumptions!$B$11+Assumptions!$B$12)*0.05,0)</f>
        <v>0</v>
      </c>
      <c r="AF37" s="30" t="n">
        <f aca="false">IF(AND(Projects!$G$28="Yes",AF$3&gt;=Projects!$C$28,AF$3&lt;Projects!$C$28+Projects!$D$28),Projects!$B$28*INDEX(Curves!$B$4:$AR$4,1,AF$3-Projects!$C$28+1),0)-IF(AND(Projects!$G$28="Yes",AF$3&gt;=Projects!$C$28,AF$3&lt;Projects!$C$28+Projects!$D$28),Projects!$B$28*(Assumptions!$B$10+Assumptions!$B$11+Assumptions!$B$12)/Projects!$D$28*0.95,0)-IF(AND(Projects!$G$28="Yes",AF$3=Projects!$C$28+Projects!$D$28-1),Projects!$B$28*(Assumptions!$B$10+Assumptions!$B$11+Assumptions!$B$12)*0.05,0)</f>
        <v>0</v>
      </c>
      <c r="AG37" s="30" t="n">
        <f aca="false">IF(AND(Projects!$G$28="Yes",AG$3&gt;=Projects!$C$28,AG$3&lt;Projects!$C$28+Projects!$D$28),Projects!$B$28*INDEX(Curves!$B$4:$AR$4,1,AG$3-Projects!$C$28+1),0)-IF(AND(Projects!$G$28="Yes",AG$3&gt;=Projects!$C$28,AG$3&lt;Projects!$C$28+Projects!$D$28),Projects!$B$28*(Assumptions!$B$10+Assumptions!$B$11+Assumptions!$B$12)/Projects!$D$28*0.95,0)-IF(AND(Projects!$G$28="Yes",AG$3=Projects!$C$28+Projects!$D$28-1),Projects!$B$28*(Assumptions!$B$10+Assumptions!$B$11+Assumptions!$B$12)*0.05,0)</f>
        <v>0</v>
      </c>
      <c r="AH37" s="30" t="n">
        <f aca="false">IF(AND(Projects!$G$28="Yes",AH$3&gt;=Projects!$C$28,AH$3&lt;Projects!$C$28+Projects!$D$28),Projects!$B$28*INDEX(Curves!$B$4:$AR$4,1,AH$3-Projects!$C$28+1),0)-IF(AND(Projects!$G$28="Yes",AH$3&gt;=Projects!$C$28,AH$3&lt;Projects!$C$28+Projects!$D$28),Projects!$B$28*(Assumptions!$B$10+Assumptions!$B$11+Assumptions!$B$12)/Projects!$D$28*0.95,0)-IF(AND(Projects!$G$28="Yes",AH$3=Projects!$C$28+Projects!$D$28-1),Projects!$B$28*(Assumptions!$B$10+Assumptions!$B$11+Assumptions!$B$12)*0.05,0)</f>
        <v>0</v>
      </c>
      <c r="AI37" s="30" t="n">
        <f aca="false">IF(AND(Projects!$G$28="Yes",AI$3&gt;=Projects!$C$28,AI$3&lt;Projects!$C$28+Projects!$D$28),Projects!$B$28*INDEX(Curves!$B$4:$AR$4,1,AI$3-Projects!$C$28+1),0)-IF(AND(Projects!$G$28="Yes",AI$3&gt;=Projects!$C$28,AI$3&lt;Projects!$C$28+Projects!$D$28),Projects!$B$28*(Assumptions!$B$10+Assumptions!$B$11+Assumptions!$B$12)/Projects!$D$28*0.95,0)-IF(AND(Projects!$G$28="Yes",AI$3=Projects!$C$28+Projects!$D$28-1),Projects!$B$28*(Assumptions!$B$10+Assumptions!$B$11+Assumptions!$B$12)*0.05,0)</f>
        <v>0</v>
      </c>
      <c r="AJ37" s="30" t="n">
        <f aca="false">IF(AND(Projects!$G$28="Yes",AJ$3&gt;=Projects!$C$28,AJ$3&lt;Projects!$C$28+Projects!$D$28),Projects!$B$28*INDEX(Curves!$B$4:$AR$4,1,AJ$3-Projects!$C$28+1),0)-IF(AND(Projects!$G$28="Yes",AJ$3&gt;=Projects!$C$28,AJ$3&lt;Projects!$C$28+Projects!$D$28),Projects!$B$28*(Assumptions!$B$10+Assumptions!$B$11+Assumptions!$B$12)/Projects!$D$28*0.95,0)-IF(AND(Projects!$G$28="Yes",AJ$3=Projects!$C$28+Projects!$D$28-1),Projects!$B$28*(Assumptions!$B$10+Assumptions!$B$11+Assumptions!$B$12)*0.05,0)</f>
        <v>0</v>
      </c>
      <c r="AK37" s="30" t="n">
        <f aca="false">IF(AND(Projects!$G$28="Yes",AK$3&gt;=Projects!$C$28,AK$3&lt;Projects!$C$28+Projects!$D$28),Projects!$B$28*INDEX(Curves!$B$4:$AR$4,1,AK$3-Projects!$C$28+1),0)-IF(AND(Projects!$G$28="Yes",AK$3&gt;=Projects!$C$28,AK$3&lt;Projects!$C$28+Projects!$D$28),Projects!$B$28*(Assumptions!$B$10+Assumptions!$B$11+Assumptions!$B$12)/Projects!$D$28*0.95,0)-IF(AND(Projects!$G$28="Yes",AK$3=Projects!$C$28+Projects!$D$28-1),Projects!$B$28*(Assumptions!$B$10+Assumptions!$B$11+Assumptions!$B$12)*0.05,0)</f>
        <v>0</v>
      </c>
      <c r="AL37" s="30" t="n">
        <f aca="false">IF(AND(Projects!$G$28="Yes",AL$3&gt;=Projects!$C$28,AL$3&lt;Projects!$C$28+Projects!$D$28),Projects!$B$28*INDEX(Curves!$B$4:$AR$4,1,AL$3-Projects!$C$28+1),0)-IF(AND(Projects!$G$28="Yes",AL$3&gt;=Projects!$C$28,AL$3&lt;Projects!$C$28+Projects!$D$28),Projects!$B$28*(Assumptions!$B$10+Assumptions!$B$11+Assumptions!$B$12)/Projects!$D$28*0.95,0)-IF(AND(Projects!$G$28="Yes",AL$3=Projects!$C$28+Projects!$D$28-1),Projects!$B$28*(Assumptions!$B$10+Assumptions!$B$11+Assumptions!$B$12)*0.05,0)</f>
        <v>0</v>
      </c>
      <c r="AM37" s="30" t="n">
        <f aca="false">IF(AND(Projects!$G$28="Yes",AM$3&gt;=Projects!$C$28,AM$3&lt;Projects!$C$28+Projects!$D$28),Projects!$B$28*INDEX(Curves!$B$4:$AR$4,1,AM$3-Projects!$C$28+1),0)-IF(AND(Projects!$G$28="Yes",AM$3&gt;=Projects!$C$28,AM$3&lt;Projects!$C$28+Projects!$D$28),Projects!$B$28*(Assumptions!$B$10+Assumptions!$B$11+Assumptions!$B$12)/Projects!$D$28*0.95,0)-IF(AND(Projects!$G$28="Yes",AM$3=Projects!$C$28+Projects!$D$28-1),Projects!$B$28*(Assumptions!$B$10+Assumptions!$B$11+Assumptions!$B$12)*0.05,0)</f>
        <v>0</v>
      </c>
      <c r="AN37" s="30" t="n">
        <f aca="false">IF(AND(Projects!$G$28="Yes",AN$3&gt;=Projects!$C$28,AN$3&lt;Projects!$C$28+Projects!$D$28),Projects!$B$28*INDEX(Curves!$B$4:$AR$4,1,AN$3-Projects!$C$28+1),0)-IF(AND(Projects!$G$28="Yes",AN$3&gt;=Projects!$C$28,AN$3&lt;Projects!$C$28+Projects!$D$28),Projects!$B$28*(Assumptions!$B$10+Assumptions!$B$11+Assumptions!$B$12)/Projects!$D$28*0.95,0)-IF(AND(Projects!$G$28="Yes",AN$3=Projects!$C$28+Projects!$D$28-1),Projects!$B$28*(Assumptions!$B$10+Assumptions!$B$11+Assumptions!$B$12)*0.05,0)</f>
        <v>0</v>
      </c>
      <c r="AO37" s="30" t="n">
        <f aca="false">IF(AND(Projects!$G$28="Yes",AO$3&gt;=Projects!$C$28,AO$3&lt;Projects!$C$28+Projects!$D$28),Projects!$B$28*INDEX(Curves!$B$4:$AR$4,1,AO$3-Projects!$C$28+1),0)-IF(AND(Projects!$G$28="Yes",AO$3&gt;=Projects!$C$28,AO$3&lt;Projects!$C$28+Projects!$D$28),Projects!$B$28*(Assumptions!$B$10+Assumptions!$B$11+Assumptions!$B$12)/Projects!$D$28*0.95,0)-IF(AND(Projects!$G$28="Yes",AO$3=Projects!$C$28+Projects!$D$28-1),Projects!$B$28*(Assumptions!$B$10+Assumptions!$B$11+Assumptions!$B$12)*0.05,0)</f>
        <v>0</v>
      </c>
      <c r="AP37" s="30" t="n">
        <f aca="false">IF(AND(Projects!$G$28="Yes",AP$3&gt;=Projects!$C$28,AP$3&lt;Projects!$C$28+Projects!$D$28),Projects!$B$28*INDEX(Curves!$B$4:$AR$4,1,AP$3-Projects!$C$28+1),0)-IF(AND(Projects!$G$28="Yes",AP$3&gt;=Projects!$C$28,AP$3&lt;Projects!$C$28+Projects!$D$28),Projects!$B$28*(Assumptions!$B$10+Assumptions!$B$11+Assumptions!$B$12)/Projects!$D$28*0.95,0)-IF(AND(Projects!$G$28="Yes",AP$3=Projects!$C$28+Projects!$D$28-1),Projects!$B$28*(Assumptions!$B$10+Assumptions!$B$11+Assumptions!$B$12)*0.05,0)</f>
        <v>0</v>
      </c>
      <c r="AQ37" s="30" t="n">
        <f aca="false">IF(AND(Projects!$G$28="Yes",AQ$3&gt;=Projects!$C$28,AQ$3&lt;Projects!$C$28+Projects!$D$28),Projects!$B$28*INDEX(Curves!$B$4:$AR$4,1,AQ$3-Projects!$C$28+1),0)-IF(AND(Projects!$G$28="Yes",AQ$3&gt;=Projects!$C$28,AQ$3&lt;Projects!$C$28+Projects!$D$28),Projects!$B$28*(Assumptions!$B$10+Assumptions!$B$11+Assumptions!$B$12)/Projects!$D$28*0.95,0)-IF(AND(Projects!$G$28="Yes",AQ$3=Projects!$C$28+Projects!$D$28-1),Projects!$B$28*(Assumptions!$B$10+Assumptions!$B$11+Assumptions!$B$12)*0.05,0)</f>
        <v>0</v>
      </c>
      <c r="AR37" s="30" t="n">
        <f aca="false">IF(AND(Projects!$G$28="Yes",AR$3&gt;=Projects!$C$28,AR$3&lt;Projects!$C$28+Projects!$D$28),Projects!$B$28*INDEX(Curves!$B$4:$AR$4,1,AR$3-Projects!$C$28+1),0)-IF(AND(Projects!$G$28="Yes",AR$3&gt;=Projects!$C$28,AR$3&lt;Projects!$C$28+Projects!$D$28),Projects!$B$28*(Assumptions!$B$10+Assumptions!$B$11+Assumptions!$B$12)/Projects!$D$28*0.95,0)-IF(AND(Projects!$G$28="Yes",AR$3=Projects!$C$28+Projects!$D$28-1),Projects!$B$28*(Assumptions!$B$10+Assumptions!$B$11+Assumptions!$B$12)*0.05,0)</f>
        <v>0</v>
      </c>
      <c r="AS37" s="30" t="n">
        <f aca="false">IF(AND(Projects!$G$28="Yes",AS$3&gt;=Projects!$C$28,AS$3&lt;Projects!$C$28+Projects!$D$28),Projects!$B$28*INDEX(Curves!$B$4:$AR$4,1,AS$3-Projects!$C$28+1),0)-IF(AND(Projects!$G$28="Yes",AS$3&gt;=Projects!$C$28,AS$3&lt;Projects!$C$28+Projects!$D$28),Projects!$B$28*(Assumptions!$B$10+Assumptions!$B$11+Assumptions!$B$12)/Projects!$D$28*0.95,0)-IF(AND(Projects!$G$28="Yes",AS$3=Projects!$C$28+Projects!$D$28-1),Projects!$B$28*(Assumptions!$B$10+Assumptions!$B$11+Assumptions!$B$12)*0.05,0)</f>
        <v>0</v>
      </c>
      <c r="AT37" s="30" t="n">
        <f aca="false">IF(AND(Projects!$G$28="Yes",AT$3&gt;=Projects!$C$28,AT$3&lt;Projects!$C$28+Projects!$D$28),Projects!$B$28*INDEX(Curves!$B$4:$AR$4,1,AT$3-Projects!$C$28+1),0)-IF(AND(Projects!$G$28="Yes",AT$3&gt;=Projects!$C$28,AT$3&lt;Projects!$C$28+Projects!$D$28),Projects!$B$28*(Assumptions!$B$10+Assumptions!$B$11+Assumptions!$B$12)/Projects!$D$28*0.95,0)-IF(AND(Projects!$G$28="Yes",AT$3=Projects!$C$28+Projects!$D$28-1),Projects!$B$28*(Assumptions!$B$10+Assumptions!$B$11+Assumptions!$B$12)*0.05,0)</f>
        <v>0</v>
      </c>
      <c r="AU37" s="30" t="n">
        <f aca="false">IF(AND(Projects!$G$28="Yes",AU$3&gt;=Projects!$C$28,AU$3&lt;Projects!$C$28+Projects!$D$28),Projects!$B$28*INDEX(Curves!$B$4:$AR$4,1,AU$3-Projects!$C$28+1),0)-IF(AND(Projects!$G$28="Yes",AU$3&gt;=Projects!$C$28,AU$3&lt;Projects!$C$28+Projects!$D$28),Projects!$B$28*(Assumptions!$B$10+Assumptions!$B$11+Assumptions!$B$12)/Projects!$D$28*0.95,0)-IF(AND(Projects!$G$28="Yes",AU$3=Projects!$C$28+Projects!$D$28-1),Projects!$B$28*(Assumptions!$B$10+Assumptions!$B$11+Assumptions!$B$12)*0.05,0)</f>
        <v>0</v>
      </c>
      <c r="AV37" s="30" t="n">
        <f aca="false">IF(AND(Projects!$G$28="Yes",AV$3&gt;=Projects!$C$28,AV$3&lt;Projects!$C$28+Projects!$D$28),Projects!$B$28*INDEX(Curves!$B$4:$AR$4,1,AV$3-Projects!$C$28+1),0)-IF(AND(Projects!$G$28="Yes",AV$3&gt;=Projects!$C$28,AV$3&lt;Projects!$C$28+Projects!$D$28),Projects!$B$28*(Assumptions!$B$10+Assumptions!$B$11+Assumptions!$B$12)/Projects!$D$28*0.95,0)-IF(AND(Projects!$G$28="Yes",AV$3=Projects!$C$28+Projects!$D$28-1),Projects!$B$28*(Assumptions!$B$10+Assumptions!$B$11+Assumptions!$B$12)*0.05,0)</f>
        <v>0</v>
      </c>
      <c r="AW37" s="30" t="n">
        <f aca="false">IF(AND(Projects!$G$28="Yes",AW$3&gt;=Projects!$C$28,AW$3&lt;Projects!$C$28+Projects!$D$28),Projects!$B$28*INDEX(Curves!$B$4:$AR$4,1,AW$3-Projects!$C$28+1),0)-IF(AND(Projects!$G$28="Yes",AW$3&gt;=Projects!$C$28,AW$3&lt;Projects!$C$28+Projects!$D$28),Projects!$B$28*(Assumptions!$B$10+Assumptions!$B$11+Assumptions!$B$12)/Projects!$D$28*0.95,0)-IF(AND(Projects!$G$28="Yes",AW$3=Projects!$C$28+Projects!$D$28-1),Projects!$B$28*(Assumptions!$B$10+Assumptions!$B$11+Assumptions!$B$12)*0.05,0)</f>
        <v>0</v>
      </c>
      <c r="AX37" s="30" t="n">
        <f aca="false">IF(AND(Projects!$G$28="Yes",AX$3&gt;=Projects!$C$28,AX$3&lt;Projects!$C$28+Projects!$D$28),Projects!$B$28*INDEX(Curves!$B$4:$AR$4,1,AX$3-Projects!$C$28+1),0)-IF(AND(Projects!$G$28="Yes",AX$3&gt;=Projects!$C$28,AX$3&lt;Projects!$C$28+Projects!$D$28),Projects!$B$28*(Assumptions!$B$10+Assumptions!$B$11+Assumptions!$B$12)/Projects!$D$28*0.95,0)-IF(AND(Projects!$G$28="Yes",AX$3=Projects!$C$28+Projects!$D$28-1),Projects!$B$28*(Assumptions!$B$10+Assumptions!$B$11+Assumptions!$B$12)*0.05,0)</f>
        <v>0</v>
      </c>
      <c r="AY37" s="30" t="n">
        <f aca="false">IF(AND(Projects!$G$28="Yes",AY$3&gt;=Projects!$C$28,AY$3&lt;Projects!$C$28+Projects!$D$28),Projects!$B$28*INDEX(Curves!$B$4:$AR$4,1,AY$3-Projects!$C$28+1),0)-IF(AND(Projects!$G$28="Yes",AY$3&gt;=Projects!$C$28,AY$3&lt;Projects!$C$28+Projects!$D$28),Projects!$B$28*(Assumptions!$B$10+Assumptions!$B$11+Assumptions!$B$12)/Projects!$D$28*0.95,0)-IF(AND(Projects!$G$28="Yes",AY$3=Projects!$C$28+Projects!$D$28-1),Projects!$B$28*(Assumptions!$B$10+Assumptions!$B$11+Assumptions!$B$12)*0.05,0)</f>
        <v>0</v>
      </c>
      <c r="AZ37" s="30" t="n">
        <f aca="false">IF(AND(Projects!$G$28="Yes",AZ$3&gt;=Projects!$C$28,AZ$3&lt;Projects!$C$28+Projects!$D$28),Projects!$B$28*INDEX(Curves!$B$4:$AR$4,1,AZ$3-Projects!$C$28+1),0)-IF(AND(Projects!$G$28="Yes",AZ$3&gt;=Projects!$C$28,AZ$3&lt;Projects!$C$28+Projects!$D$28),Projects!$B$28*(Assumptions!$B$10+Assumptions!$B$11+Assumptions!$B$12)/Projects!$D$28*0.95,0)-IF(AND(Projects!$G$28="Yes",AZ$3=Projects!$C$28+Projects!$D$28-1),Projects!$B$28*(Assumptions!$B$10+Assumptions!$B$11+Assumptions!$B$12)*0.05,0)</f>
        <v>0</v>
      </c>
      <c r="BA37" s="30" t="n">
        <f aca="false">IF(AND(Projects!$G$28="Yes",BA$3&gt;=Projects!$C$28,BA$3&lt;Projects!$C$28+Projects!$D$28),Projects!$B$28*INDEX(Curves!$B$4:$AR$4,1,BA$3-Projects!$C$28+1),0)-IF(AND(Projects!$G$28="Yes",BA$3&gt;=Projects!$C$28,BA$3&lt;Projects!$C$28+Projects!$D$28),Projects!$B$28*(Assumptions!$B$10+Assumptions!$B$11+Assumptions!$B$12)/Projects!$D$28*0.95,0)-IF(AND(Projects!$G$28="Yes",BA$3=Projects!$C$28+Projects!$D$28-1),Projects!$B$28*(Assumptions!$B$10+Assumptions!$B$11+Assumptions!$B$12)*0.05,0)</f>
        <v>0</v>
      </c>
      <c r="BB37" s="30" t="n">
        <f aca="false">IF(AND(Projects!$G$28="Yes",BB$3&gt;=Projects!$C$28,BB$3&lt;Projects!$C$28+Projects!$D$28),Projects!$B$28*INDEX(Curves!$B$4:$AR$4,1,BB$3-Projects!$C$28+1),0)-IF(AND(Projects!$G$28="Yes",BB$3&gt;=Projects!$C$28,BB$3&lt;Projects!$C$28+Projects!$D$28),Projects!$B$28*(Assumptions!$B$10+Assumptions!$B$11+Assumptions!$B$12)/Projects!$D$28*0.95,0)-IF(AND(Projects!$G$28="Yes",BB$3=Projects!$C$28+Projects!$D$28-1),Projects!$B$28*(Assumptions!$B$10+Assumptions!$B$11+Assumptions!$B$12)*0.05,0)</f>
        <v>0</v>
      </c>
      <c r="BC37" s="30" t="n">
        <f aca="false">IF(AND(Projects!$G$28="Yes",BC$3&gt;=Projects!$C$28,BC$3&lt;Projects!$C$28+Projects!$D$28),Projects!$B$28*INDEX(Curves!$B$4:$AR$4,1,BC$3-Projects!$C$28+1),0)-IF(AND(Projects!$G$28="Yes",BC$3&gt;=Projects!$C$28,BC$3&lt;Projects!$C$28+Projects!$D$28),Projects!$B$28*(Assumptions!$B$10+Assumptions!$B$11+Assumptions!$B$12)/Projects!$D$28*0.95,0)-IF(AND(Projects!$G$28="Yes",BC$3=Projects!$C$28+Projects!$D$28-1),Projects!$B$28*(Assumptions!$B$10+Assumptions!$B$11+Assumptions!$B$12)*0.05,0)</f>
        <v>0</v>
      </c>
      <c r="BD37" s="30" t="n">
        <f aca="false">IF(AND(Projects!$G$28="Yes",BD$3&gt;=Projects!$C$28,BD$3&lt;Projects!$C$28+Projects!$D$28),Projects!$B$28*INDEX(Curves!$B$4:$AR$4,1,BD$3-Projects!$C$28+1),0)-IF(AND(Projects!$G$28="Yes",BD$3&gt;=Projects!$C$28,BD$3&lt;Projects!$C$28+Projects!$D$28),Projects!$B$28*(Assumptions!$B$10+Assumptions!$B$11+Assumptions!$B$12)/Projects!$D$28*0.95,0)-IF(AND(Projects!$G$28="Yes",BD$3=Projects!$C$28+Projects!$D$28-1),Projects!$B$28*(Assumptions!$B$10+Assumptions!$B$11+Assumptions!$B$12)*0.05,0)</f>
        <v>0</v>
      </c>
      <c r="BE37" s="30" t="n">
        <f aca="false">IF(AND(Projects!$G$28="Yes",BE$3&gt;=Projects!$C$28,BE$3&lt;Projects!$C$28+Projects!$D$28),Projects!$B$28*INDEX(Curves!$B$4:$AR$4,1,BE$3-Projects!$C$28+1),0)-IF(AND(Projects!$G$28="Yes",BE$3&gt;=Projects!$C$28,BE$3&lt;Projects!$C$28+Projects!$D$28),Projects!$B$28*(Assumptions!$B$10+Assumptions!$B$11+Assumptions!$B$12)/Projects!$D$28*0.95,0)-IF(AND(Projects!$G$28="Yes",BE$3=Projects!$C$28+Projects!$D$28-1),Projects!$B$28*(Assumptions!$B$10+Assumptions!$B$11+Assumptions!$B$12)*0.05,0)</f>
        <v>0</v>
      </c>
      <c r="BF37" s="30" t="n">
        <f aca="false">IF(AND(Projects!$G$28="Yes",BF$3&gt;=Projects!$C$28,BF$3&lt;Projects!$C$28+Projects!$D$28),Projects!$B$28*INDEX(Curves!$B$4:$AR$4,1,BF$3-Projects!$C$28+1),0)-IF(AND(Projects!$G$28="Yes",BF$3&gt;=Projects!$C$28,BF$3&lt;Projects!$C$28+Projects!$D$28),Projects!$B$28*(Assumptions!$B$10+Assumptions!$B$11+Assumptions!$B$12)/Projects!$D$28*0.95,0)-IF(AND(Projects!$G$28="Yes",BF$3=Projects!$C$28+Projects!$D$28-1),Projects!$B$28*(Assumptions!$B$10+Assumptions!$B$11+Assumptions!$B$12)*0.05,0)</f>
        <v>0</v>
      </c>
      <c r="BG37" s="30" t="n">
        <f aca="false">IF(AND(Projects!$G$28="Yes",BG$3&gt;=Projects!$C$28,BG$3&lt;Projects!$C$28+Projects!$D$28),Projects!$B$28*INDEX(Curves!$B$4:$AR$4,1,BG$3-Projects!$C$28+1),0)-IF(AND(Projects!$G$28="Yes",BG$3&gt;=Projects!$C$28,BG$3&lt;Projects!$C$28+Projects!$D$28),Projects!$B$28*(Assumptions!$B$10+Assumptions!$B$11+Assumptions!$B$12)/Projects!$D$28*0.95,0)-IF(AND(Projects!$G$28="Yes",BG$3=Projects!$C$28+Projects!$D$28-1),Projects!$B$28*(Assumptions!$B$10+Assumptions!$B$11+Assumptions!$B$12)*0.05,0)</f>
        <v>0</v>
      </c>
      <c r="BH37" s="30" t="n">
        <f aca="false">IF(AND(Projects!$G$28="Yes",BH$3&gt;=Projects!$C$28,BH$3&lt;Projects!$C$28+Projects!$D$28),Projects!$B$28*INDEX(Curves!$B$4:$AR$4,1,BH$3-Projects!$C$28+1),0)-IF(AND(Projects!$G$28="Yes",BH$3&gt;=Projects!$C$28,BH$3&lt;Projects!$C$28+Projects!$D$28),Projects!$B$28*(Assumptions!$B$10+Assumptions!$B$11+Assumptions!$B$12)/Projects!$D$28*0.95,0)-IF(AND(Projects!$G$28="Yes",BH$3=Projects!$C$28+Projects!$D$28-1),Projects!$B$28*(Assumptions!$B$10+Assumptions!$B$11+Assumptions!$B$12)*0.05,0)</f>
        <v>0</v>
      </c>
      <c r="BI37" s="30" t="n">
        <f aca="false">IF(AND(Projects!$G$28="Yes",BI$3&gt;=Projects!$C$28,BI$3&lt;Projects!$C$28+Projects!$D$28),Projects!$B$28*INDEX(Curves!$B$4:$AR$4,1,BI$3-Projects!$C$28+1),0)-IF(AND(Projects!$G$28="Yes",BI$3&gt;=Projects!$C$28,BI$3&lt;Projects!$C$28+Projects!$D$28),Projects!$B$28*(Assumptions!$B$10+Assumptions!$B$11+Assumptions!$B$12)/Projects!$D$28*0.95,0)-IF(AND(Projects!$G$28="Yes",BI$3=Projects!$C$28+Projects!$D$28-1),Projects!$B$28*(Assumptions!$B$10+Assumptions!$B$11+Assumptions!$B$12)*0.05,0)</f>
        <v>0</v>
      </c>
      <c r="BJ37" s="30" t="n">
        <f aca="false">IF(AND(Projects!$G$28="Yes",BJ$3&gt;=Projects!$C$28,BJ$3&lt;Projects!$C$28+Projects!$D$28),Projects!$B$28*INDEX(Curves!$B$4:$AR$4,1,BJ$3-Projects!$C$28+1),0)-IF(AND(Projects!$G$28="Yes",BJ$3&gt;=Projects!$C$28,BJ$3&lt;Projects!$C$28+Projects!$D$28),Projects!$B$28*(Assumptions!$B$10+Assumptions!$B$11+Assumptions!$B$12)/Projects!$D$28*0.95,0)-IF(AND(Projects!$G$28="Yes",BJ$3=Projects!$C$28+Projects!$D$28-1),Projects!$B$28*(Assumptions!$B$10+Assumptions!$B$11+Assumptions!$B$12)*0.05,0)</f>
        <v>0</v>
      </c>
      <c r="BK37" s="30" t="n">
        <f aca="false">IF(AND(Projects!$G$28="Yes",BK$3&gt;=Projects!$C$28,BK$3&lt;Projects!$C$28+Projects!$D$28),Projects!$B$28*INDEX(Curves!$B$4:$AR$4,1,BK$3-Projects!$C$28+1),0)-IF(AND(Projects!$G$28="Yes",BK$3&gt;=Projects!$C$28,BK$3&lt;Projects!$C$28+Projects!$D$28),Projects!$B$28*(Assumptions!$B$10+Assumptions!$B$11+Assumptions!$B$12)/Projects!$D$28*0.95,0)-IF(AND(Projects!$G$28="Yes",BK$3=Projects!$C$28+Projects!$D$28-1),Projects!$B$28*(Assumptions!$B$10+Assumptions!$B$11+Assumptions!$B$12)*0.05,0)</f>
        <v>0</v>
      </c>
      <c r="BL37" s="30" t="n">
        <f aca="false">IF(AND(Projects!$G$28="Yes",BL$3&gt;=Projects!$C$28,BL$3&lt;Projects!$C$28+Projects!$D$28),Projects!$B$28*INDEX(Curves!$B$4:$AR$4,1,BL$3-Projects!$C$28+1),0)-IF(AND(Projects!$G$28="Yes",BL$3&gt;=Projects!$C$28,BL$3&lt;Projects!$C$28+Projects!$D$28),Projects!$B$28*(Assumptions!$B$10+Assumptions!$B$11+Assumptions!$B$12)/Projects!$D$28*0.95,0)-IF(AND(Projects!$G$28="Yes",BL$3=Projects!$C$28+Projects!$D$28-1),Projects!$B$28*(Assumptions!$B$10+Assumptions!$B$11+Assumptions!$B$12)*0.05,0)</f>
        <v>0</v>
      </c>
      <c r="BM37" s="30" t="n">
        <f aca="false">IF(AND(Projects!$G$28="Yes",BM$3&gt;=Projects!$C$28,BM$3&lt;Projects!$C$28+Projects!$D$28),Projects!$B$28*INDEX(Curves!$B$4:$AR$4,1,BM$3-Projects!$C$28+1),0)-IF(AND(Projects!$G$28="Yes",BM$3&gt;=Projects!$C$28,BM$3&lt;Projects!$C$28+Projects!$D$28),Projects!$B$28*(Assumptions!$B$10+Assumptions!$B$11+Assumptions!$B$12)/Projects!$D$28*0.95,0)-IF(AND(Projects!$G$28="Yes",BM$3=Projects!$C$28+Projects!$D$28-1),Projects!$B$28*(Assumptions!$B$10+Assumptions!$B$11+Assumptions!$B$12)*0.05,0)</f>
        <v>0</v>
      </c>
      <c r="BN37" s="30" t="n">
        <f aca="false">IF(AND(Projects!$G$28="Yes",BN$3&gt;=Projects!$C$28,BN$3&lt;Projects!$C$28+Projects!$D$28),Projects!$B$28*INDEX(Curves!$B$4:$AR$4,1,BN$3-Projects!$C$28+1),0)-IF(AND(Projects!$G$28="Yes",BN$3&gt;=Projects!$C$28,BN$3&lt;Projects!$C$28+Projects!$D$28),Projects!$B$28*(Assumptions!$B$10+Assumptions!$B$11+Assumptions!$B$12)/Projects!$D$28*0.95,0)-IF(AND(Projects!$G$28="Yes",BN$3=Projects!$C$28+Projects!$D$28-1),Projects!$B$28*(Assumptions!$B$10+Assumptions!$B$11+Assumptions!$B$12)*0.05,0)</f>
        <v>0</v>
      </c>
      <c r="BO37" s="30" t="n">
        <f aca="false">IF(AND(Projects!$G$28="Yes",BO$3&gt;=Projects!$C$28,BO$3&lt;Projects!$C$28+Projects!$D$28),Projects!$B$28*INDEX(Curves!$B$4:$AR$4,1,BO$3-Projects!$C$28+1),0)-IF(AND(Projects!$G$28="Yes",BO$3&gt;=Projects!$C$28,BO$3&lt;Projects!$C$28+Projects!$D$28),Projects!$B$28*(Assumptions!$B$10+Assumptions!$B$11+Assumptions!$B$12)/Projects!$D$28*0.95,0)-IF(AND(Projects!$G$28="Yes",BO$3=Projects!$C$28+Projects!$D$28-1),Projects!$B$28*(Assumptions!$B$10+Assumptions!$B$11+Assumptions!$B$12)*0.05,0)</f>
        <v>0</v>
      </c>
      <c r="BP37" s="30" t="n">
        <f aca="false">IF(AND(Projects!$G$28="Yes",BP$3&gt;=Projects!$C$28,BP$3&lt;Projects!$C$28+Projects!$D$28),Projects!$B$28*INDEX(Curves!$B$4:$AR$4,1,BP$3-Projects!$C$28+1),0)-IF(AND(Projects!$G$28="Yes",BP$3&gt;=Projects!$C$28,BP$3&lt;Projects!$C$28+Projects!$D$28),Projects!$B$28*(Assumptions!$B$10+Assumptions!$B$11+Assumptions!$B$12)/Projects!$D$28*0.95,0)-IF(AND(Projects!$G$28="Yes",BP$3=Projects!$C$28+Projects!$D$28-1),Projects!$B$28*(Assumptions!$B$10+Assumptions!$B$11+Assumptions!$B$12)*0.05,0)</f>
        <v>0</v>
      </c>
      <c r="BQ37" s="30" t="n">
        <f aca="false">IF(AND(Projects!$G$28="Yes",BQ$3&gt;=Projects!$C$28,BQ$3&lt;Projects!$C$28+Projects!$D$28),Projects!$B$28*INDEX(Curves!$B$4:$AR$4,1,BQ$3-Projects!$C$28+1),0)-IF(AND(Projects!$G$28="Yes",BQ$3&gt;=Projects!$C$28,BQ$3&lt;Projects!$C$28+Projects!$D$28),Projects!$B$28*(Assumptions!$B$10+Assumptions!$B$11+Assumptions!$B$12)/Projects!$D$28*0.95,0)-IF(AND(Projects!$G$28="Yes",BQ$3=Projects!$C$28+Projects!$D$28-1),Projects!$B$28*(Assumptions!$B$10+Assumptions!$B$11+Assumptions!$B$12)*0.05,0)</f>
        <v>0</v>
      </c>
      <c r="BR37" s="30" t="n">
        <f aca="false">IF(AND(Projects!$G$28="Yes",BR$3&gt;=Projects!$C$28,BR$3&lt;Projects!$C$28+Projects!$D$28),Projects!$B$28*INDEX(Curves!$B$4:$AR$4,1,BR$3-Projects!$C$28+1),0)-IF(AND(Projects!$G$28="Yes",BR$3&gt;=Projects!$C$28,BR$3&lt;Projects!$C$28+Projects!$D$28),Projects!$B$28*(Assumptions!$B$10+Assumptions!$B$11+Assumptions!$B$12)/Projects!$D$28*0.95,0)-IF(AND(Projects!$G$28="Yes",BR$3=Projects!$C$28+Projects!$D$28-1),Projects!$B$28*(Assumptions!$B$10+Assumptions!$B$11+Assumptions!$B$12)*0.05,0)</f>
        <v>0</v>
      </c>
      <c r="BS37" s="30" t="n">
        <f aca="false">IF(AND(Projects!$G$28="Yes",BS$3&gt;=Projects!$C$28,BS$3&lt;Projects!$C$28+Projects!$D$28),Projects!$B$28*INDEX(Curves!$B$4:$AR$4,1,BS$3-Projects!$C$28+1),0)-IF(AND(Projects!$G$28="Yes",BS$3&gt;=Projects!$C$28,BS$3&lt;Projects!$C$28+Projects!$D$28),Projects!$B$28*(Assumptions!$B$10+Assumptions!$B$11+Assumptions!$B$12)/Projects!$D$28*0.95,0)-IF(AND(Projects!$G$28="Yes",BS$3=Projects!$C$28+Projects!$D$28-1),Projects!$B$28*(Assumptions!$B$10+Assumptions!$B$11+Assumptions!$B$12)*0.05,0)</f>
        <v>0</v>
      </c>
      <c r="BT37" s="30" t="n">
        <f aca="false">IF(AND(Projects!$G$28="Yes",BT$3&gt;=Projects!$C$28,BT$3&lt;Projects!$C$28+Projects!$D$28),Projects!$B$28*INDEX(Curves!$B$4:$AR$4,1,BT$3-Projects!$C$28+1),0)-IF(AND(Projects!$G$28="Yes",BT$3&gt;=Projects!$C$28,BT$3&lt;Projects!$C$28+Projects!$D$28),Projects!$B$28*(Assumptions!$B$10+Assumptions!$B$11+Assumptions!$B$12)/Projects!$D$28*0.95,0)-IF(AND(Projects!$G$28="Yes",BT$3=Projects!$C$28+Projects!$D$28-1),Projects!$B$28*(Assumptions!$B$10+Assumptions!$B$11+Assumptions!$B$12)*0.05,0)</f>
        <v>0</v>
      </c>
      <c r="BU37" s="30" t="n">
        <f aca="false">IF(AND(Projects!$G$28="Yes",BU$3&gt;=Projects!$C$28,BU$3&lt;Projects!$C$28+Projects!$D$28),Projects!$B$28*INDEX(Curves!$B$4:$AR$4,1,BU$3-Projects!$C$28+1),0)-IF(AND(Projects!$G$28="Yes",BU$3&gt;=Projects!$C$28,BU$3&lt;Projects!$C$28+Projects!$D$28),Projects!$B$28*(Assumptions!$B$10+Assumptions!$B$11+Assumptions!$B$12)/Projects!$D$28*0.95,0)-IF(AND(Projects!$G$28="Yes",BU$3=Projects!$C$28+Projects!$D$28-1),Projects!$B$28*(Assumptions!$B$10+Assumptions!$B$11+Assumptions!$B$12)*0.05,0)</f>
        <v>0</v>
      </c>
      <c r="BV37" s="30" t="n">
        <f aca="false">IF(AND(Projects!$G$28="Yes",BV$3&gt;=Projects!$C$28,BV$3&lt;Projects!$C$28+Projects!$D$28),Projects!$B$28*INDEX(Curves!$B$4:$AR$4,1,BV$3-Projects!$C$28+1),0)-IF(AND(Projects!$G$28="Yes",BV$3&gt;=Projects!$C$28,BV$3&lt;Projects!$C$28+Projects!$D$28),Projects!$B$28*(Assumptions!$B$10+Assumptions!$B$11+Assumptions!$B$12)/Projects!$D$28*0.95,0)-IF(AND(Projects!$G$28="Yes",BV$3=Projects!$C$28+Projects!$D$28-1),Projects!$B$28*(Assumptions!$B$10+Assumptions!$B$11+Assumptions!$B$12)*0.05,0)</f>
        <v>0</v>
      </c>
      <c r="BW37" s="30" t="n">
        <f aca="false">IF(AND(Projects!$G$28="Yes",BW$3&gt;=Projects!$C$28,BW$3&lt;Projects!$C$28+Projects!$D$28),Projects!$B$28*INDEX(Curves!$B$4:$AR$4,1,BW$3-Projects!$C$28+1),0)-IF(AND(Projects!$G$28="Yes",BW$3&gt;=Projects!$C$28,BW$3&lt;Projects!$C$28+Projects!$D$28),Projects!$B$28*(Assumptions!$B$10+Assumptions!$B$11+Assumptions!$B$12)/Projects!$D$28*0.95,0)-IF(AND(Projects!$G$28="Yes",BW$3=Projects!$C$28+Projects!$D$28-1),Projects!$B$28*(Assumptions!$B$10+Assumptions!$B$11+Assumptions!$B$12)*0.05,0)</f>
        <v>0</v>
      </c>
      <c r="BX37" s="30" t="n">
        <f aca="false">IF(AND(Projects!$G$28="Yes",BX$3&gt;=Projects!$C$28,BX$3&lt;Projects!$C$28+Projects!$D$28),Projects!$B$28*INDEX(Curves!$B$4:$AR$4,1,BX$3-Projects!$C$28+1),0)-IF(AND(Projects!$G$28="Yes",BX$3&gt;=Projects!$C$28,BX$3&lt;Projects!$C$28+Projects!$D$28),Projects!$B$28*(Assumptions!$B$10+Assumptions!$B$11+Assumptions!$B$12)/Projects!$D$28*0.95,0)-IF(AND(Projects!$G$28="Yes",BX$3=Projects!$C$28+Projects!$D$28-1),Projects!$B$28*(Assumptions!$B$10+Assumptions!$B$11+Assumptions!$B$12)*0.05,0)</f>
        <v>0</v>
      </c>
      <c r="BY37" s="30" t="n">
        <f aca="false">IF(AND(Projects!$G$28="Yes",BY$3&gt;=Projects!$C$28,BY$3&lt;Projects!$C$28+Projects!$D$28),Projects!$B$28*INDEX(Curves!$B$4:$AR$4,1,BY$3-Projects!$C$28+1),0)-IF(AND(Projects!$G$28="Yes",BY$3&gt;=Projects!$C$28,BY$3&lt;Projects!$C$28+Projects!$D$28),Projects!$B$28*(Assumptions!$B$10+Assumptions!$B$11+Assumptions!$B$12)/Projects!$D$28*0.95,0)-IF(AND(Projects!$G$28="Yes",BY$3=Projects!$C$28+Projects!$D$28-1),Projects!$B$28*(Assumptions!$B$10+Assumptions!$B$11+Assumptions!$B$12)*0.05,0)</f>
        <v>0</v>
      </c>
      <c r="BZ37" s="30" t="n">
        <f aca="false">IF(AND(Projects!$G$28="Yes",BZ$3&gt;=Projects!$C$28,BZ$3&lt;Projects!$C$28+Projects!$D$28),Projects!$B$28*INDEX(Curves!$B$4:$AR$4,1,BZ$3-Projects!$C$28+1),0)-IF(AND(Projects!$G$28="Yes",BZ$3&gt;=Projects!$C$28,BZ$3&lt;Projects!$C$28+Projects!$D$28),Projects!$B$28*(Assumptions!$B$10+Assumptions!$B$11+Assumptions!$B$12)/Projects!$D$28*0.95,0)-IF(AND(Projects!$G$28="Yes",BZ$3=Projects!$C$28+Projects!$D$28-1),Projects!$B$28*(Assumptions!$B$10+Assumptions!$B$11+Assumptions!$B$12)*0.05,0)</f>
        <v>0</v>
      </c>
      <c r="CA37" s="30" t="n">
        <f aca="false">IF(AND(Projects!$G$28="Yes",CA$3&gt;=Projects!$C$28,CA$3&lt;Projects!$C$28+Projects!$D$28),Projects!$B$28*INDEX(Curves!$B$4:$AR$4,1,CA$3-Projects!$C$28+1),0)-IF(AND(Projects!$G$28="Yes",CA$3&gt;=Projects!$C$28,CA$3&lt;Projects!$C$28+Projects!$D$28),Projects!$B$28*(Assumptions!$B$10+Assumptions!$B$11+Assumptions!$B$12)/Projects!$D$28*0.95,0)-IF(AND(Projects!$G$28="Yes",CA$3=Projects!$C$28+Projects!$D$28-1),Projects!$B$28*(Assumptions!$B$10+Assumptions!$B$11+Assumptions!$B$12)*0.05,0)</f>
        <v>0</v>
      </c>
      <c r="CB37" s="30" t="n">
        <f aca="false">IF(AND(Projects!$G$28="Yes",CB$3&gt;=Projects!$C$28,CB$3&lt;Projects!$C$28+Projects!$D$28),Projects!$B$28*INDEX(Curves!$B$4:$AR$4,1,CB$3-Projects!$C$28+1),0)-IF(AND(Projects!$G$28="Yes",CB$3&gt;=Projects!$C$28,CB$3&lt;Projects!$C$28+Projects!$D$28),Projects!$B$28*(Assumptions!$B$10+Assumptions!$B$11+Assumptions!$B$12)/Projects!$D$28*0.95,0)-IF(AND(Projects!$G$28="Yes",CB$3=Projects!$C$28+Projects!$D$28-1),Projects!$B$28*(Assumptions!$B$10+Assumptions!$B$11+Assumptions!$B$12)*0.05,0)</f>
        <v>0</v>
      </c>
      <c r="CC37" s="30" t="n">
        <f aca="false">IF(AND(Projects!$G$28="Yes",CC$3&gt;=Projects!$C$28,CC$3&lt;Projects!$C$28+Projects!$D$28),Projects!$B$28*INDEX(Curves!$B$4:$AR$4,1,CC$3-Projects!$C$28+1),0)-IF(AND(Projects!$G$28="Yes",CC$3&gt;=Projects!$C$28,CC$3&lt;Projects!$C$28+Projects!$D$28),Projects!$B$28*(Assumptions!$B$10+Assumptions!$B$11+Assumptions!$B$12)/Projects!$D$28*0.95,0)-IF(AND(Projects!$G$28="Yes",CC$3=Projects!$C$28+Projects!$D$28-1),Projects!$B$28*(Assumptions!$B$10+Assumptions!$B$11+Assumptions!$B$12)*0.05,0)</f>
        <v>0</v>
      </c>
      <c r="CD37" s="30" t="n">
        <f aca="false">IF(AND(Projects!$G$28="Yes",CD$3&gt;=Projects!$C$28,CD$3&lt;Projects!$C$28+Projects!$D$28),Projects!$B$28*INDEX(Curves!$B$4:$AR$4,1,CD$3-Projects!$C$28+1),0)-IF(AND(Projects!$G$28="Yes",CD$3&gt;=Projects!$C$28,CD$3&lt;Projects!$C$28+Projects!$D$28),Projects!$B$28*(Assumptions!$B$10+Assumptions!$B$11+Assumptions!$B$12)/Projects!$D$28*0.95,0)-IF(AND(Projects!$G$28="Yes",CD$3=Projects!$C$28+Projects!$D$28-1),Projects!$B$28*(Assumptions!$B$10+Assumptions!$B$11+Assumptions!$B$12)*0.05,0)</f>
        <v>0</v>
      </c>
      <c r="CE37" s="30" t="n">
        <f aca="false">IF(AND(Projects!$G$28="Yes",CE$3&gt;=Projects!$C$28,CE$3&lt;Projects!$C$28+Projects!$D$28),Projects!$B$28*INDEX(Curves!$B$4:$AR$4,1,CE$3-Projects!$C$28+1),0)-IF(AND(Projects!$G$28="Yes",CE$3&gt;=Projects!$C$28,CE$3&lt;Projects!$C$28+Projects!$D$28),Projects!$B$28*(Assumptions!$B$10+Assumptions!$B$11+Assumptions!$B$12)/Projects!$D$28*0.95,0)-IF(AND(Projects!$G$28="Yes",CE$3=Projects!$C$28+Projects!$D$28-1),Projects!$B$28*(Assumptions!$B$10+Assumptions!$B$11+Assumptions!$B$12)*0.05,0)</f>
        <v>0</v>
      </c>
      <c r="CF37" s="30" t="n">
        <f aca="false">IF(AND(Projects!$G$28="Yes",CF$3&gt;=Projects!$C$28,CF$3&lt;Projects!$C$28+Projects!$D$28),Projects!$B$28*INDEX(Curves!$B$4:$AR$4,1,CF$3-Projects!$C$28+1),0)-IF(AND(Projects!$G$28="Yes",CF$3&gt;=Projects!$C$28,CF$3&lt;Projects!$C$28+Projects!$D$28),Projects!$B$28*(Assumptions!$B$10+Assumptions!$B$11+Assumptions!$B$12)/Projects!$D$28*0.95,0)-IF(AND(Projects!$G$28="Yes",CF$3=Projects!$C$28+Projects!$D$28-1),Projects!$B$28*(Assumptions!$B$10+Assumptions!$B$11+Assumptions!$B$12)*0.05,0)</f>
        <v>0</v>
      </c>
      <c r="CG37" s="30" t="n">
        <f aca="false">IF(AND(Projects!$G$28="Yes",CG$3&gt;=Projects!$C$28,CG$3&lt;Projects!$C$28+Projects!$D$28),Projects!$B$28*INDEX(Curves!$B$4:$AR$4,1,CG$3-Projects!$C$28+1),0)-IF(AND(Projects!$G$28="Yes",CG$3&gt;=Projects!$C$28,CG$3&lt;Projects!$C$28+Projects!$D$28),Projects!$B$28*(Assumptions!$B$10+Assumptions!$B$11+Assumptions!$B$12)/Projects!$D$28*0.95,0)-IF(AND(Projects!$G$28="Yes",CG$3=Projects!$C$28+Projects!$D$28-1),Projects!$B$28*(Assumptions!$B$10+Assumptions!$B$11+Assumptions!$B$12)*0.05,0)</f>
        <v>0</v>
      </c>
      <c r="CH37" s="30" t="n">
        <f aca="false">IF(AND(Projects!$G$28="Yes",CH$3&gt;=Projects!$C$28,CH$3&lt;Projects!$C$28+Projects!$D$28),Projects!$B$28*INDEX(Curves!$B$4:$AR$4,1,CH$3-Projects!$C$28+1),0)-IF(AND(Projects!$G$28="Yes",CH$3&gt;=Projects!$C$28,CH$3&lt;Projects!$C$28+Projects!$D$28),Projects!$B$28*(Assumptions!$B$10+Assumptions!$B$11+Assumptions!$B$12)/Projects!$D$28*0.95,0)-IF(AND(Projects!$G$28="Yes",CH$3=Projects!$C$28+Projects!$D$28-1),Projects!$B$28*(Assumptions!$B$10+Assumptions!$B$11+Assumptions!$B$12)*0.05,0)</f>
        <v>0</v>
      </c>
      <c r="CI37" s="30" t="n">
        <f aca="false">IF(AND(Projects!$G$28="Yes",CI$3&gt;=Projects!$C$28,CI$3&lt;Projects!$C$28+Projects!$D$28),Projects!$B$28*INDEX(Curves!$B$4:$AR$4,1,CI$3-Projects!$C$28+1),0)-IF(AND(Projects!$G$28="Yes",CI$3&gt;=Projects!$C$28,CI$3&lt;Projects!$C$28+Projects!$D$28),Projects!$B$28*(Assumptions!$B$10+Assumptions!$B$11+Assumptions!$B$12)/Projects!$D$28*0.95,0)-IF(AND(Projects!$G$28="Yes",CI$3=Projects!$C$28+Projects!$D$28-1),Projects!$B$28*(Assumptions!$B$10+Assumptions!$B$11+Assumptions!$B$12)*0.05,0)</f>
        <v>0</v>
      </c>
      <c r="CJ37" s="30" t="n">
        <f aca="false">IF(AND(Projects!$G$28="Yes",CJ$3&gt;=Projects!$C$28,CJ$3&lt;Projects!$C$28+Projects!$D$28),Projects!$B$28*INDEX(Curves!$B$4:$AR$4,1,CJ$3-Projects!$C$28+1),0)-IF(AND(Projects!$G$28="Yes",CJ$3&gt;=Projects!$C$28,CJ$3&lt;Projects!$C$28+Projects!$D$28),Projects!$B$28*(Assumptions!$B$10+Assumptions!$B$11+Assumptions!$B$12)/Projects!$D$28*0.95,0)-IF(AND(Projects!$G$28="Yes",CJ$3=Projects!$C$28+Projects!$D$28-1),Projects!$B$28*(Assumptions!$B$10+Assumptions!$B$11+Assumptions!$B$12)*0.05,0)</f>
        <v>0</v>
      </c>
      <c r="CK37" s="30" t="n">
        <f aca="false">IF(AND(Projects!$G$28="Yes",CK$3&gt;=Projects!$C$28,CK$3&lt;Projects!$C$28+Projects!$D$28),Projects!$B$28*INDEX(Curves!$B$4:$AR$4,1,CK$3-Projects!$C$28+1),0)-IF(AND(Projects!$G$28="Yes",CK$3&gt;=Projects!$C$28,CK$3&lt;Projects!$C$28+Projects!$D$28),Projects!$B$28*(Assumptions!$B$10+Assumptions!$B$11+Assumptions!$B$12)/Projects!$D$28*0.95,0)-IF(AND(Projects!$G$28="Yes",CK$3=Projects!$C$28+Projects!$D$28-1),Projects!$B$28*(Assumptions!$B$10+Assumptions!$B$11+Assumptions!$B$12)*0.05,0)</f>
        <v>0</v>
      </c>
      <c r="CL37" s="30" t="n">
        <f aca="false">IF(AND(Projects!$G$28="Yes",CL$3&gt;=Projects!$C$28,CL$3&lt;Projects!$C$28+Projects!$D$28),Projects!$B$28*INDEX(Curves!$B$4:$AR$4,1,CL$3-Projects!$C$28+1),0)-IF(AND(Projects!$G$28="Yes",CL$3&gt;=Projects!$C$28,CL$3&lt;Projects!$C$28+Projects!$D$28),Projects!$B$28*(Assumptions!$B$10+Assumptions!$B$11+Assumptions!$B$12)/Projects!$D$28*0.95,0)-IF(AND(Projects!$G$28="Yes",CL$3=Projects!$C$28+Projects!$D$28-1),Projects!$B$28*(Assumptions!$B$10+Assumptions!$B$11+Assumptions!$B$12)*0.05,0)</f>
        <v>0</v>
      </c>
      <c r="CM37" s="30" t="n">
        <f aca="false">IF(AND(Projects!$G$28="Yes",CM$3&gt;=Projects!$C$28,CM$3&lt;Projects!$C$28+Projects!$D$28),Projects!$B$28*INDEX(Curves!$B$4:$AR$4,1,CM$3-Projects!$C$28+1),0)-IF(AND(Projects!$G$28="Yes",CM$3&gt;=Projects!$C$28,CM$3&lt;Projects!$C$28+Projects!$D$28),Projects!$B$28*(Assumptions!$B$10+Assumptions!$B$11+Assumptions!$B$12)/Projects!$D$28*0.95,0)-IF(AND(Projects!$G$28="Yes",CM$3=Projects!$C$28+Projects!$D$28-1),Projects!$B$28*(Assumptions!$B$10+Assumptions!$B$11+Assumptions!$B$12)*0.05,0)</f>
        <v>0</v>
      </c>
      <c r="CN37" s="30" t="n">
        <f aca="false">IF(AND(Projects!$G$28="Yes",CN$3&gt;=Projects!$C$28,CN$3&lt;Projects!$C$28+Projects!$D$28),Projects!$B$28*INDEX(Curves!$B$4:$AR$4,1,CN$3-Projects!$C$28+1),0)-IF(AND(Projects!$G$28="Yes",CN$3&gt;=Projects!$C$28,CN$3&lt;Projects!$C$28+Projects!$D$28),Projects!$B$28*(Assumptions!$B$10+Assumptions!$B$11+Assumptions!$B$12)/Projects!$D$28*0.95,0)-IF(AND(Projects!$G$28="Yes",CN$3=Projects!$C$28+Projects!$D$28-1),Projects!$B$28*(Assumptions!$B$10+Assumptions!$B$11+Assumptions!$B$12)*0.05,0)</f>
        <v>0</v>
      </c>
      <c r="CO37" s="30" t="n">
        <f aca="false">IF(AND(Projects!$G$28="Yes",CO$3&gt;=Projects!$C$28,CO$3&lt;Projects!$C$28+Projects!$D$28),Projects!$B$28*INDEX(Curves!$B$4:$AR$4,1,CO$3-Projects!$C$28+1),0)-IF(AND(Projects!$G$28="Yes",CO$3&gt;=Projects!$C$28,CO$3&lt;Projects!$C$28+Projects!$D$28),Projects!$B$28*(Assumptions!$B$10+Assumptions!$B$11+Assumptions!$B$12)/Projects!$D$28*0.95,0)-IF(AND(Projects!$G$28="Yes",CO$3=Projects!$C$28+Projects!$D$28-1),Projects!$B$28*(Assumptions!$B$10+Assumptions!$B$11+Assumptions!$B$12)*0.05,0)</f>
        <v>0</v>
      </c>
      <c r="CP37" s="30" t="n">
        <f aca="false">IF(AND(Projects!$G$28="Yes",CP$3&gt;=Projects!$C$28,CP$3&lt;Projects!$C$28+Projects!$D$28),Projects!$B$28*INDEX(Curves!$B$4:$AR$4,1,CP$3-Projects!$C$28+1),0)-IF(AND(Projects!$G$28="Yes",CP$3&gt;=Projects!$C$28,CP$3&lt;Projects!$C$28+Projects!$D$28),Projects!$B$28*(Assumptions!$B$10+Assumptions!$B$11+Assumptions!$B$12)/Projects!$D$28*0.95,0)-IF(AND(Projects!$G$28="Yes",CP$3=Projects!$C$28+Projects!$D$28-1),Projects!$B$28*(Assumptions!$B$10+Assumptions!$B$11+Assumptions!$B$12)*0.05,0)</f>
        <v>0</v>
      </c>
      <c r="CQ37" s="30" t="n">
        <f aca="false">IF(AND(Projects!$G$28="Yes",CQ$3&gt;=Projects!$C$28,CQ$3&lt;Projects!$C$28+Projects!$D$28),Projects!$B$28*INDEX(Curves!$B$4:$AR$4,1,CQ$3-Projects!$C$28+1),0)-IF(AND(Projects!$G$28="Yes",CQ$3&gt;=Projects!$C$28,CQ$3&lt;Projects!$C$28+Projects!$D$28),Projects!$B$28*(Assumptions!$B$10+Assumptions!$B$11+Assumptions!$B$12)/Projects!$D$28*0.95,0)-IF(AND(Projects!$G$28="Yes",CQ$3=Projects!$C$28+Projects!$D$28-1),Projects!$B$28*(Assumptions!$B$10+Assumptions!$B$11+Assumptions!$B$12)*0.05,0)</f>
        <v>0</v>
      </c>
      <c r="CR37" s="30" t="n">
        <f aca="false">IF(AND(Projects!$G$28="Yes",CR$3&gt;=Projects!$C$28,CR$3&lt;Projects!$C$28+Projects!$D$28),Projects!$B$28*INDEX(Curves!$B$4:$AR$4,1,CR$3-Projects!$C$28+1),0)-IF(AND(Projects!$G$28="Yes",CR$3&gt;=Projects!$C$28,CR$3&lt;Projects!$C$28+Projects!$D$28),Projects!$B$28*(Assumptions!$B$10+Assumptions!$B$11+Assumptions!$B$12)/Projects!$D$28*0.95,0)-IF(AND(Projects!$G$28="Yes",CR$3=Projects!$C$28+Projects!$D$28-1),Projects!$B$28*(Assumptions!$B$10+Assumptions!$B$11+Assumptions!$B$12)*0.05,0)</f>
        <v>0</v>
      </c>
      <c r="CS37" s="30" t="n">
        <f aca="false">IF(AND(Projects!$G$28="Yes",CS$3&gt;=Projects!$C$28,CS$3&lt;Projects!$C$28+Projects!$D$28),Projects!$B$28*INDEX(Curves!$B$4:$AR$4,1,CS$3-Projects!$C$28+1),0)-IF(AND(Projects!$G$28="Yes",CS$3&gt;=Projects!$C$28,CS$3&lt;Projects!$C$28+Projects!$D$28),Projects!$B$28*(Assumptions!$B$10+Assumptions!$B$11+Assumptions!$B$12)/Projects!$D$28*0.95,0)-IF(AND(Projects!$G$28="Yes",CS$3=Projects!$C$28+Projects!$D$28-1),Projects!$B$28*(Assumptions!$B$10+Assumptions!$B$11+Assumptions!$B$12)*0.05,0)</f>
        <v>0</v>
      </c>
      <c r="CT37" s="30" t="n">
        <f aca="false">IF(AND(Projects!$G$28="Yes",CT$3&gt;=Projects!$C$28,CT$3&lt;Projects!$C$28+Projects!$D$28),Projects!$B$28*INDEX(Curves!$B$4:$AR$4,1,CT$3-Projects!$C$28+1),0)-IF(AND(Projects!$G$28="Yes",CT$3&gt;=Projects!$C$28,CT$3&lt;Projects!$C$28+Projects!$D$28),Projects!$B$28*(Assumptions!$B$10+Assumptions!$B$11+Assumptions!$B$12)/Projects!$D$28*0.95,0)-IF(AND(Projects!$G$28="Yes",CT$3=Projects!$C$28+Projects!$D$28-1),Projects!$B$28*(Assumptions!$B$10+Assumptions!$B$11+Assumptions!$B$12)*0.05,0)</f>
        <v>0</v>
      </c>
      <c r="CU37" s="30" t="n">
        <f aca="false">IF(AND(Projects!$G$28="Yes",CU$3&gt;=Projects!$C$28,CU$3&lt;Projects!$C$28+Projects!$D$28),Projects!$B$28*INDEX(Curves!$B$4:$AR$4,1,CU$3-Projects!$C$28+1),0)-IF(AND(Projects!$G$28="Yes",CU$3&gt;=Projects!$C$28,CU$3&lt;Projects!$C$28+Projects!$D$28),Projects!$B$28*(Assumptions!$B$10+Assumptions!$B$11+Assumptions!$B$12)/Projects!$D$28*0.95,0)-IF(AND(Projects!$G$28="Yes",CU$3=Projects!$C$28+Projects!$D$28-1),Projects!$B$28*(Assumptions!$B$10+Assumptions!$B$11+Assumptions!$B$12)*0.05,0)</f>
        <v>0</v>
      </c>
      <c r="CV37" s="30" t="n">
        <f aca="false">IF(AND(Projects!$G$28="Yes",CV$3&gt;=Projects!$C$28,CV$3&lt;Projects!$C$28+Projects!$D$28),Projects!$B$28*INDEX(Curves!$B$4:$AR$4,1,CV$3-Projects!$C$28+1),0)-IF(AND(Projects!$G$28="Yes",CV$3&gt;=Projects!$C$28,CV$3&lt;Projects!$C$28+Projects!$D$28),Projects!$B$28*(Assumptions!$B$10+Assumptions!$B$11+Assumptions!$B$12)/Projects!$D$28*0.95,0)-IF(AND(Projects!$G$28="Yes",CV$3=Projects!$C$28+Projects!$D$28-1),Projects!$B$28*(Assumptions!$B$10+Assumptions!$B$11+Assumptions!$B$12)*0.05,0)</f>
        <v>0</v>
      </c>
      <c r="CW37" s="30" t="n">
        <f aca="false">IF(AND(Projects!$G$28="Yes",CW$3&gt;=Projects!$C$28,CW$3&lt;Projects!$C$28+Projects!$D$28),Projects!$B$28*INDEX(Curves!$B$4:$AR$4,1,CW$3-Projects!$C$28+1),0)-IF(AND(Projects!$G$28="Yes",CW$3&gt;=Projects!$C$28,CW$3&lt;Projects!$C$28+Projects!$D$28),Projects!$B$28*(Assumptions!$B$10+Assumptions!$B$11+Assumptions!$B$12)/Projects!$D$28*0.95,0)-IF(AND(Projects!$G$28="Yes",CW$3=Projects!$C$28+Projects!$D$28-1),Projects!$B$28*(Assumptions!$B$10+Assumptions!$B$11+Assumptions!$B$12)*0.05,0)</f>
        <v>0</v>
      </c>
      <c r="CX37" s="30" t="n">
        <f aca="false">IF(AND(Projects!$G$28="Yes",CX$3&gt;=Projects!$C$28,CX$3&lt;Projects!$C$28+Projects!$D$28),Projects!$B$28*INDEX(Curves!$B$4:$AR$4,1,CX$3-Projects!$C$28+1),0)-IF(AND(Projects!$G$28="Yes",CX$3&gt;=Projects!$C$28,CX$3&lt;Projects!$C$28+Projects!$D$28),Projects!$B$28*(Assumptions!$B$10+Assumptions!$B$11+Assumptions!$B$12)/Projects!$D$28*0.95,0)-IF(AND(Projects!$G$28="Yes",CX$3=Projects!$C$28+Projects!$D$28-1),Projects!$B$28*(Assumptions!$B$10+Assumptions!$B$11+Assumptions!$B$12)*0.05,0)</f>
        <v>0</v>
      </c>
      <c r="CY37" s="30" t="n">
        <f aca="false">IF(AND(Projects!$G$28="Yes",CY$3&gt;=Projects!$C$28,CY$3&lt;Projects!$C$28+Projects!$D$28),Projects!$B$28*INDEX(Curves!$B$4:$AR$4,1,CY$3-Projects!$C$28+1),0)-IF(AND(Projects!$G$28="Yes",CY$3&gt;=Projects!$C$28,CY$3&lt;Projects!$C$28+Projects!$D$28),Projects!$B$28*(Assumptions!$B$10+Assumptions!$B$11+Assumptions!$B$12)/Projects!$D$28*0.95,0)-IF(AND(Projects!$G$28="Yes",CY$3=Projects!$C$28+Projects!$D$28-1),Projects!$B$28*(Assumptions!$B$10+Assumptions!$B$11+Assumptions!$B$12)*0.05,0)</f>
        <v>0</v>
      </c>
      <c r="CZ37" s="30" t="n">
        <f aca="false">IF(AND(Projects!$G$28="Yes",CZ$3&gt;=Projects!$C$28,CZ$3&lt;Projects!$C$28+Projects!$D$28),Projects!$B$28*INDEX(Curves!$B$4:$AR$4,1,CZ$3-Projects!$C$28+1),0)-IF(AND(Projects!$G$28="Yes",CZ$3&gt;=Projects!$C$28,CZ$3&lt;Projects!$C$28+Projects!$D$28),Projects!$B$28*(Assumptions!$B$10+Assumptions!$B$11+Assumptions!$B$12)/Projects!$D$28*0.95,0)-IF(AND(Projects!$G$28="Yes",CZ$3=Projects!$C$28+Projects!$D$28-1),Projects!$B$28*(Assumptions!$B$10+Assumptions!$B$11+Assumptions!$B$12)*0.05,0)</f>
        <v>0</v>
      </c>
      <c r="DA37" s="30" t="n">
        <f aca="false">IF(AND(Projects!$G$28="Yes",DA$3&gt;=Projects!$C$28,DA$3&lt;Projects!$C$28+Projects!$D$28),Projects!$B$28*INDEX(Curves!$B$4:$AR$4,1,DA$3-Projects!$C$28+1),0)-IF(AND(Projects!$G$28="Yes",DA$3&gt;=Projects!$C$28,DA$3&lt;Projects!$C$28+Projects!$D$28),Projects!$B$28*(Assumptions!$B$10+Assumptions!$B$11+Assumptions!$B$12)/Projects!$D$28*0.95,0)-IF(AND(Projects!$G$28="Yes",DA$3=Projects!$C$28+Projects!$D$28-1),Projects!$B$28*(Assumptions!$B$10+Assumptions!$B$11+Assumptions!$B$12)*0.05,0)</f>
        <v>0</v>
      </c>
      <c r="DB37" s="30" t="n">
        <f aca="false">IF(AND(Projects!$G$28="Yes",DB$3&gt;=Projects!$C$28,DB$3&lt;Projects!$C$28+Projects!$D$28),Projects!$B$28*INDEX(Curves!$B$4:$AR$4,1,DB$3-Projects!$C$28+1),0)-IF(AND(Projects!$G$28="Yes",DB$3&gt;=Projects!$C$28,DB$3&lt;Projects!$C$28+Projects!$D$28),Projects!$B$28*(Assumptions!$B$10+Assumptions!$B$11+Assumptions!$B$12)/Projects!$D$28*0.95,0)-IF(AND(Projects!$G$28="Yes",DB$3=Projects!$C$28+Projects!$D$28-1),Projects!$B$28*(Assumptions!$B$10+Assumptions!$B$11+Assumptions!$B$12)*0.05,0)</f>
        <v>0</v>
      </c>
      <c r="DC37" s="30" t="n">
        <f aca="false">IF(AND(Projects!$G$28="Yes",DC$3&gt;=Projects!$C$28,DC$3&lt;Projects!$C$28+Projects!$D$28),Projects!$B$28*INDEX(Curves!$B$4:$AR$4,1,DC$3-Projects!$C$28+1),0)-IF(AND(Projects!$G$28="Yes",DC$3&gt;=Projects!$C$28,DC$3&lt;Projects!$C$28+Projects!$D$28),Projects!$B$28*(Assumptions!$B$10+Assumptions!$B$11+Assumptions!$B$12)/Projects!$D$28*0.95,0)-IF(AND(Projects!$G$28="Yes",DC$3=Projects!$C$28+Projects!$D$28-1),Projects!$B$28*(Assumptions!$B$10+Assumptions!$B$11+Assumptions!$B$12)*0.05,0)</f>
        <v>0</v>
      </c>
      <c r="DD37" s="30" t="n">
        <f aca="false">IF(AND(Projects!$G$28="Yes",DD$3&gt;=Projects!$C$28,DD$3&lt;Projects!$C$28+Projects!$D$28),Projects!$B$28*INDEX(Curves!$B$4:$AR$4,1,DD$3-Projects!$C$28+1),0)-IF(AND(Projects!$G$28="Yes",DD$3&gt;=Projects!$C$28,DD$3&lt;Projects!$C$28+Projects!$D$28),Projects!$B$28*(Assumptions!$B$10+Assumptions!$B$11+Assumptions!$B$12)/Projects!$D$28*0.95,0)-IF(AND(Projects!$G$28="Yes",DD$3=Projects!$C$28+Projects!$D$28-1),Projects!$B$28*(Assumptions!$B$10+Assumptions!$B$11+Assumptions!$B$12)*0.05,0)</f>
        <v>0</v>
      </c>
      <c r="DE37" s="30" t="n">
        <f aca="false">IF(AND(Projects!$G$28="Yes",DE$3&gt;=Projects!$C$28,DE$3&lt;Projects!$C$28+Projects!$D$28),Projects!$B$28*INDEX(Curves!$B$4:$AR$4,1,DE$3-Projects!$C$28+1),0)-IF(AND(Projects!$G$28="Yes",DE$3&gt;=Projects!$C$28,DE$3&lt;Projects!$C$28+Projects!$D$28),Projects!$B$28*(Assumptions!$B$10+Assumptions!$B$11+Assumptions!$B$12)/Projects!$D$28*0.95,0)-IF(AND(Projects!$G$28="Yes",DE$3=Projects!$C$28+Projects!$D$28-1),Projects!$B$28*(Assumptions!$B$10+Assumptions!$B$11+Assumptions!$B$12)*0.05,0)</f>
        <v>0</v>
      </c>
    </row>
    <row r="38" customFormat="false" ht="15" hidden="true" customHeight="true" outlineLevel="1" collapsed="false">
      <c r="A38" s="32" t="s">
        <v>32</v>
      </c>
      <c r="B38" s="30" t="n">
        <v>0</v>
      </c>
      <c r="C38" s="30" t="n">
        <v>0</v>
      </c>
      <c r="D38" s="30" t="n">
        <v>0</v>
      </c>
      <c r="E38" s="30" t="n">
        <v>0</v>
      </c>
      <c r="F38" s="30" t="n">
        <f aca="false">IF(AND(Projects!$G$29="Yes",F$3&gt;=Projects!$C$29,F$3&lt;Projects!$C$29+Projects!$D$29),Projects!$B$29*INDEX(Curves!$B$4:$AR$4,1,F$3-Projects!$C$29+1),0)-IF(AND(Projects!$G$29="Yes",F$3&gt;=Projects!$C$29,F$3&lt;Projects!$C$29+Projects!$D$29),Projects!$B$29*(Assumptions!$B$10+Assumptions!$B$11+Assumptions!$B$12)/Projects!$D$29*0.95,0)-IF(AND(Projects!$G$29="Yes",F$3=Projects!$C$29+Projects!$D$29-1),Projects!$B$29*(Assumptions!$B$10+Assumptions!$B$11+Assumptions!$B$12)*0.05,0)</f>
        <v>0</v>
      </c>
      <c r="G38" s="30" t="n">
        <f aca="false">IF(AND(Projects!$G$29="Yes",G$3&gt;=Projects!$C$29,G$3&lt;Projects!$C$29+Projects!$D$29),Projects!$B$29*INDEX(Curves!$B$4:$AR$4,1,G$3-Projects!$C$29+1),0)-IF(AND(Projects!$G$29="Yes",G$3&gt;=Projects!$C$29,G$3&lt;Projects!$C$29+Projects!$D$29),Projects!$B$29*(Assumptions!$B$10+Assumptions!$B$11+Assumptions!$B$12)/Projects!$D$29*0.95,0)-IF(AND(Projects!$G$29="Yes",G$3=Projects!$C$29+Projects!$D$29-1),Projects!$B$29*(Assumptions!$B$10+Assumptions!$B$11+Assumptions!$B$12)*0.05,0)</f>
        <v>0</v>
      </c>
      <c r="H38" s="30" t="n">
        <f aca="false">IF(AND(Projects!$G$29="Yes",H$3&gt;=Projects!$C$29,H$3&lt;Projects!$C$29+Projects!$D$29),Projects!$B$29*INDEX(Curves!$B$4:$AR$4,1,H$3-Projects!$C$29+1),0)-IF(AND(Projects!$G$29="Yes",H$3&gt;=Projects!$C$29,H$3&lt;Projects!$C$29+Projects!$D$29),Projects!$B$29*(Assumptions!$B$10+Assumptions!$B$11+Assumptions!$B$12)/Projects!$D$29*0.95,0)-IF(AND(Projects!$G$29="Yes",H$3=Projects!$C$29+Projects!$D$29-1),Projects!$B$29*(Assumptions!$B$10+Assumptions!$B$11+Assumptions!$B$12)*0.05,0)</f>
        <v>0</v>
      </c>
      <c r="I38" s="30" t="n">
        <f aca="false">IF(AND(Projects!$G$29="Yes",I$3&gt;=Projects!$C$29,I$3&lt;Projects!$C$29+Projects!$D$29),Projects!$B$29*INDEX(Curves!$B$4:$AR$4,1,I$3-Projects!$C$29+1),0)-IF(AND(Projects!$G$29="Yes",I$3&gt;=Projects!$C$29,I$3&lt;Projects!$C$29+Projects!$D$29),Projects!$B$29*(Assumptions!$B$10+Assumptions!$B$11+Assumptions!$B$12)/Projects!$D$29*0.95,0)-IF(AND(Projects!$G$29="Yes",I$3=Projects!$C$29+Projects!$D$29-1),Projects!$B$29*(Assumptions!$B$10+Assumptions!$B$11+Assumptions!$B$12)*0.05,0)</f>
        <v>0</v>
      </c>
      <c r="J38" s="30" t="n">
        <f aca="false">IF(AND(Projects!$G$29="Yes",J$3&gt;=Projects!$C$29,J$3&lt;Projects!$C$29+Projects!$D$29),Projects!$B$29*INDEX(Curves!$B$4:$AR$4,1,J$3-Projects!$C$29+1),0)-IF(AND(Projects!$G$29="Yes",J$3&gt;=Projects!$C$29,J$3&lt;Projects!$C$29+Projects!$D$29),Projects!$B$29*(Assumptions!$B$10+Assumptions!$B$11+Assumptions!$B$12)/Projects!$D$29*0.95,0)-IF(AND(Projects!$G$29="Yes",J$3=Projects!$C$29+Projects!$D$29-1),Projects!$B$29*(Assumptions!$B$10+Assumptions!$B$11+Assumptions!$B$12)*0.05,0)</f>
        <v>0</v>
      </c>
      <c r="K38" s="30" t="n">
        <f aca="false">IF(AND(Projects!$G$29="Yes",K$3&gt;=Projects!$C$29,K$3&lt;Projects!$C$29+Projects!$D$29),Projects!$B$29*INDEX(Curves!$B$4:$AR$4,1,K$3-Projects!$C$29+1),0)-IF(AND(Projects!$G$29="Yes",K$3&gt;=Projects!$C$29,K$3&lt;Projects!$C$29+Projects!$D$29),Projects!$B$29*(Assumptions!$B$10+Assumptions!$B$11+Assumptions!$B$12)/Projects!$D$29*0.95,0)-IF(AND(Projects!$G$29="Yes",K$3=Projects!$C$29+Projects!$D$29-1),Projects!$B$29*(Assumptions!$B$10+Assumptions!$B$11+Assumptions!$B$12)*0.05,0)</f>
        <v>0</v>
      </c>
      <c r="L38" s="30" t="n">
        <f aca="false">IF(AND(Projects!$G$29="Yes",L$3&gt;=Projects!$C$29,L$3&lt;Projects!$C$29+Projects!$D$29),Projects!$B$29*INDEX(Curves!$B$4:$AR$4,1,L$3-Projects!$C$29+1),0)-IF(AND(Projects!$G$29="Yes",L$3&gt;=Projects!$C$29,L$3&lt;Projects!$C$29+Projects!$D$29),Projects!$B$29*(Assumptions!$B$10+Assumptions!$B$11+Assumptions!$B$12)/Projects!$D$29*0.95,0)-IF(AND(Projects!$G$29="Yes",L$3=Projects!$C$29+Projects!$D$29-1),Projects!$B$29*(Assumptions!$B$10+Assumptions!$B$11+Assumptions!$B$12)*0.05,0)</f>
        <v>0</v>
      </c>
      <c r="M38" s="30" t="n">
        <f aca="false">IF(AND(Projects!$G$29="Yes",M$3&gt;=Projects!$C$29,M$3&lt;Projects!$C$29+Projects!$D$29),Projects!$B$29*INDEX(Curves!$B$4:$AR$4,1,M$3-Projects!$C$29+1),0)-IF(AND(Projects!$G$29="Yes",M$3&gt;=Projects!$C$29,M$3&lt;Projects!$C$29+Projects!$D$29),Projects!$B$29*(Assumptions!$B$10+Assumptions!$B$11+Assumptions!$B$12)/Projects!$D$29*0.95,0)-IF(AND(Projects!$G$29="Yes",M$3=Projects!$C$29+Projects!$D$29-1),Projects!$B$29*(Assumptions!$B$10+Assumptions!$B$11+Assumptions!$B$12)*0.05,0)</f>
        <v>0</v>
      </c>
      <c r="N38" s="30" t="n">
        <f aca="false">IF(AND(Projects!$G$29="Yes",N$3&gt;=Projects!$C$29,N$3&lt;Projects!$C$29+Projects!$D$29),Projects!$B$29*INDEX(Curves!$B$4:$AR$4,1,N$3-Projects!$C$29+1),0)-IF(AND(Projects!$G$29="Yes",N$3&gt;=Projects!$C$29,N$3&lt;Projects!$C$29+Projects!$D$29),Projects!$B$29*(Assumptions!$B$10+Assumptions!$B$11+Assumptions!$B$12)/Projects!$D$29*0.95,0)-IF(AND(Projects!$G$29="Yes",N$3=Projects!$C$29+Projects!$D$29-1),Projects!$B$29*(Assumptions!$B$10+Assumptions!$B$11+Assumptions!$B$12)*0.05,0)</f>
        <v>0</v>
      </c>
      <c r="O38" s="30" t="n">
        <f aca="false">IF(AND(Projects!$G$29="Yes",O$3&gt;=Projects!$C$29,O$3&lt;Projects!$C$29+Projects!$D$29),Projects!$B$29*INDEX(Curves!$B$4:$AR$4,1,O$3-Projects!$C$29+1),0)-IF(AND(Projects!$G$29="Yes",O$3&gt;=Projects!$C$29,O$3&lt;Projects!$C$29+Projects!$D$29),Projects!$B$29*(Assumptions!$B$10+Assumptions!$B$11+Assumptions!$B$12)/Projects!$D$29*0.95,0)-IF(AND(Projects!$G$29="Yes",O$3=Projects!$C$29+Projects!$D$29-1),Projects!$B$29*(Assumptions!$B$10+Assumptions!$B$11+Assumptions!$B$12)*0.05,0)</f>
        <v>0</v>
      </c>
      <c r="P38" s="30" t="n">
        <f aca="false">IF(AND(Projects!$G$29="Yes",P$3&gt;=Projects!$C$29,P$3&lt;Projects!$C$29+Projects!$D$29),Projects!$B$29*INDEX(Curves!$B$4:$AR$4,1,P$3-Projects!$C$29+1),0)-IF(AND(Projects!$G$29="Yes",P$3&gt;=Projects!$C$29,P$3&lt;Projects!$C$29+Projects!$D$29),Projects!$B$29*(Assumptions!$B$10+Assumptions!$B$11+Assumptions!$B$12)/Projects!$D$29*0.95,0)-IF(AND(Projects!$G$29="Yes",P$3=Projects!$C$29+Projects!$D$29-1),Projects!$B$29*(Assumptions!$B$10+Assumptions!$B$11+Assumptions!$B$12)*0.05,0)</f>
        <v>0</v>
      </c>
      <c r="Q38" s="30" t="n">
        <f aca="false">IF(AND(Projects!$G$29="Yes",Q$3&gt;=Projects!$C$29,Q$3&lt;Projects!$C$29+Projects!$D$29),Projects!$B$29*INDEX(Curves!$B$4:$AR$4,1,Q$3-Projects!$C$29+1),0)-IF(AND(Projects!$G$29="Yes",Q$3&gt;=Projects!$C$29,Q$3&lt;Projects!$C$29+Projects!$D$29),Projects!$B$29*(Assumptions!$B$10+Assumptions!$B$11+Assumptions!$B$12)/Projects!$D$29*0.95,0)-IF(AND(Projects!$G$29="Yes",Q$3=Projects!$C$29+Projects!$D$29-1),Projects!$B$29*(Assumptions!$B$10+Assumptions!$B$11+Assumptions!$B$12)*0.05,0)</f>
        <v>0</v>
      </c>
      <c r="R38" s="30" t="n">
        <f aca="false">IF(AND(Projects!$G$29="Yes",R$3&gt;=Projects!$C$29,R$3&lt;Projects!$C$29+Projects!$D$29),Projects!$B$29*INDEX(Curves!$B$4:$AR$4,1,R$3-Projects!$C$29+1),0)-IF(AND(Projects!$G$29="Yes",R$3&gt;=Projects!$C$29,R$3&lt;Projects!$C$29+Projects!$D$29),Projects!$B$29*(Assumptions!$B$10+Assumptions!$B$11+Assumptions!$B$12)/Projects!$D$29*0.95,0)-IF(AND(Projects!$G$29="Yes",R$3=Projects!$C$29+Projects!$D$29-1),Projects!$B$29*(Assumptions!$B$10+Assumptions!$B$11+Assumptions!$B$12)*0.05,0)</f>
        <v>0</v>
      </c>
      <c r="S38" s="30" t="n">
        <f aca="false">IF(AND(Projects!$G$29="Yes",S$3&gt;=Projects!$C$29,S$3&lt;Projects!$C$29+Projects!$D$29),Projects!$B$29*INDEX(Curves!$B$4:$AR$4,1,S$3-Projects!$C$29+1),0)-IF(AND(Projects!$G$29="Yes",S$3&gt;=Projects!$C$29,S$3&lt;Projects!$C$29+Projects!$D$29),Projects!$B$29*(Assumptions!$B$10+Assumptions!$B$11+Assumptions!$B$12)/Projects!$D$29*0.95,0)-IF(AND(Projects!$G$29="Yes",S$3=Projects!$C$29+Projects!$D$29-1),Projects!$B$29*(Assumptions!$B$10+Assumptions!$B$11+Assumptions!$B$12)*0.05,0)</f>
        <v>0</v>
      </c>
      <c r="T38" s="30" t="n">
        <f aca="false">IF(AND(Projects!$G$29="Yes",T$3&gt;=Projects!$C$29,T$3&lt;Projects!$C$29+Projects!$D$29),Projects!$B$29*INDEX(Curves!$B$4:$AR$4,1,T$3-Projects!$C$29+1),0)-IF(AND(Projects!$G$29="Yes",T$3&gt;=Projects!$C$29,T$3&lt;Projects!$C$29+Projects!$D$29),Projects!$B$29*(Assumptions!$B$10+Assumptions!$B$11+Assumptions!$B$12)/Projects!$D$29*0.95,0)-IF(AND(Projects!$G$29="Yes",T$3=Projects!$C$29+Projects!$D$29-1),Projects!$B$29*(Assumptions!$B$10+Assumptions!$B$11+Assumptions!$B$12)*0.05,0)</f>
        <v>0</v>
      </c>
      <c r="U38" s="30" t="n">
        <f aca="false">IF(AND(Projects!$G$29="Yes",U$3&gt;=Projects!$C$29,U$3&lt;Projects!$C$29+Projects!$D$29),Projects!$B$29*INDEX(Curves!$B$4:$AR$4,1,U$3-Projects!$C$29+1),0)-IF(AND(Projects!$G$29="Yes",U$3&gt;=Projects!$C$29,U$3&lt;Projects!$C$29+Projects!$D$29),Projects!$B$29*(Assumptions!$B$10+Assumptions!$B$11+Assumptions!$B$12)/Projects!$D$29*0.95,0)-IF(AND(Projects!$G$29="Yes",U$3=Projects!$C$29+Projects!$D$29-1),Projects!$B$29*(Assumptions!$B$10+Assumptions!$B$11+Assumptions!$B$12)*0.05,0)</f>
        <v>0</v>
      </c>
      <c r="V38" s="30" t="n">
        <f aca="false">IF(AND(Projects!$G$29="Yes",V$3&gt;=Projects!$C$29,V$3&lt;Projects!$C$29+Projects!$D$29),Projects!$B$29*INDEX(Curves!$B$4:$AR$4,1,V$3-Projects!$C$29+1),0)-IF(AND(Projects!$G$29="Yes",V$3&gt;=Projects!$C$29,V$3&lt;Projects!$C$29+Projects!$D$29),Projects!$B$29*(Assumptions!$B$10+Assumptions!$B$11+Assumptions!$B$12)/Projects!$D$29*0.95,0)-IF(AND(Projects!$G$29="Yes",V$3=Projects!$C$29+Projects!$D$29-1),Projects!$B$29*(Assumptions!$B$10+Assumptions!$B$11+Assumptions!$B$12)*0.05,0)</f>
        <v>0</v>
      </c>
      <c r="W38" s="30" t="n">
        <f aca="false">IF(AND(Projects!$G$29="Yes",W$3&gt;=Projects!$C$29,W$3&lt;Projects!$C$29+Projects!$D$29),Projects!$B$29*INDEX(Curves!$B$4:$AR$4,1,W$3-Projects!$C$29+1),0)-IF(AND(Projects!$G$29="Yes",W$3&gt;=Projects!$C$29,W$3&lt;Projects!$C$29+Projects!$D$29),Projects!$B$29*(Assumptions!$B$10+Assumptions!$B$11+Assumptions!$B$12)/Projects!$D$29*0.95,0)-IF(AND(Projects!$G$29="Yes",W$3=Projects!$C$29+Projects!$D$29-1),Projects!$B$29*(Assumptions!$B$10+Assumptions!$B$11+Assumptions!$B$12)*0.05,0)</f>
        <v>0</v>
      </c>
      <c r="X38" s="30" t="n">
        <f aca="false">IF(AND(Projects!$G$29="Yes",X$3&gt;=Projects!$C$29,X$3&lt;Projects!$C$29+Projects!$D$29),Projects!$B$29*INDEX(Curves!$B$4:$AR$4,1,X$3-Projects!$C$29+1),0)-IF(AND(Projects!$G$29="Yes",X$3&gt;=Projects!$C$29,X$3&lt;Projects!$C$29+Projects!$D$29),Projects!$B$29*(Assumptions!$B$10+Assumptions!$B$11+Assumptions!$B$12)/Projects!$D$29*0.95,0)-IF(AND(Projects!$G$29="Yes",X$3=Projects!$C$29+Projects!$D$29-1),Projects!$B$29*(Assumptions!$B$10+Assumptions!$B$11+Assumptions!$B$12)*0.05,0)</f>
        <v>0</v>
      </c>
      <c r="Y38" s="30" t="n">
        <f aca="false">IF(AND(Projects!$G$29="Yes",Y$3&gt;=Projects!$C$29,Y$3&lt;Projects!$C$29+Projects!$D$29),Projects!$B$29*INDEX(Curves!$B$4:$AR$4,1,Y$3-Projects!$C$29+1),0)-IF(AND(Projects!$G$29="Yes",Y$3&gt;=Projects!$C$29,Y$3&lt;Projects!$C$29+Projects!$D$29),Projects!$B$29*(Assumptions!$B$10+Assumptions!$B$11+Assumptions!$B$12)/Projects!$D$29*0.95,0)-IF(AND(Projects!$G$29="Yes",Y$3=Projects!$C$29+Projects!$D$29-1),Projects!$B$29*(Assumptions!$B$10+Assumptions!$B$11+Assumptions!$B$12)*0.05,0)</f>
        <v>0</v>
      </c>
      <c r="Z38" s="30" t="n">
        <f aca="false">IF(AND(Projects!$G$29="Yes",Z$3&gt;=Projects!$C$29,Z$3&lt;Projects!$C$29+Projects!$D$29),Projects!$B$29*INDEX(Curves!$B$4:$AR$4,1,Z$3-Projects!$C$29+1),0)-IF(AND(Projects!$G$29="Yes",Z$3&gt;=Projects!$C$29,Z$3&lt;Projects!$C$29+Projects!$D$29),Projects!$B$29*(Assumptions!$B$10+Assumptions!$B$11+Assumptions!$B$12)/Projects!$D$29*0.95,0)-IF(AND(Projects!$G$29="Yes",Z$3=Projects!$C$29+Projects!$D$29-1),Projects!$B$29*(Assumptions!$B$10+Assumptions!$B$11+Assumptions!$B$12)*0.05,0)</f>
        <v>0</v>
      </c>
      <c r="AA38" s="30" t="n">
        <f aca="false">IF(AND(Projects!$G$29="Yes",AA$3&gt;=Projects!$C$29,AA$3&lt;Projects!$C$29+Projects!$D$29),Projects!$B$29*INDEX(Curves!$B$4:$AR$4,1,AA$3-Projects!$C$29+1),0)-IF(AND(Projects!$G$29="Yes",AA$3&gt;=Projects!$C$29,AA$3&lt;Projects!$C$29+Projects!$D$29),Projects!$B$29*(Assumptions!$B$10+Assumptions!$B$11+Assumptions!$B$12)/Projects!$D$29*0.95,0)-IF(AND(Projects!$G$29="Yes",AA$3=Projects!$C$29+Projects!$D$29-1),Projects!$B$29*(Assumptions!$B$10+Assumptions!$B$11+Assumptions!$B$12)*0.05,0)</f>
        <v>0</v>
      </c>
      <c r="AB38" s="30" t="n">
        <f aca="false">IF(AND(Projects!$G$29="Yes",AB$3&gt;=Projects!$C$29,AB$3&lt;Projects!$C$29+Projects!$D$29),Projects!$B$29*INDEX(Curves!$B$4:$AR$4,1,AB$3-Projects!$C$29+1),0)-IF(AND(Projects!$G$29="Yes",AB$3&gt;=Projects!$C$29,AB$3&lt;Projects!$C$29+Projects!$D$29),Projects!$B$29*(Assumptions!$B$10+Assumptions!$B$11+Assumptions!$B$12)/Projects!$D$29*0.95,0)-IF(AND(Projects!$G$29="Yes",AB$3=Projects!$C$29+Projects!$D$29-1),Projects!$B$29*(Assumptions!$B$10+Assumptions!$B$11+Assumptions!$B$12)*0.05,0)</f>
        <v>0</v>
      </c>
      <c r="AC38" s="30" t="n">
        <f aca="false">IF(AND(Projects!$G$29="Yes",AC$3&gt;=Projects!$C$29,AC$3&lt;Projects!$C$29+Projects!$D$29),Projects!$B$29*INDEX(Curves!$B$4:$AR$4,1,AC$3-Projects!$C$29+1),0)-IF(AND(Projects!$G$29="Yes",AC$3&gt;=Projects!$C$29,AC$3&lt;Projects!$C$29+Projects!$D$29),Projects!$B$29*(Assumptions!$B$10+Assumptions!$B$11+Assumptions!$B$12)/Projects!$D$29*0.95,0)-IF(AND(Projects!$G$29="Yes",AC$3=Projects!$C$29+Projects!$D$29-1),Projects!$B$29*(Assumptions!$B$10+Assumptions!$B$11+Assumptions!$B$12)*0.05,0)</f>
        <v>0</v>
      </c>
      <c r="AD38" s="30" t="n">
        <f aca="false">IF(AND(Projects!$G$29="Yes",AD$3&gt;=Projects!$C$29,AD$3&lt;Projects!$C$29+Projects!$D$29),Projects!$B$29*INDEX(Curves!$B$4:$AR$4,1,AD$3-Projects!$C$29+1),0)-IF(AND(Projects!$G$29="Yes",AD$3&gt;=Projects!$C$29,AD$3&lt;Projects!$C$29+Projects!$D$29),Projects!$B$29*(Assumptions!$B$10+Assumptions!$B$11+Assumptions!$B$12)/Projects!$D$29*0.95,0)-IF(AND(Projects!$G$29="Yes",AD$3=Projects!$C$29+Projects!$D$29-1),Projects!$B$29*(Assumptions!$B$10+Assumptions!$B$11+Assumptions!$B$12)*0.05,0)</f>
        <v>0</v>
      </c>
      <c r="AE38" s="30" t="n">
        <f aca="false">IF(AND(Projects!$G$29="Yes",AE$3&gt;=Projects!$C$29,AE$3&lt;Projects!$C$29+Projects!$D$29),Projects!$B$29*INDEX(Curves!$B$4:$AR$4,1,AE$3-Projects!$C$29+1),0)-IF(AND(Projects!$G$29="Yes",AE$3&gt;=Projects!$C$29,AE$3&lt;Projects!$C$29+Projects!$D$29),Projects!$B$29*(Assumptions!$B$10+Assumptions!$B$11+Assumptions!$B$12)/Projects!$D$29*0.95,0)-IF(AND(Projects!$G$29="Yes",AE$3=Projects!$C$29+Projects!$D$29-1),Projects!$B$29*(Assumptions!$B$10+Assumptions!$B$11+Assumptions!$B$12)*0.05,0)</f>
        <v>0</v>
      </c>
      <c r="AF38" s="30" t="n">
        <f aca="false">IF(AND(Projects!$G$29="Yes",AF$3&gt;=Projects!$C$29,AF$3&lt;Projects!$C$29+Projects!$D$29),Projects!$B$29*INDEX(Curves!$B$4:$AR$4,1,AF$3-Projects!$C$29+1),0)-IF(AND(Projects!$G$29="Yes",AF$3&gt;=Projects!$C$29,AF$3&lt;Projects!$C$29+Projects!$D$29),Projects!$B$29*(Assumptions!$B$10+Assumptions!$B$11+Assumptions!$B$12)/Projects!$D$29*0.95,0)-IF(AND(Projects!$G$29="Yes",AF$3=Projects!$C$29+Projects!$D$29-1),Projects!$B$29*(Assumptions!$B$10+Assumptions!$B$11+Assumptions!$B$12)*0.05,0)</f>
        <v>0</v>
      </c>
      <c r="AG38" s="30" t="n">
        <f aca="false">IF(AND(Projects!$G$29="Yes",AG$3&gt;=Projects!$C$29,AG$3&lt;Projects!$C$29+Projects!$D$29),Projects!$B$29*INDEX(Curves!$B$4:$AR$4,1,AG$3-Projects!$C$29+1),0)-IF(AND(Projects!$G$29="Yes",AG$3&gt;=Projects!$C$29,AG$3&lt;Projects!$C$29+Projects!$D$29),Projects!$B$29*(Assumptions!$B$10+Assumptions!$B$11+Assumptions!$B$12)/Projects!$D$29*0.95,0)-IF(AND(Projects!$G$29="Yes",AG$3=Projects!$C$29+Projects!$D$29-1),Projects!$B$29*(Assumptions!$B$10+Assumptions!$B$11+Assumptions!$B$12)*0.05,0)</f>
        <v>0</v>
      </c>
      <c r="AH38" s="30" t="n">
        <f aca="false">IF(AND(Projects!$G$29="Yes",AH$3&gt;=Projects!$C$29,AH$3&lt;Projects!$C$29+Projects!$D$29),Projects!$B$29*INDEX(Curves!$B$4:$AR$4,1,AH$3-Projects!$C$29+1),0)-IF(AND(Projects!$G$29="Yes",AH$3&gt;=Projects!$C$29,AH$3&lt;Projects!$C$29+Projects!$D$29),Projects!$B$29*(Assumptions!$B$10+Assumptions!$B$11+Assumptions!$B$12)/Projects!$D$29*0.95,0)-IF(AND(Projects!$G$29="Yes",AH$3=Projects!$C$29+Projects!$D$29-1),Projects!$B$29*(Assumptions!$B$10+Assumptions!$B$11+Assumptions!$B$12)*0.05,0)</f>
        <v>0</v>
      </c>
      <c r="AI38" s="30" t="n">
        <f aca="false">IF(AND(Projects!$G$29="Yes",AI$3&gt;=Projects!$C$29,AI$3&lt;Projects!$C$29+Projects!$D$29),Projects!$B$29*INDEX(Curves!$B$4:$AR$4,1,AI$3-Projects!$C$29+1),0)-IF(AND(Projects!$G$29="Yes",AI$3&gt;=Projects!$C$29,AI$3&lt;Projects!$C$29+Projects!$D$29),Projects!$B$29*(Assumptions!$B$10+Assumptions!$B$11+Assumptions!$B$12)/Projects!$D$29*0.95,0)-IF(AND(Projects!$G$29="Yes",AI$3=Projects!$C$29+Projects!$D$29-1),Projects!$B$29*(Assumptions!$B$10+Assumptions!$B$11+Assumptions!$B$12)*0.05,0)</f>
        <v>0</v>
      </c>
      <c r="AJ38" s="30" t="n">
        <f aca="false">IF(AND(Projects!$G$29="Yes",AJ$3&gt;=Projects!$C$29,AJ$3&lt;Projects!$C$29+Projects!$D$29),Projects!$B$29*INDEX(Curves!$B$4:$AR$4,1,AJ$3-Projects!$C$29+1),0)-IF(AND(Projects!$G$29="Yes",AJ$3&gt;=Projects!$C$29,AJ$3&lt;Projects!$C$29+Projects!$D$29),Projects!$B$29*(Assumptions!$B$10+Assumptions!$B$11+Assumptions!$B$12)/Projects!$D$29*0.95,0)-IF(AND(Projects!$G$29="Yes",AJ$3=Projects!$C$29+Projects!$D$29-1),Projects!$B$29*(Assumptions!$B$10+Assumptions!$B$11+Assumptions!$B$12)*0.05,0)</f>
        <v>0</v>
      </c>
      <c r="AK38" s="30" t="n">
        <f aca="false">IF(AND(Projects!$G$29="Yes",AK$3&gt;=Projects!$C$29,AK$3&lt;Projects!$C$29+Projects!$D$29),Projects!$B$29*INDEX(Curves!$B$4:$AR$4,1,AK$3-Projects!$C$29+1),0)-IF(AND(Projects!$G$29="Yes",AK$3&gt;=Projects!$C$29,AK$3&lt;Projects!$C$29+Projects!$D$29),Projects!$B$29*(Assumptions!$B$10+Assumptions!$B$11+Assumptions!$B$12)/Projects!$D$29*0.95,0)-IF(AND(Projects!$G$29="Yes",AK$3=Projects!$C$29+Projects!$D$29-1),Projects!$B$29*(Assumptions!$B$10+Assumptions!$B$11+Assumptions!$B$12)*0.05,0)</f>
        <v>0</v>
      </c>
      <c r="AL38" s="30" t="n">
        <f aca="false">IF(AND(Projects!$G$29="Yes",AL$3&gt;=Projects!$C$29,AL$3&lt;Projects!$C$29+Projects!$D$29),Projects!$B$29*INDEX(Curves!$B$4:$AR$4,1,AL$3-Projects!$C$29+1),0)-IF(AND(Projects!$G$29="Yes",AL$3&gt;=Projects!$C$29,AL$3&lt;Projects!$C$29+Projects!$D$29),Projects!$B$29*(Assumptions!$B$10+Assumptions!$B$11+Assumptions!$B$12)/Projects!$D$29*0.95,0)-IF(AND(Projects!$G$29="Yes",AL$3=Projects!$C$29+Projects!$D$29-1),Projects!$B$29*(Assumptions!$B$10+Assumptions!$B$11+Assumptions!$B$12)*0.05,0)</f>
        <v>0</v>
      </c>
      <c r="AM38" s="30" t="n">
        <f aca="false">IF(AND(Projects!$G$29="Yes",AM$3&gt;=Projects!$C$29,AM$3&lt;Projects!$C$29+Projects!$D$29),Projects!$B$29*INDEX(Curves!$B$4:$AR$4,1,AM$3-Projects!$C$29+1),0)-IF(AND(Projects!$G$29="Yes",AM$3&gt;=Projects!$C$29,AM$3&lt;Projects!$C$29+Projects!$D$29),Projects!$B$29*(Assumptions!$B$10+Assumptions!$B$11+Assumptions!$B$12)/Projects!$D$29*0.95,0)-IF(AND(Projects!$G$29="Yes",AM$3=Projects!$C$29+Projects!$D$29-1),Projects!$B$29*(Assumptions!$B$10+Assumptions!$B$11+Assumptions!$B$12)*0.05,0)</f>
        <v>0</v>
      </c>
      <c r="AN38" s="30" t="n">
        <f aca="false">IF(AND(Projects!$G$29="Yes",AN$3&gt;=Projects!$C$29,AN$3&lt;Projects!$C$29+Projects!$D$29),Projects!$B$29*INDEX(Curves!$B$4:$AR$4,1,AN$3-Projects!$C$29+1),0)-IF(AND(Projects!$G$29="Yes",AN$3&gt;=Projects!$C$29,AN$3&lt;Projects!$C$29+Projects!$D$29),Projects!$B$29*(Assumptions!$B$10+Assumptions!$B$11+Assumptions!$B$12)/Projects!$D$29*0.95,0)-IF(AND(Projects!$G$29="Yes",AN$3=Projects!$C$29+Projects!$D$29-1),Projects!$B$29*(Assumptions!$B$10+Assumptions!$B$11+Assumptions!$B$12)*0.05,0)</f>
        <v>0</v>
      </c>
      <c r="AO38" s="30" t="n">
        <f aca="false">IF(AND(Projects!$G$29="Yes",AO$3&gt;=Projects!$C$29,AO$3&lt;Projects!$C$29+Projects!$D$29),Projects!$B$29*INDEX(Curves!$B$4:$AR$4,1,AO$3-Projects!$C$29+1),0)-IF(AND(Projects!$G$29="Yes",AO$3&gt;=Projects!$C$29,AO$3&lt;Projects!$C$29+Projects!$D$29),Projects!$B$29*(Assumptions!$B$10+Assumptions!$B$11+Assumptions!$B$12)/Projects!$D$29*0.95,0)-IF(AND(Projects!$G$29="Yes",AO$3=Projects!$C$29+Projects!$D$29-1),Projects!$B$29*(Assumptions!$B$10+Assumptions!$B$11+Assumptions!$B$12)*0.05,0)</f>
        <v>0</v>
      </c>
      <c r="AP38" s="30" t="n">
        <f aca="false">IF(AND(Projects!$G$29="Yes",AP$3&gt;=Projects!$C$29,AP$3&lt;Projects!$C$29+Projects!$D$29),Projects!$B$29*INDEX(Curves!$B$4:$AR$4,1,AP$3-Projects!$C$29+1),0)-IF(AND(Projects!$G$29="Yes",AP$3&gt;=Projects!$C$29,AP$3&lt;Projects!$C$29+Projects!$D$29),Projects!$B$29*(Assumptions!$B$10+Assumptions!$B$11+Assumptions!$B$12)/Projects!$D$29*0.95,0)-IF(AND(Projects!$G$29="Yes",AP$3=Projects!$C$29+Projects!$D$29-1),Projects!$B$29*(Assumptions!$B$10+Assumptions!$B$11+Assumptions!$B$12)*0.05,0)</f>
        <v>0</v>
      </c>
      <c r="AQ38" s="30" t="n">
        <f aca="false">IF(AND(Projects!$G$29="Yes",AQ$3&gt;=Projects!$C$29,AQ$3&lt;Projects!$C$29+Projects!$D$29),Projects!$B$29*INDEX(Curves!$B$4:$AR$4,1,AQ$3-Projects!$C$29+1),0)-IF(AND(Projects!$G$29="Yes",AQ$3&gt;=Projects!$C$29,AQ$3&lt;Projects!$C$29+Projects!$D$29),Projects!$B$29*(Assumptions!$B$10+Assumptions!$B$11+Assumptions!$B$12)/Projects!$D$29*0.95,0)-IF(AND(Projects!$G$29="Yes",AQ$3=Projects!$C$29+Projects!$D$29-1),Projects!$B$29*(Assumptions!$B$10+Assumptions!$B$11+Assumptions!$B$12)*0.05,0)</f>
        <v>0</v>
      </c>
      <c r="AR38" s="30" t="n">
        <f aca="false">IF(AND(Projects!$G$29="Yes",AR$3&gt;=Projects!$C$29,AR$3&lt;Projects!$C$29+Projects!$D$29),Projects!$B$29*INDEX(Curves!$B$4:$AR$4,1,AR$3-Projects!$C$29+1),0)-IF(AND(Projects!$G$29="Yes",AR$3&gt;=Projects!$C$29,AR$3&lt;Projects!$C$29+Projects!$D$29),Projects!$B$29*(Assumptions!$B$10+Assumptions!$B$11+Assumptions!$B$12)/Projects!$D$29*0.95,0)-IF(AND(Projects!$G$29="Yes",AR$3=Projects!$C$29+Projects!$D$29-1),Projects!$B$29*(Assumptions!$B$10+Assumptions!$B$11+Assumptions!$B$12)*0.05,0)</f>
        <v>0</v>
      </c>
      <c r="AS38" s="30" t="n">
        <f aca="false">IF(AND(Projects!$G$29="Yes",AS$3&gt;=Projects!$C$29,AS$3&lt;Projects!$C$29+Projects!$D$29),Projects!$B$29*INDEX(Curves!$B$4:$AR$4,1,AS$3-Projects!$C$29+1),0)-IF(AND(Projects!$G$29="Yes",AS$3&gt;=Projects!$C$29,AS$3&lt;Projects!$C$29+Projects!$D$29),Projects!$B$29*(Assumptions!$B$10+Assumptions!$B$11+Assumptions!$B$12)/Projects!$D$29*0.95,0)-IF(AND(Projects!$G$29="Yes",AS$3=Projects!$C$29+Projects!$D$29-1),Projects!$B$29*(Assumptions!$B$10+Assumptions!$B$11+Assumptions!$B$12)*0.05,0)</f>
        <v>0</v>
      </c>
      <c r="AT38" s="30" t="n">
        <f aca="false">IF(AND(Projects!$G$29="Yes",AT$3&gt;=Projects!$C$29,AT$3&lt;Projects!$C$29+Projects!$D$29),Projects!$B$29*INDEX(Curves!$B$4:$AR$4,1,AT$3-Projects!$C$29+1),0)-IF(AND(Projects!$G$29="Yes",AT$3&gt;=Projects!$C$29,AT$3&lt;Projects!$C$29+Projects!$D$29),Projects!$B$29*(Assumptions!$B$10+Assumptions!$B$11+Assumptions!$B$12)/Projects!$D$29*0.95,0)-IF(AND(Projects!$G$29="Yes",AT$3=Projects!$C$29+Projects!$D$29-1),Projects!$B$29*(Assumptions!$B$10+Assumptions!$B$11+Assumptions!$B$12)*0.05,0)</f>
        <v>0</v>
      </c>
      <c r="AU38" s="30" t="n">
        <f aca="false">IF(AND(Projects!$G$29="Yes",AU$3&gt;=Projects!$C$29,AU$3&lt;Projects!$C$29+Projects!$D$29),Projects!$B$29*INDEX(Curves!$B$4:$AR$4,1,AU$3-Projects!$C$29+1),0)-IF(AND(Projects!$G$29="Yes",AU$3&gt;=Projects!$C$29,AU$3&lt;Projects!$C$29+Projects!$D$29),Projects!$B$29*(Assumptions!$B$10+Assumptions!$B$11+Assumptions!$B$12)/Projects!$D$29*0.95,0)-IF(AND(Projects!$G$29="Yes",AU$3=Projects!$C$29+Projects!$D$29-1),Projects!$B$29*(Assumptions!$B$10+Assumptions!$B$11+Assumptions!$B$12)*0.05,0)</f>
        <v>0</v>
      </c>
      <c r="AV38" s="30" t="n">
        <f aca="false">IF(AND(Projects!$G$29="Yes",AV$3&gt;=Projects!$C$29,AV$3&lt;Projects!$C$29+Projects!$D$29),Projects!$B$29*INDEX(Curves!$B$4:$AR$4,1,AV$3-Projects!$C$29+1),0)-IF(AND(Projects!$G$29="Yes",AV$3&gt;=Projects!$C$29,AV$3&lt;Projects!$C$29+Projects!$D$29),Projects!$B$29*(Assumptions!$B$10+Assumptions!$B$11+Assumptions!$B$12)/Projects!$D$29*0.95,0)-IF(AND(Projects!$G$29="Yes",AV$3=Projects!$C$29+Projects!$D$29-1),Projects!$B$29*(Assumptions!$B$10+Assumptions!$B$11+Assumptions!$B$12)*0.05,0)</f>
        <v>0</v>
      </c>
      <c r="AW38" s="30" t="n">
        <f aca="false">IF(AND(Projects!$G$29="Yes",AW$3&gt;=Projects!$C$29,AW$3&lt;Projects!$C$29+Projects!$D$29),Projects!$B$29*INDEX(Curves!$B$4:$AR$4,1,AW$3-Projects!$C$29+1),0)-IF(AND(Projects!$G$29="Yes",AW$3&gt;=Projects!$C$29,AW$3&lt;Projects!$C$29+Projects!$D$29),Projects!$B$29*(Assumptions!$B$10+Assumptions!$B$11+Assumptions!$B$12)/Projects!$D$29*0.95,0)-IF(AND(Projects!$G$29="Yes",AW$3=Projects!$C$29+Projects!$D$29-1),Projects!$B$29*(Assumptions!$B$10+Assumptions!$B$11+Assumptions!$B$12)*0.05,0)</f>
        <v>0</v>
      </c>
      <c r="AX38" s="30" t="n">
        <f aca="false">IF(AND(Projects!$G$29="Yes",AX$3&gt;=Projects!$C$29,AX$3&lt;Projects!$C$29+Projects!$D$29),Projects!$B$29*INDEX(Curves!$B$4:$AR$4,1,AX$3-Projects!$C$29+1),0)-IF(AND(Projects!$G$29="Yes",AX$3&gt;=Projects!$C$29,AX$3&lt;Projects!$C$29+Projects!$D$29),Projects!$B$29*(Assumptions!$B$10+Assumptions!$B$11+Assumptions!$B$12)/Projects!$D$29*0.95,0)-IF(AND(Projects!$G$29="Yes",AX$3=Projects!$C$29+Projects!$D$29-1),Projects!$B$29*(Assumptions!$B$10+Assumptions!$B$11+Assumptions!$B$12)*0.05,0)</f>
        <v>0</v>
      </c>
      <c r="AY38" s="30" t="n">
        <f aca="false">IF(AND(Projects!$G$29="Yes",AY$3&gt;=Projects!$C$29,AY$3&lt;Projects!$C$29+Projects!$D$29),Projects!$B$29*INDEX(Curves!$B$4:$AR$4,1,AY$3-Projects!$C$29+1),0)-IF(AND(Projects!$G$29="Yes",AY$3&gt;=Projects!$C$29,AY$3&lt;Projects!$C$29+Projects!$D$29),Projects!$B$29*(Assumptions!$B$10+Assumptions!$B$11+Assumptions!$B$12)/Projects!$D$29*0.95,0)-IF(AND(Projects!$G$29="Yes",AY$3=Projects!$C$29+Projects!$D$29-1),Projects!$B$29*(Assumptions!$B$10+Assumptions!$B$11+Assumptions!$B$12)*0.05,0)</f>
        <v>0</v>
      </c>
      <c r="AZ38" s="30" t="n">
        <f aca="false">IF(AND(Projects!$G$29="Yes",AZ$3&gt;=Projects!$C$29,AZ$3&lt;Projects!$C$29+Projects!$D$29),Projects!$B$29*INDEX(Curves!$B$4:$AR$4,1,AZ$3-Projects!$C$29+1),0)-IF(AND(Projects!$G$29="Yes",AZ$3&gt;=Projects!$C$29,AZ$3&lt;Projects!$C$29+Projects!$D$29),Projects!$B$29*(Assumptions!$B$10+Assumptions!$B$11+Assumptions!$B$12)/Projects!$D$29*0.95,0)-IF(AND(Projects!$G$29="Yes",AZ$3=Projects!$C$29+Projects!$D$29-1),Projects!$B$29*(Assumptions!$B$10+Assumptions!$B$11+Assumptions!$B$12)*0.05,0)</f>
        <v>0</v>
      </c>
      <c r="BA38" s="30" t="n">
        <f aca="false">IF(AND(Projects!$G$29="Yes",BA$3&gt;=Projects!$C$29,BA$3&lt;Projects!$C$29+Projects!$D$29),Projects!$B$29*INDEX(Curves!$B$4:$AR$4,1,BA$3-Projects!$C$29+1),0)-IF(AND(Projects!$G$29="Yes",BA$3&gt;=Projects!$C$29,BA$3&lt;Projects!$C$29+Projects!$D$29),Projects!$B$29*(Assumptions!$B$10+Assumptions!$B$11+Assumptions!$B$12)/Projects!$D$29*0.95,0)-IF(AND(Projects!$G$29="Yes",BA$3=Projects!$C$29+Projects!$D$29-1),Projects!$B$29*(Assumptions!$B$10+Assumptions!$B$11+Assumptions!$B$12)*0.05,0)</f>
        <v>0</v>
      </c>
      <c r="BB38" s="30" t="n">
        <f aca="false">IF(AND(Projects!$G$29="Yes",BB$3&gt;=Projects!$C$29,BB$3&lt;Projects!$C$29+Projects!$D$29),Projects!$B$29*INDEX(Curves!$B$4:$AR$4,1,BB$3-Projects!$C$29+1),0)-IF(AND(Projects!$G$29="Yes",BB$3&gt;=Projects!$C$29,BB$3&lt;Projects!$C$29+Projects!$D$29),Projects!$B$29*(Assumptions!$B$10+Assumptions!$B$11+Assumptions!$B$12)/Projects!$D$29*0.95,0)-IF(AND(Projects!$G$29="Yes",BB$3=Projects!$C$29+Projects!$D$29-1),Projects!$B$29*(Assumptions!$B$10+Assumptions!$B$11+Assumptions!$B$12)*0.05,0)</f>
        <v>0</v>
      </c>
      <c r="BC38" s="30" t="n">
        <f aca="false">IF(AND(Projects!$G$29="Yes",BC$3&gt;=Projects!$C$29,BC$3&lt;Projects!$C$29+Projects!$D$29),Projects!$B$29*INDEX(Curves!$B$4:$AR$4,1,BC$3-Projects!$C$29+1),0)-IF(AND(Projects!$G$29="Yes",BC$3&gt;=Projects!$C$29,BC$3&lt;Projects!$C$29+Projects!$D$29),Projects!$B$29*(Assumptions!$B$10+Assumptions!$B$11+Assumptions!$B$12)/Projects!$D$29*0.95,0)-IF(AND(Projects!$G$29="Yes",BC$3=Projects!$C$29+Projects!$D$29-1),Projects!$B$29*(Assumptions!$B$10+Assumptions!$B$11+Assumptions!$B$12)*0.05,0)</f>
        <v>0</v>
      </c>
      <c r="BD38" s="30" t="n">
        <f aca="false">IF(AND(Projects!$G$29="Yes",BD$3&gt;=Projects!$C$29,BD$3&lt;Projects!$C$29+Projects!$D$29),Projects!$B$29*INDEX(Curves!$B$4:$AR$4,1,BD$3-Projects!$C$29+1),0)-IF(AND(Projects!$G$29="Yes",BD$3&gt;=Projects!$C$29,BD$3&lt;Projects!$C$29+Projects!$D$29),Projects!$B$29*(Assumptions!$B$10+Assumptions!$B$11+Assumptions!$B$12)/Projects!$D$29*0.95,0)-IF(AND(Projects!$G$29="Yes",BD$3=Projects!$C$29+Projects!$D$29-1),Projects!$B$29*(Assumptions!$B$10+Assumptions!$B$11+Assumptions!$B$12)*0.05,0)</f>
        <v>0</v>
      </c>
      <c r="BE38" s="30" t="n">
        <f aca="false">IF(AND(Projects!$G$29="Yes",BE$3&gt;=Projects!$C$29,BE$3&lt;Projects!$C$29+Projects!$D$29),Projects!$B$29*INDEX(Curves!$B$4:$AR$4,1,BE$3-Projects!$C$29+1),0)-IF(AND(Projects!$G$29="Yes",BE$3&gt;=Projects!$C$29,BE$3&lt;Projects!$C$29+Projects!$D$29),Projects!$B$29*(Assumptions!$B$10+Assumptions!$B$11+Assumptions!$B$12)/Projects!$D$29*0.95,0)-IF(AND(Projects!$G$29="Yes",BE$3=Projects!$C$29+Projects!$D$29-1),Projects!$B$29*(Assumptions!$B$10+Assumptions!$B$11+Assumptions!$B$12)*0.05,0)</f>
        <v>0</v>
      </c>
      <c r="BF38" s="30" t="n">
        <f aca="false">IF(AND(Projects!$G$29="Yes",BF$3&gt;=Projects!$C$29,BF$3&lt;Projects!$C$29+Projects!$D$29),Projects!$B$29*INDEX(Curves!$B$4:$AR$4,1,BF$3-Projects!$C$29+1),0)-IF(AND(Projects!$G$29="Yes",BF$3&gt;=Projects!$C$29,BF$3&lt;Projects!$C$29+Projects!$D$29),Projects!$B$29*(Assumptions!$B$10+Assumptions!$B$11+Assumptions!$B$12)/Projects!$D$29*0.95,0)-IF(AND(Projects!$G$29="Yes",BF$3=Projects!$C$29+Projects!$D$29-1),Projects!$B$29*(Assumptions!$B$10+Assumptions!$B$11+Assumptions!$B$12)*0.05,0)</f>
        <v>0</v>
      </c>
      <c r="BG38" s="30" t="n">
        <f aca="false">IF(AND(Projects!$G$29="Yes",BG$3&gt;=Projects!$C$29,BG$3&lt;Projects!$C$29+Projects!$D$29),Projects!$B$29*INDEX(Curves!$B$4:$AR$4,1,BG$3-Projects!$C$29+1),0)-IF(AND(Projects!$G$29="Yes",BG$3&gt;=Projects!$C$29,BG$3&lt;Projects!$C$29+Projects!$D$29),Projects!$B$29*(Assumptions!$B$10+Assumptions!$B$11+Assumptions!$B$12)/Projects!$D$29*0.95,0)-IF(AND(Projects!$G$29="Yes",BG$3=Projects!$C$29+Projects!$D$29-1),Projects!$B$29*(Assumptions!$B$10+Assumptions!$B$11+Assumptions!$B$12)*0.05,0)</f>
        <v>0</v>
      </c>
      <c r="BH38" s="30" t="n">
        <f aca="false">IF(AND(Projects!$G$29="Yes",BH$3&gt;=Projects!$C$29,BH$3&lt;Projects!$C$29+Projects!$D$29),Projects!$B$29*INDEX(Curves!$B$4:$AR$4,1,BH$3-Projects!$C$29+1),0)-IF(AND(Projects!$G$29="Yes",BH$3&gt;=Projects!$C$29,BH$3&lt;Projects!$C$29+Projects!$D$29),Projects!$B$29*(Assumptions!$B$10+Assumptions!$B$11+Assumptions!$B$12)/Projects!$D$29*0.95,0)-IF(AND(Projects!$G$29="Yes",BH$3=Projects!$C$29+Projects!$D$29-1),Projects!$B$29*(Assumptions!$B$10+Assumptions!$B$11+Assumptions!$B$12)*0.05,0)</f>
        <v>0</v>
      </c>
      <c r="BI38" s="30" t="n">
        <f aca="false">IF(AND(Projects!$G$29="Yes",BI$3&gt;=Projects!$C$29,BI$3&lt;Projects!$C$29+Projects!$D$29),Projects!$B$29*INDEX(Curves!$B$4:$AR$4,1,BI$3-Projects!$C$29+1),0)-IF(AND(Projects!$G$29="Yes",BI$3&gt;=Projects!$C$29,BI$3&lt;Projects!$C$29+Projects!$D$29),Projects!$B$29*(Assumptions!$B$10+Assumptions!$B$11+Assumptions!$B$12)/Projects!$D$29*0.95,0)-IF(AND(Projects!$G$29="Yes",BI$3=Projects!$C$29+Projects!$D$29-1),Projects!$B$29*(Assumptions!$B$10+Assumptions!$B$11+Assumptions!$B$12)*0.05,0)</f>
        <v>0</v>
      </c>
      <c r="BJ38" s="30" t="n">
        <f aca="false">IF(AND(Projects!$G$29="Yes",BJ$3&gt;=Projects!$C$29,BJ$3&lt;Projects!$C$29+Projects!$D$29),Projects!$B$29*INDEX(Curves!$B$4:$AR$4,1,BJ$3-Projects!$C$29+1),0)-IF(AND(Projects!$G$29="Yes",BJ$3&gt;=Projects!$C$29,BJ$3&lt;Projects!$C$29+Projects!$D$29),Projects!$B$29*(Assumptions!$B$10+Assumptions!$B$11+Assumptions!$B$12)/Projects!$D$29*0.95,0)-IF(AND(Projects!$G$29="Yes",BJ$3=Projects!$C$29+Projects!$D$29-1),Projects!$B$29*(Assumptions!$B$10+Assumptions!$B$11+Assumptions!$B$12)*0.05,0)</f>
        <v>0</v>
      </c>
      <c r="BK38" s="30" t="n">
        <f aca="false">IF(AND(Projects!$G$29="Yes",BK$3&gt;=Projects!$C$29,BK$3&lt;Projects!$C$29+Projects!$D$29),Projects!$B$29*INDEX(Curves!$B$4:$AR$4,1,BK$3-Projects!$C$29+1),0)-IF(AND(Projects!$G$29="Yes",BK$3&gt;=Projects!$C$29,BK$3&lt;Projects!$C$29+Projects!$D$29),Projects!$B$29*(Assumptions!$B$10+Assumptions!$B$11+Assumptions!$B$12)/Projects!$D$29*0.95,0)-IF(AND(Projects!$G$29="Yes",BK$3=Projects!$C$29+Projects!$D$29-1),Projects!$B$29*(Assumptions!$B$10+Assumptions!$B$11+Assumptions!$B$12)*0.05,0)</f>
        <v>0</v>
      </c>
      <c r="BL38" s="30" t="n">
        <f aca="false">IF(AND(Projects!$G$29="Yes",BL$3&gt;=Projects!$C$29,BL$3&lt;Projects!$C$29+Projects!$D$29),Projects!$B$29*INDEX(Curves!$B$4:$AR$4,1,BL$3-Projects!$C$29+1),0)-IF(AND(Projects!$G$29="Yes",BL$3&gt;=Projects!$C$29,BL$3&lt;Projects!$C$29+Projects!$D$29),Projects!$B$29*(Assumptions!$B$10+Assumptions!$B$11+Assumptions!$B$12)/Projects!$D$29*0.95,0)-IF(AND(Projects!$G$29="Yes",BL$3=Projects!$C$29+Projects!$D$29-1),Projects!$B$29*(Assumptions!$B$10+Assumptions!$B$11+Assumptions!$B$12)*0.05,0)</f>
        <v>0</v>
      </c>
      <c r="BM38" s="30" t="n">
        <f aca="false">IF(AND(Projects!$G$29="Yes",BM$3&gt;=Projects!$C$29,BM$3&lt;Projects!$C$29+Projects!$D$29),Projects!$B$29*INDEX(Curves!$B$4:$AR$4,1,BM$3-Projects!$C$29+1),0)-IF(AND(Projects!$G$29="Yes",BM$3&gt;=Projects!$C$29,BM$3&lt;Projects!$C$29+Projects!$D$29),Projects!$B$29*(Assumptions!$B$10+Assumptions!$B$11+Assumptions!$B$12)/Projects!$D$29*0.95,0)-IF(AND(Projects!$G$29="Yes",BM$3=Projects!$C$29+Projects!$D$29-1),Projects!$B$29*(Assumptions!$B$10+Assumptions!$B$11+Assumptions!$B$12)*0.05,0)</f>
        <v>0</v>
      </c>
      <c r="BN38" s="30" t="n">
        <f aca="false">IF(AND(Projects!$G$29="Yes",BN$3&gt;=Projects!$C$29,BN$3&lt;Projects!$C$29+Projects!$D$29),Projects!$B$29*INDEX(Curves!$B$4:$AR$4,1,BN$3-Projects!$C$29+1),0)-IF(AND(Projects!$G$29="Yes",BN$3&gt;=Projects!$C$29,BN$3&lt;Projects!$C$29+Projects!$D$29),Projects!$B$29*(Assumptions!$B$10+Assumptions!$B$11+Assumptions!$B$12)/Projects!$D$29*0.95,0)-IF(AND(Projects!$G$29="Yes",BN$3=Projects!$C$29+Projects!$D$29-1),Projects!$B$29*(Assumptions!$B$10+Assumptions!$B$11+Assumptions!$B$12)*0.05,0)</f>
        <v>0</v>
      </c>
      <c r="BO38" s="30" t="n">
        <f aca="false">IF(AND(Projects!$G$29="Yes",BO$3&gt;=Projects!$C$29,BO$3&lt;Projects!$C$29+Projects!$D$29),Projects!$B$29*INDEX(Curves!$B$4:$AR$4,1,BO$3-Projects!$C$29+1),0)-IF(AND(Projects!$G$29="Yes",BO$3&gt;=Projects!$C$29,BO$3&lt;Projects!$C$29+Projects!$D$29),Projects!$B$29*(Assumptions!$B$10+Assumptions!$B$11+Assumptions!$B$12)/Projects!$D$29*0.95,0)-IF(AND(Projects!$G$29="Yes",BO$3=Projects!$C$29+Projects!$D$29-1),Projects!$B$29*(Assumptions!$B$10+Assumptions!$B$11+Assumptions!$B$12)*0.05,0)</f>
        <v>0</v>
      </c>
      <c r="BP38" s="30" t="n">
        <f aca="false">IF(AND(Projects!$G$29="Yes",BP$3&gt;=Projects!$C$29,BP$3&lt;Projects!$C$29+Projects!$D$29),Projects!$B$29*INDEX(Curves!$B$4:$AR$4,1,BP$3-Projects!$C$29+1),0)-IF(AND(Projects!$G$29="Yes",BP$3&gt;=Projects!$C$29,BP$3&lt;Projects!$C$29+Projects!$D$29),Projects!$B$29*(Assumptions!$B$10+Assumptions!$B$11+Assumptions!$B$12)/Projects!$D$29*0.95,0)-IF(AND(Projects!$G$29="Yes",BP$3=Projects!$C$29+Projects!$D$29-1),Projects!$B$29*(Assumptions!$B$10+Assumptions!$B$11+Assumptions!$B$12)*0.05,0)</f>
        <v>0</v>
      </c>
      <c r="BQ38" s="30" t="n">
        <f aca="false">IF(AND(Projects!$G$29="Yes",BQ$3&gt;=Projects!$C$29,BQ$3&lt;Projects!$C$29+Projects!$D$29),Projects!$B$29*INDEX(Curves!$B$4:$AR$4,1,BQ$3-Projects!$C$29+1),0)-IF(AND(Projects!$G$29="Yes",BQ$3&gt;=Projects!$C$29,BQ$3&lt;Projects!$C$29+Projects!$D$29),Projects!$B$29*(Assumptions!$B$10+Assumptions!$B$11+Assumptions!$B$12)/Projects!$D$29*0.95,0)-IF(AND(Projects!$G$29="Yes",BQ$3=Projects!$C$29+Projects!$D$29-1),Projects!$B$29*(Assumptions!$B$10+Assumptions!$B$11+Assumptions!$B$12)*0.05,0)</f>
        <v>0</v>
      </c>
      <c r="BR38" s="30" t="n">
        <f aca="false">IF(AND(Projects!$G$29="Yes",BR$3&gt;=Projects!$C$29,BR$3&lt;Projects!$C$29+Projects!$D$29),Projects!$B$29*INDEX(Curves!$B$4:$AR$4,1,BR$3-Projects!$C$29+1),0)-IF(AND(Projects!$G$29="Yes",BR$3&gt;=Projects!$C$29,BR$3&lt;Projects!$C$29+Projects!$D$29),Projects!$B$29*(Assumptions!$B$10+Assumptions!$B$11+Assumptions!$B$12)/Projects!$D$29*0.95,0)-IF(AND(Projects!$G$29="Yes",BR$3=Projects!$C$29+Projects!$D$29-1),Projects!$B$29*(Assumptions!$B$10+Assumptions!$B$11+Assumptions!$B$12)*0.05,0)</f>
        <v>0</v>
      </c>
      <c r="BS38" s="30" t="n">
        <f aca="false">IF(AND(Projects!$G$29="Yes",BS$3&gt;=Projects!$C$29,BS$3&lt;Projects!$C$29+Projects!$D$29),Projects!$B$29*INDEX(Curves!$B$4:$AR$4,1,BS$3-Projects!$C$29+1),0)-IF(AND(Projects!$G$29="Yes",BS$3&gt;=Projects!$C$29,BS$3&lt;Projects!$C$29+Projects!$D$29),Projects!$B$29*(Assumptions!$B$10+Assumptions!$B$11+Assumptions!$B$12)/Projects!$D$29*0.95,0)-IF(AND(Projects!$G$29="Yes",BS$3=Projects!$C$29+Projects!$D$29-1),Projects!$B$29*(Assumptions!$B$10+Assumptions!$B$11+Assumptions!$B$12)*0.05,0)</f>
        <v>0</v>
      </c>
      <c r="BT38" s="30" t="n">
        <f aca="false">IF(AND(Projects!$G$29="Yes",BT$3&gt;=Projects!$C$29,BT$3&lt;Projects!$C$29+Projects!$D$29),Projects!$B$29*INDEX(Curves!$B$4:$AR$4,1,BT$3-Projects!$C$29+1),0)-IF(AND(Projects!$G$29="Yes",BT$3&gt;=Projects!$C$29,BT$3&lt;Projects!$C$29+Projects!$D$29),Projects!$B$29*(Assumptions!$B$10+Assumptions!$B$11+Assumptions!$B$12)/Projects!$D$29*0.95,0)-IF(AND(Projects!$G$29="Yes",BT$3=Projects!$C$29+Projects!$D$29-1),Projects!$B$29*(Assumptions!$B$10+Assumptions!$B$11+Assumptions!$B$12)*0.05,0)</f>
        <v>0</v>
      </c>
      <c r="BU38" s="30" t="n">
        <f aca="false">IF(AND(Projects!$G$29="Yes",BU$3&gt;=Projects!$C$29,BU$3&lt;Projects!$C$29+Projects!$D$29),Projects!$B$29*INDEX(Curves!$B$4:$AR$4,1,BU$3-Projects!$C$29+1),0)-IF(AND(Projects!$G$29="Yes",BU$3&gt;=Projects!$C$29,BU$3&lt;Projects!$C$29+Projects!$D$29),Projects!$B$29*(Assumptions!$B$10+Assumptions!$B$11+Assumptions!$B$12)/Projects!$D$29*0.95,0)-IF(AND(Projects!$G$29="Yes",BU$3=Projects!$C$29+Projects!$D$29-1),Projects!$B$29*(Assumptions!$B$10+Assumptions!$B$11+Assumptions!$B$12)*0.05,0)</f>
        <v>0</v>
      </c>
      <c r="BV38" s="30" t="n">
        <f aca="false">IF(AND(Projects!$G$29="Yes",BV$3&gt;=Projects!$C$29,BV$3&lt;Projects!$C$29+Projects!$D$29),Projects!$B$29*INDEX(Curves!$B$4:$AR$4,1,BV$3-Projects!$C$29+1),0)-IF(AND(Projects!$G$29="Yes",BV$3&gt;=Projects!$C$29,BV$3&lt;Projects!$C$29+Projects!$D$29),Projects!$B$29*(Assumptions!$B$10+Assumptions!$B$11+Assumptions!$B$12)/Projects!$D$29*0.95,0)-IF(AND(Projects!$G$29="Yes",BV$3=Projects!$C$29+Projects!$D$29-1),Projects!$B$29*(Assumptions!$B$10+Assumptions!$B$11+Assumptions!$B$12)*0.05,0)</f>
        <v>0</v>
      </c>
      <c r="BW38" s="30" t="n">
        <f aca="false">IF(AND(Projects!$G$29="Yes",BW$3&gt;=Projects!$C$29,BW$3&lt;Projects!$C$29+Projects!$D$29),Projects!$B$29*INDEX(Curves!$B$4:$AR$4,1,BW$3-Projects!$C$29+1),0)-IF(AND(Projects!$G$29="Yes",BW$3&gt;=Projects!$C$29,BW$3&lt;Projects!$C$29+Projects!$D$29),Projects!$B$29*(Assumptions!$B$10+Assumptions!$B$11+Assumptions!$B$12)/Projects!$D$29*0.95,0)-IF(AND(Projects!$G$29="Yes",BW$3=Projects!$C$29+Projects!$D$29-1),Projects!$B$29*(Assumptions!$B$10+Assumptions!$B$11+Assumptions!$B$12)*0.05,0)</f>
        <v>0</v>
      </c>
      <c r="BX38" s="30" t="n">
        <f aca="false">IF(AND(Projects!$G$29="Yes",BX$3&gt;=Projects!$C$29,BX$3&lt;Projects!$C$29+Projects!$D$29),Projects!$B$29*INDEX(Curves!$B$4:$AR$4,1,BX$3-Projects!$C$29+1),0)-IF(AND(Projects!$G$29="Yes",BX$3&gt;=Projects!$C$29,BX$3&lt;Projects!$C$29+Projects!$D$29),Projects!$B$29*(Assumptions!$B$10+Assumptions!$B$11+Assumptions!$B$12)/Projects!$D$29*0.95,0)-IF(AND(Projects!$G$29="Yes",BX$3=Projects!$C$29+Projects!$D$29-1),Projects!$B$29*(Assumptions!$B$10+Assumptions!$B$11+Assumptions!$B$12)*0.05,0)</f>
        <v>0</v>
      </c>
      <c r="BY38" s="30" t="n">
        <f aca="false">IF(AND(Projects!$G$29="Yes",BY$3&gt;=Projects!$C$29,BY$3&lt;Projects!$C$29+Projects!$D$29),Projects!$B$29*INDEX(Curves!$B$4:$AR$4,1,BY$3-Projects!$C$29+1),0)-IF(AND(Projects!$G$29="Yes",BY$3&gt;=Projects!$C$29,BY$3&lt;Projects!$C$29+Projects!$D$29),Projects!$B$29*(Assumptions!$B$10+Assumptions!$B$11+Assumptions!$B$12)/Projects!$D$29*0.95,0)-IF(AND(Projects!$G$29="Yes",BY$3=Projects!$C$29+Projects!$D$29-1),Projects!$B$29*(Assumptions!$B$10+Assumptions!$B$11+Assumptions!$B$12)*0.05,0)</f>
        <v>0</v>
      </c>
      <c r="BZ38" s="30" t="n">
        <f aca="false">IF(AND(Projects!$G$29="Yes",BZ$3&gt;=Projects!$C$29,BZ$3&lt;Projects!$C$29+Projects!$D$29),Projects!$B$29*INDEX(Curves!$B$4:$AR$4,1,BZ$3-Projects!$C$29+1),0)-IF(AND(Projects!$G$29="Yes",BZ$3&gt;=Projects!$C$29,BZ$3&lt;Projects!$C$29+Projects!$D$29),Projects!$B$29*(Assumptions!$B$10+Assumptions!$B$11+Assumptions!$B$12)/Projects!$D$29*0.95,0)-IF(AND(Projects!$G$29="Yes",BZ$3=Projects!$C$29+Projects!$D$29-1),Projects!$B$29*(Assumptions!$B$10+Assumptions!$B$11+Assumptions!$B$12)*0.05,0)</f>
        <v>0</v>
      </c>
      <c r="CA38" s="30" t="n">
        <f aca="false">IF(AND(Projects!$G$29="Yes",CA$3&gt;=Projects!$C$29,CA$3&lt;Projects!$C$29+Projects!$D$29),Projects!$B$29*INDEX(Curves!$B$4:$AR$4,1,CA$3-Projects!$C$29+1),0)-IF(AND(Projects!$G$29="Yes",CA$3&gt;=Projects!$C$29,CA$3&lt;Projects!$C$29+Projects!$D$29),Projects!$B$29*(Assumptions!$B$10+Assumptions!$B$11+Assumptions!$B$12)/Projects!$D$29*0.95,0)-IF(AND(Projects!$G$29="Yes",CA$3=Projects!$C$29+Projects!$D$29-1),Projects!$B$29*(Assumptions!$B$10+Assumptions!$B$11+Assumptions!$B$12)*0.05,0)</f>
        <v>0</v>
      </c>
      <c r="CB38" s="30" t="n">
        <f aca="false">IF(AND(Projects!$G$29="Yes",CB$3&gt;=Projects!$C$29,CB$3&lt;Projects!$C$29+Projects!$D$29),Projects!$B$29*INDEX(Curves!$B$4:$AR$4,1,CB$3-Projects!$C$29+1),0)-IF(AND(Projects!$G$29="Yes",CB$3&gt;=Projects!$C$29,CB$3&lt;Projects!$C$29+Projects!$D$29),Projects!$B$29*(Assumptions!$B$10+Assumptions!$B$11+Assumptions!$B$12)/Projects!$D$29*0.95,0)-IF(AND(Projects!$G$29="Yes",CB$3=Projects!$C$29+Projects!$D$29-1),Projects!$B$29*(Assumptions!$B$10+Assumptions!$B$11+Assumptions!$B$12)*0.05,0)</f>
        <v>0</v>
      </c>
      <c r="CC38" s="30" t="n">
        <f aca="false">IF(AND(Projects!$G$29="Yes",CC$3&gt;=Projects!$C$29,CC$3&lt;Projects!$C$29+Projects!$D$29),Projects!$B$29*INDEX(Curves!$B$4:$AR$4,1,CC$3-Projects!$C$29+1),0)-IF(AND(Projects!$G$29="Yes",CC$3&gt;=Projects!$C$29,CC$3&lt;Projects!$C$29+Projects!$D$29),Projects!$B$29*(Assumptions!$B$10+Assumptions!$B$11+Assumptions!$B$12)/Projects!$D$29*0.95,0)-IF(AND(Projects!$G$29="Yes",CC$3=Projects!$C$29+Projects!$D$29-1),Projects!$B$29*(Assumptions!$B$10+Assumptions!$B$11+Assumptions!$B$12)*0.05,0)</f>
        <v>0</v>
      </c>
      <c r="CD38" s="30" t="n">
        <f aca="false">IF(AND(Projects!$G$29="Yes",CD$3&gt;=Projects!$C$29,CD$3&lt;Projects!$C$29+Projects!$D$29),Projects!$B$29*INDEX(Curves!$B$4:$AR$4,1,CD$3-Projects!$C$29+1),0)-IF(AND(Projects!$G$29="Yes",CD$3&gt;=Projects!$C$29,CD$3&lt;Projects!$C$29+Projects!$D$29),Projects!$B$29*(Assumptions!$B$10+Assumptions!$B$11+Assumptions!$B$12)/Projects!$D$29*0.95,0)-IF(AND(Projects!$G$29="Yes",CD$3=Projects!$C$29+Projects!$D$29-1),Projects!$B$29*(Assumptions!$B$10+Assumptions!$B$11+Assumptions!$B$12)*0.05,0)</f>
        <v>0</v>
      </c>
      <c r="CE38" s="30" t="n">
        <f aca="false">IF(AND(Projects!$G$29="Yes",CE$3&gt;=Projects!$C$29,CE$3&lt;Projects!$C$29+Projects!$D$29),Projects!$B$29*INDEX(Curves!$B$4:$AR$4,1,CE$3-Projects!$C$29+1),0)-IF(AND(Projects!$G$29="Yes",CE$3&gt;=Projects!$C$29,CE$3&lt;Projects!$C$29+Projects!$D$29),Projects!$B$29*(Assumptions!$B$10+Assumptions!$B$11+Assumptions!$B$12)/Projects!$D$29*0.95,0)-IF(AND(Projects!$G$29="Yes",CE$3=Projects!$C$29+Projects!$D$29-1),Projects!$B$29*(Assumptions!$B$10+Assumptions!$B$11+Assumptions!$B$12)*0.05,0)</f>
        <v>0</v>
      </c>
      <c r="CF38" s="30" t="n">
        <f aca="false">IF(AND(Projects!$G$29="Yes",CF$3&gt;=Projects!$C$29,CF$3&lt;Projects!$C$29+Projects!$D$29),Projects!$B$29*INDEX(Curves!$B$4:$AR$4,1,CF$3-Projects!$C$29+1),0)-IF(AND(Projects!$G$29="Yes",CF$3&gt;=Projects!$C$29,CF$3&lt;Projects!$C$29+Projects!$D$29),Projects!$B$29*(Assumptions!$B$10+Assumptions!$B$11+Assumptions!$B$12)/Projects!$D$29*0.95,0)-IF(AND(Projects!$G$29="Yes",CF$3=Projects!$C$29+Projects!$D$29-1),Projects!$B$29*(Assumptions!$B$10+Assumptions!$B$11+Assumptions!$B$12)*0.05,0)</f>
        <v>0</v>
      </c>
      <c r="CG38" s="30" t="n">
        <f aca="false">IF(AND(Projects!$G$29="Yes",CG$3&gt;=Projects!$C$29,CG$3&lt;Projects!$C$29+Projects!$D$29),Projects!$B$29*INDEX(Curves!$B$4:$AR$4,1,CG$3-Projects!$C$29+1),0)-IF(AND(Projects!$G$29="Yes",CG$3&gt;=Projects!$C$29,CG$3&lt;Projects!$C$29+Projects!$D$29),Projects!$B$29*(Assumptions!$B$10+Assumptions!$B$11+Assumptions!$B$12)/Projects!$D$29*0.95,0)-IF(AND(Projects!$G$29="Yes",CG$3=Projects!$C$29+Projects!$D$29-1),Projects!$B$29*(Assumptions!$B$10+Assumptions!$B$11+Assumptions!$B$12)*0.05,0)</f>
        <v>0</v>
      </c>
      <c r="CH38" s="30" t="n">
        <f aca="false">IF(AND(Projects!$G$29="Yes",CH$3&gt;=Projects!$C$29,CH$3&lt;Projects!$C$29+Projects!$D$29),Projects!$B$29*INDEX(Curves!$B$4:$AR$4,1,CH$3-Projects!$C$29+1),0)-IF(AND(Projects!$G$29="Yes",CH$3&gt;=Projects!$C$29,CH$3&lt;Projects!$C$29+Projects!$D$29),Projects!$B$29*(Assumptions!$B$10+Assumptions!$B$11+Assumptions!$B$12)/Projects!$D$29*0.95,0)-IF(AND(Projects!$G$29="Yes",CH$3=Projects!$C$29+Projects!$D$29-1),Projects!$B$29*(Assumptions!$B$10+Assumptions!$B$11+Assumptions!$B$12)*0.05,0)</f>
        <v>0</v>
      </c>
      <c r="CI38" s="30" t="n">
        <f aca="false">IF(AND(Projects!$G$29="Yes",CI$3&gt;=Projects!$C$29,CI$3&lt;Projects!$C$29+Projects!$D$29),Projects!$B$29*INDEX(Curves!$B$4:$AR$4,1,CI$3-Projects!$C$29+1),0)-IF(AND(Projects!$G$29="Yes",CI$3&gt;=Projects!$C$29,CI$3&lt;Projects!$C$29+Projects!$D$29),Projects!$B$29*(Assumptions!$B$10+Assumptions!$B$11+Assumptions!$B$12)/Projects!$D$29*0.95,0)-IF(AND(Projects!$G$29="Yes",CI$3=Projects!$C$29+Projects!$D$29-1),Projects!$B$29*(Assumptions!$B$10+Assumptions!$B$11+Assumptions!$B$12)*0.05,0)</f>
        <v>0</v>
      </c>
      <c r="CJ38" s="30" t="n">
        <f aca="false">IF(AND(Projects!$G$29="Yes",CJ$3&gt;=Projects!$C$29,CJ$3&lt;Projects!$C$29+Projects!$D$29),Projects!$B$29*INDEX(Curves!$B$4:$AR$4,1,CJ$3-Projects!$C$29+1),0)-IF(AND(Projects!$G$29="Yes",CJ$3&gt;=Projects!$C$29,CJ$3&lt;Projects!$C$29+Projects!$D$29),Projects!$B$29*(Assumptions!$B$10+Assumptions!$B$11+Assumptions!$B$12)/Projects!$D$29*0.95,0)-IF(AND(Projects!$G$29="Yes",CJ$3=Projects!$C$29+Projects!$D$29-1),Projects!$B$29*(Assumptions!$B$10+Assumptions!$B$11+Assumptions!$B$12)*0.05,0)</f>
        <v>0</v>
      </c>
      <c r="CK38" s="30" t="n">
        <f aca="false">IF(AND(Projects!$G$29="Yes",CK$3&gt;=Projects!$C$29,CK$3&lt;Projects!$C$29+Projects!$D$29),Projects!$B$29*INDEX(Curves!$B$4:$AR$4,1,CK$3-Projects!$C$29+1),0)-IF(AND(Projects!$G$29="Yes",CK$3&gt;=Projects!$C$29,CK$3&lt;Projects!$C$29+Projects!$D$29),Projects!$B$29*(Assumptions!$B$10+Assumptions!$B$11+Assumptions!$B$12)/Projects!$D$29*0.95,0)-IF(AND(Projects!$G$29="Yes",CK$3=Projects!$C$29+Projects!$D$29-1),Projects!$B$29*(Assumptions!$B$10+Assumptions!$B$11+Assumptions!$B$12)*0.05,0)</f>
        <v>0</v>
      </c>
      <c r="CL38" s="30" t="n">
        <f aca="false">IF(AND(Projects!$G$29="Yes",CL$3&gt;=Projects!$C$29,CL$3&lt;Projects!$C$29+Projects!$D$29),Projects!$B$29*INDEX(Curves!$B$4:$AR$4,1,CL$3-Projects!$C$29+1),0)-IF(AND(Projects!$G$29="Yes",CL$3&gt;=Projects!$C$29,CL$3&lt;Projects!$C$29+Projects!$D$29),Projects!$B$29*(Assumptions!$B$10+Assumptions!$B$11+Assumptions!$B$12)/Projects!$D$29*0.95,0)-IF(AND(Projects!$G$29="Yes",CL$3=Projects!$C$29+Projects!$D$29-1),Projects!$B$29*(Assumptions!$B$10+Assumptions!$B$11+Assumptions!$B$12)*0.05,0)</f>
        <v>0</v>
      </c>
      <c r="CM38" s="30" t="n">
        <f aca="false">IF(AND(Projects!$G$29="Yes",CM$3&gt;=Projects!$C$29,CM$3&lt;Projects!$C$29+Projects!$D$29),Projects!$B$29*INDEX(Curves!$B$4:$AR$4,1,CM$3-Projects!$C$29+1),0)-IF(AND(Projects!$G$29="Yes",CM$3&gt;=Projects!$C$29,CM$3&lt;Projects!$C$29+Projects!$D$29),Projects!$B$29*(Assumptions!$B$10+Assumptions!$B$11+Assumptions!$B$12)/Projects!$D$29*0.95,0)-IF(AND(Projects!$G$29="Yes",CM$3=Projects!$C$29+Projects!$D$29-1),Projects!$B$29*(Assumptions!$B$10+Assumptions!$B$11+Assumptions!$B$12)*0.05,0)</f>
        <v>0</v>
      </c>
      <c r="CN38" s="30" t="n">
        <f aca="false">IF(AND(Projects!$G$29="Yes",CN$3&gt;=Projects!$C$29,CN$3&lt;Projects!$C$29+Projects!$D$29),Projects!$B$29*INDEX(Curves!$B$4:$AR$4,1,CN$3-Projects!$C$29+1),0)-IF(AND(Projects!$G$29="Yes",CN$3&gt;=Projects!$C$29,CN$3&lt;Projects!$C$29+Projects!$D$29),Projects!$B$29*(Assumptions!$B$10+Assumptions!$B$11+Assumptions!$B$12)/Projects!$D$29*0.95,0)-IF(AND(Projects!$G$29="Yes",CN$3=Projects!$C$29+Projects!$D$29-1),Projects!$B$29*(Assumptions!$B$10+Assumptions!$B$11+Assumptions!$B$12)*0.05,0)</f>
        <v>0</v>
      </c>
      <c r="CO38" s="30" t="n">
        <f aca="false">IF(AND(Projects!$G$29="Yes",CO$3&gt;=Projects!$C$29,CO$3&lt;Projects!$C$29+Projects!$D$29),Projects!$B$29*INDEX(Curves!$B$4:$AR$4,1,CO$3-Projects!$C$29+1),0)-IF(AND(Projects!$G$29="Yes",CO$3&gt;=Projects!$C$29,CO$3&lt;Projects!$C$29+Projects!$D$29),Projects!$B$29*(Assumptions!$B$10+Assumptions!$B$11+Assumptions!$B$12)/Projects!$D$29*0.95,0)-IF(AND(Projects!$G$29="Yes",CO$3=Projects!$C$29+Projects!$D$29-1),Projects!$B$29*(Assumptions!$B$10+Assumptions!$B$11+Assumptions!$B$12)*0.05,0)</f>
        <v>0</v>
      </c>
      <c r="CP38" s="30" t="n">
        <f aca="false">IF(AND(Projects!$G$29="Yes",CP$3&gt;=Projects!$C$29,CP$3&lt;Projects!$C$29+Projects!$D$29),Projects!$B$29*INDEX(Curves!$B$4:$AR$4,1,CP$3-Projects!$C$29+1),0)-IF(AND(Projects!$G$29="Yes",CP$3&gt;=Projects!$C$29,CP$3&lt;Projects!$C$29+Projects!$D$29),Projects!$B$29*(Assumptions!$B$10+Assumptions!$B$11+Assumptions!$B$12)/Projects!$D$29*0.95,0)-IF(AND(Projects!$G$29="Yes",CP$3=Projects!$C$29+Projects!$D$29-1),Projects!$B$29*(Assumptions!$B$10+Assumptions!$B$11+Assumptions!$B$12)*0.05,0)</f>
        <v>0</v>
      </c>
      <c r="CQ38" s="30" t="n">
        <f aca="false">IF(AND(Projects!$G$29="Yes",CQ$3&gt;=Projects!$C$29,CQ$3&lt;Projects!$C$29+Projects!$D$29),Projects!$B$29*INDEX(Curves!$B$4:$AR$4,1,CQ$3-Projects!$C$29+1),0)-IF(AND(Projects!$G$29="Yes",CQ$3&gt;=Projects!$C$29,CQ$3&lt;Projects!$C$29+Projects!$D$29),Projects!$B$29*(Assumptions!$B$10+Assumptions!$B$11+Assumptions!$B$12)/Projects!$D$29*0.95,0)-IF(AND(Projects!$G$29="Yes",CQ$3=Projects!$C$29+Projects!$D$29-1),Projects!$B$29*(Assumptions!$B$10+Assumptions!$B$11+Assumptions!$B$12)*0.05,0)</f>
        <v>0</v>
      </c>
      <c r="CR38" s="30" t="n">
        <f aca="false">IF(AND(Projects!$G$29="Yes",CR$3&gt;=Projects!$C$29,CR$3&lt;Projects!$C$29+Projects!$D$29),Projects!$B$29*INDEX(Curves!$B$4:$AR$4,1,CR$3-Projects!$C$29+1),0)-IF(AND(Projects!$G$29="Yes",CR$3&gt;=Projects!$C$29,CR$3&lt;Projects!$C$29+Projects!$D$29),Projects!$B$29*(Assumptions!$B$10+Assumptions!$B$11+Assumptions!$B$12)/Projects!$D$29*0.95,0)-IF(AND(Projects!$G$29="Yes",CR$3=Projects!$C$29+Projects!$D$29-1),Projects!$B$29*(Assumptions!$B$10+Assumptions!$B$11+Assumptions!$B$12)*0.05,0)</f>
        <v>0</v>
      </c>
      <c r="CS38" s="30" t="n">
        <f aca="false">IF(AND(Projects!$G$29="Yes",CS$3&gt;=Projects!$C$29,CS$3&lt;Projects!$C$29+Projects!$D$29),Projects!$B$29*INDEX(Curves!$B$4:$AR$4,1,CS$3-Projects!$C$29+1),0)-IF(AND(Projects!$G$29="Yes",CS$3&gt;=Projects!$C$29,CS$3&lt;Projects!$C$29+Projects!$D$29),Projects!$B$29*(Assumptions!$B$10+Assumptions!$B$11+Assumptions!$B$12)/Projects!$D$29*0.95,0)-IF(AND(Projects!$G$29="Yes",CS$3=Projects!$C$29+Projects!$D$29-1),Projects!$B$29*(Assumptions!$B$10+Assumptions!$B$11+Assumptions!$B$12)*0.05,0)</f>
        <v>0</v>
      </c>
      <c r="CT38" s="30" t="n">
        <f aca="false">IF(AND(Projects!$G$29="Yes",CT$3&gt;=Projects!$C$29,CT$3&lt;Projects!$C$29+Projects!$D$29),Projects!$B$29*INDEX(Curves!$B$4:$AR$4,1,CT$3-Projects!$C$29+1),0)-IF(AND(Projects!$G$29="Yes",CT$3&gt;=Projects!$C$29,CT$3&lt;Projects!$C$29+Projects!$D$29),Projects!$B$29*(Assumptions!$B$10+Assumptions!$B$11+Assumptions!$B$12)/Projects!$D$29*0.95,0)-IF(AND(Projects!$G$29="Yes",CT$3=Projects!$C$29+Projects!$D$29-1),Projects!$B$29*(Assumptions!$B$10+Assumptions!$B$11+Assumptions!$B$12)*0.05,0)</f>
        <v>0</v>
      </c>
      <c r="CU38" s="30" t="n">
        <f aca="false">IF(AND(Projects!$G$29="Yes",CU$3&gt;=Projects!$C$29,CU$3&lt;Projects!$C$29+Projects!$D$29),Projects!$B$29*INDEX(Curves!$B$4:$AR$4,1,CU$3-Projects!$C$29+1),0)-IF(AND(Projects!$G$29="Yes",CU$3&gt;=Projects!$C$29,CU$3&lt;Projects!$C$29+Projects!$D$29),Projects!$B$29*(Assumptions!$B$10+Assumptions!$B$11+Assumptions!$B$12)/Projects!$D$29*0.95,0)-IF(AND(Projects!$G$29="Yes",CU$3=Projects!$C$29+Projects!$D$29-1),Projects!$B$29*(Assumptions!$B$10+Assumptions!$B$11+Assumptions!$B$12)*0.05,0)</f>
        <v>0</v>
      </c>
      <c r="CV38" s="30" t="n">
        <f aca="false">IF(AND(Projects!$G$29="Yes",CV$3&gt;=Projects!$C$29,CV$3&lt;Projects!$C$29+Projects!$D$29),Projects!$B$29*INDEX(Curves!$B$4:$AR$4,1,CV$3-Projects!$C$29+1),0)-IF(AND(Projects!$G$29="Yes",CV$3&gt;=Projects!$C$29,CV$3&lt;Projects!$C$29+Projects!$D$29),Projects!$B$29*(Assumptions!$B$10+Assumptions!$B$11+Assumptions!$B$12)/Projects!$D$29*0.95,0)-IF(AND(Projects!$G$29="Yes",CV$3=Projects!$C$29+Projects!$D$29-1),Projects!$B$29*(Assumptions!$B$10+Assumptions!$B$11+Assumptions!$B$12)*0.05,0)</f>
        <v>0</v>
      </c>
      <c r="CW38" s="30" t="n">
        <f aca="false">IF(AND(Projects!$G$29="Yes",CW$3&gt;=Projects!$C$29,CW$3&lt;Projects!$C$29+Projects!$D$29),Projects!$B$29*INDEX(Curves!$B$4:$AR$4,1,CW$3-Projects!$C$29+1),0)-IF(AND(Projects!$G$29="Yes",CW$3&gt;=Projects!$C$29,CW$3&lt;Projects!$C$29+Projects!$D$29),Projects!$B$29*(Assumptions!$B$10+Assumptions!$B$11+Assumptions!$B$12)/Projects!$D$29*0.95,0)-IF(AND(Projects!$G$29="Yes",CW$3=Projects!$C$29+Projects!$D$29-1),Projects!$B$29*(Assumptions!$B$10+Assumptions!$B$11+Assumptions!$B$12)*0.05,0)</f>
        <v>0</v>
      </c>
      <c r="CX38" s="30" t="n">
        <f aca="false">IF(AND(Projects!$G$29="Yes",CX$3&gt;=Projects!$C$29,CX$3&lt;Projects!$C$29+Projects!$D$29),Projects!$B$29*INDEX(Curves!$B$4:$AR$4,1,CX$3-Projects!$C$29+1),0)-IF(AND(Projects!$G$29="Yes",CX$3&gt;=Projects!$C$29,CX$3&lt;Projects!$C$29+Projects!$D$29),Projects!$B$29*(Assumptions!$B$10+Assumptions!$B$11+Assumptions!$B$12)/Projects!$D$29*0.95,0)-IF(AND(Projects!$G$29="Yes",CX$3=Projects!$C$29+Projects!$D$29-1),Projects!$B$29*(Assumptions!$B$10+Assumptions!$B$11+Assumptions!$B$12)*0.05,0)</f>
        <v>0</v>
      </c>
      <c r="CY38" s="30" t="n">
        <f aca="false">IF(AND(Projects!$G$29="Yes",CY$3&gt;=Projects!$C$29,CY$3&lt;Projects!$C$29+Projects!$D$29),Projects!$B$29*INDEX(Curves!$B$4:$AR$4,1,CY$3-Projects!$C$29+1),0)-IF(AND(Projects!$G$29="Yes",CY$3&gt;=Projects!$C$29,CY$3&lt;Projects!$C$29+Projects!$D$29),Projects!$B$29*(Assumptions!$B$10+Assumptions!$B$11+Assumptions!$B$12)/Projects!$D$29*0.95,0)-IF(AND(Projects!$G$29="Yes",CY$3=Projects!$C$29+Projects!$D$29-1),Projects!$B$29*(Assumptions!$B$10+Assumptions!$B$11+Assumptions!$B$12)*0.05,0)</f>
        <v>0</v>
      </c>
      <c r="CZ38" s="30" t="n">
        <f aca="false">IF(AND(Projects!$G$29="Yes",CZ$3&gt;=Projects!$C$29,CZ$3&lt;Projects!$C$29+Projects!$D$29),Projects!$B$29*INDEX(Curves!$B$4:$AR$4,1,CZ$3-Projects!$C$29+1),0)-IF(AND(Projects!$G$29="Yes",CZ$3&gt;=Projects!$C$29,CZ$3&lt;Projects!$C$29+Projects!$D$29),Projects!$B$29*(Assumptions!$B$10+Assumptions!$B$11+Assumptions!$B$12)/Projects!$D$29*0.95,0)-IF(AND(Projects!$G$29="Yes",CZ$3=Projects!$C$29+Projects!$D$29-1),Projects!$B$29*(Assumptions!$B$10+Assumptions!$B$11+Assumptions!$B$12)*0.05,0)</f>
        <v>0</v>
      </c>
      <c r="DA38" s="30" t="n">
        <f aca="false">IF(AND(Projects!$G$29="Yes",DA$3&gt;=Projects!$C$29,DA$3&lt;Projects!$C$29+Projects!$D$29),Projects!$B$29*INDEX(Curves!$B$4:$AR$4,1,DA$3-Projects!$C$29+1),0)-IF(AND(Projects!$G$29="Yes",DA$3&gt;=Projects!$C$29,DA$3&lt;Projects!$C$29+Projects!$D$29),Projects!$B$29*(Assumptions!$B$10+Assumptions!$B$11+Assumptions!$B$12)/Projects!$D$29*0.95,0)-IF(AND(Projects!$G$29="Yes",DA$3=Projects!$C$29+Projects!$D$29-1),Projects!$B$29*(Assumptions!$B$10+Assumptions!$B$11+Assumptions!$B$12)*0.05,0)</f>
        <v>0</v>
      </c>
      <c r="DB38" s="30" t="n">
        <f aca="false">IF(AND(Projects!$G$29="Yes",DB$3&gt;=Projects!$C$29,DB$3&lt;Projects!$C$29+Projects!$D$29),Projects!$B$29*INDEX(Curves!$B$4:$AR$4,1,DB$3-Projects!$C$29+1),0)-IF(AND(Projects!$G$29="Yes",DB$3&gt;=Projects!$C$29,DB$3&lt;Projects!$C$29+Projects!$D$29),Projects!$B$29*(Assumptions!$B$10+Assumptions!$B$11+Assumptions!$B$12)/Projects!$D$29*0.95,0)-IF(AND(Projects!$G$29="Yes",DB$3=Projects!$C$29+Projects!$D$29-1),Projects!$B$29*(Assumptions!$B$10+Assumptions!$B$11+Assumptions!$B$12)*0.05,0)</f>
        <v>0</v>
      </c>
      <c r="DC38" s="30" t="n">
        <f aca="false">IF(AND(Projects!$G$29="Yes",DC$3&gt;=Projects!$C$29,DC$3&lt;Projects!$C$29+Projects!$D$29),Projects!$B$29*INDEX(Curves!$B$4:$AR$4,1,DC$3-Projects!$C$29+1),0)-IF(AND(Projects!$G$29="Yes",DC$3&gt;=Projects!$C$29,DC$3&lt;Projects!$C$29+Projects!$D$29),Projects!$B$29*(Assumptions!$B$10+Assumptions!$B$11+Assumptions!$B$12)/Projects!$D$29*0.95,0)-IF(AND(Projects!$G$29="Yes",DC$3=Projects!$C$29+Projects!$D$29-1),Projects!$B$29*(Assumptions!$B$10+Assumptions!$B$11+Assumptions!$B$12)*0.05,0)</f>
        <v>0</v>
      </c>
      <c r="DD38" s="30" t="n">
        <f aca="false">IF(AND(Projects!$G$29="Yes",DD$3&gt;=Projects!$C$29,DD$3&lt;Projects!$C$29+Projects!$D$29),Projects!$B$29*INDEX(Curves!$B$4:$AR$4,1,DD$3-Projects!$C$29+1),0)-IF(AND(Projects!$G$29="Yes",DD$3&gt;=Projects!$C$29,DD$3&lt;Projects!$C$29+Projects!$D$29),Projects!$B$29*(Assumptions!$B$10+Assumptions!$B$11+Assumptions!$B$12)/Projects!$D$29*0.95,0)-IF(AND(Projects!$G$29="Yes",DD$3=Projects!$C$29+Projects!$D$29-1),Projects!$B$29*(Assumptions!$B$10+Assumptions!$B$11+Assumptions!$B$12)*0.05,0)</f>
        <v>0</v>
      </c>
      <c r="DE38" s="30" t="n">
        <f aca="false">IF(AND(Projects!$G$29="Yes",DE$3&gt;=Projects!$C$29,DE$3&lt;Projects!$C$29+Projects!$D$29),Projects!$B$29*INDEX(Curves!$B$4:$AR$4,1,DE$3-Projects!$C$29+1),0)-IF(AND(Projects!$G$29="Yes",DE$3&gt;=Projects!$C$29,DE$3&lt;Projects!$C$29+Projects!$D$29),Projects!$B$29*(Assumptions!$B$10+Assumptions!$B$11+Assumptions!$B$12)/Projects!$D$29*0.95,0)-IF(AND(Projects!$G$29="Yes",DE$3=Projects!$C$29+Projects!$D$29-1),Projects!$B$29*(Assumptions!$B$10+Assumptions!$B$11+Assumptions!$B$12)*0.05,0)</f>
        <v>0</v>
      </c>
    </row>
    <row r="39" customFormat="false" ht="15" hidden="true" customHeight="true" outlineLevel="1" collapsed="false">
      <c r="A39" s="32" t="s">
        <v>33</v>
      </c>
      <c r="B39" s="30" t="n">
        <v>0</v>
      </c>
      <c r="C39" s="30" t="n">
        <v>0</v>
      </c>
      <c r="D39" s="30" t="n">
        <v>0</v>
      </c>
      <c r="E39" s="30" t="n">
        <v>0</v>
      </c>
      <c r="F39" s="30" t="n">
        <f aca="false">IF(AND(Projects!$G$30="Yes",F$3&gt;=Projects!$C$30,F$3&lt;Projects!$C$30+Projects!$D$30),Projects!$B$30*INDEX(Curves!$B$4:$AR$4,1,F$3-Projects!$C$30+1),0)-IF(AND(Projects!$G$30="Yes",F$3&gt;=Projects!$C$30,F$3&lt;Projects!$C$30+Projects!$D$30),Projects!$B$30*(Assumptions!$B$10+Assumptions!$B$11+Assumptions!$B$12)/Projects!$D$30*0.95,0)-IF(AND(Projects!$G$30="Yes",F$3=Projects!$C$30+Projects!$D$30-1),Projects!$B$30*(Assumptions!$B$10+Assumptions!$B$11+Assumptions!$B$12)*0.05,0)</f>
        <v>0</v>
      </c>
      <c r="G39" s="30" t="n">
        <f aca="false">IF(AND(Projects!$G$30="Yes",G$3&gt;=Projects!$C$30,G$3&lt;Projects!$C$30+Projects!$D$30),Projects!$B$30*INDEX(Curves!$B$4:$AR$4,1,G$3-Projects!$C$30+1),0)-IF(AND(Projects!$G$30="Yes",G$3&gt;=Projects!$C$30,G$3&lt;Projects!$C$30+Projects!$D$30),Projects!$B$30*(Assumptions!$B$10+Assumptions!$B$11+Assumptions!$B$12)/Projects!$D$30*0.95,0)-IF(AND(Projects!$G$30="Yes",G$3=Projects!$C$30+Projects!$D$30-1),Projects!$B$30*(Assumptions!$B$10+Assumptions!$B$11+Assumptions!$B$12)*0.05,0)</f>
        <v>0</v>
      </c>
      <c r="H39" s="30" t="n">
        <f aca="false">IF(AND(Projects!$G$30="Yes",H$3&gt;=Projects!$C$30,H$3&lt;Projects!$C$30+Projects!$D$30),Projects!$B$30*INDEX(Curves!$B$4:$AR$4,1,H$3-Projects!$C$30+1),0)-IF(AND(Projects!$G$30="Yes",H$3&gt;=Projects!$C$30,H$3&lt;Projects!$C$30+Projects!$D$30),Projects!$B$30*(Assumptions!$B$10+Assumptions!$B$11+Assumptions!$B$12)/Projects!$D$30*0.95,0)-IF(AND(Projects!$G$30="Yes",H$3=Projects!$C$30+Projects!$D$30-1),Projects!$B$30*(Assumptions!$B$10+Assumptions!$B$11+Assumptions!$B$12)*0.05,0)</f>
        <v>0</v>
      </c>
      <c r="I39" s="30" t="n">
        <f aca="false">IF(AND(Projects!$G$30="Yes",I$3&gt;=Projects!$C$30,I$3&lt;Projects!$C$30+Projects!$D$30),Projects!$B$30*INDEX(Curves!$B$4:$AR$4,1,I$3-Projects!$C$30+1),0)-IF(AND(Projects!$G$30="Yes",I$3&gt;=Projects!$C$30,I$3&lt;Projects!$C$30+Projects!$D$30),Projects!$B$30*(Assumptions!$B$10+Assumptions!$B$11+Assumptions!$B$12)/Projects!$D$30*0.95,0)-IF(AND(Projects!$G$30="Yes",I$3=Projects!$C$30+Projects!$D$30-1),Projects!$B$30*(Assumptions!$B$10+Assumptions!$B$11+Assumptions!$B$12)*0.05,0)</f>
        <v>0</v>
      </c>
      <c r="J39" s="30" t="n">
        <f aca="false">IF(AND(Projects!$G$30="Yes",J$3&gt;=Projects!$C$30,J$3&lt;Projects!$C$30+Projects!$D$30),Projects!$B$30*INDEX(Curves!$B$4:$AR$4,1,J$3-Projects!$C$30+1),0)-IF(AND(Projects!$G$30="Yes",J$3&gt;=Projects!$C$30,J$3&lt;Projects!$C$30+Projects!$D$30),Projects!$B$30*(Assumptions!$B$10+Assumptions!$B$11+Assumptions!$B$12)/Projects!$D$30*0.95,0)-IF(AND(Projects!$G$30="Yes",J$3=Projects!$C$30+Projects!$D$30-1),Projects!$B$30*(Assumptions!$B$10+Assumptions!$B$11+Assumptions!$B$12)*0.05,0)</f>
        <v>0</v>
      </c>
      <c r="K39" s="30" t="n">
        <f aca="false">IF(AND(Projects!$G$30="Yes",K$3&gt;=Projects!$C$30,K$3&lt;Projects!$C$30+Projects!$D$30),Projects!$B$30*INDEX(Curves!$B$4:$AR$4,1,K$3-Projects!$C$30+1),0)-IF(AND(Projects!$G$30="Yes",K$3&gt;=Projects!$C$30,K$3&lt;Projects!$C$30+Projects!$D$30),Projects!$B$30*(Assumptions!$B$10+Assumptions!$B$11+Assumptions!$B$12)/Projects!$D$30*0.95,0)-IF(AND(Projects!$G$30="Yes",K$3=Projects!$C$30+Projects!$D$30-1),Projects!$B$30*(Assumptions!$B$10+Assumptions!$B$11+Assumptions!$B$12)*0.05,0)</f>
        <v>0</v>
      </c>
      <c r="L39" s="30" t="n">
        <f aca="false">IF(AND(Projects!$G$30="Yes",L$3&gt;=Projects!$C$30,L$3&lt;Projects!$C$30+Projects!$D$30),Projects!$B$30*INDEX(Curves!$B$4:$AR$4,1,L$3-Projects!$C$30+1),0)-IF(AND(Projects!$G$30="Yes",L$3&gt;=Projects!$C$30,L$3&lt;Projects!$C$30+Projects!$D$30),Projects!$B$30*(Assumptions!$B$10+Assumptions!$B$11+Assumptions!$B$12)/Projects!$D$30*0.95,0)-IF(AND(Projects!$G$30="Yes",L$3=Projects!$C$30+Projects!$D$30-1),Projects!$B$30*(Assumptions!$B$10+Assumptions!$B$11+Assumptions!$B$12)*0.05,0)</f>
        <v>0</v>
      </c>
      <c r="M39" s="30" t="n">
        <f aca="false">IF(AND(Projects!$G$30="Yes",M$3&gt;=Projects!$C$30,M$3&lt;Projects!$C$30+Projects!$D$30),Projects!$B$30*INDEX(Curves!$B$4:$AR$4,1,M$3-Projects!$C$30+1),0)-IF(AND(Projects!$G$30="Yes",M$3&gt;=Projects!$C$30,M$3&lt;Projects!$C$30+Projects!$D$30),Projects!$B$30*(Assumptions!$B$10+Assumptions!$B$11+Assumptions!$B$12)/Projects!$D$30*0.95,0)-IF(AND(Projects!$G$30="Yes",M$3=Projects!$C$30+Projects!$D$30-1),Projects!$B$30*(Assumptions!$B$10+Assumptions!$B$11+Assumptions!$B$12)*0.05,0)</f>
        <v>0</v>
      </c>
      <c r="N39" s="30" t="n">
        <f aca="false">IF(AND(Projects!$G$30="Yes",N$3&gt;=Projects!$C$30,N$3&lt;Projects!$C$30+Projects!$D$30),Projects!$B$30*INDEX(Curves!$B$4:$AR$4,1,N$3-Projects!$C$30+1),0)-IF(AND(Projects!$G$30="Yes",N$3&gt;=Projects!$C$30,N$3&lt;Projects!$C$30+Projects!$D$30),Projects!$B$30*(Assumptions!$B$10+Assumptions!$B$11+Assumptions!$B$12)/Projects!$D$30*0.95,0)-IF(AND(Projects!$G$30="Yes",N$3=Projects!$C$30+Projects!$D$30-1),Projects!$B$30*(Assumptions!$B$10+Assumptions!$B$11+Assumptions!$B$12)*0.05,0)</f>
        <v>0</v>
      </c>
      <c r="O39" s="30" t="n">
        <f aca="false">IF(AND(Projects!$G$30="Yes",O$3&gt;=Projects!$C$30,O$3&lt;Projects!$C$30+Projects!$D$30),Projects!$B$30*INDEX(Curves!$B$4:$AR$4,1,O$3-Projects!$C$30+1),0)-IF(AND(Projects!$G$30="Yes",O$3&gt;=Projects!$C$30,O$3&lt;Projects!$C$30+Projects!$D$30),Projects!$B$30*(Assumptions!$B$10+Assumptions!$B$11+Assumptions!$B$12)/Projects!$D$30*0.95,0)-IF(AND(Projects!$G$30="Yes",O$3=Projects!$C$30+Projects!$D$30-1),Projects!$B$30*(Assumptions!$B$10+Assumptions!$B$11+Assumptions!$B$12)*0.05,0)</f>
        <v>0</v>
      </c>
      <c r="P39" s="30" t="n">
        <f aca="false">IF(AND(Projects!$G$30="Yes",P$3&gt;=Projects!$C$30,P$3&lt;Projects!$C$30+Projects!$D$30),Projects!$B$30*INDEX(Curves!$B$4:$AR$4,1,P$3-Projects!$C$30+1),0)-IF(AND(Projects!$G$30="Yes",P$3&gt;=Projects!$C$30,P$3&lt;Projects!$C$30+Projects!$D$30),Projects!$B$30*(Assumptions!$B$10+Assumptions!$B$11+Assumptions!$B$12)/Projects!$D$30*0.95,0)-IF(AND(Projects!$G$30="Yes",P$3=Projects!$C$30+Projects!$D$30-1),Projects!$B$30*(Assumptions!$B$10+Assumptions!$B$11+Assumptions!$B$12)*0.05,0)</f>
        <v>0</v>
      </c>
      <c r="Q39" s="30" t="n">
        <f aca="false">IF(AND(Projects!$G$30="Yes",Q$3&gt;=Projects!$C$30,Q$3&lt;Projects!$C$30+Projects!$D$30),Projects!$B$30*INDEX(Curves!$B$4:$AR$4,1,Q$3-Projects!$C$30+1),0)-IF(AND(Projects!$G$30="Yes",Q$3&gt;=Projects!$C$30,Q$3&lt;Projects!$C$30+Projects!$D$30),Projects!$B$30*(Assumptions!$B$10+Assumptions!$B$11+Assumptions!$B$12)/Projects!$D$30*0.95,0)-IF(AND(Projects!$G$30="Yes",Q$3=Projects!$C$30+Projects!$D$30-1),Projects!$B$30*(Assumptions!$B$10+Assumptions!$B$11+Assumptions!$B$12)*0.05,0)</f>
        <v>0</v>
      </c>
      <c r="R39" s="30" t="n">
        <f aca="false">IF(AND(Projects!$G$30="Yes",R$3&gt;=Projects!$C$30,R$3&lt;Projects!$C$30+Projects!$D$30),Projects!$B$30*INDEX(Curves!$B$4:$AR$4,1,R$3-Projects!$C$30+1),0)-IF(AND(Projects!$G$30="Yes",R$3&gt;=Projects!$C$30,R$3&lt;Projects!$C$30+Projects!$D$30),Projects!$B$30*(Assumptions!$B$10+Assumptions!$B$11+Assumptions!$B$12)/Projects!$D$30*0.95,0)-IF(AND(Projects!$G$30="Yes",R$3=Projects!$C$30+Projects!$D$30-1),Projects!$B$30*(Assumptions!$B$10+Assumptions!$B$11+Assumptions!$B$12)*0.05,0)</f>
        <v>0</v>
      </c>
      <c r="S39" s="30" t="n">
        <f aca="false">IF(AND(Projects!$G$30="Yes",S$3&gt;=Projects!$C$30,S$3&lt;Projects!$C$30+Projects!$D$30),Projects!$B$30*INDEX(Curves!$B$4:$AR$4,1,S$3-Projects!$C$30+1),0)-IF(AND(Projects!$G$30="Yes",S$3&gt;=Projects!$C$30,S$3&lt;Projects!$C$30+Projects!$D$30),Projects!$B$30*(Assumptions!$B$10+Assumptions!$B$11+Assumptions!$B$12)/Projects!$D$30*0.95,0)-IF(AND(Projects!$G$30="Yes",S$3=Projects!$C$30+Projects!$D$30-1),Projects!$B$30*(Assumptions!$B$10+Assumptions!$B$11+Assumptions!$B$12)*0.05,0)</f>
        <v>0</v>
      </c>
      <c r="T39" s="30" t="n">
        <f aca="false">IF(AND(Projects!$G$30="Yes",T$3&gt;=Projects!$C$30,T$3&lt;Projects!$C$30+Projects!$D$30),Projects!$B$30*INDEX(Curves!$B$4:$AR$4,1,T$3-Projects!$C$30+1),0)-IF(AND(Projects!$G$30="Yes",T$3&gt;=Projects!$C$30,T$3&lt;Projects!$C$30+Projects!$D$30),Projects!$B$30*(Assumptions!$B$10+Assumptions!$B$11+Assumptions!$B$12)/Projects!$D$30*0.95,0)-IF(AND(Projects!$G$30="Yes",T$3=Projects!$C$30+Projects!$D$30-1),Projects!$B$30*(Assumptions!$B$10+Assumptions!$B$11+Assumptions!$B$12)*0.05,0)</f>
        <v>0</v>
      </c>
      <c r="U39" s="30" t="n">
        <f aca="false">IF(AND(Projects!$G$30="Yes",U$3&gt;=Projects!$C$30,U$3&lt;Projects!$C$30+Projects!$D$30),Projects!$B$30*INDEX(Curves!$B$4:$AR$4,1,U$3-Projects!$C$30+1),0)-IF(AND(Projects!$G$30="Yes",U$3&gt;=Projects!$C$30,U$3&lt;Projects!$C$30+Projects!$D$30),Projects!$B$30*(Assumptions!$B$10+Assumptions!$B$11+Assumptions!$B$12)/Projects!$D$30*0.95,0)-IF(AND(Projects!$G$30="Yes",U$3=Projects!$C$30+Projects!$D$30-1),Projects!$B$30*(Assumptions!$B$10+Assumptions!$B$11+Assumptions!$B$12)*0.05,0)</f>
        <v>0</v>
      </c>
      <c r="V39" s="30" t="n">
        <f aca="false">IF(AND(Projects!$G$30="Yes",V$3&gt;=Projects!$C$30,V$3&lt;Projects!$C$30+Projects!$D$30),Projects!$B$30*INDEX(Curves!$B$4:$AR$4,1,V$3-Projects!$C$30+1),0)-IF(AND(Projects!$G$30="Yes",V$3&gt;=Projects!$C$30,V$3&lt;Projects!$C$30+Projects!$D$30),Projects!$B$30*(Assumptions!$B$10+Assumptions!$B$11+Assumptions!$B$12)/Projects!$D$30*0.95,0)-IF(AND(Projects!$G$30="Yes",V$3=Projects!$C$30+Projects!$D$30-1),Projects!$B$30*(Assumptions!$B$10+Assumptions!$B$11+Assumptions!$B$12)*0.05,0)</f>
        <v>0</v>
      </c>
      <c r="W39" s="30" t="n">
        <f aca="false">IF(AND(Projects!$G$30="Yes",W$3&gt;=Projects!$C$30,W$3&lt;Projects!$C$30+Projects!$D$30),Projects!$B$30*INDEX(Curves!$B$4:$AR$4,1,W$3-Projects!$C$30+1),0)-IF(AND(Projects!$G$30="Yes",W$3&gt;=Projects!$C$30,W$3&lt;Projects!$C$30+Projects!$D$30),Projects!$B$30*(Assumptions!$B$10+Assumptions!$B$11+Assumptions!$B$12)/Projects!$D$30*0.95,0)-IF(AND(Projects!$G$30="Yes",W$3=Projects!$C$30+Projects!$D$30-1),Projects!$B$30*(Assumptions!$B$10+Assumptions!$B$11+Assumptions!$B$12)*0.05,0)</f>
        <v>0</v>
      </c>
      <c r="X39" s="30" t="n">
        <f aca="false">IF(AND(Projects!$G$30="Yes",X$3&gt;=Projects!$C$30,X$3&lt;Projects!$C$30+Projects!$D$30),Projects!$B$30*INDEX(Curves!$B$4:$AR$4,1,X$3-Projects!$C$30+1),0)-IF(AND(Projects!$G$30="Yes",X$3&gt;=Projects!$C$30,X$3&lt;Projects!$C$30+Projects!$D$30),Projects!$B$30*(Assumptions!$B$10+Assumptions!$B$11+Assumptions!$B$12)/Projects!$D$30*0.95,0)-IF(AND(Projects!$G$30="Yes",X$3=Projects!$C$30+Projects!$D$30-1),Projects!$B$30*(Assumptions!$B$10+Assumptions!$B$11+Assumptions!$B$12)*0.05,0)</f>
        <v>0</v>
      </c>
      <c r="Y39" s="30" t="n">
        <f aca="false">IF(AND(Projects!$G$30="Yes",Y$3&gt;=Projects!$C$30,Y$3&lt;Projects!$C$30+Projects!$D$30),Projects!$B$30*INDEX(Curves!$B$4:$AR$4,1,Y$3-Projects!$C$30+1),0)-IF(AND(Projects!$G$30="Yes",Y$3&gt;=Projects!$C$30,Y$3&lt;Projects!$C$30+Projects!$D$30),Projects!$B$30*(Assumptions!$B$10+Assumptions!$B$11+Assumptions!$B$12)/Projects!$D$30*0.95,0)-IF(AND(Projects!$G$30="Yes",Y$3=Projects!$C$30+Projects!$D$30-1),Projects!$B$30*(Assumptions!$B$10+Assumptions!$B$11+Assumptions!$B$12)*0.05,0)</f>
        <v>0</v>
      </c>
      <c r="Z39" s="30" t="n">
        <f aca="false">IF(AND(Projects!$G$30="Yes",Z$3&gt;=Projects!$C$30,Z$3&lt;Projects!$C$30+Projects!$D$30),Projects!$B$30*INDEX(Curves!$B$4:$AR$4,1,Z$3-Projects!$C$30+1),0)-IF(AND(Projects!$G$30="Yes",Z$3&gt;=Projects!$C$30,Z$3&lt;Projects!$C$30+Projects!$D$30),Projects!$B$30*(Assumptions!$B$10+Assumptions!$B$11+Assumptions!$B$12)/Projects!$D$30*0.95,0)-IF(AND(Projects!$G$30="Yes",Z$3=Projects!$C$30+Projects!$D$30-1),Projects!$B$30*(Assumptions!$B$10+Assumptions!$B$11+Assumptions!$B$12)*0.05,0)</f>
        <v>0</v>
      </c>
      <c r="AA39" s="30" t="n">
        <f aca="false">IF(AND(Projects!$G$30="Yes",AA$3&gt;=Projects!$C$30,AA$3&lt;Projects!$C$30+Projects!$D$30),Projects!$B$30*INDEX(Curves!$B$4:$AR$4,1,AA$3-Projects!$C$30+1),0)-IF(AND(Projects!$G$30="Yes",AA$3&gt;=Projects!$C$30,AA$3&lt;Projects!$C$30+Projects!$D$30),Projects!$B$30*(Assumptions!$B$10+Assumptions!$B$11+Assumptions!$B$12)/Projects!$D$30*0.95,0)-IF(AND(Projects!$G$30="Yes",AA$3=Projects!$C$30+Projects!$D$30-1),Projects!$B$30*(Assumptions!$B$10+Assumptions!$B$11+Assumptions!$B$12)*0.05,0)</f>
        <v>0</v>
      </c>
      <c r="AB39" s="30" t="n">
        <f aca="false">IF(AND(Projects!$G$30="Yes",AB$3&gt;=Projects!$C$30,AB$3&lt;Projects!$C$30+Projects!$D$30),Projects!$B$30*INDEX(Curves!$B$4:$AR$4,1,AB$3-Projects!$C$30+1),0)-IF(AND(Projects!$G$30="Yes",AB$3&gt;=Projects!$C$30,AB$3&lt;Projects!$C$30+Projects!$D$30),Projects!$B$30*(Assumptions!$B$10+Assumptions!$B$11+Assumptions!$B$12)/Projects!$D$30*0.95,0)-IF(AND(Projects!$G$30="Yes",AB$3=Projects!$C$30+Projects!$D$30-1),Projects!$B$30*(Assumptions!$B$10+Assumptions!$B$11+Assumptions!$B$12)*0.05,0)</f>
        <v>0</v>
      </c>
      <c r="AC39" s="30" t="n">
        <f aca="false">IF(AND(Projects!$G$30="Yes",AC$3&gt;=Projects!$C$30,AC$3&lt;Projects!$C$30+Projects!$D$30),Projects!$B$30*INDEX(Curves!$B$4:$AR$4,1,AC$3-Projects!$C$30+1),0)-IF(AND(Projects!$G$30="Yes",AC$3&gt;=Projects!$C$30,AC$3&lt;Projects!$C$30+Projects!$D$30),Projects!$B$30*(Assumptions!$B$10+Assumptions!$B$11+Assumptions!$B$12)/Projects!$D$30*0.95,0)-IF(AND(Projects!$G$30="Yes",AC$3=Projects!$C$30+Projects!$D$30-1),Projects!$B$30*(Assumptions!$B$10+Assumptions!$B$11+Assumptions!$B$12)*0.05,0)</f>
        <v>0</v>
      </c>
      <c r="AD39" s="30" t="n">
        <f aca="false">IF(AND(Projects!$G$30="Yes",AD$3&gt;=Projects!$C$30,AD$3&lt;Projects!$C$30+Projects!$D$30),Projects!$B$30*INDEX(Curves!$B$4:$AR$4,1,AD$3-Projects!$C$30+1),0)-IF(AND(Projects!$G$30="Yes",AD$3&gt;=Projects!$C$30,AD$3&lt;Projects!$C$30+Projects!$D$30),Projects!$B$30*(Assumptions!$B$10+Assumptions!$B$11+Assumptions!$B$12)/Projects!$D$30*0.95,0)-IF(AND(Projects!$G$30="Yes",AD$3=Projects!$C$30+Projects!$D$30-1),Projects!$B$30*(Assumptions!$B$10+Assumptions!$B$11+Assumptions!$B$12)*0.05,0)</f>
        <v>0</v>
      </c>
      <c r="AE39" s="30" t="n">
        <f aca="false">IF(AND(Projects!$G$30="Yes",AE$3&gt;=Projects!$C$30,AE$3&lt;Projects!$C$30+Projects!$D$30),Projects!$B$30*INDEX(Curves!$B$4:$AR$4,1,AE$3-Projects!$C$30+1),0)-IF(AND(Projects!$G$30="Yes",AE$3&gt;=Projects!$C$30,AE$3&lt;Projects!$C$30+Projects!$D$30),Projects!$B$30*(Assumptions!$B$10+Assumptions!$B$11+Assumptions!$B$12)/Projects!$D$30*0.95,0)-IF(AND(Projects!$G$30="Yes",AE$3=Projects!$C$30+Projects!$D$30-1),Projects!$B$30*(Assumptions!$B$10+Assumptions!$B$11+Assumptions!$B$12)*0.05,0)</f>
        <v>0</v>
      </c>
      <c r="AF39" s="30" t="n">
        <f aca="false">IF(AND(Projects!$G$30="Yes",AF$3&gt;=Projects!$C$30,AF$3&lt;Projects!$C$30+Projects!$D$30),Projects!$B$30*INDEX(Curves!$B$4:$AR$4,1,AF$3-Projects!$C$30+1),0)-IF(AND(Projects!$G$30="Yes",AF$3&gt;=Projects!$C$30,AF$3&lt;Projects!$C$30+Projects!$D$30),Projects!$B$30*(Assumptions!$B$10+Assumptions!$B$11+Assumptions!$B$12)/Projects!$D$30*0.95,0)-IF(AND(Projects!$G$30="Yes",AF$3=Projects!$C$30+Projects!$D$30-1),Projects!$B$30*(Assumptions!$B$10+Assumptions!$B$11+Assumptions!$B$12)*0.05,0)</f>
        <v>0</v>
      </c>
      <c r="AG39" s="30" t="n">
        <f aca="false">IF(AND(Projects!$G$30="Yes",AG$3&gt;=Projects!$C$30,AG$3&lt;Projects!$C$30+Projects!$D$30),Projects!$B$30*INDEX(Curves!$B$4:$AR$4,1,AG$3-Projects!$C$30+1),0)-IF(AND(Projects!$G$30="Yes",AG$3&gt;=Projects!$C$30,AG$3&lt;Projects!$C$30+Projects!$D$30),Projects!$B$30*(Assumptions!$B$10+Assumptions!$B$11+Assumptions!$B$12)/Projects!$D$30*0.95,0)-IF(AND(Projects!$G$30="Yes",AG$3=Projects!$C$30+Projects!$D$30-1),Projects!$B$30*(Assumptions!$B$10+Assumptions!$B$11+Assumptions!$B$12)*0.05,0)</f>
        <v>0</v>
      </c>
      <c r="AH39" s="30" t="n">
        <f aca="false">IF(AND(Projects!$G$30="Yes",AH$3&gt;=Projects!$C$30,AH$3&lt;Projects!$C$30+Projects!$D$30),Projects!$B$30*INDEX(Curves!$B$4:$AR$4,1,AH$3-Projects!$C$30+1),0)-IF(AND(Projects!$G$30="Yes",AH$3&gt;=Projects!$C$30,AH$3&lt;Projects!$C$30+Projects!$D$30),Projects!$B$30*(Assumptions!$B$10+Assumptions!$B$11+Assumptions!$B$12)/Projects!$D$30*0.95,0)-IF(AND(Projects!$G$30="Yes",AH$3=Projects!$C$30+Projects!$D$30-1),Projects!$B$30*(Assumptions!$B$10+Assumptions!$B$11+Assumptions!$B$12)*0.05,0)</f>
        <v>0</v>
      </c>
      <c r="AI39" s="30" t="n">
        <f aca="false">IF(AND(Projects!$G$30="Yes",AI$3&gt;=Projects!$C$30,AI$3&lt;Projects!$C$30+Projects!$D$30),Projects!$B$30*INDEX(Curves!$B$4:$AR$4,1,AI$3-Projects!$C$30+1),0)-IF(AND(Projects!$G$30="Yes",AI$3&gt;=Projects!$C$30,AI$3&lt;Projects!$C$30+Projects!$D$30),Projects!$B$30*(Assumptions!$B$10+Assumptions!$B$11+Assumptions!$B$12)/Projects!$D$30*0.95,0)-IF(AND(Projects!$G$30="Yes",AI$3=Projects!$C$30+Projects!$D$30-1),Projects!$B$30*(Assumptions!$B$10+Assumptions!$B$11+Assumptions!$B$12)*0.05,0)</f>
        <v>0</v>
      </c>
      <c r="AJ39" s="30" t="n">
        <f aca="false">IF(AND(Projects!$G$30="Yes",AJ$3&gt;=Projects!$C$30,AJ$3&lt;Projects!$C$30+Projects!$D$30),Projects!$B$30*INDEX(Curves!$B$4:$AR$4,1,AJ$3-Projects!$C$30+1),0)-IF(AND(Projects!$G$30="Yes",AJ$3&gt;=Projects!$C$30,AJ$3&lt;Projects!$C$30+Projects!$D$30),Projects!$B$30*(Assumptions!$B$10+Assumptions!$B$11+Assumptions!$B$12)/Projects!$D$30*0.95,0)-IF(AND(Projects!$G$30="Yes",AJ$3=Projects!$C$30+Projects!$D$30-1),Projects!$B$30*(Assumptions!$B$10+Assumptions!$B$11+Assumptions!$B$12)*0.05,0)</f>
        <v>0</v>
      </c>
      <c r="AK39" s="30" t="n">
        <f aca="false">IF(AND(Projects!$G$30="Yes",AK$3&gt;=Projects!$C$30,AK$3&lt;Projects!$C$30+Projects!$D$30),Projects!$B$30*INDEX(Curves!$B$4:$AR$4,1,AK$3-Projects!$C$30+1),0)-IF(AND(Projects!$G$30="Yes",AK$3&gt;=Projects!$C$30,AK$3&lt;Projects!$C$30+Projects!$D$30),Projects!$B$30*(Assumptions!$B$10+Assumptions!$B$11+Assumptions!$B$12)/Projects!$D$30*0.95,0)-IF(AND(Projects!$G$30="Yes",AK$3=Projects!$C$30+Projects!$D$30-1),Projects!$B$30*(Assumptions!$B$10+Assumptions!$B$11+Assumptions!$B$12)*0.05,0)</f>
        <v>0</v>
      </c>
      <c r="AL39" s="30" t="n">
        <f aca="false">IF(AND(Projects!$G$30="Yes",AL$3&gt;=Projects!$C$30,AL$3&lt;Projects!$C$30+Projects!$D$30),Projects!$B$30*INDEX(Curves!$B$4:$AR$4,1,AL$3-Projects!$C$30+1),0)-IF(AND(Projects!$G$30="Yes",AL$3&gt;=Projects!$C$30,AL$3&lt;Projects!$C$30+Projects!$D$30),Projects!$B$30*(Assumptions!$B$10+Assumptions!$B$11+Assumptions!$B$12)/Projects!$D$30*0.95,0)-IF(AND(Projects!$G$30="Yes",AL$3=Projects!$C$30+Projects!$D$30-1),Projects!$B$30*(Assumptions!$B$10+Assumptions!$B$11+Assumptions!$B$12)*0.05,0)</f>
        <v>0</v>
      </c>
      <c r="AM39" s="30" t="n">
        <f aca="false">IF(AND(Projects!$G$30="Yes",AM$3&gt;=Projects!$C$30,AM$3&lt;Projects!$C$30+Projects!$D$30),Projects!$B$30*INDEX(Curves!$B$4:$AR$4,1,AM$3-Projects!$C$30+1),0)-IF(AND(Projects!$G$30="Yes",AM$3&gt;=Projects!$C$30,AM$3&lt;Projects!$C$30+Projects!$D$30),Projects!$B$30*(Assumptions!$B$10+Assumptions!$B$11+Assumptions!$B$12)/Projects!$D$30*0.95,0)-IF(AND(Projects!$G$30="Yes",AM$3=Projects!$C$30+Projects!$D$30-1),Projects!$B$30*(Assumptions!$B$10+Assumptions!$B$11+Assumptions!$B$12)*0.05,0)</f>
        <v>0</v>
      </c>
      <c r="AN39" s="30" t="n">
        <f aca="false">IF(AND(Projects!$G$30="Yes",AN$3&gt;=Projects!$C$30,AN$3&lt;Projects!$C$30+Projects!$D$30),Projects!$B$30*INDEX(Curves!$B$4:$AR$4,1,AN$3-Projects!$C$30+1),0)-IF(AND(Projects!$G$30="Yes",AN$3&gt;=Projects!$C$30,AN$3&lt;Projects!$C$30+Projects!$D$30),Projects!$B$30*(Assumptions!$B$10+Assumptions!$B$11+Assumptions!$B$12)/Projects!$D$30*0.95,0)-IF(AND(Projects!$G$30="Yes",AN$3=Projects!$C$30+Projects!$D$30-1),Projects!$B$30*(Assumptions!$B$10+Assumptions!$B$11+Assumptions!$B$12)*0.05,0)</f>
        <v>0</v>
      </c>
      <c r="AO39" s="30" t="n">
        <f aca="false">IF(AND(Projects!$G$30="Yes",AO$3&gt;=Projects!$C$30,AO$3&lt;Projects!$C$30+Projects!$D$30),Projects!$B$30*INDEX(Curves!$B$4:$AR$4,1,AO$3-Projects!$C$30+1),0)-IF(AND(Projects!$G$30="Yes",AO$3&gt;=Projects!$C$30,AO$3&lt;Projects!$C$30+Projects!$D$30),Projects!$B$30*(Assumptions!$B$10+Assumptions!$B$11+Assumptions!$B$12)/Projects!$D$30*0.95,0)-IF(AND(Projects!$G$30="Yes",AO$3=Projects!$C$30+Projects!$D$30-1),Projects!$B$30*(Assumptions!$B$10+Assumptions!$B$11+Assumptions!$B$12)*0.05,0)</f>
        <v>0</v>
      </c>
      <c r="AP39" s="30" t="n">
        <f aca="false">IF(AND(Projects!$G$30="Yes",AP$3&gt;=Projects!$C$30,AP$3&lt;Projects!$C$30+Projects!$D$30),Projects!$B$30*INDEX(Curves!$B$4:$AR$4,1,AP$3-Projects!$C$30+1),0)-IF(AND(Projects!$G$30="Yes",AP$3&gt;=Projects!$C$30,AP$3&lt;Projects!$C$30+Projects!$D$30),Projects!$B$30*(Assumptions!$B$10+Assumptions!$B$11+Assumptions!$B$12)/Projects!$D$30*0.95,0)-IF(AND(Projects!$G$30="Yes",AP$3=Projects!$C$30+Projects!$D$30-1),Projects!$B$30*(Assumptions!$B$10+Assumptions!$B$11+Assumptions!$B$12)*0.05,0)</f>
        <v>0</v>
      </c>
      <c r="AQ39" s="30" t="n">
        <f aca="false">IF(AND(Projects!$G$30="Yes",AQ$3&gt;=Projects!$C$30,AQ$3&lt;Projects!$C$30+Projects!$D$30),Projects!$B$30*INDEX(Curves!$B$4:$AR$4,1,AQ$3-Projects!$C$30+1),0)-IF(AND(Projects!$G$30="Yes",AQ$3&gt;=Projects!$C$30,AQ$3&lt;Projects!$C$30+Projects!$D$30),Projects!$B$30*(Assumptions!$B$10+Assumptions!$B$11+Assumptions!$B$12)/Projects!$D$30*0.95,0)-IF(AND(Projects!$G$30="Yes",AQ$3=Projects!$C$30+Projects!$D$30-1),Projects!$B$30*(Assumptions!$B$10+Assumptions!$B$11+Assumptions!$B$12)*0.05,0)</f>
        <v>0</v>
      </c>
      <c r="AR39" s="30" t="n">
        <f aca="false">IF(AND(Projects!$G$30="Yes",AR$3&gt;=Projects!$C$30,AR$3&lt;Projects!$C$30+Projects!$D$30),Projects!$B$30*INDEX(Curves!$B$4:$AR$4,1,AR$3-Projects!$C$30+1),0)-IF(AND(Projects!$G$30="Yes",AR$3&gt;=Projects!$C$30,AR$3&lt;Projects!$C$30+Projects!$D$30),Projects!$B$30*(Assumptions!$B$10+Assumptions!$B$11+Assumptions!$B$12)/Projects!$D$30*0.95,0)-IF(AND(Projects!$G$30="Yes",AR$3=Projects!$C$30+Projects!$D$30-1),Projects!$B$30*(Assumptions!$B$10+Assumptions!$B$11+Assumptions!$B$12)*0.05,0)</f>
        <v>0</v>
      </c>
      <c r="AS39" s="30" t="n">
        <f aca="false">IF(AND(Projects!$G$30="Yes",AS$3&gt;=Projects!$C$30,AS$3&lt;Projects!$C$30+Projects!$D$30),Projects!$B$30*INDEX(Curves!$B$4:$AR$4,1,AS$3-Projects!$C$30+1),0)-IF(AND(Projects!$G$30="Yes",AS$3&gt;=Projects!$C$30,AS$3&lt;Projects!$C$30+Projects!$D$30),Projects!$B$30*(Assumptions!$B$10+Assumptions!$B$11+Assumptions!$B$12)/Projects!$D$30*0.95,0)-IF(AND(Projects!$G$30="Yes",AS$3=Projects!$C$30+Projects!$D$30-1),Projects!$B$30*(Assumptions!$B$10+Assumptions!$B$11+Assumptions!$B$12)*0.05,0)</f>
        <v>0</v>
      </c>
      <c r="AT39" s="30" t="n">
        <f aca="false">IF(AND(Projects!$G$30="Yes",AT$3&gt;=Projects!$C$30,AT$3&lt;Projects!$C$30+Projects!$D$30),Projects!$B$30*INDEX(Curves!$B$4:$AR$4,1,AT$3-Projects!$C$30+1),0)-IF(AND(Projects!$G$30="Yes",AT$3&gt;=Projects!$C$30,AT$3&lt;Projects!$C$30+Projects!$D$30),Projects!$B$30*(Assumptions!$B$10+Assumptions!$B$11+Assumptions!$B$12)/Projects!$D$30*0.95,0)-IF(AND(Projects!$G$30="Yes",AT$3=Projects!$C$30+Projects!$D$30-1),Projects!$B$30*(Assumptions!$B$10+Assumptions!$B$11+Assumptions!$B$12)*0.05,0)</f>
        <v>0</v>
      </c>
      <c r="AU39" s="30" t="n">
        <f aca="false">IF(AND(Projects!$G$30="Yes",AU$3&gt;=Projects!$C$30,AU$3&lt;Projects!$C$30+Projects!$D$30),Projects!$B$30*INDEX(Curves!$B$4:$AR$4,1,AU$3-Projects!$C$30+1),0)-IF(AND(Projects!$G$30="Yes",AU$3&gt;=Projects!$C$30,AU$3&lt;Projects!$C$30+Projects!$D$30),Projects!$B$30*(Assumptions!$B$10+Assumptions!$B$11+Assumptions!$B$12)/Projects!$D$30*0.95,0)-IF(AND(Projects!$G$30="Yes",AU$3=Projects!$C$30+Projects!$D$30-1),Projects!$B$30*(Assumptions!$B$10+Assumptions!$B$11+Assumptions!$B$12)*0.05,0)</f>
        <v>0</v>
      </c>
      <c r="AV39" s="30" t="n">
        <f aca="false">IF(AND(Projects!$G$30="Yes",AV$3&gt;=Projects!$C$30,AV$3&lt;Projects!$C$30+Projects!$D$30),Projects!$B$30*INDEX(Curves!$B$4:$AR$4,1,AV$3-Projects!$C$30+1),0)-IF(AND(Projects!$G$30="Yes",AV$3&gt;=Projects!$C$30,AV$3&lt;Projects!$C$30+Projects!$D$30),Projects!$B$30*(Assumptions!$B$10+Assumptions!$B$11+Assumptions!$B$12)/Projects!$D$30*0.95,0)-IF(AND(Projects!$G$30="Yes",AV$3=Projects!$C$30+Projects!$D$30-1),Projects!$B$30*(Assumptions!$B$10+Assumptions!$B$11+Assumptions!$B$12)*0.05,0)</f>
        <v>0</v>
      </c>
      <c r="AW39" s="30" t="n">
        <f aca="false">IF(AND(Projects!$G$30="Yes",AW$3&gt;=Projects!$C$30,AW$3&lt;Projects!$C$30+Projects!$D$30),Projects!$B$30*INDEX(Curves!$B$4:$AR$4,1,AW$3-Projects!$C$30+1),0)-IF(AND(Projects!$G$30="Yes",AW$3&gt;=Projects!$C$30,AW$3&lt;Projects!$C$30+Projects!$D$30),Projects!$B$30*(Assumptions!$B$10+Assumptions!$B$11+Assumptions!$B$12)/Projects!$D$30*0.95,0)-IF(AND(Projects!$G$30="Yes",AW$3=Projects!$C$30+Projects!$D$30-1),Projects!$B$30*(Assumptions!$B$10+Assumptions!$B$11+Assumptions!$B$12)*0.05,0)</f>
        <v>0</v>
      </c>
      <c r="AX39" s="30" t="n">
        <f aca="false">IF(AND(Projects!$G$30="Yes",AX$3&gt;=Projects!$C$30,AX$3&lt;Projects!$C$30+Projects!$D$30),Projects!$B$30*INDEX(Curves!$B$4:$AR$4,1,AX$3-Projects!$C$30+1),0)-IF(AND(Projects!$G$30="Yes",AX$3&gt;=Projects!$C$30,AX$3&lt;Projects!$C$30+Projects!$D$30),Projects!$B$30*(Assumptions!$B$10+Assumptions!$B$11+Assumptions!$B$12)/Projects!$D$30*0.95,0)-IF(AND(Projects!$G$30="Yes",AX$3=Projects!$C$30+Projects!$D$30-1),Projects!$B$30*(Assumptions!$B$10+Assumptions!$B$11+Assumptions!$B$12)*0.05,0)</f>
        <v>0</v>
      </c>
      <c r="AY39" s="30" t="n">
        <f aca="false">IF(AND(Projects!$G$30="Yes",AY$3&gt;=Projects!$C$30,AY$3&lt;Projects!$C$30+Projects!$D$30),Projects!$B$30*INDEX(Curves!$B$4:$AR$4,1,AY$3-Projects!$C$30+1),0)-IF(AND(Projects!$G$30="Yes",AY$3&gt;=Projects!$C$30,AY$3&lt;Projects!$C$30+Projects!$D$30),Projects!$B$30*(Assumptions!$B$10+Assumptions!$B$11+Assumptions!$B$12)/Projects!$D$30*0.95,0)-IF(AND(Projects!$G$30="Yes",AY$3=Projects!$C$30+Projects!$D$30-1),Projects!$B$30*(Assumptions!$B$10+Assumptions!$B$11+Assumptions!$B$12)*0.05,0)</f>
        <v>0</v>
      </c>
      <c r="AZ39" s="30" t="n">
        <f aca="false">IF(AND(Projects!$G$30="Yes",AZ$3&gt;=Projects!$C$30,AZ$3&lt;Projects!$C$30+Projects!$D$30),Projects!$B$30*INDEX(Curves!$B$4:$AR$4,1,AZ$3-Projects!$C$30+1),0)-IF(AND(Projects!$G$30="Yes",AZ$3&gt;=Projects!$C$30,AZ$3&lt;Projects!$C$30+Projects!$D$30),Projects!$B$30*(Assumptions!$B$10+Assumptions!$B$11+Assumptions!$B$12)/Projects!$D$30*0.95,0)-IF(AND(Projects!$G$30="Yes",AZ$3=Projects!$C$30+Projects!$D$30-1),Projects!$B$30*(Assumptions!$B$10+Assumptions!$B$11+Assumptions!$B$12)*0.05,0)</f>
        <v>0</v>
      </c>
      <c r="BA39" s="30" t="n">
        <f aca="false">IF(AND(Projects!$G$30="Yes",BA$3&gt;=Projects!$C$30,BA$3&lt;Projects!$C$30+Projects!$D$30),Projects!$B$30*INDEX(Curves!$B$4:$AR$4,1,BA$3-Projects!$C$30+1),0)-IF(AND(Projects!$G$30="Yes",BA$3&gt;=Projects!$C$30,BA$3&lt;Projects!$C$30+Projects!$D$30),Projects!$B$30*(Assumptions!$B$10+Assumptions!$B$11+Assumptions!$B$12)/Projects!$D$30*0.95,0)-IF(AND(Projects!$G$30="Yes",BA$3=Projects!$C$30+Projects!$D$30-1),Projects!$B$30*(Assumptions!$B$10+Assumptions!$B$11+Assumptions!$B$12)*0.05,0)</f>
        <v>0</v>
      </c>
      <c r="BB39" s="30" t="n">
        <f aca="false">IF(AND(Projects!$G$30="Yes",BB$3&gt;=Projects!$C$30,BB$3&lt;Projects!$C$30+Projects!$D$30),Projects!$B$30*INDEX(Curves!$B$4:$AR$4,1,BB$3-Projects!$C$30+1),0)-IF(AND(Projects!$G$30="Yes",BB$3&gt;=Projects!$C$30,BB$3&lt;Projects!$C$30+Projects!$D$30),Projects!$B$30*(Assumptions!$B$10+Assumptions!$B$11+Assumptions!$B$12)/Projects!$D$30*0.95,0)-IF(AND(Projects!$G$30="Yes",BB$3=Projects!$C$30+Projects!$D$30-1),Projects!$B$30*(Assumptions!$B$10+Assumptions!$B$11+Assumptions!$B$12)*0.05,0)</f>
        <v>0</v>
      </c>
      <c r="BC39" s="30" t="n">
        <f aca="false">IF(AND(Projects!$G$30="Yes",BC$3&gt;=Projects!$C$30,BC$3&lt;Projects!$C$30+Projects!$D$30),Projects!$B$30*INDEX(Curves!$B$4:$AR$4,1,BC$3-Projects!$C$30+1),0)-IF(AND(Projects!$G$30="Yes",BC$3&gt;=Projects!$C$30,BC$3&lt;Projects!$C$30+Projects!$D$30),Projects!$B$30*(Assumptions!$B$10+Assumptions!$B$11+Assumptions!$B$12)/Projects!$D$30*0.95,0)-IF(AND(Projects!$G$30="Yes",BC$3=Projects!$C$30+Projects!$D$30-1),Projects!$B$30*(Assumptions!$B$10+Assumptions!$B$11+Assumptions!$B$12)*0.05,0)</f>
        <v>0</v>
      </c>
      <c r="BD39" s="30" t="n">
        <f aca="false">IF(AND(Projects!$G$30="Yes",BD$3&gt;=Projects!$C$30,BD$3&lt;Projects!$C$30+Projects!$D$30),Projects!$B$30*INDEX(Curves!$B$4:$AR$4,1,BD$3-Projects!$C$30+1),0)-IF(AND(Projects!$G$30="Yes",BD$3&gt;=Projects!$C$30,BD$3&lt;Projects!$C$30+Projects!$D$30),Projects!$B$30*(Assumptions!$B$10+Assumptions!$B$11+Assumptions!$B$12)/Projects!$D$30*0.95,0)-IF(AND(Projects!$G$30="Yes",BD$3=Projects!$C$30+Projects!$D$30-1),Projects!$B$30*(Assumptions!$B$10+Assumptions!$B$11+Assumptions!$B$12)*0.05,0)</f>
        <v>0</v>
      </c>
      <c r="BE39" s="30" t="n">
        <f aca="false">IF(AND(Projects!$G$30="Yes",BE$3&gt;=Projects!$C$30,BE$3&lt;Projects!$C$30+Projects!$D$30),Projects!$B$30*INDEX(Curves!$B$4:$AR$4,1,BE$3-Projects!$C$30+1),0)-IF(AND(Projects!$G$30="Yes",BE$3&gt;=Projects!$C$30,BE$3&lt;Projects!$C$30+Projects!$D$30),Projects!$B$30*(Assumptions!$B$10+Assumptions!$B$11+Assumptions!$B$12)/Projects!$D$30*0.95,0)-IF(AND(Projects!$G$30="Yes",BE$3=Projects!$C$30+Projects!$D$30-1),Projects!$B$30*(Assumptions!$B$10+Assumptions!$B$11+Assumptions!$B$12)*0.05,0)</f>
        <v>0</v>
      </c>
      <c r="BF39" s="30" t="n">
        <f aca="false">IF(AND(Projects!$G$30="Yes",BF$3&gt;=Projects!$C$30,BF$3&lt;Projects!$C$30+Projects!$D$30),Projects!$B$30*INDEX(Curves!$B$4:$AR$4,1,BF$3-Projects!$C$30+1),0)-IF(AND(Projects!$G$30="Yes",BF$3&gt;=Projects!$C$30,BF$3&lt;Projects!$C$30+Projects!$D$30),Projects!$B$30*(Assumptions!$B$10+Assumptions!$B$11+Assumptions!$B$12)/Projects!$D$30*0.95,0)-IF(AND(Projects!$G$30="Yes",BF$3=Projects!$C$30+Projects!$D$30-1),Projects!$B$30*(Assumptions!$B$10+Assumptions!$B$11+Assumptions!$B$12)*0.05,0)</f>
        <v>0</v>
      </c>
      <c r="BG39" s="30" t="n">
        <f aca="false">IF(AND(Projects!$G$30="Yes",BG$3&gt;=Projects!$C$30,BG$3&lt;Projects!$C$30+Projects!$D$30),Projects!$B$30*INDEX(Curves!$B$4:$AR$4,1,BG$3-Projects!$C$30+1),0)-IF(AND(Projects!$G$30="Yes",BG$3&gt;=Projects!$C$30,BG$3&lt;Projects!$C$30+Projects!$D$30),Projects!$B$30*(Assumptions!$B$10+Assumptions!$B$11+Assumptions!$B$12)/Projects!$D$30*0.95,0)-IF(AND(Projects!$G$30="Yes",BG$3=Projects!$C$30+Projects!$D$30-1),Projects!$B$30*(Assumptions!$B$10+Assumptions!$B$11+Assumptions!$B$12)*0.05,0)</f>
        <v>0</v>
      </c>
      <c r="BH39" s="30" t="n">
        <f aca="false">IF(AND(Projects!$G$30="Yes",BH$3&gt;=Projects!$C$30,BH$3&lt;Projects!$C$30+Projects!$D$30),Projects!$B$30*INDEX(Curves!$B$4:$AR$4,1,BH$3-Projects!$C$30+1),0)-IF(AND(Projects!$G$30="Yes",BH$3&gt;=Projects!$C$30,BH$3&lt;Projects!$C$30+Projects!$D$30),Projects!$B$30*(Assumptions!$B$10+Assumptions!$B$11+Assumptions!$B$12)/Projects!$D$30*0.95,0)-IF(AND(Projects!$G$30="Yes",BH$3=Projects!$C$30+Projects!$D$30-1),Projects!$B$30*(Assumptions!$B$10+Assumptions!$B$11+Assumptions!$B$12)*0.05,0)</f>
        <v>0</v>
      </c>
      <c r="BI39" s="30" t="n">
        <f aca="false">IF(AND(Projects!$G$30="Yes",BI$3&gt;=Projects!$C$30,BI$3&lt;Projects!$C$30+Projects!$D$30),Projects!$B$30*INDEX(Curves!$B$4:$AR$4,1,BI$3-Projects!$C$30+1),0)-IF(AND(Projects!$G$30="Yes",BI$3&gt;=Projects!$C$30,BI$3&lt;Projects!$C$30+Projects!$D$30),Projects!$B$30*(Assumptions!$B$10+Assumptions!$B$11+Assumptions!$B$12)/Projects!$D$30*0.95,0)-IF(AND(Projects!$G$30="Yes",BI$3=Projects!$C$30+Projects!$D$30-1),Projects!$B$30*(Assumptions!$B$10+Assumptions!$B$11+Assumptions!$B$12)*0.05,0)</f>
        <v>0</v>
      </c>
      <c r="BJ39" s="30" t="n">
        <f aca="false">IF(AND(Projects!$G$30="Yes",BJ$3&gt;=Projects!$C$30,BJ$3&lt;Projects!$C$30+Projects!$D$30),Projects!$B$30*INDEX(Curves!$B$4:$AR$4,1,BJ$3-Projects!$C$30+1),0)-IF(AND(Projects!$G$30="Yes",BJ$3&gt;=Projects!$C$30,BJ$3&lt;Projects!$C$30+Projects!$D$30),Projects!$B$30*(Assumptions!$B$10+Assumptions!$B$11+Assumptions!$B$12)/Projects!$D$30*0.95,0)-IF(AND(Projects!$G$30="Yes",BJ$3=Projects!$C$30+Projects!$D$30-1),Projects!$B$30*(Assumptions!$B$10+Assumptions!$B$11+Assumptions!$B$12)*0.05,0)</f>
        <v>0</v>
      </c>
      <c r="BK39" s="30" t="n">
        <f aca="false">IF(AND(Projects!$G$30="Yes",BK$3&gt;=Projects!$C$30,BK$3&lt;Projects!$C$30+Projects!$D$30),Projects!$B$30*INDEX(Curves!$B$4:$AR$4,1,BK$3-Projects!$C$30+1),0)-IF(AND(Projects!$G$30="Yes",BK$3&gt;=Projects!$C$30,BK$3&lt;Projects!$C$30+Projects!$D$30),Projects!$B$30*(Assumptions!$B$10+Assumptions!$B$11+Assumptions!$B$12)/Projects!$D$30*0.95,0)-IF(AND(Projects!$G$30="Yes",BK$3=Projects!$C$30+Projects!$D$30-1),Projects!$B$30*(Assumptions!$B$10+Assumptions!$B$11+Assumptions!$B$12)*0.05,0)</f>
        <v>0</v>
      </c>
      <c r="BL39" s="30" t="n">
        <f aca="false">IF(AND(Projects!$G$30="Yes",BL$3&gt;=Projects!$C$30,BL$3&lt;Projects!$C$30+Projects!$D$30),Projects!$B$30*INDEX(Curves!$B$4:$AR$4,1,BL$3-Projects!$C$30+1),0)-IF(AND(Projects!$G$30="Yes",BL$3&gt;=Projects!$C$30,BL$3&lt;Projects!$C$30+Projects!$D$30),Projects!$B$30*(Assumptions!$B$10+Assumptions!$B$11+Assumptions!$B$12)/Projects!$D$30*0.95,0)-IF(AND(Projects!$G$30="Yes",BL$3=Projects!$C$30+Projects!$D$30-1),Projects!$B$30*(Assumptions!$B$10+Assumptions!$B$11+Assumptions!$B$12)*0.05,0)</f>
        <v>0</v>
      </c>
      <c r="BM39" s="30" t="n">
        <f aca="false">IF(AND(Projects!$G$30="Yes",BM$3&gt;=Projects!$C$30,BM$3&lt;Projects!$C$30+Projects!$D$30),Projects!$B$30*INDEX(Curves!$B$4:$AR$4,1,BM$3-Projects!$C$30+1),0)-IF(AND(Projects!$G$30="Yes",BM$3&gt;=Projects!$C$30,BM$3&lt;Projects!$C$30+Projects!$D$30),Projects!$B$30*(Assumptions!$B$10+Assumptions!$B$11+Assumptions!$B$12)/Projects!$D$30*0.95,0)-IF(AND(Projects!$G$30="Yes",BM$3=Projects!$C$30+Projects!$D$30-1),Projects!$B$30*(Assumptions!$B$10+Assumptions!$B$11+Assumptions!$B$12)*0.05,0)</f>
        <v>0</v>
      </c>
      <c r="BN39" s="30" t="n">
        <f aca="false">IF(AND(Projects!$G$30="Yes",BN$3&gt;=Projects!$C$30,BN$3&lt;Projects!$C$30+Projects!$D$30),Projects!$B$30*INDEX(Curves!$B$4:$AR$4,1,BN$3-Projects!$C$30+1),0)-IF(AND(Projects!$G$30="Yes",BN$3&gt;=Projects!$C$30,BN$3&lt;Projects!$C$30+Projects!$D$30),Projects!$B$30*(Assumptions!$B$10+Assumptions!$B$11+Assumptions!$B$12)/Projects!$D$30*0.95,0)-IF(AND(Projects!$G$30="Yes",BN$3=Projects!$C$30+Projects!$D$30-1),Projects!$B$30*(Assumptions!$B$10+Assumptions!$B$11+Assumptions!$B$12)*0.05,0)</f>
        <v>0</v>
      </c>
      <c r="BO39" s="30" t="n">
        <f aca="false">IF(AND(Projects!$G$30="Yes",BO$3&gt;=Projects!$C$30,BO$3&lt;Projects!$C$30+Projects!$D$30),Projects!$B$30*INDEX(Curves!$B$4:$AR$4,1,BO$3-Projects!$C$30+1),0)-IF(AND(Projects!$G$30="Yes",BO$3&gt;=Projects!$C$30,BO$3&lt;Projects!$C$30+Projects!$D$30),Projects!$B$30*(Assumptions!$B$10+Assumptions!$B$11+Assumptions!$B$12)/Projects!$D$30*0.95,0)-IF(AND(Projects!$G$30="Yes",BO$3=Projects!$C$30+Projects!$D$30-1),Projects!$B$30*(Assumptions!$B$10+Assumptions!$B$11+Assumptions!$B$12)*0.05,0)</f>
        <v>0</v>
      </c>
      <c r="BP39" s="30" t="n">
        <f aca="false">IF(AND(Projects!$G$30="Yes",BP$3&gt;=Projects!$C$30,BP$3&lt;Projects!$C$30+Projects!$D$30),Projects!$B$30*INDEX(Curves!$B$4:$AR$4,1,BP$3-Projects!$C$30+1),0)-IF(AND(Projects!$G$30="Yes",BP$3&gt;=Projects!$C$30,BP$3&lt;Projects!$C$30+Projects!$D$30),Projects!$B$30*(Assumptions!$B$10+Assumptions!$B$11+Assumptions!$B$12)/Projects!$D$30*0.95,0)-IF(AND(Projects!$G$30="Yes",BP$3=Projects!$C$30+Projects!$D$30-1),Projects!$B$30*(Assumptions!$B$10+Assumptions!$B$11+Assumptions!$B$12)*0.05,0)</f>
        <v>0</v>
      </c>
      <c r="BQ39" s="30" t="n">
        <f aca="false">IF(AND(Projects!$G$30="Yes",BQ$3&gt;=Projects!$C$30,BQ$3&lt;Projects!$C$30+Projects!$D$30),Projects!$B$30*INDEX(Curves!$B$4:$AR$4,1,BQ$3-Projects!$C$30+1),0)-IF(AND(Projects!$G$30="Yes",BQ$3&gt;=Projects!$C$30,BQ$3&lt;Projects!$C$30+Projects!$D$30),Projects!$B$30*(Assumptions!$B$10+Assumptions!$B$11+Assumptions!$B$12)/Projects!$D$30*0.95,0)-IF(AND(Projects!$G$30="Yes",BQ$3=Projects!$C$30+Projects!$D$30-1),Projects!$B$30*(Assumptions!$B$10+Assumptions!$B$11+Assumptions!$B$12)*0.05,0)</f>
        <v>0</v>
      </c>
      <c r="BR39" s="30" t="n">
        <f aca="false">IF(AND(Projects!$G$30="Yes",BR$3&gt;=Projects!$C$30,BR$3&lt;Projects!$C$30+Projects!$D$30),Projects!$B$30*INDEX(Curves!$B$4:$AR$4,1,BR$3-Projects!$C$30+1),0)-IF(AND(Projects!$G$30="Yes",BR$3&gt;=Projects!$C$30,BR$3&lt;Projects!$C$30+Projects!$D$30),Projects!$B$30*(Assumptions!$B$10+Assumptions!$B$11+Assumptions!$B$12)/Projects!$D$30*0.95,0)-IF(AND(Projects!$G$30="Yes",BR$3=Projects!$C$30+Projects!$D$30-1),Projects!$B$30*(Assumptions!$B$10+Assumptions!$B$11+Assumptions!$B$12)*0.05,0)</f>
        <v>0</v>
      </c>
      <c r="BS39" s="30" t="n">
        <f aca="false">IF(AND(Projects!$G$30="Yes",BS$3&gt;=Projects!$C$30,BS$3&lt;Projects!$C$30+Projects!$D$30),Projects!$B$30*INDEX(Curves!$B$4:$AR$4,1,BS$3-Projects!$C$30+1),0)-IF(AND(Projects!$G$30="Yes",BS$3&gt;=Projects!$C$30,BS$3&lt;Projects!$C$30+Projects!$D$30),Projects!$B$30*(Assumptions!$B$10+Assumptions!$B$11+Assumptions!$B$12)/Projects!$D$30*0.95,0)-IF(AND(Projects!$G$30="Yes",BS$3=Projects!$C$30+Projects!$D$30-1),Projects!$B$30*(Assumptions!$B$10+Assumptions!$B$11+Assumptions!$B$12)*0.05,0)</f>
        <v>0</v>
      </c>
      <c r="BT39" s="30" t="n">
        <f aca="false">IF(AND(Projects!$G$30="Yes",BT$3&gt;=Projects!$C$30,BT$3&lt;Projects!$C$30+Projects!$D$30),Projects!$B$30*INDEX(Curves!$B$4:$AR$4,1,BT$3-Projects!$C$30+1),0)-IF(AND(Projects!$G$30="Yes",BT$3&gt;=Projects!$C$30,BT$3&lt;Projects!$C$30+Projects!$D$30),Projects!$B$30*(Assumptions!$B$10+Assumptions!$B$11+Assumptions!$B$12)/Projects!$D$30*0.95,0)-IF(AND(Projects!$G$30="Yes",BT$3=Projects!$C$30+Projects!$D$30-1),Projects!$B$30*(Assumptions!$B$10+Assumptions!$B$11+Assumptions!$B$12)*0.05,0)</f>
        <v>0</v>
      </c>
      <c r="BU39" s="30" t="n">
        <f aca="false">IF(AND(Projects!$G$30="Yes",BU$3&gt;=Projects!$C$30,BU$3&lt;Projects!$C$30+Projects!$D$30),Projects!$B$30*INDEX(Curves!$B$4:$AR$4,1,BU$3-Projects!$C$30+1),0)-IF(AND(Projects!$G$30="Yes",BU$3&gt;=Projects!$C$30,BU$3&lt;Projects!$C$30+Projects!$D$30),Projects!$B$30*(Assumptions!$B$10+Assumptions!$B$11+Assumptions!$B$12)/Projects!$D$30*0.95,0)-IF(AND(Projects!$G$30="Yes",BU$3=Projects!$C$30+Projects!$D$30-1),Projects!$B$30*(Assumptions!$B$10+Assumptions!$B$11+Assumptions!$B$12)*0.05,0)</f>
        <v>0</v>
      </c>
      <c r="BV39" s="30" t="n">
        <f aca="false">IF(AND(Projects!$G$30="Yes",BV$3&gt;=Projects!$C$30,BV$3&lt;Projects!$C$30+Projects!$D$30),Projects!$B$30*INDEX(Curves!$B$4:$AR$4,1,BV$3-Projects!$C$30+1),0)-IF(AND(Projects!$G$30="Yes",BV$3&gt;=Projects!$C$30,BV$3&lt;Projects!$C$30+Projects!$D$30),Projects!$B$30*(Assumptions!$B$10+Assumptions!$B$11+Assumptions!$B$12)/Projects!$D$30*0.95,0)-IF(AND(Projects!$G$30="Yes",BV$3=Projects!$C$30+Projects!$D$30-1),Projects!$B$30*(Assumptions!$B$10+Assumptions!$B$11+Assumptions!$B$12)*0.05,0)</f>
        <v>0</v>
      </c>
      <c r="BW39" s="30" t="n">
        <f aca="false">IF(AND(Projects!$G$30="Yes",BW$3&gt;=Projects!$C$30,BW$3&lt;Projects!$C$30+Projects!$D$30),Projects!$B$30*INDEX(Curves!$B$4:$AR$4,1,BW$3-Projects!$C$30+1),0)-IF(AND(Projects!$G$30="Yes",BW$3&gt;=Projects!$C$30,BW$3&lt;Projects!$C$30+Projects!$D$30),Projects!$B$30*(Assumptions!$B$10+Assumptions!$B$11+Assumptions!$B$12)/Projects!$D$30*0.95,0)-IF(AND(Projects!$G$30="Yes",BW$3=Projects!$C$30+Projects!$D$30-1),Projects!$B$30*(Assumptions!$B$10+Assumptions!$B$11+Assumptions!$B$12)*0.05,0)</f>
        <v>0</v>
      </c>
      <c r="BX39" s="30" t="n">
        <f aca="false">IF(AND(Projects!$G$30="Yes",BX$3&gt;=Projects!$C$30,BX$3&lt;Projects!$C$30+Projects!$D$30),Projects!$B$30*INDEX(Curves!$B$4:$AR$4,1,BX$3-Projects!$C$30+1),0)-IF(AND(Projects!$G$30="Yes",BX$3&gt;=Projects!$C$30,BX$3&lt;Projects!$C$30+Projects!$D$30),Projects!$B$30*(Assumptions!$B$10+Assumptions!$B$11+Assumptions!$B$12)/Projects!$D$30*0.95,0)-IF(AND(Projects!$G$30="Yes",BX$3=Projects!$C$30+Projects!$D$30-1),Projects!$B$30*(Assumptions!$B$10+Assumptions!$B$11+Assumptions!$B$12)*0.05,0)</f>
        <v>0</v>
      </c>
      <c r="BY39" s="30" t="n">
        <f aca="false">IF(AND(Projects!$G$30="Yes",BY$3&gt;=Projects!$C$30,BY$3&lt;Projects!$C$30+Projects!$D$30),Projects!$B$30*INDEX(Curves!$B$4:$AR$4,1,BY$3-Projects!$C$30+1),0)-IF(AND(Projects!$G$30="Yes",BY$3&gt;=Projects!$C$30,BY$3&lt;Projects!$C$30+Projects!$D$30),Projects!$B$30*(Assumptions!$B$10+Assumptions!$B$11+Assumptions!$B$12)/Projects!$D$30*0.95,0)-IF(AND(Projects!$G$30="Yes",BY$3=Projects!$C$30+Projects!$D$30-1),Projects!$B$30*(Assumptions!$B$10+Assumptions!$B$11+Assumptions!$B$12)*0.05,0)</f>
        <v>0</v>
      </c>
      <c r="BZ39" s="30" t="n">
        <f aca="false">IF(AND(Projects!$G$30="Yes",BZ$3&gt;=Projects!$C$30,BZ$3&lt;Projects!$C$30+Projects!$D$30),Projects!$B$30*INDEX(Curves!$B$4:$AR$4,1,BZ$3-Projects!$C$30+1),0)-IF(AND(Projects!$G$30="Yes",BZ$3&gt;=Projects!$C$30,BZ$3&lt;Projects!$C$30+Projects!$D$30),Projects!$B$30*(Assumptions!$B$10+Assumptions!$B$11+Assumptions!$B$12)/Projects!$D$30*0.95,0)-IF(AND(Projects!$G$30="Yes",BZ$3=Projects!$C$30+Projects!$D$30-1),Projects!$B$30*(Assumptions!$B$10+Assumptions!$B$11+Assumptions!$B$12)*0.05,0)</f>
        <v>0</v>
      </c>
      <c r="CA39" s="30" t="n">
        <f aca="false">IF(AND(Projects!$G$30="Yes",CA$3&gt;=Projects!$C$30,CA$3&lt;Projects!$C$30+Projects!$D$30),Projects!$B$30*INDEX(Curves!$B$4:$AR$4,1,CA$3-Projects!$C$30+1),0)-IF(AND(Projects!$G$30="Yes",CA$3&gt;=Projects!$C$30,CA$3&lt;Projects!$C$30+Projects!$D$30),Projects!$B$30*(Assumptions!$B$10+Assumptions!$B$11+Assumptions!$B$12)/Projects!$D$30*0.95,0)-IF(AND(Projects!$G$30="Yes",CA$3=Projects!$C$30+Projects!$D$30-1),Projects!$B$30*(Assumptions!$B$10+Assumptions!$B$11+Assumptions!$B$12)*0.05,0)</f>
        <v>0</v>
      </c>
      <c r="CB39" s="30" t="n">
        <f aca="false">IF(AND(Projects!$G$30="Yes",CB$3&gt;=Projects!$C$30,CB$3&lt;Projects!$C$30+Projects!$D$30),Projects!$B$30*INDEX(Curves!$B$4:$AR$4,1,CB$3-Projects!$C$30+1),0)-IF(AND(Projects!$G$30="Yes",CB$3&gt;=Projects!$C$30,CB$3&lt;Projects!$C$30+Projects!$D$30),Projects!$B$30*(Assumptions!$B$10+Assumptions!$B$11+Assumptions!$B$12)/Projects!$D$30*0.95,0)-IF(AND(Projects!$G$30="Yes",CB$3=Projects!$C$30+Projects!$D$30-1),Projects!$B$30*(Assumptions!$B$10+Assumptions!$B$11+Assumptions!$B$12)*0.05,0)</f>
        <v>0</v>
      </c>
      <c r="CC39" s="30" t="n">
        <f aca="false">IF(AND(Projects!$G$30="Yes",CC$3&gt;=Projects!$C$30,CC$3&lt;Projects!$C$30+Projects!$D$30),Projects!$B$30*INDEX(Curves!$B$4:$AR$4,1,CC$3-Projects!$C$30+1),0)-IF(AND(Projects!$G$30="Yes",CC$3&gt;=Projects!$C$30,CC$3&lt;Projects!$C$30+Projects!$D$30),Projects!$B$30*(Assumptions!$B$10+Assumptions!$B$11+Assumptions!$B$12)/Projects!$D$30*0.95,0)-IF(AND(Projects!$G$30="Yes",CC$3=Projects!$C$30+Projects!$D$30-1),Projects!$B$30*(Assumptions!$B$10+Assumptions!$B$11+Assumptions!$B$12)*0.05,0)</f>
        <v>0</v>
      </c>
      <c r="CD39" s="30" t="n">
        <f aca="false">IF(AND(Projects!$G$30="Yes",CD$3&gt;=Projects!$C$30,CD$3&lt;Projects!$C$30+Projects!$D$30),Projects!$B$30*INDEX(Curves!$B$4:$AR$4,1,CD$3-Projects!$C$30+1),0)-IF(AND(Projects!$G$30="Yes",CD$3&gt;=Projects!$C$30,CD$3&lt;Projects!$C$30+Projects!$D$30),Projects!$B$30*(Assumptions!$B$10+Assumptions!$B$11+Assumptions!$B$12)/Projects!$D$30*0.95,0)-IF(AND(Projects!$G$30="Yes",CD$3=Projects!$C$30+Projects!$D$30-1),Projects!$B$30*(Assumptions!$B$10+Assumptions!$B$11+Assumptions!$B$12)*0.05,0)</f>
        <v>0</v>
      </c>
      <c r="CE39" s="30" t="n">
        <f aca="false">IF(AND(Projects!$G$30="Yes",CE$3&gt;=Projects!$C$30,CE$3&lt;Projects!$C$30+Projects!$D$30),Projects!$B$30*INDEX(Curves!$B$4:$AR$4,1,CE$3-Projects!$C$30+1),0)-IF(AND(Projects!$G$30="Yes",CE$3&gt;=Projects!$C$30,CE$3&lt;Projects!$C$30+Projects!$D$30),Projects!$B$30*(Assumptions!$B$10+Assumptions!$B$11+Assumptions!$B$12)/Projects!$D$30*0.95,0)-IF(AND(Projects!$G$30="Yes",CE$3=Projects!$C$30+Projects!$D$30-1),Projects!$B$30*(Assumptions!$B$10+Assumptions!$B$11+Assumptions!$B$12)*0.05,0)</f>
        <v>0</v>
      </c>
      <c r="CF39" s="30" t="n">
        <f aca="false">IF(AND(Projects!$G$30="Yes",CF$3&gt;=Projects!$C$30,CF$3&lt;Projects!$C$30+Projects!$D$30),Projects!$B$30*INDEX(Curves!$B$4:$AR$4,1,CF$3-Projects!$C$30+1),0)-IF(AND(Projects!$G$30="Yes",CF$3&gt;=Projects!$C$30,CF$3&lt;Projects!$C$30+Projects!$D$30),Projects!$B$30*(Assumptions!$B$10+Assumptions!$B$11+Assumptions!$B$12)/Projects!$D$30*0.95,0)-IF(AND(Projects!$G$30="Yes",CF$3=Projects!$C$30+Projects!$D$30-1),Projects!$B$30*(Assumptions!$B$10+Assumptions!$B$11+Assumptions!$B$12)*0.05,0)</f>
        <v>0</v>
      </c>
      <c r="CG39" s="30" t="n">
        <f aca="false">IF(AND(Projects!$G$30="Yes",CG$3&gt;=Projects!$C$30,CG$3&lt;Projects!$C$30+Projects!$D$30),Projects!$B$30*INDEX(Curves!$B$4:$AR$4,1,CG$3-Projects!$C$30+1),0)-IF(AND(Projects!$G$30="Yes",CG$3&gt;=Projects!$C$30,CG$3&lt;Projects!$C$30+Projects!$D$30),Projects!$B$30*(Assumptions!$B$10+Assumptions!$B$11+Assumptions!$B$12)/Projects!$D$30*0.95,0)-IF(AND(Projects!$G$30="Yes",CG$3=Projects!$C$30+Projects!$D$30-1),Projects!$B$30*(Assumptions!$B$10+Assumptions!$B$11+Assumptions!$B$12)*0.05,0)</f>
        <v>0</v>
      </c>
      <c r="CH39" s="30" t="n">
        <f aca="false">IF(AND(Projects!$G$30="Yes",CH$3&gt;=Projects!$C$30,CH$3&lt;Projects!$C$30+Projects!$D$30),Projects!$B$30*INDEX(Curves!$B$4:$AR$4,1,CH$3-Projects!$C$30+1),0)-IF(AND(Projects!$G$30="Yes",CH$3&gt;=Projects!$C$30,CH$3&lt;Projects!$C$30+Projects!$D$30),Projects!$B$30*(Assumptions!$B$10+Assumptions!$B$11+Assumptions!$B$12)/Projects!$D$30*0.95,0)-IF(AND(Projects!$G$30="Yes",CH$3=Projects!$C$30+Projects!$D$30-1),Projects!$B$30*(Assumptions!$B$10+Assumptions!$B$11+Assumptions!$B$12)*0.05,0)</f>
        <v>0</v>
      </c>
      <c r="CI39" s="30" t="n">
        <f aca="false">IF(AND(Projects!$G$30="Yes",CI$3&gt;=Projects!$C$30,CI$3&lt;Projects!$C$30+Projects!$D$30),Projects!$B$30*INDEX(Curves!$B$4:$AR$4,1,CI$3-Projects!$C$30+1),0)-IF(AND(Projects!$G$30="Yes",CI$3&gt;=Projects!$C$30,CI$3&lt;Projects!$C$30+Projects!$D$30),Projects!$B$30*(Assumptions!$B$10+Assumptions!$B$11+Assumptions!$B$12)/Projects!$D$30*0.95,0)-IF(AND(Projects!$G$30="Yes",CI$3=Projects!$C$30+Projects!$D$30-1),Projects!$B$30*(Assumptions!$B$10+Assumptions!$B$11+Assumptions!$B$12)*0.05,0)</f>
        <v>0</v>
      </c>
      <c r="CJ39" s="30" t="n">
        <f aca="false">IF(AND(Projects!$G$30="Yes",CJ$3&gt;=Projects!$C$30,CJ$3&lt;Projects!$C$30+Projects!$D$30),Projects!$B$30*INDEX(Curves!$B$4:$AR$4,1,CJ$3-Projects!$C$30+1),0)-IF(AND(Projects!$G$30="Yes",CJ$3&gt;=Projects!$C$30,CJ$3&lt;Projects!$C$30+Projects!$D$30),Projects!$B$30*(Assumptions!$B$10+Assumptions!$B$11+Assumptions!$B$12)/Projects!$D$30*0.95,0)-IF(AND(Projects!$G$30="Yes",CJ$3=Projects!$C$30+Projects!$D$30-1),Projects!$B$30*(Assumptions!$B$10+Assumptions!$B$11+Assumptions!$B$12)*0.05,0)</f>
        <v>0</v>
      </c>
      <c r="CK39" s="30" t="n">
        <f aca="false">IF(AND(Projects!$G$30="Yes",CK$3&gt;=Projects!$C$30,CK$3&lt;Projects!$C$30+Projects!$D$30),Projects!$B$30*INDEX(Curves!$B$4:$AR$4,1,CK$3-Projects!$C$30+1),0)-IF(AND(Projects!$G$30="Yes",CK$3&gt;=Projects!$C$30,CK$3&lt;Projects!$C$30+Projects!$D$30),Projects!$B$30*(Assumptions!$B$10+Assumptions!$B$11+Assumptions!$B$12)/Projects!$D$30*0.95,0)-IF(AND(Projects!$G$30="Yes",CK$3=Projects!$C$30+Projects!$D$30-1),Projects!$B$30*(Assumptions!$B$10+Assumptions!$B$11+Assumptions!$B$12)*0.05,0)</f>
        <v>0</v>
      </c>
      <c r="CL39" s="30" t="n">
        <f aca="false">IF(AND(Projects!$G$30="Yes",CL$3&gt;=Projects!$C$30,CL$3&lt;Projects!$C$30+Projects!$D$30),Projects!$B$30*INDEX(Curves!$B$4:$AR$4,1,CL$3-Projects!$C$30+1),0)-IF(AND(Projects!$G$30="Yes",CL$3&gt;=Projects!$C$30,CL$3&lt;Projects!$C$30+Projects!$D$30),Projects!$B$30*(Assumptions!$B$10+Assumptions!$B$11+Assumptions!$B$12)/Projects!$D$30*0.95,0)-IF(AND(Projects!$G$30="Yes",CL$3=Projects!$C$30+Projects!$D$30-1),Projects!$B$30*(Assumptions!$B$10+Assumptions!$B$11+Assumptions!$B$12)*0.05,0)</f>
        <v>0</v>
      </c>
      <c r="CM39" s="30" t="n">
        <f aca="false">IF(AND(Projects!$G$30="Yes",CM$3&gt;=Projects!$C$30,CM$3&lt;Projects!$C$30+Projects!$D$30),Projects!$B$30*INDEX(Curves!$B$4:$AR$4,1,CM$3-Projects!$C$30+1),0)-IF(AND(Projects!$G$30="Yes",CM$3&gt;=Projects!$C$30,CM$3&lt;Projects!$C$30+Projects!$D$30),Projects!$B$30*(Assumptions!$B$10+Assumptions!$B$11+Assumptions!$B$12)/Projects!$D$30*0.95,0)-IF(AND(Projects!$G$30="Yes",CM$3=Projects!$C$30+Projects!$D$30-1),Projects!$B$30*(Assumptions!$B$10+Assumptions!$B$11+Assumptions!$B$12)*0.05,0)</f>
        <v>0</v>
      </c>
      <c r="CN39" s="30" t="n">
        <f aca="false">IF(AND(Projects!$G$30="Yes",CN$3&gt;=Projects!$C$30,CN$3&lt;Projects!$C$30+Projects!$D$30),Projects!$B$30*INDEX(Curves!$B$4:$AR$4,1,CN$3-Projects!$C$30+1),0)-IF(AND(Projects!$G$30="Yes",CN$3&gt;=Projects!$C$30,CN$3&lt;Projects!$C$30+Projects!$D$30),Projects!$B$30*(Assumptions!$B$10+Assumptions!$B$11+Assumptions!$B$12)/Projects!$D$30*0.95,0)-IF(AND(Projects!$G$30="Yes",CN$3=Projects!$C$30+Projects!$D$30-1),Projects!$B$30*(Assumptions!$B$10+Assumptions!$B$11+Assumptions!$B$12)*0.05,0)</f>
        <v>0</v>
      </c>
      <c r="CO39" s="30" t="n">
        <f aca="false">IF(AND(Projects!$G$30="Yes",CO$3&gt;=Projects!$C$30,CO$3&lt;Projects!$C$30+Projects!$D$30),Projects!$B$30*INDEX(Curves!$B$4:$AR$4,1,CO$3-Projects!$C$30+1),0)-IF(AND(Projects!$G$30="Yes",CO$3&gt;=Projects!$C$30,CO$3&lt;Projects!$C$30+Projects!$D$30),Projects!$B$30*(Assumptions!$B$10+Assumptions!$B$11+Assumptions!$B$12)/Projects!$D$30*0.95,0)-IF(AND(Projects!$G$30="Yes",CO$3=Projects!$C$30+Projects!$D$30-1),Projects!$B$30*(Assumptions!$B$10+Assumptions!$B$11+Assumptions!$B$12)*0.05,0)</f>
        <v>0</v>
      </c>
      <c r="CP39" s="30" t="n">
        <f aca="false">IF(AND(Projects!$G$30="Yes",CP$3&gt;=Projects!$C$30,CP$3&lt;Projects!$C$30+Projects!$D$30),Projects!$B$30*INDEX(Curves!$B$4:$AR$4,1,CP$3-Projects!$C$30+1),0)-IF(AND(Projects!$G$30="Yes",CP$3&gt;=Projects!$C$30,CP$3&lt;Projects!$C$30+Projects!$D$30),Projects!$B$30*(Assumptions!$B$10+Assumptions!$B$11+Assumptions!$B$12)/Projects!$D$30*0.95,0)-IF(AND(Projects!$G$30="Yes",CP$3=Projects!$C$30+Projects!$D$30-1),Projects!$B$30*(Assumptions!$B$10+Assumptions!$B$11+Assumptions!$B$12)*0.05,0)</f>
        <v>0</v>
      </c>
      <c r="CQ39" s="30" t="n">
        <f aca="false">IF(AND(Projects!$G$30="Yes",CQ$3&gt;=Projects!$C$30,CQ$3&lt;Projects!$C$30+Projects!$D$30),Projects!$B$30*INDEX(Curves!$B$4:$AR$4,1,CQ$3-Projects!$C$30+1),0)-IF(AND(Projects!$G$30="Yes",CQ$3&gt;=Projects!$C$30,CQ$3&lt;Projects!$C$30+Projects!$D$30),Projects!$B$30*(Assumptions!$B$10+Assumptions!$B$11+Assumptions!$B$12)/Projects!$D$30*0.95,0)-IF(AND(Projects!$G$30="Yes",CQ$3=Projects!$C$30+Projects!$D$30-1),Projects!$B$30*(Assumptions!$B$10+Assumptions!$B$11+Assumptions!$B$12)*0.05,0)</f>
        <v>0</v>
      </c>
      <c r="CR39" s="30" t="n">
        <f aca="false">IF(AND(Projects!$G$30="Yes",CR$3&gt;=Projects!$C$30,CR$3&lt;Projects!$C$30+Projects!$D$30),Projects!$B$30*INDEX(Curves!$B$4:$AR$4,1,CR$3-Projects!$C$30+1),0)-IF(AND(Projects!$G$30="Yes",CR$3&gt;=Projects!$C$30,CR$3&lt;Projects!$C$30+Projects!$D$30),Projects!$B$30*(Assumptions!$B$10+Assumptions!$B$11+Assumptions!$B$12)/Projects!$D$30*0.95,0)-IF(AND(Projects!$G$30="Yes",CR$3=Projects!$C$30+Projects!$D$30-1),Projects!$B$30*(Assumptions!$B$10+Assumptions!$B$11+Assumptions!$B$12)*0.05,0)</f>
        <v>0</v>
      </c>
      <c r="CS39" s="30" t="n">
        <f aca="false">IF(AND(Projects!$G$30="Yes",CS$3&gt;=Projects!$C$30,CS$3&lt;Projects!$C$30+Projects!$D$30),Projects!$B$30*INDEX(Curves!$B$4:$AR$4,1,CS$3-Projects!$C$30+1),0)-IF(AND(Projects!$G$30="Yes",CS$3&gt;=Projects!$C$30,CS$3&lt;Projects!$C$30+Projects!$D$30),Projects!$B$30*(Assumptions!$B$10+Assumptions!$B$11+Assumptions!$B$12)/Projects!$D$30*0.95,0)-IF(AND(Projects!$G$30="Yes",CS$3=Projects!$C$30+Projects!$D$30-1),Projects!$B$30*(Assumptions!$B$10+Assumptions!$B$11+Assumptions!$B$12)*0.05,0)</f>
        <v>0</v>
      </c>
      <c r="CT39" s="30" t="n">
        <f aca="false">IF(AND(Projects!$G$30="Yes",CT$3&gt;=Projects!$C$30,CT$3&lt;Projects!$C$30+Projects!$D$30),Projects!$B$30*INDEX(Curves!$B$4:$AR$4,1,CT$3-Projects!$C$30+1),0)-IF(AND(Projects!$G$30="Yes",CT$3&gt;=Projects!$C$30,CT$3&lt;Projects!$C$30+Projects!$D$30),Projects!$B$30*(Assumptions!$B$10+Assumptions!$B$11+Assumptions!$B$12)/Projects!$D$30*0.95,0)-IF(AND(Projects!$G$30="Yes",CT$3=Projects!$C$30+Projects!$D$30-1),Projects!$B$30*(Assumptions!$B$10+Assumptions!$B$11+Assumptions!$B$12)*0.05,0)</f>
        <v>0</v>
      </c>
      <c r="CU39" s="30" t="n">
        <f aca="false">IF(AND(Projects!$G$30="Yes",CU$3&gt;=Projects!$C$30,CU$3&lt;Projects!$C$30+Projects!$D$30),Projects!$B$30*INDEX(Curves!$B$4:$AR$4,1,CU$3-Projects!$C$30+1),0)-IF(AND(Projects!$G$30="Yes",CU$3&gt;=Projects!$C$30,CU$3&lt;Projects!$C$30+Projects!$D$30),Projects!$B$30*(Assumptions!$B$10+Assumptions!$B$11+Assumptions!$B$12)/Projects!$D$30*0.95,0)-IF(AND(Projects!$G$30="Yes",CU$3=Projects!$C$30+Projects!$D$30-1),Projects!$B$30*(Assumptions!$B$10+Assumptions!$B$11+Assumptions!$B$12)*0.05,0)</f>
        <v>0</v>
      </c>
      <c r="CV39" s="30" t="n">
        <f aca="false">IF(AND(Projects!$G$30="Yes",CV$3&gt;=Projects!$C$30,CV$3&lt;Projects!$C$30+Projects!$D$30),Projects!$B$30*INDEX(Curves!$B$4:$AR$4,1,CV$3-Projects!$C$30+1),0)-IF(AND(Projects!$G$30="Yes",CV$3&gt;=Projects!$C$30,CV$3&lt;Projects!$C$30+Projects!$D$30),Projects!$B$30*(Assumptions!$B$10+Assumptions!$B$11+Assumptions!$B$12)/Projects!$D$30*0.95,0)-IF(AND(Projects!$G$30="Yes",CV$3=Projects!$C$30+Projects!$D$30-1),Projects!$B$30*(Assumptions!$B$10+Assumptions!$B$11+Assumptions!$B$12)*0.05,0)</f>
        <v>0</v>
      </c>
      <c r="CW39" s="30" t="n">
        <f aca="false">IF(AND(Projects!$G$30="Yes",CW$3&gt;=Projects!$C$30,CW$3&lt;Projects!$C$30+Projects!$D$30),Projects!$B$30*INDEX(Curves!$B$4:$AR$4,1,CW$3-Projects!$C$30+1),0)-IF(AND(Projects!$G$30="Yes",CW$3&gt;=Projects!$C$30,CW$3&lt;Projects!$C$30+Projects!$D$30),Projects!$B$30*(Assumptions!$B$10+Assumptions!$B$11+Assumptions!$B$12)/Projects!$D$30*0.95,0)-IF(AND(Projects!$G$30="Yes",CW$3=Projects!$C$30+Projects!$D$30-1),Projects!$B$30*(Assumptions!$B$10+Assumptions!$B$11+Assumptions!$B$12)*0.05,0)</f>
        <v>0</v>
      </c>
      <c r="CX39" s="30" t="n">
        <f aca="false">IF(AND(Projects!$G$30="Yes",CX$3&gt;=Projects!$C$30,CX$3&lt;Projects!$C$30+Projects!$D$30),Projects!$B$30*INDEX(Curves!$B$4:$AR$4,1,CX$3-Projects!$C$30+1),0)-IF(AND(Projects!$G$30="Yes",CX$3&gt;=Projects!$C$30,CX$3&lt;Projects!$C$30+Projects!$D$30),Projects!$B$30*(Assumptions!$B$10+Assumptions!$B$11+Assumptions!$B$12)/Projects!$D$30*0.95,0)-IF(AND(Projects!$G$30="Yes",CX$3=Projects!$C$30+Projects!$D$30-1),Projects!$B$30*(Assumptions!$B$10+Assumptions!$B$11+Assumptions!$B$12)*0.05,0)</f>
        <v>0</v>
      </c>
      <c r="CY39" s="30" t="n">
        <f aca="false">IF(AND(Projects!$G$30="Yes",CY$3&gt;=Projects!$C$30,CY$3&lt;Projects!$C$30+Projects!$D$30),Projects!$B$30*INDEX(Curves!$B$4:$AR$4,1,CY$3-Projects!$C$30+1),0)-IF(AND(Projects!$G$30="Yes",CY$3&gt;=Projects!$C$30,CY$3&lt;Projects!$C$30+Projects!$D$30),Projects!$B$30*(Assumptions!$B$10+Assumptions!$B$11+Assumptions!$B$12)/Projects!$D$30*0.95,0)-IF(AND(Projects!$G$30="Yes",CY$3=Projects!$C$30+Projects!$D$30-1),Projects!$B$30*(Assumptions!$B$10+Assumptions!$B$11+Assumptions!$B$12)*0.05,0)</f>
        <v>0</v>
      </c>
      <c r="CZ39" s="30" t="n">
        <f aca="false">IF(AND(Projects!$G$30="Yes",CZ$3&gt;=Projects!$C$30,CZ$3&lt;Projects!$C$30+Projects!$D$30),Projects!$B$30*INDEX(Curves!$B$4:$AR$4,1,CZ$3-Projects!$C$30+1),0)-IF(AND(Projects!$G$30="Yes",CZ$3&gt;=Projects!$C$30,CZ$3&lt;Projects!$C$30+Projects!$D$30),Projects!$B$30*(Assumptions!$B$10+Assumptions!$B$11+Assumptions!$B$12)/Projects!$D$30*0.95,0)-IF(AND(Projects!$G$30="Yes",CZ$3=Projects!$C$30+Projects!$D$30-1),Projects!$B$30*(Assumptions!$B$10+Assumptions!$B$11+Assumptions!$B$12)*0.05,0)</f>
        <v>0</v>
      </c>
      <c r="DA39" s="30" t="n">
        <f aca="false">IF(AND(Projects!$G$30="Yes",DA$3&gt;=Projects!$C$30,DA$3&lt;Projects!$C$30+Projects!$D$30),Projects!$B$30*INDEX(Curves!$B$4:$AR$4,1,DA$3-Projects!$C$30+1),0)-IF(AND(Projects!$G$30="Yes",DA$3&gt;=Projects!$C$30,DA$3&lt;Projects!$C$30+Projects!$D$30),Projects!$B$30*(Assumptions!$B$10+Assumptions!$B$11+Assumptions!$B$12)/Projects!$D$30*0.95,0)-IF(AND(Projects!$G$30="Yes",DA$3=Projects!$C$30+Projects!$D$30-1),Projects!$B$30*(Assumptions!$B$10+Assumptions!$B$11+Assumptions!$B$12)*0.05,0)</f>
        <v>0</v>
      </c>
      <c r="DB39" s="30" t="n">
        <f aca="false">IF(AND(Projects!$G$30="Yes",DB$3&gt;=Projects!$C$30,DB$3&lt;Projects!$C$30+Projects!$D$30),Projects!$B$30*INDEX(Curves!$B$4:$AR$4,1,DB$3-Projects!$C$30+1),0)-IF(AND(Projects!$G$30="Yes",DB$3&gt;=Projects!$C$30,DB$3&lt;Projects!$C$30+Projects!$D$30),Projects!$B$30*(Assumptions!$B$10+Assumptions!$B$11+Assumptions!$B$12)/Projects!$D$30*0.95,0)-IF(AND(Projects!$G$30="Yes",DB$3=Projects!$C$30+Projects!$D$30-1),Projects!$B$30*(Assumptions!$B$10+Assumptions!$B$11+Assumptions!$B$12)*0.05,0)</f>
        <v>0</v>
      </c>
      <c r="DC39" s="30" t="n">
        <f aca="false">IF(AND(Projects!$G$30="Yes",DC$3&gt;=Projects!$C$30,DC$3&lt;Projects!$C$30+Projects!$D$30),Projects!$B$30*INDEX(Curves!$B$4:$AR$4,1,DC$3-Projects!$C$30+1),0)-IF(AND(Projects!$G$30="Yes",DC$3&gt;=Projects!$C$30,DC$3&lt;Projects!$C$30+Projects!$D$30),Projects!$B$30*(Assumptions!$B$10+Assumptions!$B$11+Assumptions!$B$12)/Projects!$D$30*0.95,0)-IF(AND(Projects!$G$30="Yes",DC$3=Projects!$C$30+Projects!$D$30-1),Projects!$B$30*(Assumptions!$B$10+Assumptions!$B$11+Assumptions!$B$12)*0.05,0)</f>
        <v>0</v>
      </c>
      <c r="DD39" s="30" t="n">
        <f aca="false">IF(AND(Projects!$G$30="Yes",DD$3&gt;=Projects!$C$30,DD$3&lt;Projects!$C$30+Projects!$D$30),Projects!$B$30*INDEX(Curves!$B$4:$AR$4,1,DD$3-Projects!$C$30+1),0)-IF(AND(Projects!$G$30="Yes",DD$3&gt;=Projects!$C$30,DD$3&lt;Projects!$C$30+Projects!$D$30),Projects!$B$30*(Assumptions!$B$10+Assumptions!$B$11+Assumptions!$B$12)/Projects!$D$30*0.95,0)-IF(AND(Projects!$G$30="Yes",DD$3=Projects!$C$30+Projects!$D$30-1),Projects!$B$30*(Assumptions!$B$10+Assumptions!$B$11+Assumptions!$B$12)*0.05,0)</f>
        <v>0</v>
      </c>
      <c r="DE39" s="30" t="n">
        <f aca="false">IF(AND(Projects!$G$30="Yes",DE$3&gt;=Projects!$C$30,DE$3&lt;Projects!$C$30+Projects!$D$30),Projects!$B$30*INDEX(Curves!$B$4:$AR$4,1,DE$3-Projects!$C$30+1),0)-IF(AND(Projects!$G$30="Yes",DE$3&gt;=Projects!$C$30,DE$3&lt;Projects!$C$30+Projects!$D$30),Projects!$B$30*(Assumptions!$B$10+Assumptions!$B$11+Assumptions!$B$12)/Projects!$D$30*0.95,0)-IF(AND(Projects!$G$30="Yes",DE$3=Projects!$C$30+Projects!$D$30-1),Projects!$B$30*(Assumptions!$B$10+Assumptions!$B$11+Assumptions!$B$12)*0.05,0)</f>
        <v>0</v>
      </c>
    </row>
    <row r="40" customFormat="false" ht="15" hidden="true" customHeight="true" outlineLevel="1" collapsed="false">
      <c r="A40" s="32" t="s">
        <v>34</v>
      </c>
      <c r="B40" s="30" t="n">
        <v>0</v>
      </c>
      <c r="C40" s="30" t="n">
        <v>0</v>
      </c>
      <c r="D40" s="30" t="n">
        <v>0</v>
      </c>
      <c r="E40" s="30" t="n">
        <v>0</v>
      </c>
      <c r="F40" s="30" t="n">
        <f aca="false">IF(AND(Projects!$G$31="Yes",F$3&gt;=Projects!$C$31,F$3&lt;Projects!$C$31+Projects!$D$31),Projects!$B$31*INDEX(Curves!$B$4:$AR$4,1,F$3-Projects!$C$31+1),0)-IF(AND(Projects!$G$31="Yes",F$3&gt;=Projects!$C$31,F$3&lt;Projects!$C$31+Projects!$D$31),Projects!$B$31*(Assumptions!$B$10+Assumptions!$B$11+Assumptions!$B$12)/Projects!$D$31*0.95,0)-IF(AND(Projects!$G$31="Yes",F$3=Projects!$C$31+Projects!$D$31-1),Projects!$B$31*(Assumptions!$B$10+Assumptions!$B$11+Assumptions!$B$12)*0.05,0)</f>
        <v>0</v>
      </c>
      <c r="G40" s="30" t="n">
        <f aca="false">IF(AND(Projects!$G$31="Yes",G$3&gt;=Projects!$C$31,G$3&lt;Projects!$C$31+Projects!$D$31),Projects!$B$31*INDEX(Curves!$B$4:$AR$4,1,G$3-Projects!$C$31+1),0)-IF(AND(Projects!$G$31="Yes",G$3&gt;=Projects!$C$31,G$3&lt;Projects!$C$31+Projects!$D$31),Projects!$B$31*(Assumptions!$B$10+Assumptions!$B$11+Assumptions!$B$12)/Projects!$D$31*0.95,0)-IF(AND(Projects!$G$31="Yes",G$3=Projects!$C$31+Projects!$D$31-1),Projects!$B$31*(Assumptions!$B$10+Assumptions!$B$11+Assumptions!$B$12)*0.05,0)</f>
        <v>0</v>
      </c>
      <c r="H40" s="30" t="n">
        <f aca="false">IF(AND(Projects!$G$31="Yes",H$3&gt;=Projects!$C$31,H$3&lt;Projects!$C$31+Projects!$D$31),Projects!$B$31*INDEX(Curves!$B$4:$AR$4,1,H$3-Projects!$C$31+1),0)-IF(AND(Projects!$G$31="Yes",H$3&gt;=Projects!$C$31,H$3&lt;Projects!$C$31+Projects!$D$31),Projects!$B$31*(Assumptions!$B$10+Assumptions!$B$11+Assumptions!$B$12)/Projects!$D$31*0.95,0)-IF(AND(Projects!$G$31="Yes",H$3=Projects!$C$31+Projects!$D$31-1),Projects!$B$31*(Assumptions!$B$10+Assumptions!$B$11+Assumptions!$B$12)*0.05,0)</f>
        <v>0</v>
      </c>
      <c r="I40" s="30" t="n">
        <f aca="false">IF(AND(Projects!$G$31="Yes",I$3&gt;=Projects!$C$31,I$3&lt;Projects!$C$31+Projects!$D$31),Projects!$B$31*INDEX(Curves!$B$4:$AR$4,1,I$3-Projects!$C$31+1),0)-IF(AND(Projects!$G$31="Yes",I$3&gt;=Projects!$C$31,I$3&lt;Projects!$C$31+Projects!$D$31),Projects!$B$31*(Assumptions!$B$10+Assumptions!$B$11+Assumptions!$B$12)/Projects!$D$31*0.95,0)-IF(AND(Projects!$G$31="Yes",I$3=Projects!$C$31+Projects!$D$31-1),Projects!$B$31*(Assumptions!$B$10+Assumptions!$B$11+Assumptions!$B$12)*0.05,0)</f>
        <v>0</v>
      </c>
      <c r="J40" s="30" t="n">
        <f aca="false">IF(AND(Projects!$G$31="Yes",J$3&gt;=Projects!$C$31,J$3&lt;Projects!$C$31+Projects!$D$31),Projects!$B$31*INDEX(Curves!$B$4:$AR$4,1,J$3-Projects!$C$31+1),0)-IF(AND(Projects!$G$31="Yes",J$3&gt;=Projects!$C$31,J$3&lt;Projects!$C$31+Projects!$D$31),Projects!$B$31*(Assumptions!$B$10+Assumptions!$B$11+Assumptions!$B$12)/Projects!$D$31*0.95,0)-IF(AND(Projects!$G$31="Yes",J$3=Projects!$C$31+Projects!$D$31-1),Projects!$B$31*(Assumptions!$B$10+Assumptions!$B$11+Assumptions!$B$12)*0.05,0)</f>
        <v>0</v>
      </c>
      <c r="K40" s="30" t="n">
        <f aca="false">IF(AND(Projects!$G$31="Yes",K$3&gt;=Projects!$C$31,K$3&lt;Projects!$C$31+Projects!$D$31),Projects!$B$31*INDEX(Curves!$B$4:$AR$4,1,K$3-Projects!$C$31+1),0)-IF(AND(Projects!$G$31="Yes",K$3&gt;=Projects!$C$31,K$3&lt;Projects!$C$31+Projects!$D$31),Projects!$B$31*(Assumptions!$B$10+Assumptions!$B$11+Assumptions!$B$12)/Projects!$D$31*0.95,0)-IF(AND(Projects!$G$31="Yes",K$3=Projects!$C$31+Projects!$D$31-1),Projects!$B$31*(Assumptions!$B$10+Assumptions!$B$11+Assumptions!$B$12)*0.05,0)</f>
        <v>0</v>
      </c>
      <c r="L40" s="30" t="n">
        <f aca="false">IF(AND(Projects!$G$31="Yes",L$3&gt;=Projects!$C$31,L$3&lt;Projects!$C$31+Projects!$D$31),Projects!$B$31*INDEX(Curves!$B$4:$AR$4,1,L$3-Projects!$C$31+1),0)-IF(AND(Projects!$G$31="Yes",L$3&gt;=Projects!$C$31,L$3&lt;Projects!$C$31+Projects!$D$31),Projects!$B$31*(Assumptions!$B$10+Assumptions!$B$11+Assumptions!$B$12)/Projects!$D$31*0.95,0)-IF(AND(Projects!$G$31="Yes",L$3=Projects!$C$31+Projects!$D$31-1),Projects!$B$31*(Assumptions!$B$10+Assumptions!$B$11+Assumptions!$B$12)*0.05,0)</f>
        <v>0</v>
      </c>
      <c r="M40" s="30" t="n">
        <f aca="false">IF(AND(Projects!$G$31="Yes",M$3&gt;=Projects!$C$31,M$3&lt;Projects!$C$31+Projects!$D$31),Projects!$B$31*INDEX(Curves!$B$4:$AR$4,1,M$3-Projects!$C$31+1),0)-IF(AND(Projects!$G$31="Yes",M$3&gt;=Projects!$C$31,M$3&lt;Projects!$C$31+Projects!$D$31),Projects!$B$31*(Assumptions!$B$10+Assumptions!$B$11+Assumptions!$B$12)/Projects!$D$31*0.95,0)-IF(AND(Projects!$G$31="Yes",M$3=Projects!$C$31+Projects!$D$31-1),Projects!$B$31*(Assumptions!$B$10+Assumptions!$B$11+Assumptions!$B$12)*0.05,0)</f>
        <v>0</v>
      </c>
      <c r="N40" s="30" t="n">
        <f aca="false">IF(AND(Projects!$G$31="Yes",N$3&gt;=Projects!$C$31,N$3&lt;Projects!$C$31+Projects!$D$31),Projects!$B$31*INDEX(Curves!$B$4:$AR$4,1,N$3-Projects!$C$31+1),0)-IF(AND(Projects!$G$31="Yes",N$3&gt;=Projects!$C$31,N$3&lt;Projects!$C$31+Projects!$D$31),Projects!$B$31*(Assumptions!$B$10+Assumptions!$B$11+Assumptions!$B$12)/Projects!$D$31*0.95,0)-IF(AND(Projects!$G$31="Yes",N$3=Projects!$C$31+Projects!$D$31-1),Projects!$B$31*(Assumptions!$B$10+Assumptions!$B$11+Assumptions!$B$12)*0.05,0)</f>
        <v>0</v>
      </c>
      <c r="O40" s="30" t="n">
        <f aca="false">IF(AND(Projects!$G$31="Yes",O$3&gt;=Projects!$C$31,O$3&lt;Projects!$C$31+Projects!$D$31),Projects!$B$31*INDEX(Curves!$B$4:$AR$4,1,O$3-Projects!$C$31+1),0)-IF(AND(Projects!$G$31="Yes",O$3&gt;=Projects!$C$31,O$3&lt;Projects!$C$31+Projects!$D$31),Projects!$B$31*(Assumptions!$B$10+Assumptions!$B$11+Assumptions!$B$12)/Projects!$D$31*0.95,0)-IF(AND(Projects!$G$31="Yes",O$3=Projects!$C$31+Projects!$D$31-1),Projects!$B$31*(Assumptions!$B$10+Assumptions!$B$11+Assumptions!$B$12)*0.05,0)</f>
        <v>0</v>
      </c>
      <c r="P40" s="30" t="n">
        <f aca="false">IF(AND(Projects!$G$31="Yes",P$3&gt;=Projects!$C$31,P$3&lt;Projects!$C$31+Projects!$D$31),Projects!$B$31*INDEX(Curves!$B$4:$AR$4,1,P$3-Projects!$C$31+1),0)-IF(AND(Projects!$G$31="Yes",P$3&gt;=Projects!$C$31,P$3&lt;Projects!$C$31+Projects!$D$31),Projects!$B$31*(Assumptions!$B$10+Assumptions!$B$11+Assumptions!$B$12)/Projects!$D$31*0.95,0)-IF(AND(Projects!$G$31="Yes",P$3=Projects!$C$31+Projects!$D$31-1),Projects!$B$31*(Assumptions!$B$10+Assumptions!$B$11+Assumptions!$B$12)*0.05,0)</f>
        <v>0</v>
      </c>
      <c r="Q40" s="30" t="n">
        <f aca="false">IF(AND(Projects!$G$31="Yes",Q$3&gt;=Projects!$C$31,Q$3&lt;Projects!$C$31+Projects!$D$31),Projects!$B$31*INDEX(Curves!$B$4:$AR$4,1,Q$3-Projects!$C$31+1),0)-IF(AND(Projects!$G$31="Yes",Q$3&gt;=Projects!$C$31,Q$3&lt;Projects!$C$31+Projects!$D$31),Projects!$B$31*(Assumptions!$B$10+Assumptions!$B$11+Assumptions!$B$12)/Projects!$D$31*0.95,0)-IF(AND(Projects!$G$31="Yes",Q$3=Projects!$C$31+Projects!$D$31-1),Projects!$B$31*(Assumptions!$B$10+Assumptions!$B$11+Assumptions!$B$12)*0.05,0)</f>
        <v>0</v>
      </c>
      <c r="R40" s="30" t="n">
        <f aca="false">IF(AND(Projects!$G$31="Yes",R$3&gt;=Projects!$C$31,R$3&lt;Projects!$C$31+Projects!$D$31),Projects!$B$31*INDEX(Curves!$B$4:$AR$4,1,R$3-Projects!$C$31+1),0)-IF(AND(Projects!$G$31="Yes",R$3&gt;=Projects!$C$31,R$3&lt;Projects!$C$31+Projects!$D$31),Projects!$B$31*(Assumptions!$B$10+Assumptions!$B$11+Assumptions!$B$12)/Projects!$D$31*0.95,0)-IF(AND(Projects!$G$31="Yes",R$3=Projects!$C$31+Projects!$D$31-1),Projects!$B$31*(Assumptions!$B$10+Assumptions!$B$11+Assumptions!$B$12)*0.05,0)</f>
        <v>0</v>
      </c>
      <c r="S40" s="30" t="n">
        <f aca="false">IF(AND(Projects!$G$31="Yes",S$3&gt;=Projects!$C$31,S$3&lt;Projects!$C$31+Projects!$D$31),Projects!$B$31*INDEX(Curves!$B$4:$AR$4,1,S$3-Projects!$C$31+1),0)-IF(AND(Projects!$G$31="Yes",S$3&gt;=Projects!$C$31,S$3&lt;Projects!$C$31+Projects!$D$31),Projects!$B$31*(Assumptions!$B$10+Assumptions!$B$11+Assumptions!$B$12)/Projects!$D$31*0.95,0)-IF(AND(Projects!$G$31="Yes",S$3=Projects!$C$31+Projects!$D$31-1),Projects!$B$31*(Assumptions!$B$10+Assumptions!$B$11+Assumptions!$B$12)*0.05,0)</f>
        <v>0</v>
      </c>
      <c r="T40" s="30" t="n">
        <f aca="false">IF(AND(Projects!$G$31="Yes",T$3&gt;=Projects!$C$31,T$3&lt;Projects!$C$31+Projects!$D$31),Projects!$B$31*INDEX(Curves!$B$4:$AR$4,1,T$3-Projects!$C$31+1),0)-IF(AND(Projects!$G$31="Yes",T$3&gt;=Projects!$C$31,T$3&lt;Projects!$C$31+Projects!$D$31),Projects!$B$31*(Assumptions!$B$10+Assumptions!$B$11+Assumptions!$B$12)/Projects!$D$31*0.95,0)-IF(AND(Projects!$G$31="Yes",T$3=Projects!$C$31+Projects!$D$31-1),Projects!$B$31*(Assumptions!$B$10+Assumptions!$B$11+Assumptions!$B$12)*0.05,0)</f>
        <v>0</v>
      </c>
      <c r="U40" s="30" t="n">
        <f aca="false">IF(AND(Projects!$G$31="Yes",U$3&gt;=Projects!$C$31,U$3&lt;Projects!$C$31+Projects!$D$31),Projects!$B$31*INDEX(Curves!$B$4:$AR$4,1,U$3-Projects!$C$31+1),0)-IF(AND(Projects!$G$31="Yes",U$3&gt;=Projects!$C$31,U$3&lt;Projects!$C$31+Projects!$D$31),Projects!$B$31*(Assumptions!$B$10+Assumptions!$B$11+Assumptions!$B$12)/Projects!$D$31*0.95,0)-IF(AND(Projects!$G$31="Yes",U$3=Projects!$C$31+Projects!$D$31-1),Projects!$B$31*(Assumptions!$B$10+Assumptions!$B$11+Assumptions!$B$12)*0.05,0)</f>
        <v>0</v>
      </c>
      <c r="V40" s="30" t="n">
        <f aca="false">IF(AND(Projects!$G$31="Yes",V$3&gt;=Projects!$C$31,V$3&lt;Projects!$C$31+Projects!$D$31),Projects!$B$31*INDEX(Curves!$B$4:$AR$4,1,V$3-Projects!$C$31+1),0)-IF(AND(Projects!$G$31="Yes",V$3&gt;=Projects!$C$31,V$3&lt;Projects!$C$31+Projects!$D$31),Projects!$B$31*(Assumptions!$B$10+Assumptions!$B$11+Assumptions!$B$12)/Projects!$D$31*0.95,0)-IF(AND(Projects!$G$31="Yes",V$3=Projects!$C$31+Projects!$D$31-1),Projects!$B$31*(Assumptions!$B$10+Assumptions!$B$11+Assumptions!$B$12)*0.05,0)</f>
        <v>0</v>
      </c>
      <c r="W40" s="30" t="n">
        <f aca="false">IF(AND(Projects!$G$31="Yes",W$3&gt;=Projects!$C$31,W$3&lt;Projects!$C$31+Projects!$D$31),Projects!$B$31*INDEX(Curves!$B$4:$AR$4,1,W$3-Projects!$C$31+1),0)-IF(AND(Projects!$G$31="Yes",W$3&gt;=Projects!$C$31,W$3&lt;Projects!$C$31+Projects!$D$31),Projects!$B$31*(Assumptions!$B$10+Assumptions!$B$11+Assumptions!$B$12)/Projects!$D$31*0.95,0)-IF(AND(Projects!$G$31="Yes",W$3=Projects!$C$31+Projects!$D$31-1),Projects!$B$31*(Assumptions!$B$10+Assumptions!$B$11+Assumptions!$B$12)*0.05,0)</f>
        <v>0</v>
      </c>
      <c r="X40" s="30" t="n">
        <f aca="false">IF(AND(Projects!$G$31="Yes",X$3&gt;=Projects!$C$31,X$3&lt;Projects!$C$31+Projects!$D$31),Projects!$B$31*INDEX(Curves!$B$4:$AR$4,1,X$3-Projects!$C$31+1),0)-IF(AND(Projects!$G$31="Yes",X$3&gt;=Projects!$C$31,X$3&lt;Projects!$C$31+Projects!$D$31),Projects!$B$31*(Assumptions!$B$10+Assumptions!$B$11+Assumptions!$B$12)/Projects!$D$31*0.95,0)-IF(AND(Projects!$G$31="Yes",X$3=Projects!$C$31+Projects!$D$31-1),Projects!$B$31*(Assumptions!$B$10+Assumptions!$B$11+Assumptions!$B$12)*0.05,0)</f>
        <v>0</v>
      </c>
      <c r="Y40" s="30" t="n">
        <f aca="false">IF(AND(Projects!$G$31="Yes",Y$3&gt;=Projects!$C$31,Y$3&lt;Projects!$C$31+Projects!$D$31),Projects!$B$31*INDEX(Curves!$B$4:$AR$4,1,Y$3-Projects!$C$31+1),0)-IF(AND(Projects!$G$31="Yes",Y$3&gt;=Projects!$C$31,Y$3&lt;Projects!$C$31+Projects!$D$31),Projects!$B$31*(Assumptions!$B$10+Assumptions!$B$11+Assumptions!$B$12)/Projects!$D$31*0.95,0)-IF(AND(Projects!$G$31="Yes",Y$3=Projects!$C$31+Projects!$D$31-1),Projects!$B$31*(Assumptions!$B$10+Assumptions!$B$11+Assumptions!$B$12)*0.05,0)</f>
        <v>0</v>
      </c>
      <c r="Z40" s="30" t="n">
        <f aca="false">IF(AND(Projects!$G$31="Yes",Z$3&gt;=Projects!$C$31,Z$3&lt;Projects!$C$31+Projects!$D$31),Projects!$B$31*INDEX(Curves!$B$4:$AR$4,1,Z$3-Projects!$C$31+1),0)-IF(AND(Projects!$G$31="Yes",Z$3&gt;=Projects!$C$31,Z$3&lt;Projects!$C$31+Projects!$D$31),Projects!$B$31*(Assumptions!$B$10+Assumptions!$B$11+Assumptions!$B$12)/Projects!$D$31*0.95,0)-IF(AND(Projects!$G$31="Yes",Z$3=Projects!$C$31+Projects!$D$31-1),Projects!$B$31*(Assumptions!$B$10+Assumptions!$B$11+Assumptions!$B$12)*0.05,0)</f>
        <v>0</v>
      </c>
      <c r="AA40" s="30" t="n">
        <f aca="false">IF(AND(Projects!$G$31="Yes",AA$3&gt;=Projects!$C$31,AA$3&lt;Projects!$C$31+Projects!$D$31),Projects!$B$31*INDEX(Curves!$B$4:$AR$4,1,AA$3-Projects!$C$31+1),0)-IF(AND(Projects!$G$31="Yes",AA$3&gt;=Projects!$C$31,AA$3&lt;Projects!$C$31+Projects!$D$31),Projects!$B$31*(Assumptions!$B$10+Assumptions!$B$11+Assumptions!$B$12)/Projects!$D$31*0.95,0)-IF(AND(Projects!$G$31="Yes",AA$3=Projects!$C$31+Projects!$D$31-1),Projects!$B$31*(Assumptions!$B$10+Assumptions!$B$11+Assumptions!$B$12)*0.05,0)</f>
        <v>0</v>
      </c>
      <c r="AB40" s="30" t="n">
        <f aca="false">IF(AND(Projects!$G$31="Yes",AB$3&gt;=Projects!$C$31,AB$3&lt;Projects!$C$31+Projects!$D$31),Projects!$B$31*INDEX(Curves!$B$4:$AR$4,1,AB$3-Projects!$C$31+1),0)-IF(AND(Projects!$G$31="Yes",AB$3&gt;=Projects!$C$31,AB$3&lt;Projects!$C$31+Projects!$D$31),Projects!$B$31*(Assumptions!$B$10+Assumptions!$B$11+Assumptions!$B$12)/Projects!$D$31*0.95,0)-IF(AND(Projects!$G$31="Yes",AB$3=Projects!$C$31+Projects!$D$31-1),Projects!$B$31*(Assumptions!$B$10+Assumptions!$B$11+Assumptions!$B$12)*0.05,0)</f>
        <v>0</v>
      </c>
      <c r="AC40" s="30" t="n">
        <f aca="false">IF(AND(Projects!$G$31="Yes",AC$3&gt;=Projects!$C$31,AC$3&lt;Projects!$C$31+Projects!$D$31),Projects!$B$31*INDEX(Curves!$B$4:$AR$4,1,AC$3-Projects!$C$31+1),0)-IF(AND(Projects!$G$31="Yes",AC$3&gt;=Projects!$C$31,AC$3&lt;Projects!$C$31+Projects!$D$31),Projects!$B$31*(Assumptions!$B$10+Assumptions!$B$11+Assumptions!$B$12)/Projects!$D$31*0.95,0)-IF(AND(Projects!$G$31="Yes",AC$3=Projects!$C$31+Projects!$D$31-1),Projects!$B$31*(Assumptions!$B$10+Assumptions!$B$11+Assumptions!$B$12)*0.05,0)</f>
        <v>0</v>
      </c>
      <c r="AD40" s="30" t="n">
        <f aca="false">IF(AND(Projects!$G$31="Yes",AD$3&gt;=Projects!$C$31,AD$3&lt;Projects!$C$31+Projects!$D$31),Projects!$B$31*INDEX(Curves!$B$4:$AR$4,1,AD$3-Projects!$C$31+1),0)-IF(AND(Projects!$G$31="Yes",AD$3&gt;=Projects!$C$31,AD$3&lt;Projects!$C$31+Projects!$D$31),Projects!$B$31*(Assumptions!$B$10+Assumptions!$B$11+Assumptions!$B$12)/Projects!$D$31*0.95,0)-IF(AND(Projects!$G$31="Yes",AD$3=Projects!$C$31+Projects!$D$31-1),Projects!$B$31*(Assumptions!$B$10+Assumptions!$B$11+Assumptions!$B$12)*0.05,0)</f>
        <v>0</v>
      </c>
      <c r="AE40" s="30" t="n">
        <f aca="false">IF(AND(Projects!$G$31="Yes",AE$3&gt;=Projects!$C$31,AE$3&lt;Projects!$C$31+Projects!$D$31),Projects!$B$31*INDEX(Curves!$B$4:$AR$4,1,AE$3-Projects!$C$31+1),0)-IF(AND(Projects!$G$31="Yes",AE$3&gt;=Projects!$C$31,AE$3&lt;Projects!$C$31+Projects!$D$31),Projects!$B$31*(Assumptions!$B$10+Assumptions!$B$11+Assumptions!$B$12)/Projects!$D$31*0.95,0)-IF(AND(Projects!$G$31="Yes",AE$3=Projects!$C$31+Projects!$D$31-1),Projects!$B$31*(Assumptions!$B$10+Assumptions!$B$11+Assumptions!$B$12)*0.05,0)</f>
        <v>0</v>
      </c>
      <c r="AF40" s="30" t="n">
        <f aca="false">IF(AND(Projects!$G$31="Yes",AF$3&gt;=Projects!$C$31,AF$3&lt;Projects!$C$31+Projects!$D$31),Projects!$B$31*INDEX(Curves!$B$4:$AR$4,1,AF$3-Projects!$C$31+1),0)-IF(AND(Projects!$G$31="Yes",AF$3&gt;=Projects!$C$31,AF$3&lt;Projects!$C$31+Projects!$D$31),Projects!$B$31*(Assumptions!$B$10+Assumptions!$B$11+Assumptions!$B$12)/Projects!$D$31*0.95,0)-IF(AND(Projects!$G$31="Yes",AF$3=Projects!$C$31+Projects!$D$31-1),Projects!$B$31*(Assumptions!$B$10+Assumptions!$B$11+Assumptions!$B$12)*0.05,0)</f>
        <v>0</v>
      </c>
      <c r="AG40" s="30" t="n">
        <f aca="false">IF(AND(Projects!$G$31="Yes",AG$3&gt;=Projects!$C$31,AG$3&lt;Projects!$C$31+Projects!$D$31),Projects!$B$31*INDEX(Curves!$B$4:$AR$4,1,AG$3-Projects!$C$31+1),0)-IF(AND(Projects!$G$31="Yes",AG$3&gt;=Projects!$C$31,AG$3&lt;Projects!$C$31+Projects!$D$31),Projects!$B$31*(Assumptions!$B$10+Assumptions!$B$11+Assumptions!$B$12)/Projects!$D$31*0.95,0)-IF(AND(Projects!$G$31="Yes",AG$3=Projects!$C$31+Projects!$D$31-1),Projects!$B$31*(Assumptions!$B$10+Assumptions!$B$11+Assumptions!$B$12)*0.05,0)</f>
        <v>0</v>
      </c>
      <c r="AH40" s="30" t="n">
        <f aca="false">IF(AND(Projects!$G$31="Yes",AH$3&gt;=Projects!$C$31,AH$3&lt;Projects!$C$31+Projects!$D$31),Projects!$B$31*INDEX(Curves!$B$4:$AR$4,1,AH$3-Projects!$C$31+1),0)-IF(AND(Projects!$G$31="Yes",AH$3&gt;=Projects!$C$31,AH$3&lt;Projects!$C$31+Projects!$D$31),Projects!$B$31*(Assumptions!$B$10+Assumptions!$B$11+Assumptions!$B$12)/Projects!$D$31*0.95,0)-IF(AND(Projects!$G$31="Yes",AH$3=Projects!$C$31+Projects!$D$31-1),Projects!$B$31*(Assumptions!$B$10+Assumptions!$B$11+Assumptions!$B$12)*0.05,0)</f>
        <v>0</v>
      </c>
      <c r="AI40" s="30" t="n">
        <f aca="false">IF(AND(Projects!$G$31="Yes",AI$3&gt;=Projects!$C$31,AI$3&lt;Projects!$C$31+Projects!$D$31),Projects!$B$31*INDEX(Curves!$B$4:$AR$4,1,AI$3-Projects!$C$31+1),0)-IF(AND(Projects!$G$31="Yes",AI$3&gt;=Projects!$C$31,AI$3&lt;Projects!$C$31+Projects!$D$31),Projects!$B$31*(Assumptions!$B$10+Assumptions!$B$11+Assumptions!$B$12)/Projects!$D$31*0.95,0)-IF(AND(Projects!$G$31="Yes",AI$3=Projects!$C$31+Projects!$D$31-1),Projects!$B$31*(Assumptions!$B$10+Assumptions!$B$11+Assumptions!$B$12)*0.05,0)</f>
        <v>0</v>
      </c>
      <c r="AJ40" s="30" t="n">
        <f aca="false">IF(AND(Projects!$G$31="Yes",AJ$3&gt;=Projects!$C$31,AJ$3&lt;Projects!$C$31+Projects!$D$31),Projects!$B$31*INDEX(Curves!$B$4:$AR$4,1,AJ$3-Projects!$C$31+1),0)-IF(AND(Projects!$G$31="Yes",AJ$3&gt;=Projects!$C$31,AJ$3&lt;Projects!$C$31+Projects!$D$31),Projects!$B$31*(Assumptions!$B$10+Assumptions!$B$11+Assumptions!$B$12)/Projects!$D$31*0.95,0)-IF(AND(Projects!$G$31="Yes",AJ$3=Projects!$C$31+Projects!$D$31-1),Projects!$B$31*(Assumptions!$B$10+Assumptions!$B$11+Assumptions!$B$12)*0.05,0)</f>
        <v>0</v>
      </c>
      <c r="AK40" s="30" t="n">
        <f aca="false">IF(AND(Projects!$G$31="Yes",AK$3&gt;=Projects!$C$31,AK$3&lt;Projects!$C$31+Projects!$D$31),Projects!$B$31*INDEX(Curves!$B$4:$AR$4,1,AK$3-Projects!$C$31+1),0)-IF(AND(Projects!$G$31="Yes",AK$3&gt;=Projects!$C$31,AK$3&lt;Projects!$C$31+Projects!$D$31),Projects!$B$31*(Assumptions!$B$10+Assumptions!$B$11+Assumptions!$B$12)/Projects!$D$31*0.95,0)-IF(AND(Projects!$G$31="Yes",AK$3=Projects!$C$31+Projects!$D$31-1),Projects!$B$31*(Assumptions!$B$10+Assumptions!$B$11+Assumptions!$B$12)*0.05,0)</f>
        <v>0</v>
      </c>
      <c r="AL40" s="30" t="n">
        <f aca="false">IF(AND(Projects!$G$31="Yes",AL$3&gt;=Projects!$C$31,AL$3&lt;Projects!$C$31+Projects!$D$31),Projects!$B$31*INDEX(Curves!$B$4:$AR$4,1,AL$3-Projects!$C$31+1),0)-IF(AND(Projects!$G$31="Yes",AL$3&gt;=Projects!$C$31,AL$3&lt;Projects!$C$31+Projects!$D$31),Projects!$B$31*(Assumptions!$B$10+Assumptions!$B$11+Assumptions!$B$12)/Projects!$D$31*0.95,0)-IF(AND(Projects!$G$31="Yes",AL$3=Projects!$C$31+Projects!$D$31-1),Projects!$B$31*(Assumptions!$B$10+Assumptions!$B$11+Assumptions!$B$12)*0.05,0)</f>
        <v>0</v>
      </c>
      <c r="AM40" s="30" t="n">
        <f aca="false">IF(AND(Projects!$G$31="Yes",AM$3&gt;=Projects!$C$31,AM$3&lt;Projects!$C$31+Projects!$D$31),Projects!$B$31*INDEX(Curves!$B$4:$AR$4,1,AM$3-Projects!$C$31+1),0)-IF(AND(Projects!$G$31="Yes",AM$3&gt;=Projects!$C$31,AM$3&lt;Projects!$C$31+Projects!$D$31),Projects!$B$31*(Assumptions!$B$10+Assumptions!$B$11+Assumptions!$B$12)/Projects!$D$31*0.95,0)-IF(AND(Projects!$G$31="Yes",AM$3=Projects!$C$31+Projects!$D$31-1),Projects!$B$31*(Assumptions!$B$10+Assumptions!$B$11+Assumptions!$B$12)*0.05,0)</f>
        <v>0</v>
      </c>
      <c r="AN40" s="30" t="n">
        <f aca="false">IF(AND(Projects!$G$31="Yes",AN$3&gt;=Projects!$C$31,AN$3&lt;Projects!$C$31+Projects!$D$31),Projects!$B$31*INDEX(Curves!$B$4:$AR$4,1,AN$3-Projects!$C$31+1),0)-IF(AND(Projects!$G$31="Yes",AN$3&gt;=Projects!$C$31,AN$3&lt;Projects!$C$31+Projects!$D$31),Projects!$B$31*(Assumptions!$B$10+Assumptions!$B$11+Assumptions!$B$12)/Projects!$D$31*0.95,0)-IF(AND(Projects!$G$31="Yes",AN$3=Projects!$C$31+Projects!$D$31-1),Projects!$B$31*(Assumptions!$B$10+Assumptions!$B$11+Assumptions!$B$12)*0.05,0)</f>
        <v>0</v>
      </c>
      <c r="AO40" s="30" t="n">
        <f aca="false">IF(AND(Projects!$G$31="Yes",AO$3&gt;=Projects!$C$31,AO$3&lt;Projects!$C$31+Projects!$D$31),Projects!$B$31*INDEX(Curves!$B$4:$AR$4,1,AO$3-Projects!$C$31+1),0)-IF(AND(Projects!$G$31="Yes",AO$3&gt;=Projects!$C$31,AO$3&lt;Projects!$C$31+Projects!$D$31),Projects!$B$31*(Assumptions!$B$10+Assumptions!$B$11+Assumptions!$B$12)/Projects!$D$31*0.95,0)-IF(AND(Projects!$G$31="Yes",AO$3=Projects!$C$31+Projects!$D$31-1),Projects!$B$31*(Assumptions!$B$10+Assumptions!$B$11+Assumptions!$B$12)*0.05,0)</f>
        <v>0</v>
      </c>
      <c r="AP40" s="30" t="n">
        <f aca="false">IF(AND(Projects!$G$31="Yes",AP$3&gt;=Projects!$C$31,AP$3&lt;Projects!$C$31+Projects!$D$31),Projects!$B$31*INDEX(Curves!$B$4:$AR$4,1,AP$3-Projects!$C$31+1),0)-IF(AND(Projects!$G$31="Yes",AP$3&gt;=Projects!$C$31,AP$3&lt;Projects!$C$31+Projects!$D$31),Projects!$B$31*(Assumptions!$B$10+Assumptions!$B$11+Assumptions!$B$12)/Projects!$D$31*0.95,0)-IF(AND(Projects!$G$31="Yes",AP$3=Projects!$C$31+Projects!$D$31-1),Projects!$B$31*(Assumptions!$B$10+Assumptions!$B$11+Assumptions!$B$12)*0.05,0)</f>
        <v>0</v>
      </c>
      <c r="AQ40" s="30" t="n">
        <f aca="false">IF(AND(Projects!$G$31="Yes",AQ$3&gt;=Projects!$C$31,AQ$3&lt;Projects!$C$31+Projects!$D$31),Projects!$B$31*INDEX(Curves!$B$4:$AR$4,1,AQ$3-Projects!$C$31+1),0)-IF(AND(Projects!$G$31="Yes",AQ$3&gt;=Projects!$C$31,AQ$3&lt;Projects!$C$31+Projects!$D$31),Projects!$B$31*(Assumptions!$B$10+Assumptions!$B$11+Assumptions!$B$12)/Projects!$D$31*0.95,0)-IF(AND(Projects!$G$31="Yes",AQ$3=Projects!$C$31+Projects!$D$31-1),Projects!$B$31*(Assumptions!$B$10+Assumptions!$B$11+Assumptions!$B$12)*0.05,0)</f>
        <v>0</v>
      </c>
      <c r="AR40" s="30" t="n">
        <f aca="false">IF(AND(Projects!$G$31="Yes",AR$3&gt;=Projects!$C$31,AR$3&lt;Projects!$C$31+Projects!$D$31),Projects!$B$31*INDEX(Curves!$B$4:$AR$4,1,AR$3-Projects!$C$31+1),0)-IF(AND(Projects!$G$31="Yes",AR$3&gt;=Projects!$C$31,AR$3&lt;Projects!$C$31+Projects!$D$31),Projects!$B$31*(Assumptions!$B$10+Assumptions!$B$11+Assumptions!$B$12)/Projects!$D$31*0.95,0)-IF(AND(Projects!$G$31="Yes",AR$3=Projects!$C$31+Projects!$D$31-1),Projects!$B$31*(Assumptions!$B$10+Assumptions!$B$11+Assumptions!$B$12)*0.05,0)</f>
        <v>0</v>
      </c>
      <c r="AS40" s="30" t="n">
        <f aca="false">IF(AND(Projects!$G$31="Yes",AS$3&gt;=Projects!$C$31,AS$3&lt;Projects!$C$31+Projects!$D$31),Projects!$B$31*INDEX(Curves!$B$4:$AR$4,1,AS$3-Projects!$C$31+1),0)-IF(AND(Projects!$G$31="Yes",AS$3&gt;=Projects!$C$31,AS$3&lt;Projects!$C$31+Projects!$D$31),Projects!$B$31*(Assumptions!$B$10+Assumptions!$B$11+Assumptions!$B$12)/Projects!$D$31*0.95,0)-IF(AND(Projects!$G$31="Yes",AS$3=Projects!$C$31+Projects!$D$31-1),Projects!$B$31*(Assumptions!$B$10+Assumptions!$B$11+Assumptions!$B$12)*0.05,0)</f>
        <v>0</v>
      </c>
      <c r="AT40" s="30" t="n">
        <f aca="false">IF(AND(Projects!$G$31="Yes",AT$3&gt;=Projects!$C$31,AT$3&lt;Projects!$C$31+Projects!$D$31),Projects!$B$31*INDEX(Curves!$B$4:$AR$4,1,AT$3-Projects!$C$31+1),0)-IF(AND(Projects!$G$31="Yes",AT$3&gt;=Projects!$C$31,AT$3&lt;Projects!$C$31+Projects!$D$31),Projects!$B$31*(Assumptions!$B$10+Assumptions!$B$11+Assumptions!$B$12)/Projects!$D$31*0.95,0)-IF(AND(Projects!$G$31="Yes",AT$3=Projects!$C$31+Projects!$D$31-1),Projects!$B$31*(Assumptions!$B$10+Assumptions!$B$11+Assumptions!$B$12)*0.05,0)</f>
        <v>0</v>
      </c>
      <c r="AU40" s="30" t="n">
        <f aca="false">IF(AND(Projects!$G$31="Yes",AU$3&gt;=Projects!$C$31,AU$3&lt;Projects!$C$31+Projects!$D$31),Projects!$B$31*INDEX(Curves!$B$4:$AR$4,1,AU$3-Projects!$C$31+1),0)-IF(AND(Projects!$G$31="Yes",AU$3&gt;=Projects!$C$31,AU$3&lt;Projects!$C$31+Projects!$D$31),Projects!$B$31*(Assumptions!$B$10+Assumptions!$B$11+Assumptions!$B$12)/Projects!$D$31*0.95,0)-IF(AND(Projects!$G$31="Yes",AU$3=Projects!$C$31+Projects!$D$31-1),Projects!$B$31*(Assumptions!$B$10+Assumptions!$B$11+Assumptions!$B$12)*0.05,0)</f>
        <v>0</v>
      </c>
      <c r="AV40" s="30" t="n">
        <f aca="false">IF(AND(Projects!$G$31="Yes",AV$3&gt;=Projects!$C$31,AV$3&lt;Projects!$C$31+Projects!$D$31),Projects!$B$31*INDEX(Curves!$B$4:$AR$4,1,AV$3-Projects!$C$31+1),0)-IF(AND(Projects!$G$31="Yes",AV$3&gt;=Projects!$C$31,AV$3&lt;Projects!$C$31+Projects!$D$31),Projects!$B$31*(Assumptions!$B$10+Assumptions!$B$11+Assumptions!$B$12)/Projects!$D$31*0.95,0)-IF(AND(Projects!$G$31="Yes",AV$3=Projects!$C$31+Projects!$D$31-1),Projects!$B$31*(Assumptions!$B$10+Assumptions!$B$11+Assumptions!$B$12)*0.05,0)</f>
        <v>0</v>
      </c>
      <c r="AW40" s="30" t="n">
        <f aca="false">IF(AND(Projects!$G$31="Yes",AW$3&gt;=Projects!$C$31,AW$3&lt;Projects!$C$31+Projects!$D$31),Projects!$B$31*INDEX(Curves!$B$4:$AR$4,1,AW$3-Projects!$C$31+1),0)-IF(AND(Projects!$G$31="Yes",AW$3&gt;=Projects!$C$31,AW$3&lt;Projects!$C$31+Projects!$D$31),Projects!$B$31*(Assumptions!$B$10+Assumptions!$B$11+Assumptions!$B$12)/Projects!$D$31*0.95,0)-IF(AND(Projects!$G$31="Yes",AW$3=Projects!$C$31+Projects!$D$31-1),Projects!$B$31*(Assumptions!$B$10+Assumptions!$B$11+Assumptions!$B$12)*0.05,0)</f>
        <v>0</v>
      </c>
      <c r="AX40" s="30" t="n">
        <f aca="false">IF(AND(Projects!$G$31="Yes",AX$3&gt;=Projects!$C$31,AX$3&lt;Projects!$C$31+Projects!$D$31),Projects!$B$31*INDEX(Curves!$B$4:$AR$4,1,AX$3-Projects!$C$31+1),0)-IF(AND(Projects!$G$31="Yes",AX$3&gt;=Projects!$C$31,AX$3&lt;Projects!$C$31+Projects!$D$31),Projects!$B$31*(Assumptions!$B$10+Assumptions!$B$11+Assumptions!$B$12)/Projects!$D$31*0.95,0)-IF(AND(Projects!$G$31="Yes",AX$3=Projects!$C$31+Projects!$D$31-1),Projects!$B$31*(Assumptions!$B$10+Assumptions!$B$11+Assumptions!$B$12)*0.05,0)</f>
        <v>0</v>
      </c>
      <c r="AY40" s="30" t="n">
        <f aca="false">IF(AND(Projects!$G$31="Yes",AY$3&gt;=Projects!$C$31,AY$3&lt;Projects!$C$31+Projects!$D$31),Projects!$B$31*INDEX(Curves!$B$4:$AR$4,1,AY$3-Projects!$C$31+1),0)-IF(AND(Projects!$G$31="Yes",AY$3&gt;=Projects!$C$31,AY$3&lt;Projects!$C$31+Projects!$D$31),Projects!$B$31*(Assumptions!$B$10+Assumptions!$B$11+Assumptions!$B$12)/Projects!$D$31*0.95,0)-IF(AND(Projects!$G$31="Yes",AY$3=Projects!$C$31+Projects!$D$31-1),Projects!$B$31*(Assumptions!$B$10+Assumptions!$B$11+Assumptions!$B$12)*0.05,0)</f>
        <v>0</v>
      </c>
      <c r="AZ40" s="30" t="n">
        <f aca="false">IF(AND(Projects!$G$31="Yes",AZ$3&gt;=Projects!$C$31,AZ$3&lt;Projects!$C$31+Projects!$D$31),Projects!$B$31*INDEX(Curves!$B$4:$AR$4,1,AZ$3-Projects!$C$31+1),0)-IF(AND(Projects!$G$31="Yes",AZ$3&gt;=Projects!$C$31,AZ$3&lt;Projects!$C$31+Projects!$D$31),Projects!$B$31*(Assumptions!$B$10+Assumptions!$B$11+Assumptions!$B$12)/Projects!$D$31*0.95,0)-IF(AND(Projects!$G$31="Yes",AZ$3=Projects!$C$31+Projects!$D$31-1),Projects!$B$31*(Assumptions!$B$10+Assumptions!$B$11+Assumptions!$B$12)*0.05,0)</f>
        <v>0</v>
      </c>
      <c r="BA40" s="30" t="n">
        <f aca="false">IF(AND(Projects!$G$31="Yes",BA$3&gt;=Projects!$C$31,BA$3&lt;Projects!$C$31+Projects!$D$31),Projects!$B$31*INDEX(Curves!$B$4:$AR$4,1,BA$3-Projects!$C$31+1),0)-IF(AND(Projects!$G$31="Yes",BA$3&gt;=Projects!$C$31,BA$3&lt;Projects!$C$31+Projects!$D$31),Projects!$B$31*(Assumptions!$B$10+Assumptions!$B$11+Assumptions!$B$12)/Projects!$D$31*0.95,0)-IF(AND(Projects!$G$31="Yes",BA$3=Projects!$C$31+Projects!$D$31-1),Projects!$B$31*(Assumptions!$B$10+Assumptions!$B$11+Assumptions!$B$12)*0.05,0)</f>
        <v>0</v>
      </c>
      <c r="BB40" s="30" t="n">
        <f aca="false">IF(AND(Projects!$G$31="Yes",BB$3&gt;=Projects!$C$31,BB$3&lt;Projects!$C$31+Projects!$D$31),Projects!$B$31*INDEX(Curves!$B$4:$AR$4,1,BB$3-Projects!$C$31+1),0)-IF(AND(Projects!$G$31="Yes",BB$3&gt;=Projects!$C$31,BB$3&lt;Projects!$C$31+Projects!$D$31),Projects!$B$31*(Assumptions!$B$10+Assumptions!$B$11+Assumptions!$B$12)/Projects!$D$31*0.95,0)-IF(AND(Projects!$G$31="Yes",BB$3=Projects!$C$31+Projects!$D$31-1),Projects!$B$31*(Assumptions!$B$10+Assumptions!$B$11+Assumptions!$B$12)*0.05,0)</f>
        <v>0</v>
      </c>
      <c r="BC40" s="30" t="n">
        <f aca="false">IF(AND(Projects!$G$31="Yes",BC$3&gt;=Projects!$C$31,BC$3&lt;Projects!$C$31+Projects!$D$31),Projects!$B$31*INDEX(Curves!$B$4:$AR$4,1,BC$3-Projects!$C$31+1),0)-IF(AND(Projects!$G$31="Yes",BC$3&gt;=Projects!$C$31,BC$3&lt;Projects!$C$31+Projects!$D$31),Projects!$B$31*(Assumptions!$B$10+Assumptions!$B$11+Assumptions!$B$12)/Projects!$D$31*0.95,0)-IF(AND(Projects!$G$31="Yes",BC$3=Projects!$C$31+Projects!$D$31-1),Projects!$B$31*(Assumptions!$B$10+Assumptions!$B$11+Assumptions!$B$12)*0.05,0)</f>
        <v>0</v>
      </c>
      <c r="BD40" s="30" t="n">
        <f aca="false">IF(AND(Projects!$G$31="Yes",BD$3&gt;=Projects!$C$31,BD$3&lt;Projects!$C$31+Projects!$D$31),Projects!$B$31*INDEX(Curves!$B$4:$AR$4,1,BD$3-Projects!$C$31+1),0)-IF(AND(Projects!$G$31="Yes",BD$3&gt;=Projects!$C$31,BD$3&lt;Projects!$C$31+Projects!$D$31),Projects!$B$31*(Assumptions!$B$10+Assumptions!$B$11+Assumptions!$B$12)/Projects!$D$31*0.95,0)-IF(AND(Projects!$G$31="Yes",BD$3=Projects!$C$31+Projects!$D$31-1),Projects!$B$31*(Assumptions!$B$10+Assumptions!$B$11+Assumptions!$B$12)*0.05,0)</f>
        <v>0</v>
      </c>
      <c r="BE40" s="30" t="n">
        <f aca="false">IF(AND(Projects!$G$31="Yes",BE$3&gt;=Projects!$C$31,BE$3&lt;Projects!$C$31+Projects!$D$31),Projects!$B$31*INDEX(Curves!$B$4:$AR$4,1,BE$3-Projects!$C$31+1),0)-IF(AND(Projects!$G$31="Yes",BE$3&gt;=Projects!$C$31,BE$3&lt;Projects!$C$31+Projects!$D$31),Projects!$B$31*(Assumptions!$B$10+Assumptions!$B$11+Assumptions!$B$12)/Projects!$D$31*0.95,0)-IF(AND(Projects!$G$31="Yes",BE$3=Projects!$C$31+Projects!$D$31-1),Projects!$B$31*(Assumptions!$B$10+Assumptions!$B$11+Assumptions!$B$12)*0.05,0)</f>
        <v>0</v>
      </c>
      <c r="BF40" s="30" t="n">
        <f aca="false">IF(AND(Projects!$G$31="Yes",BF$3&gt;=Projects!$C$31,BF$3&lt;Projects!$C$31+Projects!$D$31),Projects!$B$31*INDEX(Curves!$B$4:$AR$4,1,BF$3-Projects!$C$31+1),0)-IF(AND(Projects!$G$31="Yes",BF$3&gt;=Projects!$C$31,BF$3&lt;Projects!$C$31+Projects!$D$31),Projects!$B$31*(Assumptions!$B$10+Assumptions!$B$11+Assumptions!$B$12)/Projects!$D$31*0.95,0)-IF(AND(Projects!$G$31="Yes",BF$3=Projects!$C$31+Projects!$D$31-1),Projects!$B$31*(Assumptions!$B$10+Assumptions!$B$11+Assumptions!$B$12)*0.05,0)</f>
        <v>0</v>
      </c>
      <c r="BG40" s="30" t="n">
        <f aca="false">IF(AND(Projects!$G$31="Yes",BG$3&gt;=Projects!$C$31,BG$3&lt;Projects!$C$31+Projects!$D$31),Projects!$B$31*INDEX(Curves!$B$4:$AR$4,1,BG$3-Projects!$C$31+1),0)-IF(AND(Projects!$G$31="Yes",BG$3&gt;=Projects!$C$31,BG$3&lt;Projects!$C$31+Projects!$D$31),Projects!$B$31*(Assumptions!$B$10+Assumptions!$B$11+Assumptions!$B$12)/Projects!$D$31*0.95,0)-IF(AND(Projects!$G$31="Yes",BG$3=Projects!$C$31+Projects!$D$31-1),Projects!$B$31*(Assumptions!$B$10+Assumptions!$B$11+Assumptions!$B$12)*0.05,0)</f>
        <v>0</v>
      </c>
      <c r="BH40" s="30" t="n">
        <f aca="false">IF(AND(Projects!$G$31="Yes",BH$3&gt;=Projects!$C$31,BH$3&lt;Projects!$C$31+Projects!$D$31),Projects!$B$31*INDEX(Curves!$B$4:$AR$4,1,BH$3-Projects!$C$31+1),0)-IF(AND(Projects!$G$31="Yes",BH$3&gt;=Projects!$C$31,BH$3&lt;Projects!$C$31+Projects!$D$31),Projects!$B$31*(Assumptions!$B$10+Assumptions!$B$11+Assumptions!$B$12)/Projects!$D$31*0.95,0)-IF(AND(Projects!$G$31="Yes",BH$3=Projects!$C$31+Projects!$D$31-1),Projects!$B$31*(Assumptions!$B$10+Assumptions!$B$11+Assumptions!$B$12)*0.05,0)</f>
        <v>0</v>
      </c>
      <c r="BI40" s="30" t="n">
        <f aca="false">IF(AND(Projects!$G$31="Yes",BI$3&gt;=Projects!$C$31,BI$3&lt;Projects!$C$31+Projects!$D$31),Projects!$B$31*INDEX(Curves!$B$4:$AR$4,1,BI$3-Projects!$C$31+1),0)-IF(AND(Projects!$G$31="Yes",BI$3&gt;=Projects!$C$31,BI$3&lt;Projects!$C$31+Projects!$D$31),Projects!$B$31*(Assumptions!$B$10+Assumptions!$B$11+Assumptions!$B$12)/Projects!$D$31*0.95,0)-IF(AND(Projects!$G$31="Yes",BI$3=Projects!$C$31+Projects!$D$31-1),Projects!$B$31*(Assumptions!$B$10+Assumptions!$B$11+Assumptions!$B$12)*0.05,0)</f>
        <v>0</v>
      </c>
      <c r="BJ40" s="30" t="n">
        <f aca="false">IF(AND(Projects!$G$31="Yes",BJ$3&gt;=Projects!$C$31,BJ$3&lt;Projects!$C$31+Projects!$D$31),Projects!$B$31*INDEX(Curves!$B$4:$AR$4,1,BJ$3-Projects!$C$31+1),0)-IF(AND(Projects!$G$31="Yes",BJ$3&gt;=Projects!$C$31,BJ$3&lt;Projects!$C$31+Projects!$D$31),Projects!$B$31*(Assumptions!$B$10+Assumptions!$B$11+Assumptions!$B$12)/Projects!$D$31*0.95,0)-IF(AND(Projects!$G$31="Yes",BJ$3=Projects!$C$31+Projects!$D$31-1),Projects!$B$31*(Assumptions!$B$10+Assumptions!$B$11+Assumptions!$B$12)*0.05,0)</f>
        <v>0</v>
      </c>
      <c r="BK40" s="30" t="n">
        <f aca="false">IF(AND(Projects!$G$31="Yes",BK$3&gt;=Projects!$C$31,BK$3&lt;Projects!$C$31+Projects!$D$31),Projects!$B$31*INDEX(Curves!$B$4:$AR$4,1,BK$3-Projects!$C$31+1),0)-IF(AND(Projects!$G$31="Yes",BK$3&gt;=Projects!$C$31,BK$3&lt;Projects!$C$31+Projects!$D$31),Projects!$B$31*(Assumptions!$B$10+Assumptions!$B$11+Assumptions!$B$12)/Projects!$D$31*0.95,0)-IF(AND(Projects!$G$31="Yes",BK$3=Projects!$C$31+Projects!$D$31-1),Projects!$B$31*(Assumptions!$B$10+Assumptions!$B$11+Assumptions!$B$12)*0.05,0)</f>
        <v>0</v>
      </c>
      <c r="BL40" s="30" t="n">
        <f aca="false">IF(AND(Projects!$G$31="Yes",BL$3&gt;=Projects!$C$31,BL$3&lt;Projects!$C$31+Projects!$D$31),Projects!$B$31*INDEX(Curves!$B$4:$AR$4,1,BL$3-Projects!$C$31+1),0)-IF(AND(Projects!$G$31="Yes",BL$3&gt;=Projects!$C$31,BL$3&lt;Projects!$C$31+Projects!$D$31),Projects!$B$31*(Assumptions!$B$10+Assumptions!$B$11+Assumptions!$B$12)/Projects!$D$31*0.95,0)-IF(AND(Projects!$G$31="Yes",BL$3=Projects!$C$31+Projects!$D$31-1),Projects!$B$31*(Assumptions!$B$10+Assumptions!$B$11+Assumptions!$B$12)*0.05,0)</f>
        <v>0</v>
      </c>
      <c r="BM40" s="30" t="n">
        <f aca="false">IF(AND(Projects!$G$31="Yes",BM$3&gt;=Projects!$C$31,BM$3&lt;Projects!$C$31+Projects!$D$31),Projects!$B$31*INDEX(Curves!$B$4:$AR$4,1,BM$3-Projects!$C$31+1),0)-IF(AND(Projects!$G$31="Yes",BM$3&gt;=Projects!$C$31,BM$3&lt;Projects!$C$31+Projects!$D$31),Projects!$B$31*(Assumptions!$B$10+Assumptions!$B$11+Assumptions!$B$12)/Projects!$D$31*0.95,0)-IF(AND(Projects!$G$31="Yes",BM$3=Projects!$C$31+Projects!$D$31-1),Projects!$B$31*(Assumptions!$B$10+Assumptions!$B$11+Assumptions!$B$12)*0.05,0)</f>
        <v>0</v>
      </c>
      <c r="BN40" s="30" t="n">
        <f aca="false">IF(AND(Projects!$G$31="Yes",BN$3&gt;=Projects!$C$31,BN$3&lt;Projects!$C$31+Projects!$D$31),Projects!$B$31*INDEX(Curves!$B$4:$AR$4,1,BN$3-Projects!$C$31+1),0)-IF(AND(Projects!$G$31="Yes",BN$3&gt;=Projects!$C$31,BN$3&lt;Projects!$C$31+Projects!$D$31),Projects!$B$31*(Assumptions!$B$10+Assumptions!$B$11+Assumptions!$B$12)/Projects!$D$31*0.95,0)-IF(AND(Projects!$G$31="Yes",BN$3=Projects!$C$31+Projects!$D$31-1),Projects!$B$31*(Assumptions!$B$10+Assumptions!$B$11+Assumptions!$B$12)*0.05,0)</f>
        <v>0</v>
      </c>
      <c r="BO40" s="30" t="n">
        <f aca="false">IF(AND(Projects!$G$31="Yes",BO$3&gt;=Projects!$C$31,BO$3&lt;Projects!$C$31+Projects!$D$31),Projects!$B$31*INDEX(Curves!$B$4:$AR$4,1,BO$3-Projects!$C$31+1),0)-IF(AND(Projects!$G$31="Yes",BO$3&gt;=Projects!$C$31,BO$3&lt;Projects!$C$31+Projects!$D$31),Projects!$B$31*(Assumptions!$B$10+Assumptions!$B$11+Assumptions!$B$12)/Projects!$D$31*0.95,0)-IF(AND(Projects!$G$31="Yes",BO$3=Projects!$C$31+Projects!$D$31-1),Projects!$B$31*(Assumptions!$B$10+Assumptions!$B$11+Assumptions!$B$12)*0.05,0)</f>
        <v>0</v>
      </c>
      <c r="BP40" s="30" t="n">
        <f aca="false">IF(AND(Projects!$G$31="Yes",BP$3&gt;=Projects!$C$31,BP$3&lt;Projects!$C$31+Projects!$D$31),Projects!$B$31*INDEX(Curves!$B$4:$AR$4,1,BP$3-Projects!$C$31+1),0)-IF(AND(Projects!$G$31="Yes",BP$3&gt;=Projects!$C$31,BP$3&lt;Projects!$C$31+Projects!$D$31),Projects!$B$31*(Assumptions!$B$10+Assumptions!$B$11+Assumptions!$B$12)/Projects!$D$31*0.95,0)-IF(AND(Projects!$G$31="Yes",BP$3=Projects!$C$31+Projects!$D$31-1),Projects!$B$31*(Assumptions!$B$10+Assumptions!$B$11+Assumptions!$B$12)*0.05,0)</f>
        <v>0</v>
      </c>
      <c r="BQ40" s="30" t="n">
        <f aca="false">IF(AND(Projects!$G$31="Yes",BQ$3&gt;=Projects!$C$31,BQ$3&lt;Projects!$C$31+Projects!$D$31),Projects!$B$31*INDEX(Curves!$B$4:$AR$4,1,BQ$3-Projects!$C$31+1),0)-IF(AND(Projects!$G$31="Yes",BQ$3&gt;=Projects!$C$31,BQ$3&lt;Projects!$C$31+Projects!$D$31),Projects!$B$31*(Assumptions!$B$10+Assumptions!$B$11+Assumptions!$B$12)/Projects!$D$31*0.95,0)-IF(AND(Projects!$G$31="Yes",BQ$3=Projects!$C$31+Projects!$D$31-1),Projects!$B$31*(Assumptions!$B$10+Assumptions!$B$11+Assumptions!$B$12)*0.05,0)</f>
        <v>0</v>
      </c>
      <c r="BR40" s="30" t="n">
        <f aca="false">IF(AND(Projects!$G$31="Yes",BR$3&gt;=Projects!$C$31,BR$3&lt;Projects!$C$31+Projects!$D$31),Projects!$B$31*INDEX(Curves!$B$4:$AR$4,1,BR$3-Projects!$C$31+1),0)-IF(AND(Projects!$G$31="Yes",BR$3&gt;=Projects!$C$31,BR$3&lt;Projects!$C$31+Projects!$D$31),Projects!$B$31*(Assumptions!$B$10+Assumptions!$B$11+Assumptions!$B$12)/Projects!$D$31*0.95,0)-IF(AND(Projects!$G$31="Yes",BR$3=Projects!$C$31+Projects!$D$31-1),Projects!$B$31*(Assumptions!$B$10+Assumptions!$B$11+Assumptions!$B$12)*0.05,0)</f>
        <v>0</v>
      </c>
      <c r="BS40" s="30" t="n">
        <f aca="false">IF(AND(Projects!$G$31="Yes",BS$3&gt;=Projects!$C$31,BS$3&lt;Projects!$C$31+Projects!$D$31),Projects!$B$31*INDEX(Curves!$B$4:$AR$4,1,BS$3-Projects!$C$31+1),0)-IF(AND(Projects!$G$31="Yes",BS$3&gt;=Projects!$C$31,BS$3&lt;Projects!$C$31+Projects!$D$31),Projects!$B$31*(Assumptions!$B$10+Assumptions!$B$11+Assumptions!$B$12)/Projects!$D$31*0.95,0)-IF(AND(Projects!$G$31="Yes",BS$3=Projects!$C$31+Projects!$D$31-1),Projects!$B$31*(Assumptions!$B$10+Assumptions!$B$11+Assumptions!$B$12)*0.05,0)</f>
        <v>0</v>
      </c>
      <c r="BT40" s="30" t="n">
        <f aca="false">IF(AND(Projects!$G$31="Yes",BT$3&gt;=Projects!$C$31,BT$3&lt;Projects!$C$31+Projects!$D$31),Projects!$B$31*INDEX(Curves!$B$4:$AR$4,1,BT$3-Projects!$C$31+1),0)-IF(AND(Projects!$G$31="Yes",BT$3&gt;=Projects!$C$31,BT$3&lt;Projects!$C$31+Projects!$D$31),Projects!$B$31*(Assumptions!$B$10+Assumptions!$B$11+Assumptions!$B$12)/Projects!$D$31*0.95,0)-IF(AND(Projects!$G$31="Yes",BT$3=Projects!$C$31+Projects!$D$31-1),Projects!$B$31*(Assumptions!$B$10+Assumptions!$B$11+Assumptions!$B$12)*0.05,0)</f>
        <v>0</v>
      </c>
      <c r="BU40" s="30" t="n">
        <f aca="false">IF(AND(Projects!$G$31="Yes",BU$3&gt;=Projects!$C$31,BU$3&lt;Projects!$C$31+Projects!$D$31),Projects!$B$31*INDEX(Curves!$B$4:$AR$4,1,BU$3-Projects!$C$31+1),0)-IF(AND(Projects!$G$31="Yes",BU$3&gt;=Projects!$C$31,BU$3&lt;Projects!$C$31+Projects!$D$31),Projects!$B$31*(Assumptions!$B$10+Assumptions!$B$11+Assumptions!$B$12)/Projects!$D$31*0.95,0)-IF(AND(Projects!$G$31="Yes",BU$3=Projects!$C$31+Projects!$D$31-1),Projects!$B$31*(Assumptions!$B$10+Assumptions!$B$11+Assumptions!$B$12)*0.05,0)</f>
        <v>0</v>
      </c>
      <c r="BV40" s="30" t="n">
        <f aca="false">IF(AND(Projects!$G$31="Yes",BV$3&gt;=Projects!$C$31,BV$3&lt;Projects!$C$31+Projects!$D$31),Projects!$B$31*INDEX(Curves!$B$4:$AR$4,1,BV$3-Projects!$C$31+1),0)-IF(AND(Projects!$G$31="Yes",BV$3&gt;=Projects!$C$31,BV$3&lt;Projects!$C$31+Projects!$D$31),Projects!$B$31*(Assumptions!$B$10+Assumptions!$B$11+Assumptions!$B$12)/Projects!$D$31*0.95,0)-IF(AND(Projects!$G$31="Yes",BV$3=Projects!$C$31+Projects!$D$31-1),Projects!$B$31*(Assumptions!$B$10+Assumptions!$B$11+Assumptions!$B$12)*0.05,0)</f>
        <v>0</v>
      </c>
      <c r="BW40" s="30" t="n">
        <f aca="false">IF(AND(Projects!$G$31="Yes",BW$3&gt;=Projects!$C$31,BW$3&lt;Projects!$C$31+Projects!$D$31),Projects!$B$31*INDEX(Curves!$B$4:$AR$4,1,BW$3-Projects!$C$31+1),0)-IF(AND(Projects!$G$31="Yes",BW$3&gt;=Projects!$C$31,BW$3&lt;Projects!$C$31+Projects!$D$31),Projects!$B$31*(Assumptions!$B$10+Assumptions!$B$11+Assumptions!$B$12)/Projects!$D$31*0.95,0)-IF(AND(Projects!$G$31="Yes",BW$3=Projects!$C$31+Projects!$D$31-1),Projects!$B$31*(Assumptions!$B$10+Assumptions!$B$11+Assumptions!$B$12)*0.05,0)</f>
        <v>0</v>
      </c>
      <c r="BX40" s="30" t="n">
        <f aca="false">IF(AND(Projects!$G$31="Yes",BX$3&gt;=Projects!$C$31,BX$3&lt;Projects!$C$31+Projects!$D$31),Projects!$B$31*INDEX(Curves!$B$4:$AR$4,1,BX$3-Projects!$C$31+1),0)-IF(AND(Projects!$G$31="Yes",BX$3&gt;=Projects!$C$31,BX$3&lt;Projects!$C$31+Projects!$D$31),Projects!$B$31*(Assumptions!$B$10+Assumptions!$B$11+Assumptions!$B$12)/Projects!$D$31*0.95,0)-IF(AND(Projects!$G$31="Yes",BX$3=Projects!$C$31+Projects!$D$31-1),Projects!$B$31*(Assumptions!$B$10+Assumptions!$B$11+Assumptions!$B$12)*0.05,0)</f>
        <v>0</v>
      </c>
      <c r="BY40" s="30" t="n">
        <f aca="false">IF(AND(Projects!$G$31="Yes",BY$3&gt;=Projects!$C$31,BY$3&lt;Projects!$C$31+Projects!$D$31),Projects!$B$31*INDEX(Curves!$B$4:$AR$4,1,BY$3-Projects!$C$31+1),0)-IF(AND(Projects!$G$31="Yes",BY$3&gt;=Projects!$C$31,BY$3&lt;Projects!$C$31+Projects!$D$31),Projects!$B$31*(Assumptions!$B$10+Assumptions!$B$11+Assumptions!$B$12)/Projects!$D$31*0.95,0)-IF(AND(Projects!$G$31="Yes",BY$3=Projects!$C$31+Projects!$D$31-1),Projects!$B$31*(Assumptions!$B$10+Assumptions!$B$11+Assumptions!$B$12)*0.05,0)</f>
        <v>0</v>
      </c>
      <c r="BZ40" s="30" t="n">
        <f aca="false">IF(AND(Projects!$G$31="Yes",BZ$3&gt;=Projects!$C$31,BZ$3&lt;Projects!$C$31+Projects!$D$31),Projects!$B$31*INDEX(Curves!$B$4:$AR$4,1,BZ$3-Projects!$C$31+1),0)-IF(AND(Projects!$G$31="Yes",BZ$3&gt;=Projects!$C$31,BZ$3&lt;Projects!$C$31+Projects!$D$31),Projects!$B$31*(Assumptions!$B$10+Assumptions!$B$11+Assumptions!$B$12)/Projects!$D$31*0.95,0)-IF(AND(Projects!$G$31="Yes",BZ$3=Projects!$C$31+Projects!$D$31-1),Projects!$B$31*(Assumptions!$B$10+Assumptions!$B$11+Assumptions!$B$12)*0.05,0)</f>
        <v>0</v>
      </c>
      <c r="CA40" s="30" t="n">
        <f aca="false">IF(AND(Projects!$G$31="Yes",CA$3&gt;=Projects!$C$31,CA$3&lt;Projects!$C$31+Projects!$D$31),Projects!$B$31*INDEX(Curves!$B$4:$AR$4,1,CA$3-Projects!$C$31+1),0)-IF(AND(Projects!$G$31="Yes",CA$3&gt;=Projects!$C$31,CA$3&lt;Projects!$C$31+Projects!$D$31),Projects!$B$31*(Assumptions!$B$10+Assumptions!$B$11+Assumptions!$B$12)/Projects!$D$31*0.95,0)-IF(AND(Projects!$G$31="Yes",CA$3=Projects!$C$31+Projects!$D$31-1),Projects!$B$31*(Assumptions!$B$10+Assumptions!$B$11+Assumptions!$B$12)*0.05,0)</f>
        <v>0</v>
      </c>
      <c r="CB40" s="30" t="n">
        <f aca="false">IF(AND(Projects!$G$31="Yes",CB$3&gt;=Projects!$C$31,CB$3&lt;Projects!$C$31+Projects!$D$31),Projects!$B$31*INDEX(Curves!$B$4:$AR$4,1,CB$3-Projects!$C$31+1),0)-IF(AND(Projects!$G$31="Yes",CB$3&gt;=Projects!$C$31,CB$3&lt;Projects!$C$31+Projects!$D$31),Projects!$B$31*(Assumptions!$B$10+Assumptions!$B$11+Assumptions!$B$12)/Projects!$D$31*0.95,0)-IF(AND(Projects!$G$31="Yes",CB$3=Projects!$C$31+Projects!$D$31-1),Projects!$B$31*(Assumptions!$B$10+Assumptions!$B$11+Assumptions!$B$12)*0.05,0)</f>
        <v>0</v>
      </c>
      <c r="CC40" s="30" t="n">
        <f aca="false">IF(AND(Projects!$G$31="Yes",CC$3&gt;=Projects!$C$31,CC$3&lt;Projects!$C$31+Projects!$D$31),Projects!$B$31*INDEX(Curves!$B$4:$AR$4,1,CC$3-Projects!$C$31+1),0)-IF(AND(Projects!$G$31="Yes",CC$3&gt;=Projects!$C$31,CC$3&lt;Projects!$C$31+Projects!$D$31),Projects!$B$31*(Assumptions!$B$10+Assumptions!$B$11+Assumptions!$B$12)/Projects!$D$31*0.95,0)-IF(AND(Projects!$G$31="Yes",CC$3=Projects!$C$31+Projects!$D$31-1),Projects!$B$31*(Assumptions!$B$10+Assumptions!$B$11+Assumptions!$B$12)*0.05,0)</f>
        <v>0</v>
      </c>
      <c r="CD40" s="30" t="n">
        <f aca="false">IF(AND(Projects!$G$31="Yes",CD$3&gt;=Projects!$C$31,CD$3&lt;Projects!$C$31+Projects!$D$31),Projects!$B$31*INDEX(Curves!$B$4:$AR$4,1,CD$3-Projects!$C$31+1),0)-IF(AND(Projects!$G$31="Yes",CD$3&gt;=Projects!$C$31,CD$3&lt;Projects!$C$31+Projects!$D$31),Projects!$B$31*(Assumptions!$B$10+Assumptions!$B$11+Assumptions!$B$12)/Projects!$D$31*0.95,0)-IF(AND(Projects!$G$31="Yes",CD$3=Projects!$C$31+Projects!$D$31-1),Projects!$B$31*(Assumptions!$B$10+Assumptions!$B$11+Assumptions!$B$12)*0.05,0)</f>
        <v>0</v>
      </c>
      <c r="CE40" s="30" t="n">
        <f aca="false">IF(AND(Projects!$G$31="Yes",CE$3&gt;=Projects!$C$31,CE$3&lt;Projects!$C$31+Projects!$D$31),Projects!$B$31*INDEX(Curves!$B$4:$AR$4,1,CE$3-Projects!$C$31+1),0)-IF(AND(Projects!$G$31="Yes",CE$3&gt;=Projects!$C$31,CE$3&lt;Projects!$C$31+Projects!$D$31),Projects!$B$31*(Assumptions!$B$10+Assumptions!$B$11+Assumptions!$B$12)/Projects!$D$31*0.95,0)-IF(AND(Projects!$G$31="Yes",CE$3=Projects!$C$31+Projects!$D$31-1),Projects!$B$31*(Assumptions!$B$10+Assumptions!$B$11+Assumptions!$B$12)*0.05,0)</f>
        <v>0</v>
      </c>
      <c r="CF40" s="30" t="n">
        <f aca="false">IF(AND(Projects!$G$31="Yes",CF$3&gt;=Projects!$C$31,CF$3&lt;Projects!$C$31+Projects!$D$31),Projects!$B$31*INDEX(Curves!$B$4:$AR$4,1,CF$3-Projects!$C$31+1),0)-IF(AND(Projects!$G$31="Yes",CF$3&gt;=Projects!$C$31,CF$3&lt;Projects!$C$31+Projects!$D$31),Projects!$B$31*(Assumptions!$B$10+Assumptions!$B$11+Assumptions!$B$12)/Projects!$D$31*0.95,0)-IF(AND(Projects!$G$31="Yes",CF$3=Projects!$C$31+Projects!$D$31-1),Projects!$B$31*(Assumptions!$B$10+Assumptions!$B$11+Assumptions!$B$12)*0.05,0)</f>
        <v>0</v>
      </c>
      <c r="CG40" s="30" t="n">
        <f aca="false">IF(AND(Projects!$G$31="Yes",CG$3&gt;=Projects!$C$31,CG$3&lt;Projects!$C$31+Projects!$D$31),Projects!$B$31*INDEX(Curves!$B$4:$AR$4,1,CG$3-Projects!$C$31+1),0)-IF(AND(Projects!$G$31="Yes",CG$3&gt;=Projects!$C$31,CG$3&lt;Projects!$C$31+Projects!$D$31),Projects!$B$31*(Assumptions!$B$10+Assumptions!$B$11+Assumptions!$B$12)/Projects!$D$31*0.95,0)-IF(AND(Projects!$G$31="Yes",CG$3=Projects!$C$31+Projects!$D$31-1),Projects!$B$31*(Assumptions!$B$10+Assumptions!$B$11+Assumptions!$B$12)*0.05,0)</f>
        <v>0</v>
      </c>
      <c r="CH40" s="30" t="n">
        <f aca="false">IF(AND(Projects!$G$31="Yes",CH$3&gt;=Projects!$C$31,CH$3&lt;Projects!$C$31+Projects!$D$31),Projects!$B$31*INDEX(Curves!$B$4:$AR$4,1,CH$3-Projects!$C$31+1),0)-IF(AND(Projects!$G$31="Yes",CH$3&gt;=Projects!$C$31,CH$3&lt;Projects!$C$31+Projects!$D$31),Projects!$B$31*(Assumptions!$B$10+Assumptions!$B$11+Assumptions!$B$12)/Projects!$D$31*0.95,0)-IF(AND(Projects!$G$31="Yes",CH$3=Projects!$C$31+Projects!$D$31-1),Projects!$B$31*(Assumptions!$B$10+Assumptions!$B$11+Assumptions!$B$12)*0.05,0)</f>
        <v>0</v>
      </c>
      <c r="CI40" s="30" t="n">
        <f aca="false">IF(AND(Projects!$G$31="Yes",CI$3&gt;=Projects!$C$31,CI$3&lt;Projects!$C$31+Projects!$D$31),Projects!$B$31*INDEX(Curves!$B$4:$AR$4,1,CI$3-Projects!$C$31+1),0)-IF(AND(Projects!$G$31="Yes",CI$3&gt;=Projects!$C$31,CI$3&lt;Projects!$C$31+Projects!$D$31),Projects!$B$31*(Assumptions!$B$10+Assumptions!$B$11+Assumptions!$B$12)/Projects!$D$31*0.95,0)-IF(AND(Projects!$G$31="Yes",CI$3=Projects!$C$31+Projects!$D$31-1),Projects!$B$31*(Assumptions!$B$10+Assumptions!$B$11+Assumptions!$B$12)*0.05,0)</f>
        <v>0</v>
      </c>
      <c r="CJ40" s="30" t="n">
        <f aca="false">IF(AND(Projects!$G$31="Yes",CJ$3&gt;=Projects!$C$31,CJ$3&lt;Projects!$C$31+Projects!$D$31),Projects!$B$31*INDEX(Curves!$B$4:$AR$4,1,CJ$3-Projects!$C$31+1),0)-IF(AND(Projects!$G$31="Yes",CJ$3&gt;=Projects!$C$31,CJ$3&lt;Projects!$C$31+Projects!$D$31),Projects!$B$31*(Assumptions!$B$10+Assumptions!$B$11+Assumptions!$B$12)/Projects!$D$31*0.95,0)-IF(AND(Projects!$G$31="Yes",CJ$3=Projects!$C$31+Projects!$D$31-1),Projects!$B$31*(Assumptions!$B$10+Assumptions!$B$11+Assumptions!$B$12)*0.05,0)</f>
        <v>0</v>
      </c>
      <c r="CK40" s="30" t="n">
        <f aca="false">IF(AND(Projects!$G$31="Yes",CK$3&gt;=Projects!$C$31,CK$3&lt;Projects!$C$31+Projects!$D$31),Projects!$B$31*INDEX(Curves!$B$4:$AR$4,1,CK$3-Projects!$C$31+1),0)-IF(AND(Projects!$G$31="Yes",CK$3&gt;=Projects!$C$31,CK$3&lt;Projects!$C$31+Projects!$D$31),Projects!$B$31*(Assumptions!$B$10+Assumptions!$B$11+Assumptions!$B$12)/Projects!$D$31*0.95,0)-IF(AND(Projects!$G$31="Yes",CK$3=Projects!$C$31+Projects!$D$31-1),Projects!$B$31*(Assumptions!$B$10+Assumptions!$B$11+Assumptions!$B$12)*0.05,0)</f>
        <v>0</v>
      </c>
      <c r="CL40" s="30" t="n">
        <f aca="false">IF(AND(Projects!$G$31="Yes",CL$3&gt;=Projects!$C$31,CL$3&lt;Projects!$C$31+Projects!$D$31),Projects!$B$31*INDEX(Curves!$B$4:$AR$4,1,CL$3-Projects!$C$31+1),0)-IF(AND(Projects!$G$31="Yes",CL$3&gt;=Projects!$C$31,CL$3&lt;Projects!$C$31+Projects!$D$31),Projects!$B$31*(Assumptions!$B$10+Assumptions!$B$11+Assumptions!$B$12)/Projects!$D$31*0.95,0)-IF(AND(Projects!$G$31="Yes",CL$3=Projects!$C$31+Projects!$D$31-1),Projects!$B$31*(Assumptions!$B$10+Assumptions!$B$11+Assumptions!$B$12)*0.05,0)</f>
        <v>0</v>
      </c>
      <c r="CM40" s="30" t="n">
        <f aca="false">IF(AND(Projects!$G$31="Yes",CM$3&gt;=Projects!$C$31,CM$3&lt;Projects!$C$31+Projects!$D$31),Projects!$B$31*INDEX(Curves!$B$4:$AR$4,1,CM$3-Projects!$C$31+1),0)-IF(AND(Projects!$G$31="Yes",CM$3&gt;=Projects!$C$31,CM$3&lt;Projects!$C$31+Projects!$D$31),Projects!$B$31*(Assumptions!$B$10+Assumptions!$B$11+Assumptions!$B$12)/Projects!$D$31*0.95,0)-IF(AND(Projects!$G$31="Yes",CM$3=Projects!$C$31+Projects!$D$31-1),Projects!$B$31*(Assumptions!$B$10+Assumptions!$B$11+Assumptions!$B$12)*0.05,0)</f>
        <v>0</v>
      </c>
      <c r="CN40" s="30" t="n">
        <f aca="false">IF(AND(Projects!$G$31="Yes",CN$3&gt;=Projects!$C$31,CN$3&lt;Projects!$C$31+Projects!$D$31),Projects!$B$31*INDEX(Curves!$B$4:$AR$4,1,CN$3-Projects!$C$31+1),0)-IF(AND(Projects!$G$31="Yes",CN$3&gt;=Projects!$C$31,CN$3&lt;Projects!$C$31+Projects!$D$31),Projects!$B$31*(Assumptions!$B$10+Assumptions!$B$11+Assumptions!$B$12)/Projects!$D$31*0.95,0)-IF(AND(Projects!$G$31="Yes",CN$3=Projects!$C$31+Projects!$D$31-1),Projects!$B$31*(Assumptions!$B$10+Assumptions!$B$11+Assumptions!$B$12)*0.05,0)</f>
        <v>0</v>
      </c>
      <c r="CO40" s="30" t="n">
        <f aca="false">IF(AND(Projects!$G$31="Yes",CO$3&gt;=Projects!$C$31,CO$3&lt;Projects!$C$31+Projects!$D$31),Projects!$B$31*INDEX(Curves!$B$4:$AR$4,1,CO$3-Projects!$C$31+1),0)-IF(AND(Projects!$G$31="Yes",CO$3&gt;=Projects!$C$31,CO$3&lt;Projects!$C$31+Projects!$D$31),Projects!$B$31*(Assumptions!$B$10+Assumptions!$B$11+Assumptions!$B$12)/Projects!$D$31*0.95,0)-IF(AND(Projects!$G$31="Yes",CO$3=Projects!$C$31+Projects!$D$31-1),Projects!$B$31*(Assumptions!$B$10+Assumptions!$B$11+Assumptions!$B$12)*0.05,0)</f>
        <v>0</v>
      </c>
      <c r="CP40" s="30" t="n">
        <f aca="false">IF(AND(Projects!$G$31="Yes",CP$3&gt;=Projects!$C$31,CP$3&lt;Projects!$C$31+Projects!$D$31),Projects!$B$31*INDEX(Curves!$B$4:$AR$4,1,CP$3-Projects!$C$31+1),0)-IF(AND(Projects!$G$31="Yes",CP$3&gt;=Projects!$C$31,CP$3&lt;Projects!$C$31+Projects!$D$31),Projects!$B$31*(Assumptions!$B$10+Assumptions!$B$11+Assumptions!$B$12)/Projects!$D$31*0.95,0)-IF(AND(Projects!$G$31="Yes",CP$3=Projects!$C$31+Projects!$D$31-1),Projects!$B$31*(Assumptions!$B$10+Assumptions!$B$11+Assumptions!$B$12)*0.05,0)</f>
        <v>0</v>
      </c>
      <c r="CQ40" s="30" t="n">
        <f aca="false">IF(AND(Projects!$G$31="Yes",CQ$3&gt;=Projects!$C$31,CQ$3&lt;Projects!$C$31+Projects!$D$31),Projects!$B$31*INDEX(Curves!$B$4:$AR$4,1,CQ$3-Projects!$C$31+1),0)-IF(AND(Projects!$G$31="Yes",CQ$3&gt;=Projects!$C$31,CQ$3&lt;Projects!$C$31+Projects!$D$31),Projects!$B$31*(Assumptions!$B$10+Assumptions!$B$11+Assumptions!$B$12)/Projects!$D$31*0.95,0)-IF(AND(Projects!$G$31="Yes",CQ$3=Projects!$C$31+Projects!$D$31-1),Projects!$B$31*(Assumptions!$B$10+Assumptions!$B$11+Assumptions!$B$12)*0.05,0)</f>
        <v>0</v>
      </c>
      <c r="CR40" s="30" t="n">
        <f aca="false">IF(AND(Projects!$G$31="Yes",CR$3&gt;=Projects!$C$31,CR$3&lt;Projects!$C$31+Projects!$D$31),Projects!$B$31*INDEX(Curves!$B$4:$AR$4,1,CR$3-Projects!$C$31+1),0)-IF(AND(Projects!$G$31="Yes",CR$3&gt;=Projects!$C$31,CR$3&lt;Projects!$C$31+Projects!$D$31),Projects!$B$31*(Assumptions!$B$10+Assumptions!$B$11+Assumptions!$B$12)/Projects!$D$31*0.95,0)-IF(AND(Projects!$G$31="Yes",CR$3=Projects!$C$31+Projects!$D$31-1),Projects!$B$31*(Assumptions!$B$10+Assumptions!$B$11+Assumptions!$B$12)*0.05,0)</f>
        <v>0</v>
      </c>
      <c r="CS40" s="30" t="n">
        <f aca="false">IF(AND(Projects!$G$31="Yes",CS$3&gt;=Projects!$C$31,CS$3&lt;Projects!$C$31+Projects!$D$31),Projects!$B$31*INDEX(Curves!$B$4:$AR$4,1,CS$3-Projects!$C$31+1),0)-IF(AND(Projects!$G$31="Yes",CS$3&gt;=Projects!$C$31,CS$3&lt;Projects!$C$31+Projects!$D$31),Projects!$B$31*(Assumptions!$B$10+Assumptions!$B$11+Assumptions!$B$12)/Projects!$D$31*0.95,0)-IF(AND(Projects!$G$31="Yes",CS$3=Projects!$C$31+Projects!$D$31-1),Projects!$B$31*(Assumptions!$B$10+Assumptions!$B$11+Assumptions!$B$12)*0.05,0)</f>
        <v>0</v>
      </c>
      <c r="CT40" s="30" t="n">
        <f aca="false">IF(AND(Projects!$G$31="Yes",CT$3&gt;=Projects!$C$31,CT$3&lt;Projects!$C$31+Projects!$D$31),Projects!$B$31*INDEX(Curves!$B$4:$AR$4,1,CT$3-Projects!$C$31+1),0)-IF(AND(Projects!$G$31="Yes",CT$3&gt;=Projects!$C$31,CT$3&lt;Projects!$C$31+Projects!$D$31),Projects!$B$31*(Assumptions!$B$10+Assumptions!$B$11+Assumptions!$B$12)/Projects!$D$31*0.95,0)-IF(AND(Projects!$G$31="Yes",CT$3=Projects!$C$31+Projects!$D$31-1),Projects!$B$31*(Assumptions!$B$10+Assumptions!$B$11+Assumptions!$B$12)*0.05,0)</f>
        <v>0</v>
      </c>
      <c r="CU40" s="30" t="n">
        <f aca="false">IF(AND(Projects!$G$31="Yes",CU$3&gt;=Projects!$C$31,CU$3&lt;Projects!$C$31+Projects!$D$31),Projects!$B$31*INDEX(Curves!$B$4:$AR$4,1,CU$3-Projects!$C$31+1),0)-IF(AND(Projects!$G$31="Yes",CU$3&gt;=Projects!$C$31,CU$3&lt;Projects!$C$31+Projects!$D$31),Projects!$B$31*(Assumptions!$B$10+Assumptions!$B$11+Assumptions!$B$12)/Projects!$D$31*0.95,0)-IF(AND(Projects!$G$31="Yes",CU$3=Projects!$C$31+Projects!$D$31-1),Projects!$B$31*(Assumptions!$B$10+Assumptions!$B$11+Assumptions!$B$12)*0.05,0)</f>
        <v>0</v>
      </c>
      <c r="CV40" s="30" t="n">
        <f aca="false">IF(AND(Projects!$G$31="Yes",CV$3&gt;=Projects!$C$31,CV$3&lt;Projects!$C$31+Projects!$D$31),Projects!$B$31*INDEX(Curves!$B$4:$AR$4,1,CV$3-Projects!$C$31+1),0)-IF(AND(Projects!$G$31="Yes",CV$3&gt;=Projects!$C$31,CV$3&lt;Projects!$C$31+Projects!$D$31),Projects!$B$31*(Assumptions!$B$10+Assumptions!$B$11+Assumptions!$B$12)/Projects!$D$31*0.95,0)-IF(AND(Projects!$G$31="Yes",CV$3=Projects!$C$31+Projects!$D$31-1),Projects!$B$31*(Assumptions!$B$10+Assumptions!$B$11+Assumptions!$B$12)*0.05,0)</f>
        <v>0</v>
      </c>
      <c r="CW40" s="30" t="n">
        <f aca="false">IF(AND(Projects!$G$31="Yes",CW$3&gt;=Projects!$C$31,CW$3&lt;Projects!$C$31+Projects!$D$31),Projects!$B$31*INDEX(Curves!$B$4:$AR$4,1,CW$3-Projects!$C$31+1),0)-IF(AND(Projects!$G$31="Yes",CW$3&gt;=Projects!$C$31,CW$3&lt;Projects!$C$31+Projects!$D$31),Projects!$B$31*(Assumptions!$B$10+Assumptions!$B$11+Assumptions!$B$12)/Projects!$D$31*0.95,0)-IF(AND(Projects!$G$31="Yes",CW$3=Projects!$C$31+Projects!$D$31-1),Projects!$B$31*(Assumptions!$B$10+Assumptions!$B$11+Assumptions!$B$12)*0.05,0)</f>
        <v>0</v>
      </c>
      <c r="CX40" s="30" t="n">
        <f aca="false">IF(AND(Projects!$G$31="Yes",CX$3&gt;=Projects!$C$31,CX$3&lt;Projects!$C$31+Projects!$D$31),Projects!$B$31*INDEX(Curves!$B$4:$AR$4,1,CX$3-Projects!$C$31+1),0)-IF(AND(Projects!$G$31="Yes",CX$3&gt;=Projects!$C$31,CX$3&lt;Projects!$C$31+Projects!$D$31),Projects!$B$31*(Assumptions!$B$10+Assumptions!$B$11+Assumptions!$B$12)/Projects!$D$31*0.95,0)-IF(AND(Projects!$G$31="Yes",CX$3=Projects!$C$31+Projects!$D$31-1),Projects!$B$31*(Assumptions!$B$10+Assumptions!$B$11+Assumptions!$B$12)*0.05,0)</f>
        <v>0</v>
      </c>
      <c r="CY40" s="30" t="n">
        <f aca="false">IF(AND(Projects!$G$31="Yes",CY$3&gt;=Projects!$C$31,CY$3&lt;Projects!$C$31+Projects!$D$31),Projects!$B$31*INDEX(Curves!$B$4:$AR$4,1,CY$3-Projects!$C$31+1),0)-IF(AND(Projects!$G$31="Yes",CY$3&gt;=Projects!$C$31,CY$3&lt;Projects!$C$31+Projects!$D$31),Projects!$B$31*(Assumptions!$B$10+Assumptions!$B$11+Assumptions!$B$12)/Projects!$D$31*0.95,0)-IF(AND(Projects!$G$31="Yes",CY$3=Projects!$C$31+Projects!$D$31-1),Projects!$B$31*(Assumptions!$B$10+Assumptions!$B$11+Assumptions!$B$12)*0.05,0)</f>
        <v>0</v>
      </c>
      <c r="CZ40" s="30" t="n">
        <f aca="false">IF(AND(Projects!$G$31="Yes",CZ$3&gt;=Projects!$C$31,CZ$3&lt;Projects!$C$31+Projects!$D$31),Projects!$B$31*INDEX(Curves!$B$4:$AR$4,1,CZ$3-Projects!$C$31+1),0)-IF(AND(Projects!$G$31="Yes",CZ$3&gt;=Projects!$C$31,CZ$3&lt;Projects!$C$31+Projects!$D$31),Projects!$B$31*(Assumptions!$B$10+Assumptions!$B$11+Assumptions!$B$12)/Projects!$D$31*0.95,0)-IF(AND(Projects!$G$31="Yes",CZ$3=Projects!$C$31+Projects!$D$31-1),Projects!$B$31*(Assumptions!$B$10+Assumptions!$B$11+Assumptions!$B$12)*0.05,0)</f>
        <v>0</v>
      </c>
      <c r="DA40" s="30" t="n">
        <f aca="false">IF(AND(Projects!$G$31="Yes",DA$3&gt;=Projects!$C$31,DA$3&lt;Projects!$C$31+Projects!$D$31),Projects!$B$31*INDEX(Curves!$B$4:$AR$4,1,DA$3-Projects!$C$31+1),0)-IF(AND(Projects!$G$31="Yes",DA$3&gt;=Projects!$C$31,DA$3&lt;Projects!$C$31+Projects!$D$31),Projects!$B$31*(Assumptions!$B$10+Assumptions!$B$11+Assumptions!$B$12)/Projects!$D$31*0.95,0)-IF(AND(Projects!$G$31="Yes",DA$3=Projects!$C$31+Projects!$D$31-1),Projects!$B$31*(Assumptions!$B$10+Assumptions!$B$11+Assumptions!$B$12)*0.05,0)</f>
        <v>0</v>
      </c>
      <c r="DB40" s="30" t="n">
        <f aca="false">IF(AND(Projects!$G$31="Yes",DB$3&gt;=Projects!$C$31,DB$3&lt;Projects!$C$31+Projects!$D$31),Projects!$B$31*INDEX(Curves!$B$4:$AR$4,1,DB$3-Projects!$C$31+1),0)-IF(AND(Projects!$G$31="Yes",DB$3&gt;=Projects!$C$31,DB$3&lt;Projects!$C$31+Projects!$D$31),Projects!$B$31*(Assumptions!$B$10+Assumptions!$B$11+Assumptions!$B$12)/Projects!$D$31*0.95,0)-IF(AND(Projects!$G$31="Yes",DB$3=Projects!$C$31+Projects!$D$31-1),Projects!$B$31*(Assumptions!$B$10+Assumptions!$B$11+Assumptions!$B$12)*0.05,0)</f>
        <v>0</v>
      </c>
      <c r="DC40" s="30" t="n">
        <f aca="false">IF(AND(Projects!$G$31="Yes",DC$3&gt;=Projects!$C$31,DC$3&lt;Projects!$C$31+Projects!$D$31),Projects!$B$31*INDEX(Curves!$B$4:$AR$4,1,DC$3-Projects!$C$31+1),0)-IF(AND(Projects!$G$31="Yes",DC$3&gt;=Projects!$C$31,DC$3&lt;Projects!$C$31+Projects!$D$31),Projects!$B$31*(Assumptions!$B$10+Assumptions!$B$11+Assumptions!$B$12)/Projects!$D$31*0.95,0)-IF(AND(Projects!$G$31="Yes",DC$3=Projects!$C$31+Projects!$D$31-1),Projects!$B$31*(Assumptions!$B$10+Assumptions!$B$11+Assumptions!$B$12)*0.05,0)</f>
        <v>0</v>
      </c>
      <c r="DD40" s="30" t="n">
        <f aca="false">IF(AND(Projects!$G$31="Yes",DD$3&gt;=Projects!$C$31,DD$3&lt;Projects!$C$31+Projects!$D$31),Projects!$B$31*INDEX(Curves!$B$4:$AR$4,1,DD$3-Projects!$C$31+1),0)-IF(AND(Projects!$G$31="Yes",DD$3&gt;=Projects!$C$31,DD$3&lt;Projects!$C$31+Projects!$D$31),Projects!$B$31*(Assumptions!$B$10+Assumptions!$B$11+Assumptions!$B$12)/Projects!$D$31*0.95,0)-IF(AND(Projects!$G$31="Yes",DD$3=Projects!$C$31+Projects!$D$31-1),Projects!$B$31*(Assumptions!$B$10+Assumptions!$B$11+Assumptions!$B$12)*0.05,0)</f>
        <v>0</v>
      </c>
      <c r="DE40" s="30" t="n">
        <f aca="false">IF(AND(Projects!$G$31="Yes",DE$3&gt;=Projects!$C$31,DE$3&lt;Projects!$C$31+Projects!$D$31),Projects!$B$31*INDEX(Curves!$B$4:$AR$4,1,DE$3-Projects!$C$31+1),0)-IF(AND(Projects!$G$31="Yes",DE$3&gt;=Projects!$C$31,DE$3&lt;Projects!$C$31+Projects!$D$31),Projects!$B$31*(Assumptions!$B$10+Assumptions!$B$11+Assumptions!$B$12)/Projects!$D$31*0.95,0)-IF(AND(Projects!$G$31="Yes",DE$3=Projects!$C$31+Projects!$D$31-1),Projects!$B$31*(Assumptions!$B$10+Assumptions!$B$11+Assumptions!$B$12)*0.05,0)</f>
        <v>0</v>
      </c>
    </row>
    <row r="41" customFormat="false" ht="15" hidden="true" customHeight="true" outlineLevel="1" collapsed="false">
      <c r="A41" s="32" t="s">
        <v>35</v>
      </c>
      <c r="B41" s="30" t="n">
        <v>0</v>
      </c>
      <c r="C41" s="30" t="n">
        <v>0</v>
      </c>
      <c r="D41" s="30" t="n">
        <v>0</v>
      </c>
      <c r="E41" s="30" t="n">
        <v>0</v>
      </c>
      <c r="F41" s="30" t="n">
        <f aca="false">IF(AND(Projects!$G$32="Yes",F$3&gt;=Projects!$C$32,F$3&lt;Projects!$C$32+Projects!$D$32),Projects!$B$32*INDEX(Curves!$B$4:$AR$4,1,F$3-Projects!$C$32+1),0)-IF(AND(Projects!$G$32="Yes",F$3&gt;=Projects!$C$32,F$3&lt;Projects!$C$32+Projects!$D$32),Projects!$B$32*(Assumptions!$B$10+Assumptions!$B$11+Assumptions!$B$12)/Projects!$D$32*0.95,0)-IF(AND(Projects!$G$32="Yes",F$3=Projects!$C$32+Projects!$D$32-1),Projects!$B$32*(Assumptions!$B$10+Assumptions!$B$11+Assumptions!$B$12)*0.05,0)</f>
        <v>0</v>
      </c>
      <c r="G41" s="30" t="n">
        <f aca="false">IF(AND(Projects!$G$32="Yes",G$3&gt;=Projects!$C$32,G$3&lt;Projects!$C$32+Projects!$D$32),Projects!$B$32*INDEX(Curves!$B$4:$AR$4,1,G$3-Projects!$C$32+1),0)-IF(AND(Projects!$G$32="Yes",G$3&gt;=Projects!$C$32,G$3&lt;Projects!$C$32+Projects!$D$32),Projects!$B$32*(Assumptions!$B$10+Assumptions!$B$11+Assumptions!$B$12)/Projects!$D$32*0.95,0)-IF(AND(Projects!$G$32="Yes",G$3=Projects!$C$32+Projects!$D$32-1),Projects!$B$32*(Assumptions!$B$10+Assumptions!$B$11+Assumptions!$B$12)*0.05,0)</f>
        <v>0</v>
      </c>
      <c r="H41" s="30" t="n">
        <f aca="false">IF(AND(Projects!$G$32="Yes",H$3&gt;=Projects!$C$32,H$3&lt;Projects!$C$32+Projects!$D$32),Projects!$B$32*INDEX(Curves!$B$4:$AR$4,1,H$3-Projects!$C$32+1),0)-IF(AND(Projects!$G$32="Yes",H$3&gt;=Projects!$C$32,H$3&lt;Projects!$C$32+Projects!$D$32),Projects!$B$32*(Assumptions!$B$10+Assumptions!$B$11+Assumptions!$B$12)/Projects!$D$32*0.95,0)-IF(AND(Projects!$G$32="Yes",H$3=Projects!$C$32+Projects!$D$32-1),Projects!$B$32*(Assumptions!$B$10+Assumptions!$B$11+Assumptions!$B$12)*0.05,0)</f>
        <v>0</v>
      </c>
      <c r="I41" s="30" t="n">
        <f aca="false">IF(AND(Projects!$G$32="Yes",I$3&gt;=Projects!$C$32,I$3&lt;Projects!$C$32+Projects!$D$32),Projects!$B$32*INDEX(Curves!$B$4:$AR$4,1,I$3-Projects!$C$32+1),0)-IF(AND(Projects!$G$32="Yes",I$3&gt;=Projects!$C$32,I$3&lt;Projects!$C$32+Projects!$D$32),Projects!$B$32*(Assumptions!$B$10+Assumptions!$B$11+Assumptions!$B$12)/Projects!$D$32*0.95,0)-IF(AND(Projects!$G$32="Yes",I$3=Projects!$C$32+Projects!$D$32-1),Projects!$B$32*(Assumptions!$B$10+Assumptions!$B$11+Assumptions!$B$12)*0.05,0)</f>
        <v>0</v>
      </c>
      <c r="J41" s="30" t="n">
        <f aca="false">IF(AND(Projects!$G$32="Yes",J$3&gt;=Projects!$C$32,J$3&lt;Projects!$C$32+Projects!$D$32),Projects!$B$32*INDEX(Curves!$B$4:$AR$4,1,J$3-Projects!$C$32+1),0)-IF(AND(Projects!$G$32="Yes",J$3&gt;=Projects!$C$32,J$3&lt;Projects!$C$32+Projects!$D$32),Projects!$B$32*(Assumptions!$B$10+Assumptions!$B$11+Assumptions!$B$12)/Projects!$D$32*0.95,0)-IF(AND(Projects!$G$32="Yes",J$3=Projects!$C$32+Projects!$D$32-1),Projects!$B$32*(Assumptions!$B$10+Assumptions!$B$11+Assumptions!$B$12)*0.05,0)</f>
        <v>0</v>
      </c>
      <c r="K41" s="30" t="n">
        <f aca="false">IF(AND(Projects!$G$32="Yes",K$3&gt;=Projects!$C$32,K$3&lt;Projects!$C$32+Projects!$D$32),Projects!$B$32*INDEX(Curves!$B$4:$AR$4,1,K$3-Projects!$C$32+1),0)-IF(AND(Projects!$G$32="Yes",K$3&gt;=Projects!$C$32,K$3&lt;Projects!$C$32+Projects!$D$32),Projects!$B$32*(Assumptions!$B$10+Assumptions!$B$11+Assumptions!$B$12)/Projects!$D$32*0.95,0)-IF(AND(Projects!$G$32="Yes",K$3=Projects!$C$32+Projects!$D$32-1),Projects!$B$32*(Assumptions!$B$10+Assumptions!$B$11+Assumptions!$B$12)*0.05,0)</f>
        <v>0</v>
      </c>
      <c r="L41" s="30" t="n">
        <f aca="false">IF(AND(Projects!$G$32="Yes",L$3&gt;=Projects!$C$32,L$3&lt;Projects!$C$32+Projects!$D$32),Projects!$B$32*INDEX(Curves!$B$4:$AR$4,1,L$3-Projects!$C$32+1),0)-IF(AND(Projects!$G$32="Yes",L$3&gt;=Projects!$C$32,L$3&lt;Projects!$C$32+Projects!$D$32),Projects!$B$32*(Assumptions!$B$10+Assumptions!$B$11+Assumptions!$B$12)/Projects!$D$32*0.95,0)-IF(AND(Projects!$G$32="Yes",L$3=Projects!$C$32+Projects!$D$32-1),Projects!$B$32*(Assumptions!$B$10+Assumptions!$B$11+Assumptions!$B$12)*0.05,0)</f>
        <v>0</v>
      </c>
      <c r="M41" s="30" t="n">
        <f aca="false">IF(AND(Projects!$G$32="Yes",M$3&gt;=Projects!$C$32,M$3&lt;Projects!$C$32+Projects!$D$32),Projects!$B$32*INDEX(Curves!$B$4:$AR$4,1,M$3-Projects!$C$32+1),0)-IF(AND(Projects!$G$32="Yes",M$3&gt;=Projects!$C$32,M$3&lt;Projects!$C$32+Projects!$D$32),Projects!$B$32*(Assumptions!$B$10+Assumptions!$B$11+Assumptions!$B$12)/Projects!$D$32*0.95,0)-IF(AND(Projects!$G$32="Yes",M$3=Projects!$C$32+Projects!$D$32-1),Projects!$B$32*(Assumptions!$B$10+Assumptions!$B$11+Assumptions!$B$12)*0.05,0)</f>
        <v>0</v>
      </c>
      <c r="N41" s="30" t="n">
        <f aca="false">IF(AND(Projects!$G$32="Yes",N$3&gt;=Projects!$C$32,N$3&lt;Projects!$C$32+Projects!$D$32),Projects!$B$32*INDEX(Curves!$B$4:$AR$4,1,N$3-Projects!$C$32+1),0)-IF(AND(Projects!$G$32="Yes",N$3&gt;=Projects!$C$32,N$3&lt;Projects!$C$32+Projects!$D$32),Projects!$B$32*(Assumptions!$B$10+Assumptions!$B$11+Assumptions!$B$12)/Projects!$D$32*0.95,0)-IF(AND(Projects!$G$32="Yes",N$3=Projects!$C$32+Projects!$D$32-1),Projects!$B$32*(Assumptions!$B$10+Assumptions!$B$11+Assumptions!$B$12)*0.05,0)</f>
        <v>0</v>
      </c>
      <c r="O41" s="30" t="n">
        <f aca="false">IF(AND(Projects!$G$32="Yes",O$3&gt;=Projects!$C$32,O$3&lt;Projects!$C$32+Projects!$D$32),Projects!$B$32*INDEX(Curves!$B$4:$AR$4,1,O$3-Projects!$C$32+1),0)-IF(AND(Projects!$G$32="Yes",O$3&gt;=Projects!$C$32,O$3&lt;Projects!$C$32+Projects!$D$32),Projects!$B$32*(Assumptions!$B$10+Assumptions!$B$11+Assumptions!$B$12)/Projects!$D$32*0.95,0)-IF(AND(Projects!$G$32="Yes",O$3=Projects!$C$32+Projects!$D$32-1),Projects!$B$32*(Assumptions!$B$10+Assumptions!$B$11+Assumptions!$B$12)*0.05,0)</f>
        <v>0</v>
      </c>
      <c r="P41" s="30" t="n">
        <f aca="false">IF(AND(Projects!$G$32="Yes",P$3&gt;=Projects!$C$32,P$3&lt;Projects!$C$32+Projects!$D$32),Projects!$B$32*INDEX(Curves!$B$4:$AR$4,1,P$3-Projects!$C$32+1),0)-IF(AND(Projects!$G$32="Yes",P$3&gt;=Projects!$C$32,P$3&lt;Projects!$C$32+Projects!$D$32),Projects!$B$32*(Assumptions!$B$10+Assumptions!$B$11+Assumptions!$B$12)/Projects!$D$32*0.95,0)-IF(AND(Projects!$G$32="Yes",P$3=Projects!$C$32+Projects!$D$32-1),Projects!$B$32*(Assumptions!$B$10+Assumptions!$B$11+Assumptions!$B$12)*0.05,0)</f>
        <v>0</v>
      </c>
      <c r="Q41" s="30" t="n">
        <f aca="false">IF(AND(Projects!$G$32="Yes",Q$3&gt;=Projects!$C$32,Q$3&lt;Projects!$C$32+Projects!$D$32),Projects!$B$32*INDEX(Curves!$B$4:$AR$4,1,Q$3-Projects!$C$32+1),0)-IF(AND(Projects!$G$32="Yes",Q$3&gt;=Projects!$C$32,Q$3&lt;Projects!$C$32+Projects!$D$32),Projects!$B$32*(Assumptions!$B$10+Assumptions!$B$11+Assumptions!$B$12)/Projects!$D$32*0.95,0)-IF(AND(Projects!$G$32="Yes",Q$3=Projects!$C$32+Projects!$D$32-1),Projects!$B$32*(Assumptions!$B$10+Assumptions!$B$11+Assumptions!$B$12)*0.05,0)</f>
        <v>0</v>
      </c>
      <c r="R41" s="30" t="n">
        <f aca="false">IF(AND(Projects!$G$32="Yes",R$3&gt;=Projects!$C$32,R$3&lt;Projects!$C$32+Projects!$D$32),Projects!$B$32*INDEX(Curves!$B$4:$AR$4,1,R$3-Projects!$C$32+1),0)-IF(AND(Projects!$G$32="Yes",R$3&gt;=Projects!$C$32,R$3&lt;Projects!$C$32+Projects!$D$32),Projects!$B$32*(Assumptions!$B$10+Assumptions!$B$11+Assumptions!$B$12)/Projects!$D$32*0.95,0)-IF(AND(Projects!$G$32="Yes",R$3=Projects!$C$32+Projects!$D$32-1),Projects!$B$32*(Assumptions!$B$10+Assumptions!$B$11+Assumptions!$B$12)*0.05,0)</f>
        <v>0</v>
      </c>
      <c r="S41" s="30" t="n">
        <f aca="false">IF(AND(Projects!$G$32="Yes",S$3&gt;=Projects!$C$32,S$3&lt;Projects!$C$32+Projects!$D$32),Projects!$B$32*INDEX(Curves!$B$4:$AR$4,1,S$3-Projects!$C$32+1),0)-IF(AND(Projects!$G$32="Yes",S$3&gt;=Projects!$C$32,S$3&lt;Projects!$C$32+Projects!$D$32),Projects!$B$32*(Assumptions!$B$10+Assumptions!$B$11+Assumptions!$B$12)/Projects!$D$32*0.95,0)-IF(AND(Projects!$G$32="Yes",S$3=Projects!$C$32+Projects!$D$32-1),Projects!$B$32*(Assumptions!$B$10+Assumptions!$B$11+Assumptions!$B$12)*0.05,0)</f>
        <v>0</v>
      </c>
      <c r="T41" s="30" t="n">
        <f aca="false">IF(AND(Projects!$G$32="Yes",T$3&gt;=Projects!$C$32,T$3&lt;Projects!$C$32+Projects!$D$32),Projects!$B$32*INDEX(Curves!$B$4:$AR$4,1,T$3-Projects!$C$32+1),0)-IF(AND(Projects!$G$32="Yes",T$3&gt;=Projects!$C$32,T$3&lt;Projects!$C$32+Projects!$D$32),Projects!$B$32*(Assumptions!$B$10+Assumptions!$B$11+Assumptions!$B$12)/Projects!$D$32*0.95,0)-IF(AND(Projects!$G$32="Yes",T$3=Projects!$C$32+Projects!$D$32-1),Projects!$B$32*(Assumptions!$B$10+Assumptions!$B$11+Assumptions!$B$12)*0.05,0)</f>
        <v>0</v>
      </c>
      <c r="U41" s="30" t="n">
        <f aca="false">IF(AND(Projects!$G$32="Yes",U$3&gt;=Projects!$C$32,U$3&lt;Projects!$C$32+Projects!$D$32),Projects!$B$32*INDEX(Curves!$B$4:$AR$4,1,U$3-Projects!$C$32+1),0)-IF(AND(Projects!$G$32="Yes",U$3&gt;=Projects!$C$32,U$3&lt;Projects!$C$32+Projects!$D$32),Projects!$B$32*(Assumptions!$B$10+Assumptions!$B$11+Assumptions!$B$12)/Projects!$D$32*0.95,0)-IF(AND(Projects!$G$32="Yes",U$3=Projects!$C$32+Projects!$D$32-1),Projects!$B$32*(Assumptions!$B$10+Assumptions!$B$11+Assumptions!$B$12)*0.05,0)</f>
        <v>0</v>
      </c>
      <c r="V41" s="30" t="n">
        <f aca="false">IF(AND(Projects!$G$32="Yes",V$3&gt;=Projects!$C$32,V$3&lt;Projects!$C$32+Projects!$D$32),Projects!$B$32*INDEX(Curves!$B$4:$AR$4,1,V$3-Projects!$C$32+1),0)-IF(AND(Projects!$G$32="Yes",V$3&gt;=Projects!$C$32,V$3&lt;Projects!$C$32+Projects!$D$32),Projects!$B$32*(Assumptions!$B$10+Assumptions!$B$11+Assumptions!$B$12)/Projects!$D$32*0.95,0)-IF(AND(Projects!$G$32="Yes",V$3=Projects!$C$32+Projects!$D$32-1),Projects!$B$32*(Assumptions!$B$10+Assumptions!$B$11+Assumptions!$B$12)*0.05,0)</f>
        <v>0</v>
      </c>
      <c r="W41" s="30" t="n">
        <f aca="false">IF(AND(Projects!$G$32="Yes",W$3&gt;=Projects!$C$32,W$3&lt;Projects!$C$32+Projects!$D$32),Projects!$B$32*INDEX(Curves!$B$4:$AR$4,1,W$3-Projects!$C$32+1),0)-IF(AND(Projects!$G$32="Yes",W$3&gt;=Projects!$C$32,W$3&lt;Projects!$C$32+Projects!$D$32),Projects!$B$32*(Assumptions!$B$10+Assumptions!$B$11+Assumptions!$B$12)/Projects!$D$32*0.95,0)-IF(AND(Projects!$G$32="Yes",W$3=Projects!$C$32+Projects!$D$32-1),Projects!$B$32*(Assumptions!$B$10+Assumptions!$B$11+Assumptions!$B$12)*0.05,0)</f>
        <v>0</v>
      </c>
      <c r="X41" s="30" t="n">
        <f aca="false">IF(AND(Projects!$G$32="Yes",X$3&gt;=Projects!$C$32,X$3&lt;Projects!$C$32+Projects!$D$32),Projects!$B$32*INDEX(Curves!$B$4:$AR$4,1,X$3-Projects!$C$32+1),0)-IF(AND(Projects!$G$32="Yes",X$3&gt;=Projects!$C$32,X$3&lt;Projects!$C$32+Projects!$D$32),Projects!$B$32*(Assumptions!$B$10+Assumptions!$B$11+Assumptions!$B$12)/Projects!$D$32*0.95,0)-IF(AND(Projects!$G$32="Yes",X$3=Projects!$C$32+Projects!$D$32-1),Projects!$B$32*(Assumptions!$B$10+Assumptions!$B$11+Assumptions!$B$12)*0.05,0)</f>
        <v>0</v>
      </c>
      <c r="Y41" s="30" t="n">
        <f aca="false">IF(AND(Projects!$G$32="Yes",Y$3&gt;=Projects!$C$32,Y$3&lt;Projects!$C$32+Projects!$D$32),Projects!$B$32*INDEX(Curves!$B$4:$AR$4,1,Y$3-Projects!$C$32+1),0)-IF(AND(Projects!$G$32="Yes",Y$3&gt;=Projects!$C$32,Y$3&lt;Projects!$C$32+Projects!$D$32),Projects!$B$32*(Assumptions!$B$10+Assumptions!$B$11+Assumptions!$B$12)/Projects!$D$32*0.95,0)-IF(AND(Projects!$G$32="Yes",Y$3=Projects!$C$32+Projects!$D$32-1),Projects!$B$32*(Assumptions!$B$10+Assumptions!$B$11+Assumptions!$B$12)*0.05,0)</f>
        <v>0</v>
      </c>
      <c r="Z41" s="30" t="n">
        <f aca="false">IF(AND(Projects!$G$32="Yes",Z$3&gt;=Projects!$C$32,Z$3&lt;Projects!$C$32+Projects!$D$32),Projects!$B$32*INDEX(Curves!$B$4:$AR$4,1,Z$3-Projects!$C$32+1),0)-IF(AND(Projects!$G$32="Yes",Z$3&gt;=Projects!$C$32,Z$3&lt;Projects!$C$32+Projects!$D$32),Projects!$B$32*(Assumptions!$B$10+Assumptions!$B$11+Assumptions!$B$12)/Projects!$D$32*0.95,0)-IF(AND(Projects!$G$32="Yes",Z$3=Projects!$C$32+Projects!$D$32-1),Projects!$B$32*(Assumptions!$B$10+Assumptions!$B$11+Assumptions!$B$12)*0.05,0)</f>
        <v>0</v>
      </c>
      <c r="AA41" s="30" t="n">
        <f aca="false">IF(AND(Projects!$G$32="Yes",AA$3&gt;=Projects!$C$32,AA$3&lt;Projects!$C$32+Projects!$D$32),Projects!$B$32*INDEX(Curves!$B$4:$AR$4,1,AA$3-Projects!$C$32+1),0)-IF(AND(Projects!$G$32="Yes",AA$3&gt;=Projects!$C$32,AA$3&lt;Projects!$C$32+Projects!$D$32),Projects!$B$32*(Assumptions!$B$10+Assumptions!$B$11+Assumptions!$B$12)/Projects!$D$32*0.95,0)-IF(AND(Projects!$G$32="Yes",AA$3=Projects!$C$32+Projects!$D$32-1),Projects!$B$32*(Assumptions!$B$10+Assumptions!$B$11+Assumptions!$B$12)*0.05,0)</f>
        <v>0</v>
      </c>
      <c r="AB41" s="30" t="n">
        <f aca="false">IF(AND(Projects!$G$32="Yes",AB$3&gt;=Projects!$C$32,AB$3&lt;Projects!$C$32+Projects!$D$32),Projects!$B$32*INDEX(Curves!$B$4:$AR$4,1,AB$3-Projects!$C$32+1),0)-IF(AND(Projects!$G$32="Yes",AB$3&gt;=Projects!$C$32,AB$3&lt;Projects!$C$32+Projects!$D$32),Projects!$B$32*(Assumptions!$B$10+Assumptions!$B$11+Assumptions!$B$12)/Projects!$D$32*0.95,0)-IF(AND(Projects!$G$32="Yes",AB$3=Projects!$C$32+Projects!$D$32-1),Projects!$B$32*(Assumptions!$B$10+Assumptions!$B$11+Assumptions!$B$12)*0.05,0)</f>
        <v>0</v>
      </c>
      <c r="AC41" s="30" t="n">
        <f aca="false">IF(AND(Projects!$G$32="Yes",AC$3&gt;=Projects!$C$32,AC$3&lt;Projects!$C$32+Projects!$D$32),Projects!$B$32*INDEX(Curves!$B$4:$AR$4,1,AC$3-Projects!$C$32+1),0)-IF(AND(Projects!$G$32="Yes",AC$3&gt;=Projects!$C$32,AC$3&lt;Projects!$C$32+Projects!$D$32),Projects!$B$32*(Assumptions!$B$10+Assumptions!$B$11+Assumptions!$B$12)/Projects!$D$32*0.95,0)-IF(AND(Projects!$G$32="Yes",AC$3=Projects!$C$32+Projects!$D$32-1),Projects!$B$32*(Assumptions!$B$10+Assumptions!$B$11+Assumptions!$B$12)*0.05,0)</f>
        <v>0</v>
      </c>
      <c r="AD41" s="30" t="n">
        <f aca="false">IF(AND(Projects!$G$32="Yes",AD$3&gt;=Projects!$C$32,AD$3&lt;Projects!$C$32+Projects!$D$32),Projects!$B$32*INDEX(Curves!$B$4:$AR$4,1,AD$3-Projects!$C$32+1),0)-IF(AND(Projects!$G$32="Yes",AD$3&gt;=Projects!$C$32,AD$3&lt;Projects!$C$32+Projects!$D$32),Projects!$B$32*(Assumptions!$B$10+Assumptions!$B$11+Assumptions!$B$12)/Projects!$D$32*0.95,0)-IF(AND(Projects!$G$32="Yes",AD$3=Projects!$C$32+Projects!$D$32-1),Projects!$B$32*(Assumptions!$B$10+Assumptions!$B$11+Assumptions!$B$12)*0.05,0)</f>
        <v>0</v>
      </c>
      <c r="AE41" s="30" t="n">
        <f aca="false">IF(AND(Projects!$G$32="Yes",AE$3&gt;=Projects!$C$32,AE$3&lt;Projects!$C$32+Projects!$D$32),Projects!$B$32*INDEX(Curves!$B$4:$AR$4,1,AE$3-Projects!$C$32+1),0)-IF(AND(Projects!$G$32="Yes",AE$3&gt;=Projects!$C$32,AE$3&lt;Projects!$C$32+Projects!$D$32),Projects!$B$32*(Assumptions!$B$10+Assumptions!$B$11+Assumptions!$B$12)/Projects!$D$32*0.95,0)-IF(AND(Projects!$G$32="Yes",AE$3=Projects!$C$32+Projects!$D$32-1),Projects!$B$32*(Assumptions!$B$10+Assumptions!$B$11+Assumptions!$B$12)*0.05,0)</f>
        <v>0</v>
      </c>
      <c r="AF41" s="30" t="n">
        <f aca="false">IF(AND(Projects!$G$32="Yes",AF$3&gt;=Projects!$C$32,AF$3&lt;Projects!$C$32+Projects!$D$32),Projects!$B$32*INDEX(Curves!$B$4:$AR$4,1,AF$3-Projects!$C$32+1),0)-IF(AND(Projects!$G$32="Yes",AF$3&gt;=Projects!$C$32,AF$3&lt;Projects!$C$32+Projects!$D$32),Projects!$B$32*(Assumptions!$B$10+Assumptions!$B$11+Assumptions!$B$12)/Projects!$D$32*0.95,0)-IF(AND(Projects!$G$32="Yes",AF$3=Projects!$C$32+Projects!$D$32-1),Projects!$B$32*(Assumptions!$B$10+Assumptions!$B$11+Assumptions!$B$12)*0.05,0)</f>
        <v>0</v>
      </c>
      <c r="AG41" s="30" t="n">
        <f aca="false">IF(AND(Projects!$G$32="Yes",AG$3&gt;=Projects!$C$32,AG$3&lt;Projects!$C$32+Projects!$D$32),Projects!$B$32*INDEX(Curves!$B$4:$AR$4,1,AG$3-Projects!$C$32+1),0)-IF(AND(Projects!$G$32="Yes",AG$3&gt;=Projects!$C$32,AG$3&lt;Projects!$C$32+Projects!$D$32),Projects!$B$32*(Assumptions!$B$10+Assumptions!$B$11+Assumptions!$B$12)/Projects!$D$32*0.95,0)-IF(AND(Projects!$G$32="Yes",AG$3=Projects!$C$32+Projects!$D$32-1),Projects!$B$32*(Assumptions!$B$10+Assumptions!$B$11+Assumptions!$B$12)*0.05,0)</f>
        <v>0</v>
      </c>
      <c r="AH41" s="30" t="n">
        <f aca="false">IF(AND(Projects!$G$32="Yes",AH$3&gt;=Projects!$C$32,AH$3&lt;Projects!$C$32+Projects!$D$32),Projects!$B$32*INDEX(Curves!$B$4:$AR$4,1,AH$3-Projects!$C$32+1),0)-IF(AND(Projects!$G$32="Yes",AH$3&gt;=Projects!$C$32,AH$3&lt;Projects!$C$32+Projects!$D$32),Projects!$B$32*(Assumptions!$B$10+Assumptions!$B$11+Assumptions!$B$12)/Projects!$D$32*0.95,0)-IF(AND(Projects!$G$32="Yes",AH$3=Projects!$C$32+Projects!$D$32-1),Projects!$B$32*(Assumptions!$B$10+Assumptions!$B$11+Assumptions!$B$12)*0.05,0)</f>
        <v>0</v>
      </c>
      <c r="AI41" s="30" t="n">
        <f aca="false">IF(AND(Projects!$G$32="Yes",AI$3&gt;=Projects!$C$32,AI$3&lt;Projects!$C$32+Projects!$D$32),Projects!$B$32*INDEX(Curves!$B$4:$AR$4,1,AI$3-Projects!$C$32+1),0)-IF(AND(Projects!$G$32="Yes",AI$3&gt;=Projects!$C$32,AI$3&lt;Projects!$C$32+Projects!$D$32),Projects!$B$32*(Assumptions!$B$10+Assumptions!$B$11+Assumptions!$B$12)/Projects!$D$32*0.95,0)-IF(AND(Projects!$G$32="Yes",AI$3=Projects!$C$32+Projects!$D$32-1),Projects!$B$32*(Assumptions!$B$10+Assumptions!$B$11+Assumptions!$B$12)*0.05,0)</f>
        <v>0</v>
      </c>
      <c r="AJ41" s="30" t="n">
        <f aca="false">IF(AND(Projects!$G$32="Yes",AJ$3&gt;=Projects!$C$32,AJ$3&lt;Projects!$C$32+Projects!$D$32),Projects!$B$32*INDEX(Curves!$B$4:$AR$4,1,AJ$3-Projects!$C$32+1),0)-IF(AND(Projects!$G$32="Yes",AJ$3&gt;=Projects!$C$32,AJ$3&lt;Projects!$C$32+Projects!$D$32),Projects!$B$32*(Assumptions!$B$10+Assumptions!$B$11+Assumptions!$B$12)/Projects!$D$32*0.95,0)-IF(AND(Projects!$G$32="Yes",AJ$3=Projects!$C$32+Projects!$D$32-1),Projects!$B$32*(Assumptions!$B$10+Assumptions!$B$11+Assumptions!$B$12)*0.05,0)</f>
        <v>0</v>
      </c>
      <c r="AK41" s="30" t="n">
        <f aca="false">IF(AND(Projects!$G$32="Yes",AK$3&gt;=Projects!$C$32,AK$3&lt;Projects!$C$32+Projects!$D$32),Projects!$B$32*INDEX(Curves!$B$4:$AR$4,1,AK$3-Projects!$C$32+1),0)-IF(AND(Projects!$G$32="Yes",AK$3&gt;=Projects!$C$32,AK$3&lt;Projects!$C$32+Projects!$D$32),Projects!$B$32*(Assumptions!$B$10+Assumptions!$B$11+Assumptions!$B$12)/Projects!$D$32*0.95,0)-IF(AND(Projects!$G$32="Yes",AK$3=Projects!$C$32+Projects!$D$32-1),Projects!$B$32*(Assumptions!$B$10+Assumptions!$B$11+Assumptions!$B$12)*0.05,0)</f>
        <v>0</v>
      </c>
      <c r="AL41" s="30" t="n">
        <f aca="false">IF(AND(Projects!$G$32="Yes",AL$3&gt;=Projects!$C$32,AL$3&lt;Projects!$C$32+Projects!$D$32),Projects!$B$32*INDEX(Curves!$B$4:$AR$4,1,AL$3-Projects!$C$32+1),0)-IF(AND(Projects!$G$32="Yes",AL$3&gt;=Projects!$C$32,AL$3&lt;Projects!$C$32+Projects!$D$32),Projects!$B$32*(Assumptions!$B$10+Assumptions!$B$11+Assumptions!$B$12)/Projects!$D$32*0.95,0)-IF(AND(Projects!$G$32="Yes",AL$3=Projects!$C$32+Projects!$D$32-1),Projects!$B$32*(Assumptions!$B$10+Assumptions!$B$11+Assumptions!$B$12)*0.05,0)</f>
        <v>0</v>
      </c>
      <c r="AM41" s="30" t="n">
        <f aca="false">IF(AND(Projects!$G$32="Yes",AM$3&gt;=Projects!$C$32,AM$3&lt;Projects!$C$32+Projects!$D$32),Projects!$B$32*INDEX(Curves!$B$4:$AR$4,1,AM$3-Projects!$C$32+1),0)-IF(AND(Projects!$G$32="Yes",AM$3&gt;=Projects!$C$32,AM$3&lt;Projects!$C$32+Projects!$D$32),Projects!$B$32*(Assumptions!$B$10+Assumptions!$B$11+Assumptions!$B$12)/Projects!$D$32*0.95,0)-IF(AND(Projects!$G$32="Yes",AM$3=Projects!$C$32+Projects!$D$32-1),Projects!$B$32*(Assumptions!$B$10+Assumptions!$B$11+Assumptions!$B$12)*0.05,0)</f>
        <v>0</v>
      </c>
      <c r="AN41" s="30" t="n">
        <f aca="false">IF(AND(Projects!$G$32="Yes",AN$3&gt;=Projects!$C$32,AN$3&lt;Projects!$C$32+Projects!$D$32),Projects!$B$32*INDEX(Curves!$B$4:$AR$4,1,AN$3-Projects!$C$32+1),0)-IF(AND(Projects!$G$32="Yes",AN$3&gt;=Projects!$C$32,AN$3&lt;Projects!$C$32+Projects!$D$32),Projects!$B$32*(Assumptions!$B$10+Assumptions!$B$11+Assumptions!$B$12)/Projects!$D$32*0.95,0)-IF(AND(Projects!$G$32="Yes",AN$3=Projects!$C$32+Projects!$D$32-1),Projects!$B$32*(Assumptions!$B$10+Assumptions!$B$11+Assumptions!$B$12)*0.05,0)</f>
        <v>0</v>
      </c>
      <c r="AO41" s="30" t="n">
        <f aca="false">IF(AND(Projects!$G$32="Yes",AO$3&gt;=Projects!$C$32,AO$3&lt;Projects!$C$32+Projects!$D$32),Projects!$B$32*INDEX(Curves!$B$4:$AR$4,1,AO$3-Projects!$C$32+1),0)-IF(AND(Projects!$G$32="Yes",AO$3&gt;=Projects!$C$32,AO$3&lt;Projects!$C$32+Projects!$D$32),Projects!$B$32*(Assumptions!$B$10+Assumptions!$B$11+Assumptions!$B$12)/Projects!$D$32*0.95,0)-IF(AND(Projects!$G$32="Yes",AO$3=Projects!$C$32+Projects!$D$32-1),Projects!$B$32*(Assumptions!$B$10+Assumptions!$B$11+Assumptions!$B$12)*0.05,0)</f>
        <v>0</v>
      </c>
      <c r="AP41" s="30" t="n">
        <f aca="false">IF(AND(Projects!$G$32="Yes",AP$3&gt;=Projects!$C$32,AP$3&lt;Projects!$C$32+Projects!$D$32),Projects!$B$32*INDEX(Curves!$B$4:$AR$4,1,AP$3-Projects!$C$32+1),0)-IF(AND(Projects!$G$32="Yes",AP$3&gt;=Projects!$C$32,AP$3&lt;Projects!$C$32+Projects!$D$32),Projects!$B$32*(Assumptions!$B$10+Assumptions!$B$11+Assumptions!$B$12)/Projects!$D$32*0.95,0)-IF(AND(Projects!$G$32="Yes",AP$3=Projects!$C$32+Projects!$D$32-1),Projects!$B$32*(Assumptions!$B$10+Assumptions!$B$11+Assumptions!$B$12)*0.05,0)</f>
        <v>0</v>
      </c>
      <c r="AQ41" s="30" t="n">
        <f aca="false">IF(AND(Projects!$G$32="Yes",AQ$3&gt;=Projects!$C$32,AQ$3&lt;Projects!$C$32+Projects!$D$32),Projects!$B$32*INDEX(Curves!$B$4:$AR$4,1,AQ$3-Projects!$C$32+1),0)-IF(AND(Projects!$G$32="Yes",AQ$3&gt;=Projects!$C$32,AQ$3&lt;Projects!$C$32+Projects!$D$32),Projects!$B$32*(Assumptions!$B$10+Assumptions!$B$11+Assumptions!$B$12)/Projects!$D$32*0.95,0)-IF(AND(Projects!$G$32="Yes",AQ$3=Projects!$C$32+Projects!$D$32-1),Projects!$B$32*(Assumptions!$B$10+Assumptions!$B$11+Assumptions!$B$12)*0.05,0)</f>
        <v>0</v>
      </c>
      <c r="AR41" s="30" t="n">
        <f aca="false">IF(AND(Projects!$G$32="Yes",AR$3&gt;=Projects!$C$32,AR$3&lt;Projects!$C$32+Projects!$D$32),Projects!$B$32*INDEX(Curves!$B$4:$AR$4,1,AR$3-Projects!$C$32+1),0)-IF(AND(Projects!$G$32="Yes",AR$3&gt;=Projects!$C$32,AR$3&lt;Projects!$C$32+Projects!$D$32),Projects!$B$32*(Assumptions!$B$10+Assumptions!$B$11+Assumptions!$B$12)/Projects!$D$32*0.95,0)-IF(AND(Projects!$G$32="Yes",AR$3=Projects!$C$32+Projects!$D$32-1),Projects!$B$32*(Assumptions!$B$10+Assumptions!$B$11+Assumptions!$B$12)*0.05,0)</f>
        <v>0</v>
      </c>
      <c r="AS41" s="30" t="n">
        <f aca="false">IF(AND(Projects!$G$32="Yes",AS$3&gt;=Projects!$C$32,AS$3&lt;Projects!$C$32+Projects!$D$32),Projects!$B$32*INDEX(Curves!$B$4:$AR$4,1,AS$3-Projects!$C$32+1),0)-IF(AND(Projects!$G$32="Yes",AS$3&gt;=Projects!$C$32,AS$3&lt;Projects!$C$32+Projects!$D$32),Projects!$B$32*(Assumptions!$B$10+Assumptions!$B$11+Assumptions!$B$12)/Projects!$D$32*0.95,0)-IF(AND(Projects!$G$32="Yes",AS$3=Projects!$C$32+Projects!$D$32-1),Projects!$B$32*(Assumptions!$B$10+Assumptions!$B$11+Assumptions!$B$12)*0.05,0)</f>
        <v>0</v>
      </c>
      <c r="AT41" s="30" t="n">
        <f aca="false">IF(AND(Projects!$G$32="Yes",AT$3&gt;=Projects!$C$32,AT$3&lt;Projects!$C$32+Projects!$D$32),Projects!$B$32*INDEX(Curves!$B$4:$AR$4,1,AT$3-Projects!$C$32+1),0)-IF(AND(Projects!$G$32="Yes",AT$3&gt;=Projects!$C$32,AT$3&lt;Projects!$C$32+Projects!$D$32),Projects!$B$32*(Assumptions!$B$10+Assumptions!$B$11+Assumptions!$B$12)/Projects!$D$32*0.95,0)-IF(AND(Projects!$G$32="Yes",AT$3=Projects!$C$32+Projects!$D$32-1),Projects!$B$32*(Assumptions!$B$10+Assumptions!$B$11+Assumptions!$B$12)*0.05,0)</f>
        <v>0</v>
      </c>
      <c r="AU41" s="30" t="n">
        <f aca="false">IF(AND(Projects!$G$32="Yes",AU$3&gt;=Projects!$C$32,AU$3&lt;Projects!$C$32+Projects!$D$32),Projects!$B$32*INDEX(Curves!$B$4:$AR$4,1,AU$3-Projects!$C$32+1),0)-IF(AND(Projects!$G$32="Yes",AU$3&gt;=Projects!$C$32,AU$3&lt;Projects!$C$32+Projects!$D$32),Projects!$B$32*(Assumptions!$B$10+Assumptions!$B$11+Assumptions!$B$12)/Projects!$D$32*0.95,0)-IF(AND(Projects!$G$32="Yes",AU$3=Projects!$C$32+Projects!$D$32-1),Projects!$B$32*(Assumptions!$B$10+Assumptions!$B$11+Assumptions!$B$12)*0.05,0)</f>
        <v>0</v>
      </c>
      <c r="AV41" s="30" t="n">
        <f aca="false">IF(AND(Projects!$G$32="Yes",AV$3&gt;=Projects!$C$32,AV$3&lt;Projects!$C$32+Projects!$D$32),Projects!$B$32*INDEX(Curves!$B$4:$AR$4,1,AV$3-Projects!$C$32+1),0)-IF(AND(Projects!$G$32="Yes",AV$3&gt;=Projects!$C$32,AV$3&lt;Projects!$C$32+Projects!$D$32),Projects!$B$32*(Assumptions!$B$10+Assumptions!$B$11+Assumptions!$B$12)/Projects!$D$32*0.95,0)-IF(AND(Projects!$G$32="Yes",AV$3=Projects!$C$32+Projects!$D$32-1),Projects!$B$32*(Assumptions!$B$10+Assumptions!$B$11+Assumptions!$B$12)*0.05,0)</f>
        <v>0</v>
      </c>
      <c r="AW41" s="30" t="n">
        <f aca="false">IF(AND(Projects!$G$32="Yes",AW$3&gt;=Projects!$C$32,AW$3&lt;Projects!$C$32+Projects!$D$32),Projects!$B$32*INDEX(Curves!$B$4:$AR$4,1,AW$3-Projects!$C$32+1),0)-IF(AND(Projects!$G$32="Yes",AW$3&gt;=Projects!$C$32,AW$3&lt;Projects!$C$32+Projects!$D$32),Projects!$B$32*(Assumptions!$B$10+Assumptions!$B$11+Assumptions!$B$12)/Projects!$D$32*0.95,0)-IF(AND(Projects!$G$32="Yes",AW$3=Projects!$C$32+Projects!$D$32-1),Projects!$B$32*(Assumptions!$B$10+Assumptions!$B$11+Assumptions!$B$12)*0.05,0)</f>
        <v>0</v>
      </c>
      <c r="AX41" s="30" t="n">
        <f aca="false">IF(AND(Projects!$G$32="Yes",AX$3&gt;=Projects!$C$32,AX$3&lt;Projects!$C$32+Projects!$D$32),Projects!$B$32*INDEX(Curves!$B$4:$AR$4,1,AX$3-Projects!$C$32+1),0)-IF(AND(Projects!$G$32="Yes",AX$3&gt;=Projects!$C$32,AX$3&lt;Projects!$C$32+Projects!$D$32),Projects!$B$32*(Assumptions!$B$10+Assumptions!$B$11+Assumptions!$B$12)/Projects!$D$32*0.95,0)-IF(AND(Projects!$G$32="Yes",AX$3=Projects!$C$32+Projects!$D$32-1),Projects!$B$32*(Assumptions!$B$10+Assumptions!$B$11+Assumptions!$B$12)*0.05,0)</f>
        <v>0</v>
      </c>
      <c r="AY41" s="30" t="n">
        <f aca="false">IF(AND(Projects!$G$32="Yes",AY$3&gt;=Projects!$C$32,AY$3&lt;Projects!$C$32+Projects!$D$32),Projects!$B$32*INDEX(Curves!$B$4:$AR$4,1,AY$3-Projects!$C$32+1),0)-IF(AND(Projects!$G$32="Yes",AY$3&gt;=Projects!$C$32,AY$3&lt;Projects!$C$32+Projects!$D$32),Projects!$B$32*(Assumptions!$B$10+Assumptions!$B$11+Assumptions!$B$12)/Projects!$D$32*0.95,0)-IF(AND(Projects!$G$32="Yes",AY$3=Projects!$C$32+Projects!$D$32-1),Projects!$B$32*(Assumptions!$B$10+Assumptions!$B$11+Assumptions!$B$12)*0.05,0)</f>
        <v>0</v>
      </c>
      <c r="AZ41" s="30" t="n">
        <f aca="false">IF(AND(Projects!$G$32="Yes",AZ$3&gt;=Projects!$C$32,AZ$3&lt;Projects!$C$32+Projects!$D$32),Projects!$B$32*INDEX(Curves!$B$4:$AR$4,1,AZ$3-Projects!$C$32+1),0)-IF(AND(Projects!$G$32="Yes",AZ$3&gt;=Projects!$C$32,AZ$3&lt;Projects!$C$32+Projects!$D$32),Projects!$B$32*(Assumptions!$B$10+Assumptions!$B$11+Assumptions!$B$12)/Projects!$D$32*0.95,0)-IF(AND(Projects!$G$32="Yes",AZ$3=Projects!$C$32+Projects!$D$32-1),Projects!$B$32*(Assumptions!$B$10+Assumptions!$B$11+Assumptions!$B$12)*0.05,0)</f>
        <v>0</v>
      </c>
      <c r="BA41" s="30" t="n">
        <f aca="false">IF(AND(Projects!$G$32="Yes",BA$3&gt;=Projects!$C$32,BA$3&lt;Projects!$C$32+Projects!$D$32),Projects!$B$32*INDEX(Curves!$B$4:$AR$4,1,BA$3-Projects!$C$32+1),0)-IF(AND(Projects!$G$32="Yes",BA$3&gt;=Projects!$C$32,BA$3&lt;Projects!$C$32+Projects!$D$32),Projects!$B$32*(Assumptions!$B$10+Assumptions!$B$11+Assumptions!$B$12)/Projects!$D$32*0.95,0)-IF(AND(Projects!$G$32="Yes",BA$3=Projects!$C$32+Projects!$D$32-1),Projects!$B$32*(Assumptions!$B$10+Assumptions!$B$11+Assumptions!$B$12)*0.05,0)</f>
        <v>0</v>
      </c>
      <c r="BB41" s="30" t="n">
        <f aca="false">IF(AND(Projects!$G$32="Yes",BB$3&gt;=Projects!$C$32,BB$3&lt;Projects!$C$32+Projects!$D$32),Projects!$B$32*INDEX(Curves!$B$4:$AR$4,1,BB$3-Projects!$C$32+1),0)-IF(AND(Projects!$G$32="Yes",BB$3&gt;=Projects!$C$32,BB$3&lt;Projects!$C$32+Projects!$D$32),Projects!$B$32*(Assumptions!$B$10+Assumptions!$B$11+Assumptions!$B$12)/Projects!$D$32*0.95,0)-IF(AND(Projects!$G$32="Yes",BB$3=Projects!$C$32+Projects!$D$32-1),Projects!$B$32*(Assumptions!$B$10+Assumptions!$B$11+Assumptions!$B$12)*0.05,0)</f>
        <v>0</v>
      </c>
      <c r="BC41" s="30" t="n">
        <f aca="false">IF(AND(Projects!$G$32="Yes",BC$3&gt;=Projects!$C$32,BC$3&lt;Projects!$C$32+Projects!$D$32),Projects!$B$32*INDEX(Curves!$B$4:$AR$4,1,BC$3-Projects!$C$32+1),0)-IF(AND(Projects!$G$32="Yes",BC$3&gt;=Projects!$C$32,BC$3&lt;Projects!$C$32+Projects!$D$32),Projects!$B$32*(Assumptions!$B$10+Assumptions!$B$11+Assumptions!$B$12)/Projects!$D$32*0.95,0)-IF(AND(Projects!$G$32="Yes",BC$3=Projects!$C$32+Projects!$D$32-1),Projects!$B$32*(Assumptions!$B$10+Assumptions!$B$11+Assumptions!$B$12)*0.05,0)</f>
        <v>0</v>
      </c>
      <c r="BD41" s="30" t="n">
        <f aca="false">IF(AND(Projects!$G$32="Yes",BD$3&gt;=Projects!$C$32,BD$3&lt;Projects!$C$32+Projects!$D$32),Projects!$B$32*INDEX(Curves!$B$4:$AR$4,1,BD$3-Projects!$C$32+1),0)-IF(AND(Projects!$G$32="Yes",BD$3&gt;=Projects!$C$32,BD$3&lt;Projects!$C$32+Projects!$D$32),Projects!$B$32*(Assumptions!$B$10+Assumptions!$B$11+Assumptions!$B$12)/Projects!$D$32*0.95,0)-IF(AND(Projects!$G$32="Yes",BD$3=Projects!$C$32+Projects!$D$32-1),Projects!$B$32*(Assumptions!$B$10+Assumptions!$B$11+Assumptions!$B$12)*0.05,0)</f>
        <v>0</v>
      </c>
      <c r="BE41" s="30" t="n">
        <f aca="false">IF(AND(Projects!$G$32="Yes",BE$3&gt;=Projects!$C$32,BE$3&lt;Projects!$C$32+Projects!$D$32),Projects!$B$32*INDEX(Curves!$B$4:$AR$4,1,BE$3-Projects!$C$32+1),0)-IF(AND(Projects!$G$32="Yes",BE$3&gt;=Projects!$C$32,BE$3&lt;Projects!$C$32+Projects!$D$32),Projects!$B$32*(Assumptions!$B$10+Assumptions!$B$11+Assumptions!$B$12)/Projects!$D$32*0.95,0)-IF(AND(Projects!$G$32="Yes",BE$3=Projects!$C$32+Projects!$D$32-1),Projects!$B$32*(Assumptions!$B$10+Assumptions!$B$11+Assumptions!$B$12)*0.05,0)</f>
        <v>0</v>
      </c>
      <c r="BF41" s="30" t="n">
        <f aca="false">IF(AND(Projects!$G$32="Yes",BF$3&gt;=Projects!$C$32,BF$3&lt;Projects!$C$32+Projects!$D$32),Projects!$B$32*INDEX(Curves!$B$4:$AR$4,1,BF$3-Projects!$C$32+1),0)-IF(AND(Projects!$G$32="Yes",BF$3&gt;=Projects!$C$32,BF$3&lt;Projects!$C$32+Projects!$D$32),Projects!$B$32*(Assumptions!$B$10+Assumptions!$B$11+Assumptions!$B$12)/Projects!$D$32*0.95,0)-IF(AND(Projects!$G$32="Yes",BF$3=Projects!$C$32+Projects!$D$32-1),Projects!$B$32*(Assumptions!$B$10+Assumptions!$B$11+Assumptions!$B$12)*0.05,0)</f>
        <v>0</v>
      </c>
      <c r="BG41" s="30" t="n">
        <f aca="false">IF(AND(Projects!$G$32="Yes",BG$3&gt;=Projects!$C$32,BG$3&lt;Projects!$C$32+Projects!$D$32),Projects!$B$32*INDEX(Curves!$B$4:$AR$4,1,BG$3-Projects!$C$32+1),0)-IF(AND(Projects!$G$32="Yes",BG$3&gt;=Projects!$C$32,BG$3&lt;Projects!$C$32+Projects!$D$32),Projects!$B$32*(Assumptions!$B$10+Assumptions!$B$11+Assumptions!$B$12)/Projects!$D$32*0.95,0)-IF(AND(Projects!$G$32="Yes",BG$3=Projects!$C$32+Projects!$D$32-1),Projects!$B$32*(Assumptions!$B$10+Assumptions!$B$11+Assumptions!$B$12)*0.05,0)</f>
        <v>0</v>
      </c>
      <c r="BH41" s="30" t="n">
        <f aca="false">IF(AND(Projects!$G$32="Yes",BH$3&gt;=Projects!$C$32,BH$3&lt;Projects!$C$32+Projects!$D$32),Projects!$B$32*INDEX(Curves!$B$4:$AR$4,1,BH$3-Projects!$C$32+1),0)-IF(AND(Projects!$G$32="Yes",BH$3&gt;=Projects!$C$32,BH$3&lt;Projects!$C$32+Projects!$D$32),Projects!$B$32*(Assumptions!$B$10+Assumptions!$B$11+Assumptions!$B$12)/Projects!$D$32*0.95,0)-IF(AND(Projects!$G$32="Yes",BH$3=Projects!$C$32+Projects!$D$32-1),Projects!$B$32*(Assumptions!$B$10+Assumptions!$B$11+Assumptions!$B$12)*0.05,0)</f>
        <v>0</v>
      </c>
      <c r="BI41" s="30" t="n">
        <f aca="false">IF(AND(Projects!$G$32="Yes",BI$3&gt;=Projects!$C$32,BI$3&lt;Projects!$C$32+Projects!$D$32),Projects!$B$32*INDEX(Curves!$B$4:$AR$4,1,BI$3-Projects!$C$32+1),0)-IF(AND(Projects!$G$32="Yes",BI$3&gt;=Projects!$C$32,BI$3&lt;Projects!$C$32+Projects!$D$32),Projects!$B$32*(Assumptions!$B$10+Assumptions!$B$11+Assumptions!$B$12)/Projects!$D$32*0.95,0)-IF(AND(Projects!$G$32="Yes",BI$3=Projects!$C$32+Projects!$D$32-1),Projects!$B$32*(Assumptions!$B$10+Assumptions!$B$11+Assumptions!$B$12)*0.05,0)</f>
        <v>0</v>
      </c>
      <c r="BJ41" s="30" t="n">
        <f aca="false">IF(AND(Projects!$G$32="Yes",BJ$3&gt;=Projects!$C$32,BJ$3&lt;Projects!$C$32+Projects!$D$32),Projects!$B$32*INDEX(Curves!$B$4:$AR$4,1,BJ$3-Projects!$C$32+1),0)-IF(AND(Projects!$G$32="Yes",BJ$3&gt;=Projects!$C$32,BJ$3&lt;Projects!$C$32+Projects!$D$32),Projects!$B$32*(Assumptions!$B$10+Assumptions!$B$11+Assumptions!$B$12)/Projects!$D$32*0.95,0)-IF(AND(Projects!$G$32="Yes",BJ$3=Projects!$C$32+Projects!$D$32-1),Projects!$B$32*(Assumptions!$B$10+Assumptions!$B$11+Assumptions!$B$12)*0.05,0)</f>
        <v>0</v>
      </c>
      <c r="BK41" s="30" t="n">
        <f aca="false">IF(AND(Projects!$G$32="Yes",BK$3&gt;=Projects!$C$32,BK$3&lt;Projects!$C$32+Projects!$D$32),Projects!$B$32*INDEX(Curves!$B$4:$AR$4,1,BK$3-Projects!$C$32+1),0)-IF(AND(Projects!$G$32="Yes",BK$3&gt;=Projects!$C$32,BK$3&lt;Projects!$C$32+Projects!$D$32),Projects!$B$32*(Assumptions!$B$10+Assumptions!$B$11+Assumptions!$B$12)/Projects!$D$32*0.95,0)-IF(AND(Projects!$G$32="Yes",BK$3=Projects!$C$32+Projects!$D$32-1),Projects!$B$32*(Assumptions!$B$10+Assumptions!$B$11+Assumptions!$B$12)*0.05,0)</f>
        <v>0</v>
      </c>
      <c r="BL41" s="30" t="n">
        <f aca="false">IF(AND(Projects!$G$32="Yes",BL$3&gt;=Projects!$C$32,BL$3&lt;Projects!$C$32+Projects!$D$32),Projects!$B$32*INDEX(Curves!$B$4:$AR$4,1,BL$3-Projects!$C$32+1),0)-IF(AND(Projects!$G$32="Yes",BL$3&gt;=Projects!$C$32,BL$3&lt;Projects!$C$32+Projects!$D$32),Projects!$B$32*(Assumptions!$B$10+Assumptions!$B$11+Assumptions!$B$12)/Projects!$D$32*0.95,0)-IF(AND(Projects!$G$32="Yes",BL$3=Projects!$C$32+Projects!$D$32-1),Projects!$B$32*(Assumptions!$B$10+Assumptions!$B$11+Assumptions!$B$12)*0.05,0)</f>
        <v>0</v>
      </c>
      <c r="BM41" s="30" t="n">
        <f aca="false">IF(AND(Projects!$G$32="Yes",BM$3&gt;=Projects!$C$32,BM$3&lt;Projects!$C$32+Projects!$D$32),Projects!$B$32*INDEX(Curves!$B$4:$AR$4,1,BM$3-Projects!$C$32+1),0)-IF(AND(Projects!$G$32="Yes",BM$3&gt;=Projects!$C$32,BM$3&lt;Projects!$C$32+Projects!$D$32),Projects!$B$32*(Assumptions!$B$10+Assumptions!$B$11+Assumptions!$B$12)/Projects!$D$32*0.95,0)-IF(AND(Projects!$G$32="Yes",BM$3=Projects!$C$32+Projects!$D$32-1),Projects!$B$32*(Assumptions!$B$10+Assumptions!$B$11+Assumptions!$B$12)*0.05,0)</f>
        <v>0</v>
      </c>
      <c r="BN41" s="30" t="n">
        <f aca="false">IF(AND(Projects!$G$32="Yes",BN$3&gt;=Projects!$C$32,BN$3&lt;Projects!$C$32+Projects!$D$32),Projects!$B$32*INDEX(Curves!$B$4:$AR$4,1,BN$3-Projects!$C$32+1),0)-IF(AND(Projects!$G$32="Yes",BN$3&gt;=Projects!$C$32,BN$3&lt;Projects!$C$32+Projects!$D$32),Projects!$B$32*(Assumptions!$B$10+Assumptions!$B$11+Assumptions!$B$12)/Projects!$D$32*0.95,0)-IF(AND(Projects!$G$32="Yes",BN$3=Projects!$C$32+Projects!$D$32-1),Projects!$B$32*(Assumptions!$B$10+Assumptions!$B$11+Assumptions!$B$12)*0.05,0)</f>
        <v>0</v>
      </c>
      <c r="BO41" s="30" t="n">
        <f aca="false">IF(AND(Projects!$G$32="Yes",BO$3&gt;=Projects!$C$32,BO$3&lt;Projects!$C$32+Projects!$D$32),Projects!$B$32*INDEX(Curves!$B$4:$AR$4,1,BO$3-Projects!$C$32+1),0)-IF(AND(Projects!$G$32="Yes",BO$3&gt;=Projects!$C$32,BO$3&lt;Projects!$C$32+Projects!$D$32),Projects!$B$32*(Assumptions!$B$10+Assumptions!$B$11+Assumptions!$B$12)/Projects!$D$32*0.95,0)-IF(AND(Projects!$G$32="Yes",BO$3=Projects!$C$32+Projects!$D$32-1),Projects!$B$32*(Assumptions!$B$10+Assumptions!$B$11+Assumptions!$B$12)*0.05,0)</f>
        <v>0</v>
      </c>
      <c r="BP41" s="30" t="n">
        <f aca="false">IF(AND(Projects!$G$32="Yes",BP$3&gt;=Projects!$C$32,BP$3&lt;Projects!$C$32+Projects!$D$32),Projects!$B$32*INDEX(Curves!$B$4:$AR$4,1,BP$3-Projects!$C$32+1),0)-IF(AND(Projects!$G$32="Yes",BP$3&gt;=Projects!$C$32,BP$3&lt;Projects!$C$32+Projects!$D$32),Projects!$B$32*(Assumptions!$B$10+Assumptions!$B$11+Assumptions!$B$12)/Projects!$D$32*0.95,0)-IF(AND(Projects!$G$32="Yes",BP$3=Projects!$C$32+Projects!$D$32-1),Projects!$B$32*(Assumptions!$B$10+Assumptions!$B$11+Assumptions!$B$12)*0.05,0)</f>
        <v>0</v>
      </c>
      <c r="BQ41" s="30" t="n">
        <f aca="false">IF(AND(Projects!$G$32="Yes",BQ$3&gt;=Projects!$C$32,BQ$3&lt;Projects!$C$32+Projects!$D$32),Projects!$B$32*INDEX(Curves!$B$4:$AR$4,1,BQ$3-Projects!$C$32+1),0)-IF(AND(Projects!$G$32="Yes",BQ$3&gt;=Projects!$C$32,BQ$3&lt;Projects!$C$32+Projects!$D$32),Projects!$B$32*(Assumptions!$B$10+Assumptions!$B$11+Assumptions!$B$12)/Projects!$D$32*0.95,0)-IF(AND(Projects!$G$32="Yes",BQ$3=Projects!$C$32+Projects!$D$32-1),Projects!$B$32*(Assumptions!$B$10+Assumptions!$B$11+Assumptions!$B$12)*0.05,0)</f>
        <v>0</v>
      </c>
      <c r="BR41" s="30" t="n">
        <f aca="false">IF(AND(Projects!$G$32="Yes",BR$3&gt;=Projects!$C$32,BR$3&lt;Projects!$C$32+Projects!$D$32),Projects!$B$32*INDEX(Curves!$B$4:$AR$4,1,BR$3-Projects!$C$32+1),0)-IF(AND(Projects!$G$32="Yes",BR$3&gt;=Projects!$C$32,BR$3&lt;Projects!$C$32+Projects!$D$32),Projects!$B$32*(Assumptions!$B$10+Assumptions!$B$11+Assumptions!$B$12)/Projects!$D$32*0.95,0)-IF(AND(Projects!$G$32="Yes",BR$3=Projects!$C$32+Projects!$D$32-1),Projects!$B$32*(Assumptions!$B$10+Assumptions!$B$11+Assumptions!$B$12)*0.05,0)</f>
        <v>0</v>
      </c>
      <c r="BS41" s="30" t="n">
        <f aca="false">IF(AND(Projects!$G$32="Yes",BS$3&gt;=Projects!$C$32,BS$3&lt;Projects!$C$32+Projects!$D$32),Projects!$B$32*INDEX(Curves!$B$4:$AR$4,1,BS$3-Projects!$C$32+1),0)-IF(AND(Projects!$G$32="Yes",BS$3&gt;=Projects!$C$32,BS$3&lt;Projects!$C$32+Projects!$D$32),Projects!$B$32*(Assumptions!$B$10+Assumptions!$B$11+Assumptions!$B$12)/Projects!$D$32*0.95,0)-IF(AND(Projects!$G$32="Yes",BS$3=Projects!$C$32+Projects!$D$32-1),Projects!$B$32*(Assumptions!$B$10+Assumptions!$B$11+Assumptions!$B$12)*0.05,0)</f>
        <v>0</v>
      </c>
      <c r="BT41" s="30" t="n">
        <f aca="false">IF(AND(Projects!$G$32="Yes",BT$3&gt;=Projects!$C$32,BT$3&lt;Projects!$C$32+Projects!$D$32),Projects!$B$32*INDEX(Curves!$B$4:$AR$4,1,BT$3-Projects!$C$32+1),0)-IF(AND(Projects!$G$32="Yes",BT$3&gt;=Projects!$C$32,BT$3&lt;Projects!$C$32+Projects!$D$32),Projects!$B$32*(Assumptions!$B$10+Assumptions!$B$11+Assumptions!$B$12)/Projects!$D$32*0.95,0)-IF(AND(Projects!$G$32="Yes",BT$3=Projects!$C$32+Projects!$D$32-1),Projects!$B$32*(Assumptions!$B$10+Assumptions!$B$11+Assumptions!$B$12)*0.05,0)</f>
        <v>0</v>
      </c>
      <c r="BU41" s="30" t="n">
        <f aca="false">IF(AND(Projects!$G$32="Yes",BU$3&gt;=Projects!$C$32,BU$3&lt;Projects!$C$32+Projects!$D$32),Projects!$B$32*INDEX(Curves!$B$4:$AR$4,1,BU$3-Projects!$C$32+1),0)-IF(AND(Projects!$G$32="Yes",BU$3&gt;=Projects!$C$32,BU$3&lt;Projects!$C$32+Projects!$D$32),Projects!$B$32*(Assumptions!$B$10+Assumptions!$B$11+Assumptions!$B$12)/Projects!$D$32*0.95,0)-IF(AND(Projects!$G$32="Yes",BU$3=Projects!$C$32+Projects!$D$32-1),Projects!$B$32*(Assumptions!$B$10+Assumptions!$B$11+Assumptions!$B$12)*0.05,0)</f>
        <v>0</v>
      </c>
      <c r="BV41" s="30" t="n">
        <f aca="false">IF(AND(Projects!$G$32="Yes",BV$3&gt;=Projects!$C$32,BV$3&lt;Projects!$C$32+Projects!$D$32),Projects!$B$32*INDEX(Curves!$B$4:$AR$4,1,BV$3-Projects!$C$32+1),0)-IF(AND(Projects!$G$32="Yes",BV$3&gt;=Projects!$C$32,BV$3&lt;Projects!$C$32+Projects!$D$32),Projects!$B$32*(Assumptions!$B$10+Assumptions!$B$11+Assumptions!$B$12)/Projects!$D$32*0.95,0)-IF(AND(Projects!$G$32="Yes",BV$3=Projects!$C$32+Projects!$D$32-1),Projects!$B$32*(Assumptions!$B$10+Assumptions!$B$11+Assumptions!$B$12)*0.05,0)</f>
        <v>0</v>
      </c>
      <c r="BW41" s="30" t="n">
        <f aca="false">IF(AND(Projects!$G$32="Yes",BW$3&gt;=Projects!$C$32,BW$3&lt;Projects!$C$32+Projects!$D$32),Projects!$B$32*INDEX(Curves!$B$4:$AR$4,1,BW$3-Projects!$C$32+1),0)-IF(AND(Projects!$G$32="Yes",BW$3&gt;=Projects!$C$32,BW$3&lt;Projects!$C$32+Projects!$D$32),Projects!$B$32*(Assumptions!$B$10+Assumptions!$B$11+Assumptions!$B$12)/Projects!$D$32*0.95,0)-IF(AND(Projects!$G$32="Yes",BW$3=Projects!$C$32+Projects!$D$32-1),Projects!$B$32*(Assumptions!$B$10+Assumptions!$B$11+Assumptions!$B$12)*0.05,0)</f>
        <v>0</v>
      </c>
      <c r="BX41" s="30" t="n">
        <f aca="false">IF(AND(Projects!$G$32="Yes",BX$3&gt;=Projects!$C$32,BX$3&lt;Projects!$C$32+Projects!$D$32),Projects!$B$32*INDEX(Curves!$B$4:$AR$4,1,BX$3-Projects!$C$32+1),0)-IF(AND(Projects!$G$32="Yes",BX$3&gt;=Projects!$C$32,BX$3&lt;Projects!$C$32+Projects!$D$32),Projects!$B$32*(Assumptions!$B$10+Assumptions!$B$11+Assumptions!$B$12)/Projects!$D$32*0.95,0)-IF(AND(Projects!$G$32="Yes",BX$3=Projects!$C$32+Projects!$D$32-1),Projects!$B$32*(Assumptions!$B$10+Assumptions!$B$11+Assumptions!$B$12)*0.05,0)</f>
        <v>0</v>
      </c>
      <c r="BY41" s="30" t="n">
        <f aca="false">IF(AND(Projects!$G$32="Yes",BY$3&gt;=Projects!$C$32,BY$3&lt;Projects!$C$32+Projects!$D$32),Projects!$B$32*INDEX(Curves!$B$4:$AR$4,1,BY$3-Projects!$C$32+1),0)-IF(AND(Projects!$G$32="Yes",BY$3&gt;=Projects!$C$32,BY$3&lt;Projects!$C$32+Projects!$D$32),Projects!$B$32*(Assumptions!$B$10+Assumptions!$B$11+Assumptions!$B$12)/Projects!$D$32*0.95,0)-IF(AND(Projects!$G$32="Yes",BY$3=Projects!$C$32+Projects!$D$32-1),Projects!$B$32*(Assumptions!$B$10+Assumptions!$B$11+Assumptions!$B$12)*0.05,0)</f>
        <v>0</v>
      </c>
      <c r="BZ41" s="30" t="n">
        <f aca="false">IF(AND(Projects!$G$32="Yes",BZ$3&gt;=Projects!$C$32,BZ$3&lt;Projects!$C$32+Projects!$D$32),Projects!$B$32*INDEX(Curves!$B$4:$AR$4,1,BZ$3-Projects!$C$32+1),0)-IF(AND(Projects!$G$32="Yes",BZ$3&gt;=Projects!$C$32,BZ$3&lt;Projects!$C$32+Projects!$D$32),Projects!$B$32*(Assumptions!$B$10+Assumptions!$B$11+Assumptions!$B$12)/Projects!$D$32*0.95,0)-IF(AND(Projects!$G$32="Yes",BZ$3=Projects!$C$32+Projects!$D$32-1),Projects!$B$32*(Assumptions!$B$10+Assumptions!$B$11+Assumptions!$B$12)*0.05,0)</f>
        <v>0</v>
      </c>
      <c r="CA41" s="30" t="n">
        <f aca="false">IF(AND(Projects!$G$32="Yes",CA$3&gt;=Projects!$C$32,CA$3&lt;Projects!$C$32+Projects!$D$32),Projects!$B$32*INDEX(Curves!$B$4:$AR$4,1,CA$3-Projects!$C$32+1),0)-IF(AND(Projects!$G$32="Yes",CA$3&gt;=Projects!$C$32,CA$3&lt;Projects!$C$32+Projects!$D$32),Projects!$B$32*(Assumptions!$B$10+Assumptions!$B$11+Assumptions!$B$12)/Projects!$D$32*0.95,0)-IF(AND(Projects!$G$32="Yes",CA$3=Projects!$C$32+Projects!$D$32-1),Projects!$B$32*(Assumptions!$B$10+Assumptions!$B$11+Assumptions!$B$12)*0.05,0)</f>
        <v>0</v>
      </c>
      <c r="CB41" s="30" t="n">
        <f aca="false">IF(AND(Projects!$G$32="Yes",CB$3&gt;=Projects!$C$32,CB$3&lt;Projects!$C$32+Projects!$D$32),Projects!$B$32*INDEX(Curves!$B$4:$AR$4,1,CB$3-Projects!$C$32+1),0)-IF(AND(Projects!$G$32="Yes",CB$3&gt;=Projects!$C$32,CB$3&lt;Projects!$C$32+Projects!$D$32),Projects!$B$32*(Assumptions!$B$10+Assumptions!$B$11+Assumptions!$B$12)/Projects!$D$32*0.95,0)-IF(AND(Projects!$G$32="Yes",CB$3=Projects!$C$32+Projects!$D$32-1),Projects!$B$32*(Assumptions!$B$10+Assumptions!$B$11+Assumptions!$B$12)*0.05,0)</f>
        <v>0</v>
      </c>
      <c r="CC41" s="30" t="n">
        <f aca="false">IF(AND(Projects!$G$32="Yes",CC$3&gt;=Projects!$C$32,CC$3&lt;Projects!$C$32+Projects!$D$32),Projects!$B$32*INDEX(Curves!$B$4:$AR$4,1,CC$3-Projects!$C$32+1),0)-IF(AND(Projects!$G$32="Yes",CC$3&gt;=Projects!$C$32,CC$3&lt;Projects!$C$32+Projects!$D$32),Projects!$B$32*(Assumptions!$B$10+Assumptions!$B$11+Assumptions!$B$12)/Projects!$D$32*0.95,0)-IF(AND(Projects!$G$32="Yes",CC$3=Projects!$C$32+Projects!$D$32-1),Projects!$B$32*(Assumptions!$B$10+Assumptions!$B$11+Assumptions!$B$12)*0.05,0)</f>
        <v>0</v>
      </c>
      <c r="CD41" s="30" t="n">
        <f aca="false">IF(AND(Projects!$G$32="Yes",CD$3&gt;=Projects!$C$32,CD$3&lt;Projects!$C$32+Projects!$D$32),Projects!$B$32*INDEX(Curves!$B$4:$AR$4,1,CD$3-Projects!$C$32+1),0)-IF(AND(Projects!$G$32="Yes",CD$3&gt;=Projects!$C$32,CD$3&lt;Projects!$C$32+Projects!$D$32),Projects!$B$32*(Assumptions!$B$10+Assumptions!$B$11+Assumptions!$B$12)/Projects!$D$32*0.95,0)-IF(AND(Projects!$G$32="Yes",CD$3=Projects!$C$32+Projects!$D$32-1),Projects!$B$32*(Assumptions!$B$10+Assumptions!$B$11+Assumptions!$B$12)*0.05,0)</f>
        <v>0</v>
      </c>
      <c r="CE41" s="30" t="n">
        <f aca="false">IF(AND(Projects!$G$32="Yes",CE$3&gt;=Projects!$C$32,CE$3&lt;Projects!$C$32+Projects!$D$32),Projects!$B$32*INDEX(Curves!$B$4:$AR$4,1,CE$3-Projects!$C$32+1),0)-IF(AND(Projects!$G$32="Yes",CE$3&gt;=Projects!$C$32,CE$3&lt;Projects!$C$32+Projects!$D$32),Projects!$B$32*(Assumptions!$B$10+Assumptions!$B$11+Assumptions!$B$12)/Projects!$D$32*0.95,0)-IF(AND(Projects!$G$32="Yes",CE$3=Projects!$C$32+Projects!$D$32-1),Projects!$B$32*(Assumptions!$B$10+Assumptions!$B$11+Assumptions!$B$12)*0.05,0)</f>
        <v>0</v>
      </c>
      <c r="CF41" s="30" t="n">
        <f aca="false">IF(AND(Projects!$G$32="Yes",CF$3&gt;=Projects!$C$32,CF$3&lt;Projects!$C$32+Projects!$D$32),Projects!$B$32*INDEX(Curves!$B$4:$AR$4,1,CF$3-Projects!$C$32+1),0)-IF(AND(Projects!$G$32="Yes",CF$3&gt;=Projects!$C$32,CF$3&lt;Projects!$C$32+Projects!$D$32),Projects!$B$32*(Assumptions!$B$10+Assumptions!$B$11+Assumptions!$B$12)/Projects!$D$32*0.95,0)-IF(AND(Projects!$G$32="Yes",CF$3=Projects!$C$32+Projects!$D$32-1),Projects!$B$32*(Assumptions!$B$10+Assumptions!$B$11+Assumptions!$B$12)*0.05,0)</f>
        <v>0</v>
      </c>
      <c r="CG41" s="30" t="n">
        <f aca="false">IF(AND(Projects!$G$32="Yes",CG$3&gt;=Projects!$C$32,CG$3&lt;Projects!$C$32+Projects!$D$32),Projects!$B$32*INDEX(Curves!$B$4:$AR$4,1,CG$3-Projects!$C$32+1),0)-IF(AND(Projects!$G$32="Yes",CG$3&gt;=Projects!$C$32,CG$3&lt;Projects!$C$32+Projects!$D$32),Projects!$B$32*(Assumptions!$B$10+Assumptions!$B$11+Assumptions!$B$12)/Projects!$D$32*0.95,0)-IF(AND(Projects!$G$32="Yes",CG$3=Projects!$C$32+Projects!$D$32-1),Projects!$B$32*(Assumptions!$B$10+Assumptions!$B$11+Assumptions!$B$12)*0.05,0)</f>
        <v>0</v>
      </c>
      <c r="CH41" s="30" t="n">
        <f aca="false">IF(AND(Projects!$G$32="Yes",CH$3&gt;=Projects!$C$32,CH$3&lt;Projects!$C$32+Projects!$D$32),Projects!$B$32*INDEX(Curves!$B$4:$AR$4,1,CH$3-Projects!$C$32+1),0)-IF(AND(Projects!$G$32="Yes",CH$3&gt;=Projects!$C$32,CH$3&lt;Projects!$C$32+Projects!$D$32),Projects!$B$32*(Assumptions!$B$10+Assumptions!$B$11+Assumptions!$B$12)/Projects!$D$32*0.95,0)-IF(AND(Projects!$G$32="Yes",CH$3=Projects!$C$32+Projects!$D$32-1),Projects!$B$32*(Assumptions!$B$10+Assumptions!$B$11+Assumptions!$B$12)*0.05,0)</f>
        <v>0</v>
      </c>
      <c r="CI41" s="30" t="n">
        <f aca="false">IF(AND(Projects!$G$32="Yes",CI$3&gt;=Projects!$C$32,CI$3&lt;Projects!$C$32+Projects!$D$32),Projects!$B$32*INDEX(Curves!$B$4:$AR$4,1,CI$3-Projects!$C$32+1),0)-IF(AND(Projects!$G$32="Yes",CI$3&gt;=Projects!$C$32,CI$3&lt;Projects!$C$32+Projects!$D$32),Projects!$B$32*(Assumptions!$B$10+Assumptions!$B$11+Assumptions!$B$12)/Projects!$D$32*0.95,0)-IF(AND(Projects!$G$32="Yes",CI$3=Projects!$C$32+Projects!$D$32-1),Projects!$B$32*(Assumptions!$B$10+Assumptions!$B$11+Assumptions!$B$12)*0.05,0)</f>
        <v>0</v>
      </c>
      <c r="CJ41" s="30" t="n">
        <f aca="false">IF(AND(Projects!$G$32="Yes",CJ$3&gt;=Projects!$C$32,CJ$3&lt;Projects!$C$32+Projects!$D$32),Projects!$B$32*INDEX(Curves!$B$4:$AR$4,1,CJ$3-Projects!$C$32+1),0)-IF(AND(Projects!$G$32="Yes",CJ$3&gt;=Projects!$C$32,CJ$3&lt;Projects!$C$32+Projects!$D$32),Projects!$B$32*(Assumptions!$B$10+Assumptions!$B$11+Assumptions!$B$12)/Projects!$D$32*0.95,0)-IF(AND(Projects!$G$32="Yes",CJ$3=Projects!$C$32+Projects!$D$32-1),Projects!$B$32*(Assumptions!$B$10+Assumptions!$B$11+Assumptions!$B$12)*0.05,0)</f>
        <v>0</v>
      </c>
      <c r="CK41" s="30" t="n">
        <f aca="false">IF(AND(Projects!$G$32="Yes",CK$3&gt;=Projects!$C$32,CK$3&lt;Projects!$C$32+Projects!$D$32),Projects!$B$32*INDEX(Curves!$B$4:$AR$4,1,CK$3-Projects!$C$32+1),0)-IF(AND(Projects!$G$32="Yes",CK$3&gt;=Projects!$C$32,CK$3&lt;Projects!$C$32+Projects!$D$32),Projects!$B$32*(Assumptions!$B$10+Assumptions!$B$11+Assumptions!$B$12)/Projects!$D$32*0.95,0)-IF(AND(Projects!$G$32="Yes",CK$3=Projects!$C$32+Projects!$D$32-1),Projects!$B$32*(Assumptions!$B$10+Assumptions!$B$11+Assumptions!$B$12)*0.05,0)</f>
        <v>0</v>
      </c>
      <c r="CL41" s="30" t="n">
        <f aca="false">IF(AND(Projects!$G$32="Yes",CL$3&gt;=Projects!$C$32,CL$3&lt;Projects!$C$32+Projects!$D$32),Projects!$B$32*INDEX(Curves!$B$4:$AR$4,1,CL$3-Projects!$C$32+1),0)-IF(AND(Projects!$G$32="Yes",CL$3&gt;=Projects!$C$32,CL$3&lt;Projects!$C$32+Projects!$D$32),Projects!$B$32*(Assumptions!$B$10+Assumptions!$B$11+Assumptions!$B$12)/Projects!$D$32*0.95,0)-IF(AND(Projects!$G$32="Yes",CL$3=Projects!$C$32+Projects!$D$32-1),Projects!$B$32*(Assumptions!$B$10+Assumptions!$B$11+Assumptions!$B$12)*0.05,0)</f>
        <v>0</v>
      </c>
      <c r="CM41" s="30" t="n">
        <f aca="false">IF(AND(Projects!$G$32="Yes",CM$3&gt;=Projects!$C$32,CM$3&lt;Projects!$C$32+Projects!$D$32),Projects!$B$32*INDEX(Curves!$B$4:$AR$4,1,CM$3-Projects!$C$32+1),0)-IF(AND(Projects!$G$32="Yes",CM$3&gt;=Projects!$C$32,CM$3&lt;Projects!$C$32+Projects!$D$32),Projects!$B$32*(Assumptions!$B$10+Assumptions!$B$11+Assumptions!$B$12)/Projects!$D$32*0.95,0)-IF(AND(Projects!$G$32="Yes",CM$3=Projects!$C$32+Projects!$D$32-1),Projects!$B$32*(Assumptions!$B$10+Assumptions!$B$11+Assumptions!$B$12)*0.05,0)</f>
        <v>0</v>
      </c>
      <c r="CN41" s="30" t="n">
        <f aca="false">IF(AND(Projects!$G$32="Yes",CN$3&gt;=Projects!$C$32,CN$3&lt;Projects!$C$32+Projects!$D$32),Projects!$B$32*INDEX(Curves!$B$4:$AR$4,1,CN$3-Projects!$C$32+1),0)-IF(AND(Projects!$G$32="Yes",CN$3&gt;=Projects!$C$32,CN$3&lt;Projects!$C$32+Projects!$D$32),Projects!$B$32*(Assumptions!$B$10+Assumptions!$B$11+Assumptions!$B$12)/Projects!$D$32*0.95,0)-IF(AND(Projects!$G$32="Yes",CN$3=Projects!$C$32+Projects!$D$32-1),Projects!$B$32*(Assumptions!$B$10+Assumptions!$B$11+Assumptions!$B$12)*0.05,0)</f>
        <v>0</v>
      </c>
      <c r="CO41" s="30" t="n">
        <f aca="false">IF(AND(Projects!$G$32="Yes",CO$3&gt;=Projects!$C$32,CO$3&lt;Projects!$C$32+Projects!$D$32),Projects!$B$32*INDEX(Curves!$B$4:$AR$4,1,CO$3-Projects!$C$32+1),0)-IF(AND(Projects!$G$32="Yes",CO$3&gt;=Projects!$C$32,CO$3&lt;Projects!$C$32+Projects!$D$32),Projects!$B$32*(Assumptions!$B$10+Assumptions!$B$11+Assumptions!$B$12)/Projects!$D$32*0.95,0)-IF(AND(Projects!$G$32="Yes",CO$3=Projects!$C$32+Projects!$D$32-1),Projects!$B$32*(Assumptions!$B$10+Assumptions!$B$11+Assumptions!$B$12)*0.05,0)</f>
        <v>0</v>
      </c>
      <c r="CP41" s="30" t="n">
        <f aca="false">IF(AND(Projects!$G$32="Yes",CP$3&gt;=Projects!$C$32,CP$3&lt;Projects!$C$32+Projects!$D$32),Projects!$B$32*INDEX(Curves!$B$4:$AR$4,1,CP$3-Projects!$C$32+1),0)-IF(AND(Projects!$G$32="Yes",CP$3&gt;=Projects!$C$32,CP$3&lt;Projects!$C$32+Projects!$D$32),Projects!$B$32*(Assumptions!$B$10+Assumptions!$B$11+Assumptions!$B$12)/Projects!$D$32*0.95,0)-IF(AND(Projects!$G$32="Yes",CP$3=Projects!$C$32+Projects!$D$32-1),Projects!$B$32*(Assumptions!$B$10+Assumptions!$B$11+Assumptions!$B$12)*0.05,0)</f>
        <v>0</v>
      </c>
      <c r="CQ41" s="30" t="n">
        <f aca="false">IF(AND(Projects!$G$32="Yes",CQ$3&gt;=Projects!$C$32,CQ$3&lt;Projects!$C$32+Projects!$D$32),Projects!$B$32*INDEX(Curves!$B$4:$AR$4,1,CQ$3-Projects!$C$32+1),0)-IF(AND(Projects!$G$32="Yes",CQ$3&gt;=Projects!$C$32,CQ$3&lt;Projects!$C$32+Projects!$D$32),Projects!$B$32*(Assumptions!$B$10+Assumptions!$B$11+Assumptions!$B$12)/Projects!$D$32*0.95,0)-IF(AND(Projects!$G$32="Yes",CQ$3=Projects!$C$32+Projects!$D$32-1),Projects!$B$32*(Assumptions!$B$10+Assumptions!$B$11+Assumptions!$B$12)*0.05,0)</f>
        <v>0</v>
      </c>
      <c r="CR41" s="30" t="n">
        <f aca="false">IF(AND(Projects!$G$32="Yes",CR$3&gt;=Projects!$C$32,CR$3&lt;Projects!$C$32+Projects!$D$32),Projects!$B$32*INDEX(Curves!$B$4:$AR$4,1,CR$3-Projects!$C$32+1),0)-IF(AND(Projects!$G$32="Yes",CR$3&gt;=Projects!$C$32,CR$3&lt;Projects!$C$32+Projects!$D$32),Projects!$B$32*(Assumptions!$B$10+Assumptions!$B$11+Assumptions!$B$12)/Projects!$D$32*0.95,0)-IF(AND(Projects!$G$32="Yes",CR$3=Projects!$C$32+Projects!$D$32-1),Projects!$B$32*(Assumptions!$B$10+Assumptions!$B$11+Assumptions!$B$12)*0.05,0)</f>
        <v>0</v>
      </c>
      <c r="CS41" s="30" t="n">
        <f aca="false">IF(AND(Projects!$G$32="Yes",CS$3&gt;=Projects!$C$32,CS$3&lt;Projects!$C$32+Projects!$D$32),Projects!$B$32*INDEX(Curves!$B$4:$AR$4,1,CS$3-Projects!$C$32+1),0)-IF(AND(Projects!$G$32="Yes",CS$3&gt;=Projects!$C$32,CS$3&lt;Projects!$C$32+Projects!$D$32),Projects!$B$32*(Assumptions!$B$10+Assumptions!$B$11+Assumptions!$B$12)/Projects!$D$32*0.95,0)-IF(AND(Projects!$G$32="Yes",CS$3=Projects!$C$32+Projects!$D$32-1),Projects!$B$32*(Assumptions!$B$10+Assumptions!$B$11+Assumptions!$B$12)*0.05,0)</f>
        <v>0</v>
      </c>
      <c r="CT41" s="30" t="n">
        <f aca="false">IF(AND(Projects!$G$32="Yes",CT$3&gt;=Projects!$C$32,CT$3&lt;Projects!$C$32+Projects!$D$32),Projects!$B$32*INDEX(Curves!$B$4:$AR$4,1,CT$3-Projects!$C$32+1),0)-IF(AND(Projects!$G$32="Yes",CT$3&gt;=Projects!$C$32,CT$3&lt;Projects!$C$32+Projects!$D$32),Projects!$B$32*(Assumptions!$B$10+Assumptions!$B$11+Assumptions!$B$12)/Projects!$D$32*0.95,0)-IF(AND(Projects!$G$32="Yes",CT$3=Projects!$C$32+Projects!$D$32-1),Projects!$B$32*(Assumptions!$B$10+Assumptions!$B$11+Assumptions!$B$12)*0.05,0)</f>
        <v>0</v>
      </c>
      <c r="CU41" s="30" t="n">
        <f aca="false">IF(AND(Projects!$G$32="Yes",CU$3&gt;=Projects!$C$32,CU$3&lt;Projects!$C$32+Projects!$D$32),Projects!$B$32*INDEX(Curves!$B$4:$AR$4,1,CU$3-Projects!$C$32+1),0)-IF(AND(Projects!$G$32="Yes",CU$3&gt;=Projects!$C$32,CU$3&lt;Projects!$C$32+Projects!$D$32),Projects!$B$32*(Assumptions!$B$10+Assumptions!$B$11+Assumptions!$B$12)/Projects!$D$32*0.95,0)-IF(AND(Projects!$G$32="Yes",CU$3=Projects!$C$32+Projects!$D$32-1),Projects!$B$32*(Assumptions!$B$10+Assumptions!$B$11+Assumptions!$B$12)*0.05,0)</f>
        <v>0</v>
      </c>
      <c r="CV41" s="30" t="n">
        <f aca="false">IF(AND(Projects!$G$32="Yes",CV$3&gt;=Projects!$C$32,CV$3&lt;Projects!$C$32+Projects!$D$32),Projects!$B$32*INDEX(Curves!$B$4:$AR$4,1,CV$3-Projects!$C$32+1),0)-IF(AND(Projects!$G$32="Yes",CV$3&gt;=Projects!$C$32,CV$3&lt;Projects!$C$32+Projects!$D$32),Projects!$B$32*(Assumptions!$B$10+Assumptions!$B$11+Assumptions!$B$12)/Projects!$D$32*0.95,0)-IF(AND(Projects!$G$32="Yes",CV$3=Projects!$C$32+Projects!$D$32-1),Projects!$B$32*(Assumptions!$B$10+Assumptions!$B$11+Assumptions!$B$12)*0.05,0)</f>
        <v>0</v>
      </c>
      <c r="CW41" s="30" t="n">
        <f aca="false">IF(AND(Projects!$G$32="Yes",CW$3&gt;=Projects!$C$32,CW$3&lt;Projects!$C$32+Projects!$D$32),Projects!$B$32*INDEX(Curves!$B$4:$AR$4,1,CW$3-Projects!$C$32+1),0)-IF(AND(Projects!$G$32="Yes",CW$3&gt;=Projects!$C$32,CW$3&lt;Projects!$C$32+Projects!$D$32),Projects!$B$32*(Assumptions!$B$10+Assumptions!$B$11+Assumptions!$B$12)/Projects!$D$32*0.95,0)-IF(AND(Projects!$G$32="Yes",CW$3=Projects!$C$32+Projects!$D$32-1),Projects!$B$32*(Assumptions!$B$10+Assumptions!$B$11+Assumptions!$B$12)*0.05,0)</f>
        <v>0</v>
      </c>
      <c r="CX41" s="30" t="n">
        <f aca="false">IF(AND(Projects!$G$32="Yes",CX$3&gt;=Projects!$C$32,CX$3&lt;Projects!$C$32+Projects!$D$32),Projects!$B$32*INDEX(Curves!$B$4:$AR$4,1,CX$3-Projects!$C$32+1),0)-IF(AND(Projects!$G$32="Yes",CX$3&gt;=Projects!$C$32,CX$3&lt;Projects!$C$32+Projects!$D$32),Projects!$B$32*(Assumptions!$B$10+Assumptions!$B$11+Assumptions!$B$12)/Projects!$D$32*0.95,0)-IF(AND(Projects!$G$32="Yes",CX$3=Projects!$C$32+Projects!$D$32-1),Projects!$B$32*(Assumptions!$B$10+Assumptions!$B$11+Assumptions!$B$12)*0.05,0)</f>
        <v>0</v>
      </c>
      <c r="CY41" s="30" t="n">
        <f aca="false">IF(AND(Projects!$G$32="Yes",CY$3&gt;=Projects!$C$32,CY$3&lt;Projects!$C$32+Projects!$D$32),Projects!$B$32*INDEX(Curves!$B$4:$AR$4,1,CY$3-Projects!$C$32+1),0)-IF(AND(Projects!$G$32="Yes",CY$3&gt;=Projects!$C$32,CY$3&lt;Projects!$C$32+Projects!$D$32),Projects!$B$32*(Assumptions!$B$10+Assumptions!$B$11+Assumptions!$B$12)/Projects!$D$32*0.95,0)-IF(AND(Projects!$G$32="Yes",CY$3=Projects!$C$32+Projects!$D$32-1),Projects!$B$32*(Assumptions!$B$10+Assumptions!$B$11+Assumptions!$B$12)*0.05,0)</f>
        <v>0</v>
      </c>
      <c r="CZ41" s="30" t="n">
        <f aca="false">IF(AND(Projects!$G$32="Yes",CZ$3&gt;=Projects!$C$32,CZ$3&lt;Projects!$C$32+Projects!$D$32),Projects!$B$32*INDEX(Curves!$B$4:$AR$4,1,CZ$3-Projects!$C$32+1),0)-IF(AND(Projects!$G$32="Yes",CZ$3&gt;=Projects!$C$32,CZ$3&lt;Projects!$C$32+Projects!$D$32),Projects!$B$32*(Assumptions!$B$10+Assumptions!$B$11+Assumptions!$B$12)/Projects!$D$32*0.95,0)-IF(AND(Projects!$G$32="Yes",CZ$3=Projects!$C$32+Projects!$D$32-1),Projects!$B$32*(Assumptions!$B$10+Assumptions!$B$11+Assumptions!$B$12)*0.05,0)</f>
        <v>0</v>
      </c>
      <c r="DA41" s="30" t="n">
        <f aca="false">IF(AND(Projects!$G$32="Yes",DA$3&gt;=Projects!$C$32,DA$3&lt;Projects!$C$32+Projects!$D$32),Projects!$B$32*INDEX(Curves!$B$4:$AR$4,1,DA$3-Projects!$C$32+1),0)-IF(AND(Projects!$G$32="Yes",DA$3&gt;=Projects!$C$32,DA$3&lt;Projects!$C$32+Projects!$D$32),Projects!$B$32*(Assumptions!$B$10+Assumptions!$B$11+Assumptions!$B$12)/Projects!$D$32*0.95,0)-IF(AND(Projects!$G$32="Yes",DA$3=Projects!$C$32+Projects!$D$32-1),Projects!$B$32*(Assumptions!$B$10+Assumptions!$B$11+Assumptions!$B$12)*0.05,0)</f>
        <v>0</v>
      </c>
      <c r="DB41" s="30" t="n">
        <f aca="false">IF(AND(Projects!$G$32="Yes",DB$3&gt;=Projects!$C$32,DB$3&lt;Projects!$C$32+Projects!$D$32),Projects!$B$32*INDEX(Curves!$B$4:$AR$4,1,DB$3-Projects!$C$32+1),0)-IF(AND(Projects!$G$32="Yes",DB$3&gt;=Projects!$C$32,DB$3&lt;Projects!$C$32+Projects!$D$32),Projects!$B$32*(Assumptions!$B$10+Assumptions!$B$11+Assumptions!$B$12)/Projects!$D$32*0.95,0)-IF(AND(Projects!$G$32="Yes",DB$3=Projects!$C$32+Projects!$D$32-1),Projects!$B$32*(Assumptions!$B$10+Assumptions!$B$11+Assumptions!$B$12)*0.05,0)</f>
        <v>0</v>
      </c>
      <c r="DC41" s="30" t="n">
        <f aca="false">IF(AND(Projects!$G$32="Yes",DC$3&gt;=Projects!$C$32,DC$3&lt;Projects!$C$32+Projects!$D$32),Projects!$B$32*INDEX(Curves!$B$4:$AR$4,1,DC$3-Projects!$C$32+1),0)-IF(AND(Projects!$G$32="Yes",DC$3&gt;=Projects!$C$32,DC$3&lt;Projects!$C$32+Projects!$D$32),Projects!$B$32*(Assumptions!$B$10+Assumptions!$B$11+Assumptions!$B$12)/Projects!$D$32*0.95,0)-IF(AND(Projects!$G$32="Yes",DC$3=Projects!$C$32+Projects!$D$32-1),Projects!$B$32*(Assumptions!$B$10+Assumptions!$B$11+Assumptions!$B$12)*0.05,0)</f>
        <v>0</v>
      </c>
      <c r="DD41" s="30" t="n">
        <f aca="false">IF(AND(Projects!$G$32="Yes",DD$3&gt;=Projects!$C$32,DD$3&lt;Projects!$C$32+Projects!$D$32),Projects!$B$32*INDEX(Curves!$B$4:$AR$4,1,DD$3-Projects!$C$32+1),0)-IF(AND(Projects!$G$32="Yes",DD$3&gt;=Projects!$C$32,DD$3&lt;Projects!$C$32+Projects!$D$32),Projects!$B$32*(Assumptions!$B$10+Assumptions!$B$11+Assumptions!$B$12)/Projects!$D$32*0.95,0)-IF(AND(Projects!$G$32="Yes",DD$3=Projects!$C$32+Projects!$D$32-1),Projects!$B$32*(Assumptions!$B$10+Assumptions!$B$11+Assumptions!$B$12)*0.05,0)</f>
        <v>0</v>
      </c>
      <c r="DE41" s="30" t="n">
        <f aca="false">IF(AND(Projects!$G$32="Yes",DE$3&gt;=Projects!$C$32,DE$3&lt;Projects!$C$32+Projects!$D$32),Projects!$B$32*INDEX(Curves!$B$4:$AR$4,1,DE$3-Projects!$C$32+1),0)-IF(AND(Projects!$G$32="Yes",DE$3&gt;=Projects!$C$32,DE$3&lt;Projects!$C$32+Projects!$D$32),Projects!$B$32*(Assumptions!$B$10+Assumptions!$B$11+Assumptions!$B$12)/Projects!$D$32*0.95,0)-IF(AND(Projects!$G$32="Yes",DE$3=Projects!$C$32+Projects!$D$32-1),Projects!$B$32*(Assumptions!$B$10+Assumptions!$B$11+Assumptions!$B$12)*0.05,0)</f>
        <v>0</v>
      </c>
    </row>
    <row r="42" customFormat="false" ht="15" hidden="true" customHeight="true" outlineLevel="1" collapsed="false">
      <c r="A42" s="32" t="s">
        <v>36</v>
      </c>
      <c r="B42" s="30" t="n">
        <v>0</v>
      </c>
      <c r="C42" s="30" t="n">
        <v>0</v>
      </c>
      <c r="D42" s="30" t="n">
        <v>0</v>
      </c>
      <c r="E42" s="30" t="n">
        <v>0</v>
      </c>
      <c r="F42" s="30" t="n">
        <f aca="false">IF(AND(Projects!$G$33="Yes",F$3&gt;=Projects!$C$33,F$3&lt;Projects!$C$33+Projects!$D$33),Projects!$B$33*INDEX(Curves!$B$4:$AR$4,1,F$3-Projects!$C$33+1),0)-IF(AND(Projects!$G$33="Yes",F$3&gt;=Projects!$C$33,F$3&lt;Projects!$C$33+Projects!$D$33),Projects!$B$33*(Assumptions!$B$10+Assumptions!$B$11+Assumptions!$B$12)/Projects!$D$33*0.95,0)-IF(AND(Projects!$G$33="Yes",F$3=Projects!$C$33+Projects!$D$33-1),Projects!$B$33*(Assumptions!$B$10+Assumptions!$B$11+Assumptions!$B$12)*0.05,0)</f>
        <v>0</v>
      </c>
      <c r="G42" s="30" t="n">
        <f aca="false">IF(AND(Projects!$G$33="Yes",G$3&gt;=Projects!$C$33,G$3&lt;Projects!$C$33+Projects!$D$33),Projects!$B$33*INDEX(Curves!$B$4:$AR$4,1,G$3-Projects!$C$33+1),0)-IF(AND(Projects!$G$33="Yes",G$3&gt;=Projects!$C$33,G$3&lt;Projects!$C$33+Projects!$D$33),Projects!$B$33*(Assumptions!$B$10+Assumptions!$B$11+Assumptions!$B$12)/Projects!$D$33*0.95,0)-IF(AND(Projects!$G$33="Yes",G$3=Projects!$C$33+Projects!$D$33-1),Projects!$B$33*(Assumptions!$B$10+Assumptions!$B$11+Assumptions!$B$12)*0.05,0)</f>
        <v>0</v>
      </c>
      <c r="H42" s="30" t="n">
        <f aca="false">IF(AND(Projects!$G$33="Yes",H$3&gt;=Projects!$C$33,H$3&lt;Projects!$C$33+Projects!$D$33),Projects!$B$33*INDEX(Curves!$B$4:$AR$4,1,H$3-Projects!$C$33+1),0)-IF(AND(Projects!$G$33="Yes",H$3&gt;=Projects!$C$33,H$3&lt;Projects!$C$33+Projects!$D$33),Projects!$B$33*(Assumptions!$B$10+Assumptions!$B$11+Assumptions!$B$12)/Projects!$D$33*0.95,0)-IF(AND(Projects!$G$33="Yes",H$3=Projects!$C$33+Projects!$D$33-1),Projects!$B$33*(Assumptions!$B$10+Assumptions!$B$11+Assumptions!$B$12)*0.05,0)</f>
        <v>0</v>
      </c>
      <c r="I42" s="30" t="n">
        <f aca="false">IF(AND(Projects!$G$33="Yes",I$3&gt;=Projects!$C$33,I$3&lt;Projects!$C$33+Projects!$D$33),Projects!$B$33*INDEX(Curves!$B$4:$AR$4,1,I$3-Projects!$C$33+1),0)-IF(AND(Projects!$G$33="Yes",I$3&gt;=Projects!$C$33,I$3&lt;Projects!$C$33+Projects!$D$33),Projects!$B$33*(Assumptions!$B$10+Assumptions!$B$11+Assumptions!$B$12)/Projects!$D$33*0.95,0)-IF(AND(Projects!$G$33="Yes",I$3=Projects!$C$33+Projects!$D$33-1),Projects!$B$33*(Assumptions!$B$10+Assumptions!$B$11+Assumptions!$B$12)*0.05,0)</f>
        <v>0</v>
      </c>
      <c r="J42" s="30" t="n">
        <f aca="false">IF(AND(Projects!$G$33="Yes",J$3&gt;=Projects!$C$33,J$3&lt;Projects!$C$33+Projects!$D$33),Projects!$B$33*INDEX(Curves!$B$4:$AR$4,1,J$3-Projects!$C$33+1),0)-IF(AND(Projects!$G$33="Yes",J$3&gt;=Projects!$C$33,J$3&lt;Projects!$C$33+Projects!$D$33),Projects!$B$33*(Assumptions!$B$10+Assumptions!$B$11+Assumptions!$B$12)/Projects!$D$33*0.95,0)-IF(AND(Projects!$G$33="Yes",J$3=Projects!$C$33+Projects!$D$33-1),Projects!$B$33*(Assumptions!$B$10+Assumptions!$B$11+Assumptions!$B$12)*0.05,0)</f>
        <v>0</v>
      </c>
      <c r="K42" s="30" t="n">
        <f aca="false">IF(AND(Projects!$G$33="Yes",K$3&gt;=Projects!$C$33,K$3&lt;Projects!$C$33+Projects!$D$33),Projects!$B$33*INDEX(Curves!$B$4:$AR$4,1,K$3-Projects!$C$33+1),0)-IF(AND(Projects!$G$33="Yes",K$3&gt;=Projects!$C$33,K$3&lt;Projects!$C$33+Projects!$D$33),Projects!$B$33*(Assumptions!$B$10+Assumptions!$B$11+Assumptions!$B$12)/Projects!$D$33*0.95,0)-IF(AND(Projects!$G$33="Yes",K$3=Projects!$C$33+Projects!$D$33-1),Projects!$B$33*(Assumptions!$B$10+Assumptions!$B$11+Assumptions!$B$12)*0.05,0)</f>
        <v>0</v>
      </c>
      <c r="L42" s="30" t="n">
        <f aca="false">IF(AND(Projects!$G$33="Yes",L$3&gt;=Projects!$C$33,L$3&lt;Projects!$C$33+Projects!$D$33),Projects!$B$33*INDEX(Curves!$B$4:$AR$4,1,L$3-Projects!$C$33+1),0)-IF(AND(Projects!$G$33="Yes",L$3&gt;=Projects!$C$33,L$3&lt;Projects!$C$33+Projects!$D$33),Projects!$B$33*(Assumptions!$B$10+Assumptions!$B$11+Assumptions!$B$12)/Projects!$D$33*0.95,0)-IF(AND(Projects!$G$33="Yes",L$3=Projects!$C$33+Projects!$D$33-1),Projects!$B$33*(Assumptions!$B$10+Assumptions!$B$11+Assumptions!$B$12)*0.05,0)</f>
        <v>0</v>
      </c>
      <c r="M42" s="30" t="n">
        <f aca="false">IF(AND(Projects!$G$33="Yes",M$3&gt;=Projects!$C$33,M$3&lt;Projects!$C$33+Projects!$D$33),Projects!$B$33*INDEX(Curves!$B$4:$AR$4,1,M$3-Projects!$C$33+1),0)-IF(AND(Projects!$G$33="Yes",M$3&gt;=Projects!$C$33,M$3&lt;Projects!$C$33+Projects!$D$33),Projects!$B$33*(Assumptions!$B$10+Assumptions!$B$11+Assumptions!$B$12)/Projects!$D$33*0.95,0)-IF(AND(Projects!$G$33="Yes",M$3=Projects!$C$33+Projects!$D$33-1),Projects!$B$33*(Assumptions!$B$10+Assumptions!$B$11+Assumptions!$B$12)*0.05,0)</f>
        <v>0</v>
      </c>
      <c r="N42" s="30" t="n">
        <f aca="false">IF(AND(Projects!$G$33="Yes",N$3&gt;=Projects!$C$33,N$3&lt;Projects!$C$33+Projects!$D$33),Projects!$B$33*INDEX(Curves!$B$4:$AR$4,1,N$3-Projects!$C$33+1),0)-IF(AND(Projects!$G$33="Yes",N$3&gt;=Projects!$C$33,N$3&lt;Projects!$C$33+Projects!$D$33),Projects!$B$33*(Assumptions!$B$10+Assumptions!$B$11+Assumptions!$B$12)/Projects!$D$33*0.95,0)-IF(AND(Projects!$G$33="Yes",N$3=Projects!$C$33+Projects!$D$33-1),Projects!$B$33*(Assumptions!$B$10+Assumptions!$B$11+Assumptions!$B$12)*0.05,0)</f>
        <v>0</v>
      </c>
      <c r="O42" s="30" t="n">
        <f aca="false">IF(AND(Projects!$G$33="Yes",O$3&gt;=Projects!$C$33,O$3&lt;Projects!$C$33+Projects!$D$33),Projects!$B$33*INDEX(Curves!$B$4:$AR$4,1,O$3-Projects!$C$33+1),0)-IF(AND(Projects!$G$33="Yes",O$3&gt;=Projects!$C$33,O$3&lt;Projects!$C$33+Projects!$D$33),Projects!$B$33*(Assumptions!$B$10+Assumptions!$B$11+Assumptions!$B$12)/Projects!$D$33*0.95,0)-IF(AND(Projects!$G$33="Yes",O$3=Projects!$C$33+Projects!$D$33-1),Projects!$B$33*(Assumptions!$B$10+Assumptions!$B$11+Assumptions!$B$12)*0.05,0)</f>
        <v>0</v>
      </c>
      <c r="P42" s="30" t="n">
        <f aca="false">IF(AND(Projects!$G$33="Yes",P$3&gt;=Projects!$C$33,P$3&lt;Projects!$C$33+Projects!$D$33),Projects!$B$33*INDEX(Curves!$B$4:$AR$4,1,P$3-Projects!$C$33+1),0)-IF(AND(Projects!$G$33="Yes",P$3&gt;=Projects!$C$33,P$3&lt;Projects!$C$33+Projects!$D$33),Projects!$B$33*(Assumptions!$B$10+Assumptions!$B$11+Assumptions!$B$12)/Projects!$D$33*0.95,0)-IF(AND(Projects!$G$33="Yes",P$3=Projects!$C$33+Projects!$D$33-1),Projects!$B$33*(Assumptions!$B$10+Assumptions!$B$11+Assumptions!$B$12)*0.05,0)</f>
        <v>0</v>
      </c>
      <c r="Q42" s="30" t="n">
        <f aca="false">IF(AND(Projects!$G$33="Yes",Q$3&gt;=Projects!$C$33,Q$3&lt;Projects!$C$33+Projects!$D$33),Projects!$B$33*INDEX(Curves!$B$4:$AR$4,1,Q$3-Projects!$C$33+1),0)-IF(AND(Projects!$G$33="Yes",Q$3&gt;=Projects!$C$33,Q$3&lt;Projects!$C$33+Projects!$D$33),Projects!$B$33*(Assumptions!$B$10+Assumptions!$B$11+Assumptions!$B$12)/Projects!$D$33*0.95,0)-IF(AND(Projects!$G$33="Yes",Q$3=Projects!$C$33+Projects!$D$33-1),Projects!$B$33*(Assumptions!$B$10+Assumptions!$B$11+Assumptions!$B$12)*0.05,0)</f>
        <v>0</v>
      </c>
      <c r="R42" s="30" t="n">
        <f aca="false">IF(AND(Projects!$G$33="Yes",R$3&gt;=Projects!$C$33,R$3&lt;Projects!$C$33+Projects!$D$33),Projects!$B$33*INDEX(Curves!$B$4:$AR$4,1,R$3-Projects!$C$33+1),0)-IF(AND(Projects!$G$33="Yes",R$3&gt;=Projects!$C$33,R$3&lt;Projects!$C$33+Projects!$D$33),Projects!$B$33*(Assumptions!$B$10+Assumptions!$B$11+Assumptions!$B$12)/Projects!$D$33*0.95,0)-IF(AND(Projects!$G$33="Yes",R$3=Projects!$C$33+Projects!$D$33-1),Projects!$B$33*(Assumptions!$B$10+Assumptions!$B$11+Assumptions!$B$12)*0.05,0)</f>
        <v>0</v>
      </c>
      <c r="S42" s="30" t="n">
        <f aca="false">IF(AND(Projects!$G$33="Yes",S$3&gt;=Projects!$C$33,S$3&lt;Projects!$C$33+Projects!$D$33),Projects!$B$33*INDEX(Curves!$B$4:$AR$4,1,S$3-Projects!$C$33+1),0)-IF(AND(Projects!$G$33="Yes",S$3&gt;=Projects!$C$33,S$3&lt;Projects!$C$33+Projects!$D$33),Projects!$B$33*(Assumptions!$B$10+Assumptions!$B$11+Assumptions!$B$12)/Projects!$D$33*0.95,0)-IF(AND(Projects!$G$33="Yes",S$3=Projects!$C$33+Projects!$D$33-1),Projects!$B$33*(Assumptions!$B$10+Assumptions!$B$11+Assumptions!$B$12)*0.05,0)</f>
        <v>0</v>
      </c>
      <c r="T42" s="30" t="n">
        <f aca="false">IF(AND(Projects!$G$33="Yes",T$3&gt;=Projects!$C$33,T$3&lt;Projects!$C$33+Projects!$D$33),Projects!$B$33*INDEX(Curves!$B$4:$AR$4,1,T$3-Projects!$C$33+1),0)-IF(AND(Projects!$G$33="Yes",T$3&gt;=Projects!$C$33,T$3&lt;Projects!$C$33+Projects!$D$33),Projects!$B$33*(Assumptions!$B$10+Assumptions!$B$11+Assumptions!$B$12)/Projects!$D$33*0.95,0)-IF(AND(Projects!$G$33="Yes",T$3=Projects!$C$33+Projects!$D$33-1),Projects!$B$33*(Assumptions!$B$10+Assumptions!$B$11+Assumptions!$B$12)*0.05,0)</f>
        <v>0</v>
      </c>
      <c r="U42" s="30" t="n">
        <f aca="false">IF(AND(Projects!$G$33="Yes",U$3&gt;=Projects!$C$33,U$3&lt;Projects!$C$33+Projects!$D$33),Projects!$B$33*INDEX(Curves!$B$4:$AR$4,1,U$3-Projects!$C$33+1),0)-IF(AND(Projects!$G$33="Yes",U$3&gt;=Projects!$C$33,U$3&lt;Projects!$C$33+Projects!$D$33),Projects!$B$33*(Assumptions!$B$10+Assumptions!$B$11+Assumptions!$B$12)/Projects!$D$33*0.95,0)-IF(AND(Projects!$G$33="Yes",U$3=Projects!$C$33+Projects!$D$33-1),Projects!$B$33*(Assumptions!$B$10+Assumptions!$B$11+Assumptions!$B$12)*0.05,0)</f>
        <v>0</v>
      </c>
      <c r="V42" s="30" t="n">
        <f aca="false">IF(AND(Projects!$G$33="Yes",V$3&gt;=Projects!$C$33,V$3&lt;Projects!$C$33+Projects!$D$33),Projects!$B$33*INDEX(Curves!$B$4:$AR$4,1,V$3-Projects!$C$33+1),0)-IF(AND(Projects!$G$33="Yes",V$3&gt;=Projects!$C$33,V$3&lt;Projects!$C$33+Projects!$D$33),Projects!$B$33*(Assumptions!$B$10+Assumptions!$B$11+Assumptions!$B$12)/Projects!$D$33*0.95,0)-IF(AND(Projects!$G$33="Yes",V$3=Projects!$C$33+Projects!$D$33-1),Projects!$B$33*(Assumptions!$B$10+Assumptions!$B$11+Assumptions!$B$12)*0.05,0)</f>
        <v>0</v>
      </c>
      <c r="W42" s="30" t="n">
        <f aca="false">IF(AND(Projects!$G$33="Yes",W$3&gt;=Projects!$C$33,W$3&lt;Projects!$C$33+Projects!$D$33),Projects!$B$33*INDEX(Curves!$B$4:$AR$4,1,W$3-Projects!$C$33+1),0)-IF(AND(Projects!$G$33="Yes",W$3&gt;=Projects!$C$33,W$3&lt;Projects!$C$33+Projects!$D$33),Projects!$B$33*(Assumptions!$B$10+Assumptions!$B$11+Assumptions!$B$12)/Projects!$D$33*0.95,0)-IF(AND(Projects!$G$33="Yes",W$3=Projects!$C$33+Projects!$D$33-1),Projects!$B$33*(Assumptions!$B$10+Assumptions!$B$11+Assumptions!$B$12)*0.05,0)</f>
        <v>0</v>
      </c>
      <c r="X42" s="30" t="n">
        <f aca="false">IF(AND(Projects!$G$33="Yes",X$3&gt;=Projects!$C$33,X$3&lt;Projects!$C$33+Projects!$D$33),Projects!$B$33*INDEX(Curves!$B$4:$AR$4,1,X$3-Projects!$C$33+1),0)-IF(AND(Projects!$G$33="Yes",X$3&gt;=Projects!$C$33,X$3&lt;Projects!$C$33+Projects!$D$33),Projects!$B$33*(Assumptions!$B$10+Assumptions!$B$11+Assumptions!$B$12)/Projects!$D$33*0.95,0)-IF(AND(Projects!$G$33="Yes",X$3=Projects!$C$33+Projects!$D$33-1),Projects!$B$33*(Assumptions!$B$10+Assumptions!$B$11+Assumptions!$B$12)*0.05,0)</f>
        <v>0</v>
      </c>
      <c r="Y42" s="30" t="n">
        <f aca="false">IF(AND(Projects!$G$33="Yes",Y$3&gt;=Projects!$C$33,Y$3&lt;Projects!$C$33+Projects!$D$33),Projects!$B$33*INDEX(Curves!$B$4:$AR$4,1,Y$3-Projects!$C$33+1),0)-IF(AND(Projects!$G$33="Yes",Y$3&gt;=Projects!$C$33,Y$3&lt;Projects!$C$33+Projects!$D$33),Projects!$B$33*(Assumptions!$B$10+Assumptions!$B$11+Assumptions!$B$12)/Projects!$D$33*0.95,0)-IF(AND(Projects!$G$33="Yes",Y$3=Projects!$C$33+Projects!$D$33-1),Projects!$B$33*(Assumptions!$B$10+Assumptions!$B$11+Assumptions!$B$12)*0.05,0)</f>
        <v>0</v>
      </c>
      <c r="Z42" s="30" t="n">
        <f aca="false">IF(AND(Projects!$G$33="Yes",Z$3&gt;=Projects!$C$33,Z$3&lt;Projects!$C$33+Projects!$D$33),Projects!$B$33*INDEX(Curves!$B$4:$AR$4,1,Z$3-Projects!$C$33+1),0)-IF(AND(Projects!$G$33="Yes",Z$3&gt;=Projects!$C$33,Z$3&lt;Projects!$C$33+Projects!$D$33),Projects!$B$33*(Assumptions!$B$10+Assumptions!$B$11+Assumptions!$B$12)/Projects!$D$33*0.95,0)-IF(AND(Projects!$G$33="Yes",Z$3=Projects!$C$33+Projects!$D$33-1),Projects!$B$33*(Assumptions!$B$10+Assumptions!$B$11+Assumptions!$B$12)*0.05,0)</f>
        <v>0</v>
      </c>
      <c r="AA42" s="30" t="n">
        <f aca="false">IF(AND(Projects!$G$33="Yes",AA$3&gt;=Projects!$C$33,AA$3&lt;Projects!$C$33+Projects!$D$33),Projects!$B$33*INDEX(Curves!$B$4:$AR$4,1,AA$3-Projects!$C$33+1),0)-IF(AND(Projects!$G$33="Yes",AA$3&gt;=Projects!$C$33,AA$3&lt;Projects!$C$33+Projects!$D$33),Projects!$B$33*(Assumptions!$B$10+Assumptions!$B$11+Assumptions!$B$12)/Projects!$D$33*0.95,0)-IF(AND(Projects!$G$33="Yes",AA$3=Projects!$C$33+Projects!$D$33-1),Projects!$B$33*(Assumptions!$B$10+Assumptions!$B$11+Assumptions!$B$12)*0.05,0)</f>
        <v>0</v>
      </c>
      <c r="AB42" s="30" t="n">
        <f aca="false">IF(AND(Projects!$G$33="Yes",AB$3&gt;=Projects!$C$33,AB$3&lt;Projects!$C$33+Projects!$D$33),Projects!$B$33*INDEX(Curves!$B$4:$AR$4,1,AB$3-Projects!$C$33+1),0)-IF(AND(Projects!$G$33="Yes",AB$3&gt;=Projects!$C$33,AB$3&lt;Projects!$C$33+Projects!$D$33),Projects!$B$33*(Assumptions!$B$10+Assumptions!$B$11+Assumptions!$B$12)/Projects!$D$33*0.95,0)-IF(AND(Projects!$G$33="Yes",AB$3=Projects!$C$33+Projects!$D$33-1),Projects!$B$33*(Assumptions!$B$10+Assumptions!$B$11+Assumptions!$B$12)*0.05,0)</f>
        <v>0</v>
      </c>
      <c r="AC42" s="30" t="n">
        <f aca="false">IF(AND(Projects!$G$33="Yes",AC$3&gt;=Projects!$C$33,AC$3&lt;Projects!$C$33+Projects!$D$33),Projects!$B$33*INDEX(Curves!$B$4:$AR$4,1,AC$3-Projects!$C$33+1),0)-IF(AND(Projects!$G$33="Yes",AC$3&gt;=Projects!$C$33,AC$3&lt;Projects!$C$33+Projects!$D$33),Projects!$B$33*(Assumptions!$B$10+Assumptions!$B$11+Assumptions!$B$12)/Projects!$D$33*0.95,0)-IF(AND(Projects!$G$33="Yes",AC$3=Projects!$C$33+Projects!$D$33-1),Projects!$B$33*(Assumptions!$B$10+Assumptions!$B$11+Assumptions!$B$12)*0.05,0)</f>
        <v>0</v>
      </c>
      <c r="AD42" s="30" t="n">
        <f aca="false">IF(AND(Projects!$G$33="Yes",AD$3&gt;=Projects!$C$33,AD$3&lt;Projects!$C$33+Projects!$D$33),Projects!$B$33*INDEX(Curves!$B$4:$AR$4,1,AD$3-Projects!$C$33+1),0)-IF(AND(Projects!$G$33="Yes",AD$3&gt;=Projects!$C$33,AD$3&lt;Projects!$C$33+Projects!$D$33),Projects!$B$33*(Assumptions!$B$10+Assumptions!$B$11+Assumptions!$B$12)/Projects!$D$33*0.95,0)-IF(AND(Projects!$G$33="Yes",AD$3=Projects!$C$33+Projects!$D$33-1),Projects!$B$33*(Assumptions!$B$10+Assumptions!$B$11+Assumptions!$B$12)*0.05,0)</f>
        <v>0</v>
      </c>
      <c r="AE42" s="30" t="n">
        <f aca="false">IF(AND(Projects!$G$33="Yes",AE$3&gt;=Projects!$C$33,AE$3&lt;Projects!$C$33+Projects!$D$33),Projects!$B$33*INDEX(Curves!$B$4:$AR$4,1,AE$3-Projects!$C$33+1),0)-IF(AND(Projects!$G$33="Yes",AE$3&gt;=Projects!$C$33,AE$3&lt;Projects!$C$33+Projects!$D$33),Projects!$B$33*(Assumptions!$B$10+Assumptions!$B$11+Assumptions!$B$12)/Projects!$D$33*0.95,0)-IF(AND(Projects!$G$33="Yes",AE$3=Projects!$C$33+Projects!$D$33-1),Projects!$B$33*(Assumptions!$B$10+Assumptions!$B$11+Assumptions!$B$12)*0.05,0)</f>
        <v>0</v>
      </c>
      <c r="AF42" s="30" t="n">
        <f aca="false">IF(AND(Projects!$G$33="Yes",AF$3&gt;=Projects!$C$33,AF$3&lt;Projects!$C$33+Projects!$D$33),Projects!$B$33*INDEX(Curves!$B$4:$AR$4,1,AF$3-Projects!$C$33+1),0)-IF(AND(Projects!$G$33="Yes",AF$3&gt;=Projects!$C$33,AF$3&lt;Projects!$C$33+Projects!$D$33),Projects!$B$33*(Assumptions!$B$10+Assumptions!$B$11+Assumptions!$B$12)/Projects!$D$33*0.95,0)-IF(AND(Projects!$G$33="Yes",AF$3=Projects!$C$33+Projects!$D$33-1),Projects!$B$33*(Assumptions!$B$10+Assumptions!$B$11+Assumptions!$B$12)*0.05,0)</f>
        <v>0</v>
      </c>
      <c r="AG42" s="30" t="n">
        <f aca="false">IF(AND(Projects!$G$33="Yes",AG$3&gt;=Projects!$C$33,AG$3&lt;Projects!$C$33+Projects!$D$33),Projects!$B$33*INDEX(Curves!$B$4:$AR$4,1,AG$3-Projects!$C$33+1),0)-IF(AND(Projects!$G$33="Yes",AG$3&gt;=Projects!$C$33,AG$3&lt;Projects!$C$33+Projects!$D$33),Projects!$B$33*(Assumptions!$B$10+Assumptions!$B$11+Assumptions!$B$12)/Projects!$D$33*0.95,0)-IF(AND(Projects!$G$33="Yes",AG$3=Projects!$C$33+Projects!$D$33-1),Projects!$B$33*(Assumptions!$B$10+Assumptions!$B$11+Assumptions!$B$12)*0.05,0)</f>
        <v>0</v>
      </c>
      <c r="AH42" s="30" t="n">
        <f aca="false">IF(AND(Projects!$G$33="Yes",AH$3&gt;=Projects!$C$33,AH$3&lt;Projects!$C$33+Projects!$D$33),Projects!$B$33*INDEX(Curves!$B$4:$AR$4,1,AH$3-Projects!$C$33+1),0)-IF(AND(Projects!$G$33="Yes",AH$3&gt;=Projects!$C$33,AH$3&lt;Projects!$C$33+Projects!$D$33),Projects!$B$33*(Assumptions!$B$10+Assumptions!$B$11+Assumptions!$B$12)/Projects!$D$33*0.95,0)-IF(AND(Projects!$G$33="Yes",AH$3=Projects!$C$33+Projects!$D$33-1),Projects!$B$33*(Assumptions!$B$10+Assumptions!$B$11+Assumptions!$B$12)*0.05,0)</f>
        <v>0</v>
      </c>
      <c r="AI42" s="30" t="n">
        <f aca="false">IF(AND(Projects!$G$33="Yes",AI$3&gt;=Projects!$C$33,AI$3&lt;Projects!$C$33+Projects!$D$33),Projects!$B$33*INDEX(Curves!$B$4:$AR$4,1,AI$3-Projects!$C$33+1),0)-IF(AND(Projects!$G$33="Yes",AI$3&gt;=Projects!$C$33,AI$3&lt;Projects!$C$33+Projects!$D$33),Projects!$B$33*(Assumptions!$B$10+Assumptions!$B$11+Assumptions!$B$12)/Projects!$D$33*0.95,0)-IF(AND(Projects!$G$33="Yes",AI$3=Projects!$C$33+Projects!$D$33-1),Projects!$B$33*(Assumptions!$B$10+Assumptions!$B$11+Assumptions!$B$12)*0.05,0)</f>
        <v>0</v>
      </c>
      <c r="AJ42" s="30" t="n">
        <f aca="false">IF(AND(Projects!$G$33="Yes",AJ$3&gt;=Projects!$C$33,AJ$3&lt;Projects!$C$33+Projects!$D$33),Projects!$B$33*INDEX(Curves!$B$4:$AR$4,1,AJ$3-Projects!$C$33+1),0)-IF(AND(Projects!$G$33="Yes",AJ$3&gt;=Projects!$C$33,AJ$3&lt;Projects!$C$33+Projects!$D$33),Projects!$B$33*(Assumptions!$B$10+Assumptions!$B$11+Assumptions!$B$12)/Projects!$D$33*0.95,0)-IF(AND(Projects!$G$33="Yes",AJ$3=Projects!$C$33+Projects!$D$33-1),Projects!$B$33*(Assumptions!$B$10+Assumptions!$B$11+Assumptions!$B$12)*0.05,0)</f>
        <v>0</v>
      </c>
      <c r="AK42" s="30" t="n">
        <f aca="false">IF(AND(Projects!$G$33="Yes",AK$3&gt;=Projects!$C$33,AK$3&lt;Projects!$C$33+Projects!$D$33),Projects!$B$33*INDEX(Curves!$B$4:$AR$4,1,AK$3-Projects!$C$33+1),0)-IF(AND(Projects!$G$33="Yes",AK$3&gt;=Projects!$C$33,AK$3&lt;Projects!$C$33+Projects!$D$33),Projects!$B$33*(Assumptions!$B$10+Assumptions!$B$11+Assumptions!$B$12)/Projects!$D$33*0.95,0)-IF(AND(Projects!$G$33="Yes",AK$3=Projects!$C$33+Projects!$D$33-1),Projects!$B$33*(Assumptions!$B$10+Assumptions!$B$11+Assumptions!$B$12)*0.05,0)</f>
        <v>0</v>
      </c>
      <c r="AL42" s="30" t="n">
        <f aca="false">IF(AND(Projects!$G$33="Yes",AL$3&gt;=Projects!$C$33,AL$3&lt;Projects!$C$33+Projects!$D$33),Projects!$B$33*INDEX(Curves!$B$4:$AR$4,1,AL$3-Projects!$C$33+1),0)-IF(AND(Projects!$G$33="Yes",AL$3&gt;=Projects!$C$33,AL$3&lt;Projects!$C$33+Projects!$D$33),Projects!$B$33*(Assumptions!$B$10+Assumptions!$B$11+Assumptions!$B$12)/Projects!$D$33*0.95,0)-IF(AND(Projects!$G$33="Yes",AL$3=Projects!$C$33+Projects!$D$33-1),Projects!$B$33*(Assumptions!$B$10+Assumptions!$B$11+Assumptions!$B$12)*0.05,0)</f>
        <v>0</v>
      </c>
      <c r="AM42" s="30" t="n">
        <f aca="false">IF(AND(Projects!$G$33="Yes",AM$3&gt;=Projects!$C$33,AM$3&lt;Projects!$C$33+Projects!$D$33),Projects!$B$33*INDEX(Curves!$B$4:$AR$4,1,AM$3-Projects!$C$33+1),0)-IF(AND(Projects!$G$33="Yes",AM$3&gt;=Projects!$C$33,AM$3&lt;Projects!$C$33+Projects!$D$33),Projects!$B$33*(Assumptions!$B$10+Assumptions!$B$11+Assumptions!$B$12)/Projects!$D$33*0.95,0)-IF(AND(Projects!$G$33="Yes",AM$3=Projects!$C$33+Projects!$D$33-1),Projects!$B$33*(Assumptions!$B$10+Assumptions!$B$11+Assumptions!$B$12)*0.05,0)</f>
        <v>0</v>
      </c>
      <c r="AN42" s="30" t="n">
        <f aca="false">IF(AND(Projects!$G$33="Yes",AN$3&gt;=Projects!$C$33,AN$3&lt;Projects!$C$33+Projects!$D$33),Projects!$B$33*INDEX(Curves!$B$4:$AR$4,1,AN$3-Projects!$C$33+1),0)-IF(AND(Projects!$G$33="Yes",AN$3&gt;=Projects!$C$33,AN$3&lt;Projects!$C$33+Projects!$D$33),Projects!$B$33*(Assumptions!$B$10+Assumptions!$B$11+Assumptions!$B$12)/Projects!$D$33*0.95,0)-IF(AND(Projects!$G$33="Yes",AN$3=Projects!$C$33+Projects!$D$33-1),Projects!$B$33*(Assumptions!$B$10+Assumptions!$B$11+Assumptions!$B$12)*0.05,0)</f>
        <v>0</v>
      </c>
      <c r="AO42" s="30" t="n">
        <f aca="false">IF(AND(Projects!$G$33="Yes",AO$3&gt;=Projects!$C$33,AO$3&lt;Projects!$C$33+Projects!$D$33),Projects!$B$33*INDEX(Curves!$B$4:$AR$4,1,AO$3-Projects!$C$33+1),0)-IF(AND(Projects!$G$33="Yes",AO$3&gt;=Projects!$C$33,AO$3&lt;Projects!$C$33+Projects!$D$33),Projects!$B$33*(Assumptions!$B$10+Assumptions!$B$11+Assumptions!$B$12)/Projects!$D$33*0.95,0)-IF(AND(Projects!$G$33="Yes",AO$3=Projects!$C$33+Projects!$D$33-1),Projects!$B$33*(Assumptions!$B$10+Assumptions!$B$11+Assumptions!$B$12)*0.05,0)</f>
        <v>0</v>
      </c>
      <c r="AP42" s="30" t="n">
        <f aca="false">IF(AND(Projects!$G$33="Yes",AP$3&gt;=Projects!$C$33,AP$3&lt;Projects!$C$33+Projects!$D$33),Projects!$B$33*INDEX(Curves!$B$4:$AR$4,1,AP$3-Projects!$C$33+1),0)-IF(AND(Projects!$G$33="Yes",AP$3&gt;=Projects!$C$33,AP$3&lt;Projects!$C$33+Projects!$D$33),Projects!$B$33*(Assumptions!$B$10+Assumptions!$B$11+Assumptions!$B$12)/Projects!$D$33*0.95,0)-IF(AND(Projects!$G$33="Yes",AP$3=Projects!$C$33+Projects!$D$33-1),Projects!$B$33*(Assumptions!$B$10+Assumptions!$B$11+Assumptions!$B$12)*0.05,0)</f>
        <v>0</v>
      </c>
      <c r="AQ42" s="30" t="n">
        <f aca="false">IF(AND(Projects!$G$33="Yes",AQ$3&gt;=Projects!$C$33,AQ$3&lt;Projects!$C$33+Projects!$D$33),Projects!$B$33*INDEX(Curves!$B$4:$AR$4,1,AQ$3-Projects!$C$33+1),0)-IF(AND(Projects!$G$33="Yes",AQ$3&gt;=Projects!$C$33,AQ$3&lt;Projects!$C$33+Projects!$D$33),Projects!$B$33*(Assumptions!$B$10+Assumptions!$B$11+Assumptions!$B$12)/Projects!$D$33*0.95,0)-IF(AND(Projects!$G$33="Yes",AQ$3=Projects!$C$33+Projects!$D$33-1),Projects!$B$33*(Assumptions!$B$10+Assumptions!$B$11+Assumptions!$B$12)*0.05,0)</f>
        <v>0</v>
      </c>
      <c r="AR42" s="30" t="n">
        <f aca="false">IF(AND(Projects!$G$33="Yes",AR$3&gt;=Projects!$C$33,AR$3&lt;Projects!$C$33+Projects!$D$33),Projects!$B$33*INDEX(Curves!$B$4:$AR$4,1,AR$3-Projects!$C$33+1),0)-IF(AND(Projects!$G$33="Yes",AR$3&gt;=Projects!$C$33,AR$3&lt;Projects!$C$33+Projects!$D$33),Projects!$B$33*(Assumptions!$B$10+Assumptions!$B$11+Assumptions!$B$12)/Projects!$D$33*0.95,0)-IF(AND(Projects!$G$33="Yes",AR$3=Projects!$C$33+Projects!$D$33-1),Projects!$B$33*(Assumptions!$B$10+Assumptions!$B$11+Assumptions!$B$12)*0.05,0)</f>
        <v>0</v>
      </c>
      <c r="AS42" s="30" t="n">
        <f aca="false">IF(AND(Projects!$G$33="Yes",AS$3&gt;=Projects!$C$33,AS$3&lt;Projects!$C$33+Projects!$D$33),Projects!$B$33*INDEX(Curves!$B$4:$AR$4,1,AS$3-Projects!$C$33+1),0)-IF(AND(Projects!$G$33="Yes",AS$3&gt;=Projects!$C$33,AS$3&lt;Projects!$C$33+Projects!$D$33),Projects!$B$33*(Assumptions!$B$10+Assumptions!$B$11+Assumptions!$B$12)/Projects!$D$33*0.95,0)-IF(AND(Projects!$G$33="Yes",AS$3=Projects!$C$33+Projects!$D$33-1),Projects!$B$33*(Assumptions!$B$10+Assumptions!$B$11+Assumptions!$B$12)*0.05,0)</f>
        <v>0</v>
      </c>
      <c r="AT42" s="30" t="n">
        <f aca="false">IF(AND(Projects!$G$33="Yes",AT$3&gt;=Projects!$C$33,AT$3&lt;Projects!$C$33+Projects!$D$33),Projects!$B$33*INDEX(Curves!$B$4:$AR$4,1,AT$3-Projects!$C$33+1),0)-IF(AND(Projects!$G$33="Yes",AT$3&gt;=Projects!$C$33,AT$3&lt;Projects!$C$33+Projects!$D$33),Projects!$B$33*(Assumptions!$B$10+Assumptions!$B$11+Assumptions!$B$12)/Projects!$D$33*0.95,0)-IF(AND(Projects!$G$33="Yes",AT$3=Projects!$C$33+Projects!$D$33-1),Projects!$B$33*(Assumptions!$B$10+Assumptions!$B$11+Assumptions!$B$12)*0.05,0)</f>
        <v>0</v>
      </c>
      <c r="AU42" s="30" t="n">
        <f aca="false">IF(AND(Projects!$G$33="Yes",AU$3&gt;=Projects!$C$33,AU$3&lt;Projects!$C$33+Projects!$D$33),Projects!$B$33*INDEX(Curves!$B$4:$AR$4,1,AU$3-Projects!$C$33+1),0)-IF(AND(Projects!$G$33="Yes",AU$3&gt;=Projects!$C$33,AU$3&lt;Projects!$C$33+Projects!$D$33),Projects!$B$33*(Assumptions!$B$10+Assumptions!$B$11+Assumptions!$B$12)/Projects!$D$33*0.95,0)-IF(AND(Projects!$G$33="Yes",AU$3=Projects!$C$33+Projects!$D$33-1),Projects!$B$33*(Assumptions!$B$10+Assumptions!$B$11+Assumptions!$B$12)*0.05,0)</f>
        <v>0</v>
      </c>
      <c r="AV42" s="30" t="n">
        <f aca="false">IF(AND(Projects!$G$33="Yes",AV$3&gt;=Projects!$C$33,AV$3&lt;Projects!$C$33+Projects!$D$33),Projects!$B$33*INDEX(Curves!$B$4:$AR$4,1,AV$3-Projects!$C$33+1),0)-IF(AND(Projects!$G$33="Yes",AV$3&gt;=Projects!$C$33,AV$3&lt;Projects!$C$33+Projects!$D$33),Projects!$B$33*(Assumptions!$B$10+Assumptions!$B$11+Assumptions!$B$12)/Projects!$D$33*0.95,0)-IF(AND(Projects!$G$33="Yes",AV$3=Projects!$C$33+Projects!$D$33-1),Projects!$B$33*(Assumptions!$B$10+Assumptions!$B$11+Assumptions!$B$12)*0.05,0)</f>
        <v>0</v>
      </c>
      <c r="AW42" s="30" t="n">
        <f aca="false">IF(AND(Projects!$G$33="Yes",AW$3&gt;=Projects!$C$33,AW$3&lt;Projects!$C$33+Projects!$D$33),Projects!$B$33*INDEX(Curves!$B$4:$AR$4,1,AW$3-Projects!$C$33+1),0)-IF(AND(Projects!$G$33="Yes",AW$3&gt;=Projects!$C$33,AW$3&lt;Projects!$C$33+Projects!$D$33),Projects!$B$33*(Assumptions!$B$10+Assumptions!$B$11+Assumptions!$B$12)/Projects!$D$33*0.95,0)-IF(AND(Projects!$G$33="Yes",AW$3=Projects!$C$33+Projects!$D$33-1),Projects!$B$33*(Assumptions!$B$10+Assumptions!$B$11+Assumptions!$B$12)*0.05,0)</f>
        <v>0</v>
      </c>
      <c r="AX42" s="30" t="n">
        <f aca="false">IF(AND(Projects!$G$33="Yes",AX$3&gt;=Projects!$C$33,AX$3&lt;Projects!$C$33+Projects!$D$33),Projects!$B$33*INDEX(Curves!$B$4:$AR$4,1,AX$3-Projects!$C$33+1),0)-IF(AND(Projects!$G$33="Yes",AX$3&gt;=Projects!$C$33,AX$3&lt;Projects!$C$33+Projects!$D$33),Projects!$B$33*(Assumptions!$B$10+Assumptions!$B$11+Assumptions!$B$12)/Projects!$D$33*0.95,0)-IF(AND(Projects!$G$33="Yes",AX$3=Projects!$C$33+Projects!$D$33-1),Projects!$B$33*(Assumptions!$B$10+Assumptions!$B$11+Assumptions!$B$12)*0.05,0)</f>
        <v>0</v>
      </c>
      <c r="AY42" s="30" t="n">
        <f aca="false">IF(AND(Projects!$G$33="Yes",AY$3&gt;=Projects!$C$33,AY$3&lt;Projects!$C$33+Projects!$D$33),Projects!$B$33*INDEX(Curves!$B$4:$AR$4,1,AY$3-Projects!$C$33+1),0)-IF(AND(Projects!$G$33="Yes",AY$3&gt;=Projects!$C$33,AY$3&lt;Projects!$C$33+Projects!$D$33),Projects!$B$33*(Assumptions!$B$10+Assumptions!$B$11+Assumptions!$B$12)/Projects!$D$33*0.95,0)-IF(AND(Projects!$G$33="Yes",AY$3=Projects!$C$33+Projects!$D$33-1),Projects!$B$33*(Assumptions!$B$10+Assumptions!$B$11+Assumptions!$B$12)*0.05,0)</f>
        <v>0</v>
      </c>
      <c r="AZ42" s="30" t="n">
        <f aca="false">IF(AND(Projects!$G$33="Yes",AZ$3&gt;=Projects!$C$33,AZ$3&lt;Projects!$C$33+Projects!$D$33),Projects!$B$33*INDEX(Curves!$B$4:$AR$4,1,AZ$3-Projects!$C$33+1),0)-IF(AND(Projects!$G$33="Yes",AZ$3&gt;=Projects!$C$33,AZ$3&lt;Projects!$C$33+Projects!$D$33),Projects!$B$33*(Assumptions!$B$10+Assumptions!$B$11+Assumptions!$B$12)/Projects!$D$33*0.95,0)-IF(AND(Projects!$G$33="Yes",AZ$3=Projects!$C$33+Projects!$D$33-1),Projects!$B$33*(Assumptions!$B$10+Assumptions!$B$11+Assumptions!$B$12)*0.05,0)</f>
        <v>0</v>
      </c>
      <c r="BA42" s="30" t="n">
        <f aca="false">IF(AND(Projects!$G$33="Yes",BA$3&gt;=Projects!$C$33,BA$3&lt;Projects!$C$33+Projects!$D$33),Projects!$B$33*INDEX(Curves!$B$4:$AR$4,1,BA$3-Projects!$C$33+1),0)-IF(AND(Projects!$G$33="Yes",BA$3&gt;=Projects!$C$33,BA$3&lt;Projects!$C$33+Projects!$D$33),Projects!$B$33*(Assumptions!$B$10+Assumptions!$B$11+Assumptions!$B$12)/Projects!$D$33*0.95,0)-IF(AND(Projects!$G$33="Yes",BA$3=Projects!$C$33+Projects!$D$33-1),Projects!$B$33*(Assumptions!$B$10+Assumptions!$B$11+Assumptions!$B$12)*0.05,0)</f>
        <v>0</v>
      </c>
      <c r="BB42" s="30" t="n">
        <f aca="false">IF(AND(Projects!$G$33="Yes",BB$3&gt;=Projects!$C$33,BB$3&lt;Projects!$C$33+Projects!$D$33),Projects!$B$33*INDEX(Curves!$B$4:$AR$4,1,BB$3-Projects!$C$33+1),0)-IF(AND(Projects!$G$33="Yes",BB$3&gt;=Projects!$C$33,BB$3&lt;Projects!$C$33+Projects!$D$33),Projects!$B$33*(Assumptions!$B$10+Assumptions!$B$11+Assumptions!$B$12)/Projects!$D$33*0.95,0)-IF(AND(Projects!$G$33="Yes",BB$3=Projects!$C$33+Projects!$D$33-1),Projects!$B$33*(Assumptions!$B$10+Assumptions!$B$11+Assumptions!$B$12)*0.05,0)</f>
        <v>0</v>
      </c>
      <c r="BC42" s="30" t="n">
        <f aca="false">IF(AND(Projects!$G$33="Yes",BC$3&gt;=Projects!$C$33,BC$3&lt;Projects!$C$33+Projects!$D$33),Projects!$B$33*INDEX(Curves!$B$4:$AR$4,1,BC$3-Projects!$C$33+1),0)-IF(AND(Projects!$G$33="Yes",BC$3&gt;=Projects!$C$33,BC$3&lt;Projects!$C$33+Projects!$D$33),Projects!$B$33*(Assumptions!$B$10+Assumptions!$B$11+Assumptions!$B$12)/Projects!$D$33*0.95,0)-IF(AND(Projects!$G$33="Yes",BC$3=Projects!$C$33+Projects!$D$33-1),Projects!$B$33*(Assumptions!$B$10+Assumptions!$B$11+Assumptions!$B$12)*0.05,0)</f>
        <v>0</v>
      </c>
      <c r="BD42" s="30" t="n">
        <f aca="false">IF(AND(Projects!$G$33="Yes",BD$3&gt;=Projects!$C$33,BD$3&lt;Projects!$C$33+Projects!$D$33),Projects!$B$33*INDEX(Curves!$B$4:$AR$4,1,BD$3-Projects!$C$33+1),0)-IF(AND(Projects!$G$33="Yes",BD$3&gt;=Projects!$C$33,BD$3&lt;Projects!$C$33+Projects!$D$33),Projects!$B$33*(Assumptions!$B$10+Assumptions!$B$11+Assumptions!$B$12)/Projects!$D$33*0.95,0)-IF(AND(Projects!$G$33="Yes",BD$3=Projects!$C$33+Projects!$D$33-1),Projects!$B$33*(Assumptions!$B$10+Assumptions!$B$11+Assumptions!$B$12)*0.05,0)</f>
        <v>0</v>
      </c>
      <c r="BE42" s="30" t="n">
        <f aca="false">IF(AND(Projects!$G$33="Yes",BE$3&gt;=Projects!$C$33,BE$3&lt;Projects!$C$33+Projects!$D$33),Projects!$B$33*INDEX(Curves!$B$4:$AR$4,1,BE$3-Projects!$C$33+1),0)-IF(AND(Projects!$G$33="Yes",BE$3&gt;=Projects!$C$33,BE$3&lt;Projects!$C$33+Projects!$D$33),Projects!$B$33*(Assumptions!$B$10+Assumptions!$B$11+Assumptions!$B$12)/Projects!$D$33*0.95,0)-IF(AND(Projects!$G$33="Yes",BE$3=Projects!$C$33+Projects!$D$33-1),Projects!$B$33*(Assumptions!$B$10+Assumptions!$B$11+Assumptions!$B$12)*0.05,0)</f>
        <v>0</v>
      </c>
      <c r="BF42" s="30" t="n">
        <f aca="false">IF(AND(Projects!$G$33="Yes",BF$3&gt;=Projects!$C$33,BF$3&lt;Projects!$C$33+Projects!$D$33),Projects!$B$33*INDEX(Curves!$B$4:$AR$4,1,BF$3-Projects!$C$33+1),0)-IF(AND(Projects!$G$33="Yes",BF$3&gt;=Projects!$C$33,BF$3&lt;Projects!$C$33+Projects!$D$33),Projects!$B$33*(Assumptions!$B$10+Assumptions!$B$11+Assumptions!$B$12)/Projects!$D$33*0.95,0)-IF(AND(Projects!$G$33="Yes",BF$3=Projects!$C$33+Projects!$D$33-1),Projects!$B$33*(Assumptions!$B$10+Assumptions!$B$11+Assumptions!$B$12)*0.05,0)</f>
        <v>0</v>
      </c>
      <c r="BG42" s="30" t="n">
        <f aca="false">IF(AND(Projects!$G$33="Yes",BG$3&gt;=Projects!$C$33,BG$3&lt;Projects!$C$33+Projects!$D$33),Projects!$B$33*INDEX(Curves!$B$4:$AR$4,1,BG$3-Projects!$C$33+1),0)-IF(AND(Projects!$G$33="Yes",BG$3&gt;=Projects!$C$33,BG$3&lt;Projects!$C$33+Projects!$D$33),Projects!$B$33*(Assumptions!$B$10+Assumptions!$B$11+Assumptions!$B$12)/Projects!$D$33*0.95,0)-IF(AND(Projects!$G$33="Yes",BG$3=Projects!$C$33+Projects!$D$33-1),Projects!$B$33*(Assumptions!$B$10+Assumptions!$B$11+Assumptions!$B$12)*0.05,0)</f>
        <v>0</v>
      </c>
      <c r="BH42" s="30" t="n">
        <f aca="false">IF(AND(Projects!$G$33="Yes",BH$3&gt;=Projects!$C$33,BH$3&lt;Projects!$C$33+Projects!$D$33),Projects!$B$33*INDEX(Curves!$B$4:$AR$4,1,BH$3-Projects!$C$33+1),0)-IF(AND(Projects!$G$33="Yes",BH$3&gt;=Projects!$C$33,BH$3&lt;Projects!$C$33+Projects!$D$33),Projects!$B$33*(Assumptions!$B$10+Assumptions!$B$11+Assumptions!$B$12)/Projects!$D$33*0.95,0)-IF(AND(Projects!$G$33="Yes",BH$3=Projects!$C$33+Projects!$D$33-1),Projects!$B$33*(Assumptions!$B$10+Assumptions!$B$11+Assumptions!$B$12)*0.05,0)</f>
        <v>0</v>
      </c>
      <c r="BI42" s="30" t="n">
        <f aca="false">IF(AND(Projects!$G$33="Yes",BI$3&gt;=Projects!$C$33,BI$3&lt;Projects!$C$33+Projects!$D$33),Projects!$B$33*INDEX(Curves!$B$4:$AR$4,1,BI$3-Projects!$C$33+1),0)-IF(AND(Projects!$G$33="Yes",BI$3&gt;=Projects!$C$33,BI$3&lt;Projects!$C$33+Projects!$D$33),Projects!$B$33*(Assumptions!$B$10+Assumptions!$B$11+Assumptions!$B$12)/Projects!$D$33*0.95,0)-IF(AND(Projects!$G$33="Yes",BI$3=Projects!$C$33+Projects!$D$33-1),Projects!$B$33*(Assumptions!$B$10+Assumptions!$B$11+Assumptions!$B$12)*0.05,0)</f>
        <v>0</v>
      </c>
      <c r="BJ42" s="30" t="n">
        <f aca="false">IF(AND(Projects!$G$33="Yes",BJ$3&gt;=Projects!$C$33,BJ$3&lt;Projects!$C$33+Projects!$D$33),Projects!$B$33*INDEX(Curves!$B$4:$AR$4,1,BJ$3-Projects!$C$33+1),0)-IF(AND(Projects!$G$33="Yes",BJ$3&gt;=Projects!$C$33,BJ$3&lt;Projects!$C$33+Projects!$D$33),Projects!$B$33*(Assumptions!$B$10+Assumptions!$B$11+Assumptions!$B$12)/Projects!$D$33*0.95,0)-IF(AND(Projects!$G$33="Yes",BJ$3=Projects!$C$33+Projects!$D$33-1),Projects!$B$33*(Assumptions!$B$10+Assumptions!$B$11+Assumptions!$B$12)*0.05,0)</f>
        <v>0</v>
      </c>
      <c r="BK42" s="30" t="n">
        <f aca="false">IF(AND(Projects!$G$33="Yes",BK$3&gt;=Projects!$C$33,BK$3&lt;Projects!$C$33+Projects!$D$33),Projects!$B$33*INDEX(Curves!$B$4:$AR$4,1,BK$3-Projects!$C$33+1),0)-IF(AND(Projects!$G$33="Yes",BK$3&gt;=Projects!$C$33,BK$3&lt;Projects!$C$33+Projects!$D$33),Projects!$B$33*(Assumptions!$B$10+Assumptions!$B$11+Assumptions!$B$12)/Projects!$D$33*0.95,0)-IF(AND(Projects!$G$33="Yes",BK$3=Projects!$C$33+Projects!$D$33-1),Projects!$B$33*(Assumptions!$B$10+Assumptions!$B$11+Assumptions!$B$12)*0.05,0)</f>
        <v>0</v>
      </c>
      <c r="BL42" s="30" t="n">
        <f aca="false">IF(AND(Projects!$G$33="Yes",BL$3&gt;=Projects!$C$33,BL$3&lt;Projects!$C$33+Projects!$D$33),Projects!$B$33*INDEX(Curves!$B$4:$AR$4,1,BL$3-Projects!$C$33+1),0)-IF(AND(Projects!$G$33="Yes",BL$3&gt;=Projects!$C$33,BL$3&lt;Projects!$C$33+Projects!$D$33),Projects!$B$33*(Assumptions!$B$10+Assumptions!$B$11+Assumptions!$B$12)/Projects!$D$33*0.95,0)-IF(AND(Projects!$G$33="Yes",BL$3=Projects!$C$33+Projects!$D$33-1),Projects!$B$33*(Assumptions!$B$10+Assumptions!$B$11+Assumptions!$B$12)*0.05,0)</f>
        <v>0</v>
      </c>
      <c r="BM42" s="30" t="n">
        <f aca="false">IF(AND(Projects!$G$33="Yes",BM$3&gt;=Projects!$C$33,BM$3&lt;Projects!$C$33+Projects!$D$33),Projects!$B$33*INDEX(Curves!$B$4:$AR$4,1,BM$3-Projects!$C$33+1),0)-IF(AND(Projects!$G$33="Yes",BM$3&gt;=Projects!$C$33,BM$3&lt;Projects!$C$33+Projects!$D$33),Projects!$B$33*(Assumptions!$B$10+Assumptions!$B$11+Assumptions!$B$12)/Projects!$D$33*0.95,0)-IF(AND(Projects!$G$33="Yes",BM$3=Projects!$C$33+Projects!$D$33-1),Projects!$B$33*(Assumptions!$B$10+Assumptions!$B$11+Assumptions!$B$12)*0.05,0)</f>
        <v>0</v>
      </c>
      <c r="BN42" s="30" t="n">
        <f aca="false">IF(AND(Projects!$G$33="Yes",BN$3&gt;=Projects!$C$33,BN$3&lt;Projects!$C$33+Projects!$D$33),Projects!$B$33*INDEX(Curves!$B$4:$AR$4,1,BN$3-Projects!$C$33+1),0)-IF(AND(Projects!$G$33="Yes",BN$3&gt;=Projects!$C$33,BN$3&lt;Projects!$C$33+Projects!$D$33),Projects!$B$33*(Assumptions!$B$10+Assumptions!$B$11+Assumptions!$B$12)/Projects!$D$33*0.95,0)-IF(AND(Projects!$G$33="Yes",BN$3=Projects!$C$33+Projects!$D$33-1),Projects!$B$33*(Assumptions!$B$10+Assumptions!$B$11+Assumptions!$B$12)*0.05,0)</f>
        <v>0</v>
      </c>
      <c r="BO42" s="30" t="n">
        <f aca="false">IF(AND(Projects!$G$33="Yes",BO$3&gt;=Projects!$C$33,BO$3&lt;Projects!$C$33+Projects!$D$33),Projects!$B$33*INDEX(Curves!$B$4:$AR$4,1,BO$3-Projects!$C$33+1),0)-IF(AND(Projects!$G$33="Yes",BO$3&gt;=Projects!$C$33,BO$3&lt;Projects!$C$33+Projects!$D$33),Projects!$B$33*(Assumptions!$B$10+Assumptions!$B$11+Assumptions!$B$12)/Projects!$D$33*0.95,0)-IF(AND(Projects!$G$33="Yes",BO$3=Projects!$C$33+Projects!$D$33-1),Projects!$B$33*(Assumptions!$B$10+Assumptions!$B$11+Assumptions!$B$12)*0.05,0)</f>
        <v>0</v>
      </c>
      <c r="BP42" s="30" t="n">
        <f aca="false">IF(AND(Projects!$G$33="Yes",BP$3&gt;=Projects!$C$33,BP$3&lt;Projects!$C$33+Projects!$D$33),Projects!$B$33*INDEX(Curves!$B$4:$AR$4,1,BP$3-Projects!$C$33+1),0)-IF(AND(Projects!$G$33="Yes",BP$3&gt;=Projects!$C$33,BP$3&lt;Projects!$C$33+Projects!$D$33),Projects!$B$33*(Assumptions!$B$10+Assumptions!$B$11+Assumptions!$B$12)/Projects!$D$33*0.95,0)-IF(AND(Projects!$G$33="Yes",BP$3=Projects!$C$33+Projects!$D$33-1),Projects!$B$33*(Assumptions!$B$10+Assumptions!$B$11+Assumptions!$B$12)*0.05,0)</f>
        <v>0</v>
      </c>
      <c r="BQ42" s="30" t="n">
        <f aca="false">IF(AND(Projects!$G$33="Yes",BQ$3&gt;=Projects!$C$33,BQ$3&lt;Projects!$C$33+Projects!$D$33),Projects!$B$33*INDEX(Curves!$B$4:$AR$4,1,BQ$3-Projects!$C$33+1),0)-IF(AND(Projects!$G$33="Yes",BQ$3&gt;=Projects!$C$33,BQ$3&lt;Projects!$C$33+Projects!$D$33),Projects!$B$33*(Assumptions!$B$10+Assumptions!$B$11+Assumptions!$B$12)/Projects!$D$33*0.95,0)-IF(AND(Projects!$G$33="Yes",BQ$3=Projects!$C$33+Projects!$D$33-1),Projects!$B$33*(Assumptions!$B$10+Assumptions!$B$11+Assumptions!$B$12)*0.05,0)</f>
        <v>0</v>
      </c>
      <c r="BR42" s="30" t="n">
        <f aca="false">IF(AND(Projects!$G$33="Yes",BR$3&gt;=Projects!$C$33,BR$3&lt;Projects!$C$33+Projects!$D$33),Projects!$B$33*INDEX(Curves!$B$4:$AR$4,1,BR$3-Projects!$C$33+1),0)-IF(AND(Projects!$G$33="Yes",BR$3&gt;=Projects!$C$33,BR$3&lt;Projects!$C$33+Projects!$D$33),Projects!$B$33*(Assumptions!$B$10+Assumptions!$B$11+Assumptions!$B$12)/Projects!$D$33*0.95,0)-IF(AND(Projects!$G$33="Yes",BR$3=Projects!$C$33+Projects!$D$33-1),Projects!$B$33*(Assumptions!$B$10+Assumptions!$B$11+Assumptions!$B$12)*0.05,0)</f>
        <v>0</v>
      </c>
      <c r="BS42" s="30" t="n">
        <f aca="false">IF(AND(Projects!$G$33="Yes",BS$3&gt;=Projects!$C$33,BS$3&lt;Projects!$C$33+Projects!$D$33),Projects!$B$33*INDEX(Curves!$B$4:$AR$4,1,BS$3-Projects!$C$33+1),0)-IF(AND(Projects!$G$33="Yes",BS$3&gt;=Projects!$C$33,BS$3&lt;Projects!$C$33+Projects!$D$33),Projects!$B$33*(Assumptions!$B$10+Assumptions!$B$11+Assumptions!$B$12)/Projects!$D$33*0.95,0)-IF(AND(Projects!$G$33="Yes",BS$3=Projects!$C$33+Projects!$D$33-1),Projects!$B$33*(Assumptions!$B$10+Assumptions!$B$11+Assumptions!$B$12)*0.05,0)</f>
        <v>0</v>
      </c>
      <c r="BT42" s="30" t="n">
        <f aca="false">IF(AND(Projects!$G$33="Yes",BT$3&gt;=Projects!$C$33,BT$3&lt;Projects!$C$33+Projects!$D$33),Projects!$B$33*INDEX(Curves!$B$4:$AR$4,1,BT$3-Projects!$C$33+1),0)-IF(AND(Projects!$G$33="Yes",BT$3&gt;=Projects!$C$33,BT$3&lt;Projects!$C$33+Projects!$D$33),Projects!$B$33*(Assumptions!$B$10+Assumptions!$B$11+Assumptions!$B$12)/Projects!$D$33*0.95,0)-IF(AND(Projects!$G$33="Yes",BT$3=Projects!$C$33+Projects!$D$33-1),Projects!$B$33*(Assumptions!$B$10+Assumptions!$B$11+Assumptions!$B$12)*0.05,0)</f>
        <v>0</v>
      </c>
      <c r="BU42" s="30" t="n">
        <f aca="false">IF(AND(Projects!$G$33="Yes",BU$3&gt;=Projects!$C$33,BU$3&lt;Projects!$C$33+Projects!$D$33),Projects!$B$33*INDEX(Curves!$B$4:$AR$4,1,BU$3-Projects!$C$33+1),0)-IF(AND(Projects!$G$33="Yes",BU$3&gt;=Projects!$C$33,BU$3&lt;Projects!$C$33+Projects!$D$33),Projects!$B$33*(Assumptions!$B$10+Assumptions!$B$11+Assumptions!$B$12)/Projects!$D$33*0.95,0)-IF(AND(Projects!$G$33="Yes",BU$3=Projects!$C$33+Projects!$D$33-1),Projects!$B$33*(Assumptions!$B$10+Assumptions!$B$11+Assumptions!$B$12)*0.05,0)</f>
        <v>0</v>
      </c>
      <c r="BV42" s="30" t="n">
        <f aca="false">IF(AND(Projects!$G$33="Yes",BV$3&gt;=Projects!$C$33,BV$3&lt;Projects!$C$33+Projects!$D$33),Projects!$B$33*INDEX(Curves!$B$4:$AR$4,1,BV$3-Projects!$C$33+1),0)-IF(AND(Projects!$G$33="Yes",BV$3&gt;=Projects!$C$33,BV$3&lt;Projects!$C$33+Projects!$D$33),Projects!$B$33*(Assumptions!$B$10+Assumptions!$B$11+Assumptions!$B$12)/Projects!$D$33*0.95,0)-IF(AND(Projects!$G$33="Yes",BV$3=Projects!$C$33+Projects!$D$33-1),Projects!$B$33*(Assumptions!$B$10+Assumptions!$B$11+Assumptions!$B$12)*0.05,0)</f>
        <v>0</v>
      </c>
      <c r="BW42" s="30" t="n">
        <f aca="false">IF(AND(Projects!$G$33="Yes",BW$3&gt;=Projects!$C$33,BW$3&lt;Projects!$C$33+Projects!$D$33),Projects!$B$33*INDEX(Curves!$B$4:$AR$4,1,BW$3-Projects!$C$33+1),0)-IF(AND(Projects!$G$33="Yes",BW$3&gt;=Projects!$C$33,BW$3&lt;Projects!$C$33+Projects!$D$33),Projects!$B$33*(Assumptions!$B$10+Assumptions!$B$11+Assumptions!$B$12)/Projects!$D$33*0.95,0)-IF(AND(Projects!$G$33="Yes",BW$3=Projects!$C$33+Projects!$D$33-1),Projects!$B$33*(Assumptions!$B$10+Assumptions!$B$11+Assumptions!$B$12)*0.05,0)</f>
        <v>0</v>
      </c>
      <c r="BX42" s="30" t="n">
        <f aca="false">IF(AND(Projects!$G$33="Yes",BX$3&gt;=Projects!$C$33,BX$3&lt;Projects!$C$33+Projects!$D$33),Projects!$B$33*INDEX(Curves!$B$4:$AR$4,1,BX$3-Projects!$C$33+1),0)-IF(AND(Projects!$G$33="Yes",BX$3&gt;=Projects!$C$33,BX$3&lt;Projects!$C$33+Projects!$D$33),Projects!$B$33*(Assumptions!$B$10+Assumptions!$B$11+Assumptions!$B$12)/Projects!$D$33*0.95,0)-IF(AND(Projects!$G$33="Yes",BX$3=Projects!$C$33+Projects!$D$33-1),Projects!$B$33*(Assumptions!$B$10+Assumptions!$B$11+Assumptions!$B$12)*0.05,0)</f>
        <v>0</v>
      </c>
      <c r="BY42" s="30" t="n">
        <f aca="false">IF(AND(Projects!$G$33="Yes",BY$3&gt;=Projects!$C$33,BY$3&lt;Projects!$C$33+Projects!$D$33),Projects!$B$33*INDEX(Curves!$B$4:$AR$4,1,BY$3-Projects!$C$33+1),0)-IF(AND(Projects!$G$33="Yes",BY$3&gt;=Projects!$C$33,BY$3&lt;Projects!$C$33+Projects!$D$33),Projects!$B$33*(Assumptions!$B$10+Assumptions!$B$11+Assumptions!$B$12)/Projects!$D$33*0.95,0)-IF(AND(Projects!$G$33="Yes",BY$3=Projects!$C$33+Projects!$D$33-1),Projects!$B$33*(Assumptions!$B$10+Assumptions!$B$11+Assumptions!$B$12)*0.05,0)</f>
        <v>0</v>
      </c>
      <c r="BZ42" s="30" t="n">
        <f aca="false">IF(AND(Projects!$G$33="Yes",BZ$3&gt;=Projects!$C$33,BZ$3&lt;Projects!$C$33+Projects!$D$33),Projects!$B$33*INDEX(Curves!$B$4:$AR$4,1,BZ$3-Projects!$C$33+1),0)-IF(AND(Projects!$G$33="Yes",BZ$3&gt;=Projects!$C$33,BZ$3&lt;Projects!$C$33+Projects!$D$33),Projects!$B$33*(Assumptions!$B$10+Assumptions!$B$11+Assumptions!$B$12)/Projects!$D$33*0.95,0)-IF(AND(Projects!$G$33="Yes",BZ$3=Projects!$C$33+Projects!$D$33-1),Projects!$B$33*(Assumptions!$B$10+Assumptions!$B$11+Assumptions!$B$12)*0.05,0)</f>
        <v>0</v>
      </c>
      <c r="CA42" s="30" t="n">
        <f aca="false">IF(AND(Projects!$G$33="Yes",CA$3&gt;=Projects!$C$33,CA$3&lt;Projects!$C$33+Projects!$D$33),Projects!$B$33*INDEX(Curves!$B$4:$AR$4,1,CA$3-Projects!$C$33+1),0)-IF(AND(Projects!$G$33="Yes",CA$3&gt;=Projects!$C$33,CA$3&lt;Projects!$C$33+Projects!$D$33),Projects!$B$33*(Assumptions!$B$10+Assumptions!$B$11+Assumptions!$B$12)/Projects!$D$33*0.95,0)-IF(AND(Projects!$G$33="Yes",CA$3=Projects!$C$33+Projects!$D$33-1),Projects!$B$33*(Assumptions!$B$10+Assumptions!$B$11+Assumptions!$B$12)*0.05,0)</f>
        <v>0</v>
      </c>
      <c r="CB42" s="30" t="n">
        <f aca="false">IF(AND(Projects!$G$33="Yes",CB$3&gt;=Projects!$C$33,CB$3&lt;Projects!$C$33+Projects!$D$33),Projects!$B$33*INDEX(Curves!$B$4:$AR$4,1,CB$3-Projects!$C$33+1),0)-IF(AND(Projects!$G$33="Yes",CB$3&gt;=Projects!$C$33,CB$3&lt;Projects!$C$33+Projects!$D$33),Projects!$B$33*(Assumptions!$B$10+Assumptions!$B$11+Assumptions!$B$12)/Projects!$D$33*0.95,0)-IF(AND(Projects!$G$33="Yes",CB$3=Projects!$C$33+Projects!$D$33-1),Projects!$B$33*(Assumptions!$B$10+Assumptions!$B$11+Assumptions!$B$12)*0.05,0)</f>
        <v>0</v>
      </c>
      <c r="CC42" s="30" t="n">
        <f aca="false">IF(AND(Projects!$G$33="Yes",CC$3&gt;=Projects!$C$33,CC$3&lt;Projects!$C$33+Projects!$D$33),Projects!$B$33*INDEX(Curves!$B$4:$AR$4,1,CC$3-Projects!$C$33+1),0)-IF(AND(Projects!$G$33="Yes",CC$3&gt;=Projects!$C$33,CC$3&lt;Projects!$C$33+Projects!$D$33),Projects!$B$33*(Assumptions!$B$10+Assumptions!$B$11+Assumptions!$B$12)/Projects!$D$33*0.95,0)-IF(AND(Projects!$G$33="Yes",CC$3=Projects!$C$33+Projects!$D$33-1),Projects!$B$33*(Assumptions!$B$10+Assumptions!$B$11+Assumptions!$B$12)*0.05,0)</f>
        <v>0</v>
      </c>
      <c r="CD42" s="30" t="n">
        <f aca="false">IF(AND(Projects!$G$33="Yes",CD$3&gt;=Projects!$C$33,CD$3&lt;Projects!$C$33+Projects!$D$33),Projects!$B$33*INDEX(Curves!$B$4:$AR$4,1,CD$3-Projects!$C$33+1),0)-IF(AND(Projects!$G$33="Yes",CD$3&gt;=Projects!$C$33,CD$3&lt;Projects!$C$33+Projects!$D$33),Projects!$B$33*(Assumptions!$B$10+Assumptions!$B$11+Assumptions!$B$12)/Projects!$D$33*0.95,0)-IF(AND(Projects!$G$33="Yes",CD$3=Projects!$C$33+Projects!$D$33-1),Projects!$B$33*(Assumptions!$B$10+Assumptions!$B$11+Assumptions!$B$12)*0.05,0)</f>
        <v>0</v>
      </c>
      <c r="CE42" s="30" t="n">
        <f aca="false">IF(AND(Projects!$G$33="Yes",CE$3&gt;=Projects!$C$33,CE$3&lt;Projects!$C$33+Projects!$D$33),Projects!$B$33*INDEX(Curves!$B$4:$AR$4,1,CE$3-Projects!$C$33+1),0)-IF(AND(Projects!$G$33="Yes",CE$3&gt;=Projects!$C$33,CE$3&lt;Projects!$C$33+Projects!$D$33),Projects!$B$33*(Assumptions!$B$10+Assumptions!$B$11+Assumptions!$B$12)/Projects!$D$33*0.95,0)-IF(AND(Projects!$G$33="Yes",CE$3=Projects!$C$33+Projects!$D$33-1),Projects!$B$33*(Assumptions!$B$10+Assumptions!$B$11+Assumptions!$B$12)*0.05,0)</f>
        <v>0</v>
      </c>
      <c r="CF42" s="30" t="n">
        <f aca="false">IF(AND(Projects!$G$33="Yes",CF$3&gt;=Projects!$C$33,CF$3&lt;Projects!$C$33+Projects!$D$33),Projects!$B$33*INDEX(Curves!$B$4:$AR$4,1,CF$3-Projects!$C$33+1),0)-IF(AND(Projects!$G$33="Yes",CF$3&gt;=Projects!$C$33,CF$3&lt;Projects!$C$33+Projects!$D$33),Projects!$B$33*(Assumptions!$B$10+Assumptions!$B$11+Assumptions!$B$12)/Projects!$D$33*0.95,0)-IF(AND(Projects!$G$33="Yes",CF$3=Projects!$C$33+Projects!$D$33-1),Projects!$B$33*(Assumptions!$B$10+Assumptions!$B$11+Assumptions!$B$12)*0.05,0)</f>
        <v>0</v>
      </c>
      <c r="CG42" s="30" t="n">
        <f aca="false">IF(AND(Projects!$G$33="Yes",CG$3&gt;=Projects!$C$33,CG$3&lt;Projects!$C$33+Projects!$D$33),Projects!$B$33*INDEX(Curves!$B$4:$AR$4,1,CG$3-Projects!$C$33+1),0)-IF(AND(Projects!$G$33="Yes",CG$3&gt;=Projects!$C$33,CG$3&lt;Projects!$C$33+Projects!$D$33),Projects!$B$33*(Assumptions!$B$10+Assumptions!$B$11+Assumptions!$B$12)/Projects!$D$33*0.95,0)-IF(AND(Projects!$G$33="Yes",CG$3=Projects!$C$33+Projects!$D$33-1),Projects!$B$33*(Assumptions!$B$10+Assumptions!$B$11+Assumptions!$B$12)*0.05,0)</f>
        <v>0</v>
      </c>
      <c r="CH42" s="30" t="n">
        <f aca="false">IF(AND(Projects!$G$33="Yes",CH$3&gt;=Projects!$C$33,CH$3&lt;Projects!$C$33+Projects!$D$33),Projects!$B$33*INDEX(Curves!$B$4:$AR$4,1,CH$3-Projects!$C$33+1),0)-IF(AND(Projects!$G$33="Yes",CH$3&gt;=Projects!$C$33,CH$3&lt;Projects!$C$33+Projects!$D$33),Projects!$B$33*(Assumptions!$B$10+Assumptions!$B$11+Assumptions!$B$12)/Projects!$D$33*0.95,0)-IF(AND(Projects!$G$33="Yes",CH$3=Projects!$C$33+Projects!$D$33-1),Projects!$B$33*(Assumptions!$B$10+Assumptions!$B$11+Assumptions!$B$12)*0.05,0)</f>
        <v>0</v>
      </c>
      <c r="CI42" s="30" t="n">
        <f aca="false">IF(AND(Projects!$G$33="Yes",CI$3&gt;=Projects!$C$33,CI$3&lt;Projects!$C$33+Projects!$D$33),Projects!$B$33*INDEX(Curves!$B$4:$AR$4,1,CI$3-Projects!$C$33+1),0)-IF(AND(Projects!$G$33="Yes",CI$3&gt;=Projects!$C$33,CI$3&lt;Projects!$C$33+Projects!$D$33),Projects!$B$33*(Assumptions!$B$10+Assumptions!$B$11+Assumptions!$B$12)/Projects!$D$33*0.95,0)-IF(AND(Projects!$G$33="Yes",CI$3=Projects!$C$33+Projects!$D$33-1),Projects!$B$33*(Assumptions!$B$10+Assumptions!$B$11+Assumptions!$B$12)*0.05,0)</f>
        <v>0</v>
      </c>
      <c r="CJ42" s="30" t="n">
        <f aca="false">IF(AND(Projects!$G$33="Yes",CJ$3&gt;=Projects!$C$33,CJ$3&lt;Projects!$C$33+Projects!$D$33),Projects!$B$33*INDEX(Curves!$B$4:$AR$4,1,CJ$3-Projects!$C$33+1),0)-IF(AND(Projects!$G$33="Yes",CJ$3&gt;=Projects!$C$33,CJ$3&lt;Projects!$C$33+Projects!$D$33),Projects!$B$33*(Assumptions!$B$10+Assumptions!$B$11+Assumptions!$B$12)/Projects!$D$33*0.95,0)-IF(AND(Projects!$G$33="Yes",CJ$3=Projects!$C$33+Projects!$D$33-1),Projects!$B$33*(Assumptions!$B$10+Assumptions!$B$11+Assumptions!$B$12)*0.05,0)</f>
        <v>0</v>
      </c>
      <c r="CK42" s="30" t="n">
        <f aca="false">IF(AND(Projects!$G$33="Yes",CK$3&gt;=Projects!$C$33,CK$3&lt;Projects!$C$33+Projects!$D$33),Projects!$B$33*INDEX(Curves!$B$4:$AR$4,1,CK$3-Projects!$C$33+1),0)-IF(AND(Projects!$G$33="Yes",CK$3&gt;=Projects!$C$33,CK$3&lt;Projects!$C$33+Projects!$D$33),Projects!$B$33*(Assumptions!$B$10+Assumptions!$B$11+Assumptions!$B$12)/Projects!$D$33*0.95,0)-IF(AND(Projects!$G$33="Yes",CK$3=Projects!$C$33+Projects!$D$33-1),Projects!$B$33*(Assumptions!$B$10+Assumptions!$B$11+Assumptions!$B$12)*0.05,0)</f>
        <v>0</v>
      </c>
      <c r="CL42" s="30" t="n">
        <f aca="false">IF(AND(Projects!$G$33="Yes",CL$3&gt;=Projects!$C$33,CL$3&lt;Projects!$C$33+Projects!$D$33),Projects!$B$33*INDEX(Curves!$B$4:$AR$4,1,CL$3-Projects!$C$33+1),0)-IF(AND(Projects!$G$33="Yes",CL$3&gt;=Projects!$C$33,CL$3&lt;Projects!$C$33+Projects!$D$33),Projects!$B$33*(Assumptions!$B$10+Assumptions!$B$11+Assumptions!$B$12)/Projects!$D$33*0.95,0)-IF(AND(Projects!$G$33="Yes",CL$3=Projects!$C$33+Projects!$D$33-1),Projects!$B$33*(Assumptions!$B$10+Assumptions!$B$11+Assumptions!$B$12)*0.05,0)</f>
        <v>0</v>
      </c>
      <c r="CM42" s="30" t="n">
        <f aca="false">IF(AND(Projects!$G$33="Yes",CM$3&gt;=Projects!$C$33,CM$3&lt;Projects!$C$33+Projects!$D$33),Projects!$B$33*INDEX(Curves!$B$4:$AR$4,1,CM$3-Projects!$C$33+1),0)-IF(AND(Projects!$G$33="Yes",CM$3&gt;=Projects!$C$33,CM$3&lt;Projects!$C$33+Projects!$D$33),Projects!$B$33*(Assumptions!$B$10+Assumptions!$B$11+Assumptions!$B$12)/Projects!$D$33*0.95,0)-IF(AND(Projects!$G$33="Yes",CM$3=Projects!$C$33+Projects!$D$33-1),Projects!$B$33*(Assumptions!$B$10+Assumptions!$B$11+Assumptions!$B$12)*0.05,0)</f>
        <v>0</v>
      </c>
      <c r="CN42" s="30" t="n">
        <f aca="false">IF(AND(Projects!$G$33="Yes",CN$3&gt;=Projects!$C$33,CN$3&lt;Projects!$C$33+Projects!$D$33),Projects!$B$33*INDEX(Curves!$B$4:$AR$4,1,CN$3-Projects!$C$33+1),0)-IF(AND(Projects!$G$33="Yes",CN$3&gt;=Projects!$C$33,CN$3&lt;Projects!$C$33+Projects!$D$33),Projects!$B$33*(Assumptions!$B$10+Assumptions!$B$11+Assumptions!$B$12)/Projects!$D$33*0.95,0)-IF(AND(Projects!$G$33="Yes",CN$3=Projects!$C$33+Projects!$D$33-1),Projects!$B$33*(Assumptions!$B$10+Assumptions!$B$11+Assumptions!$B$12)*0.05,0)</f>
        <v>0</v>
      </c>
      <c r="CO42" s="30" t="n">
        <f aca="false">IF(AND(Projects!$G$33="Yes",CO$3&gt;=Projects!$C$33,CO$3&lt;Projects!$C$33+Projects!$D$33),Projects!$B$33*INDEX(Curves!$B$4:$AR$4,1,CO$3-Projects!$C$33+1),0)-IF(AND(Projects!$G$33="Yes",CO$3&gt;=Projects!$C$33,CO$3&lt;Projects!$C$33+Projects!$D$33),Projects!$B$33*(Assumptions!$B$10+Assumptions!$B$11+Assumptions!$B$12)/Projects!$D$33*0.95,0)-IF(AND(Projects!$G$33="Yes",CO$3=Projects!$C$33+Projects!$D$33-1),Projects!$B$33*(Assumptions!$B$10+Assumptions!$B$11+Assumptions!$B$12)*0.05,0)</f>
        <v>0</v>
      </c>
      <c r="CP42" s="30" t="n">
        <f aca="false">IF(AND(Projects!$G$33="Yes",CP$3&gt;=Projects!$C$33,CP$3&lt;Projects!$C$33+Projects!$D$33),Projects!$B$33*INDEX(Curves!$B$4:$AR$4,1,CP$3-Projects!$C$33+1),0)-IF(AND(Projects!$G$33="Yes",CP$3&gt;=Projects!$C$33,CP$3&lt;Projects!$C$33+Projects!$D$33),Projects!$B$33*(Assumptions!$B$10+Assumptions!$B$11+Assumptions!$B$12)/Projects!$D$33*0.95,0)-IF(AND(Projects!$G$33="Yes",CP$3=Projects!$C$33+Projects!$D$33-1),Projects!$B$33*(Assumptions!$B$10+Assumptions!$B$11+Assumptions!$B$12)*0.05,0)</f>
        <v>0</v>
      </c>
      <c r="CQ42" s="30" t="n">
        <f aca="false">IF(AND(Projects!$G$33="Yes",CQ$3&gt;=Projects!$C$33,CQ$3&lt;Projects!$C$33+Projects!$D$33),Projects!$B$33*INDEX(Curves!$B$4:$AR$4,1,CQ$3-Projects!$C$33+1),0)-IF(AND(Projects!$G$33="Yes",CQ$3&gt;=Projects!$C$33,CQ$3&lt;Projects!$C$33+Projects!$D$33),Projects!$B$33*(Assumptions!$B$10+Assumptions!$B$11+Assumptions!$B$12)/Projects!$D$33*0.95,0)-IF(AND(Projects!$G$33="Yes",CQ$3=Projects!$C$33+Projects!$D$33-1),Projects!$B$33*(Assumptions!$B$10+Assumptions!$B$11+Assumptions!$B$12)*0.05,0)</f>
        <v>0</v>
      </c>
      <c r="CR42" s="30" t="n">
        <f aca="false">IF(AND(Projects!$G$33="Yes",CR$3&gt;=Projects!$C$33,CR$3&lt;Projects!$C$33+Projects!$D$33),Projects!$B$33*INDEX(Curves!$B$4:$AR$4,1,CR$3-Projects!$C$33+1),0)-IF(AND(Projects!$G$33="Yes",CR$3&gt;=Projects!$C$33,CR$3&lt;Projects!$C$33+Projects!$D$33),Projects!$B$33*(Assumptions!$B$10+Assumptions!$B$11+Assumptions!$B$12)/Projects!$D$33*0.95,0)-IF(AND(Projects!$G$33="Yes",CR$3=Projects!$C$33+Projects!$D$33-1),Projects!$B$33*(Assumptions!$B$10+Assumptions!$B$11+Assumptions!$B$12)*0.05,0)</f>
        <v>0</v>
      </c>
      <c r="CS42" s="30" t="n">
        <f aca="false">IF(AND(Projects!$G$33="Yes",CS$3&gt;=Projects!$C$33,CS$3&lt;Projects!$C$33+Projects!$D$33),Projects!$B$33*INDEX(Curves!$B$4:$AR$4,1,CS$3-Projects!$C$33+1),0)-IF(AND(Projects!$G$33="Yes",CS$3&gt;=Projects!$C$33,CS$3&lt;Projects!$C$33+Projects!$D$33),Projects!$B$33*(Assumptions!$B$10+Assumptions!$B$11+Assumptions!$B$12)/Projects!$D$33*0.95,0)-IF(AND(Projects!$G$33="Yes",CS$3=Projects!$C$33+Projects!$D$33-1),Projects!$B$33*(Assumptions!$B$10+Assumptions!$B$11+Assumptions!$B$12)*0.05,0)</f>
        <v>0</v>
      </c>
      <c r="CT42" s="30" t="n">
        <f aca="false">IF(AND(Projects!$G$33="Yes",CT$3&gt;=Projects!$C$33,CT$3&lt;Projects!$C$33+Projects!$D$33),Projects!$B$33*INDEX(Curves!$B$4:$AR$4,1,CT$3-Projects!$C$33+1),0)-IF(AND(Projects!$G$33="Yes",CT$3&gt;=Projects!$C$33,CT$3&lt;Projects!$C$33+Projects!$D$33),Projects!$B$33*(Assumptions!$B$10+Assumptions!$B$11+Assumptions!$B$12)/Projects!$D$33*0.95,0)-IF(AND(Projects!$G$33="Yes",CT$3=Projects!$C$33+Projects!$D$33-1),Projects!$B$33*(Assumptions!$B$10+Assumptions!$B$11+Assumptions!$B$12)*0.05,0)</f>
        <v>0</v>
      </c>
      <c r="CU42" s="30" t="n">
        <f aca="false">IF(AND(Projects!$G$33="Yes",CU$3&gt;=Projects!$C$33,CU$3&lt;Projects!$C$33+Projects!$D$33),Projects!$B$33*INDEX(Curves!$B$4:$AR$4,1,CU$3-Projects!$C$33+1),0)-IF(AND(Projects!$G$33="Yes",CU$3&gt;=Projects!$C$33,CU$3&lt;Projects!$C$33+Projects!$D$33),Projects!$B$33*(Assumptions!$B$10+Assumptions!$B$11+Assumptions!$B$12)/Projects!$D$33*0.95,0)-IF(AND(Projects!$G$33="Yes",CU$3=Projects!$C$33+Projects!$D$33-1),Projects!$B$33*(Assumptions!$B$10+Assumptions!$B$11+Assumptions!$B$12)*0.05,0)</f>
        <v>0</v>
      </c>
      <c r="CV42" s="30" t="n">
        <f aca="false">IF(AND(Projects!$G$33="Yes",CV$3&gt;=Projects!$C$33,CV$3&lt;Projects!$C$33+Projects!$D$33),Projects!$B$33*INDEX(Curves!$B$4:$AR$4,1,CV$3-Projects!$C$33+1),0)-IF(AND(Projects!$G$33="Yes",CV$3&gt;=Projects!$C$33,CV$3&lt;Projects!$C$33+Projects!$D$33),Projects!$B$33*(Assumptions!$B$10+Assumptions!$B$11+Assumptions!$B$12)/Projects!$D$33*0.95,0)-IF(AND(Projects!$G$33="Yes",CV$3=Projects!$C$33+Projects!$D$33-1),Projects!$B$33*(Assumptions!$B$10+Assumptions!$B$11+Assumptions!$B$12)*0.05,0)</f>
        <v>0</v>
      </c>
      <c r="CW42" s="30" t="n">
        <f aca="false">IF(AND(Projects!$G$33="Yes",CW$3&gt;=Projects!$C$33,CW$3&lt;Projects!$C$33+Projects!$D$33),Projects!$B$33*INDEX(Curves!$B$4:$AR$4,1,CW$3-Projects!$C$33+1),0)-IF(AND(Projects!$G$33="Yes",CW$3&gt;=Projects!$C$33,CW$3&lt;Projects!$C$33+Projects!$D$33),Projects!$B$33*(Assumptions!$B$10+Assumptions!$B$11+Assumptions!$B$12)/Projects!$D$33*0.95,0)-IF(AND(Projects!$G$33="Yes",CW$3=Projects!$C$33+Projects!$D$33-1),Projects!$B$33*(Assumptions!$B$10+Assumptions!$B$11+Assumptions!$B$12)*0.05,0)</f>
        <v>0</v>
      </c>
      <c r="CX42" s="30" t="n">
        <f aca="false">IF(AND(Projects!$G$33="Yes",CX$3&gt;=Projects!$C$33,CX$3&lt;Projects!$C$33+Projects!$D$33),Projects!$B$33*INDEX(Curves!$B$4:$AR$4,1,CX$3-Projects!$C$33+1),0)-IF(AND(Projects!$G$33="Yes",CX$3&gt;=Projects!$C$33,CX$3&lt;Projects!$C$33+Projects!$D$33),Projects!$B$33*(Assumptions!$B$10+Assumptions!$B$11+Assumptions!$B$12)/Projects!$D$33*0.95,0)-IF(AND(Projects!$G$33="Yes",CX$3=Projects!$C$33+Projects!$D$33-1),Projects!$B$33*(Assumptions!$B$10+Assumptions!$B$11+Assumptions!$B$12)*0.05,0)</f>
        <v>0</v>
      </c>
      <c r="CY42" s="30" t="n">
        <f aca="false">IF(AND(Projects!$G$33="Yes",CY$3&gt;=Projects!$C$33,CY$3&lt;Projects!$C$33+Projects!$D$33),Projects!$B$33*INDEX(Curves!$B$4:$AR$4,1,CY$3-Projects!$C$33+1),0)-IF(AND(Projects!$G$33="Yes",CY$3&gt;=Projects!$C$33,CY$3&lt;Projects!$C$33+Projects!$D$33),Projects!$B$33*(Assumptions!$B$10+Assumptions!$B$11+Assumptions!$B$12)/Projects!$D$33*0.95,0)-IF(AND(Projects!$G$33="Yes",CY$3=Projects!$C$33+Projects!$D$33-1),Projects!$B$33*(Assumptions!$B$10+Assumptions!$B$11+Assumptions!$B$12)*0.05,0)</f>
        <v>0</v>
      </c>
      <c r="CZ42" s="30" t="n">
        <f aca="false">IF(AND(Projects!$G$33="Yes",CZ$3&gt;=Projects!$C$33,CZ$3&lt;Projects!$C$33+Projects!$D$33),Projects!$B$33*INDEX(Curves!$B$4:$AR$4,1,CZ$3-Projects!$C$33+1),0)-IF(AND(Projects!$G$33="Yes",CZ$3&gt;=Projects!$C$33,CZ$3&lt;Projects!$C$33+Projects!$D$33),Projects!$B$33*(Assumptions!$B$10+Assumptions!$B$11+Assumptions!$B$12)/Projects!$D$33*0.95,0)-IF(AND(Projects!$G$33="Yes",CZ$3=Projects!$C$33+Projects!$D$33-1),Projects!$B$33*(Assumptions!$B$10+Assumptions!$B$11+Assumptions!$B$12)*0.05,0)</f>
        <v>0</v>
      </c>
      <c r="DA42" s="30" t="n">
        <f aca="false">IF(AND(Projects!$G$33="Yes",DA$3&gt;=Projects!$C$33,DA$3&lt;Projects!$C$33+Projects!$D$33),Projects!$B$33*INDEX(Curves!$B$4:$AR$4,1,DA$3-Projects!$C$33+1),0)-IF(AND(Projects!$G$33="Yes",DA$3&gt;=Projects!$C$33,DA$3&lt;Projects!$C$33+Projects!$D$33),Projects!$B$33*(Assumptions!$B$10+Assumptions!$B$11+Assumptions!$B$12)/Projects!$D$33*0.95,0)-IF(AND(Projects!$G$33="Yes",DA$3=Projects!$C$33+Projects!$D$33-1),Projects!$B$33*(Assumptions!$B$10+Assumptions!$B$11+Assumptions!$B$12)*0.05,0)</f>
        <v>0</v>
      </c>
      <c r="DB42" s="30" t="n">
        <f aca="false">IF(AND(Projects!$G$33="Yes",DB$3&gt;=Projects!$C$33,DB$3&lt;Projects!$C$33+Projects!$D$33),Projects!$B$33*INDEX(Curves!$B$4:$AR$4,1,DB$3-Projects!$C$33+1),0)-IF(AND(Projects!$G$33="Yes",DB$3&gt;=Projects!$C$33,DB$3&lt;Projects!$C$33+Projects!$D$33),Projects!$B$33*(Assumptions!$B$10+Assumptions!$B$11+Assumptions!$B$12)/Projects!$D$33*0.95,0)-IF(AND(Projects!$G$33="Yes",DB$3=Projects!$C$33+Projects!$D$33-1),Projects!$B$33*(Assumptions!$B$10+Assumptions!$B$11+Assumptions!$B$12)*0.05,0)</f>
        <v>0</v>
      </c>
      <c r="DC42" s="30" t="n">
        <f aca="false">IF(AND(Projects!$G$33="Yes",DC$3&gt;=Projects!$C$33,DC$3&lt;Projects!$C$33+Projects!$D$33),Projects!$B$33*INDEX(Curves!$B$4:$AR$4,1,DC$3-Projects!$C$33+1),0)-IF(AND(Projects!$G$33="Yes",DC$3&gt;=Projects!$C$33,DC$3&lt;Projects!$C$33+Projects!$D$33),Projects!$B$33*(Assumptions!$B$10+Assumptions!$B$11+Assumptions!$B$12)/Projects!$D$33*0.95,0)-IF(AND(Projects!$G$33="Yes",DC$3=Projects!$C$33+Projects!$D$33-1),Projects!$B$33*(Assumptions!$B$10+Assumptions!$B$11+Assumptions!$B$12)*0.05,0)</f>
        <v>0</v>
      </c>
      <c r="DD42" s="30" t="n">
        <f aca="false">IF(AND(Projects!$G$33="Yes",DD$3&gt;=Projects!$C$33,DD$3&lt;Projects!$C$33+Projects!$D$33),Projects!$B$33*INDEX(Curves!$B$4:$AR$4,1,DD$3-Projects!$C$33+1),0)-IF(AND(Projects!$G$33="Yes",DD$3&gt;=Projects!$C$33,DD$3&lt;Projects!$C$33+Projects!$D$33),Projects!$B$33*(Assumptions!$B$10+Assumptions!$B$11+Assumptions!$B$12)/Projects!$D$33*0.95,0)-IF(AND(Projects!$G$33="Yes",DD$3=Projects!$C$33+Projects!$D$33-1),Projects!$B$33*(Assumptions!$B$10+Assumptions!$B$11+Assumptions!$B$12)*0.05,0)</f>
        <v>0</v>
      </c>
      <c r="DE42" s="30" t="n">
        <f aca="false">IF(AND(Projects!$G$33="Yes",DE$3&gt;=Projects!$C$33,DE$3&lt;Projects!$C$33+Projects!$D$33),Projects!$B$33*INDEX(Curves!$B$4:$AR$4,1,DE$3-Projects!$C$33+1),0)-IF(AND(Projects!$G$33="Yes",DE$3&gt;=Projects!$C$33,DE$3&lt;Projects!$C$33+Projects!$D$33),Projects!$B$33*(Assumptions!$B$10+Assumptions!$B$11+Assumptions!$B$12)/Projects!$D$33*0.95,0)-IF(AND(Projects!$G$33="Yes",DE$3=Projects!$C$33+Projects!$D$33-1),Projects!$B$33*(Assumptions!$B$10+Assumptions!$B$11+Assumptions!$B$12)*0.05,0)</f>
        <v>0</v>
      </c>
    </row>
    <row r="43" customFormat="false" ht="15" hidden="true" customHeight="true" outlineLevel="1" collapsed="false">
      <c r="A43" s="32" t="s">
        <v>37</v>
      </c>
      <c r="B43" s="30" t="n">
        <v>0</v>
      </c>
      <c r="C43" s="30" t="n">
        <v>0</v>
      </c>
      <c r="D43" s="30" t="n">
        <v>0</v>
      </c>
      <c r="E43" s="30" t="n">
        <v>0</v>
      </c>
      <c r="F43" s="30" t="n">
        <f aca="false">IF(AND(Projects!$G$34="Yes",F$3&gt;=Projects!$C$34,F$3&lt;Projects!$C$34+Projects!$D$34),Projects!$B$34*INDEX(Curves!$B$4:$AR$4,1,F$3-Projects!$C$34+1),0)-IF(AND(Projects!$G$34="Yes",F$3&gt;=Projects!$C$34,F$3&lt;Projects!$C$34+Projects!$D$34),Projects!$B$34*(Assumptions!$B$10+Assumptions!$B$11+Assumptions!$B$12)/Projects!$D$34*0.95,0)-IF(AND(Projects!$G$34="Yes",F$3=Projects!$C$34+Projects!$D$34-1),Projects!$B$34*(Assumptions!$B$10+Assumptions!$B$11+Assumptions!$B$12)*0.05,0)</f>
        <v>0</v>
      </c>
      <c r="G43" s="30" t="n">
        <f aca="false">IF(AND(Projects!$G$34="Yes",G$3&gt;=Projects!$C$34,G$3&lt;Projects!$C$34+Projects!$D$34),Projects!$B$34*INDEX(Curves!$B$4:$AR$4,1,G$3-Projects!$C$34+1),0)-IF(AND(Projects!$G$34="Yes",G$3&gt;=Projects!$C$34,G$3&lt;Projects!$C$34+Projects!$D$34),Projects!$B$34*(Assumptions!$B$10+Assumptions!$B$11+Assumptions!$B$12)/Projects!$D$34*0.95,0)-IF(AND(Projects!$G$34="Yes",G$3=Projects!$C$34+Projects!$D$34-1),Projects!$B$34*(Assumptions!$B$10+Assumptions!$B$11+Assumptions!$B$12)*0.05,0)</f>
        <v>0</v>
      </c>
      <c r="H43" s="30" t="n">
        <f aca="false">IF(AND(Projects!$G$34="Yes",H$3&gt;=Projects!$C$34,H$3&lt;Projects!$C$34+Projects!$D$34),Projects!$B$34*INDEX(Curves!$B$4:$AR$4,1,H$3-Projects!$C$34+1),0)-IF(AND(Projects!$G$34="Yes",H$3&gt;=Projects!$C$34,H$3&lt;Projects!$C$34+Projects!$D$34),Projects!$B$34*(Assumptions!$B$10+Assumptions!$B$11+Assumptions!$B$12)/Projects!$D$34*0.95,0)-IF(AND(Projects!$G$34="Yes",H$3=Projects!$C$34+Projects!$D$34-1),Projects!$B$34*(Assumptions!$B$10+Assumptions!$B$11+Assumptions!$B$12)*0.05,0)</f>
        <v>0</v>
      </c>
      <c r="I43" s="30" t="n">
        <f aca="false">IF(AND(Projects!$G$34="Yes",I$3&gt;=Projects!$C$34,I$3&lt;Projects!$C$34+Projects!$D$34),Projects!$B$34*INDEX(Curves!$B$4:$AR$4,1,I$3-Projects!$C$34+1),0)-IF(AND(Projects!$G$34="Yes",I$3&gt;=Projects!$C$34,I$3&lt;Projects!$C$34+Projects!$D$34),Projects!$B$34*(Assumptions!$B$10+Assumptions!$B$11+Assumptions!$B$12)/Projects!$D$34*0.95,0)-IF(AND(Projects!$G$34="Yes",I$3=Projects!$C$34+Projects!$D$34-1),Projects!$B$34*(Assumptions!$B$10+Assumptions!$B$11+Assumptions!$B$12)*0.05,0)</f>
        <v>0</v>
      </c>
      <c r="J43" s="30" t="n">
        <f aca="false">IF(AND(Projects!$G$34="Yes",J$3&gt;=Projects!$C$34,J$3&lt;Projects!$C$34+Projects!$D$34),Projects!$B$34*INDEX(Curves!$B$4:$AR$4,1,J$3-Projects!$C$34+1),0)-IF(AND(Projects!$G$34="Yes",J$3&gt;=Projects!$C$34,J$3&lt;Projects!$C$34+Projects!$D$34),Projects!$B$34*(Assumptions!$B$10+Assumptions!$B$11+Assumptions!$B$12)/Projects!$D$34*0.95,0)-IF(AND(Projects!$G$34="Yes",J$3=Projects!$C$34+Projects!$D$34-1),Projects!$B$34*(Assumptions!$B$10+Assumptions!$B$11+Assumptions!$B$12)*0.05,0)</f>
        <v>0</v>
      </c>
      <c r="K43" s="30" t="n">
        <f aca="false">IF(AND(Projects!$G$34="Yes",K$3&gt;=Projects!$C$34,K$3&lt;Projects!$C$34+Projects!$D$34),Projects!$B$34*INDEX(Curves!$B$4:$AR$4,1,K$3-Projects!$C$34+1),0)-IF(AND(Projects!$G$34="Yes",K$3&gt;=Projects!$C$34,K$3&lt;Projects!$C$34+Projects!$D$34),Projects!$B$34*(Assumptions!$B$10+Assumptions!$B$11+Assumptions!$B$12)/Projects!$D$34*0.95,0)-IF(AND(Projects!$G$34="Yes",K$3=Projects!$C$34+Projects!$D$34-1),Projects!$B$34*(Assumptions!$B$10+Assumptions!$B$11+Assumptions!$B$12)*0.05,0)</f>
        <v>0</v>
      </c>
      <c r="L43" s="30" t="n">
        <f aca="false">IF(AND(Projects!$G$34="Yes",L$3&gt;=Projects!$C$34,L$3&lt;Projects!$C$34+Projects!$D$34),Projects!$B$34*INDEX(Curves!$B$4:$AR$4,1,L$3-Projects!$C$34+1),0)-IF(AND(Projects!$G$34="Yes",L$3&gt;=Projects!$C$34,L$3&lt;Projects!$C$34+Projects!$D$34),Projects!$B$34*(Assumptions!$B$10+Assumptions!$B$11+Assumptions!$B$12)/Projects!$D$34*0.95,0)-IF(AND(Projects!$G$34="Yes",L$3=Projects!$C$34+Projects!$D$34-1),Projects!$B$34*(Assumptions!$B$10+Assumptions!$B$11+Assumptions!$B$12)*0.05,0)</f>
        <v>0</v>
      </c>
      <c r="M43" s="30" t="n">
        <f aca="false">IF(AND(Projects!$G$34="Yes",M$3&gt;=Projects!$C$34,M$3&lt;Projects!$C$34+Projects!$D$34),Projects!$B$34*INDEX(Curves!$B$4:$AR$4,1,M$3-Projects!$C$34+1),0)-IF(AND(Projects!$G$34="Yes",M$3&gt;=Projects!$C$34,M$3&lt;Projects!$C$34+Projects!$D$34),Projects!$B$34*(Assumptions!$B$10+Assumptions!$B$11+Assumptions!$B$12)/Projects!$D$34*0.95,0)-IF(AND(Projects!$G$34="Yes",M$3=Projects!$C$34+Projects!$D$34-1),Projects!$B$34*(Assumptions!$B$10+Assumptions!$B$11+Assumptions!$B$12)*0.05,0)</f>
        <v>0</v>
      </c>
      <c r="N43" s="30" t="n">
        <f aca="false">IF(AND(Projects!$G$34="Yes",N$3&gt;=Projects!$C$34,N$3&lt;Projects!$C$34+Projects!$D$34),Projects!$B$34*INDEX(Curves!$B$4:$AR$4,1,N$3-Projects!$C$34+1),0)-IF(AND(Projects!$G$34="Yes",N$3&gt;=Projects!$C$34,N$3&lt;Projects!$C$34+Projects!$D$34),Projects!$B$34*(Assumptions!$B$10+Assumptions!$B$11+Assumptions!$B$12)/Projects!$D$34*0.95,0)-IF(AND(Projects!$G$34="Yes",N$3=Projects!$C$34+Projects!$D$34-1),Projects!$B$34*(Assumptions!$B$10+Assumptions!$B$11+Assumptions!$B$12)*0.05,0)</f>
        <v>0</v>
      </c>
      <c r="O43" s="30" t="n">
        <f aca="false">IF(AND(Projects!$G$34="Yes",O$3&gt;=Projects!$C$34,O$3&lt;Projects!$C$34+Projects!$D$34),Projects!$B$34*INDEX(Curves!$B$4:$AR$4,1,O$3-Projects!$C$34+1),0)-IF(AND(Projects!$G$34="Yes",O$3&gt;=Projects!$C$34,O$3&lt;Projects!$C$34+Projects!$D$34),Projects!$B$34*(Assumptions!$B$10+Assumptions!$B$11+Assumptions!$B$12)/Projects!$D$34*0.95,0)-IF(AND(Projects!$G$34="Yes",O$3=Projects!$C$34+Projects!$D$34-1),Projects!$B$34*(Assumptions!$B$10+Assumptions!$B$11+Assumptions!$B$12)*0.05,0)</f>
        <v>0</v>
      </c>
      <c r="P43" s="30" t="n">
        <f aca="false">IF(AND(Projects!$G$34="Yes",P$3&gt;=Projects!$C$34,P$3&lt;Projects!$C$34+Projects!$D$34),Projects!$B$34*INDEX(Curves!$B$4:$AR$4,1,P$3-Projects!$C$34+1),0)-IF(AND(Projects!$G$34="Yes",P$3&gt;=Projects!$C$34,P$3&lt;Projects!$C$34+Projects!$D$34),Projects!$B$34*(Assumptions!$B$10+Assumptions!$B$11+Assumptions!$B$12)/Projects!$D$34*0.95,0)-IF(AND(Projects!$G$34="Yes",P$3=Projects!$C$34+Projects!$D$34-1),Projects!$B$34*(Assumptions!$B$10+Assumptions!$B$11+Assumptions!$B$12)*0.05,0)</f>
        <v>0</v>
      </c>
      <c r="Q43" s="30" t="n">
        <f aca="false">IF(AND(Projects!$G$34="Yes",Q$3&gt;=Projects!$C$34,Q$3&lt;Projects!$C$34+Projects!$D$34),Projects!$B$34*INDEX(Curves!$B$4:$AR$4,1,Q$3-Projects!$C$34+1),0)-IF(AND(Projects!$G$34="Yes",Q$3&gt;=Projects!$C$34,Q$3&lt;Projects!$C$34+Projects!$D$34),Projects!$B$34*(Assumptions!$B$10+Assumptions!$B$11+Assumptions!$B$12)/Projects!$D$34*0.95,0)-IF(AND(Projects!$G$34="Yes",Q$3=Projects!$C$34+Projects!$D$34-1),Projects!$B$34*(Assumptions!$B$10+Assumptions!$B$11+Assumptions!$B$12)*0.05,0)</f>
        <v>0</v>
      </c>
      <c r="R43" s="30" t="n">
        <f aca="false">IF(AND(Projects!$G$34="Yes",R$3&gt;=Projects!$C$34,R$3&lt;Projects!$C$34+Projects!$D$34),Projects!$B$34*INDEX(Curves!$B$4:$AR$4,1,R$3-Projects!$C$34+1),0)-IF(AND(Projects!$G$34="Yes",R$3&gt;=Projects!$C$34,R$3&lt;Projects!$C$34+Projects!$D$34),Projects!$B$34*(Assumptions!$B$10+Assumptions!$B$11+Assumptions!$B$12)/Projects!$D$34*0.95,0)-IF(AND(Projects!$G$34="Yes",R$3=Projects!$C$34+Projects!$D$34-1),Projects!$B$34*(Assumptions!$B$10+Assumptions!$B$11+Assumptions!$B$12)*0.05,0)</f>
        <v>0</v>
      </c>
      <c r="S43" s="30" t="n">
        <f aca="false">IF(AND(Projects!$G$34="Yes",S$3&gt;=Projects!$C$34,S$3&lt;Projects!$C$34+Projects!$D$34),Projects!$B$34*INDEX(Curves!$B$4:$AR$4,1,S$3-Projects!$C$34+1),0)-IF(AND(Projects!$G$34="Yes",S$3&gt;=Projects!$C$34,S$3&lt;Projects!$C$34+Projects!$D$34),Projects!$B$34*(Assumptions!$B$10+Assumptions!$B$11+Assumptions!$B$12)/Projects!$D$34*0.95,0)-IF(AND(Projects!$G$34="Yes",S$3=Projects!$C$34+Projects!$D$34-1),Projects!$B$34*(Assumptions!$B$10+Assumptions!$B$11+Assumptions!$B$12)*0.05,0)</f>
        <v>0</v>
      </c>
      <c r="T43" s="30" t="n">
        <f aca="false">IF(AND(Projects!$G$34="Yes",T$3&gt;=Projects!$C$34,T$3&lt;Projects!$C$34+Projects!$D$34),Projects!$B$34*INDEX(Curves!$B$4:$AR$4,1,T$3-Projects!$C$34+1),0)-IF(AND(Projects!$G$34="Yes",T$3&gt;=Projects!$C$34,T$3&lt;Projects!$C$34+Projects!$D$34),Projects!$B$34*(Assumptions!$B$10+Assumptions!$B$11+Assumptions!$B$12)/Projects!$D$34*0.95,0)-IF(AND(Projects!$G$34="Yes",T$3=Projects!$C$34+Projects!$D$34-1),Projects!$B$34*(Assumptions!$B$10+Assumptions!$B$11+Assumptions!$B$12)*0.05,0)</f>
        <v>0</v>
      </c>
      <c r="U43" s="30" t="n">
        <f aca="false">IF(AND(Projects!$G$34="Yes",U$3&gt;=Projects!$C$34,U$3&lt;Projects!$C$34+Projects!$D$34),Projects!$B$34*INDEX(Curves!$B$4:$AR$4,1,U$3-Projects!$C$34+1),0)-IF(AND(Projects!$G$34="Yes",U$3&gt;=Projects!$C$34,U$3&lt;Projects!$C$34+Projects!$D$34),Projects!$B$34*(Assumptions!$B$10+Assumptions!$B$11+Assumptions!$B$12)/Projects!$D$34*0.95,0)-IF(AND(Projects!$G$34="Yes",U$3=Projects!$C$34+Projects!$D$34-1),Projects!$B$34*(Assumptions!$B$10+Assumptions!$B$11+Assumptions!$B$12)*0.05,0)</f>
        <v>0</v>
      </c>
      <c r="V43" s="30" t="n">
        <f aca="false">IF(AND(Projects!$G$34="Yes",V$3&gt;=Projects!$C$34,V$3&lt;Projects!$C$34+Projects!$D$34),Projects!$B$34*INDEX(Curves!$B$4:$AR$4,1,V$3-Projects!$C$34+1),0)-IF(AND(Projects!$G$34="Yes",V$3&gt;=Projects!$C$34,V$3&lt;Projects!$C$34+Projects!$D$34),Projects!$B$34*(Assumptions!$B$10+Assumptions!$B$11+Assumptions!$B$12)/Projects!$D$34*0.95,0)-IF(AND(Projects!$G$34="Yes",V$3=Projects!$C$34+Projects!$D$34-1),Projects!$B$34*(Assumptions!$B$10+Assumptions!$B$11+Assumptions!$B$12)*0.05,0)</f>
        <v>0</v>
      </c>
      <c r="W43" s="30" t="n">
        <f aca="false">IF(AND(Projects!$G$34="Yes",W$3&gt;=Projects!$C$34,W$3&lt;Projects!$C$34+Projects!$D$34),Projects!$B$34*INDEX(Curves!$B$4:$AR$4,1,W$3-Projects!$C$34+1),0)-IF(AND(Projects!$G$34="Yes",W$3&gt;=Projects!$C$34,W$3&lt;Projects!$C$34+Projects!$D$34),Projects!$B$34*(Assumptions!$B$10+Assumptions!$B$11+Assumptions!$B$12)/Projects!$D$34*0.95,0)-IF(AND(Projects!$G$34="Yes",W$3=Projects!$C$34+Projects!$D$34-1),Projects!$B$34*(Assumptions!$B$10+Assumptions!$B$11+Assumptions!$B$12)*0.05,0)</f>
        <v>0</v>
      </c>
      <c r="X43" s="30" t="n">
        <f aca="false">IF(AND(Projects!$G$34="Yes",X$3&gt;=Projects!$C$34,X$3&lt;Projects!$C$34+Projects!$D$34),Projects!$B$34*INDEX(Curves!$B$4:$AR$4,1,X$3-Projects!$C$34+1),0)-IF(AND(Projects!$G$34="Yes",X$3&gt;=Projects!$C$34,X$3&lt;Projects!$C$34+Projects!$D$34),Projects!$B$34*(Assumptions!$B$10+Assumptions!$B$11+Assumptions!$B$12)/Projects!$D$34*0.95,0)-IF(AND(Projects!$G$34="Yes",X$3=Projects!$C$34+Projects!$D$34-1),Projects!$B$34*(Assumptions!$B$10+Assumptions!$B$11+Assumptions!$B$12)*0.05,0)</f>
        <v>0</v>
      </c>
      <c r="Y43" s="30" t="n">
        <f aca="false">IF(AND(Projects!$G$34="Yes",Y$3&gt;=Projects!$C$34,Y$3&lt;Projects!$C$34+Projects!$D$34),Projects!$B$34*INDEX(Curves!$B$4:$AR$4,1,Y$3-Projects!$C$34+1),0)-IF(AND(Projects!$G$34="Yes",Y$3&gt;=Projects!$C$34,Y$3&lt;Projects!$C$34+Projects!$D$34),Projects!$B$34*(Assumptions!$B$10+Assumptions!$B$11+Assumptions!$B$12)/Projects!$D$34*0.95,0)-IF(AND(Projects!$G$34="Yes",Y$3=Projects!$C$34+Projects!$D$34-1),Projects!$B$34*(Assumptions!$B$10+Assumptions!$B$11+Assumptions!$B$12)*0.05,0)</f>
        <v>0</v>
      </c>
      <c r="Z43" s="30" t="n">
        <f aca="false">IF(AND(Projects!$G$34="Yes",Z$3&gt;=Projects!$C$34,Z$3&lt;Projects!$C$34+Projects!$D$34),Projects!$B$34*INDEX(Curves!$B$4:$AR$4,1,Z$3-Projects!$C$34+1),0)-IF(AND(Projects!$G$34="Yes",Z$3&gt;=Projects!$C$34,Z$3&lt;Projects!$C$34+Projects!$D$34),Projects!$B$34*(Assumptions!$B$10+Assumptions!$B$11+Assumptions!$B$12)/Projects!$D$34*0.95,0)-IF(AND(Projects!$G$34="Yes",Z$3=Projects!$C$34+Projects!$D$34-1),Projects!$B$34*(Assumptions!$B$10+Assumptions!$B$11+Assumptions!$B$12)*0.05,0)</f>
        <v>0</v>
      </c>
      <c r="AA43" s="30" t="n">
        <f aca="false">IF(AND(Projects!$G$34="Yes",AA$3&gt;=Projects!$C$34,AA$3&lt;Projects!$C$34+Projects!$D$34),Projects!$B$34*INDEX(Curves!$B$4:$AR$4,1,AA$3-Projects!$C$34+1),0)-IF(AND(Projects!$G$34="Yes",AA$3&gt;=Projects!$C$34,AA$3&lt;Projects!$C$34+Projects!$D$34),Projects!$B$34*(Assumptions!$B$10+Assumptions!$B$11+Assumptions!$B$12)/Projects!$D$34*0.95,0)-IF(AND(Projects!$G$34="Yes",AA$3=Projects!$C$34+Projects!$D$34-1),Projects!$B$34*(Assumptions!$B$10+Assumptions!$B$11+Assumptions!$B$12)*0.05,0)</f>
        <v>0</v>
      </c>
      <c r="AB43" s="30" t="n">
        <f aca="false">IF(AND(Projects!$G$34="Yes",AB$3&gt;=Projects!$C$34,AB$3&lt;Projects!$C$34+Projects!$D$34),Projects!$B$34*INDEX(Curves!$B$4:$AR$4,1,AB$3-Projects!$C$34+1),0)-IF(AND(Projects!$G$34="Yes",AB$3&gt;=Projects!$C$34,AB$3&lt;Projects!$C$34+Projects!$D$34),Projects!$B$34*(Assumptions!$B$10+Assumptions!$B$11+Assumptions!$B$12)/Projects!$D$34*0.95,0)-IF(AND(Projects!$G$34="Yes",AB$3=Projects!$C$34+Projects!$D$34-1),Projects!$B$34*(Assumptions!$B$10+Assumptions!$B$11+Assumptions!$B$12)*0.05,0)</f>
        <v>0</v>
      </c>
      <c r="AC43" s="30" t="n">
        <f aca="false">IF(AND(Projects!$G$34="Yes",AC$3&gt;=Projects!$C$34,AC$3&lt;Projects!$C$34+Projects!$D$34),Projects!$B$34*INDEX(Curves!$B$4:$AR$4,1,AC$3-Projects!$C$34+1),0)-IF(AND(Projects!$G$34="Yes",AC$3&gt;=Projects!$C$34,AC$3&lt;Projects!$C$34+Projects!$D$34),Projects!$B$34*(Assumptions!$B$10+Assumptions!$B$11+Assumptions!$B$12)/Projects!$D$34*0.95,0)-IF(AND(Projects!$G$34="Yes",AC$3=Projects!$C$34+Projects!$D$34-1),Projects!$B$34*(Assumptions!$B$10+Assumptions!$B$11+Assumptions!$B$12)*0.05,0)</f>
        <v>0</v>
      </c>
      <c r="AD43" s="30" t="n">
        <f aca="false">IF(AND(Projects!$G$34="Yes",AD$3&gt;=Projects!$C$34,AD$3&lt;Projects!$C$34+Projects!$D$34),Projects!$B$34*INDEX(Curves!$B$4:$AR$4,1,AD$3-Projects!$C$34+1),0)-IF(AND(Projects!$G$34="Yes",AD$3&gt;=Projects!$C$34,AD$3&lt;Projects!$C$34+Projects!$D$34),Projects!$B$34*(Assumptions!$B$10+Assumptions!$B$11+Assumptions!$B$12)/Projects!$D$34*0.95,0)-IF(AND(Projects!$G$34="Yes",AD$3=Projects!$C$34+Projects!$D$34-1),Projects!$B$34*(Assumptions!$B$10+Assumptions!$B$11+Assumptions!$B$12)*0.05,0)</f>
        <v>0</v>
      </c>
      <c r="AE43" s="30" t="n">
        <f aca="false">IF(AND(Projects!$G$34="Yes",AE$3&gt;=Projects!$C$34,AE$3&lt;Projects!$C$34+Projects!$D$34),Projects!$B$34*INDEX(Curves!$B$4:$AR$4,1,AE$3-Projects!$C$34+1),0)-IF(AND(Projects!$G$34="Yes",AE$3&gt;=Projects!$C$34,AE$3&lt;Projects!$C$34+Projects!$D$34),Projects!$B$34*(Assumptions!$B$10+Assumptions!$B$11+Assumptions!$B$12)/Projects!$D$34*0.95,0)-IF(AND(Projects!$G$34="Yes",AE$3=Projects!$C$34+Projects!$D$34-1),Projects!$B$34*(Assumptions!$B$10+Assumptions!$B$11+Assumptions!$B$12)*0.05,0)</f>
        <v>0</v>
      </c>
      <c r="AF43" s="30" t="n">
        <f aca="false">IF(AND(Projects!$G$34="Yes",AF$3&gt;=Projects!$C$34,AF$3&lt;Projects!$C$34+Projects!$D$34),Projects!$B$34*INDEX(Curves!$B$4:$AR$4,1,AF$3-Projects!$C$34+1),0)-IF(AND(Projects!$G$34="Yes",AF$3&gt;=Projects!$C$34,AF$3&lt;Projects!$C$34+Projects!$D$34),Projects!$B$34*(Assumptions!$B$10+Assumptions!$B$11+Assumptions!$B$12)/Projects!$D$34*0.95,0)-IF(AND(Projects!$G$34="Yes",AF$3=Projects!$C$34+Projects!$D$34-1),Projects!$B$34*(Assumptions!$B$10+Assumptions!$B$11+Assumptions!$B$12)*0.05,0)</f>
        <v>0</v>
      </c>
      <c r="AG43" s="30" t="n">
        <f aca="false">IF(AND(Projects!$G$34="Yes",AG$3&gt;=Projects!$C$34,AG$3&lt;Projects!$C$34+Projects!$D$34),Projects!$B$34*INDEX(Curves!$B$4:$AR$4,1,AG$3-Projects!$C$34+1),0)-IF(AND(Projects!$G$34="Yes",AG$3&gt;=Projects!$C$34,AG$3&lt;Projects!$C$34+Projects!$D$34),Projects!$B$34*(Assumptions!$B$10+Assumptions!$B$11+Assumptions!$B$12)/Projects!$D$34*0.95,0)-IF(AND(Projects!$G$34="Yes",AG$3=Projects!$C$34+Projects!$D$34-1),Projects!$B$34*(Assumptions!$B$10+Assumptions!$B$11+Assumptions!$B$12)*0.05,0)</f>
        <v>0</v>
      </c>
      <c r="AH43" s="30" t="n">
        <f aca="false">IF(AND(Projects!$G$34="Yes",AH$3&gt;=Projects!$C$34,AH$3&lt;Projects!$C$34+Projects!$D$34),Projects!$B$34*INDEX(Curves!$B$4:$AR$4,1,AH$3-Projects!$C$34+1),0)-IF(AND(Projects!$G$34="Yes",AH$3&gt;=Projects!$C$34,AH$3&lt;Projects!$C$34+Projects!$D$34),Projects!$B$34*(Assumptions!$B$10+Assumptions!$B$11+Assumptions!$B$12)/Projects!$D$34*0.95,0)-IF(AND(Projects!$G$34="Yes",AH$3=Projects!$C$34+Projects!$D$34-1),Projects!$B$34*(Assumptions!$B$10+Assumptions!$B$11+Assumptions!$B$12)*0.05,0)</f>
        <v>0</v>
      </c>
      <c r="AI43" s="30" t="n">
        <f aca="false">IF(AND(Projects!$G$34="Yes",AI$3&gt;=Projects!$C$34,AI$3&lt;Projects!$C$34+Projects!$D$34),Projects!$B$34*INDEX(Curves!$B$4:$AR$4,1,AI$3-Projects!$C$34+1),0)-IF(AND(Projects!$G$34="Yes",AI$3&gt;=Projects!$C$34,AI$3&lt;Projects!$C$34+Projects!$D$34),Projects!$B$34*(Assumptions!$B$10+Assumptions!$B$11+Assumptions!$B$12)/Projects!$D$34*0.95,0)-IF(AND(Projects!$G$34="Yes",AI$3=Projects!$C$34+Projects!$D$34-1),Projects!$B$34*(Assumptions!$B$10+Assumptions!$B$11+Assumptions!$B$12)*0.05,0)</f>
        <v>0</v>
      </c>
      <c r="AJ43" s="30" t="n">
        <f aca="false">IF(AND(Projects!$G$34="Yes",AJ$3&gt;=Projects!$C$34,AJ$3&lt;Projects!$C$34+Projects!$D$34),Projects!$B$34*INDEX(Curves!$B$4:$AR$4,1,AJ$3-Projects!$C$34+1),0)-IF(AND(Projects!$G$34="Yes",AJ$3&gt;=Projects!$C$34,AJ$3&lt;Projects!$C$34+Projects!$D$34),Projects!$B$34*(Assumptions!$B$10+Assumptions!$B$11+Assumptions!$B$12)/Projects!$D$34*0.95,0)-IF(AND(Projects!$G$34="Yes",AJ$3=Projects!$C$34+Projects!$D$34-1),Projects!$B$34*(Assumptions!$B$10+Assumptions!$B$11+Assumptions!$B$12)*0.05,0)</f>
        <v>0</v>
      </c>
      <c r="AK43" s="30" t="n">
        <f aca="false">IF(AND(Projects!$G$34="Yes",AK$3&gt;=Projects!$C$34,AK$3&lt;Projects!$C$34+Projects!$D$34),Projects!$B$34*INDEX(Curves!$B$4:$AR$4,1,AK$3-Projects!$C$34+1),0)-IF(AND(Projects!$G$34="Yes",AK$3&gt;=Projects!$C$34,AK$3&lt;Projects!$C$34+Projects!$D$34),Projects!$B$34*(Assumptions!$B$10+Assumptions!$B$11+Assumptions!$B$12)/Projects!$D$34*0.95,0)-IF(AND(Projects!$G$34="Yes",AK$3=Projects!$C$34+Projects!$D$34-1),Projects!$B$34*(Assumptions!$B$10+Assumptions!$B$11+Assumptions!$B$12)*0.05,0)</f>
        <v>0</v>
      </c>
      <c r="AL43" s="30" t="n">
        <f aca="false">IF(AND(Projects!$G$34="Yes",AL$3&gt;=Projects!$C$34,AL$3&lt;Projects!$C$34+Projects!$D$34),Projects!$B$34*INDEX(Curves!$B$4:$AR$4,1,AL$3-Projects!$C$34+1),0)-IF(AND(Projects!$G$34="Yes",AL$3&gt;=Projects!$C$34,AL$3&lt;Projects!$C$34+Projects!$D$34),Projects!$B$34*(Assumptions!$B$10+Assumptions!$B$11+Assumptions!$B$12)/Projects!$D$34*0.95,0)-IF(AND(Projects!$G$34="Yes",AL$3=Projects!$C$34+Projects!$D$34-1),Projects!$B$34*(Assumptions!$B$10+Assumptions!$B$11+Assumptions!$B$12)*0.05,0)</f>
        <v>0</v>
      </c>
      <c r="AM43" s="30" t="n">
        <f aca="false">IF(AND(Projects!$G$34="Yes",AM$3&gt;=Projects!$C$34,AM$3&lt;Projects!$C$34+Projects!$D$34),Projects!$B$34*INDEX(Curves!$B$4:$AR$4,1,AM$3-Projects!$C$34+1),0)-IF(AND(Projects!$G$34="Yes",AM$3&gt;=Projects!$C$34,AM$3&lt;Projects!$C$34+Projects!$D$34),Projects!$B$34*(Assumptions!$B$10+Assumptions!$B$11+Assumptions!$B$12)/Projects!$D$34*0.95,0)-IF(AND(Projects!$G$34="Yes",AM$3=Projects!$C$34+Projects!$D$34-1),Projects!$B$34*(Assumptions!$B$10+Assumptions!$B$11+Assumptions!$B$12)*0.05,0)</f>
        <v>0</v>
      </c>
      <c r="AN43" s="30" t="n">
        <f aca="false">IF(AND(Projects!$G$34="Yes",AN$3&gt;=Projects!$C$34,AN$3&lt;Projects!$C$34+Projects!$D$34),Projects!$B$34*INDEX(Curves!$B$4:$AR$4,1,AN$3-Projects!$C$34+1),0)-IF(AND(Projects!$G$34="Yes",AN$3&gt;=Projects!$C$34,AN$3&lt;Projects!$C$34+Projects!$D$34),Projects!$B$34*(Assumptions!$B$10+Assumptions!$B$11+Assumptions!$B$12)/Projects!$D$34*0.95,0)-IF(AND(Projects!$G$34="Yes",AN$3=Projects!$C$34+Projects!$D$34-1),Projects!$B$34*(Assumptions!$B$10+Assumptions!$B$11+Assumptions!$B$12)*0.05,0)</f>
        <v>0</v>
      </c>
      <c r="AO43" s="30" t="n">
        <f aca="false">IF(AND(Projects!$G$34="Yes",AO$3&gt;=Projects!$C$34,AO$3&lt;Projects!$C$34+Projects!$D$34),Projects!$B$34*INDEX(Curves!$B$4:$AR$4,1,AO$3-Projects!$C$34+1),0)-IF(AND(Projects!$G$34="Yes",AO$3&gt;=Projects!$C$34,AO$3&lt;Projects!$C$34+Projects!$D$34),Projects!$B$34*(Assumptions!$B$10+Assumptions!$B$11+Assumptions!$B$12)/Projects!$D$34*0.95,0)-IF(AND(Projects!$G$34="Yes",AO$3=Projects!$C$34+Projects!$D$34-1),Projects!$B$34*(Assumptions!$B$10+Assumptions!$B$11+Assumptions!$B$12)*0.05,0)</f>
        <v>0</v>
      </c>
      <c r="AP43" s="30" t="n">
        <f aca="false">IF(AND(Projects!$G$34="Yes",AP$3&gt;=Projects!$C$34,AP$3&lt;Projects!$C$34+Projects!$D$34),Projects!$B$34*INDEX(Curves!$B$4:$AR$4,1,AP$3-Projects!$C$34+1),0)-IF(AND(Projects!$G$34="Yes",AP$3&gt;=Projects!$C$34,AP$3&lt;Projects!$C$34+Projects!$D$34),Projects!$B$34*(Assumptions!$B$10+Assumptions!$B$11+Assumptions!$B$12)/Projects!$D$34*0.95,0)-IF(AND(Projects!$G$34="Yes",AP$3=Projects!$C$34+Projects!$D$34-1),Projects!$B$34*(Assumptions!$B$10+Assumptions!$B$11+Assumptions!$B$12)*0.05,0)</f>
        <v>0</v>
      </c>
      <c r="AQ43" s="30" t="n">
        <f aca="false">IF(AND(Projects!$G$34="Yes",AQ$3&gt;=Projects!$C$34,AQ$3&lt;Projects!$C$34+Projects!$D$34),Projects!$B$34*INDEX(Curves!$B$4:$AR$4,1,AQ$3-Projects!$C$34+1),0)-IF(AND(Projects!$G$34="Yes",AQ$3&gt;=Projects!$C$34,AQ$3&lt;Projects!$C$34+Projects!$D$34),Projects!$B$34*(Assumptions!$B$10+Assumptions!$B$11+Assumptions!$B$12)/Projects!$D$34*0.95,0)-IF(AND(Projects!$G$34="Yes",AQ$3=Projects!$C$34+Projects!$D$34-1),Projects!$B$34*(Assumptions!$B$10+Assumptions!$B$11+Assumptions!$B$12)*0.05,0)</f>
        <v>0</v>
      </c>
      <c r="AR43" s="30" t="n">
        <f aca="false">IF(AND(Projects!$G$34="Yes",AR$3&gt;=Projects!$C$34,AR$3&lt;Projects!$C$34+Projects!$D$34),Projects!$B$34*INDEX(Curves!$B$4:$AR$4,1,AR$3-Projects!$C$34+1),0)-IF(AND(Projects!$G$34="Yes",AR$3&gt;=Projects!$C$34,AR$3&lt;Projects!$C$34+Projects!$D$34),Projects!$B$34*(Assumptions!$B$10+Assumptions!$B$11+Assumptions!$B$12)/Projects!$D$34*0.95,0)-IF(AND(Projects!$G$34="Yes",AR$3=Projects!$C$34+Projects!$D$34-1),Projects!$B$34*(Assumptions!$B$10+Assumptions!$B$11+Assumptions!$B$12)*0.05,0)</f>
        <v>0</v>
      </c>
      <c r="AS43" s="30" t="n">
        <f aca="false">IF(AND(Projects!$G$34="Yes",AS$3&gt;=Projects!$C$34,AS$3&lt;Projects!$C$34+Projects!$D$34),Projects!$B$34*INDEX(Curves!$B$4:$AR$4,1,AS$3-Projects!$C$34+1),0)-IF(AND(Projects!$G$34="Yes",AS$3&gt;=Projects!$C$34,AS$3&lt;Projects!$C$34+Projects!$D$34),Projects!$B$34*(Assumptions!$B$10+Assumptions!$B$11+Assumptions!$B$12)/Projects!$D$34*0.95,0)-IF(AND(Projects!$G$34="Yes",AS$3=Projects!$C$34+Projects!$D$34-1),Projects!$B$34*(Assumptions!$B$10+Assumptions!$B$11+Assumptions!$B$12)*0.05,0)</f>
        <v>0</v>
      </c>
      <c r="AT43" s="30" t="n">
        <f aca="false">IF(AND(Projects!$G$34="Yes",AT$3&gt;=Projects!$C$34,AT$3&lt;Projects!$C$34+Projects!$D$34),Projects!$B$34*INDEX(Curves!$B$4:$AR$4,1,AT$3-Projects!$C$34+1),0)-IF(AND(Projects!$G$34="Yes",AT$3&gt;=Projects!$C$34,AT$3&lt;Projects!$C$34+Projects!$D$34),Projects!$B$34*(Assumptions!$B$10+Assumptions!$B$11+Assumptions!$B$12)/Projects!$D$34*0.95,0)-IF(AND(Projects!$G$34="Yes",AT$3=Projects!$C$34+Projects!$D$34-1),Projects!$B$34*(Assumptions!$B$10+Assumptions!$B$11+Assumptions!$B$12)*0.05,0)</f>
        <v>0</v>
      </c>
      <c r="AU43" s="30" t="n">
        <f aca="false">IF(AND(Projects!$G$34="Yes",AU$3&gt;=Projects!$C$34,AU$3&lt;Projects!$C$34+Projects!$D$34),Projects!$B$34*INDEX(Curves!$B$4:$AR$4,1,AU$3-Projects!$C$34+1),0)-IF(AND(Projects!$G$34="Yes",AU$3&gt;=Projects!$C$34,AU$3&lt;Projects!$C$34+Projects!$D$34),Projects!$B$34*(Assumptions!$B$10+Assumptions!$B$11+Assumptions!$B$12)/Projects!$D$34*0.95,0)-IF(AND(Projects!$G$34="Yes",AU$3=Projects!$C$34+Projects!$D$34-1),Projects!$B$34*(Assumptions!$B$10+Assumptions!$B$11+Assumptions!$B$12)*0.05,0)</f>
        <v>0</v>
      </c>
      <c r="AV43" s="30" t="n">
        <f aca="false">IF(AND(Projects!$G$34="Yes",AV$3&gt;=Projects!$C$34,AV$3&lt;Projects!$C$34+Projects!$D$34),Projects!$B$34*INDEX(Curves!$B$4:$AR$4,1,AV$3-Projects!$C$34+1),0)-IF(AND(Projects!$G$34="Yes",AV$3&gt;=Projects!$C$34,AV$3&lt;Projects!$C$34+Projects!$D$34),Projects!$B$34*(Assumptions!$B$10+Assumptions!$B$11+Assumptions!$B$12)/Projects!$D$34*0.95,0)-IF(AND(Projects!$G$34="Yes",AV$3=Projects!$C$34+Projects!$D$34-1),Projects!$B$34*(Assumptions!$B$10+Assumptions!$B$11+Assumptions!$B$12)*0.05,0)</f>
        <v>0</v>
      </c>
      <c r="AW43" s="30" t="n">
        <f aca="false">IF(AND(Projects!$G$34="Yes",AW$3&gt;=Projects!$C$34,AW$3&lt;Projects!$C$34+Projects!$D$34),Projects!$B$34*INDEX(Curves!$B$4:$AR$4,1,AW$3-Projects!$C$34+1),0)-IF(AND(Projects!$G$34="Yes",AW$3&gt;=Projects!$C$34,AW$3&lt;Projects!$C$34+Projects!$D$34),Projects!$B$34*(Assumptions!$B$10+Assumptions!$B$11+Assumptions!$B$12)/Projects!$D$34*0.95,0)-IF(AND(Projects!$G$34="Yes",AW$3=Projects!$C$34+Projects!$D$34-1),Projects!$B$34*(Assumptions!$B$10+Assumptions!$B$11+Assumptions!$B$12)*0.05,0)</f>
        <v>0</v>
      </c>
      <c r="AX43" s="30" t="n">
        <f aca="false">IF(AND(Projects!$G$34="Yes",AX$3&gt;=Projects!$C$34,AX$3&lt;Projects!$C$34+Projects!$D$34),Projects!$B$34*INDEX(Curves!$B$4:$AR$4,1,AX$3-Projects!$C$34+1),0)-IF(AND(Projects!$G$34="Yes",AX$3&gt;=Projects!$C$34,AX$3&lt;Projects!$C$34+Projects!$D$34),Projects!$B$34*(Assumptions!$B$10+Assumptions!$B$11+Assumptions!$B$12)/Projects!$D$34*0.95,0)-IF(AND(Projects!$G$34="Yes",AX$3=Projects!$C$34+Projects!$D$34-1),Projects!$B$34*(Assumptions!$B$10+Assumptions!$B$11+Assumptions!$B$12)*0.05,0)</f>
        <v>0</v>
      </c>
      <c r="AY43" s="30" t="n">
        <f aca="false">IF(AND(Projects!$G$34="Yes",AY$3&gt;=Projects!$C$34,AY$3&lt;Projects!$C$34+Projects!$D$34),Projects!$B$34*INDEX(Curves!$B$4:$AR$4,1,AY$3-Projects!$C$34+1),0)-IF(AND(Projects!$G$34="Yes",AY$3&gt;=Projects!$C$34,AY$3&lt;Projects!$C$34+Projects!$D$34),Projects!$B$34*(Assumptions!$B$10+Assumptions!$B$11+Assumptions!$B$12)/Projects!$D$34*0.95,0)-IF(AND(Projects!$G$34="Yes",AY$3=Projects!$C$34+Projects!$D$34-1),Projects!$B$34*(Assumptions!$B$10+Assumptions!$B$11+Assumptions!$B$12)*0.05,0)</f>
        <v>0</v>
      </c>
      <c r="AZ43" s="30" t="n">
        <f aca="false">IF(AND(Projects!$G$34="Yes",AZ$3&gt;=Projects!$C$34,AZ$3&lt;Projects!$C$34+Projects!$D$34),Projects!$B$34*INDEX(Curves!$B$4:$AR$4,1,AZ$3-Projects!$C$34+1),0)-IF(AND(Projects!$G$34="Yes",AZ$3&gt;=Projects!$C$34,AZ$3&lt;Projects!$C$34+Projects!$D$34),Projects!$B$34*(Assumptions!$B$10+Assumptions!$B$11+Assumptions!$B$12)/Projects!$D$34*0.95,0)-IF(AND(Projects!$G$34="Yes",AZ$3=Projects!$C$34+Projects!$D$34-1),Projects!$B$34*(Assumptions!$B$10+Assumptions!$B$11+Assumptions!$B$12)*0.05,0)</f>
        <v>0</v>
      </c>
      <c r="BA43" s="30" t="n">
        <f aca="false">IF(AND(Projects!$G$34="Yes",BA$3&gt;=Projects!$C$34,BA$3&lt;Projects!$C$34+Projects!$D$34),Projects!$B$34*INDEX(Curves!$B$4:$AR$4,1,BA$3-Projects!$C$34+1),0)-IF(AND(Projects!$G$34="Yes",BA$3&gt;=Projects!$C$34,BA$3&lt;Projects!$C$34+Projects!$D$34),Projects!$B$34*(Assumptions!$B$10+Assumptions!$B$11+Assumptions!$B$12)/Projects!$D$34*0.95,0)-IF(AND(Projects!$G$34="Yes",BA$3=Projects!$C$34+Projects!$D$34-1),Projects!$B$34*(Assumptions!$B$10+Assumptions!$B$11+Assumptions!$B$12)*0.05,0)</f>
        <v>0</v>
      </c>
      <c r="BB43" s="30" t="n">
        <f aca="false">IF(AND(Projects!$G$34="Yes",BB$3&gt;=Projects!$C$34,BB$3&lt;Projects!$C$34+Projects!$D$34),Projects!$B$34*INDEX(Curves!$B$4:$AR$4,1,BB$3-Projects!$C$34+1),0)-IF(AND(Projects!$G$34="Yes",BB$3&gt;=Projects!$C$34,BB$3&lt;Projects!$C$34+Projects!$D$34),Projects!$B$34*(Assumptions!$B$10+Assumptions!$B$11+Assumptions!$B$12)/Projects!$D$34*0.95,0)-IF(AND(Projects!$G$34="Yes",BB$3=Projects!$C$34+Projects!$D$34-1),Projects!$B$34*(Assumptions!$B$10+Assumptions!$B$11+Assumptions!$B$12)*0.05,0)</f>
        <v>0</v>
      </c>
      <c r="BC43" s="30" t="n">
        <f aca="false">IF(AND(Projects!$G$34="Yes",BC$3&gt;=Projects!$C$34,BC$3&lt;Projects!$C$34+Projects!$D$34),Projects!$B$34*INDEX(Curves!$B$4:$AR$4,1,BC$3-Projects!$C$34+1),0)-IF(AND(Projects!$G$34="Yes",BC$3&gt;=Projects!$C$34,BC$3&lt;Projects!$C$34+Projects!$D$34),Projects!$B$34*(Assumptions!$B$10+Assumptions!$B$11+Assumptions!$B$12)/Projects!$D$34*0.95,0)-IF(AND(Projects!$G$34="Yes",BC$3=Projects!$C$34+Projects!$D$34-1),Projects!$B$34*(Assumptions!$B$10+Assumptions!$B$11+Assumptions!$B$12)*0.05,0)</f>
        <v>0</v>
      </c>
      <c r="BD43" s="30" t="n">
        <f aca="false">IF(AND(Projects!$G$34="Yes",BD$3&gt;=Projects!$C$34,BD$3&lt;Projects!$C$34+Projects!$D$34),Projects!$B$34*INDEX(Curves!$B$4:$AR$4,1,BD$3-Projects!$C$34+1),0)-IF(AND(Projects!$G$34="Yes",BD$3&gt;=Projects!$C$34,BD$3&lt;Projects!$C$34+Projects!$D$34),Projects!$B$34*(Assumptions!$B$10+Assumptions!$B$11+Assumptions!$B$12)/Projects!$D$34*0.95,0)-IF(AND(Projects!$G$34="Yes",BD$3=Projects!$C$34+Projects!$D$34-1),Projects!$B$34*(Assumptions!$B$10+Assumptions!$B$11+Assumptions!$B$12)*0.05,0)</f>
        <v>0</v>
      </c>
      <c r="BE43" s="30" t="n">
        <f aca="false">IF(AND(Projects!$G$34="Yes",BE$3&gt;=Projects!$C$34,BE$3&lt;Projects!$C$34+Projects!$D$34),Projects!$B$34*INDEX(Curves!$B$4:$AR$4,1,BE$3-Projects!$C$34+1),0)-IF(AND(Projects!$G$34="Yes",BE$3&gt;=Projects!$C$34,BE$3&lt;Projects!$C$34+Projects!$D$34),Projects!$B$34*(Assumptions!$B$10+Assumptions!$B$11+Assumptions!$B$12)/Projects!$D$34*0.95,0)-IF(AND(Projects!$G$34="Yes",BE$3=Projects!$C$34+Projects!$D$34-1),Projects!$B$34*(Assumptions!$B$10+Assumptions!$B$11+Assumptions!$B$12)*0.05,0)</f>
        <v>0</v>
      </c>
      <c r="BF43" s="30" t="n">
        <f aca="false">IF(AND(Projects!$G$34="Yes",BF$3&gt;=Projects!$C$34,BF$3&lt;Projects!$C$34+Projects!$D$34),Projects!$B$34*INDEX(Curves!$B$4:$AR$4,1,BF$3-Projects!$C$34+1),0)-IF(AND(Projects!$G$34="Yes",BF$3&gt;=Projects!$C$34,BF$3&lt;Projects!$C$34+Projects!$D$34),Projects!$B$34*(Assumptions!$B$10+Assumptions!$B$11+Assumptions!$B$12)/Projects!$D$34*0.95,0)-IF(AND(Projects!$G$34="Yes",BF$3=Projects!$C$34+Projects!$D$34-1),Projects!$B$34*(Assumptions!$B$10+Assumptions!$B$11+Assumptions!$B$12)*0.05,0)</f>
        <v>0</v>
      </c>
      <c r="BG43" s="30" t="n">
        <f aca="false">IF(AND(Projects!$G$34="Yes",BG$3&gt;=Projects!$C$34,BG$3&lt;Projects!$C$34+Projects!$D$34),Projects!$B$34*INDEX(Curves!$B$4:$AR$4,1,BG$3-Projects!$C$34+1),0)-IF(AND(Projects!$G$34="Yes",BG$3&gt;=Projects!$C$34,BG$3&lt;Projects!$C$34+Projects!$D$34),Projects!$B$34*(Assumptions!$B$10+Assumptions!$B$11+Assumptions!$B$12)/Projects!$D$34*0.95,0)-IF(AND(Projects!$G$34="Yes",BG$3=Projects!$C$34+Projects!$D$34-1),Projects!$B$34*(Assumptions!$B$10+Assumptions!$B$11+Assumptions!$B$12)*0.05,0)</f>
        <v>0</v>
      </c>
      <c r="BH43" s="30" t="n">
        <f aca="false">IF(AND(Projects!$G$34="Yes",BH$3&gt;=Projects!$C$34,BH$3&lt;Projects!$C$34+Projects!$D$34),Projects!$B$34*INDEX(Curves!$B$4:$AR$4,1,BH$3-Projects!$C$34+1),0)-IF(AND(Projects!$G$34="Yes",BH$3&gt;=Projects!$C$34,BH$3&lt;Projects!$C$34+Projects!$D$34),Projects!$B$34*(Assumptions!$B$10+Assumptions!$B$11+Assumptions!$B$12)/Projects!$D$34*0.95,0)-IF(AND(Projects!$G$34="Yes",BH$3=Projects!$C$34+Projects!$D$34-1),Projects!$B$34*(Assumptions!$B$10+Assumptions!$B$11+Assumptions!$B$12)*0.05,0)</f>
        <v>0</v>
      </c>
      <c r="BI43" s="30" t="n">
        <f aca="false">IF(AND(Projects!$G$34="Yes",BI$3&gt;=Projects!$C$34,BI$3&lt;Projects!$C$34+Projects!$D$34),Projects!$B$34*INDEX(Curves!$B$4:$AR$4,1,BI$3-Projects!$C$34+1),0)-IF(AND(Projects!$G$34="Yes",BI$3&gt;=Projects!$C$34,BI$3&lt;Projects!$C$34+Projects!$D$34),Projects!$B$34*(Assumptions!$B$10+Assumptions!$B$11+Assumptions!$B$12)/Projects!$D$34*0.95,0)-IF(AND(Projects!$G$34="Yes",BI$3=Projects!$C$34+Projects!$D$34-1),Projects!$B$34*(Assumptions!$B$10+Assumptions!$B$11+Assumptions!$B$12)*0.05,0)</f>
        <v>0</v>
      </c>
      <c r="BJ43" s="30" t="n">
        <f aca="false">IF(AND(Projects!$G$34="Yes",BJ$3&gt;=Projects!$C$34,BJ$3&lt;Projects!$C$34+Projects!$D$34),Projects!$B$34*INDEX(Curves!$B$4:$AR$4,1,BJ$3-Projects!$C$34+1),0)-IF(AND(Projects!$G$34="Yes",BJ$3&gt;=Projects!$C$34,BJ$3&lt;Projects!$C$34+Projects!$D$34),Projects!$B$34*(Assumptions!$B$10+Assumptions!$B$11+Assumptions!$B$12)/Projects!$D$34*0.95,0)-IF(AND(Projects!$G$34="Yes",BJ$3=Projects!$C$34+Projects!$D$34-1),Projects!$B$34*(Assumptions!$B$10+Assumptions!$B$11+Assumptions!$B$12)*0.05,0)</f>
        <v>0</v>
      </c>
      <c r="BK43" s="30" t="n">
        <f aca="false">IF(AND(Projects!$G$34="Yes",BK$3&gt;=Projects!$C$34,BK$3&lt;Projects!$C$34+Projects!$D$34),Projects!$B$34*INDEX(Curves!$B$4:$AR$4,1,BK$3-Projects!$C$34+1),0)-IF(AND(Projects!$G$34="Yes",BK$3&gt;=Projects!$C$34,BK$3&lt;Projects!$C$34+Projects!$D$34),Projects!$B$34*(Assumptions!$B$10+Assumptions!$B$11+Assumptions!$B$12)/Projects!$D$34*0.95,0)-IF(AND(Projects!$G$34="Yes",BK$3=Projects!$C$34+Projects!$D$34-1),Projects!$B$34*(Assumptions!$B$10+Assumptions!$B$11+Assumptions!$B$12)*0.05,0)</f>
        <v>0</v>
      </c>
      <c r="BL43" s="30" t="n">
        <f aca="false">IF(AND(Projects!$G$34="Yes",BL$3&gt;=Projects!$C$34,BL$3&lt;Projects!$C$34+Projects!$D$34),Projects!$B$34*INDEX(Curves!$B$4:$AR$4,1,BL$3-Projects!$C$34+1),0)-IF(AND(Projects!$G$34="Yes",BL$3&gt;=Projects!$C$34,BL$3&lt;Projects!$C$34+Projects!$D$34),Projects!$B$34*(Assumptions!$B$10+Assumptions!$B$11+Assumptions!$B$12)/Projects!$D$34*0.95,0)-IF(AND(Projects!$G$34="Yes",BL$3=Projects!$C$34+Projects!$D$34-1),Projects!$B$34*(Assumptions!$B$10+Assumptions!$B$11+Assumptions!$B$12)*0.05,0)</f>
        <v>0</v>
      </c>
      <c r="BM43" s="30" t="n">
        <f aca="false">IF(AND(Projects!$G$34="Yes",BM$3&gt;=Projects!$C$34,BM$3&lt;Projects!$C$34+Projects!$D$34),Projects!$B$34*INDEX(Curves!$B$4:$AR$4,1,BM$3-Projects!$C$34+1),0)-IF(AND(Projects!$G$34="Yes",BM$3&gt;=Projects!$C$34,BM$3&lt;Projects!$C$34+Projects!$D$34),Projects!$B$34*(Assumptions!$B$10+Assumptions!$B$11+Assumptions!$B$12)/Projects!$D$34*0.95,0)-IF(AND(Projects!$G$34="Yes",BM$3=Projects!$C$34+Projects!$D$34-1),Projects!$B$34*(Assumptions!$B$10+Assumptions!$B$11+Assumptions!$B$12)*0.05,0)</f>
        <v>0</v>
      </c>
      <c r="BN43" s="30" t="n">
        <f aca="false">IF(AND(Projects!$G$34="Yes",BN$3&gt;=Projects!$C$34,BN$3&lt;Projects!$C$34+Projects!$D$34),Projects!$B$34*INDEX(Curves!$B$4:$AR$4,1,BN$3-Projects!$C$34+1),0)-IF(AND(Projects!$G$34="Yes",BN$3&gt;=Projects!$C$34,BN$3&lt;Projects!$C$34+Projects!$D$34),Projects!$B$34*(Assumptions!$B$10+Assumptions!$B$11+Assumptions!$B$12)/Projects!$D$34*0.95,0)-IF(AND(Projects!$G$34="Yes",BN$3=Projects!$C$34+Projects!$D$34-1),Projects!$B$34*(Assumptions!$B$10+Assumptions!$B$11+Assumptions!$B$12)*0.05,0)</f>
        <v>0</v>
      </c>
      <c r="BO43" s="30" t="n">
        <f aca="false">IF(AND(Projects!$G$34="Yes",BO$3&gt;=Projects!$C$34,BO$3&lt;Projects!$C$34+Projects!$D$34),Projects!$B$34*INDEX(Curves!$B$4:$AR$4,1,BO$3-Projects!$C$34+1),0)-IF(AND(Projects!$G$34="Yes",BO$3&gt;=Projects!$C$34,BO$3&lt;Projects!$C$34+Projects!$D$34),Projects!$B$34*(Assumptions!$B$10+Assumptions!$B$11+Assumptions!$B$12)/Projects!$D$34*0.95,0)-IF(AND(Projects!$G$34="Yes",BO$3=Projects!$C$34+Projects!$D$34-1),Projects!$B$34*(Assumptions!$B$10+Assumptions!$B$11+Assumptions!$B$12)*0.05,0)</f>
        <v>0</v>
      </c>
      <c r="BP43" s="30" t="n">
        <f aca="false">IF(AND(Projects!$G$34="Yes",BP$3&gt;=Projects!$C$34,BP$3&lt;Projects!$C$34+Projects!$D$34),Projects!$B$34*INDEX(Curves!$B$4:$AR$4,1,BP$3-Projects!$C$34+1),0)-IF(AND(Projects!$G$34="Yes",BP$3&gt;=Projects!$C$34,BP$3&lt;Projects!$C$34+Projects!$D$34),Projects!$B$34*(Assumptions!$B$10+Assumptions!$B$11+Assumptions!$B$12)/Projects!$D$34*0.95,0)-IF(AND(Projects!$G$34="Yes",BP$3=Projects!$C$34+Projects!$D$34-1),Projects!$B$34*(Assumptions!$B$10+Assumptions!$B$11+Assumptions!$B$12)*0.05,0)</f>
        <v>0</v>
      </c>
      <c r="BQ43" s="30" t="n">
        <f aca="false">IF(AND(Projects!$G$34="Yes",BQ$3&gt;=Projects!$C$34,BQ$3&lt;Projects!$C$34+Projects!$D$34),Projects!$B$34*INDEX(Curves!$B$4:$AR$4,1,BQ$3-Projects!$C$34+1),0)-IF(AND(Projects!$G$34="Yes",BQ$3&gt;=Projects!$C$34,BQ$3&lt;Projects!$C$34+Projects!$D$34),Projects!$B$34*(Assumptions!$B$10+Assumptions!$B$11+Assumptions!$B$12)/Projects!$D$34*0.95,0)-IF(AND(Projects!$G$34="Yes",BQ$3=Projects!$C$34+Projects!$D$34-1),Projects!$B$34*(Assumptions!$B$10+Assumptions!$B$11+Assumptions!$B$12)*0.05,0)</f>
        <v>0</v>
      </c>
      <c r="BR43" s="30" t="n">
        <f aca="false">IF(AND(Projects!$G$34="Yes",BR$3&gt;=Projects!$C$34,BR$3&lt;Projects!$C$34+Projects!$D$34),Projects!$B$34*INDEX(Curves!$B$4:$AR$4,1,BR$3-Projects!$C$34+1),0)-IF(AND(Projects!$G$34="Yes",BR$3&gt;=Projects!$C$34,BR$3&lt;Projects!$C$34+Projects!$D$34),Projects!$B$34*(Assumptions!$B$10+Assumptions!$B$11+Assumptions!$B$12)/Projects!$D$34*0.95,0)-IF(AND(Projects!$G$34="Yes",BR$3=Projects!$C$34+Projects!$D$34-1),Projects!$B$34*(Assumptions!$B$10+Assumptions!$B$11+Assumptions!$B$12)*0.05,0)</f>
        <v>0</v>
      </c>
      <c r="BS43" s="30" t="n">
        <f aca="false">IF(AND(Projects!$G$34="Yes",BS$3&gt;=Projects!$C$34,BS$3&lt;Projects!$C$34+Projects!$D$34),Projects!$B$34*INDEX(Curves!$B$4:$AR$4,1,BS$3-Projects!$C$34+1),0)-IF(AND(Projects!$G$34="Yes",BS$3&gt;=Projects!$C$34,BS$3&lt;Projects!$C$34+Projects!$D$34),Projects!$B$34*(Assumptions!$B$10+Assumptions!$B$11+Assumptions!$B$12)/Projects!$D$34*0.95,0)-IF(AND(Projects!$G$34="Yes",BS$3=Projects!$C$34+Projects!$D$34-1),Projects!$B$34*(Assumptions!$B$10+Assumptions!$B$11+Assumptions!$B$12)*0.05,0)</f>
        <v>0</v>
      </c>
      <c r="BT43" s="30" t="n">
        <f aca="false">IF(AND(Projects!$G$34="Yes",BT$3&gt;=Projects!$C$34,BT$3&lt;Projects!$C$34+Projects!$D$34),Projects!$B$34*INDEX(Curves!$B$4:$AR$4,1,BT$3-Projects!$C$34+1),0)-IF(AND(Projects!$G$34="Yes",BT$3&gt;=Projects!$C$34,BT$3&lt;Projects!$C$34+Projects!$D$34),Projects!$B$34*(Assumptions!$B$10+Assumptions!$B$11+Assumptions!$B$12)/Projects!$D$34*0.95,0)-IF(AND(Projects!$G$34="Yes",BT$3=Projects!$C$34+Projects!$D$34-1),Projects!$B$34*(Assumptions!$B$10+Assumptions!$B$11+Assumptions!$B$12)*0.05,0)</f>
        <v>0</v>
      </c>
      <c r="BU43" s="30" t="n">
        <f aca="false">IF(AND(Projects!$G$34="Yes",BU$3&gt;=Projects!$C$34,BU$3&lt;Projects!$C$34+Projects!$D$34),Projects!$B$34*INDEX(Curves!$B$4:$AR$4,1,BU$3-Projects!$C$34+1),0)-IF(AND(Projects!$G$34="Yes",BU$3&gt;=Projects!$C$34,BU$3&lt;Projects!$C$34+Projects!$D$34),Projects!$B$34*(Assumptions!$B$10+Assumptions!$B$11+Assumptions!$B$12)/Projects!$D$34*0.95,0)-IF(AND(Projects!$G$34="Yes",BU$3=Projects!$C$34+Projects!$D$34-1),Projects!$B$34*(Assumptions!$B$10+Assumptions!$B$11+Assumptions!$B$12)*0.05,0)</f>
        <v>0</v>
      </c>
      <c r="BV43" s="30" t="n">
        <f aca="false">IF(AND(Projects!$G$34="Yes",BV$3&gt;=Projects!$C$34,BV$3&lt;Projects!$C$34+Projects!$D$34),Projects!$B$34*INDEX(Curves!$B$4:$AR$4,1,BV$3-Projects!$C$34+1),0)-IF(AND(Projects!$G$34="Yes",BV$3&gt;=Projects!$C$34,BV$3&lt;Projects!$C$34+Projects!$D$34),Projects!$B$34*(Assumptions!$B$10+Assumptions!$B$11+Assumptions!$B$12)/Projects!$D$34*0.95,0)-IF(AND(Projects!$G$34="Yes",BV$3=Projects!$C$34+Projects!$D$34-1),Projects!$B$34*(Assumptions!$B$10+Assumptions!$B$11+Assumptions!$B$12)*0.05,0)</f>
        <v>0</v>
      </c>
      <c r="BW43" s="30" t="n">
        <f aca="false">IF(AND(Projects!$G$34="Yes",BW$3&gt;=Projects!$C$34,BW$3&lt;Projects!$C$34+Projects!$D$34),Projects!$B$34*INDEX(Curves!$B$4:$AR$4,1,BW$3-Projects!$C$34+1),0)-IF(AND(Projects!$G$34="Yes",BW$3&gt;=Projects!$C$34,BW$3&lt;Projects!$C$34+Projects!$D$34),Projects!$B$34*(Assumptions!$B$10+Assumptions!$B$11+Assumptions!$B$12)/Projects!$D$34*0.95,0)-IF(AND(Projects!$G$34="Yes",BW$3=Projects!$C$34+Projects!$D$34-1),Projects!$B$34*(Assumptions!$B$10+Assumptions!$B$11+Assumptions!$B$12)*0.05,0)</f>
        <v>0</v>
      </c>
      <c r="BX43" s="30" t="n">
        <f aca="false">IF(AND(Projects!$G$34="Yes",BX$3&gt;=Projects!$C$34,BX$3&lt;Projects!$C$34+Projects!$D$34),Projects!$B$34*INDEX(Curves!$B$4:$AR$4,1,BX$3-Projects!$C$34+1),0)-IF(AND(Projects!$G$34="Yes",BX$3&gt;=Projects!$C$34,BX$3&lt;Projects!$C$34+Projects!$D$34),Projects!$B$34*(Assumptions!$B$10+Assumptions!$B$11+Assumptions!$B$12)/Projects!$D$34*0.95,0)-IF(AND(Projects!$G$34="Yes",BX$3=Projects!$C$34+Projects!$D$34-1),Projects!$B$34*(Assumptions!$B$10+Assumptions!$B$11+Assumptions!$B$12)*0.05,0)</f>
        <v>0</v>
      </c>
      <c r="BY43" s="30" t="n">
        <f aca="false">IF(AND(Projects!$G$34="Yes",BY$3&gt;=Projects!$C$34,BY$3&lt;Projects!$C$34+Projects!$D$34),Projects!$B$34*INDEX(Curves!$B$4:$AR$4,1,BY$3-Projects!$C$34+1),0)-IF(AND(Projects!$G$34="Yes",BY$3&gt;=Projects!$C$34,BY$3&lt;Projects!$C$34+Projects!$D$34),Projects!$B$34*(Assumptions!$B$10+Assumptions!$B$11+Assumptions!$B$12)/Projects!$D$34*0.95,0)-IF(AND(Projects!$G$34="Yes",BY$3=Projects!$C$34+Projects!$D$34-1),Projects!$B$34*(Assumptions!$B$10+Assumptions!$B$11+Assumptions!$B$12)*0.05,0)</f>
        <v>0</v>
      </c>
      <c r="BZ43" s="30" t="n">
        <f aca="false">IF(AND(Projects!$G$34="Yes",BZ$3&gt;=Projects!$C$34,BZ$3&lt;Projects!$C$34+Projects!$D$34),Projects!$B$34*INDEX(Curves!$B$4:$AR$4,1,BZ$3-Projects!$C$34+1),0)-IF(AND(Projects!$G$34="Yes",BZ$3&gt;=Projects!$C$34,BZ$3&lt;Projects!$C$34+Projects!$D$34),Projects!$B$34*(Assumptions!$B$10+Assumptions!$B$11+Assumptions!$B$12)/Projects!$D$34*0.95,0)-IF(AND(Projects!$G$34="Yes",BZ$3=Projects!$C$34+Projects!$D$34-1),Projects!$B$34*(Assumptions!$B$10+Assumptions!$B$11+Assumptions!$B$12)*0.05,0)</f>
        <v>0</v>
      </c>
      <c r="CA43" s="30" t="n">
        <f aca="false">IF(AND(Projects!$G$34="Yes",CA$3&gt;=Projects!$C$34,CA$3&lt;Projects!$C$34+Projects!$D$34),Projects!$B$34*INDEX(Curves!$B$4:$AR$4,1,CA$3-Projects!$C$34+1),0)-IF(AND(Projects!$G$34="Yes",CA$3&gt;=Projects!$C$34,CA$3&lt;Projects!$C$34+Projects!$D$34),Projects!$B$34*(Assumptions!$B$10+Assumptions!$B$11+Assumptions!$B$12)/Projects!$D$34*0.95,0)-IF(AND(Projects!$G$34="Yes",CA$3=Projects!$C$34+Projects!$D$34-1),Projects!$B$34*(Assumptions!$B$10+Assumptions!$B$11+Assumptions!$B$12)*0.05,0)</f>
        <v>0</v>
      </c>
      <c r="CB43" s="30" t="n">
        <f aca="false">IF(AND(Projects!$G$34="Yes",CB$3&gt;=Projects!$C$34,CB$3&lt;Projects!$C$34+Projects!$D$34),Projects!$B$34*INDEX(Curves!$B$4:$AR$4,1,CB$3-Projects!$C$34+1),0)-IF(AND(Projects!$G$34="Yes",CB$3&gt;=Projects!$C$34,CB$3&lt;Projects!$C$34+Projects!$D$34),Projects!$B$34*(Assumptions!$B$10+Assumptions!$B$11+Assumptions!$B$12)/Projects!$D$34*0.95,0)-IF(AND(Projects!$G$34="Yes",CB$3=Projects!$C$34+Projects!$D$34-1),Projects!$B$34*(Assumptions!$B$10+Assumptions!$B$11+Assumptions!$B$12)*0.05,0)</f>
        <v>0</v>
      </c>
      <c r="CC43" s="30" t="n">
        <f aca="false">IF(AND(Projects!$G$34="Yes",CC$3&gt;=Projects!$C$34,CC$3&lt;Projects!$C$34+Projects!$D$34),Projects!$B$34*INDEX(Curves!$B$4:$AR$4,1,CC$3-Projects!$C$34+1),0)-IF(AND(Projects!$G$34="Yes",CC$3&gt;=Projects!$C$34,CC$3&lt;Projects!$C$34+Projects!$D$34),Projects!$B$34*(Assumptions!$B$10+Assumptions!$B$11+Assumptions!$B$12)/Projects!$D$34*0.95,0)-IF(AND(Projects!$G$34="Yes",CC$3=Projects!$C$34+Projects!$D$34-1),Projects!$B$34*(Assumptions!$B$10+Assumptions!$B$11+Assumptions!$B$12)*0.05,0)</f>
        <v>0</v>
      </c>
      <c r="CD43" s="30" t="n">
        <f aca="false">IF(AND(Projects!$G$34="Yes",CD$3&gt;=Projects!$C$34,CD$3&lt;Projects!$C$34+Projects!$D$34),Projects!$B$34*INDEX(Curves!$B$4:$AR$4,1,CD$3-Projects!$C$34+1),0)-IF(AND(Projects!$G$34="Yes",CD$3&gt;=Projects!$C$34,CD$3&lt;Projects!$C$34+Projects!$D$34),Projects!$B$34*(Assumptions!$B$10+Assumptions!$B$11+Assumptions!$B$12)/Projects!$D$34*0.95,0)-IF(AND(Projects!$G$34="Yes",CD$3=Projects!$C$34+Projects!$D$34-1),Projects!$B$34*(Assumptions!$B$10+Assumptions!$B$11+Assumptions!$B$12)*0.05,0)</f>
        <v>0</v>
      </c>
      <c r="CE43" s="30" t="n">
        <f aca="false">IF(AND(Projects!$G$34="Yes",CE$3&gt;=Projects!$C$34,CE$3&lt;Projects!$C$34+Projects!$D$34),Projects!$B$34*INDEX(Curves!$B$4:$AR$4,1,CE$3-Projects!$C$34+1),0)-IF(AND(Projects!$G$34="Yes",CE$3&gt;=Projects!$C$34,CE$3&lt;Projects!$C$34+Projects!$D$34),Projects!$B$34*(Assumptions!$B$10+Assumptions!$B$11+Assumptions!$B$12)/Projects!$D$34*0.95,0)-IF(AND(Projects!$G$34="Yes",CE$3=Projects!$C$34+Projects!$D$34-1),Projects!$B$34*(Assumptions!$B$10+Assumptions!$B$11+Assumptions!$B$12)*0.05,0)</f>
        <v>0</v>
      </c>
      <c r="CF43" s="30" t="n">
        <f aca="false">IF(AND(Projects!$G$34="Yes",CF$3&gt;=Projects!$C$34,CF$3&lt;Projects!$C$34+Projects!$D$34),Projects!$B$34*INDEX(Curves!$B$4:$AR$4,1,CF$3-Projects!$C$34+1),0)-IF(AND(Projects!$G$34="Yes",CF$3&gt;=Projects!$C$34,CF$3&lt;Projects!$C$34+Projects!$D$34),Projects!$B$34*(Assumptions!$B$10+Assumptions!$B$11+Assumptions!$B$12)/Projects!$D$34*0.95,0)-IF(AND(Projects!$G$34="Yes",CF$3=Projects!$C$34+Projects!$D$34-1),Projects!$B$34*(Assumptions!$B$10+Assumptions!$B$11+Assumptions!$B$12)*0.05,0)</f>
        <v>0</v>
      </c>
      <c r="CG43" s="30" t="n">
        <f aca="false">IF(AND(Projects!$G$34="Yes",CG$3&gt;=Projects!$C$34,CG$3&lt;Projects!$C$34+Projects!$D$34),Projects!$B$34*INDEX(Curves!$B$4:$AR$4,1,CG$3-Projects!$C$34+1),0)-IF(AND(Projects!$G$34="Yes",CG$3&gt;=Projects!$C$34,CG$3&lt;Projects!$C$34+Projects!$D$34),Projects!$B$34*(Assumptions!$B$10+Assumptions!$B$11+Assumptions!$B$12)/Projects!$D$34*0.95,0)-IF(AND(Projects!$G$34="Yes",CG$3=Projects!$C$34+Projects!$D$34-1),Projects!$B$34*(Assumptions!$B$10+Assumptions!$B$11+Assumptions!$B$12)*0.05,0)</f>
        <v>0</v>
      </c>
      <c r="CH43" s="30" t="n">
        <f aca="false">IF(AND(Projects!$G$34="Yes",CH$3&gt;=Projects!$C$34,CH$3&lt;Projects!$C$34+Projects!$D$34),Projects!$B$34*INDEX(Curves!$B$4:$AR$4,1,CH$3-Projects!$C$34+1),0)-IF(AND(Projects!$G$34="Yes",CH$3&gt;=Projects!$C$34,CH$3&lt;Projects!$C$34+Projects!$D$34),Projects!$B$34*(Assumptions!$B$10+Assumptions!$B$11+Assumptions!$B$12)/Projects!$D$34*0.95,0)-IF(AND(Projects!$G$34="Yes",CH$3=Projects!$C$34+Projects!$D$34-1),Projects!$B$34*(Assumptions!$B$10+Assumptions!$B$11+Assumptions!$B$12)*0.05,0)</f>
        <v>0</v>
      </c>
      <c r="CI43" s="30" t="n">
        <f aca="false">IF(AND(Projects!$G$34="Yes",CI$3&gt;=Projects!$C$34,CI$3&lt;Projects!$C$34+Projects!$D$34),Projects!$B$34*INDEX(Curves!$B$4:$AR$4,1,CI$3-Projects!$C$34+1),0)-IF(AND(Projects!$G$34="Yes",CI$3&gt;=Projects!$C$34,CI$3&lt;Projects!$C$34+Projects!$D$34),Projects!$B$34*(Assumptions!$B$10+Assumptions!$B$11+Assumptions!$B$12)/Projects!$D$34*0.95,0)-IF(AND(Projects!$G$34="Yes",CI$3=Projects!$C$34+Projects!$D$34-1),Projects!$B$34*(Assumptions!$B$10+Assumptions!$B$11+Assumptions!$B$12)*0.05,0)</f>
        <v>0</v>
      </c>
      <c r="CJ43" s="30" t="n">
        <f aca="false">IF(AND(Projects!$G$34="Yes",CJ$3&gt;=Projects!$C$34,CJ$3&lt;Projects!$C$34+Projects!$D$34),Projects!$B$34*INDEX(Curves!$B$4:$AR$4,1,CJ$3-Projects!$C$34+1),0)-IF(AND(Projects!$G$34="Yes",CJ$3&gt;=Projects!$C$34,CJ$3&lt;Projects!$C$34+Projects!$D$34),Projects!$B$34*(Assumptions!$B$10+Assumptions!$B$11+Assumptions!$B$12)/Projects!$D$34*0.95,0)-IF(AND(Projects!$G$34="Yes",CJ$3=Projects!$C$34+Projects!$D$34-1),Projects!$B$34*(Assumptions!$B$10+Assumptions!$B$11+Assumptions!$B$12)*0.05,0)</f>
        <v>0</v>
      </c>
      <c r="CK43" s="30" t="n">
        <f aca="false">IF(AND(Projects!$G$34="Yes",CK$3&gt;=Projects!$C$34,CK$3&lt;Projects!$C$34+Projects!$D$34),Projects!$B$34*INDEX(Curves!$B$4:$AR$4,1,CK$3-Projects!$C$34+1),0)-IF(AND(Projects!$G$34="Yes",CK$3&gt;=Projects!$C$34,CK$3&lt;Projects!$C$34+Projects!$D$34),Projects!$B$34*(Assumptions!$B$10+Assumptions!$B$11+Assumptions!$B$12)/Projects!$D$34*0.95,0)-IF(AND(Projects!$G$34="Yes",CK$3=Projects!$C$34+Projects!$D$34-1),Projects!$B$34*(Assumptions!$B$10+Assumptions!$B$11+Assumptions!$B$12)*0.05,0)</f>
        <v>0</v>
      </c>
      <c r="CL43" s="30" t="n">
        <f aca="false">IF(AND(Projects!$G$34="Yes",CL$3&gt;=Projects!$C$34,CL$3&lt;Projects!$C$34+Projects!$D$34),Projects!$B$34*INDEX(Curves!$B$4:$AR$4,1,CL$3-Projects!$C$34+1),0)-IF(AND(Projects!$G$34="Yes",CL$3&gt;=Projects!$C$34,CL$3&lt;Projects!$C$34+Projects!$D$34),Projects!$B$34*(Assumptions!$B$10+Assumptions!$B$11+Assumptions!$B$12)/Projects!$D$34*0.95,0)-IF(AND(Projects!$G$34="Yes",CL$3=Projects!$C$34+Projects!$D$34-1),Projects!$B$34*(Assumptions!$B$10+Assumptions!$B$11+Assumptions!$B$12)*0.05,0)</f>
        <v>0</v>
      </c>
      <c r="CM43" s="30" t="n">
        <f aca="false">IF(AND(Projects!$G$34="Yes",CM$3&gt;=Projects!$C$34,CM$3&lt;Projects!$C$34+Projects!$D$34),Projects!$B$34*INDEX(Curves!$B$4:$AR$4,1,CM$3-Projects!$C$34+1),0)-IF(AND(Projects!$G$34="Yes",CM$3&gt;=Projects!$C$34,CM$3&lt;Projects!$C$34+Projects!$D$34),Projects!$B$34*(Assumptions!$B$10+Assumptions!$B$11+Assumptions!$B$12)/Projects!$D$34*0.95,0)-IF(AND(Projects!$G$34="Yes",CM$3=Projects!$C$34+Projects!$D$34-1),Projects!$B$34*(Assumptions!$B$10+Assumptions!$B$11+Assumptions!$B$12)*0.05,0)</f>
        <v>0</v>
      </c>
      <c r="CN43" s="30" t="n">
        <f aca="false">IF(AND(Projects!$G$34="Yes",CN$3&gt;=Projects!$C$34,CN$3&lt;Projects!$C$34+Projects!$D$34),Projects!$B$34*INDEX(Curves!$B$4:$AR$4,1,CN$3-Projects!$C$34+1),0)-IF(AND(Projects!$G$34="Yes",CN$3&gt;=Projects!$C$34,CN$3&lt;Projects!$C$34+Projects!$D$34),Projects!$B$34*(Assumptions!$B$10+Assumptions!$B$11+Assumptions!$B$12)/Projects!$D$34*0.95,0)-IF(AND(Projects!$G$34="Yes",CN$3=Projects!$C$34+Projects!$D$34-1),Projects!$B$34*(Assumptions!$B$10+Assumptions!$B$11+Assumptions!$B$12)*0.05,0)</f>
        <v>0</v>
      </c>
      <c r="CO43" s="30" t="n">
        <f aca="false">IF(AND(Projects!$G$34="Yes",CO$3&gt;=Projects!$C$34,CO$3&lt;Projects!$C$34+Projects!$D$34),Projects!$B$34*INDEX(Curves!$B$4:$AR$4,1,CO$3-Projects!$C$34+1),0)-IF(AND(Projects!$G$34="Yes",CO$3&gt;=Projects!$C$34,CO$3&lt;Projects!$C$34+Projects!$D$34),Projects!$B$34*(Assumptions!$B$10+Assumptions!$B$11+Assumptions!$B$12)/Projects!$D$34*0.95,0)-IF(AND(Projects!$G$34="Yes",CO$3=Projects!$C$34+Projects!$D$34-1),Projects!$B$34*(Assumptions!$B$10+Assumptions!$B$11+Assumptions!$B$12)*0.05,0)</f>
        <v>0</v>
      </c>
      <c r="CP43" s="30" t="n">
        <f aca="false">IF(AND(Projects!$G$34="Yes",CP$3&gt;=Projects!$C$34,CP$3&lt;Projects!$C$34+Projects!$D$34),Projects!$B$34*INDEX(Curves!$B$4:$AR$4,1,CP$3-Projects!$C$34+1),0)-IF(AND(Projects!$G$34="Yes",CP$3&gt;=Projects!$C$34,CP$3&lt;Projects!$C$34+Projects!$D$34),Projects!$B$34*(Assumptions!$B$10+Assumptions!$B$11+Assumptions!$B$12)/Projects!$D$34*0.95,0)-IF(AND(Projects!$G$34="Yes",CP$3=Projects!$C$34+Projects!$D$34-1),Projects!$B$34*(Assumptions!$B$10+Assumptions!$B$11+Assumptions!$B$12)*0.05,0)</f>
        <v>0</v>
      </c>
      <c r="CQ43" s="30" t="n">
        <f aca="false">IF(AND(Projects!$G$34="Yes",CQ$3&gt;=Projects!$C$34,CQ$3&lt;Projects!$C$34+Projects!$D$34),Projects!$B$34*INDEX(Curves!$B$4:$AR$4,1,CQ$3-Projects!$C$34+1),0)-IF(AND(Projects!$G$34="Yes",CQ$3&gt;=Projects!$C$34,CQ$3&lt;Projects!$C$34+Projects!$D$34),Projects!$B$34*(Assumptions!$B$10+Assumptions!$B$11+Assumptions!$B$12)/Projects!$D$34*0.95,0)-IF(AND(Projects!$G$34="Yes",CQ$3=Projects!$C$34+Projects!$D$34-1),Projects!$B$34*(Assumptions!$B$10+Assumptions!$B$11+Assumptions!$B$12)*0.05,0)</f>
        <v>0</v>
      </c>
      <c r="CR43" s="30" t="n">
        <f aca="false">IF(AND(Projects!$G$34="Yes",CR$3&gt;=Projects!$C$34,CR$3&lt;Projects!$C$34+Projects!$D$34),Projects!$B$34*INDEX(Curves!$B$4:$AR$4,1,CR$3-Projects!$C$34+1),0)-IF(AND(Projects!$G$34="Yes",CR$3&gt;=Projects!$C$34,CR$3&lt;Projects!$C$34+Projects!$D$34),Projects!$B$34*(Assumptions!$B$10+Assumptions!$B$11+Assumptions!$B$12)/Projects!$D$34*0.95,0)-IF(AND(Projects!$G$34="Yes",CR$3=Projects!$C$34+Projects!$D$34-1),Projects!$B$34*(Assumptions!$B$10+Assumptions!$B$11+Assumptions!$B$12)*0.05,0)</f>
        <v>0</v>
      </c>
      <c r="CS43" s="30" t="n">
        <f aca="false">IF(AND(Projects!$G$34="Yes",CS$3&gt;=Projects!$C$34,CS$3&lt;Projects!$C$34+Projects!$D$34),Projects!$B$34*INDEX(Curves!$B$4:$AR$4,1,CS$3-Projects!$C$34+1),0)-IF(AND(Projects!$G$34="Yes",CS$3&gt;=Projects!$C$34,CS$3&lt;Projects!$C$34+Projects!$D$34),Projects!$B$34*(Assumptions!$B$10+Assumptions!$B$11+Assumptions!$B$12)/Projects!$D$34*0.95,0)-IF(AND(Projects!$G$34="Yes",CS$3=Projects!$C$34+Projects!$D$34-1),Projects!$B$34*(Assumptions!$B$10+Assumptions!$B$11+Assumptions!$B$12)*0.05,0)</f>
        <v>0</v>
      </c>
      <c r="CT43" s="30" t="n">
        <f aca="false">IF(AND(Projects!$G$34="Yes",CT$3&gt;=Projects!$C$34,CT$3&lt;Projects!$C$34+Projects!$D$34),Projects!$B$34*INDEX(Curves!$B$4:$AR$4,1,CT$3-Projects!$C$34+1),0)-IF(AND(Projects!$G$34="Yes",CT$3&gt;=Projects!$C$34,CT$3&lt;Projects!$C$34+Projects!$D$34),Projects!$B$34*(Assumptions!$B$10+Assumptions!$B$11+Assumptions!$B$12)/Projects!$D$34*0.95,0)-IF(AND(Projects!$G$34="Yes",CT$3=Projects!$C$34+Projects!$D$34-1),Projects!$B$34*(Assumptions!$B$10+Assumptions!$B$11+Assumptions!$B$12)*0.05,0)</f>
        <v>0</v>
      </c>
      <c r="CU43" s="30" t="n">
        <f aca="false">IF(AND(Projects!$G$34="Yes",CU$3&gt;=Projects!$C$34,CU$3&lt;Projects!$C$34+Projects!$D$34),Projects!$B$34*INDEX(Curves!$B$4:$AR$4,1,CU$3-Projects!$C$34+1),0)-IF(AND(Projects!$G$34="Yes",CU$3&gt;=Projects!$C$34,CU$3&lt;Projects!$C$34+Projects!$D$34),Projects!$B$34*(Assumptions!$B$10+Assumptions!$B$11+Assumptions!$B$12)/Projects!$D$34*0.95,0)-IF(AND(Projects!$G$34="Yes",CU$3=Projects!$C$34+Projects!$D$34-1),Projects!$B$34*(Assumptions!$B$10+Assumptions!$B$11+Assumptions!$B$12)*0.05,0)</f>
        <v>0</v>
      </c>
      <c r="CV43" s="30" t="n">
        <f aca="false">IF(AND(Projects!$G$34="Yes",CV$3&gt;=Projects!$C$34,CV$3&lt;Projects!$C$34+Projects!$D$34),Projects!$B$34*INDEX(Curves!$B$4:$AR$4,1,CV$3-Projects!$C$34+1),0)-IF(AND(Projects!$G$34="Yes",CV$3&gt;=Projects!$C$34,CV$3&lt;Projects!$C$34+Projects!$D$34),Projects!$B$34*(Assumptions!$B$10+Assumptions!$B$11+Assumptions!$B$12)/Projects!$D$34*0.95,0)-IF(AND(Projects!$G$34="Yes",CV$3=Projects!$C$34+Projects!$D$34-1),Projects!$B$34*(Assumptions!$B$10+Assumptions!$B$11+Assumptions!$B$12)*0.05,0)</f>
        <v>0</v>
      </c>
      <c r="CW43" s="30" t="n">
        <f aca="false">IF(AND(Projects!$G$34="Yes",CW$3&gt;=Projects!$C$34,CW$3&lt;Projects!$C$34+Projects!$D$34),Projects!$B$34*INDEX(Curves!$B$4:$AR$4,1,CW$3-Projects!$C$34+1),0)-IF(AND(Projects!$G$34="Yes",CW$3&gt;=Projects!$C$34,CW$3&lt;Projects!$C$34+Projects!$D$34),Projects!$B$34*(Assumptions!$B$10+Assumptions!$B$11+Assumptions!$B$12)/Projects!$D$34*0.95,0)-IF(AND(Projects!$G$34="Yes",CW$3=Projects!$C$34+Projects!$D$34-1),Projects!$B$34*(Assumptions!$B$10+Assumptions!$B$11+Assumptions!$B$12)*0.05,0)</f>
        <v>0</v>
      </c>
      <c r="CX43" s="30" t="n">
        <f aca="false">IF(AND(Projects!$G$34="Yes",CX$3&gt;=Projects!$C$34,CX$3&lt;Projects!$C$34+Projects!$D$34),Projects!$B$34*INDEX(Curves!$B$4:$AR$4,1,CX$3-Projects!$C$34+1),0)-IF(AND(Projects!$G$34="Yes",CX$3&gt;=Projects!$C$34,CX$3&lt;Projects!$C$34+Projects!$D$34),Projects!$B$34*(Assumptions!$B$10+Assumptions!$B$11+Assumptions!$B$12)/Projects!$D$34*0.95,0)-IF(AND(Projects!$G$34="Yes",CX$3=Projects!$C$34+Projects!$D$34-1),Projects!$B$34*(Assumptions!$B$10+Assumptions!$B$11+Assumptions!$B$12)*0.05,0)</f>
        <v>0</v>
      </c>
      <c r="CY43" s="30" t="n">
        <f aca="false">IF(AND(Projects!$G$34="Yes",CY$3&gt;=Projects!$C$34,CY$3&lt;Projects!$C$34+Projects!$D$34),Projects!$B$34*INDEX(Curves!$B$4:$AR$4,1,CY$3-Projects!$C$34+1),0)-IF(AND(Projects!$G$34="Yes",CY$3&gt;=Projects!$C$34,CY$3&lt;Projects!$C$34+Projects!$D$34),Projects!$B$34*(Assumptions!$B$10+Assumptions!$B$11+Assumptions!$B$12)/Projects!$D$34*0.95,0)-IF(AND(Projects!$G$34="Yes",CY$3=Projects!$C$34+Projects!$D$34-1),Projects!$B$34*(Assumptions!$B$10+Assumptions!$B$11+Assumptions!$B$12)*0.05,0)</f>
        <v>0</v>
      </c>
      <c r="CZ43" s="30" t="n">
        <f aca="false">IF(AND(Projects!$G$34="Yes",CZ$3&gt;=Projects!$C$34,CZ$3&lt;Projects!$C$34+Projects!$D$34),Projects!$B$34*INDEX(Curves!$B$4:$AR$4,1,CZ$3-Projects!$C$34+1),0)-IF(AND(Projects!$G$34="Yes",CZ$3&gt;=Projects!$C$34,CZ$3&lt;Projects!$C$34+Projects!$D$34),Projects!$B$34*(Assumptions!$B$10+Assumptions!$B$11+Assumptions!$B$12)/Projects!$D$34*0.95,0)-IF(AND(Projects!$G$34="Yes",CZ$3=Projects!$C$34+Projects!$D$34-1),Projects!$B$34*(Assumptions!$B$10+Assumptions!$B$11+Assumptions!$B$12)*0.05,0)</f>
        <v>0</v>
      </c>
      <c r="DA43" s="30" t="n">
        <f aca="false">IF(AND(Projects!$G$34="Yes",DA$3&gt;=Projects!$C$34,DA$3&lt;Projects!$C$34+Projects!$D$34),Projects!$B$34*INDEX(Curves!$B$4:$AR$4,1,DA$3-Projects!$C$34+1),0)-IF(AND(Projects!$G$34="Yes",DA$3&gt;=Projects!$C$34,DA$3&lt;Projects!$C$34+Projects!$D$34),Projects!$B$34*(Assumptions!$B$10+Assumptions!$B$11+Assumptions!$B$12)/Projects!$D$34*0.95,0)-IF(AND(Projects!$G$34="Yes",DA$3=Projects!$C$34+Projects!$D$34-1),Projects!$B$34*(Assumptions!$B$10+Assumptions!$B$11+Assumptions!$B$12)*0.05,0)</f>
        <v>0</v>
      </c>
      <c r="DB43" s="30" t="n">
        <f aca="false">IF(AND(Projects!$G$34="Yes",DB$3&gt;=Projects!$C$34,DB$3&lt;Projects!$C$34+Projects!$D$34),Projects!$B$34*INDEX(Curves!$B$4:$AR$4,1,DB$3-Projects!$C$34+1),0)-IF(AND(Projects!$G$34="Yes",DB$3&gt;=Projects!$C$34,DB$3&lt;Projects!$C$34+Projects!$D$34),Projects!$B$34*(Assumptions!$B$10+Assumptions!$B$11+Assumptions!$B$12)/Projects!$D$34*0.95,0)-IF(AND(Projects!$G$34="Yes",DB$3=Projects!$C$34+Projects!$D$34-1),Projects!$B$34*(Assumptions!$B$10+Assumptions!$B$11+Assumptions!$B$12)*0.05,0)</f>
        <v>0</v>
      </c>
      <c r="DC43" s="30" t="n">
        <f aca="false">IF(AND(Projects!$G$34="Yes",DC$3&gt;=Projects!$C$34,DC$3&lt;Projects!$C$34+Projects!$D$34),Projects!$B$34*INDEX(Curves!$B$4:$AR$4,1,DC$3-Projects!$C$34+1),0)-IF(AND(Projects!$G$34="Yes",DC$3&gt;=Projects!$C$34,DC$3&lt;Projects!$C$34+Projects!$D$34),Projects!$B$34*(Assumptions!$B$10+Assumptions!$B$11+Assumptions!$B$12)/Projects!$D$34*0.95,0)-IF(AND(Projects!$G$34="Yes",DC$3=Projects!$C$34+Projects!$D$34-1),Projects!$B$34*(Assumptions!$B$10+Assumptions!$B$11+Assumptions!$B$12)*0.05,0)</f>
        <v>0</v>
      </c>
      <c r="DD43" s="30" t="n">
        <f aca="false">IF(AND(Projects!$G$34="Yes",DD$3&gt;=Projects!$C$34,DD$3&lt;Projects!$C$34+Projects!$D$34),Projects!$B$34*INDEX(Curves!$B$4:$AR$4,1,DD$3-Projects!$C$34+1),0)-IF(AND(Projects!$G$34="Yes",DD$3&gt;=Projects!$C$34,DD$3&lt;Projects!$C$34+Projects!$D$34),Projects!$B$34*(Assumptions!$B$10+Assumptions!$B$11+Assumptions!$B$12)/Projects!$D$34*0.95,0)-IF(AND(Projects!$G$34="Yes",DD$3=Projects!$C$34+Projects!$D$34-1),Projects!$B$34*(Assumptions!$B$10+Assumptions!$B$11+Assumptions!$B$12)*0.05,0)</f>
        <v>0</v>
      </c>
      <c r="DE43" s="30" t="n">
        <f aca="false">IF(AND(Projects!$G$34="Yes",DE$3&gt;=Projects!$C$34,DE$3&lt;Projects!$C$34+Projects!$D$34),Projects!$B$34*INDEX(Curves!$B$4:$AR$4,1,DE$3-Projects!$C$34+1),0)-IF(AND(Projects!$G$34="Yes",DE$3&gt;=Projects!$C$34,DE$3&lt;Projects!$C$34+Projects!$D$34),Projects!$B$34*(Assumptions!$B$10+Assumptions!$B$11+Assumptions!$B$12)/Projects!$D$34*0.95,0)-IF(AND(Projects!$G$34="Yes",DE$3=Projects!$C$34+Projects!$D$34-1),Projects!$B$34*(Assumptions!$B$10+Assumptions!$B$11+Assumptions!$B$12)*0.05,0)</f>
        <v>0</v>
      </c>
    </row>
    <row r="44" customFormat="false" ht="15" hidden="true" customHeight="true" outlineLevel="1" collapsed="false">
      <c r="A44" s="32" t="s">
        <v>38</v>
      </c>
      <c r="B44" s="30" t="n">
        <v>0</v>
      </c>
      <c r="C44" s="30" t="n">
        <v>0</v>
      </c>
      <c r="D44" s="30" t="n">
        <v>0</v>
      </c>
      <c r="E44" s="30" t="n">
        <v>0</v>
      </c>
      <c r="F44" s="30" t="n">
        <f aca="false">IF(AND(Projects!$G$35="Yes",F$3&gt;=Projects!$C$35,F$3&lt;Projects!$C$35+Projects!$D$35),Projects!$B$35*INDEX(Curves!$B$4:$AR$4,1,F$3-Projects!$C$35+1),0)-IF(AND(Projects!$G$35="Yes",F$3&gt;=Projects!$C$35,F$3&lt;Projects!$C$35+Projects!$D$35),Projects!$B$35*(Assumptions!$B$10+Assumptions!$B$11+Assumptions!$B$12)/Projects!$D$35*0.95,0)-IF(AND(Projects!$G$35="Yes",F$3=Projects!$C$35+Projects!$D$35-1),Projects!$B$35*(Assumptions!$B$10+Assumptions!$B$11+Assumptions!$B$12)*0.05,0)</f>
        <v>0</v>
      </c>
      <c r="G44" s="30" t="n">
        <f aca="false">IF(AND(Projects!$G$35="Yes",G$3&gt;=Projects!$C$35,G$3&lt;Projects!$C$35+Projects!$D$35),Projects!$B$35*INDEX(Curves!$B$4:$AR$4,1,G$3-Projects!$C$35+1),0)-IF(AND(Projects!$G$35="Yes",G$3&gt;=Projects!$C$35,G$3&lt;Projects!$C$35+Projects!$D$35),Projects!$B$35*(Assumptions!$B$10+Assumptions!$B$11+Assumptions!$B$12)/Projects!$D$35*0.95,0)-IF(AND(Projects!$G$35="Yes",G$3=Projects!$C$35+Projects!$D$35-1),Projects!$B$35*(Assumptions!$B$10+Assumptions!$B$11+Assumptions!$B$12)*0.05,0)</f>
        <v>0</v>
      </c>
      <c r="H44" s="30" t="n">
        <f aca="false">IF(AND(Projects!$G$35="Yes",H$3&gt;=Projects!$C$35,H$3&lt;Projects!$C$35+Projects!$D$35),Projects!$B$35*INDEX(Curves!$B$4:$AR$4,1,H$3-Projects!$C$35+1),0)-IF(AND(Projects!$G$35="Yes",H$3&gt;=Projects!$C$35,H$3&lt;Projects!$C$35+Projects!$D$35),Projects!$B$35*(Assumptions!$B$10+Assumptions!$B$11+Assumptions!$B$12)/Projects!$D$35*0.95,0)-IF(AND(Projects!$G$35="Yes",H$3=Projects!$C$35+Projects!$D$35-1),Projects!$B$35*(Assumptions!$B$10+Assumptions!$B$11+Assumptions!$B$12)*0.05,0)</f>
        <v>0</v>
      </c>
      <c r="I44" s="30" t="n">
        <f aca="false">IF(AND(Projects!$G$35="Yes",I$3&gt;=Projects!$C$35,I$3&lt;Projects!$C$35+Projects!$D$35),Projects!$B$35*INDEX(Curves!$B$4:$AR$4,1,I$3-Projects!$C$35+1),0)-IF(AND(Projects!$G$35="Yes",I$3&gt;=Projects!$C$35,I$3&lt;Projects!$C$35+Projects!$D$35),Projects!$B$35*(Assumptions!$B$10+Assumptions!$B$11+Assumptions!$B$12)/Projects!$D$35*0.95,0)-IF(AND(Projects!$G$35="Yes",I$3=Projects!$C$35+Projects!$D$35-1),Projects!$B$35*(Assumptions!$B$10+Assumptions!$B$11+Assumptions!$B$12)*0.05,0)</f>
        <v>0</v>
      </c>
      <c r="J44" s="30" t="n">
        <f aca="false">IF(AND(Projects!$G$35="Yes",J$3&gt;=Projects!$C$35,J$3&lt;Projects!$C$35+Projects!$D$35),Projects!$B$35*INDEX(Curves!$B$4:$AR$4,1,J$3-Projects!$C$35+1),0)-IF(AND(Projects!$G$35="Yes",J$3&gt;=Projects!$C$35,J$3&lt;Projects!$C$35+Projects!$D$35),Projects!$B$35*(Assumptions!$B$10+Assumptions!$B$11+Assumptions!$B$12)/Projects!$D$35*0.95,0)-IF(AND(Projects!$G$35="Yes",J$3=Projects!$C$35+Projects!$D$35-1),Projects!$B$35*(Assumptions!$B$10+Assumptions!$B$11+Assumptions!$B$12)*0.05,0)</f>
        <v>0</v>
      </c>
      <c r="K44" s="30" t="n">
        <f aca="false">IF(AND(Projects!$G$35="Yes",K$3&gt;=Projects!$C$35,K$3&lt;Projects!$C$35+Projects!$D$35),Projects!$B$35*INDEX(Curves!$B$4:$AR$4,1,K$3-Projects!$C$35+1),0)-IF(AND(Projects!$G$35="Yes",K$3&gt;=Projects!$C$35,K$3&lt;Projects!$C$35+Projects!$D$35),Projects!$B$35*(Assumptions!$B$10+Assumptions!$B$11+Assumptions!$B$12)/Projects!$D$35*0.95,0)-IF(AND(Projects!$G$35="Yes",K$3=Projects!$C$35+Projects!$D$35-1),Projects!$B$35*(Assumptions!$B$10+Assumptions!$B$11+Assumptions!$B$12)*0.05,0)</f>
        <v>0</v>
      </c>
      <c r="L44" s="30" t="n">
        <f aca="false">IF(AND(Projects!$G$35="Yes",L$3&gt;=Projects!$C$35,L$3&lt;Projects!$C$35+Projects!$D$35),Projects!$B$35*INDEX(Curves!$B$4:$AR$4,1,L$3-Projects!$C$35+1),0)-IF(AND(Projects!$G$35="Yes",L$3&gt;=Projects!$C$35,L$3&lt;Projects!$C$35+Projects!$D$35),Projects!$B$35*(Assumptions!$B$10+Assumptions!$B$11+Assumptions!$B$12)/Projects!$D$35*0.95,0)-IF(AND(Projects!$G$35="Yes",L$3=Projects!$C$35+Projects!$D$35-1),Projects!$B$35*(Assumptions!$B$10+Assumptions!$B$11+Assumptions!$B$12)*0.05,0)</f>
        <v>0</v>
      </c>
      <c r="M44" s="30" t="n">
        <f aca="false">IF(AND(Projects!$G$35="Yes",M$3&gt;=Projects!$C$35,M$3&lt;Projects!$C$35+Projects!$D$35),Projects!$B$35*INDEX(Curves!$B$4:$AR$4,1,M$3-Projects!$C$35+1),0)-IF(AND(Projects!$G$35="Yes",M$3&gt;=Projects!$C$35,M$3&lt;Projects!$C$35+Projects!$D$35),Projects!$B$35*(Assumptions!$B$10+Assumptions!$B$11+Assumptions!$B$12)/Projects!$D$35*0.95,0)-IF(AND(Projects!$G$35="Yes",M$3=Projects!$C$35+Projects!$D$35-1),Projects!$B$35*(Assumptions!$B$10+Assumptions!$B$11+Assumptions!$B$12)*0.05,0)</f>
        <v>0</v>
      </c>
      <c r="N44" s="30" t="n">
        <f aca="false">IF(AND(Projects!$G$35="Yes",N$3&gt;=Projects!$C$35,N$3&lt;Projects!$C$35+Projects!$D$35),Projects!$B$35*INDEX(Curves!$B$4:$AR$4,1,N$3-Projects!$C$35+1),0)-IF(AND(Projects!$G$35="Yes",N$3&gt;=Projects!$C$35,N$3&lt;Projects!$C$35+Projects!$D$35),Projects!$B$35*(Assumptions!$B$10+Assumptions!$B$11+Assumptions!$B$12)/Projects!$D$35*0.95,0)-IF(AND(Projects!$G$35="Yes",N$3=Projects!$C$35+Projects!$D$35-1),Projects!$B$35*(Assumptions!$B$10+Assumptions!$B$11+Assumptions!$B$12)*0.05,0)</f>
        <v>0</v>
      </c>
      <c r="O44" s="30" t="n">
        <f aca="false">IF(AND(Projects!$G$35="Yes",O$3&gt;=Projects!$C$35,O$3&lt;Projects!$C$35+Projects!$D$35),Projects!$B$35*INDEX(Curves!$B$4:$AR$4,1,O$3-Projects!$C$35+1),0)-IF(AND(Projects!$G$35="Yes",O$3&gt;=Projects!$C$35,O$3&lt;Projects!$C$35+Projects!$D$35),Projects!$B$35*(Assumptions!$B$10+Assumptions!$B$11+Assumptions!$B$12)/Projects!$D$35*0.95,0)-IF(AND(Projects!$G$35="Yes",O$3=Projects!$C$35+Projects!$D$35-1),Projects!$B$35*(Assumptions!$B$10+Assumptions!$B$11+Assumptions!$B$12)*0.05,0)</f>
        <v>0</v>
      </c>
      <c r="P44" s="30" t="n">
        <f aca="false">IF(AND(Projects!$G$35="Yes",P$3&gt;=Projects!$C$35,P$3&lt;Projects!$C$35+Projects!$D$35),Projects!$B$35*INDEX(Curves!$B$4:$AR$4,1,P$3-Projects!$C$35+1),0)-IF(AND(Projects!$G$35="Yes",P$3&gt;=Projects!$C$35,P$3&lt;Projects!$C$35+Projects!$D$35),Projects!$B$35*(Assumptions!$B$10+Assumptions!$B$11+Assumptions!$B$12)/Projects!$D$35*0.95,0)-IF(AND(Projects!$G$35="Yes",P$3=Projects!$C$35+Projects!$D$35-1),Projects!$B$35*(Assumptions!$B$10+Assumptions!$B$11+Assumptions!$B$12)*0.05,0)</f>
        <v>0</v>
      </c>
      <c r="Q44" s="30" t="n">
        <f aca="false">IF(AND(Projects!$G$35="Yes",Q$3&gt;=Projects!$C$35,Q$3&lt;Projects!$C$35+Projects!$D$35),Projects!$B$35*INDEX(Curves!$B$4:$AR$4,1,Q$3-Projects!$C$35+1),0)-IF(AND(Projects!$G$35="Yes",Q$3&gt;=Projects!$C$35,Q$3&lt;Projects!$C$35+Projects!$D$35),Projects!$B$35*(Assumptions!$B$10+Assumptions!$B$11+Assumptions!$B$12)/Projects!$D$35*0.95,0)-IF(AND(Projects!$G$35="Yes",Q$3=Projects!$C$35+Projects!$D$35-1),Projects!$B$35*(Assumptions!$B$10+Assumptions!$B$11+Assumptions!$B$12)*0.05,0)</f>
        <v>0</v>
      </c>
      <c r="R44" s="30" t="n">
        <f aca="false">IF(AND(Projects!$G$35="Yes",R$3&gt;=Projects!$C$35,R$3&lt;Projects!$C$35+Projects!$D$35),Projects!$B$35*INDEX(Curves!$B$4:$AR$4,1,R$3-Projects!$C$35+1),0)-IF(AND(Projects!$G$35="Yes",R$3&gt;=Projects!$C$35,R$3&lt;Projects!$C$35+Projects!$D$35),Projects!$B$35*(Assumptions!$B$10+Assumptions!$B$11+Assumptions!$B$12)/Projects!$D$35*0.95,0)-IF(AND(Projects!$G$35="Yes",R$3=Projects!$C$35+Projects!$D$35-1),Projects!$B$35*(Assumptions!$B$10+Assumptions!$B$11+Assumptions!$B$12)*0.05,0)</f>
        <v>0</v>
      </c>
      <c r="S44" s="30" t="n">
        <f aca="false">IF(AND(Projects!$G$35="Yes",S$3&gt;=Projects!$C$35,S$3&lt;Projects!$C$35+Projects!$D$35),Projects!$B$35*INDEX(Curves!$B$4:$AR$4,1,S$3-Projects!$C$35+1),0)-IF(AND(Projects!$G$35="Yes",S$3&gt;=Projects!$C$35,S$3&lt;Projects!$C$35+Projects!$D$35),Projects!$B$35*(Assumptions!$B$10+Assumptions!$B$11+Assumptions!$B$12)/Projects!$D$35*0.95,0)-IF(AND(Projects!$G$35="Yes",S$3=Projects!$C$35+Projects!$D$35-1),Projects!$B$35*(Assumptions!$B$10+Assumptions!$B$11+Assumptions!$B$12)*0.05,0)</f>
        <v>0</v>
      </c>
      <c r="T44" s="30" t="n">
        <f aca="false">IF(AND(Projects!$G$35="Yes",T$3&gt;=Projects!$C$35,T$3&lt;Projects!$C$35+Projects!$D$35),Projects!$B$35*INDEX(Curves!$B$4:$AR$4,1,T$3-Projects!$C$35+1),0)-IF(AND(Projects!$G$35="Yes",T$3&gt;=Projects!$C$35,T$3&lt;Projects!$C$35+Projects!$D$35),Projects!$B$35*(Assumptions!$B$10+Assumptions!$B$11+Assumptions!$B$12)/Projects!$D$35*0.95,0)-IF(AND(Projects!$G$35="Yes",T$3=Projects!$C$35+Projects!$D$35-1),Projects!$B$35*(Assumptions!$B$10+Assumptions!$B$11+Assumptions!$B$12)*0.05,0)</f>
        <v>0</v>
      </c>
      <c r="U44" s="30" t="n">
        <f aca="false">IF(AND(Projects!$G$35="Yes",U$3&gt;=Projects!$C$35,U$3&lt;Projects!$C$35+Projects!$D$35),Projects!$B$35*INDEX(Curves!$B$4:$AR$4,1,U$3-Projects!$C$35+1),0)-IF(AND(Projects!$G$35="Yes",U$3&gt;=Projects!$C$35,U$3&lt;Projects!$C$35+Projects!$D$35),Projects!$B$35*(Assumptions!$B$10+Assumptions!$B$11+Assumptions!$B$12)/Projects!$D$35*0.95,0)-IF(AND(Projects!$G$35="Yes",U$3=Projects!$C$35+Projects!$D$35-1),Projects!$B$35*(Assumptions!$B$10+Assumptions!$B$11+Assumptions!$B$12)*0.05,0)</f>
        <v>0</v>
      </c>
      <c r="V44" s="30" t="n">
        <f aca="false">IF(AND(Projects!$G$35="Yes",V$3&gt;=Projects!$C$35,V$3&lt;Projects!$C$35+Projects!$D$35),Projects!$B$35*INDEX(Curves!$B$4:$AR$4,1,V$3-Projects!$C$35+1),0)-IF(AND(Projects!$G$35="Yes",V$3&gt;=Projects!$C$35,V$3&lt;Projects!$C$35+Projects!$D$35),Projects!$B$35*(Assumptions!$B$10+Assumptions!$B$11+Assumptions!$B$12)/Projects!$D$35*0.95,0)-IF(AND(Projects!$G$35="Yes",V$3=Projects!$C$35+Projects!$D$35-1),Projects!$B$35*(Assumptions!$B$10+Assumptions!$B$11+Assumptions!$B$12)*0.05,0)</f>
        <v>0</v>
      </c>
      <c r="W44" s="30" t="n">
        <f aca="false">IF(AND(Projects!$G$35="Yes",W$3&gt;=Projects!$C$35,W$3&lt;Projects!$C$35+Projects!$D$35),Projects!$B$35*INDEX(Curves!$B$4:$AR$4,1,W$3-Projects!$C$35+1),0)-IF(AND(Projects!$G$35="Yes",W$3&gt;=Projects!$C$35,W$3&lt;Projects!$C$35+Projects!$D$35),Projects!$B$35*(Assumptions!$B$10+Assumptions!$B$11+Assumptions!$B$12)/Projects!$D$35*0.95,0)-IF(AND(Projects!$G$35="Yes",W$3=Projects!$C$35+Projects!$D$35-1),Projects!$B$35*(Assumptions!$B$10+Assumptions!$B$11+Assumptions!$B$12)*0.05,0)</f>
        <v>0</v>
      </c>
      <c r="X44" s="30" t="n">
        <f aca="false">IF(AND(Projects!$G$35="Yes",X$3&gt;=Projects!$C$35,X$3&lt;Projects!$C$35+Projects!$D$35),Projects!$B$35*INDEX(Curves!$B$4:$AR$4,1,X$3-Projects!$C$35+1),0)-IF(AND(Projects!$G$35="Yes",X$3&gt;=Projects!$C$35,X$3&lt;Projects!$C$35+Projects!$D$35),Projects!$B$35*(Assumptions!$B$10+Assumptions!$B$11+Assumptions!$B$12)/Projects!$D$35*0.95,0)-IF(AND(Projects!$G$35="Yes",X$3=Projects!$C$35+Projects!$D$35-1),Projects!$B$35*(Assumptions!$B$10+Assumptions!$B$11+Assumptions!$B$12)*0.05,0)</f>
        <v>0</v>
      </c>
      <c r="Y44" s="30" t="n">
        <f aca="false">IF(AND(Projects!$G$35="Yes",Y$3&gt;=Projects!$C$35,Y$3&lt;Projects!$C$35+Projects!$D$35),Projects!$B$35*INDEX(Curves!$B$4:$AR$4,1,Y$3-Projects!$C$35+1),0)-IF(AND(Projects!$G$35="Yes",Y$3&gt;=Projects!$C$35,Y$3&lt;Projects!$C$35+Projects!$D$35),Projects!$B$35*(Assumptions!$B$10+Assumptions!$B$11+Assumptions!$B$12)/Projects!$D$35*0.95,0)-IF(AND(Projects!$G$35="Yes",Y$3=Projects!$C$35+Projects!$D$35-1),Projects!$B$35*(Assumptions!$B$10+Assumptions!$B$11+Assumptions!$B$12)*0.05,0)</f>
        <v>0</v>
      </c>
      <c r="Z44" s="30" t="n">
        <f aca="false">IF(AND(Projects!$G$35="Yes",Z$3&gt;=Projects!$C$35,Z$3&lt;Projects!$C$35+Projects!$D$35),Projects!$B$35*INDEX(Curves!$B$4:$AR$4,1,Z$3-Projects!$C$35+1),0)-IF(AND(Projects!$G$35="Yes",Z$3&gt;=Projects!$C$35,Z$3&lt;Projects!$C$35+Projects!$D$35),Projects!$B$35*(Assumptions!$B$10+Assumptions!$B$11+Assumptions!$B$12)/Projects!$D$35*0.95,0)-IF(AND(Projects!$G$35="Yes",Z$3=Projects!$C$35+Projects!$D$35-1),Projects!$B$35*(Assumptions!$B$10+Assumptions!$B$11+Assumptions!$B$12)*0.05,0)</f>
        <v>0</v>
      </c>
      <c r="AA44" s="30" t="n">
        <f aca="false">IF(AND(Projects!$G$35="Yes",AA$3&gt;=Projects!$C$35,AA$3&lt;Projects!$C$35+Projects!$D$35),Projects!$B$35*INDEX(Curves!$B$4:$AR$4,1,AA$3-Projects!$C$35+1),0)-IF(AND(Projects!$G$35="Yes",AA$3&gt;=Projects!$C$35,AA$3&lt;Projects!$C$35+Projects!$D$35),Projects!$B$35*(Assumptions!$B$10+Assumptions!$B$11+Assumptions!$B$12)/Projects!$D$35*0.95,0)-IF(AND(Projects!$G$35="Yes",AA$3=Projects!$C$35+Projects!$D$35-1),Projects!$B$35*(Assumptions!$B$10+Assumptions!$B$11+Assumptions!$B$12)*0.05,0)</f>
        <v>0</v>
      </c>
      <c r="AB44" s="30" t="n">
        <f aca="false">IF(AND(Projects!$G$35="Yes",AB$3&gt;=Projects!$C$35,AB$3&lt;Projects!$C$35+Projects!$D$35),Projects!$B$35*INDEX(Curves!$B$4:$AR$4,1,AB$3-Projects!$C$35+1),0)-IF(AND(Projects!$G$35="Yes",AB$3&gt;=Projects!$C$35,AB$3&lt;Projects!$C$35+Projects!$D$35),Projects!$B$35*(Assumptions!$B$10+Assumptions!$B$11+Assumptions!$B$12)/Projects!$D$35*0.95,0)-IF(AND(Projects!$G$35="Yes",AB$3=Projects!$C$35+Projects!$D$35-1),Projects!$B$35*(Assumptions!$B$10+Assumptions!$B$11+Assumptions!$B$12)*0.05,0)</f>
        <v>0</v>
      </c>
      <c r="AC44" s="30" t="n">
        <f aca="false">IF(AND(Projects!$G$35="Yes",AC$3&gt;=Projects!$C$35,AC$3&lt;Projects!$C$35+Projects!$D$35),Projects!$B$35*INDEX(Curves!$B$4:$AR$4,1,AC$3-Projects!$C$35+1),0)-IF(AND(Projects!$G$35="Yes",AC$3&gt;=Projects!$C$35,AC$3&lt;Projects!$C$35+Projects!$D$35),Projects!$B$35*(Assumptions!$B$10+Assumptions!$B$11+Assumptions!$B$12)/Projects!$D$35*0.95,0)-IF(AND(Projects!$G$35="Yes",AC$3=Projects!$C$35+Projects!$D$35-1),Projects!$B$35*(Assumptions!$B$10+Assumptions!$B$11+Assumptions!$B$12)*0.05,0)</f>
        <v>0</v>
      </c>
      <c r="AD44" s="30" t="n">
        <f aca="false">IF(AND(Projects!$G$35="Yes",AD$3&gt;=Projects!$C$35,AD$3&lt;Projects!$C$35+Projects!$D$35),Projects!$B$35*INDEX(Curves!$B$4:$AR$4,1,AD$3-Projects!$C$35+1),0)-IF(AND(Projects!$G$35="Yes",AD$3&gt;=Projects!$C$35,AD$3&lt;Projects!$C$35+Projects!$D$35),Projects!$B$35*(Assumptions!$B$10+Assumptions!$B$11+Assumptions!$B$12)/Projects!$D$35*0.95,0)-IF(AND(Projects!$G$35="Yes",AD$3=Projects!$C$35+Projects!$D$35-1),Projects!$B$35*(Assumptions!$B$10+Assumptions!$B$11+Assumptions!$B$12)*0.05,0)</f>
        <v>0</v>
      </c>
      <c r="AE44" s="30" t="n">
        <f aca="false">IF(AND(Projects!$G$35="Yes",AE$3&gt;=Projects!$C$35,AE$3&lt;Projects!$C$35+Projects!$D$35),Projects!$B$35*INDEX(Curves!$B$4:$AR$4,1,AE$3-Projects!$C$35+1),0)-IF(AND(Projects!$G$35="Yes",AE$3&gt;=Projects!$C$35,AE$3&lt;Projects!$C$35+Projects!$D$35),Projects!$B$35*(Assumptions!$B$10+Assumptions!$B$11+Assumptions!$B$12)/Projects!$D$35*0.95,0)-IF(AND(Projects!$G$35="Yes",AE$3=Projects!$C$35+Projects!$D$35-1),Projects!$B$35*(Assumptions!$B$10+Assumptions!$B$11+Assumptions!$B$12)*0.05,0)</f>
        <v>0</v>
      </c>
      <c r="AF44" s="30" t="n">
        <f aca="false">IF(AND(Projects!$G$35="Yes",AF$3&gt;=Projects!$C$35,AF$3&lt;Projects!$C$35+Projects!$D$35),Projects!$B$35*INDEX(Curves!$B$4:$AR$4,1,AF$3-Projects!$C$35+1),0)-IF(AND(Projects!$G$35="Yes",AF$3&gt;=Projects!$C$35,AF$3&lt;Projects!$C$35+Projects!$D$35),Projects!$B$35*(Assumptions!$B$10+Assumptions!$B$11+Assumptions!$B$12)/Projects!$D$35*0.95,0)-IF(AND(Projects!$G$35="Yes",AF$3=Projects!$C$35+Projects!$D$35-1),Projects!$B$35*(Assumptions!$B$10+Assumptions!$B$11+Assumptions!$B$12)*0.05,0)</f>
        <v>0</v>
      </c>
      <c r="AG44" s="30" t="n">
        <f aca="false">IF(AND(Projects!$G$35="Yes",AG$3&gt;=Projects!$C$35,AG$3&lt;Projects!$C$35+Projects!$D$35),Projects!$B$35*INDEX(Curves!$B$4:$AR$4,1,AG$3-Projects!$C$35+1),0)-IF(AND(Projects!$G$35="Yes",AG$3&gt;=Projects!$C$35,AG$3&lt;Projects!$C$35+Projects!$D$35),Projects!$B$35*(Assumptions!$B$10+Assumptions!$B$11+Assumptions!$B$12)/Projects!$D$35*0.95,0)-IF(AND(Projects!$G$35="Yes",AG$3=Projects!$C$35+Projects!$D$35-1),Projects!$B$35*(Assumptions!$B$10+Assumptions!$B$11+Assumptions!$B$12)*0.05,0)</f>
        <v>0</v>
      </c>
      <c r="AH44" s="30" t="n">
        <f aca="false">IF(AND(Projects!$G$35="Yes",AH$3&gt;=Projects!$C$35,AH$3&lt;Projects!$C$35+Projects!$D$35),Projects!$B$35*INDEX(Curves!$B$4:$AR$4,1,AH$3-Projects!$C$35+1),0)-IF(AND(Projects!$G$35="Yes",AH$3&gt;=Projects!$C$35,AH$3&lt;Projects!$C$35+Projects!$D$35),Projects!$B$35*(Assumptions!$B$10+Assumptions!$B$11+Assumptions!$B$12)/Projects!$D$35*0.95,0)-IF(AND(Projects!$G$35="Yes",AH$3=Projects!$C$35+Projects!$D$35-1),Projects!$B$35*(Assumptions!$B$10+Assumptions!$B$11+Assumptions!$B$12)*0.05,0)</f>
        <v>0</v>
      </c>
      <c r="AI44" s="30" t="n">
        <f aca="false">IF(AND(Projects!$G$35="Yes",AI$3&gt;=Projects!$C$35,AI$3&lt;Projects!$C$35+Projects!$D$35),Projects!$B$35*INDEX(Curves!$B$4:$AR$4,1,AI$3-Projects!$C$35+1),0)-IF(AND(Projects!$G$35="Yes",AI$3&gt;=Projects!$C$35,AI$3&lt;Projects!$C$35+Projects!$D$35),Projects!$B$35*(Assumptions!$B$10+Assumptions!$B$11+Assumptions!$B$12)/Projects!$D$35*0.95,0)-IF(AND(Projects!$G$35="Yes",AI$3=Projects!$C$35+Projects!$D$35-1),Projects!$B$35*(Assumptions!$B$10+Assumptions!$B$11+Assumptions!$B$12)*0.05,0)</f>
        <v>0</v>
      </c>
      <c r="AJ44" s="30" t="n">
        <f aca="false">IF(AND(Projects!$G$35="Yes",AJ$3&gt;=Projects!$C$35,AJ$3&lt;Projects!$C$35+Projects!$D$35),Projects!$B$35*INDEX(Curves!$B$4:$AR$4,1,AJ$3-Projects!$C$35+1),0)-IF(AND(Projects!$G$35="Yes",AJ$3&gt;=Projects!$C$35,AJ$3&lt;Projects!$C$35+Projects!$D$35),Projects!$B$35*(Assumptions!$B$10+Assumptions!$B$11+Assumptions!$B$12)/Projects!$D$35*0.95,0)-IF(AND(Projects!$G$35="Yes",AJ$3=Projects!$C$35+Projects!$D$35-1),Projects!$B$35*(Assumptions!$B$10+Assumptions!$B$11+Assumptions!$B$12)*0.05,0)</f>
        <v>0</v>
      </c>
      <c r="AK44" s="30" t="n">
        <f aca="false">IF(AND(Projects!$G$35="Yes",AK$3&gt;=Projects!$C$35,AK$3&lt;Projects!$C$35+Projects!$D$35),Projects!$B$35*INDEX(Curves!$B$4:$AR$4,1,AK$3-Projects!$C$35+1),0)-IF(AND(Projects!$G$35="Yes",AK$3&gt;=Projects!$C$35,AK$3&lt;Projects!$C$35+Projects!$D$35),Projects!$B$35*(Assumptions!$B$10+Assumptions!$B$11+Assumptions!$B$12)/Projects!$D$35*0.95,0)-IF(AND(Projects!$G$35="Yes",AK$3=Projects!$C$35+Projects!$D$35-1),Projects!$B$35*(Assumptions!$B$10+Assumptions!$B$11+Assumptions!$B$12)*0.05,0)</f>
        <v>0</v>
      </c>
      <c r="AL44" s="30" t="n">
        <f aca="false">IF(AND(Projects!$G$35="Yes",AL$3&gt;=Projects!$C$35,AL$3&lt;Projects!$C$35+Projects!$D$35),Projects!$B$35*INDEX(Curves!$B$4:$AR$4,1,AL$3-Projects!$C$35+1),0)-IF(AND(Projects!$G$35="Yes",AL$3&gt;=Projects!$C$35,AL$3&lt;Projects!$C$35+Projects!$D$35),Projects!$B$35*(Assumptions!$B$10+Assumptions!$B$11+Assumptions!$B$12)/Projects!$D$35*0.95,0)-IF(AND(Projects!$G$35="Yes",AL$3=Projects!$C$35+Projects!$D$35-1),Projects!$B$35*(Assumptions!$B$10+Assumptions!$B$11+Assumptions!$B$12)*0.05,0)</f>
        <v>0</v>
      </c>
      <c r="AM44" s="30" t="n">
        <f aca="false">IF(AND(Projects!$G$35="Yes",AM$3&gt;=Projects!$C$35,AM$3&lt;Projects!$C$35+Projects!$D$35),Projects!$B$35*INDEX(Curves!$B$4:$AR$4,1,AM$3-Projects!$C$35+1),0)-IF(AND(Projects!$G$35="Yes",AM$3&gt;=Projects!$C$35,AM$3&lt;Projects!$C$35+Projects!$D$35),Projects!$B$35*(Assumptions!$B$10+Assumptions!$B$11+Assumptions!$B$12)/Projects!$D$35*0.95,0)-IF(AND(Projects!$G$35="Yes",AM$3=Projects!$C$35+Projects!$D$35-1),Projects!$B$35*(Assumptions!$B$10+Assumptions!$B$11+Assumptions!$B$12)*0.05,0)</f>
        <v>0</v>
      </c>
      <c r="AN44" s="30" t="n">
        <f aca="false">IF(AND(Projects!$G$35="Yes",AN$3&gt;=Projects!$C$35,AN$3&lt;Projects!$C$35+Projects!$D$35),Projects!$B$35*INDEX(Curves!$B$4:$AR$4,1,AN$3-Projects!$C$35+1),0)-IF(AND(Projects!$G$35="Yes",AN$3&gt;=Projects!$C$35,AN$3&lt;Projects!$C$35+Projects!$D$35),Projects!$B$35*(Assumptions!$B$10+Assumptions!$B$11+Assumptions!$B$12)/Projects!$D$35*0.95,0)-IF(AND(Projects!$G$35="Yes",AN$3=Projects!$C$35+Projects!$D$35-1),Projects!$B$35*(Assumptions!$B$10+Assumptions!$B$11+Assumptions!$B$12)*0.05,0)</f>
        <v>0</v>
      </c>
      <c r="AO44" s="30" t="n">
        <f aca="false">IF(AND(Projects!$G$35="Yes",AO$3&gt;=Projects!$C$35,AO$3&lt;Projects!$C$35+Projects!$D$35),Projects!$B$35*INDEX(Curves!$B$4:$AR$4,1,AO$3-Projects!$C$35+1),0)-IF(AND(Projects!$G$35="Yes",AO$3&gt;=Projects!$C$35,AO$3&lt;Projects!$C$35+Projects!$D$35),Projects!$B$35*(Assumptions!$B$10+Assumptions!$B$11+Assumptions!$B$12)/Projects!$D$35*0.95,0)-IF(AND(Projects!$G$35="Yes",AO$3=Projects!$C$35+Projects!$D$35-1),Projects!$B$35*(Assumptions!$B$10+Assumptions!$B$11+Assumptions!$B$12)*0.05,0)</f>
        <v>0</v>
      </c>
      <c r="AP44" s="30" t="n">
        <f aca="false">IF(AND(Projects!$G$35="Yes",AP$3&gt;=Projects!$C$35,AP$3&lt;Projects!$C$35+Projects!$D$35),Projects!$B$35*INDEX(Curves!$B$4:$AR$4,1,AP$3-Projects!$C$35+1),0)-IF(AND(Projects!$G$35="Yes",AP$3&gt;=Projects!$C$35,AP$3&lt;Projects!$C$35+Projects!$D$35),Projects!$B$35*(Assumptions!$B$10+Assumptions!$B$11+Assumptions!$B$12)/Projects!$D$35*0.95,0)-IF(AND(Projects!$G$35="Yes",AP$3=Projects!$C$35+Projects!$D$35-1),Projects!$B$35*(Assumptions!$B$10+Assumptions!$B$11+Assumptions!$B$12)*0.05,0)</f>
        <v>0</v>
      </c>
      <c r="AQ44" s="30" t="n">
        <f aca="false">IF(AND(Projects!$G$35="Yes",AQ$3&gt;=Projects!$C$35,AQ$3&lt;Projects!$C$35+Projects!$D$35),Projects!$B$35*INDEX(Curves!$B$4:$AR$4,1,AQ$3-Projects!$C$35+1),0)-IF(AND(Projects!$G$35="Yes",AQ$3&gt;=Projects!$C$35,AQ$3&lt;Projects!$C$35+Projects!$D$35),Projects!$B$35*(Assumptions!$B$10+Assumptions!$B$11+Assumptions!$B$12)/Projects!$D$35*0.95,0)-IF(AND(Projects!$G$35="Yes",AQ$3=Projects!$C$35+Projects!$D$35-1),Projects!$B$35*(Assumptions!$B$10+Assumptions!$B$11+Assumptions!$B$12)*0.05,0)</f>
        <v>0</v>
      </c>
      <c r="AR44" s="30" t="n">
        <f aca="false">IF(AND(Projects!$G$35="Yes",AR$3&gt;=Projects!$C$35,AR$3&lt;Projects!$C$35+Projects!$D$35),Projects!$B$35*INDEX(Curves!$B$4:$AR$4,1,AR$3-Projects!$C$35+1),0)-IF(AND(Projects!$G$35="Yes",AR$3&gt;=Projects!$C$35,AR$3&lt;Projects!$C$35+Projects!$D$35),Projects!$B$35*(Assumptions!$B$10+Assumptions!$B$11+Assumptions!$B$12)/Projects!$D$35*0.95,0)-IF(AND(Projects!$G$35="Yes",AR$3=Projects!$C$35+Projects!$D$35-1),Projects!$B$35*(Assumptions!$B$10+Assumptions!$B$11+Assumptions!$B$12)*0.05,0)</f>
        <v>0</v>
      </c>
      <c r="AS44" s="30" t="n">
        <f aca="false">IF(AND(Projects!$G$35="Yes",AS$3&gt;=Projects!$C$35,AS$3&lt;Projects!$C$35+Projects!$D$35),Projects!$B$35*INDEX(Curves!$B$4:$AR$4,1,AS$3-Projects!$C$35+1),0)-IF(AND(Projects!$G$35="Yes",AS$3&gt;=Projects!$C$35,AS$3&lt;Projects!$C$35+Projects!$D$35),Projects!$B$35*(Assumptions!$B$10+Assumptions!$B$11+Assumptions!$B$12)/Projects!$D$35*0.95,0)-IF(AND(Projects!$G$35="Yes",AS$3=Projects!$C$35+Projects!$D$35-1),Projects!$B$35*(Assumptions!$B$10+Assumptions!$B$11+Assumptions!$B$12)*0.05,0)</f>
        <v>0</v>
      </c>
      <c r="AT44" s="30" t="n">
        <f aca="false">IF(AND(Projects!$G$35="Yes",AT$3&gt;=Projects!$C$35,AT$3&lt;Projects!$C$35+Projects!$D$35),Projects!$B$35*INDEX(Curves!$B$4:$AR$4,1,AT$3-Projects!$C$35+1),0)-IF(AND(Projects!$G$35="Yes",AT$3&gt;=Projects!$C$35,AT$3&lt;Projects!$C$35+Projects!$D$35),Projects!$B$35*(Assumptions!$B$10+Assumptions!$B$11+Assumptions!$B$12)/Projects!$D$35*0.95,0)-IF(AND(Projects!$G$35="Yes",AT$3=Projects!$C$35+Projects!$D$35-1),Projects!$B$35*(Assumptions!$B$10+Assumptions!$B$11+Assumptions!$B$12)*0.05,0)</f>
        <v>0</v>
      </c>
      <c r="AU44" s="30" t="n">
        <f aca="false">IF(AND(Projects!$G$35="Yes",AU$3&gt;=Projects!$C$35,AU$3&lt;Projects!$C$35+Projects!$D$35),Projects!$B$35*INDEX(Curves!$B$4:$AR$4,1,AU$3-Projects!$C$35+1),0)-IF(AND(Projects!$G$35="Yes",AU$3&gt;=Projects!$C$35,AU$3&lt;Projects!$C$35+Projects!$D$35),Projects!$B$35*(Assumptions!$B$10+Assumptions!$B$11+Assumptions!$B$12)/Projects!$D$35*0.95,0)-IF(AND(Projects!$G$35="Yes",AU$3=Projects!$C$35+Projects!$D$35-1),Projects!$B$35*(Assumptions!$B$10+Assumptions!$B$11+Assumptions!$B$12)*0.05,0)</f>
        <v>0</v>
      </c>
      <c r="AV44" s="30" t="n">
        <f aca="false">IF(AND(Projects!$G$35="Yes",AV$3&gt;=Projects!$C$35,AV$3&lt;Projects!$C$35+Projects!$D$35),Projects!$B$35*INDEX(Curves!$B$4:$AR$4,1,AV$3-Projects!$C$35+1),0)-IF(AND(Projects!$G$35="Yes",AV$3&gt;=Projects!$C$35,AV$3&lt;Projects!$C$35+Projects!$D$35),Projects!$B$35*(Assumptions!$B$10+Assumptions!$B$11+Assumptions!$B$12)/Projects!$D$35*0.95,0)-IF(AND(Projects!$G$35="Yes",AV$3=Projects!$C$35+Projects!$D$35-1),Projects!$B$35*(Assumptions!$B$10+Assumptions!$B$11+Assumptions!$B$12)*0.05,0)</f>
        <v>0</v>
      </c>
      <c r="AW44" s="30" t="n">
        <f aca="false">IF(AND(Projects!$G$35="Yes",AW$3&gt;=Projects!$C$35,AW$3&lt;Projects!$C$35+Projects!$D$35),Projects!$B$35*INDEX(Curves!$B$4:$AR$4,1,AW$3-Projects!$C$35+1),0)-IF(AND(Projects!$G$35="Yes",AW$3&gt;=Projects!$C$35,AW$3&lt;Projects!$C$35+Projects!$D$35),Projects!$B$35*(Assumptions!$B$10+Assumptions!$B$11+Assumptions!$B$12)/Projects!$D$35*0.95,0)-IF(AND(Projects!$G$35="Yes",AW$3=Projects!$C$35+Projects!$D$35-1),Projects!$B$35*(Assumptions!$B$10+Assumptions!$B$11+Assumptions!$B$12)*0.05,0)</f>
        <v>0</v>
      </c>
      <c r="AX44" s="30" t="n">
        <f aca="false">IF(AND(Projects!$G$35="Yes",AX$3&gt;=Projects!$C$35,AX$3&lt;Projects!$C$35+Projects!$D$35),Projects!$B$35*INDEX(Curves!$B$4:$AR$4,1,AX$3-Projects!$C$35+1),0)-IF(AND(Projects!$G$35="Yes",AX$3&gt;=Projects!$C$35,AX$3&lt;Projects!$C$35+Projects!$D$35),Projects!$B$35*(Assumptions!$B$10+Assumptions!$B$11+Assumptions!$B$12)/Projects!$D$35*0.95,0)-IF(AND(Projects!$G$35="Yes",AX$3=Projects!$C$35+Projects!$D$35-1),Projects!$B$35*(Assumptions!$B$10+Assumptions!$B$11+Assumptions!$B$12)*0.05,0)</f>
        <v>0</v>
      </c>
      <c r="AY44" s="30" t="n">
        <f aca="false">IF(AND(Projects!$G$35="Yes",AY$3&gt;=Projects!$C$35,AY$3&lt;Projects!$C$35+Projects!$D$35),Projects!$B$35*INDEX(Curves!$B$4:$AR$4,1,AY$3-Projects!$C$35+1),0)-IF(AND(Projects!$G$35="Yes",AY$3&gt;=Projects!$C$35,AY$3&lt;Projects!$C$35+Projects!$D$35),Projects!$B$35*(Assumptions!$B$10+Assumptions!$B$11+Assumptions!$B$12)/Projects!$D$35*0.95,0)-IF(AND(Projects!$G$35="Yes",AY$3=Projects!$C$35+Projects!$D$35-1),Projects!$B$35*(Assumptions!$B$10+Assumptions!$B$11+Assumptions!$B$12)*0.05,0)</f>
        <v>0</v>
      </c>
      <c r="AZ44" s="30" t="n">
        <f aca="false">IF(AND(Projects!$G$35="Yes",AZ$3&gt;=Projects!$C$35,AZ$3&lt;Projects!$C$35+Projects!$D$35),Projects!$B$35*INDEX(Curves!$B$4:$AR$4,1,AZ$3-Projects!$C$35+1),0)-IF(AND(Projects!$G$35="Yes",AZ$3&gt;=Projects!$C$35,AZ$3&lt;Projects!$C$35+Projects!$D$35),Projects!$B$35*(Assumptions!$B$10+Assumptions!$B$11+Assumptions!$B$12)/Projects!$D$35*0.95,0)-IF(AND(Projects!$G$35="Yes",AZ$3=Projects!$C$35+Projects!$D$35-1),Projects!$B$35*(Assumptions!$B$10+Assumptions!$B$11+Assumptions!$B$12)*0.05,0)</f>
        <v>0</v>
      </c>
      <c r="BA44" s="30" t="n">
        <f aca="false">IF(AND(Projects!$G$35="Yes",BA$3&gt;=Projects!$C$35,BA$3&lt;Projects!$C$35+Projects!$D$35),Projects!$B$35*INDEX(Curves!$B$4:$AR$4,1,BA$3-Projects!$C$35+1),0)-IF(AND(Projects!$G$35="Yes",BA$3&gt;=Projects!$C$35,BA$3&lt;Projects!$C$35+Projects!$D$35),Projects!$B$35*(Assumptions!$B$10+Assumptions!$B$11+Assumptions!$B$12)/Projects!$D$35*0.95,0)-IF(AND(Projects!$G$35="Yes",BA$3=Projects!$C$35+Projects!$D$35-1),Projects!$B$35*(Assumptions!$B$10+Assumptions!$B$11+Assumptions!$B$12)*0.05,0)</f>
        <v>0</v>
      </c>
      <c r="BB44" s="30" t="n">
        <f aca="false">IF(AND(Projects!$G$35="Yes",BB$3&gt;=Projects!$C$35,BB$3&lt;Projects!$C$35+Projects!$D$35),Projects!$B$35*INDEX(Curves!$B$4:$AR$4,1,BB$3-Projects!$C$35+1),0)-IF(AND(Projects!$G$35="Yes",BB$3&gt;=Projects!$C$35,BB$3&lt;Projects!$C$35+Projects!$D$35),Projects!$B$35*(Assumptions!$B$10+Assumptions!$B$11+Assumptions!$B$12)/Projects!$D$35*0.95,0)-IF(AND(Projects!$G$35="Yes",BB$3=Projects!$C$35+Projects!$D$35-1),Projects!$B$35*(Assumptions!$B$10+Assumptions!$B$11+Assumptions!$B$12)*0.05,0)</f>
        <v>0</v>
      </c>
      <c r="BC44" s="30" t="n">
        <f aca="false">IF(AND(Projects!$G$35="Yes",BC$3&gt;=Projects!$C$35,BC$3&lt;Projects!$C$35+Projects!$D$35),Projects!$B$35*INDEX(Curves!$B$4:$AR$4,1,BC$3-Projects!$C$35+1),0)-IF(AND(Projects!$G$35="Yes",BC$3&gt;=Projects!$C$35,BC$3&lt;Projects!$C$35+Projects!$D$35),Projects!$B$35*(Assumptions!$B$10+Assumptions!$B$11+Assumptions!$B$12)/Projects!$D$35*0.95,0)-IF(AND(Projects!$G$35="Yes",BC$3=Projects!$C$35+Projects!$D$35-1),Projects!$B$35*(Assumptions!$B$10+Assumptions!$B$11+Assumptions!$B$12)*0.05,0)</f>
        <v>0</v>
      </c>
      <c r="BD44" s="30" t="n">
        <f aca="false">IF(AND(Projects!$G$35="Yes",BD$3&gt;=Projects!$C$35,BD$3&lt;Projects!$C$35+Projects!$D$35),Projects!$B$35*INDEX(Curves!$B$4:$AR$4,1,BD$3-Projects!$C$35+1),0)-IF(AND(Projects!$G$35="Yes",BD$3&gt;=Projects!$C$35,BD$3&lt;Projects!$C$35+Projects!$D$35),Projects!$B$35*(Assumptions!$B$10+Assumptions!$B$11+Assumptions!$B$12)/Projects!$D$35*0.95,0)-IF(AND(Projects!$G$35="Yes",BD$3=Projects!$C$35+Projects!$D$35-1),Projects!$B$35*(Assumptions!$B$10+Assumptions!$B$11+Assumptions!$B$12)*0.05,0)</f>
        <v>0</v>
      </c>
      <c r="BE44" s="30" t="n">
        <f aca="false">IF(AND(Projects!$G$35="Yes",BE$3&gt;=Projects!$C$35,BE$3&lt;Projects!$C$35+Projects!$D$35),Projects!$B$35*INDEX(Curves!$B$4:$AR$4,1,BE$3-Projects!$C$35+1),0)-IF(AND(Projects!$G$35="Yes",BE$3&gt;=Projects!$C$35,BE$3&lt;Projects!$C$35+Projects!$D$35),Projects!$B$35*(Assumptions!$B$10+Assumptions!$B$11+Assumptions!$B$12)/Projects!$D$35*0.95,0)-IF(AND(Projects!$G$35="Yes",BE$3=Projects!$C$35+Projects!$D$35-1),Projects!$B$35*(Assumptions!$B$10+Assumptions!$B$11+Assumptions!$B$12)*0.05,0)</f>
        <v>0</v>
      </c>
      <c r="BF44" s="30" t="n">
        <f aca="false">IF(AND(Projects!$G$35="Yes",BF$3&gt;=Projects!$C$35,BF$3&lt;Projects!$C$35+Projects!$D$35),Projects!$B$35*INDEX(Curves!$B$4:$AR$4,1,BF$3-Projects!$C$35+1),0)-IF(AND(Projects!$G$35="Yes",BF$3&gt;=Projects!$C$35,BF$3&lt;Projects!$C$35+Projects!$D$35),Projects!$B$35*(Assumptions!$B$10+Assumptions!$B$11+Assumptions!$B$12)/Projects!$D$35*0.95,0)-IF(AND(Projects!$G$35="Yes",BF$3=Projects!$C$35+Projects!$D$35-1),Projects!$B$35*(Assumptions!$B$10+Assumptions!$B$11+Assumptions!$B$12)*0.05,0)</f>
        <v>0</v>
      </c>
      <c r="BG44" s="30" t="n">
        <f aca="false">IF(AND(Projects!$G$35="Yes",BG$3&gt;=Projects!$C$35,BG$3&lt;Projects!$C$35+Projects!$D$35),Projects!$B$35*INDEX(Curves!$B$4:$AR$4,1,BG$3-Projects!$C$35+1),0)-IF(AND(Projects!$G$35="Yes",BG$3&gt;=Projects!$C$35,BG$3&lt;Projects!$C$35+Projects!$D$35),Projects!$B$35*(Assumptions!$B$10+Assumptions!$B$11+Assumptions!$B$12)/Projects!$D$35*0.95,0)-IF(AND(Projects!$G$35="Yes",BG$3=Projects!$C$35+Projects!$D$35-1),Projects!$B$35*(Assumptions!$B$10+Assumptions!$B$11+Assumptions!$B$12)*0.05,0)</f>
        <v>0</v>
      </c>
      <c r="BH44" s="30" t="n">
        <f aca="false">IF(AND(Projects!$G$35="Yes",BH$3&gt;=Projects!$C$35,BH$3&lt;Projects!$C$35+Projects!$D$35),Projects!$B$35*INDEX(Curves!$B$4:$AR$4,1,BH$3-Projects!$C$35+1),0)-IF(AND(Projects!$G$35="Yes",BH$3&gt;=Projects!$C$35,BH$3&lt;Projects!$C$35+Projects!$D$35),Projects!$B$35*(Assumptions!$B$10+Assumptions!$B$11+Assumptions!$B$12)/Projects!$D$35*0.95,0)-IF(AND(Projects!$G$35="Yes",BH$3=Projects!$C$35+Projects!$D$35-1),Projects!$B$35*(Assumptions!$B$10+Assumptions!$B$11+Assumptions!$B$12)*0.05,0)</f>
        <v>0</v>
      </c>
      <c r="BI44" s="30" t="n">
        <f aca="false">IF(AND(Projects!$G$35="Yes",BI$3&gt;=Projects!$C$35,BI$3&lt;Projects!$C$35+Projects!$D$35),Projects!$B$35*INDEX(Curves!$B$4:$AR$4,1,BI$3-Projects!$C$35+1),0)-IF(AND(Projects!$G$35="Yes",BI$3&gt;=Projects!$C$35,BI$3&lt;Projects!$C$35+Projects!$D$35),Projects!$B$35*(Assumptions!$B$10+Assumptions!$B$11+Assumptions!$B$12)/Projects!$D$35*0.95,0)-IF(AND(Projects!$G$35="Yes",BI$3=Projects!$C$35+Projects!$D$35-1),Projects!$B$35*(Assumptions!$B$10+Assumptions!$B$11+Assumptions!$B$12)*0.05,0)</f>
        <v>0</v>
      </c>
      <c r="BJ44" s="30" t="n">
        <f aca="false">IF(AND(Projects!$G$35="Yes",BJ$3&gt;=Projects!$C$35,BJ$3&lt;Projects!$C$35+Projects!$D$35),Projects!$B$35*INDEX(Curves!$B$4:$AR$4,1,BJ$3-Projects!$C$35+1),0)-IF(AND(Projects!$G$35="Yes",BJ$3&gt;=Projects!$C$35,BJ$3&lt;Projects!$C$35+Projects!$D$35),Projects!$B$35*(Assumptions!$B$10+Assumptions!$B$11+Assumptions!$B$12)/Projects!$D$35*0.95,0)-IF(AND(Projects!$G$35="Yes",BJ$3=Projects!$C$35+Projects!$D$35-1),Projects!$B$35*(Assumptions!$B$10+Assumptions!$B$11+Assumptions!$B$12)*0.05,0)</f>
        <v>0</v>
      </c>
      <c r="BK44" s="30" t="n">
        <f aca="false">IF(AND(Projects!$G$35="Yes",BK$3&gt;=Projects!$C$35,BK$3&lt;Projects!$C$35+Projects!$D$35),Projects!$B$35*INDEX(Curves!$B$4:$AR$4,1,BK$3-Projects!$C$35+1),0)-IF(AND(Projects!$G$35="Yes",BK$3&gt;=Projects!$C$35,BK$3&lt;Projects!$C$35+Projects!$D$35),Projects!$B$35*(Assumptions!$B$10+Assumptions!$B$11+Assumptions!$B$12)/Projects!$D$35*0.95,0)-IF(AND(Projects!$G$35="Yes",BK$3=Projects!$C$35+Projects!$D$35-1),Projects!$B$35*(Assumptions!$B$10+Assumptions!$B$11+Assumptions!$B$12)*0.05,0)</f>
        <v>0</v>
      </c>
      <c r="BL44" s="30" t="n">
        <f aca="false">IF(AND(Projects!$G$35="Yes",BL$3&gt;=Projects!$C$35,BL$3&lt;Projects!$C$35+Projects!$D$35),Projects!$B$35*INDEX(Curves!$B$4:$AR$4,1,BL$3-Projects!$C$35+1),0)-IF(AND(Projects!$G$35="Yes",BL$3&gt;=Projects!$C$35,BL$3&lt;Projects!$C$35+Projects!$D$35),Projects!$B$35*(Assumptions!$B$10+Assumptions!$B$11+Assumptions!$B$12)/Projects!$D$35*0.95,0)-IF(AND(Projects!$G$35="Yes",BL$3=Projects!$C$35+Projects!$D$35-1),Projects!$B$35*(Assumptions!$B$10+Assumptions!$B$11+Assumptions!$B$12)*0.05,0)</f>
        <v>0</v>
      </c>
      <c r="BM44" s="30" t="n">
        <f aca="false">IF(AND(Projects!$G$35="Yes",BM$3&gt;=Projects!$C$35,BM$3&lt;Projects!$C$35+Projects!$D$35),Projects!$B$35*INDEX(Curves!$B$4:$AR$4,1,BM$3-Projects!$C$35+1),0)-IF(AND(Projects!$G$35="Yes",BM$3&gt;=Projects!$C$35,BM$3&lt;Projects!$C$35+Projects!$D$35),Projects!$B$35*(Assumptions!$B$10+Assumptions!$B$11+Assumptions!$B$12)/Projects!$D$35*0.95,0)-IF(AND(Projects!$G$35="Yes",BM$3=Projects!$C$35+Projects!$D$35-1),Projects!$B$35*(Assumptions!$B$10+Assumptions!$B$11+Assumptions!$B$12)*0.05,0)</f>
        <v>0</v>
      </c>
      <c r="BN44" s="30" t="n">
        <f aca="false">IF(AND(Projects!$G$35="Yes",BN$3&gt;=Projects!$C$35,BN$3&lt;Projects!$C$35+Projects!$D$35),Projects!$B$35*INDEX(Curves!$B$4:$AR$4,1,BN$3-Projects!$C$35+1),0)-IF(AND(Projects!$G$35="Yes",BN$3&gt;=Projects!$C$35,BN$3&lt;Projects!$C$35+Projects!$D$35),Projects!$B$35*(Assumptions!$B$10+Assumptions!$B$11+Assumptions!$B$12)/Projects!$D$35*0.95,0)-IF(AND(Projects!$G$35="Yes",BN$3=Projects!$C$35+Projects!$D$35-1),Projects!$B$35*(Assumptions!$B$10+Assumptions!$B$11+Assumptions!$B$12)*0.05,0)</f>
        <v>0</v>
      </c>
      <c r="BO44" s="30" t="n">
        <f aca="false">IF(AND(Projects!$G$35="Yes",BO$3&gt;=Projects!$C$35,BO$3&lt;Projects!$C$35+Projects!$D$35),Projects!$B$35*INDEX(Curves!$B$4:$AR$4,1,BO$3-Projects!$C$35+1),0)-IF(AND(Projects!$G$35="Yes",BO$3&gt;=Projects!$C$35,BO$3&lt;Projects!$C$35+Projects!$D$35),Projects!$B$35*(Assumptions!$B$10+Assumptions!$B$11+Assumptions!$B$12)/Projects!$D$35*0.95,0)-IF(AND(Projects!$G$35="Yes",BO$3=Projects!$C$35+Projects!$D$35-1),Projects!$B$35*(Assumptions!$B$10+Assumptions!$B$11+Assumptions!$B$12)*0.05,0)</f>
        <v>0</v>
      </c>
      <c r="BP44" s="30" t="n">
        <f aca="false">IF(AND(Projects!$G$35="Yes",BP$3&gt;=Projects!$C$35,BP$3&lt;Projects!$C$35+Projects!$D$35),Projects!$B$35*INDEX(Curves!$B$4:$AR$4,1,BP$3-Projects!$C$35+1),0)-IF(AND(Projects!$G$35="Yes",BP$3&gt;=Projects!$C$35,BP$3&lt;Projects!$C$35+Projects!$D$35),Projects!$B$35*(Assumptions!$B$10+Assumptions!$B$11+Assumptions!$B$12)/Projects!$D$35*0.95,0)-IF(AND(Projects!$G$35="Yes",BP$3=Projects!$C$35+Projects!$D$35-1),Projects!$B$35*(Assumptions!$B$10+Assumptions!$B$11+Assumptions!$B$12)*0.05,0)</f>
        <v>0</v>
      </c>
      <c r="BQ44" s="30" t="n">
        <f aca="false">IF(AND(Projects!$G$35="Yes",BQ$3&gt;=Projects!$C$35,BQ$3&lt;Projects!$C$35+Projects!$D$35),Projects!$B$35*INDEX(Curves!$B$4:$AR$4,1,BQ$3-Projects!$C$35+1),0)-IF(AND(Projects!$G$35="Yes",BQ$3&gt;=Projects!$C$35,BQ$3&lt;Projects!$C$35+Projects!$D$35),Projects!$B$35*(Assumptions!$B$10+Assumptions!$B$11+Assumptions!$B$12)/Projects!$D$35*0.95,0)-IF(AND(Projects!$G$35="Yes",BQ$3=Projects!$C$35+Projects!$D$35-1),Projects!$B$35*(Assumptions!$B$10+Assumptions!$B$11+Assumptions!$B$12)*0.05,0)</f>
        <v>0</v>
      </c>
      <c r="BR44" s="30" t="n">
        <f aca="false">IF(AND(Projects!$G$35="Yes",BR$3&gt;=Projects!$C$35,BR$3&lt;Projects!$C$35+Projects!$D$35),Projects!$B$35*INDEX(Curves!$B$4:$AR$4,1,BR$3-Projects!$C$35+1),0)-IF(AND(Projects!$G$35="Yes",BR$3&gt;=Projects!$C$35,BR$3&lt;Projects!$C$35+Projects!$D$35),Projects!$B$35*(Assumptions!$B$10+Assumptions!$B$11+Assumptions!$B$12)/Projects!$D$35*0.95,0)-IF(AND(Projects!$G$35="Yes",BR$3=Projects!$C$35+Projects!$D$35-1),Projects!$B$35*(Assumptions!$B$10+Assumptions!$B$11+Assumptions!$B$12)*0.05,0)</f>
        <v>0</v>
      </c>
      <c r="BS44" s="30" t="n">
        <f aca="false">IF(AND(Projects!$G$35="Yes",BS$3&gt;=Projects!$C$35,BS$3&lt;Projects!$C$35+Projects!$D$35),Projects!$B$35*INDEX(Curves!$B$4:$AR$4,1,BS$3-Projects!$C$35+1),0)-IF(AND(Projects!$G$35="Yes",BS$3&gt;=Projects!$C$35,BS$3&lt;Projects!$C$35+Projects!$D$35),Projects!$B$35*(Assumptions!$B$10+Assumptions!$B$11+Assumptions!$B$12)/Projects!$D$35*0.95,0)-IF(AND(Projects!$G$35="Yes",BS$3=Projects!$C$35+Projects!$D$35-1),Projects!$B$35*(Assumptions!$B$10+Assumptions!$B$11+Assumptions!$B$12)*0.05,0)</f>
        <v>0</v>
      </c>
      <c r="BT44" s="30" t="n">
        <f aca="false">IF(AND(Projects!$G$35="Yes",BT$3&gt;=Projects!$C$35,BT$3&lt;Projects!$C$35+Projects!$D$35),Projects!$B$35*INDEX(Curves!$B$4:$AR$4,1,BT$3-Projects!$C$35+1),0)-IF(AND(Projects!$G$35="Yes",BT$3&gt;=Projects!$C$35,BT$3&lt;Projects!$C$35+Projects!$D$35),Projects!$B$35*(Assumptions!$B$10+Assumptions!$B$11+Assumptions!$B$12)/Projects!$D$35*0.95,0)-IF(AND(Projects!$G$35="Yes",BT$3=Projects!$C$35+Projects!$D$35-1),Projects!$B$35*(Assumptions!$B$10+Assumptions!$B$11+Assumptions!$B$12)*0.05,0)</f>
        <v>0</v>
      </c>
      <c r="BU44" s="30" t="n">
        <f aca="false">IF(AND(Projects!$G$35="Yes",BU$3&gt;=Projects!$C$35,BU$3&lt;Projects!$C$35+Projects!$D$35),Projects!$B$35*INDEX(Curves!$B$4:$AR$4,1,BU$3-Projects!$C$35+1),0)-IF(AND(Projects!$G$35="Yes",BU$3&gt;=Projects!$C$35,BU$3&lt;Projects!$C$35+Projects!$D$35),Projects!$B$35*(Assumptions!$B$10+Assumptions!$B$11+Assumptions!$B$12)/Projects!$D$35*0.95,0)-IF(AND(Projects!$G$35="Yes",BU$3=Projects!$C$35+Projects!$D$35-1),Projects!$B$35*(Assumptions!$B$10+Assumptions!$B$11+Assumptions!$B$12)*0.05,0)</f>
        <v>0</v>
      </c>
      <c r="BV44" s="30" t="n">
        <f aca="false">IF(AND(Projects!$G$35="Yes",BV$3&gt;=Projects!$C$35,BV$3&lt;Projects!$C$35+Projects!$D$35),Projects!$B$35*INDEX(Curves!$B$4:$AR$4,1,BV$3-Projects!$C$35+1),0)-IF(AND(Projects!$G$35="Yes",BV$3&gt;=Projects!$C$35,BV$3&lt;Projects!$C$35+Projects!$D$35),Projects!$B$35*(Assumptions!$B$10+Assumptions!$B$11+Assumptions!$B$12)/Projects!$D$35*0.95,0)-IF(AND(Projects!$G$35="Yes",BV$3=Projects!$C$35+Projects!$D$35-1),Projects!$B$35*(Assumptions!$B$10+Assumptions!$B$11+Assumptions!$B$12)*0.05,0)</f>
        <v>0</v>
      </c>
      <c r="BW44" s="30" t="n">
        <f aca="false">IF(AND(Projects!$G$35="Yes",BW$3&gt;=Projects!$C$35,BW$3&lt;Projects!$C$35+Projects!$D$35),Projects!$B$35*INDEX(Curves!$B$4:$AR$4,1,BW$3-Projects!$C$35+1),0)-IF(AND(Projects!$G$35="Yes",BW$3&gt;=Projects!$C$35,BW$3&lt;Projects!$C$35+Projects!$D$35),Projects!$B$35*(Assumptions!$B$10+Assumptions!$B$11+Assumptions!$B$12)/Projects!$D$35*0.95,0)-IF(AND(Projects!$G$35="Yes",BW$3=Projects!$C$35+Projects!$D$35-1),Projects!$B$35*(Assumptions!$B$10+Assumptions!$B$11+Assumptions!$B$12)*0.05,0)</f>
        <v>0</v>
      </c>
      <c r="BX44" s="30" t="n">
        <f aca="false">IF(AND(Projects!$G$35="Yes",BX$3&gt;=Projects!$C$35,BX$3&lt;Projects!$C$35+Projects!$D$35),Projects!$B$35*INDEX(Curves!$B$4:$AR$4,1,BX$3-Projects!$C$35+1),0)-IF(AND(Projects!$G$35="Yes",BX$3&gt;=Projects!$C$35,BX$3&lt;Projects!$C$35+Projects!$D$35),Projects!$B$35*(Assumptions!$B$10+Assumptions!$B$11+Assumptions!$B$12)/Projects!$D$35*0.95,0)-IF(AND(Projects!$G$35="Yes",BX$3=Projects!$C$35+Projects!$D$35-1),Projects!$B$35*(Assumptions!$B$10+Assumptions!$B$11+Assumptions!$B$12)*0.05,0)</f>
        <v>0</v>
      </c>
      <c r="BY44" s="30" t="n">
        <f aca="false">IF(AND(Projects!$G$35="Yes",BY$3&gt;=Projects!$C$35,BY$3&lt;Projects!$C$35+Projects!$D$35),Projects!$B$35*INDEX(Curves!$B$4:$AR$4,1,BY$3-Projects!$C$35+1),0)-IF(AND(Projects!$G$35="Yes",BY$3&gt;=Projects!$C$35,BY$3&lt;Projects!$C$35+Projects!$D$35),Projects!$B$35*(Assumptions!$B$10+Assumptions!$B$11+Assumptions!$B$12)/Projects!$D$35*0.95,0)-IF(AND(Projects!$G$35="Yes",BY$3=Projects!$C$35+Projects!$D$35-1),Projects!$B$35*(Assumptions!$B$10+Assumptions!$B$11+Assumptions!$B$12)*0.05,0)</f>
        <v>0</v>
      </c>
      <c r="BZ44" s="30" t="n">
        <f aca="false">IF(AND(Projects!$G$35="Yes",BZ$3&gt;=Projects!$C$35,BZ$3&lt;Projects!$C$35+Projects!$D$35),Projects!$B$35*INDEX(Curves!$B$4:$AR$4,1,BZ$3-Projects!$C$35+1),0)-IF(AND(Projects!$G$35="Yes",BZ$3&gt;=Projects!$C$35,BZ$3&lt;Projects!$C$35+Projects!$D$35),Projects!$B$35*(Assumptions!$B$10+Assumptions!$B$11+Assumptions!$B$12)/Projects!$D$35*0.95,0)-IF(AND(Projects!$G$35="Yes",BZ$3=Projects!$C$35+Projects!$D$35-1),Projects!$B$35*(Assumptions!$B$10+Assumptions!$B$11+Assumptions!$B$12)*0.05,0)</f>
        <v>0</v>
      </c>
      <c r="CA44" s="30" t="n">
        <f aca="false">IF(AND(Projects!$G$35="Yes",CA$3&gt;=Projects!$C$35,CA$3&lt;Projects!$C$35+Projects!$D$35),Projects!$B$35*INDEX(Curves!$B$4:$AR$4,1,CA$3-Projects!$C$35+1),0)-IF(AND(Projects!$G$35="Yes",CA$3&gt;=Projects!$C$35,CA$3&lt;Projects!$C$35+Projects!$D$35),Projects!$B$35*(Assumptions!$B$10+Assumptions!$B$11+Assumptions!$B$12)/Projects!$D$35*0.95,0)-IF(AND(Projects!$G$35="Yes",CA$3=Projects!$C$35+Projects!$D$35-1),Projects!$B$35*(Assumptions!$B$10+Assumptions!$B$11+Assumptions!$B$12)*0.05,0)</f>
        <v>0</v>
      </c>
      <c r="CB44" s="30" t="n">
        <f aca="false">IF(AND(Projects!$G$35="Yes",CB$3&gt;=Projects!$C$35,CB$3&lt;Projects!$C$35+Projects!$D$35),Projects!$B$35*INDEX(Curves!$B$4:$AR$4,1,CB$3-Projects!$C$35+1),0)-IF(AND(Projects!$G$35="Yes",CB$3&gt;=Projects!$C$35,CB$3&lt;Projects!$C$35+Projects!$D$35),Projects!$B$35*(Assumptions!$B$10+Assumptions!$B$11+Assumptions!$B$12)/Projects!$D$35*0.95,0)-IF(AND(Projects!$G$35="Yes",CB$3=Projects!$C$35+Projects!$D$35-1),Projects!$B$35*(Assumptions!$B$10+Assumptions!$B$11+Assumptions!$B$12)*0.05,0)</f>
        <v>0</v>
      </c>
      <c r="CC44" s="30" t="n">
        <f aca="false">IF(AND(Projects!$G$35="Yes",CC$3&gt;=Projects!$C$35,CC$3&lt;Projects!$C$35+Projects!$D$35),Projects!$B$35*INDEX(Curves!$B$4:$AR$4,1,CC$3-Projects!$C$35+1),0)-IF(AND(Projects!$G$35="Yes",CC$3&gt;=Projects!$C$35,CC$3&lt;Projects!$C$35+Projects!$D$35),Projects!$B$35*(Assumptions!$B$10+Assumptions!$B$11+Assumptions!$B$12)/Projects!$D$35*0.95,0)-IF(AND(Projects!$G$35="Yes",CC$3=Projects!$C$35+Projects!$D$35-1),Projects!$B$35*(Assumptions!$B$10+Assumptions!$B$11+Assumptions!$B$12)*0.05,0)</f>
        <v>0</v>
      </c>
      <c r="CD44" s="30" t="n">
        <f aca="false">IF(AND(Projects!$G$35="Yes",CD$3&gt;=Projects!$C$35,CD$3&lt;Projects!$C$35+Projects!$D$35),Projects!$B$35*INDEX(Curves!$B$4:$AR$4,1,CD$3-Projects!$C$35+1),0)-IF(AND(Projects!$G$35="Yes",CD$3&gt;=Projects!$C$35,CD$3&lt;Projects!$C$35+Projects!$D$35),Projects!$B$35*(Assumptions!$B$10+Assumptions!$B$11+Assumptions!$B$12)/Projects!$D$35*0.95,0)-IF(AND(Projects!$G$35="Yes",CD$3=Projects!$C$35+Projects!$D$35-1),Projects!$B$35*(Assumptions!$B$10+Assumptions!$B$11+Assumptions!$B$12)*0.05,0)</f>
        <v>0</v>
      </c>
      <c r="CE44" s="30" t="n">
        <f aca="false">IF(AND(Projects!$G$35="Yes",CE$3&gt;=Projects!$C$35,CE$3&lt;Projects!$C$35+Projects!$D$35),Projects!$B$35*INDEX(Curves!$B$4:$AR$4,1,CE$3-Projects!$C$35+1),0)-IF(AND(Projects!$G$35="Yes",CE$3&gt;=Projects!$C$35,CE$3&lt;Projects!$C$35+Projects!$D$35),Projects!$B$35*(Assumptions!$B$10+Assumptions!$B$11+Assumptions!$B$12)/Projects!$D$35*0.95,0)-IF(AND(Projects!$G$35="Yes",CE$3=Projects!$C$35+Projects!$D$35-1),Projects!$B$35*(Assumptions!$B$10+Assumptions!$B$11+Assumptions!$B$12)*0.05,0)</f>
        <v>0</v>
      </c>
      <c r="CF44" s="30" t="n">
        <f aca="false">IF(AND(Projects!$G$35="Yes",CF$3&gt;=Projects!$C$35,CF$3&lt;Projects!$C$35+Projects!$D$35),Projects!$B$35*INDEX(Curves!$B$4:$AR$4,1,CF$3-Projects!$C$35+1),0)-IF(AND(Projects!$G$35="Yes",CF$3&gt;=Projects!$C$35,CF$3&lt;Projects!$C$35+Projects!$D$35),Projects!$B$35*(Assumptions!$B$10+Assumptions!$B$11+Assumptions!$B$12)/Projects!$D$35*0.95,0)-IF(AND(Projects!$G$35="Yes",CF$3=Projects!$C$35+Projects!$D$35-1),Projects!$B$35*(Assumptions!$B$10+Assumptions!$B$11+Assumptions!$B$12)*0.05,0)</f>
        <v>0</v>
      </c>
      <c r="CG44" s="30" t="n">
        <f aca="false">IF(AND(Projects!$G$35="Yes",CG$3&gt;=Projects!$C$35,CG$3&lt;Projects!$C$35+Projects!$D$35),Projects!$B$35*INDEX(Curves!$B$4:$AR$4,1,CG$3-Projects!$C$35+1),0)-IF(AND(Projects!$G$35="Yes",CG$3&gt;=Projects!$C$35,CG$3&lt;Projects!$C$35+Projects!$D$35),Projects!$B$35*(Assumptions!$B$10+Assumptions!$B$11+Assumptions!$B$12)/Projects!$D$35*0.95,0)-IF(AND(Projects!$G$35="Yes",CG$3=Projects!$C$35+Projects!$D$35-1),Projects!$B$35*(Assumptions!$B$10+Assumptions!$B$11+Assumptions!$B$12)*0.05,0)</f>
        <v>0</v>
      </c>
      <c r="CH44" s="30" t="n">
        <f aca="false">IF(AND(Projects!$G$35="Yes",CH$3&gt;=Projects!$C$35,CH$3&lt;Projects!$C$35+Projects!$D$35),Projects!$B$35*INDEX(Curves!$B$4:$AR$4,1,CH$3-Projects!$C$35+1),0)-IF(AND(Projects!$G$35="Yes",CH$3&gt;=Projects!$C$35,CH$3&lt;Projects!$C$35+Projects!$D$35),Projects!$B$35*(Assumptions!$B$10+Assumptions!$B$11+Assumptions!$B$12)/Projects!$D$35*0.95,0)-IF(AND(Projects!$G$35="Yes",CH$3=Projects!$C$35+Projects!$D$35-1),Projects!$B$35*(Assumptions!$B$10+Assumptions!$B$11+Assumptions!$B$12)*0.05,0)</f>
        <v>0</v>
      </c>
      <c r="CI44" s="30" t="n">
        <f aca="false">IF(AND(Projects!$G$35="Yes",CI$3&gt;=Projects!$C$35,CI$3&lt;Projects!$C$35+Projects!$D$35),Projects!$B$35*INDEX(Curves!$B$4:$AR$4,1,CI$3-Projects!$C$35+1),0)-IF(AND(Projects!$G$35="Yes",CI$3&gt;=Projects!$C$35,CI$3&lt;Projects!$C$35+Projects!$D$35),Projects!$B$35*(Assumptions!$B$10+Assumptions!$B$11+Assumptions!$B$12)/Projects!$D$35*0.95,0)-IF(AND(Projects!$G$35="Yes",CI$3=Projects!$C$35+Projects!$D$35-1),Projects!$B$35*(Assumptions!$B$10+Assumptions!$B$11+Assumptions!$B$12)*0.05,0)</f>
        <v>0</v>
      </c>
      <c r="CJ44" s="30" t="n">
        <f aca="false">IF(AND(Projects!$G$35="Yes",CJ$3&gt;=Projects!$C$35,CJ$3&lt;Projects!$C$35+Projects!$D$35),Projects!$B$35*INDEX(Curves!$B$4:$AR$4,1,CJ$3-Projects!$C$35+1),0)-IF(AND(Projects!$G$35="Yes",CJ$3&gt;=Projects!$C$35,CJ$3&lt;Projects!$C$35+Projects!$D$35),Projects!$B$35*(Assumptions!$B$10+Assumptions!$B$11+Assumptions!$B$12)/Projects!$D$35*0.95,0)-IF(AND(Projects!$G$35="Yes",CJ$3=Projects!$C$35+Projects!$D$35-1),Projects!$B$35*(Assumptions!$B$10+Assumptions!$B$11+Assumptions!$B$12)*0.05,0)</f>
        <v>0</v>
      </c>
      <c r="CK44" s="30" t="n">
        <f aca="false">IF(AND(Projects!$G$35="Yes",CK$3&gt;=Projects!$C$35,CK$3&lt;Projects!$C$35+Projects!$D$35),Projects!$B$35*INDEX(Curves!$B$4:$AR$4,1,CK$3-Projects!$C$35+1),0)-IF(AND(Projects!$G$35="Yes",CK$3&gt;=Projects!$C$35,CK$3&lt;Projects!$C$35+Projects!$D$35),Projects!$B$35*(Assumptions!$B$10+Assumptions!$B$11+Assumptions!$B$12)/Projects!$D$35*0.95,0)-IF(AND(Projects!$G$35="Yes",CK$3=Projects!$C$35+Projects!$D$35-1),Projects!$B$35*(Assumptions!$B$10+Assumptions!$B$11+Assumptions!$B$12)*0.05,0)</f>
        <v>0</v>
      </c>
      <c r="CL44" s="30" t="n">
        <f aca="false">IF(AND(Projects!$G$35="Yes",CL$3&gt;=Projects!$C$35,CL$3&lt;Projects!$C$35+Projects!$D$35),Projects!$B$35*INDEX(Curves!$B$4:$AR$4,1,CL$3-Projects!$C$35+1),0)-IF(AND(Projects!$G$35="Yes",CL$3&gt;=Projects!$C$35,CL$3&lt;Projects!$C$35+Projects!$D$35),Projects!$B$35*(Assumptions!$B$10+Assumptions!$B$11+Assumptions!$B$12)/Projects!$D$35*0.95,0)-IF(AND(Projects!$G$35="Yes",CL$3=Projects!$C$35+Projects!$D$35-1),Projects!$B$35*(Assumptions!$B$10+Assumptions!$B$11+Assumptions!$B$12)*0.05,0)</f>
        <v>0</v>
      </c>
      <c r="CM44" s="30" t="n">
        <f aca="false">IF(AND(Projects!$G$35="Yes",CM$3&gt;=Projects!$C$35,CM$3&lt;Projects!$C$35+Projects!$D$35),Projects!$B$35*INDEX(Curves!$B$4:$AR$4,1,CM$3-Projects!$C$35+1),0)-IF(AND(Projects!$G$35="Yes",CM$3&gt;=Projects!$C$35,CM$3&lt;Projects!$C$35+Projects!$D$35),Projects!$B$35*(Assumptions!$B$10+Assumptions!$B$11+Assumptions!$B$12)/Projects!$D$35*0.95,0)-IF(AND(Projects!$G$35="Yes",CM$3=Projects!$C$35+Projects!$D$35-1),Projects!$B$35*(Assumptions!$B$10+Assumptions!$B$11+Assumptions!$B$12)*0.05,0)</f>
        <v>0</v>
      </c>
      <c r="CN44" s="30" t="n">
        <f aca="false">IF(AND(Projects!$G$35="Yes",CN$3&gt;=Projects!$C$35,CN$3&lt;Projects!$C$35+Projects!$D$35),Projects!$B$35*INDEX(Curves!$B$4:$AR$4,1,CN$3-Projects!$C$35+1),0)-IF(AND(Projects!$G$35="Yes",CN$3&gt;=Projects!$C$35,CN$3&lt;Projects!$C$35+Projects!$D$35),Projects!$B$35*(Assumptions!$B$10+Assumptions!$B$11+Assumptions!$B$12)/Projects!$D$35*0.95,0)-IF(AND(Projects!$G$35="Yes",CN$3=Projects!$C$35+Projects!$D$35-1),Projects!$B$35*(Assumptions!$B$10+Assumptions!$B$11+Assumptions!$B$12)*0.05,0)</f>
        <v>0</v>
      </c>
      <c r="CO44" s="30" t="n">
        <f aca="false">IF(AND(Projects!$G$35="Yes",CO$3&gt;=Projects!$C$35,CO$3&lt;Projects!$C$35+Projects!$D$35),Projects!$B$35*INDEX(Curves!$B$4:$AR$4,1,CO$3-Projects!$C$35+1),0)-IF(AND(Projects!$G$35="Yes",CO$3&gt;=Projects!$C$35,CO$3&lt;Projects!$C$35+Projects!$D$35),Projects!$B$35*(Assumptions!$B$10+Assumptions!$B$11+Assumptions!$B$12)/Projects!$D$35*0.95,0)-IF(AND(Projects!$G$35="Yes",CO$3=Projects!$C$35+Projects!$D$35-1),Projects!$B$35*(Assumptions!$B$10+Assumptions!$B$11+Assumptions!$B$12)*0.05,0)</f>
        <v>0</v>
      </c>
      <c r="CP44" s="30" t="n">
        <f aca="false">IF(AND(Projects!$G$35="Yes",CP$3&gt;=Projects!$C$35,CP$3&lt;Projects!$C$35+Projects!$D$35),Projects!$B$35*INDEX(Curves!$B$4:$AR$4,1,CP$3-Projects!$C$35+1),0)-IF(AND(Projects!$G$35="Yes",CP$3&gt;=Projects!$C$35,CP$3&lt;Projects!$C$35+Projects!$D$35),Projects!$B$35*(Assumptions!$B$10+Assumptions!$B$11+Assumptions!$B$12)/Projects!$D$35*0.95,0)-IF(AND(Projects!$G$35="Yes",CP$3=Projects!$C$35+Projects!$D$35-1),Projects!$B$35*(Assumptions!$B$10+Assumptions!$B$11+Assumptions!$B$12)*0.05,0)</f>
        <v>0</v>
      </c>
      <c r="CQ44" s="30" t="n">
        <f aca="false">IF(AND(Projects!$G$35="Yes",CQ$3&gt;=Projects!$C$35,CQ$3&lt;Projects!$C$35+Projects!$D$35),Projects!$B$35*INDEX(Curves!$B$4:$AR$4,1,CQ$3-Projects!$C$35+1),0)-IF(AND(Projects!$G$35="Yes",CQ$3&gt;=Projects!$C$35,CQ$3&lt;Projects!$C$35+Projects!$D$35),Projects!$B$35*(Assumptions!$B$10+Assumptions!$B$11+Assumptions!$B$12)/Projects!$D$35*0.95,0)-IF(AND(Projects!$G$35="Yes",CQ$3=Projects!$C$35+Projects!$D$35-1),Projects!$B$35*(Assumptions!$B$10+Assumptions!$B$11+Assumptions!$B$12)*0.05,0)</f>
        <v>0</v>
      </c>
      <c r="CR44" s="30" t="n">
        <f aca="false">IF(AND(Projects!$G$35="Yes",CR$3&gt;=Projects!$C$35,CR$3&lt;Projects!$C$35+Projects!$D$35),Projects!$B$35*INDEX(Curves!$B$4:$AR$4,1,CR$3-Projects!$C$35+1),0)-IF(AND(Projects!$G$35="Yes",CR$3&gt;=Projects!$C$35,CR$3&lt;Projects!$C$35+Projects!$D$35),Projects!$B$35*(Assumptions!$B$10+Assumptions!$B$11+Assumptions!$B$12)/Projects!$D$35*0.95,0)-IF(AND(Projects!$G$35="Yes",CR$3=Projects!$C$35+Projects!$D$35-1),Projects!$B$35*(Assumptions!$B$10+Assumptions!$B$11+Assumptions!$B$12)*0.05,0)</f>
        <v>0</v>
      </c>
      <c r="CS44" s="30" t="n">
        <f aca="false">IF(AND(Projects!$G$35="Yes",CS$3&gt;=Projects!$C$35,CS$3&lt;Projects!$C$35+Projects!$D$35),Projects!$B$35*INDEX(Curves!$B$4:$AR$4,1,CS$3-Projects!$C$35+1),0)-IF(AND(Projects!$G$35="Yes",CS$3&gt;=Projects!$C$35,CS$3&lt;Projects!$C$35+Projects!$D$35),Projects!$B$35*(Assumptions!$B$10+Assumptions!$B$11+Assumptions!$B$12)/Projects!$D$35*0.95,0)-IF(AND(Projects!$G$35="Yes",CS$3=Projects!$C$35+Projects!$D$35-1),Projects!$B$35*(Assumptions!$B$10+Assumptions!$B$11+Assumptions!$B$12)*0.05,0)</f>
        <v>0</v>
      </c>
      <c r="CT44" s="30" t="n">
        <f aca="false">IF(AND(Projects!$G$35="Yes",CT$3&gt;=Projects!$C$35,CT$3&lt;Projects!$C$35+Projects!$D$35),Projects!$B$35*INDEX(Curves!$B$4:$AR$4,1,CT$3-Projects!$C$35+1),0)-IF(AND(Projects!$G$35="Yes",CT$3&gt;=Projects!$C$35,CT$3&lt;Projects!$C$35+Projects!$D$35),Projects!$B$35*(Assumptions!$B$10+Assumptions!$B$11+Assumptions!$B$12)/Projects!$D$35*0.95,0)-IF(AND(Projects!$G$35="Yes",CT$3=Projects!$C$35+Projects!$D$35-1),Projects!$B$35*(Assumptions!$B$10+Assumptions!$B$11+Assumptions!$B$12)*0.05,0)</f>
        <v>0</v>
      </c>
      <c r="CU44" s="30" t="n">
        <f aca="false">IF(AND(Projects!$G$35="Yes",CU$3&gt;=Projects!$C$35,CU$3&lt;Projects!$C$35+Projects!$D$35),Projects!$B$35*INDEX(Curves!$B$4:$AR$4,1,CU$3-Projects!$C$35+1),0)-IF(AND(Projects!$G$35="Yes",CU$3&gt;=Projects!$C$35,CU$3&lt;Projects!$C$35+Projects!$D$35),Projects!$B$35*(Assumptions!$B$10+Assumptions!$B$11+Assumptions!$B$12)/Projects!$D$35*0.95,0)-IF(AND(Projects!$G$35="Yes",CU$3=Projects!$C$35+Projects!$D$35-1),Projects!$B$35*(Assumptions!$B$10+Assumptions!$B$11+Assumptions!$B$12)*0.05,0)</f>
        <v>0</v>
      </c>
      <c r="CV44" s="30" t="n">
        <f aca="false">IF(AND(Projects!$G$35="Yes",CV$3&gt;=Projects!$C$35,CV$3&lt;Projects!$C$35+Projects!$D$35),Projects!$B$35*INDEX(Curves!$B$4:$AR$4,1,CV$3-Projects!$C$35+1),0)-IF(AND(Projects!$G$35="Yes",CV$3&gt;=Projects!$C$35,CV$3&lt;Projects!$C$35+Projects!$D$35),Projects!$B$35*(Assumptions!$B$10+Assumptions!$B$11+Assumptions!$B$12)/Projects!$D$35*0.95,0)-IF(AND(Projects!$G$35="Yes",CV$3=Projects!$C$35+Projects!$D$35-1),Projects!$B$35*(Assumptions!$B$10+Assumptions!$B$11+Assumptions!$B$12)*0.05,0)</f>
        <v>0</v>
      </c>
      <c r="CW44" s="30" t="n">
        <f aca="false">IF(AND(Projects!$G$35="Yes",CW$3&gt;=Projects!$C$35,CW$3&lt;Projects!$C$35+Projects!$D$35),Projects!$B$35*INDEX(Curves!$B$4:$AR$4,1,CW$3-Projects!$C$35+1),0)-IF(AND(Projects!$G$35="Yes",CW$3&gt;=Projects!$C$35,CW$3&lt;Projects!$C$35+Projects!$D$35),Projects!$B$35*(Assumptions!$B$10+Assumptions!$B$11+Assumptions!$B$12)/Projects!$D$35*0.95,0)-IF(AND(Projects!$G$35="Yes",CW$3=Projects!$C$35+Projects!$D$35-1),Projects!$B$35*(Assumptions!$B$10+Assumptions!$B$11+Assumptions!$B$12)*0.05,0)</f>
        <v>0</v>
      </c>
      <c r="CX44" s="30" t="n">
        <f aca="false">IF(AND(Projects!$G$35="Yes",CX$3&gt;=Projects!$C$35,CX$3&lt;Projects!$C$35+Projects!$D$35),Projects!$B$35*INDEX(Curves!$B$4:$AR$4,1,CX$3-Projects!$C$35+1),0)-IF(AND(Projects!$G$35="Yes",CX$3&gt;=Projects!$C$35,CX$3&lt;Projects!$C$35+Projects!$D$35),Projects!$B$35*(Assumptions!$B$10+Assumptions!$B$11+Assumptions!$B$12)/Projects!$D$35*0.95,0)-IF(AND(Projects!$G$35="Yes",CX$3=Projects!$C$35+Projects!$D$35-1),Projects!$B$35*(Assumptions!$B$10+Assumptions!$B$11+Assumptions!$B$12)*0.05,0)</f>
        <v>0</v>
      </c>
      <c r="CY44" s="30" t="n">
        <f aca="false">IF(AND(Projects!$G$35="Yes",CY$3&gt;=Projects!$C$35,CY$3&lt;Projects!$C$35+Projects!$D$35),Projects!$B$35*INDEX(Curves!$B$4:$AR$4,1,CY$3-Projects!$C$35+1),0)-IF(AND(Projects!$G$35="Yes",CY$3&gt;=Projects!$C$35,CY$3&lt;Projects!$C$35+Projects!$D$35),Projects!$B$35*(Assumptions!$B$10+Assumptions!$B$11+Assumptions!$B$12)/Projects!$D$35*0.95,0)-IF(AND(Projects!$G$35="Yes",CY$3=Projects!$C$35+Projects!$D$35-1),Projects!$B$35*(Assumptions!$B$10+Assumptions!$B$11+Assumptions!$B$12)*0.05,0)</f>
        <v>0</v>
      </c>
      <c r="CZ44" s="30" t="n">
        <f aca="false">IF(AND(Projects!$G$35="Yes",CZ$3&gt;=Projects!$C$35,CZ$3&lt;Projects!$C$35+Projects!$D$35),Projects!$B$35*INDEX(Curves!$B$4:$AR$4,1,CZ$3-Projects!$C$35+1),0)-IF(AND(Projects!$G$35="Yes",CZ$3&gt;=Projects!$C$35,CZ$3&lt;Projects!$C$35+Projects!$D$35),Projects!$B$35*(Assumptions!$B$10+Assumptions!$B$11+Assumptions!$B$12)/Projects!$D$35*0.95,0)-IF(AND(Projects!$G$35="Yes",CZ$3=Projects!$C$35+Projects!$D$35-1),Projects!$B$35*(Assumptions!$B$10+Assumptions!$B$11+Assumptions!$B$12)*0.05,0)</f>
        <v>0</v>
      </c>
      <c r="DA44" s="30" t="n">
        <f aca="false">IF(AND(Projects!$G$35="Yes",DA$3&gt;=Projects!$C$35,DA$3&lt;Projects!$C$35+Projects!$D$35),Projects!$B$35*INDEX(Curves!$B$4:$AR$4,1,DA$3-Projects!$C$35+1),0)-IF(AND(Projects!$G$35="Yes",DA$3&gt;=Projects!$C$35,DA$3&lt;Projects!$C$35+Projects!$D$35),Projects!$B$35*(Assumptions!$B$10+Assumptions!$B$11+Assumptions!$B$12)/Projects!$D$35*0.95,0)-IF(AND(Projects!$G$35="Yes",DA$3=Projects!$C$35+Projects!$D$35-1),Projects!$B$35*(Assumptions!$B$10+Assumptions!$B$11+Assumptions!$B$12)*0.05,0)</f>
        <v>0</v>
      </c>
      <c r="DB44" s="30" t="n">
        <f aca="false">IF(AND(Projects!$G$35="Yes",DB$3&gt;=Projects!$C$35,DB$3&lt;Projects!$C$35+Projects!$D$35),Projects!$B$35*INDEX(Curves!$B$4:$AR$4,1,DB$3-Projects!$C$35+1),0)-IF(AND(Projects!$G$35="Yes",DB$3&gt;=Projects!$C$35,DB$3&lt;Projects!$C$35+Projects!$D$35),Projects!$B$35*(Assumptions!$B$10+Assumptions!$B$11+Assumptions!$B$12)/Projects!$D$35*0.95,0)-IF(AND(Projects!$G$35="Yes",DB$3=Projects!$C$35+Projects!$D$35-1),Projects!$B$35*(Assumptions!$B$10+Assumptions!$B$11+Assumptions!$B$12)*0.05,0)</f>
        <v>0</v>
      </c>
      <c r="DC44" s="30" t="n">
        <f aca="false">IF(AND(Projects!$G$35="Yes",DC$3&gt;=Projects!$C$35,DC$3&lt;Projects!$C$35+Projects!$D$35),Projects!$B$35*INDEX(Curves!$B$4:$AR$4,1,DC$3-Projects!$C$35+1),0)-IF(AND(Projects!$G$35="Yes",DC$3&gt;=Projects!$C$35,DC$3&lt;Projects!$C$35+Projects!$D$35),Projects!$B$35*(Assumptions!$B$10+Assumptions!$B$11+Assumptions!$B$12)/Projects!$D$35*0.95,0)-IF(AND(Projects!$G$35="Yes",DC$3=Projects!$C$35+Projects!$D$35-1),Projects!$B$35*(Assumptions!$B$10+Assumptions!$B$11+Assumptions!$B$12)*0.05,0)</f>
        <v>0</v>
      </c>
      <c r="DD44" s="30" t="n">
        <f aca="false">IF(AND(Projects!$G$35="Yes",DD$3&gt;=Projects!$C$35,DD$3&lt;Projects!$C$35+Projects!$D$35),Projects!$B$35*INDEX(Curves!$B$4:$AR$4,1,DD$3-Projects!$C$35+1),0)-IF(AND(Projects!$G$35="Yes",DD$3&gt;=Projects!$C$35,DD$3&lt;Projects!$C$35+Projects!$D$35),Projects!$B$35*(Assumptions!$B$10+Assumptions!$B$11+Assumptions!$B$12)/Projects!$D$35*0.95,0)-IF(AND(Projects!$G$35="Yes",DD$3=Projects!$C$35+Projects!$D$35-1),Projects!$B$35*(Assumptions!$B$10+Assumptions!$B$11+Assumptions!$B$12)*0.05,0)</f>
        <v>0</v>
      </c>
      <c r="DE44" s="30" t="n">
        <f aca="false">IF(AND(Projects!$G$35="Yes",DE$3&gt;=Projects!$C$35,DE$3&lt;Projects!$C$35+Projects!$D$35),Projects!$B$35*INDEX(Curves!$B$4:$AR$4,1,DE$3-Projects!$C$35+1),0)-IF(AND(Projects!$G$35="Yes",DE$3&gt;=Projects!$C$35,DE$3&lt;Projects!$C$35+Projects!$D$35),Projects!$B$35*(Assumptions!$B$10+Assumptions!$B$11+Assumptions!$B$12)/Projects!$D$35*0.95,0)-IF(AND(Projects!$G$35="Yes",DE$3=Projects!$C$35+Projects!$D$35-1),Projects!$B$35*(Assumptions!$B$10+Assumptions!$B$11+Assumptions!$B$12)*0.05,0)</f>
        <v>0</v>
      </c>
    </row>
    <row r="45" customFormat="false" ht="15" hidden="true" customHeight="true" outlineLevel="1" collapsed="false">
      <c r="A45" s="32" t="s">
        <v>39</v>
      </c>
      <c r="B45" s="30" t="n">
        <v>0</v>
      </c>
      <c r="C45" s="30" t="n">
        <v>0</v>
      </c>
      <c r="D45" s="30" t="n">
        <v>0</v>
      </c>
      <c r="E45" s="30" t="n">
        <v>0</v>
      </c>
      <c r="F45" s="30" t="n">
        <f aca="false">IF(AND(Projects!$G$36="Yes",F$3&gt;=Projects!$C$36,F$3&lt;Projects!$C$36+Projects!$D$36),Projects!$B$36*INDEX(Curves!$B$4:$AR$4,1,F$3-Projects!$C$36+1),0)-IF(AND(Projects!$G$36="Yes",F$3&gt;=Projects!$C$36,F$3&lt;Projects!$C$36+Projects!$D$36),Projects!$B$36*(Assumptions!$B$10+Assumptions!$B$11+Assumptions!$B$12)/Projects!$D$36*0.95,0)-IF(AND(Projects!$G$36="Yes",F$3=Projects!$C$36+Projects!$D$36-1),Projects!$B$36*(Assumptions!$B$10+Assumptions!$B$11+Assumptions!$B$12)*0.05,0)</f>
        <v>0</v>
      </c>
      <c r="G45" s="30" t="n">
        <f aca="false">IF(AND(Projects!$G$36="Yes",G$3&gt;=Projects!$C$36,G$3&lt;Projects!$C$36+Projects!$D$36),Projects!$B$36*INDEX(Curves!$B$4:$AR$4,1,G$3-Projects!$C$36+1),0)-IF(AND(Projects!$G$36="Yes",G$3&gt;=Projects!$C$36,G$3&lt;Projects!$C$36+Projects!$D$36),Projects!$B$36*(Assumptions!$B$10+Assumptions!$B$11+Assumptions!$B$12)/Projects!$D$36*0.95,0)-IF(AND(Projects!$G$36="Yes",G$3=Projects!$C$36+Projects!$D$36-1),Projects!$B$36*(Assumptions!$B$10+Assumptions!$B$11+Assumptions!$B$12)*0.05,0)</f>
        <v>0</v>
      </c>
      <c r="H45" s="30" t="n">
        <f aca="false">IF(AND(Projects!$G$36="Yes",H$3&gt;=Projects!$C$36,H$3&lt;Projects!$C$36+Projects!$D$36),Projects!$B$36*INDEX(Curves!$B$4:$AR$4,1,H$3-Projects!$C$36+1),0)-IF(AND(Projects!$G$36="Yes",H$3&gt;=Projects!$C$36,H$3&lt;Projects!$C$36+Projects!$D$36),Projects!$B$36*(Assumptions!$B$10+Assumptions!$B$11+Assumptions!$B$12)/Projects!$D$36*0.95,0)-IF(AND(Projects!$G$36="Yes",H$3=Projects!$C$36+Projects!$D$36-1),Projects!$B$36*(Assumptions!$B$10+Assumptions!$B$11+Assumptions!$B$12)*0.05,0)</f>
        <v>0</v>
      </c>
      <c r="I45" s="30" t="n">
        <f aca="false">IF(AND(Projects!$G$36="Yes",I$3&gt;=Projects!$C$36,I$3&lt;Projects!$C$36+Projects!$D$36),Projects!$B$36*INDEX(Curves!$B$4:$AR$4,1,I$3-Projects!$C$36+1),0)-IF(AND(Projects!$G$36="Yes",I$3&gt;=Projects!$C$36,I$3&lt;Projects!$C$36+Projects!$D$36),Projects!$B$36*(Assumptions!$B$10+Assumptions!$B$11+Assumptions!$B$12)/Projects!$D$36*0.95,0)-IF(AND(Projects!$G$36="Yes",I$3=Projects!$C$36+Projects!$D$36-1),Projects!$B$36*(Assumptions!$B$10+Assumptions!$B$11+Assumptions!$B$12)*0.05,0)</f>
        <v>0</v>
      </c>
      <c r="J45" s="30" t="n">
        <f aca="false">IF(AND(Projects!$G$36="Yes",J$3&gt;=Projects!$C$36,J$3&lt;Projects!$C$36+Projects!$D$36),Projects!$B$36*INDEX(Curves!$B$4:$AR$4,1,J$3-Projects!$C$36+1),0)-IF(AND(Projects!$G$36="Yes",J$3&gt;=Projects!$C$36,J$3&lt;Projects!$C$36+Projects!$D$36),Projects!$B$36*(Assumptions!$B$10+Assumptions!$B$11+Assumptions!$B$12)/Projects!$D$36*0.95,0)-IF(AND(Projects!$G$36="Yes",J$3=Projects!$C$36+Projects!$D$36-1),Projects!$B$36*(Assumptions!$B$10+Assumptions!$B$11+Assumptions!$B$12)*0.05,0)</f>
        <v>0</v>
      </c>
      <c r="K45" s="30" t="n">
        <f aca="false">IF(AND(Projects!$G$36="Yes",K$3&gt;=Projects!$C$36,K$3&lt;Projects!$C$36+Projects!$D$36),Projects!$B$36*INDEX(Curves!$B$4:$AR$4,1,K$3-Projects!$C$36+1),0)-IF(AND(Projects!$G$36="Yes",K$3&gt;=Projects!$C$36,K$3&lt;Projects!$C$36+Projects!$D$36),Projects!$B$36*(Assumptions!$B$10+Assumptions!$B$11+Assumptions!$B$12)/Projects!$D$36*0.95,0)-IF(AND(Projects!$G$36="Yes",K$3=Projects!$C$36+Projects!$D$36-1),Projects!$B$36*(Assumptions!$B$10+Assumptions!$B$11+Assumptions!$B$12)*0.05,0)</f>
        <v>0</v>
      </c>
      <c r="L45" s="30" t="n">
        <f aca="false">IF(AND(Projects!$G$36="Yes",L$3&gt;=Projects!$C$36,L$3&lt;Projects!$C$36+Projects!$D$36),Projects!$B$36*INDEX(Curves!$B$4:$AR$4,1,L$3-Projects!$C$36+1),0)-IF(AND(Projects!$G$36="Yes",L$3&gt;=Projects!$C$36,L$3&lt;Projects!$C$36+Projects!$D$36),Projects!$B$36*(Assumptions!$B$10+Assumptions!$B$11+Assumptions!$B$12)/Projects!$D$36*0.95,0)-IF(AND(Projects!$G$36="Yes",L$3=Projects!$C$36+Projects!$D$36-1),Projects!$B$36*(Assumptions!$B$10+Assumptions!$B$11+Assumptions!$B$12)*0.05,0)</f>
        <v>0</v>
      </c>
      <c r="M45" s="30" t="n">
        <f aca="false">IF(AND(Projects!$G$36="Yes",M$3&gt;=Projects!$C$36,M$3&lt;Projects!$C$36+Projects!$D$36),Projects!$B$36*INDEX(Curves!$B$4:$AR$4,1,M$3-Projects!$C$36+1),0)-IF(AND(Projects!$G$36="Yes",M$3&gt;=Projects!$C$36,M$3&lt;Projects!$C$36+Projects!$D$36),Projects!$B$36*(Assumptions!$B$10+Assumptions!$B$11+Assumptions!$B$12)/Projects!$D$36*0.95,0)-IF(AND(Projects!$G$36="Yes",M$3=Projects!$C$36+Projects!$D$36-1),Projects!$B$36*(Assumptions!$B$10+Assumptions!$B$11+Assumptions!$B$12)*0.05,0)</f>
        <v>0</v>
      </c>
      <c r="N45" s="30" t="n">
        <f aca="false">IF(AND(Projects!$G$36="Yes",N$3&gt;=Projects!$C$36,N$3&lt;Projects!$C$36+Projects!$D$36),Projects!$B$36*INDEX(Curves!$B$4:$AR$4,1,N$3-Projects!$C$36+1),0)-IF(AND(Projects!$G$36="Yes",N$3&gt;=Projects!$C$36,N$3&lt;Projects!$C$36+Projects!$D$36),Projects!$B$36*(Assumptions!$B$10+Assumptions!$B$11+Assumptions!$B$12)/Projects!$D$36*0.95,0)-IF(AND(Projects!$G$36="Yes",N$3=Projects!$C$36+Projects!$D$36-1),Projects!$B$36*(Assumptions!$B$10+Assumptions!$B$11+Assumptions!$B$12)*0.05,0)</f>
        <v>0</v>
      </c>
      <c r="O45" s="30" t="n">
        <f aca="false">IF(AND(Projects!$G$36="Yes",O$3&gt;=Projects!$C$36,O$3&lt;Projects!$C$36+Projects!$D$36),Projects!$B$36*INDEX(Curves!$B$4:$AR$4,1,O$3-Projects!$C$36+1),0)-IF(AND(Projects!$G$36="Yes",O$3&gt;=Projects!$C$36,O$3&lt;Projects!$C$36+Projects!$D$36),Projects!$B$36*(Assumptions!$B$10+Assumptions!$B$11+Assumptions!$B$12)/Projects!$D$36*0.95,0)-IF(AND(Projects!$G$36="Yes",O$3=Projects!$C$36+Projects!$D$36-1),Projects!$B$36*(Assumptions!$B$10+Assumptions!$B$11+Assumptions!$B$12)*0.05,0)</f>
        <v>0</v>
      </c>
      <c r="P45" s="30" t="n">
        <f aca="false">IF(AND(Projects!$G$36="Yes",P$3&gt;=Projects!$C$36,P$3&lt;Projects!$C$36+Projects!$D$36),Projects!$B$36*INDEX(Curves!$B$4:$AR$4,1,P$3-Projects!$C$36+1),0)-IF(AND(Projects!$G$36="Yes",P$3&gt;=Projects!$C$36,P$3&lt;Projects!$C$36+Projects!$D$36),Projects!$B$36*(Assumptions!$B$10+Assumptions!$B$11+Assumptions!$B$12)/Projects!$D$36*0.95,0)-IF(AND(Projects!$G$36="Yes",P$3=Projects!$C$36+Projects!$D$36-1),Projects!$B$36*(Assumptions!$B$10+Assumptions!$B$11+Assumptions!$B$12)*0.05,0)</f>
        <v>0</v>
      </c>
      <c r="Q45" s="30" t="n">
        <f aca="false">IF(AND(Projects!$G$36="Yes",Q$3&gt;=Projects!$C$36,Q$3&lt;Projects!$C$36+Projects!$D$36),Projects!$B$36*INDEX(Curves!$B$4:$AR$4,1,Q$3-Projects!$C$36+1),0)-IF(AND(Projects!$G$36="Yes",Q$3&gt;=Projects!$C$36,Q$3&lt;Projects!$C$36+Projects!$D$36),Projects!$B$36*(Assumptions!$B$10+Assumptions!$B$11+Assumptions!$B$12)/Projects!$D$36*0.95,0)-IF(AND(Projects!$G$36="Yes",Q$3=Projects!$C$36+Projects!$D$36-1),Projects!$B$36*(Assumptions!$B$10+Assumptions!$B$11+Assumptions!$B$12)*0.05,0)</f>
        <v>0</v>
      </c>
      <c r="R45" s="30" t="n">
        <f aca="false">IF(AND(Projects!$G$36="Yes",R$3&gt;=Projects!$C$36,R$3&lt;Projects!$C$36+Projects!$D$36),Projects!$B$36*INDEX(Curves!$B$4:$AR$4,1,R$3-Projects!$C$36+1),0)-IF(AND(Projects!$G$36="Yes",R$3&gt;=Projects!$C$36,R$3&lt;Projects!$C$36+Projects!$D$36),Projects!$B$36*(Assumptions!$B$10+Assumptions!$B$11+Assumptions!$B$12)/Projects!$D$36*0.95,0)-IF(AND(Projects!$G$36="Yes",R$3=Projects!$C$36+Projects!$D$36-1),Projects!$B$36*(Assumptions!$B$10+Assumptions!$B$11+Assumptions!$B$12)*0.05,0)</f>
        <v>0</v>
      </c>
      <c r="S45" s="30" t="n">
        <f aca="false">IF(AND(Projects!$G$36="Yes",S$3&gt;=Projects!$C$36,S$3&lt;Projects!$C$36+Projects!$D$36),Projects!$B$36*INDEX(Curves!$B$4:$AR$4,1,S$3-Projects!$C$36+1),0)-IF(AND(Projects!$G$36="Yes",S$3&gt;=Projects!$C$36,S$3&lt;Projects!$C$36+Projects!$D$36),Projects!$B$36*(Assumptions!$B$10+Assumptions!$B$11+Assumptions!$B$12)/Projects!$D$36*0.95,0)-IF(AND(Projects!$G$36="Yes",S$3=Projects!$C$36+Projects!$D$36-1),Projects!$B$36*(Assumptions!$B$10+Assumptions!$B$11+Assumptions!$B$12)*0.05,0)</f>
        <v>0</v>
      </c>
      <c r="T45" s="30" t="n">
        <f aca="false">IF(AND(Projects!$G$36="Yes",T$3&gt;=Projects!$C$36,T$3&lt;Projects!$C$36+Projects!$D$36),Projects!$B$36*INDEX(Curves!$B$4:$AR$4,1,T$3-Projects!$C$36+1),0)-IF(AND(Projects!$G$36="Yes",T$3&gt;=Projects!$C$36,T$3&lt;Projects!$C$36+Projects!$D$36),Projects!$B$36*(Assumptions!$B$10+Assumptions!$B$11+Assumptions!$B$12)/Projects!$D$36*0.95,0)-IF(AND(Projects!$G$36="Yes",T$3=Projects!$C$36+Projects!$D$36-1),Projects!$B$36*(Assumptions!$B$10+Assumptions!$B$11+Assumptions!$B$12)*0.05,0)</f>
        <v>0</v>
      </c>
      <c r="U45" s="30" t="n">
        <f aca="false">IF(AND(Projects!$G$36="Yes",U$3&gt;=Projects!$C$36,U$3&lt;Projects!$C$36+Projects!$D$36),Projects!$B$36*INDEX(Curves!$B$4:$AR$4,1,U$3-Projects!$C$36+1),0)-IF(AND(Projects!$G$36="Yes",U$3&gt;=Projects!$C$36,U$3&lt;Projects!$C$36+Projects!$D$36),Projects!$B$36*(Assumptions!$B$10+Assumptions!$B$11+Assumptions!$B$12)/Projects!$D$36*0.95,0)-IF(AND(Projects!$G$36="Yes",U$3=Projects!$C$36+Projects!$D$36-1),Projects!$B$36*(Assumptions!$B$10+Assumptions!$B$11+Assumptions!$B$12)*0.05,0)</f>
        <v>0</v>
      </c>
      <c r="V45" s="30" t="n">
        <f aca="false">IF(AND(Projects!$G$36="Yes",V$3&gt;=Projects!$C$36,V$3&lt;Projects!$C$36+Projects!$D$36),Projects!$B$36*INDEX(Curves!$B$4:$AR$4,1,V$3-Projects!$C$36+1),0)-IF(AND(Projects!$G$36="Yes",V$3&gt;=Projects!$C$36,V$3&lt;Projects!$C$36+Projects!$D$36),Projects!$B$36*(Assumptions!$B$10+Assumptions!$B$11+Assumptions!$B$12)/Projects!$D$36*0.95,0)-IF(AND(Projects!$G$36="Yes",V$3=Projects!$C$36+Projects!$D$36-1),Projects!$B$36*(Assumptions!$B$10+Assumptions!$B$11+Assumptions!$B$12)*0.05,0)</f>
        <v>0</v>
      </c>
      <c r="W45" s="30" t="n">
        <f aca="false">IF(AND(Projects!$G$36="Yes",W$3&gt;=Projects!$C$36,W$3&lt;Projects!$C$36+Projects!$D$36),Projects!$B$36*INDEX(Curves!$B$4:$AR$4,1,W$3-Projects!$C$36+1),0)-IF(AND(Projects!$G$36="Yes",W$3&gt;=Projects!$C$36,W$3&lt;Projects!$C$36+Projects!$D$36),Projects!$B$36*(Assumptions!$B$10+Assumptions!$B$11+Assumptions!$B$12)/Projects!$D$36*0.95,0)-IF(AND(Projects!$G$36="Yes",W$3=Projects!$C$36+Projects!$D$36-1),Projects!$B$36*(Assumptions!$B$10+Assumptions!$B$11+Assumptions!$B$12)*0.05,0)</f>
        <v>0</v>
      </c>
      <c r="X45" s="30" t="n">
        <f aca="false">IF(AND(Projects!$G$36="Yes",X$3&gt;=Projects!$C$36,X$3&lt;Projects!$C$36+Projects!$D$36),Projects!$B$36*INDEX(Curves!$B$4:$AR$4,1,X$3-Projects!$C$36+1),0)-IF(AND(Projects!$G$36="Yes",X$3&gt;=Projects!$C$36,X$3&lt;Projects!$C$36+Projects!$D$36),Projects!$B$36*(Assumptions!$B$10+Assumptions!$B$11+Assumptions!$B$12)/Projects!$D$36*0.95,0)-IF(AND(Projects!$G$36="Yes",X$3=Projects!$C$36+Projects!$D$36-1),Projects!$B$36*(Assumptions!$B$10+Assumptions!$B$11+Assumptions!$B$12)*0.05,0)</f>
        <v>0</v>
      </c>
      <c r="Y45" s="30" t="n">
        <f aca="false">IF(AND(Projects!$G$36="Yes",Y$3&gt;=Projects!$C$36,Y$3&lt;Projects!$C$36+Projects!$D$36),Projects!$B$36*INDEX(Curves!$B$4:$AR$4,1,Y$3-Projects!$C$36+1),0)-IF(AND(Projects!$G$36="Yes",Y$3&gt;=Projects!$C$36,Y$3&lt;Projects!$C$36+Projects!$D$36),Projects!$B$36*(Assumptions!$B$10+Assumptions!$B$11+Assumptions!$B$12)/Projects!$D$36*0.95,0)-IF(AND(Projects!$G$36="Yes",Y$3=Projects!$C$36+Projects!$D$36-1),Projects!$B$36*(Assumptions!$B$10+Assumptions!$B$11+Assumptions!$B$12)*0.05,0)</f>
        <v>0</v>
      </c>
      <c r="Z45" s="30" t="n">
        <f aca="false">IF(AND(Projects!$G$36="Yes",Z$3&gt;=Projects!$C$36,Z$3&lt;Projects!$C$36+Projects!$D$36),Projects!$B$36*INDEX(Curves!$B$4:$AR$4,1,Z$3-Projects!$C$36+1),0)-IF(AND(Projects!$G$36="Yes",Z$3&gt;=Projects!$C$36,Z$3&lt;Projects!$C$36+Projects!$D$36),Projects!$B$36*(Assumptions!$B$10+Assumptions!$B$11+Assumptions!$B$12)/Projects!$D$36*0.95,0)-IF(AND(Projects!$G$36="Yes",Z$3=Projects!$C$36+Projects!$D$36-1),Projects!$B$36*(Assumptions!$B$10+Assumptions!$B$11+Assumptions!$B$12)*0.05,0)</f>
        <v>0</v>
      </c>
      <c r="AA45" s="30" t="n">
        <f aca="false">IF(AND(Projects!$G$36="Yes",AA$3&gt;=Projects!$C$36,AA$3&lt;Projects!$C$36+Projects!$D$36),Projects!$B$36*INDEX(Curves!$B$4:$AR$4,1,AA$3-Projects!$C$36+1),0)-IF(AND(Projects!$G$36="Yes",AA$3&gt;=Projects!$C$36,AA$3&lt;Projects!$C$36+Projects!$D$36),Projects!$B$36*(Assumptions!$B$10+Assumptions!$B$11+Assumptions!$B$12)/Projects!$D$36*0.95,0)-IF(AND(Projects!$G$36="Yes",AA$3=Projects!$C$36+Projects!$D$36-1),Projects!$B$36*(Assumptions!$B$10+Assumptions!$B$11+Assumptions!$B$12)*0.05,0)</f>
        <v>0</v>
      </c>
      <c r="AB45" s="30" t="n">
        <f aca="false">IF(AND(Projects!$G$36="Yes",AB$3&gt;=Projects!$C$36,AB$3&lt;Projects!$C$36+Projects!$D$36),Projects!$B$36*INDEX(Curves!$B$4:$AR$4,1,AB$3-Projects!$C$36+1),0)-IF(AND(Projects!$G$36="Yes",AB$3&gt;=Projects!$C$36,AB$3&lt;Projects!$C$36+Projects!$D$36),Projects!$B$36*(Assumptions!$B$10+Assumptions!$B$11+Assumptions!$B$12)/Projects!$D$36*0.95,0)-IF(AND(Projects!$G$36="Yes",AB$3=Projects!$C$36+Projects!$D$36-1),Projects!$B$36*(Assumptions!$B$10+Assumptions!$B$11+Assumptions!$B$12)*0.05,0)</f>
        <v>0</v>
      </c>
      <c r="AC45" s="30" t="n">
        <f aca="false">IF(AND(Projects!$G$36="Yes",AC$3&gt;=Projects!$C$36,AC$3&lt;Projects!$C$36+Projects!$D$36),Projects!$B$36*INDEX(Curves!$B$4:$AR$4,1,AC$3-Projects!$C$36+1),0)-IF(AND(Projects!$G$36="Yes",AC$3&gt;=Projects!$C$36,AC$3&lt;Projects!$C$36+Projects!$D$36),Projects!$B$36*(Assumptions!$B$10+Assumptions!$B$11+Assumptions!$B$12)/Projects!$D$36*0.95,0)-IF(AND(Projects!$G$36="Yes",AC$3=Projects!$C$36+Projects!$D$36-1),Projects!$B$36*(Assumptions!$B$10+Assumptions!$B$11+Assumptions!$B$12)*0.05,0)</f>
        <v>0</v>
      </c>
      <c r="AD45" s="30" t="n">
        <f aca="false">IF(AND(Projects!$G$36="Yes",AD$3&gt;=Projects!$C$36,AD$3&lt;Projects!$C$36+Projects!$D$36),Projects!$B$36*INDEX(Curves!$B$4:$AR$4,1,AD$3-Projects!$C$36+1),0)-IF(AND(Projects!$G$36="Yes",AD$3&gt;=Projects!$C$36,AD$3&lt;Projects!$C$36+Projects!$D$36),Projects!$B$36*(Assumptions!$B$10+Assumptions!$B$11+Assumptions!$B$12)/Projects!$D$36*0.95,0)-IF(AND(Projects!$G$36="Yes",AD$3=Projects!$C$36+Projects!$D$36-1),Projects!$B$36*(Assumptions!$B$10+Assumptions!$B$11+Assumptions!$B$12)*0.05,0)</f>
        <v>0</v>
      </c>
      <c r="AE45" s="30" t="n">
        <f aca="false">IF(AND(Projects!$G$36="Yes",AE$3&gt;=Projects!$C$36,AE$3&lt;Projects!$C$36+Projects!$D$36),Projects!$B$36*INDEX(Curves!$B$4:$AR$4,1,AE$3-Projects!$C$36+1),0)-IF(AND(Projects!$G$36="Yes",AE$3&gt;=Projects!$C$36,AE$3&lt;Projects!$C$36+Projects!$D$36),Projects!$B$36*(Assumptions!$B$10+Assumptions!$B$11+Assumptions!$B$12)/Projects!$D$36*0.95,0)-IF(AND(Projects!$G$36="Yes",AE$3=Projects!$C$36+Projects!$D$36-1),Projects!$B$36*(Assumptions!$B$10+Assumptions!$B$11+Assumptions!$B$12)*0.05,0)</f>
        <v>0</v>
      </c>
      <c r="AF45" s="30" t="n">
        <f aca="false">IF(AND(Projects!$G$36="Yes",AF$3&gt;=Projects!$C$36,AF$3&lt;Projects!$C$36+Projects!$D$36),Projects!$B$36*INDEX(Curves!$B$4:$AR$4,1,AF$3-Projects!$C$36+1),0)-IF(AND(Projects!$G$36="Yes",AF$3&gt;=Projects!$C$36,AF$3&lt;Projects!$C$36+Projects!$D$36),Projects!$B$36*(Assumptions!$B$10+Assumptions!$B$11+Assumptions!$B$12)/Projects!$D$36*0.95,0)-IF(AND(Projects!$G$36="Yes",AF$3=Projects!$C$36+Projects!$D$36-1),Projects!$B$36*(Assumptions!$B$10+Assumptions!$B$11+Assumptions!$B$12)*0.05,0)</f>
        <v>0</v>
      </c>
      <c r="AG45" s="30" t="n">
        <f aca="false">IF(AND(Projects!$G$36="Yes",AG$3&gt;=Projects!$C$36,AG$3&lt;Projects!$C$36+Projects!$D$36),Projects!$B$36*INDEX(Curves!$B$4:$AR$4,1,AG$3-Projects!$C$36+1),0)-IF(AND(Projects!$G$36="Yes",AG$3&gt;=Projects!$C$36,AG$3&lt;Projects!$C$36+Projects!$D$36),Projects!$B$36*(Assumptions!$B$10+Assumptions!$B$11+Assumptions!$B$12)/Projects!$D$36*0.95,0)-IF(AND(Projects!$G$36="Yes",AG$3=Projects!$C$36+Projects!$D$36-1),Projects!$B$36*(Assumptions!$B$10+Assumptions!$B$11+Assumptions!$B$12)*0.05,0)</f>
        <v>0</v>
      </c>
      <c r="AH45" s="30" t="n">
        <f aca="false">IF(AND(Projects!$G$36="Yes",AH$3&gt;=Projects!$C$36,AH$3&lt;Projects!$C$36+Projects!$D$36),Projects!$B$36*INDEX(Curves!$B$4:$AR$4,1,AH$3-Projects!$C$36+1),0)-IF(AND(Projects!$G$36="Yes",AH$3&gt;=Projects!$C$36,AH$3&lt;Projects!$C$36+Projects!$D$36),Projects!$B$36*(Assumptions!$B$10+Assumptions!$B$11+Assumptions!$B$12)/Projects!$D$36*0.95,0)-IF(AND(Projects!$G$36="Yes",AH$3=Projects!$C$36+Projects!$D$36-1),Projects!$B$36*(Assumptions!$B$10+Assumptions!$B$11+Assumptions!$B$12)*0.05,0)</f>
        <v>0</v>
      </c>
      <c r="AI45" s="30" t="n">
        <f aca="false">IF(AND(Projects!$G$36="Yes",AI$3&gt;=Projects!$C$36,AI$3&lt;Projects!$C$36+Projects!$D$36),Projects!$B$36*INDEX(Curves!$B$4:$AR$4,1,AI$3-Projects!$C$36+1),0)-IF(AND(Projects!$G$36="Yes",AI$3&gt;=Projects!$C$36,AI$3&lt;Projects!$C$36+Projects!$D$36),Projects!$B$36*(Assumptions!$B$10+Assumptions!$B$11+Assumptions!$B$12)/Projects!$D$36*0.95,0)-IF(AND(Projects!$G$36="Yes",AI$3=Projects!$C$36+Projects!$D$36-1),Projects!$B$36*(Assumptions!$B$10+Assumptions!$B$11+Assumptions!$B$12)*0.05,0)</f>
        <v>0</v>
      </c>
      <c r="AJ45" s="30" t="n">
        <f aca="false">IF(AND(Projects!$G$36="Yes",AJ$3&gt;=Projects!$C$36,AJ$3&lt;Projects!$C$36+Projects!$D$36),Projects!$B$36*INDEX(Curves!$B$4:$AR$4,1,AJ$3-Projects!$C$36+1),0)-IF(AND(Projects!$G$36="Yes",AJ$3&gt;=Projects!$C$36,AJ$3&lt;Projects!$C$36+Projects!$D$36),Projects!$B$36*(Assumptions!$B$10+Assumptions!$B$11+Assumptions!$B$12)/Projects!$D$36*0.95,0)-IF(AND(Projects!$G$36="Yes",AJ$3=Projects!$C$36+Projects!$D$36-1),Projects!$B$36*(Assumptions!$B$10+Assumptions!$B$11+Assumptions!$B$12)*0.05,0)</f>
        <v>0</v>
      </c>
      <c r="AK45" s="30" t="n">
        <f aca="false">IF(AND(Projects!$G$36="Yes",AK$3&gt;=Projects!$C$36,AK$3&lt;Projects!$C$36+Projects!$D$36),Projects!$B$36*INDEX(Curves!$B$4:$AR$4,1,AK$3-Projects!$C$36+1),0)-IF(AND(Projects!$G$36="Yes",AK$3&gt;=Projects!$C$36,AK$3&lt;Projects!$C$36+Projects!$D$36),Projects!$B$36*(Assumptions!$B$10+Assumptions!$B$11+Assumptions!$B$12)/Projects!$D$36*0.95,0)-IF(AND(Projects!$G$36="Yes",AK$3=Projects!$C$36+Projects!$D$36-1),Projects!$B$36*(Assumptions!$B$10+Assumptions!$B$11+Assumptions!$B$12)*0.05,0)</f>
        <v>0</v>
      </c>
      <c r="AL45" s="30" t="n">
        <f aca="false">IF(AND(Projects!$G$36="Yes",AL$3&gt;=Projects!$C$36,AL$3&lt;Projects!$C$36+Projects!$D$36),Projects!$B$36*INDEX(Curves!$B$4:$AR$4,1,AL$3-Projects!$C$36+1),0)-IF(AND(Projects!$G$36="Yes",AL$3&gt;=Projects!$C$36,AL$3&lt;Projects!$C$36+Projects!$D$36),Projects!$B$36*(Assumptions!$B$10+Assumptions!$B$11+Assumptions!$B$12)/Projects!$D$36*0.95,0)-IF(AND(Projects!$G$36="Yes",AL$3=Projects!$C$36+Projects!$D$36-1),Projects!$B$36*(Assumptions!$B$10+Assumptions!$B$11+Assumptions!$B$12)*0.05,0)</f>
        <v>0</v>
      </c>
      <c r="AM45" s="30" t="n">
        <f aca="false">IF(AND(Projects!$G$36="Yes",AM$3&gt;=Projects!$C$36,AM$3&lt;Projects!$C$36+Projects!$D$36),Projects!$B$36*INDEX(Curves!$B$4:$AR$4,1,AM$3-Projects!$C$36+1),0)-IF(AND(Projects!$G$36="Yes",AM$3&gt;=Projects!$C$36,AM$3&lt;Projects!$C$36+Projects!$D$36),Projects!$B$36*(Assumptions!$B$10+Assumptions!$B$11+Assumptions!$B$12)/Projects!$D$36*0.95,0)-IF(AND(Projects!$G$36="Yes",AM$3=Projects!$C$36+Projects!$D$36-1),Projects!$B$36*(Assumptions!$B$10+Assumptions!$B$11+Assumptions!$B$12)*0.05,0)</f>
        <v>0</v>
      </c>
      <c r="AN45" s="30" t="n">
        <f aca="false">IF(AND(Projects!$G$36="Yes",AN$3&gt;=Projects!$C$36,AN$3&lt;Projects!$C$36+Projects!$D$36),Projects!$B$36*INDEX(Curves!$B$4:$AR$4,1,AN$3-Projects!$C$36+1),0)-IF(AND(Projects!$G$36="Yes",AN$3&gt;=Projects!$C$36,AN$3&lt;Projects!$C$36+Projects!$D$36),Projects!$B$36*(Assumptions!$B$10+Assumptions!$B$11+Assumptions!$B$12)/Projects!$D$36*0.95,0)-IF(AND(Projects!$G$36="Yes",AN$3=Projects!$C$36+Projects!$D$36-1),Projects!$B$36*(Assumptions!$B$10+Assumptions!$B$11+Assumptions!$B$12)*0.05,0)</f>
        <v>0</v>
      </c>
      <c r="AO45" s="30" t="n">
        <f aca="false">IF(AND(Projects!$G$36="Yes",AO$3&gt;=Projects!$C$36,AO$3&lt;Projects!$C$36+Projects!$D$36),Projects!$B$36*INDEX(Curves!$B$4:$AR$4,1,AO$3-Projects!$C$36+1),0)-IF(AND(Projects!$G$36="Yes",AO$3&gt;=Projects!$C$36,AO$3&lt;Projects!$C$36+Projects!$D$36),Projects!$B$36*(Assumptions!$B$10+Assumptions!$B$11+Assumptions!$B$12)/Projects!$D$36*0.95,0)-IF(AND(Projects!$G$36="Yes",AO$3=Projects!$C$36+Projects!$D$36-1),Projects!$B$36*(Assumptions!$B$10+Assumptions!$B$11+Assumptions!$B$12)*0.05,0)</f>
        <v>0</v>
      </c>
      <c r="AP45" s="30" t="n">
        <f aca="false">IF(AND(Projects!$G$36="Yes",AP$3&gt;=Projects!$C$36,AP$3&lt;Projects!$C$36+Projects!$D$36),Projects!$B$36*INDEX(Curves!$B$4:$AR$4,1,AP$3-Projects!$C$36+1),0)-IF(AND(Projects!$G$36="Yes",AP$3&gt;=Projects!$C$36,AP$3&lt;Projects!$C$36+Projects!$D$36),Projects!$B$36*(Assumptions!$B$10+Assumptions!$B$11+Assumptions!$B$12)/Projects!$D$36*0.95,0)-IF(AND(Projects!$G$36="Yes",AP$3=Projects!$C$36+Projects!$D$36-1),Projects!$B$36*(Assumptions!$B$10+Assumptions!$B$11+Assumptions!$B$12)*0.05,0)</f>
        <v>0</v>
      </c>
      <c r="AQ45" s="30" t="n">
        <f aca="false">IF(AND(Projects!$G$36="Yes",AQ$3&gt;=Projects!$C$36,AQ$3&lt;Projects!$C$36+Projects!$D$36),Projects!$B$36*INDEX(Curves!$B$4:$AR$4,1,AQ$3-Projects!$C$36+1),0)-IF(AND(Projects!$G$36="Yes",AQ$3&gt;=Projects!$C$36,AQ$3&lt;Projects!$C$36+Projects!$D$36),Projects!$B$36*(Assumptions!$B$10+Assumptions!$B$11+Assumptions!$B$12)/Projects!$D$36*0.95,0)-IF(AND(Projects!$G$36="Yes",AQ$3=Projects!$C$36+Projects!$D$36-1),Projects!$B$36*(Assumptions!$B$10+Assumptions!$B$11+Assumptions!$B$12)*0.05,0)</f>
        <v>0</v>
      </c>
      <c r="AR45" s="30" t="n">
        <f aca="false">IF(AND(Projects!$G$36="Yes",AR$3&gt;=Projects!$C$36,AR$3&lt;Projects!$C$36+Projects!$D$36),Projects!$B$36*INDEX(Curves!$B$4:$AR$4,1,AR$3-Projects!$C$36+1),0)-IF(AND(Projects!$G$36="Yes",AR$3&gt;=Projects!$C$36,AR$3&lt;Projects!$C$36+Projects!$D$36),Projects!$B$36*(Assumptions!$B$10+Assumptions!$B$11+Assumptions!$B$12)/Projects!$D$36*0.95,0)-IF(AND(Projects!$G$36="Yes",AR$3=Projects!$C$36+Projects!$D$36-1),Projects!$B$36*(Assumptions!$B$10+Assumptions!$B$11+Assumptions!$B$12)*0.05,0)</f>
        <v>0</v>
      </c>
      <c r="AS45" s="30" t="n">
        <f aca="false">IF(AND(Projects!$G$36="Yes",AS$3&gt;=Projects!$C$36,AS$3&lt;Projects!$C$36+Projects!$D$36),Projects!$B$36*INDEX(Curves!$B$4:$AR$4,1,AS$3-Projects!$C$36+1),0)-IF(AND(Projects!$G$36="Yes",AS$3&gt;=Projects!$C$36,AS$3&lt;Projects!$C$36+Projects!$D$36),Projects!$B$36*(Assumptions!$B$10+Assumptions!$B$11+Assumptions!$B$12)/Projects!$D$36*0.95,0)-IF(AND(Projects!$G$36="Yes",AS$3=Projects!$C$36+Projects!$D$36-1),Projects!$B$36*(Assumptions!$B$10+Assumptions!$B$11+Assumptions!$B$12)*0.05,0)</f>
        <v>0</v>
      </c>
      <c r="AT45" s="30" t="n">
        <f aca="false">IF(AND(Projects!$G$36="Yes",AT$3&gt;=Projects!$C$36,AT$3&lt;Projects!$C$36+Projects!$D$36),Projects!$B$36*INDEX(Curves!$B$4:$AR$4,1,AT$3-Projects!$C$36+1),0)-IF(AND(Projects!$G$36="Yes",AT$3&gt;=Projects!$C$36,AT$3&lt;Projects!$C$36+Projects!$D$36),Projects!$B$36*(Assumptions!$B$10+Assumptions!$B$11+Assumptions!$B$12)/Projects!$D$36*0.95,0)-IF(AND(Projects!$G$36="Yes",AT$3=Projects!$C$36+Projects!$D$36-1),Projects!$B$36*(Assumptions!$B$10+Assumptions!$B$11+Assumptions!$B$12)*0.05,0)</f>
        <v>0</v>
      </c>
      <c r="AU45" s="30" t="n">
        <f aca="false">IF(AND(Projects!$G$36="Yes",AU$3&gt;=Projects!$C$36,AU$3&lt;Projects!$C$36+Projects!$D$36),Projects!$B$36*INDEX(Curves!$B$4:$AR$4,1,AU$3-Projects!$C$36+1),0)-IF(AND(Projects!$G$36="Yes",AU$3&gt;=Projects!$C$36,AU$3&lt;Projects!$C$36+Projects!$D$36),Projects!$B$36*(Assumptions!$B$10+Assumptions!$B$11+Assumptions!$B$12)/Projects!$D$36*0.95,0)-IF(AND(Projects!$G$36="Yes",AU$3=Projects!$C$36+Projects!$D$36-1),Projects!$B$36*(Assumptions!$B$10+Assumptions!$B$11+Assumptions!$B$12)*0.05,0)</f>
        <v>0</v>
      </c>
      <c r="AV45" s="30" t="n">
        <f aca="false">IF(AND(Projects!$G$36="Yes",AV$3&gt;=Projects!$C$36,AV$3&lt;Projects!$C$36+Projects!$D$36),Projects!$B$36*INDEX(Curves!$B$4:$AR$4,1,AV$3-Projects!$C$36+1),0)-IF(AND(Projects!$G$36="Yes",AV$3&gt;=Projects!$C$36,AV$3&lt;Projects!$C$36+Projects!$D$36),Projects!$B$36*(Assumptions!$B$10+Assumptions!$B$11+Assumptions!$B$12)/Projects!$D$36*0.95,0)-IF(AND(Projects!$G$36="Yes",AV$3=Projects!$C$36+Projects!$D$36-1),Projects!$B$36*(Assumptions!$B$10+Assumptions!$B$11+Assumptions!$B$12)*0.05,0)</f>
        <v>0</v>
      </c>
      <c r="AW45" s="30" t="n">
        <f aca="false">IF(AND(Projects!$G$36="Yes",AW$3&gt;=Projects!$C$36,AW$3&lt;Projects!$C$36+Projects!$D$36),Projects!$B$36*INDEX(Curves!$B$4:$AR$4,1,AW$3-Projects!$C$36+1),0)-IF(AND(Projects!$G$36="Yes",AW$3&gt;=Projects!$C$36,AW$3&lt;Projects!$C$36+Projects!$D$36),Projects!$B$36*(Assumptions!$B$10+Assumptions!$B$11+Assumptions!$B$12)/Projects!$D$36*0.95,0)-IF(AND(Projects!$G$36="Yes",AW$3=Projects!$C$36+Projects!$D$36-1),Projects!$B$36*(Assumptions!$B$10+Assumptions!$B$11+Assumptions!$B$12)*0.05,0)</f>
        <v>0</v>
      </c>
      <c r="AX45" s="30" t="n">
        <f aca="false">IF(AND(Projects!$G$36="Yes",AX$3&gt;=Projects!$C$36,AX$3&lt;Projects!$C$36+Projects!$D$36),Projects!$B$36*INDEX(Curves!$B$4:$AR$4,1,AX$3-Projects!$C$36+1),0)-IF(AND(Projects!$G$36="Yes",AX$3&gt;=Projects!$C$36,AX$3&lt;Projects!$C$36+Projects!$D$36),Projects!$B$36*(Assumptions!$B$10+Assumptions!$B$11+Assumptions!$B$12)/Projects!$D$36*0.95,0)-IF(AND(Projects!$G$36="Yes",AX$3=Projects!$C$36+Projects!$D$36-1),Projects!$B$36*(Assumptions!$B$10+Assumptions!$B$11+Assumptions!$B$12)*0.05,0)</f>
        <v>0</v>
      </c>
      <c r="AY45" s="30" t="n">
        <f aca="false">IF(AND(Projects!$G$36="Yes",AY$3&gt;=Projects!$C$36,AY$3&lt;Projects!$C$36+Projects!$D$36),Projects!$B$36*INDEX(Curves!$B$4:$AR$4,1,AY$3-Projects!$C$36+1),0)-IF(AND(Projects!$G$36="Yes",AY$3&gt;=Projects!$C$36,AY$3&lt;Projects!$C$36+Projects!$D$36),Projects!$B$36*(Assumptions!$B$10+Assumptions!$B$11+Assumptions!$B$12)/Projects!$D$36*0.95,0)-IF(AND(Projects!$G$36="Yes",AY$3=Projects!$C$36+Projects!$D$36-1),Projects!$B$36*(Assumptions!$B$10+Assumptions!$B$11+Assumptions!$B$12)*0.05,0)</f>
        <v>0</v>
      </c>
      <c r="AZ45" s="30" t="n">
        <f aca="false">IF(AND(Projects!$G$36="Yes",AZ$3&gt;=Projects!$C$36,AZ$3&lt;Projects!$C$36+Projects!$D$36),Projects!$B$36*INDEX(Curves!$B$4:$AR$4,1,AZ$3-Projects!$C$36+1),0)-IF(AND(Projects!$G$36="Yes",AZ$3&gt;=Projects!$C$36,AZ$3&lt;Projects!$C$36+Projects!$D$36),Projects!$B$36*(Assumptions!$B$10+Assumptions!$B$11+Assumptions!$B$12)/Projects!$D$36*0.95,0)-IF(AND(Projects!$G$36="Yes",AZ$3=Projects!$C$36+Projects!$D$36-1),Projects!$B$36*(Assumptions!$B$10+Assumptions!$B$11+Assumptions!$B$12)*0.05,0)</f>
        <v>0</v>
      </c>
      <c r="BA45" s="30" t="n">
        <f aca="false">IF(AND(Projects!$G$36="Yes",BA$3&gt;=Projects!$C$36,BA$3&lt;Projects!$C$36+Projects!$D$36),Projects!$B$36*INDEX(Curves!$B$4:$AR$4,1,BA$3-Projects!$C$36+1),0)-IF(AND(Projects!$G$36="Yes",BA$3&gt;=Projects!$C$36,BA$3&lt;Projects!$C$36+Projects!$D$36),Projects!$B$36*(Assumptions!$B$10+Assumptions!$B$11+Assumptions!$B$12)/Projects!$D$36*0.95,0)-IF(AND(Projects!$G$36="Yes",BA$3=Projects!$C$36+Projects!$D$36-1),Projects!$B$36*(Assumptions!$B$10+Assumptions!$B$11+Assumptions!$B$12)*0.05,0)</f>
        <v>0</v>
      </c>
      <c r="BB45" s="30" t="n">
        <f aca="false">IF(AND(Projects!$G$36="Yes",BB$3&gt;=Projects!$C$36,BB$3&lt;Projects!$C$36+Projects!$D$36),Projects!$B$36*INDEX(Curves!$B$4:$AR$4,1,BB$3-Projects!$C$36+1),0)-IF(AND(Projects!$G$36="Yes",BB$3&gt;=Projects!$C$36,BB$3&lt;Projects!$C$36+Projects!$D$36),Projects!$B$36*(Assumptions!$B$10+Assumptions!$B$11+Assumptions!$B$12)/Projects!$D$36*0.95,0)-IF(AND(Projects!$G$36="Yes",BB$3=Projects!$C$36+Projects!$D$36-1),Projects!$B$36*(Assumptions!$B$10+Assumptions!$B$11+Assumptions!$B$12)*0.05,0)</f>
        <v>0</v>
      </c>
      <c r="BC45" s="30" t="n">
        <f aca="false">IF(AND(Projects!$G$36="Yes",BC$3&gt;=Projects!$C$36,BC$3&lt;Projects!$C$36+Projects!$D$36),Projects!$B$36*INDEX(Curves!$B$4:$AR$4,1,BC$3-Projects!$C$36+1),0)-IF(AND(Projects!$G$36="Yes",BC$3&gt;=Projects!$C$36,BC$3&lt;Projects!$C$36+Projects!$D$36),Projects!$B$36*(Assumptions!$B$10+Assumptions!$B$11+Assumptions!$B$12)/Projects!$D$36*0.95,0)-IF(AND(Projects!$G$36="Yes",BC$3=Projects!$C$36+Projects!$D$36-1),Projects!$B$36*(Assumptions!$B$10+Assumptions!$B$11+Assumptions!$B$12)*0.05,0)</f>
        <v>0</v>
      </c>
      <c r="BD45" s="30" t="n">
        <f aca="false">IF(AND(Projects!$G$36="Yes",BD$3&gt;=Projects!$C$36,BD$3&lt;Projects!$C$36+Projects!$D$36),Projects!$B$36*INDEX(Curves!$B$4:$AR$4,1,BD$3-Projects!$C$36+1),0)-IF(AND(Projects!$G$36="Yes",BD$3&gt;=Projects!$C$36,BD$3&lt;Projects!$C$36+Projects!$D$36),Projects!$B$36*(Assumptions!$B$10+Assumptions!$B$11+Assumptions!$B$12)/Projects!$D$36*0.95,0)-IF(AND(Projects!$G$36="Yes",BD$3=Projects!$C$36+Projects!$D$36-1),Projects!$B$36*(Assumptions!$B$10+Assumptions!$B$11+Assumptions!$B$12)*0.05,0)</f>
        <v>0</v>
      </c>
      <c r="BE45" s="30" t="n">
        <f aca="false">IF(AND(Projects!$G$36="Yes",BE$3&gt;=Projects!$C$36,BE$3&lt;Projects!$C$36+Projects!$D$36),Projects!$B$36*INDEX(Curves!$B$4:$AR$4,1,BE$3-Projects!$C$36+1),0)-IF(AND(Projects!$G$36="Yes",BE$3&gt;=Projects!$C$36,BE$3&lt;Projects!$C$36+Projects!$D$36),Projects!$B$36*(Assumptions!$B$10+Assumptions!$B$11+Assumptions!$B$12)/Projects!$D$36*0.95,0)-IF(AND(Projects!$G$36="Yes",BE$3=Projects!$C$36+Projects!$D$36-1),Projects!$B$36*(Assumptions!$B$10+Assumptions!$B$11+Assumptions!$B$12)*0.05,0)</f>
        <v>0</v>
      </c>
      <c r="BF45" s="30" t="n">
        <f aca="false">IF(AND(Projects!$G$36="Yes",BF$3&gt;=Projects!$C$36,BF$3&lt;Projects!$C$36+Projects!$D$36),Projects!$B$36*INDEX(Curves!$B$4:$AR$4,1,BF$3-Projects!$C$36+1),0)-IF(AND(Projects!$G$36="Yes",BF$3&gt;=Projects!$C$36,BF$3&lt;Projects!$C$36+Projects!$D$36),Projects!$B$36*(Assumptions!$B$10+Assumptions!$B$11+Assumptions!$B$12)/Projects!$D$36*0.95,0)-IF(AND(Projects!$G$36="Yes",BF$3=Projects!$C$36+Projects!$D$36-1),Projects!$B$36*(Assumptions!$B$10+Assumptions!$B$11+Assumptions!$B$12)*0.05,0)</f>
        <v>0</v>
      </c>
      <c r="BG45" s="30" t="n">
        <f aca="false">IF(AND(Projects!$G$36="Yes",BG$3&gt;=Projects!$C$36,BG$3&lt;Projects!$C$36+Projects!$D$36),Projects!$B$36*INDEX(Curves!$B$4:$AR$4,1,BG$3-Projects!$C$36+1),0)-IF(AND(Projects!$G$36="Yes",BG$3&gt;=Projects!$C$36,BG$3&lt;Projects!$C$36+Projects!$D$36),Projects!$B$36*(Assumptions!$B$10+Assumptions!$B$11+Assumptions!$B$12)/Projects!$D$36*0.95,0)-IF(AND(Projects!$G$36="Yes",BG$3=Projects!$C$36+Projects!$D$36-1),Projects!$B$36*(Assumptions!$B$10+Assumptions!$B$11+Assumptions!$B$12)*0.05,0)</f>
        <v>0</v>
      </c>
      <c r="BH45" s="30" t="n">
        <f aca="false">IF(AND(Projects!$G$36="Yes",BH$3&gt;=Projects!$C$36,BH$3&lt;Projects!$C$36+Projects!$D$36),Projects!$B$36*INDEX(Curves!$B$4:$AR$4,1,BH$3-Projects!$C$36+1),0)-IF(AND(Projects!$G$36="Yes",BH$3&gt;=Projects!$C$36,BH$3&lt;Projects!$C$36+Projects!$D$36),Projects!$B$36*(Assumptions!$B$10+Assumptions!$B$11+Assumptions!$B$12)/Projects!$D$36*0.95,0)-IF(AND(Projects!$G$36="Yes",BH$3=Projects!$C$36+Projects!$D$36-1),Projects!$B$36*(Assumptions!$B$10+Assumptions!$B$11+Assumptions!$B$12)*0.05,0)</f>
        <v>0</v>
      </c>
      <c r="BI45" s="30" t="n">
        <f aca="false">IF(AND(Projects!$G$36="Yes",BI$3&gt;=Projects!$C$36,BI$3&lt;Projects!$C$36+Projects!$D$36),Projects!$B$36*INDEX(Curves!$B$4:$AR$4,1,BI$3-Projects!$C$36+1),0)-IF(AND(Projects!$G$36="Yes",BI$3&gt;=Projects!$C$36,BI$3&lt;Projects!$C$36+Projects!$D$36),Projects!$B$36*(Assumptions!$B$10+Assumptions!$B$11+Assumptions!$B$12)/Projects!$D$36*0.95,0)-IF(AND(Projects!$G$36="Yes",BI$3=Projects!$C$36+Projects!$D$36-1),Projects!$B$36*(Assumptions!$B$10+Assumptions!$B$11+Assumptions!$B$12)*0.05,0)</f>
        <v>0</v>
      </c>
      <c r="BJ45" s="30" t="n">
        <f aca="false">IF(AND(Projects!$G$36="Yes",BJ$3&gt;=Projects!$C$36,BJ$3&lt;Projects!$C$36+Projects!$D$36),Projects!$B$36*INDEX(Curves!$B$4:$AR$4,1,BJ$3-Projects!$C$36+1),0)-IF(AND(Projects!$G$36="Yes",BJ$3&gt;=Projects!$C$36,BJ$3&lt;Projects!$C$36+Projects!$D$36),Projects!$B$36*(Assumptions!$B$10+Assumptions!$B$11+Assumptions!$B$12)/Projects!$D$36*0.95,0)-IF(AND(Projects!$G$36="Yes",BJ$3=Projects!$C$36+Projects!$D$36-1),Projects!$B$36*(Assumptions!$B$10+Assumptions!$B$11+Assumptions!$B$12)*0.05,0)</f>
        <v>0</v>
      </c>
      <c r="BK45" s="30" t="n">
        <f aca="false">IF(AND(Projects!$G$36="Yes",BK$3&gt;=Projects!$C$36,BK$3&lt;Projects!$C$36+Projects!$D$36),Projects!$B$36*INDEX(Curves!$B$4:$AR$4,1,BK$3-Projects!$C$36+1),0)-IF(AND(Projects!$G$36="Yes",BK$3&gt;=Projects!$C$36,BK$3&lt;Projects!$C$36+Projects!$D$36),Projects!$B$36*(Assumptions!$B$10+Assumptions!$B$11+Assumptions!$B$12)/Projects!$D$36*0.95,0)-IF(AND(Projects!$G$36="Yes",BK$3=Projects!$C$36+Projects!$D$36-1),Projects!$B$36*(Assumptions!$B$10+Assumptions!$B$11+Assumptions!$B$12)*0.05,0)</f>
        <v>0</v>
      </c>
      <c r="BL45" s="30" t="n">
        <f aca="false">IF(AND(Projects!$G$36="Yes",BL$3&gt;=Projects!$C$36,BL$3&lt;Projects!$C$36+Projects!$D$36),Projects!$B$36*INDEX(Curves!$B$4:$AR$4,1,BL$3-Projects!$C$36+1),0)-IF(AND(Projects!$G$36="Yes",BL$3&gt;=Projects!$C$36,BL$3&lt;Projects!$C$36+Projects!$D$36),Projects!$B$36*(Assumptions!$B$10+Assumptions!$B$11+Assumptions!$B$12)/Projects!$D$36*0.95,0)-IF(AND(Projects!$G$36="Yes",BL$3=Projects!$C$36+Projects!$D$36-1),Projects!$B$36*(Assumptions!$B$10+Assumptions!$B$11+Assumptions!$B$12)*0.05,0)</f>
        <v>0</v>
      </c>
      <c r="BM45" s="30" t="n">
        <f aca="false">IF(AND(Projects!$G$36="Yes",BM$3&gt;=Projects!$C$36,BM$3&lt;Projects!$C$36+Projects!$D$36),Projects!$B$36*INDEX(Curves!$B$4:$AR$4,1,BM$3-Projects!$C$36+1),0)-IF(AND(Projects!$G$36="Yes",BM$3&gt;=Projects!$C$36,BM$3&lt;Projects!$C$36+Projects!$D$36),Projects!$B$36*(Assumptions!$B$10+Assumptions!$B$11+Assumptions!$B$12)/Projects!$D$36*0.95,0)-IF(AND(Projects!$G$36="Yes",BM$3=Projects!$C$36+Projects!$D$36-1),Projects!$B$36*(Assumptions!$B$10+Assumptions!$B$11+Assumptions!$B$12)*0.05,0)</f>
        <v>0</v>
      </c>
      <c r="BN45" s="30" t="n">
        <f aca="false">IF(AND(Projects!$G$36="Yes",BN$3&gt;=Projects!$C$36,BN$3&lt;Projects!$C$36+Projects!$D$36),Projects!$B$36*INDEX(Curves!$B$4:$AR$4,1,BN$3-Projects!$C$36+1),0)-IF(AND(Projects!$G$36="Yes",BN$3&gt;=Projects!$C$36,BN$3&lt;Projects!$C$36+Projects!$D$36),Projects!$B$36*(Assumptions!$B$10+Assumptions!$B$11+Assumptions!$B$12)/Projects!$D$36*0.95,0)-IF(AND(Projects!$G$36="Yes",BN$3=Projects!$C$36+Projects!$D$36-1),Projects!$B$36*(Assumptions!$B$10+Assumptions!$B$11+Assumptions!$B$12)*0.05,0)</f>
        <v>0</v>
      </c>
      <c r="BO45" s="30" t="n">
        <f aca="false">IF(AND(Projects!$G$36="Yes",BO$3&gt;=Projects!$C$36,BO$3&lt;Projects!$C$36+Projects!$D$36),Projects!$B$36*INDEX(Curves!$B$4:$AR$4,1,BO$3-Projects!$C$36+1),0)-IF(AND(Projects!$G$36="Yes",BO$3&gt;=Projects!$C$36,BO$3&lt;Projects!$C$36+Projects!$D$36),Projects!$B$36*(Assumptions!$B$10+Assumptions!$B$11+Assumptions!$B$12)/Projects!$D$36*0.95,0)-IF(AND(Projects!$G$36="Yes",BO$3=Projects!$C$36+Projects!$D$36-1),Projects!$B$36*(Assumptions!$B$10+Assumptions!$B$11+Assumptions!$B$12)*0.05,0)</f>
        <v>0</v>
      </c>
      <c r="BP45" s="30" t="n">
        <f aca="false">IF(AND(Projects!$G$36="Yes",BP$3&gt;=Projects!$C$36,BP$3&lt;Projects!$C$36+Projects!$D$36),Projects!$B$36*INDEX(Curves!$B$4:$AR$4,1,BP$3-Projects!$C$36+1),0)-IF(AND(Projects!$G$36="Yes",BP$3&gt;=Projects!$C$36,BP$3&lt;Projects!$C$36+Projects!$D$36),Projects!$B$36*(Assumptions!$B$10+Assumptions!$B$11+Assumptions!$B$12)/Projects!$D$36*0.95,0)-IF(AND(Projects!$G$36="Yes",BP$3=Projects!$C$36+Projects!$D$36-1),Projects!$B$36*(Assumptions!$B$10+Assumptions!$B$11+Assumptions!$B$12)*0.05,0)</f>
        <v>0</v>
      </c>
      <c r="BQ45" s="30" t="n">
        <f aca="false">IF(AND(Projects!$G$36="Yes",BQ$3&gt;=Projects!$C$36,BQ$3&lt;Projects!$C$36+Projects!$D$36),Projects!$B$36*INDEX(Curves!$B$4:$AR$4,1,BQ$3-Projects!$C$36+1),0)-IF(AND(Projects!$G$36="Yes",BQ$3&gt;=Projects!$C$36,BQ$3&lt;Projects!$C$36+Projects!$D$36),Projects!$B$36*(Assumptions!$B$10+Assumptions!$B$11+Assumptions!$B$12)/Projects!$D$36*0.95,0)-IF(AND(Projects!$G$36="Yes",BQ$3=Projects!$C$36+Projects!$D$36-1),Projects!$B$36*(Assumptions!$B$10+Assumptions!$B$11+Assumptions!$B$12)*0.05,0)</f>
        <v>0</v>
      </c>
      <c r="BR45" s="30" t="n">
        <f aca="false">IF(AND(Projects!$G$36="Yes",BR$3&gt;=Projects!$C$36,BR$3&lt;Projects!$C$36+Projects!$D$36),Projects!$B$36*INDEX(Curves!$B$4:$AR$4,1,BR$3-Projects!$C$36+1),0)-IF(AND(Projects!$G$36="Yes",BR$3&gt;=Projects!$C$36,BR$3&lt;Projects!$C$36+Projects!$D$36),Projects!$B$36*(Assumptions!$B$10+Assumptions!$B$11+Assumptions!$B$12)/Projects!$D$36*0.95,0)-IF(AND(Projects!$G$36="Yes",BR$3=Projects!$C$36+Projects!$D$36-1),Projects!$B$36*(Assumptions!$B$10+Assumptions!$B$11+Assumptions!$B$12)*0.05,0)</f>
        <v>0</v>
      </c>
      <c r="BS45" s="30" t="n">
        <f aca="false">IF(AND(Projects!$G$36="Yes",BS$3&gt;=Projects!$C$36,BS$3&lt;Projects!$C$36+Projects!$D$36),Projects!$B$36*INDEX(Curves!$B$4:$AR$4,1,BS$3-Projects!$C$36+1),0)-IF(AND(Projects!$G$36="Yes",BS$3&gt;=Projects!$C$36,BS$3&lt;Projects!$C$36+Projects!$D$36),Projects!$B$36*(Assumptions!$B$10+Assumptions!$B$11+Assumptions!$B$12)/Projects!$D$36*0.95,0)-IF(AND(Projects!$G$36="Yes",BS$3=Projects!$C$36+Projects!$D$36-1),Projects!$B$36*(Assumptions!$B$10+Assumptions!$B$11+Assumptions!$B$12)*0.05,0)</f>
        <v>0</v>
      </c>
      <c r="BT45" s="30" t="n">
        <f aca="false">IF(AND(Projects!$G$36="Yes",BT$3&gt;=Projects!$C$36,BT$3&lt;Projects!$C$36+Projects!$D$36),Projects!$B$36*INDEX(Curves!$B$4:$AR$4,1,BT$3-Projects!$C$36+1),0)-IF(AND(Projects!$G$36="Yes",BT$3&gt;=Projects!$C$36,BT$3&lt;Projects!$C$36+Projects!$D$36),Projects!$B$36*(Assumptions!$B$10+Assumptions!$B$11+Assumptions!$B$12)/Projects!$D$36*0.95,0)-IF(AND(Projects!$G$36="Yes",BT$3=Projects!$C$36+Projects!$D$36-1),Projects!$B$36*(Assumptions!$B$10+Assumptions!$B$11+Assumptions!$B$12)*0.05,0)</f>
        <v>0</v>
      </c>
      <c r="BU45" s="30" t="n">
        <f aca="false">IF(AND(Projects!$G$36="Yes",BU$3&gt;=Projects!$C$36,BU$3&lt;Projects!$C$36+Projects!$D$36),Projects!$B$36*INDEX(Curves!$B$4:$AR$4,1,BU$3-Projects!$C$36+1),0)-IF(AND(Projects!$G$36="Yes",BU$3&gt;=Projects!$C$36,BU$3&lt;Projects!$C$36+Projects!$D$36),Projects!$B$36*(Assumptions!$B$10+Assumptions!$B$11+Assumptions!$B$12)/Projects!$D$36*0.95,0)-IF(AND(Projects!$G$36="Yes",BU$3=Projects!$C$36+Projects!$D$36-1),Projects!$B$36*(Assumptions!$B$10+Assumptions!$B$11+Assumptions!$B$12)*0.05,0)</f>
        <v>0</v>
      </c>
      <c r="BV45" s="30" t="n">
        <f aca="false">IF(AND(Projects!$G$36="Yes",BV$3&gt;=Projects!$C$36,BV$3&lt;Projects!$C$36+Projects!$D$36),Projects!$B$36*INDEX(Curves!$B$4:$AR$4,1,BV$3-Projects!$C$36+1),0)-IF(AND(Projects!$G$36="Yes",BV$3&gt;=Projects!$C$36,BV$3&lt;Projects!$C$36+Projects!$D$36),Projects!$B$36*(Assumptions!$B$10+Assumptions!$B$11+Assumptions!$B$12)/Projects!$D$36*0.95,0)-IF(AND(Projects!$G$36="Yes",BV$3=Projects!$C$36+Projects!$D$36-1),Projects!$B$36*(Assumptions!$B$10+Assumptions!$B$11+Assumptions!$B$12)*0.05,0)</f>
        <v>0</v>
      </c>
      <c r="BW45" s="30" t="n">
        <f aca="false">IF(AND(Projects!$G$36="Yes",BW$3&gt;=Projects!$C$36,BW$3&lt;Projects!$C$36+Projects!$D$36),Projects!$B$36*INDEX(Curves!$B$4:$AR$4,1,BW$3-Projects!$C$36+1),0)-IF(AND(Projects!$G$36="Yes",BW$3&gt;=Projects!$C$36,BW$3&lt;Projects!$C$36+Projects!$D$36),Projects!$B$36*(Assumptions!$B$10+Assumptions!$B$11+Assumptions!$B$12)/Projects!$D$36*0.95,0)-IF(AND(Projects!$G$36="Yes",BW$3=Projects!$C$36+Projects!$D$36-1),Projects!$B$36*(Assumptions!$B$10+Assumptions!$B$11+Assumptions!$B$12)*0.05,0)</f>
        <v>0</v>
      </c>
      <c r="BX45" s="30" t="n">
        <f aca="false">IF(AND(Projects!$G$36="Yes",BX$3&gt;=Projects!$C$36,BX$3&lt;Projects!$C$36+Projects!$D$36),Projects!$B$36*INDEX(Curves!$B$4:$AR$4,1,BX$3-Projects!$C$36+1),0)-IF(AND(Projects!$G$36="Yes",BX$3&gt;=Projects!$C$36,BX$3&lt;Projects!$C$36+Projects!$D$36),Projects!$B$36*(Assumptions!$B$10+Assumptions!$B$11+Assumptions!$B$12)/Projects!$D$36*0.95,0)-IF(AND(Projects!$G$36="Yes",BX$3=Projects!$C$36+Projects!$D$36-1),Projects!$B$36*(Assumptions!$B$10+Assumptions!$B$11+Assumptions!$B$12)*0.05,0)</f>
        <v>0</v>
      </c>
      <c r="BY45" s="30" t="n">
        <f aca="false">IF(AND(Projects!$G$36="Yes",BY$3&gt;=Projects!$C$36,BY$3&lt;Projects!$C$36+Projects!$D$36),Projects!$B$36*INDEX(Curves!$B$4:$AR$4,1,BY$3-Projects!$C$36+1),0)-IF(AND(Projects!$G$36="Yes",BY$3&gt;=Projects!$C$36,BY$3&lt;Projects!$C$36+Projects!$D$36),Projects!$B$36*(Assumptions!$B$10+Assumptions!$B$11+Assumptions!$B$12)/Projects!$D$36*0.95,0)-IF(AND(Projects!$G$36="Yes",BY$3=Projects!$C$36+Projects!$D$36-1),Projects!$B$36*(Assumptions!$B$10+Assumptions!$B$11+Assumptions!$B$12)*0.05,0)</f>
        <v>0</v>
      </c>
      <c r="BZ45" s="30" t="n">
        <f aca="false">IF(AND(Projects!$G$36="Yes",BZ$3&gt;=Projects!$C$36,BZ$3&lt;Projects!$C$36+Projects!$D$36),Projects!$B$36*INDEX(Curves!$B$4:$AR$4,1,BZ$3-Projects!$C$36+1),0)-IF(AND(Projects!$G$36="Yes",BZ$3&gt;=Projects!$C$36,BZ$3&lt;Projects!$C$36+Projects!$D$36),Projects!$B$36*(Assumptions!$B$10+Assumptions!$B$11+Assumptions!$B$12)/Projects!$D$36*0.95,0)-IF(AND(Projects!$G$36="Yes",BZ$3=Projects!$C$36+Projects!$D$36-1),Projects!$B$36*(Assumptions!$B$10+Assumptions!$B$11+Assumptions!$B$12)*0.05,0)</f>
        <v>0</v>
      </c>
      <c r="CA45" s="30" t="n">
        <f aca="false">IF(AND(Projects!$G$36="Yes",CA$3&gt;=Projects!$C$36,CA$3&lt;Projects!$C$36+Projects!$D$36),Projects!$B$36*INDEX(Curves!$B$4:$AR$4,1,CA$3-Projects!$C$36+1),0)-IF(AND(Projects!$G$36="Yes",CA$3&gt;=Projects!$C$36,CA$3&lt;Projects!$C$36+Projects!$D$36),Projects!$B$36*(Assumptions!$B$10+Assumptions!$B$11+Assumptions!$B$12)/Projects!$D$36*0.95,0)-IF(AND(Projects!$G$36="Yes",CA$3=Projects!$C$36+Projects!$D$36-1),Projects!$B$36*(Assumptions!$B$10+Assumptions!$B$11+Assumptions!$B$12)*0.05,0)</f>
        <v>0</v>
      </c>
      <c r="CB45" s="30" t="n">
        <f aca="false">IF(AND(Projects!$G$36="Yes",CB$3&gt;=Projects!$C$36,CB$3&lt;Projects!$C$36+Projects!$D$36),Projects!$B$36*INDEX(Curves!$B$4:$AR$4,1,CB$3-Projects!$C$36+1),0)-IF(AND(Projects!$G$36="Yes",CB$3&gt;=Projects!$C$36,CB$3&lt;Projects!$C$36+Projects!$D$36),Projects!$B$36*(Assumptions!$B$10+Assumptions!$B$11+Assumptions!$B$12)/Projects!$D$36*0.95,0)-IF(AND(Projects!$G$36="Yes",CB$3=Projects!$C$36+Projects!$D$36-1),Projects!$B$36*(Assumptions!$B$10+Assumptions!$B$11+Assumptions!$B$12)*0.05,0)</f>
        <v>0</v>
      </c>
      <c r="CC45" s="30" t="n">
        <f aca="false">IF(AND(Projects!$G$36="Yes",CC$3&gt;=Projects!$C$36,CC$3&lt;Projects!$C$36+Projects!$D$36),Projects!$B$36*INDEX(Curves!$B$4:$AR$4,1,CC$3-Projects!$C$36+1),0)-IF(AND(Projects!$G$36="Yes",CC$3&gt;=Projects!$C$36,CC$3&lt;Projects!$C$36+Projects!$D$36),Projects!$B$36*(Assumptions!$B$10+Assumptions!$B$11+Assumptions!$B$12)/Projects!$D$36*0.95,0)-IF(AND(Projects!$G$36="Yes",CC$3=Projects!$C$36+Projects!$D$36-1),Projects!$B$36*(Assumptions!$B$10+Assumptions!$B$11+Assumptions!$B$12)*0.05,0)</f>
        <v>0</v>
      </c>
      <c r="CD45" s="30" t="n">
        <f aca="false">IF(AND(Projects!$G$36="Yes",CD$3&gt;=Projects!$C$36,CD$3&lt;Projects!$C$36+Projects!$D$36),Projects!$B$36*INDEX(Curves!$B$4:$AR$4,1,CD$3-Projects!$C$36+1),0)-IF(AND(Projects!$G$36="Yes",CD$3&gt;=Projects!$C$36,CD$3&lt;Projects!$C$36+Projects!$D$36),Projects!$B$36*(Assumptions!$B$10+Assumptions!$B$11+Assumptions!$B$12)/Projects!$D$36*0.95,0)-IF(AND(Projects!$G$36="Yes",CD$3=Projects!$C$36+Projects!$D$36-1),Projects!$B$36*(Assumptions!$B$10+Assumptions!$B$11+Assumptions!$B$12)*0.05,0)</f>
        <v>0</v>
      </c>
      <c r="CE45" s="30" t="n">
        <f aca="false">IF(AND(Projects!$G$36="Yes",CE$3&gt;=Projects!$C$36,CE$3&lt;Projects!$C$36+Projects!$D$36),Projects!$B$36*INDEX(Curves!$B$4:$AR$4,1,CE$3-Projects!$C$36+1),0)-IF(AND(Projects!$G$36="Yes",CE$3&gt;=Projects!$C$36,CE$3&lt;Projects!$C$36+Projects!$D$36),Projects!$B$36*(Assumptions!$B$10+Assumptions!$B$11+Assumptions!$B$12)/Projects!$D$36*0.95,0)-IF(AND(Projects!$G$36="Yes",CE$3=Projects!$C$36+Projects!$D$36-1),Projects!$B$36*(Assumptions!$B$10+Assumptions!$B$11+Assumptions!$B$12)*0.05,0)</f>
        <v>0</v>
      </c>
      <c r="CF45" s="30" t="n">
        <f aca="false">IF(AND(Projects!$G$36="Yes",CF$3&gt;=Projects!$C$36,CF$3&lt;Projects!$C$36+Projects!$D$36),Projects!$B$36*INDEX(Curves!$B$4:$AR$4,1,CF$3-Projects!$C$36+1),0)-IF(AND(Projects!$G$36="Yes",CF$3&gt;=Projects!$C$36,CF$3&lt;Projects!$C$36+Projects!$D$36),Projects!$B$36*(Assumptions!$B$10+Assumptions!$B$11+Assumptions!$B$12)/Projects!$D$36*0.95,0)-IF(AND(Projects!$G$36="Yes",CF$3=Projects!$C$36+Projects!$D$36-1),Projects!$B$36*(Assumptions!$B$10+Assumptions!$B$11+Assumptions!$B$12)*0.05,0)</f>
        <v>0</v>
      </c>
      <c r="CG45" s="30" t="n">
        <f aca="false">IF(AND(Projects!$G$36="Yes",CG$3&gt;=Projects!$C$36,CG$3&lt;Projects!$C$36+Projects!$D$36),Projects!$B$36*INDEX(Curves!$B$4:$AR$4,1,CG$3-Projects!$C$36+1),0)-IF(AND(Projects!$G$36="Yes",CG$3&gt;=Projects!$C$36,CG$3&lt;Projects!$C$36+Projects!$D$36),Projects!$B$36*(Assumptions!$B$10+Assumptions!$B$11+Assumptions!$B$12)/Projects!$D$36*0.95,0)-IF(AND(Projects!$G$36="Yes",CG$3=Projects!$C$36+Projects!$D$36-1),Projects!$B$36*(Assumptions!$B$10+Assumptions!$B$11+Assumptions!$B$12)*0.05,0)</f>
        <v>0</v>
      </c>
      <c r="CH45" s="30" t="n">
        <f aca="false">IF(AND(Projects!$G$36="Yes",CH$3&gt;=Projects!$C$36,CH$3&lt;Projects!$C$36+Projects!$D$36),Projects!$B$36*INDEX(Curves!$B$4:$AR$4,1,CH$3-Projects!$C$36+1),0)-IF(AND(Projects!$G$36="Yes",CH$3&gt;=Projects!$C$36,CH$3&lt;Projects!$C$36+Projects!$D$36),Projects!$B$36*(Assumptions!$B$10+Assumptions!$B$11+Assumptions!$B$12)/Projects!$D$36*0.95,0)-IF(AND(Projects!$G$36="Yes",CH$3=Projects!$C$36+Projects!$D$36-1),Projects!$B$36*(Assumptions!$B$10+Assumptions!$B$11+Assumptions!$B$12)*0.05,0)</f>
        <v>0</v>
      </c>
      <c r="CI45" s="30" t="n">
        <f aca="false">IF(AND(Projects!$G$36="Yes",CI$3&gt;=Projects!$C$36,CI$3&lt;Projects!$C$36+Projects!$D$36),Projects!$B$36*INDEX(Curves!$B$4:$AR$4,1,CI$3-Projects!$C$36+1),0)-IF(AND(Projects!$G$36="Yes",CI$3&gt;=Projects!$C$36,CI$3&lt;Projects!$C$36+Projects!$D$36),Projects!$B$36*(Assumptions!$B$10+Assumptions!$B$11+Assumptions!$B$12)/Projects!$D$36*0.95,0)-IF(AND(Projects!$G$36="Yes",CI$3=Projects!$C$36+Projects!$D$36-1),Projects!$B$36*(Assumptions!$B$10+Assumptions!$B$11+Assumptions!$B$12)*0.05,0)</f>
        <v>0</v>
      </c>
      <c r="CJ45" s="30" t="n">
        <f aca="false">IF(AND(Projects!$G$36="Yes",CJ$3&gt;=Projects!$C$36,CJ$3&lt;Projects!$C$36+Projects!$D$36),Projects!$B$36*INDEX(Curves!$B$4:$AR$4,1,CJ$3-Projects!$C$36+1),0)-IF(AND(Projects!$G$36="Yes",CJ$3&gt;=Projects!$C$36,CJ$3&lt;Projects!$C$36+Projects!$D$36),Projects!$B$36*(Assumptions!$B$10+Assumptions!$B$11+Assumptions!$B$12)/Projects!$D$36*0.95,0)-IF(AND(Projects!$G$36="Yes",CJ$3=Projects!$C$36+Projects!$D$36-1),Projects!$B$36*(Assumptions!$B$10+Assumptions!$B$11+Assumptions!$B$12)*0.05,0)</f>
        <v>0</v>
      </c>
      <c r="CK45" s="30" t="n">
        <f aca="false">IF(AND(Projects!$G$36="Yes",CK$3&gt;=Projects!$C$36,CK$3&lt;Projects!$C$36+Projects!$D$36),Projects!$B$36*INDEX(Curves!$B$4:$AR$4,1,CK$3-Projects!$C$36+1),0)-IF(AND(Projects!$G$36="Yes",CK$3&gt;=Projects!$C$36,CK$3&lt;Projects!$C$36+Projects!$D$36),Projects!$B$36*(Assumptions!$B$10+Assumptions!$B$11+Assumptions!$B$12)/Projects!$D$36*0.95,0)-IF(AND(Projects!$G$36="Yes",CK$3=Projects!$C$36+Projects!$D$36-1),Projects!$B$36*(Assumptions!$B$10+Assumptions!$B$11+Assumptions!$B$12)*0.05,0)</f>
        <v>0</v>
      </c>
      <c r="CL45" s="30" t="n">
        <f aca="false">IF(AND(Projects!$G$36="Yes",CL$3&gt;=Projects!$C$36,CL$3&lt;Projects!$C$36+Projects!$D$36),Projects!$B$36*INDEX(Curves!$B$4:$AR$4,1,CL$3-Projects!$C$36+1),0)-IF(AND(Projects!$G$36="Yes",CL$3&gt;=Projects!$C$36,CL$3&lt;Projects!$C$36+Projects!$D$36),Projects!$B$36*(Assumptions!$B$10+Assumptions!$B$11+Assumptions!$B$12)/Projects!$D$36*0.95,0)-IF(AND(Projects!$G$36="Yes",CL$3=Projects!$C$36+Projects!$D$36-1),Projects!$B$36*(Assumptions!$B$10+Assumptions!$B$11+Assumptions!$B$12)*0.05,0)</f>
        <v>0</v>
      </c>
      <c r="CM45" s="30" t="n">
        <f aca="false">IF(AND(Projects!$G$36="Yes",CM$3&gt;=Projects!$C$36,CM$3&lt;Projects!$C$36+Projects!$D$36),Projects!$B$36*INDEX(Curves!$B$4:$AR$4,1,CM$3-Projects!$C$36+1),0)-IF(AND(Projects!$G$36="Yes",CM$3&gt;=Projects!$C$36,CM$3&lt;Projects!$C$36+Projects!$D$36),Projects!$B$36*(Assumptions!$B$10+Assumptions!$B$11+Assumptions!$B$12)/Projects!$D$36*0.95,0)-IF(AND(Projects!$G$36="Yes",CM$3=Projects!$C$36+Projects!$D$36-1),Projects!$B$36*(Assumptions!$B$10+Assumptions!$B$11+Assumptions!$B$12)*0.05,0)</f>
        <v>0</v>
      </c>
      <c r="CN45" s="30" t="n">
        <f aca="false">IF(AND(Projects!$G$36="Yes",CN$3&gt;=Projects!$C$36,CN$3&lt;Projects!$C$36+Projects!$D$36),Projects!$B$36*INDEX(Curves!$B$4:$AR$4,1,CN$3-Projects!$C$36+1),0)-IF(AND(Projects!$G$36="Yes",CN$3&gt;=Projects!$C$36,CN$3&lt;Projects!$C$36+Projects!$D$36),Projects!$B$36*(Assumptions!$B$10+Assumptions!$B$11+Assumptions!$B$12)/Projects!$D$36*0.95,0)-IF(AND(Projects!$G$36="Yes",CN$3=Projects!$C$36+Projects!$D$36-1),Projects!$B$36*(Assumptions!$B$10+Assumptions!$B$11+Assumptions!$B$12)*0.05,0)</f>
        <v>0</v>
      </c>
      <c r="CO45" s="30" t="n">
        <f aca="false">IF(AND(Projects!$G$36="Yes",CO$3&gt;=Projects!$C$36,CO$3&lt;Projects!$C$36+Projects!$D$36),Projects!$B$36*INDEX(Curves!$B$4:$AR$4,1,CO$3-Projects!$C$36+1),0)-IF(AND(Projects!$G$36="Yes",CO$3&gt;=Projects!$C$36,CO$3&lt;Projects!$C$36+Projects!$D$36),Projects!$B$36*(Assumptions!$B$10+Assumptions!$B$11+Assumptions!$B$12)/Projects!$D$36*0.95,0)-IF(AND(Projects!$G$36="Yes",CO$3=Projects!$C$36+Projects!$D$36-1),Projects!$B$36*(Assumptions!$B$10+Assumptions!$B$11+Assumptions!$B$12)*0.05,0)</f>
        <v>0</v>
      </c>
      <c r="CP45" s="30" t="n">
        <f aca="false">IF(AND(Projects!$G$36="Yes",CP$3&gt;=Projects!$C$36,CP$3&lt;Projects!$C$36+Projects!$D$36),Projects!$B$36*INDEX(Curves!$B$4:$AR$4,1,CP$3-Projects!$C$36+1),0)-IF(AND(Projects!$G$36="Yes",CP$3&gt;=Projects!$C$36,CP$3&lt;Projects!$C$36+Projects!$D$36),Projects!$B$36*(Assumptions!$B$10+Assumptions!$B$11+Assumptions!$B$12)/Projects!$D$36*0.95,0)-IF(AND(Projects!$G$36="Yes",CP$3=Projects!$C$36+Projects!$D$36-1),Projects!$B$36*(Assumptions!$B$10+Assumptions!$B$11+Assumptions!$B$12)*0.05,0)</f>
        <v>0</v>
      </c>
      <c r="CQ45" s="30" t="n">
        <f aca="false">IF(AND(Projects!$G$36="Yes",CQ$3&gt;=Projects!$C$36,CQ$3&lt;Projects!$C$36+Projects!$D$36),Projects!$B$36*INDEX(Curves!$B$4:$AR$4,1,CQ$3-Projects!$C$36+1),0)-IF(AND(Projects!$G$36="Yes",CQ$3&gt;=Projects!$C$36,CQ$3&lt;Projects!$C$36+Projects!$D$36),Projects!$B$36*(Assumptions!$B$10+Assumptions!$B$11+Assumptions!$B$12)/Projects!$D$36*0.95,0)-IF(AND(Projects!$G$36="Yes",CQ$3=Projects!$C$36+Projects!$D$36-1),Projects!$B$36*(Assumptions!$B$10+Assumptions!$B$11+Assumptions!$B$12)*0.05,0)</f>
        <v>0</v>
      </c>
      <c r="CR45" s="30" t="n">
        <f aca="false">IF(AND(Projects!$G$36="Yes",CR$3&gt;=Projects!$C$36,CR$3&lt;Projects!$C$36+Projects!$D$36),Projects!$B$36*INDEX(Curves!$B$4:$AR$4,1,CR$3-Projects!$C$36+1),0)-IF(AND(Projects!$G$36="Yes",CR$3&gt;=Projects!$C$36,CR$3&lt;Projects!$C$36+Projects!$D$36),Projects!$B$36*(Assumptions!$B$10+Assumptions!$B$11+Assumptions!$B$12)/Projects!$D$36*0.95,0)-IF(AND(Projects!$G$36="Yes",CR$3=Projects!$C$36+Projects!$D$36-1),Projects!$B$36*(Assumptions!$B$10+Assumptions!$B$11+Assumptions!$B$12)*0.05,0)</f>
        <v>0</v>
      </c>
      <c r="CS45" s="30" t="n">
        <f aca="false">IF(AND(Projects!$G$36="Yes",CS$3&gt;=Projects!$C$36,CS$3&lt;Projects!$C$36+Projects!$D$36),Projects!$B$36*INDEX(Curves!$B$4:$AR$4,1,CS$3-Projects!$C$36+1),0)-IF(AND(Projects!$G$36="Yes",CS$3&gt;=Projects!$C$36,CS$3&lt;Projects!$C$36+Projects!$D$36),Projects!$B$36*(Assumptions!$B$10+Assumptions!$B$11+Assumptions!$B$12)/Projects!$D$36*0.95,0)-IF(AND(Projects!$G$36="Yes",CS$3=Projects!$C$36+Projects!$D$36-1),Projects!$B$36*(Assumptions!$B$10+Assumptions!$B$11+Assumptions!$B$12)*0.05,0)</f>
        <v>0</v>
      </c>
      <c r="CT45" s="30" t="n">
        <f aca="false">IF(AND(Projects!$G$36="Yes",CT$3&gt;=Projects!$C$36,CT$3&lt;Projects!$C$36+Projects!$D$36),Projects!$B$36*INDEX(Curves!$B$4:$AR$4,1,CT$3-Projects!$C$36+1),0)-IF(AND(Projects!$G$36="Yes",CT$3&gt;=Projects!$C$36,CT$3&lt;Projects!$C$36+Projects!$D$36),Projects!$B$36*(Assumptions!$B$10+Assumptions!$B$11+Assumptions!$B$12)/Projects!$D$36*0.95,0)-IF(AND(Projects!$G$36="Yes",CT$3=Projects!$C$36+Projects!$D$36-1),Projects!$B$36*(Assumptions!$B$10+Assumptions!$B$11+Assumptions!$B$12)*0.05,0)</f>
        <v>0</v>
      </c>
      <c r="CU45" s="30" t="n">
        <f aca="false">IF(AND(Projects!$G$36="Yes",CU$3&gt;=Projects!$C$36,CU$3&lt;Projects!$C$36+Projects!$D$36),Projects!$B$36*INDEX(Curves!$B$4:$AR$4,1,CU$3-Projects!$C$36+1),0)-IF(AND(Projects!$G$36="Yes",CU$3&gt;=Projects!$C$36,CU$3&lt;Projects!$C$36+Projects!$D$36),Projects!$B$36*(Assumptions!$B$10+Assumptions!$B$11+Assumptions!$B$12)/Projects!$D$36*0.95,0)-IF(AND(Projects!$G$36="Yes",CU$3=Projects!$C$36+Projects!$D$36-1),Projects!$B$36*(Assumptions!$B$10+Assumptions!$B$11+Assumptions!$B$12)*0.05,0)</f>
        <v>0</v>
      </c>
      <c r="CV45" s="30" t="n">
        <f aca="false">IF(AND(Projects!$G$36="Yes",CV$3&gt;=Projects!$C$36,CV$3&lt;Projects!$C$36+Projects!$D$36),Projects!$B$36*INDEX(Curves!$B$4:$AR$4,1,CV$3-Projects!$C$36+1),0)-IF(AND(Projects!$G$36="Yes",CV$3&gt;=Projects!$C$36,CV$3&lt;Projects!$C$36+Projects!$D$36),Projects!$B$36*(Assumptions!$B$10+Assumptions!$B$11+Assumptions!$B$12)/Projects!$D$36*0.95,0)-IF(AND(Projects!$G$36="Yes",CV$3=Projects!$C$36+Projects!$D$36-1),Projects!$B$36*(Assumptions!$B$10+Assumptions!$B$11+Assumptions!$B$12)*0.05,0)</f>
        <v>0</v>
      </c>
      <c r="CW45" s="30" t="n">
        <f aca="false">IF(AND(Projects!$G$36="Yes",CW$3&gt;=Projects!$C$36,CW$3&lt;Projects!$C$36+Projects!$D$36),Projects!$B$36*INDEX(Curves!$B$4:$AR$4,1,CW$3-Projects!$C$36+1),0)-IF(AND(Projects!$G$36="Yes",CW$3&gt;=Projects!$C$36,CW$3&lt;Projects!$C$36+Projects!$D$36),Projects!$B$36*(Assumptions!$B$10+Assumptions!$B$11+Assumptions!$B$12)/Projects!$D$36*0.95,0)-IF(AND(Projects!$G$36="Yes",CW$3=Projects!$C$36+Projects!$D$36-1),Projects!$B$36*(Assumptions!$B$10+Assumptions!$B$11+Assumptions!$B$12)*0.05,0)</f>
        <v>0</v>
      </c>
      <c r="CX45" s="30" t="n">
        <f aca="false">IF(AND(Projects!$G$36="Yes",CX$3&gt;=Projects!$C$36,CX$3&lt;Projects!$C$36+Projects!$D$36),Projects!$B$36*INDEX(Curves!$B$4:$AR$4,1,CX$3-Projects!$C$36+1),0)-IF(AND(Projects!$G$36="Yes",CX$3&gt;=Projects!$C$36,CX$3&lt;Projects!$C$36+Projects!$D$36),Projects!$B$36*(Assumptions!$B$10+Assumptions!$B$11+Assumptions!$B$12)/Projects!$D$36*0.95,0)-IF(AND(Projects!$G$36="Yes",CX$3=Projects!$C$36+Projects!$D$36-1),Projects!$B$36*(Assumptions!$B$10+Assumptions!$B$11+Assumptions!$B$12)*0.05,0)</f>
        <v>0</v>
      </c>
      <c r="CY45" s="30" t="n">
        <f aca="false">IF(AND(Projects!$G$36="Yes",CY$3&gt;=Projects!$C$36,CY$3&lt;Projects!$C$36+Projects!$D$36),Projects!$B$36*INDEX(Curves!$B$4:$AR$4,1,CY$3-Projects!$C$36+1),0)-IF(AND(Projects!$G$36="Yes",CY$3&gt;=Projects!$C$36,CY$3&lt;Projects!$C$36+Projects!$D$36),Projects!$B$36*(Assumptions!$B$10+Assumptions!$B$11+Assumptions!$B$12)/Projects!$D$36*0.95,0)-IF(AND(Projects!$G$36="Yes",CY$3=Projects!$C$36+Projects!$D$36-1),Projects!$B$36*(Assumptions!$B$10+Assumptions!$B$11+Assumptions!$B$12)*0.05,0)</f>
        <v>0</v>
      </c>
      <c r="CZ45" s="30" t="n">
        <f aca="false">IF(AND(Projects!$G$36="Yes",CZ$3&gt;=Projects!$C$36,CZ$3&lt;Projects!$C$36+Projects!$D$36),Projects!$B$36*INDEX(Curves!$B$4:$AR$4,1,CZ$3-Projects!$C$36+1),0)-IF(AND(Projects!$G$36="Yes",CZ$3&gt;=Projects!$C$36,CZ$3&lt;Projects!$C$36+Projects!$D$36),Projects!$B$36*(Assumptions!$B$10+Assumptions!$B$11+Assumptions!$B$12)/Projects!$D$36*0.95,0)-IF(AND(Projects!$G$36="Yes",CZ$3=Projects!$C$36+Projects!$D$36-1),Projects!$B$36*(Assumptions!$B$10+Assumptions!$B$11+Assumptions!$B$12)*0.05,0)</f>
        <v>0</v>
      </c>
      <c r="DA45" s="30" t="n">
        <f aca="false">IF(AND(Projects!$G$36="Yes",DA$3&gt;=Projects!$C$36,DA$3&lt;Projects!$C$36+Projects!$D$36),Projects!$B$36*INDEX(Curves!$B$4:$AR$4,1,DA$3-Projects!$C$36+1),0)-IF(AND(Projects!$G$36="Yes",DA$3&gt;=Projects!$C$36,DA$3&lt;Projects!$C$36+Projects!$D$36),Projects!$B$36*(Assumptions!$B$10+Assumptions!$B$11+Assumptions!$B$12)/Projects!$D$36*0.95,0)-IF(AND(Projects!$G$36="Yes",DA$3=Projects!$C$36+Projects!$D$36-1),Projects!$B$36*(Assumptions!$B$10+Assumptions!$B$11+Assumptions!$B$12)*0.05,0)</f>
        <v>0</v>
      </c>
      <c r="DB45" s="30" t="n">
        <f aca="false">IF(AND(Projects!$G$36="Yes",DB$3&gt;=Projects!$C$36,DB$3&lt;Projects!$C$36+Projects!$D$36),Projects!$B$36*INDEX(Curves!$B$4:$AR$4,1,DB$3-Projects!$C$36+1),0)-IF(AND(Projects!$G$36="Yes",DB$3&gt;=Projects!$C$36,DB$3&lt;Projects!$C$36+Projects!$D$36),Projects!$B$36*(Assumptions!$B$10+Assumptions!$B$11+Assumptions!$B$12)/Projects!$D$36*0.95,0)-IF(AND(Projects!$G$36="Yes",DB$3=Projects!$C$36+Projects!$D$36-1),Projects!$B$36*(Assumptions!$B$10+Assumptions!$B$11+Assumptions!$B$12)*0.05,0)</f>
        <v>0</v>
      </c>
      <c r="DC45" s="30" t="n">
        <f aca="false">IF(AND(Projects!$G$36="Yes",DC$3&gt;=Projects!$C$36,DC$3&lt;Projects!$C$36+Projects!$D$36),Projects!$B$36*INDEX(Curves!$B$4:$AR$4,1,DC$3-Projects!$C$36+1),0)-IF(AND(Projects!$G$36="Yes",DC$3&gt;=Projects!$C$36,DC$3&lt;Projects!$C$36+Projects!$D$36),Projects!$B$36*(Assumptions!$B$10+Assumptions!$B$11+Assumptions!$B$12)/Projects!$D$36*0.95,0)-IF(AND(Projects!$G$36="Yes",DC$3=Projects!$C$36+Projects!$D$36-1),Projects!$B$36*(Assumptions!$B$10+Assumptions!$B$11+Assumptions!$B$12)*0.05,0)</f>
        <v>0</v>
      </c>
      <c r="DD45" s="30" t="n">
        <f aca="false">IF(AND(Projects!$G$36="Yes",DD$3&gt;=Projects!$C$36,DD$3&lt;Projects!$C$36+Projects!$D$36),Projects!$B$36*INDEX(Curves!$B$4:$AR$4,1,DD$3-Projects!$C$36+1),0)-IF(AND(Projects!$G$36="Yes",DD$3&gt;=Projects!$C$36,DD$3&lt;Projects!$C$36+Projects!$D$36),Projects!$B$36*(Assumptions!$B$10+Assumptions!$B$11+Assumptions!$B$12)/Projects!$D$36*0.95,0)-IF(AND(Projects!$G$36="Yes",DD$3=Projects!$C$36+Projects!$D$36-1),Projects!$B$36*(Assumptions!$B$10+Assumptions!$B$11+Assumptions!$B$12)*0.05,0)</f>
        <v>0</v>
      </c>
      <c r="DE45" s="30" t="n">
        <f aca="false">IF(AND(Projects!$G$36="Yes",DE$3&gt;=Projects!$C$36,DE$3&lt;Projects!$C$36+Projects!$D$36),Projects!$B$36*INDEX(Curves!$B$4:$AR$4,1,DE$3-Projects!$C$36+1),0)-IF(AND(Projects!$G$36="Yes",DE$3&gt;=Projects!$C$36,DE$3&lt;Projects!$C$36+Projects!$D$36),Projects!$B$36*(Assumptions!$B$10+Assumptions!$B$11+Assumptions!$B$12)/Projects!$D$36*0.95,0)-IF(AND(Projects!$G$36="Yes",DE$3=Projects!$C$36+Projects!$D$36-1),Projects!$B$36*(Assumptions!$B$10+Assumptions!$B$11+Assumptions!$B$12)*0.05,0)</f>
        <v>0</v>
      </c>
    </row>
    <row r="46" customFormat="false" ht="15" hidden="true" customHeight="true" outlineLevel="1" collapsed="false">
      <c r="A46" s="32" t="s">
        <v>40</v>
      </c>
      <c r="B46" s="30" t="n">
        <v>0</v>
      </c>
      <c r="C46" s="30" t="n">
        <v>0</v>
      </c>
      <c r="D46" s="30" t="n">
        <v>0</v>
      </c>
      <c r="E46" s="30" t="n">
        <v>0</v>
      </c>
      <c r="F46" s="30" t="n">
        <f aca="false">IF(AND(Projects!$G$37="Yes",F$3&gt;=Projects!$C$37,F$3&lt;Projects!$C$37+Projects!$D$37),Projects!$B$37*INDEX(Curves!$B$4:$AR$4,1,F$3-Projects!$C$37+1),0)-IF(AND(Projects!$G$37="Yes",F$3&gt;=Projects!$C$37,F$3&lt;Projects!$C$37+Projects!$D$37),Projects!$B$37*(Assumptions!$B$10+Assumptions!$B$11+Assumptions!$B$12)/Projects!$D$37*0.95,0)-IF(AND(Projects!$G$37="Yes",F$3=Projects!$C$37+Projects!$D$37-1),Projects!$B$37*(Assumptions!$B$10+Assumptions!$B$11+Assumptions!$B$12)*0.05,0)</f>
        <v>0</v>
      </c>
      <c r="G46" s="30" t="n">
        <f aca="false">IF(AND(Projects!$G$37="Yes",G$3&gt;=Projects!$C$37,G$3&lt;Projects!$C$37+Projects!$D$37),Projects!$B$37*INDEX(Curves!$B$4:$AR$4,1,G$3-Projects!$C$37+1),0)-IF(AND(Projects!$G$37="Yes",G$3&gt;=Projects!$C$37,G$3&lt;Projects!$C$37+Projects!$D$37),Projects!$B$37*(Assumptions!$B$10+Assumptions!$B$11+Assumptions!$B$12)/Projects!$D$37*0.95,0)-IF(AND(Projects!$G$37="Yes",G$3=Projects!$C$37+Projects!$D$37-1),Projects!$B$37*(Assumptions!$B$10+Assumptions!$B$11+Assumptions!$B$12)*0.05,0)</f>
        <v>0</v>
      </c>
      <c r="H46" s="30" t="n">
        <f aca="false">IF(AND(Projects!$G$37="Yes",H$3&gt;=Projects!$C$37,H$3&lt;Projects!$C$37+Projects!$D$37),Projects!$B$37*INDEX(Curves!$B$4:$AR$4,1,H$3-Projects!$C$37+1),0)-IF(AND(Projects!$G$37="Yes",H$3&gt;=Projects!$C$37,H$3&lt;Projects!$C$37+Projects!$D$37),Projects!$B$37*(Assumptions!$B$10+Assumptions!$B$11+Assumptions!$B$12)/Projects!$D$37*0.95,0)-IF(AND(Projects!$G$37="Yes",H$3=Projects!$C$37+Projects!$D$37-1),Projects!$B$37*(Assumptions!$B$10+Assumptions!$B$11+Assumptions!$B$12)*0.05,0)</f>
        <v>0</v>
      </c>
      <c r="I46" s="30" t="n">
        <f aca="false">IF(AND(Projects!$G$37="Yes",I$3&gt;=Projects!$C$37,I$3&lt;Projects!$C$37+Projects!$D$37),Projects!$B$37*INDEX(Curves!$B$4:$AR$4,1,I$3-Projects!$C$37+1),0)-IF(AND(Projects!$G$37="Yes",I$3&gt;=Projects!$C$37,I$3&lt;Projects!$C$37+Projects!$D$37),Projects!$B$37*(Assumptions!$B$10+Assumptions!$B$11+Assumptions!$B$12)/Projects!$D$37*0.95,0)-IF(AND(Projects!$G$37="Yes",I$3=Projects!$C$37+Projects!$D$37-1),Projects!$B$37*(Assumptions!$B$10+Assumptions!$B$11+Assumptions!$B$12)*0.05,0)</f>
        <v>0</v>
      </c>
      <c r="J46" s="30" t="n">
        <f aca="false">IF(AND(Projects!$G$37="Yes",J$3&gt;=Projects!$C$37,J$3&lt;Projects!$C$37+Projects!$D$37),Projects!$B$37*INDEX(Curves!$B$4:$AR$4,1,J$3-Projects!$C$37+1),0)-IF(AND(Projects!$G$37="Yes",J$3&gt;=Projects!$C$37,J$3&lt;Projects!$C$37+Projects!$D$37),Projects!$B$37*(Assumptions!$B$10+Assumptions!$B$11+Assumptions!$B$12)/Projects!$D$37*0.95,0)-IF(AND(Projects!$G$37="Yes",J$3=Projects!$C$37+Projects!$D$37-1),Projects!$B$37*(Assumptions!$B$10+Assumptions!$B$11+Assumptions!$B$12)*0.05,0)</f>
        <v>0</v>
      </c>
      <c r="K46" s="30" t="n">
        <f aca="false">IF(AND(Projects!$G$37="Yes",K$3&gt;=Projects!$C$37,K$3&lt;Projects!$C$37+Projects!$D$37),Projects!$B$37*INDEX(Curves!$B$4:$AR$4,1,K$3-Projects!$C$37+1),0)-IF(AND(Projects!$G$37="Yes",K$3&gt;=Projects!$C$37,K$3&lt;Projects!$C$37+Projects!$D$37),Projects!$B$37*(Assumptions!$B$10+Assumptions!$B$11+Assumptions!$B$12)/Projects!$D$37*0.95,0)-IF(AND(Projects!$G$37="Yes",K$3=Projects!$C$37+Projects!$D$37-1),Projects!$B$37*(Assumptions!$B$10+Assumptions!$B$11+Assumptions!$B$12)*0.05,0)</f>
        <v>0</v>
      </c>
      <c r="L46" s="30" t="n">
        <f aca="false">IF(AND(Projects!$G$37="Yes",L$3&gt;=Projects!$C$37,L$3&lt;Projects!$C$37+Projects!$D$37),Projects!$B$37*INDEX(Curves!$B$4:$AR$4,1,L$3-Projects!$C$37+1),0)-IF(AND(Projects!$G$37="Yes",L$3&gt;=Projects!$C$37,L$3&lt;Projects!$C$37+Projects!$D$37),Projects!$B$37*(Assumptions!$B$10+Assumptions!$B$11+Assumptions!$B$12)/Projects!$D$37*0.95,0)-IF(AND(Projects!$G$37="Yes",L$3=Projects!$C$37+Projects!$D$37-1),Projects!$B$37*(Assumptions!$B$10+Assumptions!$B$11+Assumptions!$B$12)*0.05,0)</f>
        <v>0</v>
      </c>
      <c r="M46" s="30" t="n">
        <f aca="false">IF(AND(Projects!$G$37="Yes",M$3&gt;=Projects!$C$37,M$3&lt;Projects!$C$37+Projects!$D$37),Projects!$B$37*INDEX(Curves!$B$4:$AR$4,1,M$3-Projects!$C$37+1),0)-IF(AND(Projects!$G$37="Yes",M$3&gt;=Projects!$C$37,M$3&lt;Projects!$C$37+Projects!$D$37),Projects!$B$37*(Assumptions!$B$10+Assumptions!$B$11+Assumptions!$B$12)/Projects!$D$37*0.95,0)-IF(AND(Projects!$G$37="Yes",M$3=Projects!$C$37+Projects!$D$37-1),Projects!$B$37*(Assumptions!$B$10+Assumptions!$B$11+Assumptions!$B$12)*0.05,0)</f>
        <v>0</v>
      </c>
      <c r="N46" s="30" t="n">
        <f aca="false">IF(AND(Projects!$G$37="Yes",N$3&gt;=Projects!$C$37,N$3&lt;Projects!$C$37+Projects!$D$37),Projects!$B$37*INDEX(Curves!$B$4:$AR$4,1,N$3-Projects!$C$37+1),0)-IF(AND(Projects!$G$37="Yes",N$3&gt;=Projects!$C$37,N$3&lt;Projects!$C$37+Projects!$D$37),Projects!$B$37*(Assumptions!$B$10+Assumptions!$B$11+Assumptions!$B$12)/Projects!$D$37*0.95,0)-IF(AND(Projects!$G$37="Yes",N$3=Projects!$C$37+Projects!$D$37-1),Projects!$B$37*(Assumptions!$B$10+Assumptions!$B$11+Assumptions!$B$12)*0.05,0)</f>
        <v>0</v>
      </c>
      <c r="O46" s="30" t="n">
        <f aca="false">IF(AND(Projects!$G$37="Yes",O$3&gt;=Projects!$C$37,O$3&lt;Projects!$C$37+Projects!$D$37),Projects!$B$37*INDEX(Curves!$B$4:$AR$4,1,O$3-Projects!$C$37+1),0)-IF(AND(Projects!$G$37="Yes",O$3&gt;=Projects!$C$37,O$3&lt;Projects!$C$37+Projects!$D$37),Projects!$B$37*(Assumptions!$B$10+Assumptions!$B$11+Assumptions!$B$12)/Projects!$D$37*0.95,0)-IF(AND(Projects!$G$37="Yes",O$3=Projects!$C$37+Projects!$D$37-1),Projects!$B$37*(Assumptions!$B$10+Assumptions!$B$11+Assumptions!$B$12)*0.05,0)</f>
        <v>0</v>
      </c>
      <c r="P46" s="30" t="n">
        <f aca="false">IF(AND(Projects!$G$37="Yes",P$3&gt;=Projects!$C$37,P$3&lt;Projects!$C$37+Projects!$D$37),Projects!$B$37*INDEX(Curves!$B$4:$AR$4,1,P$3-Projects!$C$37+1),0)-IF(AND(Projects!$G$37="Yes",P$3&gt;=Projects!$C$37,P$3&lt;Projects!$C$37+Projects!$D$37),Projects!$B$37*(Assumptions!$B$10+Assumptions!$B$11+Assumptions!$B$12)/Projects!$D$37*0.95,0)-IF(AND(Projects!$G$37="Yes",P$3=Projects!$C$37+Projects!$D$37-1),Projects!$B$37*(Assumptions!$B$10+Assumptions!$B$11+Assumptions!$B$12)*0.05,0)</f>
        <v>0</v>
      </c>
      <c r="Q46" s="30" t="n">
        <f aca="false">IF(AND(Projects!$G$37="Yes",Q$3&gt;=Projects!$C$37,Q$3&lt;Projects!$C$37+Projects!$D$37),Projects!$B$37*INDEX(Curves!$B$4:$AR$4,1,Q$3-Projects!$C$37+1),0)-IF(AND(Projects!$G$37="Yes",Q$3&gt;=Projects!$C$37,Q$3&lt;Projects!$C$37+Projects!$D$37),Projects!$B$37*(Assumptions!$B$10+Assumptions!$B$11+Assumptions!$B$12)/Projects!$D$37*0.95,0)-IF(AND(Projects!$G$37="Yes",Q$3=Projects!$C$37+Projects!$D$37-1),Projects!$B$37*(Assumptions!$B$10+Assumptions!$B$11+Assumptions!$B$12)*0.05,0)</f>
        <v>0</v>
      </c>
      <c r="R46" s="30" t="n">
        <f aca="false">IF(AND(Projects!$G$37="Yes",R$3&gt;=Projects!$C$37,R$3&lt;Projects!$C$37+Projects!$D$37),Projects!$B$37*INDEX(Curves!$B$4:$AR$4,1,R$3-Projects!$C$37+1),0)-IF(AND(Projects!$G$37="Yes",R$3&gt;=Projects!$C$37,R$3&lt;Projects!$C$37+Projects!$D$37),Projects!$B$37*(Assumptions!$B$10+Assumptions!$B$11+Assumptions!$B$12)/Projects!$D$37*0.95,0)-IF(AND(Projects!$G$37="Yes",R$3=Projects!$C$37+Projects!$D$37-1),Projects!$B$37*(Assumptions!$B$10+Assumptions!$B$11+Assumptions!$B$12)*0.05,0)</f>
        <v>0</v>
      </c>
      <c r="S46" s="30" t="n">
        <f aca="false">IF(AND(Projects!$G$37="Yes",S$3&gt;=Projects!$C$37,S$3&lt;Projects!$C$37+Projects!$D$37),Projects!$B$37*INDEX(Curves!$B$4:$AR$4,1,S$3-Projects!$C$37+1),0)-IF(AND(Projects!$G$37="Yes",S$3&gt;=Projects!$C$37,S$3&lt;Projects!$C$37+Projects!$D$37),Projects!$B$37*(Assumptions!$B$10+Assumptions!$B$11+Assumptions!$B$12)/Projects!$D$37*0.95,0)-IF(AND(Projects!$G$37="Yes",S$3=Projects!$C$37+Projects!$D$37-1),Projects!$B$37*(Assumptions!$B$10+Assumptions!$B$11+Assumptions!$B$12)*0.05,0)</f>
        <v>0</v>
      </c>
      <c r="T46" s="30" t="n">
        <f aca="false">IF(AND(Projects!$G$37="Yes",T$3&gt;=Projects!$C$37,T$3&lt;Projects!$C$37+Projects!$D$37),Projects!$B$37*INDEX(Curves!$B$4:$AR$4,1,T$3-Projects!$C$37+1),0)-IF(AND(Projects!$G$37="Yes",T$3&gt;=Projects!$C$37,T$3&lt;Projects!$C$37+Projects!$D$37),Projects!$B$37*(Assumptions!$B$10+Assumptions!$B$11+Assumptions!$B$12)/Projects!$D$37*0.95,0)-IF(AND(Projects!$G$37="Yes",T$3=Projects!$C$37+Projects!$D$37-1),Projects!$B$37*(Assumptions!$B$10+Assumptions!$B$11+Assumptions!$B$12)*0.05,0)</f>
        <v>0</v>
      </c>
      <c r="U46" s="30" t="n">
        <f aca="false">IF(AND(Projects!$G$37="Yes",U$3&gt;=Projects!$C$37,U$3&lt;Projects!$C$37+Projects!$D$37),Projects!$B$37*INDEX(Curves!$B$4:$AR$4,1,U$3-Projects!$C$37+1),0)-IF(AND(Projects!$G$37="Yes",U$3&gt;=Projects!$C$37,U$3&lt;Projects!$C$37+Projects!$D$37),Projects!$B$37*(Assumptions!$B$10+Assumptions!$B$11+Assumptions!$B$12)/Projects!$D$37*0.95,0)-IF(AND(Projects!$G$37="Yes",U$3=Projects!$C$37+Projects!$D$37-1),Projects!$B$37*(Assumptions!$B$10+Assumptions!$B$11+Assumptions!$B$12)*0.05,0)</f>
        <v>0</v>
      </c>
      <c r="V46" s="30" t="n">
        <f aca="false">IF(AND(Projects!$G$37="Yes",V$3&gt;=Projects!$C$37,V$3&lt;Projects!$C$37+Projects!$D$37),Projects!$B$37*INDEX(Curves!$B$4:$AR$4,1,V$3-Projects!$C$37+1),0)-IF(AND(Projects!$G$37="Yes",V$3&gt;=Projects!$C$37,V$3&lt;Projects!$C$37+Projects!$D$37),Projects!$B$37*(Assumptions!$B$10+Assumptions!$B$11+Assumptions!$B$12)/Projects!$D$37*0.95,0)-IF(AND(Projects!$G$37="Yes",V$3=Projects!$C$37+Projects!$D$37-1),Projects!$B$37*(Assumptions!$B$10+Assumptions!$B$11+Assumptions!$B$12)*0.05,0)</f>
        <v>0</v>
      </c>
      <c r="W46" s="30" t="n">
        <f aca="false">IF(AND(Projects!$G$37="Yes",W$3&gt;=Projects!$C$37,W$3&lt;Projects!$C$37+Projects!$D$37),Projects!$B$37*INDEX(Curves!$B$4:$AR$4,1,W$3-Projects!$C$37+1),0)-IF(AND(Projects!$G$37="Yes",W$3&gt;=Projects!$C$37,W$3&lt;Projects!$C$37+Projects!$D$37),Projects!$B$37*(Assumptions!$B$10+Assumptions!$B$11+Assumptions!$B$12)/Projects!$D$37*0.95,0)-IF(AND(Projects!$G$37="Yes",W$3=Projects!$C$37+Projects!$D$37-1),Projects!$B$37*(Assumptions!$B$10+Assumptions!$B$11+Assumptions!$B$12)*0.05,0)</f>
        <v>0</v>
      </c>
      <c r="X46" s="30" t="n">
        <f aca="false">IF(AND(Projects!$G$37="Yes",X$3&gt;=Projects!$C$37,X$3&lt;Projects!$C$37+Projects!$D$37),Projects!$B$37*INDEX(Curves!$B$4:$AR$4,1,X$3-Projects!$C$37+1),0)-IF(AND(Projects!$G$37="Yes",X$3&gt;=Projects!$C$37,X$3&lt;Projects!$C$37+Projects!$D$37),Projects!$B$37*(Assumptions!$B$10+Assumptions!$B$11+Assumptions!$B$12)/Projects!$D$37*0.95,0)-IF(AND(Projects!$G$37="Yes",X$3=Projects!$C$37+Projects!$D$37-1),Projects!$B$37*(Assumptions!$B$10+Assumptions!$B$11+Assumptions!$B$12)*0.05,0)</f>
        <v>0</v>
      </c>
      <c r="Y46" s="30" t="n">
        <f aca="false">IF(AND(Projects!$G$37="Yes",Y$3&gt;=Projects!$C$37,Y$3&lt;Projects!$C$37+Projects!$D$37),Projects!$B$37*INDEX(Curves!$B$4:$AR$4,1,Y$3-Projects!$C$37+1),0)-IF(AND(Projects!$G$37="Yes",Y$3&gt;=Projects!$C$37,Y$3&lt;Projects!$C$37+Projects!$D$37),Projects!$B$37*(Assumptions!$B$10+Assumptions!$B$11+Assumptions!$B$12)/Projects!$D$37*0.95,0)-IF(AND(Projects!$G$37="Yes",Y$3=Projects!$C$37+Projects!$D$37-1),Projects!$B$37*(Assumptions!$B$10+Assumptions!$B$11+Assumptions!$B$12)*0.05,0)</f>
        <v>0</v>
      </c>
      <c r="Z46" s="30" t="n">
        <f aca="false">IF(AND(Projects!$G$37="Yes",Z$3&gt;=Projects!$C$37,Z$3&lt;Projects!$C$37+Projects!$D$37),Projects!$B$37*INDEX(Curves!$B$4:$AR$4,1,Z$3-Projects!$C$37+1),0)-IF(AND(Projects!$G$37="Yes",Z$3&gt;=Projects!$C$37,Z$3&lt;Projects!$C$37+Projects!$D$37),Projects!$B$37*(Assumptions!$B$10+Assumptions!$B$11+Assumptions!$B$12)/Projects!$D$37*0.95,0)-IF(AND(Projects!$G$37="Yes",Z$3=Projects!$C$37+Projects!$D$37-1),Projects!$B$37*(Assumptions!$B$10+Assumptions!$B$11+Assumptions!$B$12)*0.05,0)</f>
        <v>0</v>
      </c>
      <c r="AA46" s="30" t="n">
        <f aca="false">IF(AND(Projects!$G$37="Yes",AA$3&gt;=Projects!$C$37,AA$3&lt;Projects!$C$37+Projects!$D$37),Projects!$B$37*INDEX(Curves!$B$4:$AR$4,1,AA$3-Projects!$C$37+1),0)-IF(AND(Projects!$G$37="Yes",AA$3&gt;=Projects!$C$37,AA$3&lt;Projects!$C$37+Projects!$D$37),Projects!$B$37*(Assumptions!$B$10+Assumptions!$B$11+Assumptions!$B$12)/Projects!$D$37*0.95,0)-IF(AND(Projects!$G$37="Yes",AA$3=Projects!$C$37+Projects!$D$37-1),Projects!$B$37*(Assumptions!$B$10+Assumptions!$B$11+Assumptions!$B$12)*0.05,0)</f>
        <v>0</v>
      </c>
      <c r="AB46" s="30" t="n">
        <f aca="false">IF(AND(Projects!$G$37="Yes",AB$3&gt;=Projects!$C$37,AB$3&lt;Projects!$C$37+Projects!$D$37),Projects!$B$37*INDEX(Curves!$B$4:$AR$4,1,AB$3-Projects!$C$37+1),0)-IF(AND(Projects!$G$37="Yes",AB$3&gt;=Projects!$C$37,AB$3&lt;Projects!$C$37+Projects!$D$37),Projects!$B$37*(Assumptions!$B$10+Assumptions!$B$11+Assumptions!$B$12)/Projects!$D$37*0.95,0)-IF(AND(Projects!$G$37="Yes",AB$3=Projects!$C$37+Projects!$D$37-1),Projects!$B$37*(Assumptions!$B$10+Assumptions!$B$11+Assumptions!$B$12)*0.05,0)</f>
        <v>0</v>
      </c>
      <c r="AC46" s="30" t="n">
        <f aca="false">IF(AND(Projects!$G$37="Yes",AC$3&gt;=Projects!$C$37,AC$3&lt;Projects!$C$37+Projects!$D$37),Projects!$B$37*INDEX(Curves!$B$4:$AR$4,1,AC$3-Projects!$C$37+1),0)-IF(AND(Projects!$G$37="Yes",AC$3&gt;=Projects!$C$37,AC$3&lt;Projects!$C$37+Projects!$D$37),Projects!$B$37*(Assumptions!$B$10+Assumptions!$B$11+Assumptions!$B$12)/Projects!$D$37*0.95,0)-IF(AND(Projects!$G$37="Yes",AC$3=Projects!$C$37+Projects!$D$37-1),Projects!$B$37*(Assumptions!$B$10+Assumptions!$B$11+Assumptions!$B$12)*0.05,0)</f>
        <v>0</v>
      </c>
      <c r="AD46" s="30" t="n">
        <f aca="false">IF(AND(Projects!$G$37="Yes",AD$3&gt;=Projects!$C$37,AD$3&lt;Projects!$C$37+Projects!$D$37),Projects!$B$37*INDEX(Curves!$B$4:$AR$4,1,AD$3-Projects!$C$37+1),0)-IF(AND(Projects!$G$37="Yes",AD$3&gt;=Projects!$C$37,AD$3&lt;Projects!$C$37+Projects!$D$37),Projects!$B$37*(Assumptions!$B$10+Assumptions!$B$11+Assumptions!$B$12)/Projects!$D$37*0.95,0)-IF(AND(Projects!$G$37="Yes",AD$3=Projects!$C$37+Projects!$D$37-1),Projects!$B$37*(Assumptions!$B$10+Assumptions!$B$11+Assumptions!$B$12)*0.05,0)</f>
        <v>0</v>
      </c>
      <c r="AE46" s="30" t="n">
        <f aca="false">IF(AND(Projects!$G$37="Yes",AE$3&gt;=Projects!$C$37,AE$3&lt;Projects!$C$37+Projects!$D$37),Projects!$B$37*INDEX(Curves!$B$4:$AR$4,1,AE$3-Projects!$C$37+1),0)-IF(AND(Projects!$G$37="Yes",AE$3&gt;=Projects!$C$37,AE$3&lt;Projects!$C$37+Projects!$D$37),Projects!$B$37*(Assumptions!$B$10+Assumptions!$B$11+Assumptions!$B$12)/Projects!$D$37*0.95,0)-IF(AND(Projects!$G$37="Yes",AE$3=Projects!$C$37+Projects!$D$37-1),Projects!$B$37*(Assumptions!$B$10+Assumptions!$B$11+Assumptions!$B$12)*0.05,0)</f>
        <v>0</v>
      </c>
      <c r="AF46" s="30" t="n">
        <f aca="false">IF(AND(Projects!$G$37="Yes",AF$3&gt;=Projects!$C$37,AF$3&lt;Projects!$C$37+Projects!$D$37),Projects!$B$37*INDEX(Curves!$B$4:$AR$4,1,AF$3-Projects!$C$37+1),0)-IF(AND(Projects!$G$37="Yes",AF$3&gt;=Projects!$C$37,AF$3&lt;Projects!$C$37+Projects!$D$37),Projects!$B$37*(Assumptions!$B$10+Assumptions!$B$11+Assumptions!$B$12)/Projects!$D$37*0.95,0)-IF(AND(Projects!$G$37="Yes",AF$3=Projects!$C$37+Projects!$D$37-1),Projects!$B$37*(Assumptions!$B$10+Assumptions!$B$11+Assumptions!$B$12)*0.05,0)</f>
        <v>0</v>
      </c>
      <c r="AG46" s="30" t="n">
        <f aca="false">IF(AND(Projects!$G$37="Yes",AG$3&gt;=Projects!$C$37,AG$3&lt;Projects!$C$37+Projects!$D$37),Projects!$B$37*INDEX(Curves!$B$4:$AR$4,1,AG$3-Projects!$C$37+1),0)-IF(AND(Projects!$G$37="Yes",AG$3&gt;=Projects!$C$37,AG$3&lt;Projects!$C$37+Projects!$D$37),Projects!$B$37*(Assumptions!$B$10+Assumptions!$B$11+Assumptions!$B$12)/Projects!$D$37*0.95,0)-IF(AND(Projects!$G$37="Yes",AG$3=Projects!$C$37+Projects!$D$37-1),Projects!$B$37*(Assumptions!$B$10+Assumptions!$B$11+Assumptions!$B$12)*0.05,0)</f>
        <v>0</v>
      </c>
      <c r="AH46" s="30" t="n">
        <f aca="false">IF(AND(Projects!$G$37="Yes",AH$3&gt;=Projects!$C$37,AH$3&lt;Projects!$C$37+Projects!$D$37),Projects!$B$37*INDEX(Curves!$B$4:$AR$4,1,AH$3-Projects!$C$37+1),0)-IF(AND(Projects!$G$37="Yes",AH$3&gt;=Projects!$C$37,AH$3&lt;Projects!$C$37+Projects!$D$37),Projects!$B$37*(Assumptions!$B$10+Assumptions!$B$11+Assumptions!$B$12)/Projects!$D$37*0.95,0)-IF(AND(Projects!$G$37="Yes",AH$3=Projects!$C$37+Projects!$D$37-1),Projects!$B$37*(Assumptions!$B$10+Assumptions!$B$11+Assumptions!$B$12)*0.05,0)</f>
        <v>0</v>
      </c>
      <c r="AI46" s="30" t="n">
        <f aca="false">IF(AND(Projects!$G$37="Yes",AI$3&gt;=Projects!$C$37,AI$3&lt;Projects!$C$37+Projects!$D$37),Projects!$B$37*INDEX(Curves!$B$4:$AR$4,1,AI$3-Projects!$C$37+1),0)-IF(AND(Projects!$G$37="Yes",AI$3&gt;=Projects!$C$37,AI$3&lt;Projects!$C$37+Projects!$D$37),Projects!$B$37*(Assumptions!$B$10+Assumptions!$B$11+Assumptions!$B$12)/Projects!$D$37*0.95,0)-IF(AND(Projects!$G$37="Yes",AI$3=Projects!$C$37+Projects!$D$37-1),Projects!$B$37*(Assumptions!$B$10+Assumptions!$B$11+Assumptions!$B$12)*0.05,0)</f>
        <v>0</v>
      </c>
      <c r="AJ46" s="30" t="n">
        <f aca="false">IF(AND(Projects!$G$37="Yes",AJ$3&gt;=Projects!$C$37,AJ$3&lt;Projects!$C$37+Projects!$D$37),Projects!$B$37*INDEX(Curves!$B$4:$AR$4,1,AJ$3-Projects!$C$37+1),0)-IF(AND(Projects!$G$37="Yes",AJ$3&gt;=Projects!$C$37,AJ$3&lt;Projects!$C$37+Projects!$D$37),Projects!$B$37*(Assumptions!$B$10+Assumptions!$B$11+Assumptions!$B$12)/Projects!$D$37*0.95,0)-IF(AND(Projects!$G$37="Yes",AJ$3=Projects!$C$37+Projects!$D$37-1),Projects!$B$37*(Assumptions!$B$10+Assumptions!$B$11+Assumptions!$B$12)*0.05,0)</f>
        <v>0</v>
      </c>
      <c r="AK46" s="30" t="n">
        <f aca="false">IF(AND(Projects!$G$37="Yes",AK$3&gt;=Projects!$C$37,AK$3&lt;Projects!$C$37+Projects!$D$37),Projects!$B$37*INDEX(Curves!$B$4:$AR$4,1,AK$3-Projects!$C$37+1),0)-IF(AND(Projects!$G$37="Yes",AK$3&gt;=Projects!$C$37,AK$3&lt;Projects!$C$37+Projects!$D$37),Projects!$B$37*(Assumptions!$B$10+Assumptions!$B$11+Assumptions!$B$12)/Projects!$D$37*0.95,0)-IF(AND(Projects!$G$37="Yes",AK$3=Projects!$C$37+Projects!$D$37-1),Projects!$B$37*(Assumptions!$B$10+Assumptions!$B$11+Assumptions!$B$12)*0.05,0)</f>
        <v>0</v>
      </c>
      <c r="AL46" s="30" t="n">
        <f aca="false">IF(AND(Projects!$G$37="Yes",AL$3&gt;=Projects!$C$37,AL$3&lt;Projects!$C$37+Projects!$D$37),Projects!$B$37*INDEX(Curves!$B$4:$AR$4,1,AL$3-Projects!$C$37+1),0)-IF(AND(Projects!$G$37="Yes",AL$3&gt;=Projects!$C$37,AL$3&lt;Projects!$C$37+Projects!$D$37),Projects!$B$37*(Assumptions!$B$10+Assumptions!$B$11+Assumptions!$B$12)/Projects!$D$37*0.95,0)-IF(AND(Projects!$G$37="Yes",AL$3=Projects!$C$37+Projects!$D$37-1),Projects!$B$37*(Assumptions!$B$10+Assumptions!$B$11+Assumptions!$B$12)*0.05,0)</f>
        <v>0</v>
      </c>
      <c r="AM46" s="30" t="n">
        <f aca="false">IF(AND(Projects!$G$37="Yes",AM$3&gt;=Projects!$C$37,AM$3&lt;Projects!$C$37+Projects!$D$37),Projects!$B$37*INDEX(Curves!$B$4:$AR$4,1,AM$3-Projects!$C$37+1),0)-IF(AND(Projects!$G$37="Yes",AM$3&gt;=Projects!$C$37,AM$3&lt;Projects!$C$37+Projects!$D$37),Projects!$B$37*(Assumptions!$B$10+Assumptions!$B$11+Assumptions!$B$12)/Projects!$D$37*0.95,0)-IF(AND(Projects!$G$37="Yes",AM$3=Projects!$C$37+Projects!$D$37-1),Projects!$B$37*(Assumptions!$B$10+Assumptions!$B$11+Assumptions!$B$12)*0.05,0)</f>
        <v>0</v>
      </c>
      <c r="AN46" s="30" t="n">
        <f aca="false">IF(AND(Projects!$G$37="Yes",AN$3&gt;=Projects!$C$37,AN$3&lt;Projects!$C$37+Projects!$D$37),Projects!$B$37*INDEX(Curves!$B$4:$AR$4,1,AN$3-Projects!$C$37+1),0)-IF(AND(Projects!$G$37="Yes",AN$3&gt;=Projects!$C$37,AN$3&lt;Projects!$C$37+Projects!$D$37),Projects!$B$37*(Assumptions!$B$10+Assumptions!$B$11+Assumptions!$B$12)/Projects!$D$37*0.95,0)-IF(AND(Projects!$G$37="Yes",AN$3=Projects!$C$37+Projects!$D$37-1),Projects!$B$37*(Assumptions!$B$10+Assumptions!$B$11+Assumptions!$B$12)*0.05,0)</f>
        <v>0</v>
      </c>
      <c r="AO46" s="30" t="n">
        <f aca="false">IF(AND(Projects!$G$37="Yes",AO$3&gt;=Projects!$C$37,AO$3&lt;Projects!$C$37+Projects!$D$37),Projects!$B$37*INDEX(Curves!$B$4:$AR$4,1,AO$3-Projects!$C$37+1),0)-IF(AND(Projects!$G$37="Yes",AO$3&gt;=Projects!$C$37,AO$3&lt;Projects!$C$37+Projects!$D$37),Projects!$B$37*(Assumptions!$B$10+Assumptions!$B$11+Assumptions!$B$12)/Projects!$D$37*0.95,0)-IF(AND(Projects!$G$37="Yes",AO$3=Projects!$C$37+Projects!$D$37-1),Projects!$B$37*(Assumptions!$B$10+Assumptions!$B$11+Assumptions!$B$12)*0.05,0)</f>
        <v>0</v>
      </c>
      <c r="AP46" s="30" t="n">
        <f aca="false">IF(AND(Projects!$G$37="Yes",AP$3&gt;=Projects!$C$37,AP$3&lt;Projects!$C$37+Projects!$D$37),Projects!$B$37*INDEX(Curves!$B$4:$AR$4,1,AP$3-Projects!$C$37+1),0)-IF(AND(Projects!$G$37="Yes",AP$3&gt;=Projects!$C$37,AP$3&lt;Projects!$C$37+Projects!$D$37),Projects!$B$37*(Assumptions!$B$10+Assumptions!$B$11+Assumptions!$B$12)/Projects!$D$37*0.95,0)-IF(AND(Projects!$G$37="Yes",AP$3=Projects!$C$37+Projects!$D$37-1),Projects!$B$37*(Assumptions!$B$10+Assumptions!$B$11+Assumptions!$B$12)*0.05,0)</f>
        <v>0</v>
      </c>
      <c r="AQ46" s="30" t="n">
        <f aca="false">IF(AND(Projects!$G$37="Yes",AQ$3&gt;=Projects!$C$37,AQ$3&lt;Projects!$C$37+Projects!$D$37),Projects!$B$37*INDEX(Curves!$B$4:$AR$4,1,AQ$3-Projects!$C$37+1),0)-IF(AND(Projects!$G$37="Yes",AQ$3&gt;=Projects!$C$37,AQ$3&lt;Projects!$C$37+Projects!$D$37),Projects!$B$37*(Assumptions!$B$10+Assumptions!$B$11+Assumptions!$B$12)/Projects!$D$37*0.95,0)-IF(AND(Projects!$G$37="Yes",AQ$3=Projects!$C$37+Projects!$D$37-1),Projects!$B$37*(Assumptions!$B$10+Assumptions!$B$11+Assumptions!$B$12)*0.05,0)</f>
        <v>0</v>
      </c>
      <c r="AR46" s="30" t="n">
        <f aca="false">IF(AND(Projects!$G$37="Yes",AR$3&gt;=Projects!$C$37,AR$3&lt;Projects!$C$37+Projects!$D$37),Projects!$B$37*INDEX(Curves!$B$4:$AR$4,1,AR$3-Projects!$C$37+1),0)-IF(AND(Projects!$G$37="Yes",AR$3&gt;=Projects!$C$37,AR$3&lt;Projects!$C$37+Projects!$D$37),Projects!$B$37*(Assumptions!$B$10+Assumptions!$B$11+Assumptions!$B$12)/Projects!$D$37*0.95,0)-IF(AND(Projects!$G$37="Yes",AR$3=Projects!$C$37+Projects!$D$37-1),Projects!$B$37*(Assumptions!$B$10+Assumptions!$B$11+Assumptions!$B$12)*0.05,0)</f>
        <v>0</v>
      </c>
      <c r="AS46" s="30" t="n">
        <f aca="false">IF(AND(Projects!$G$37="Yes",AS$3&gt;=Projects!$C$37,AS$3&lt;Projects!$C$37+Projects!$D$37),Projects!$B$37*INDEX(Curves!$B$4:$AR$4,1,AS$3-Projects!$C$37+1),0)-IF(AND(Projects!$G$37="Yes",AS$3&gt;=Projects!$C$37,AS$3&lt;Projects!$C$37+Projects!$D$37),Projects!$B$37*(Assumptions!$B$10+Assumptions!$B$11+Assumptions!$B$12)/Projects!$D$37*0.95,0)-IF(AND(Projects!$G$37="Yes",AS$3=Projects!$C$37+Projects!$D$37-1),Projects!$B$37*(Assumptions!$B$10+Assumptions!$B$11+Assumptions!$B$12)*0.05,0)</f>
        <v>0</v>
      </c>
      <c r="AT46" s="30" t="n">
        <f aca="false">IF(AND(Projects!$G$37="Yes",AT$3&gt;=Projects!$C$37,AT$3&lt;Projects!$C$37+Projects!$D$37),Projects!$B$37*INDEX(Curves!$B$4:$AR$4,1,AT$3-Projects!$C$37+1),0)-IF(AND(Projects!$G$37="Yes",AT$3&gt;=Projects!$C$37,AT$3&lt;Projects!$C$37+Projects!$D$37),Projects!$B$37*(Assumptions!$B$10+Assumptions!$B$11+Assumptions!$B$12)/Projects!$D$37*0.95,0)-IF(AND(Projects!$G$37="Yes",AT$3=Projects!$C$37+Projects!$D$37-1),Projects!$B$37*(Assumptions!$B$10+Assumptions!$B$11+Assumptions!$B$12)*0.05,0)</f>
        <v>0</v>
      </c>
      <c r="AU46" s="30" t="n">
        <f aca="false">IF(AND(Projects!$G$37="Yes",AU$3&gt;=Projects!$C$37,AU$3&lt;Projects!$C$37+Projects!$D$37),Projects!$B$37*INDEX(Curves!$B$4:$AR$4,1,AU$3-Projects!$C$37+1),0)-IF(AND(Projects!$G$37="Yes",AU$3&gt;=Projects!$C$37,AU$3&lt;Projects!$C$37+Projects!$D$37),Projects!$B$37*(Assumptions!$B$10+Assumptions!$B$11+Assumptions!$B$12)/Projects!$D$37*0.95,0)-IF(AND(Projects!$G$37="Yes",AU$3=Projects!$C$37+Projects!$D$37-1),Projects!$B$37*(Assumptions!$B$10+Assumptions!$B$11+Assumptions!$B$12)*0.05,0)</f>
        <v>0</v>
      </c>
      <c r="AV46" s="30" t="n">
        <f aca="false">IF(AND(Projects!$G$37="Yes",AV$3&gt;=Projects!$C$37,AV$3&lt;Projects!$C$37+Projects!$D$37),Projects!$B$37*INDEX(Curves!$B$4:$AR$4,1,AV$3-Projects!$C$37+1),0)-IF(AND(Projects!$G$37="Yes",AV$3&gt;=Projects!$C$37,AV$3&lt;Projects!$C$37+Projects!$D$37),Projects!$B$37*(Assumptions!$B$10+Assumptions!$B$11+Assumptions!$B$12)/Projects!$D$37*0.95,0)-IF(AND(Projects!$G$37="Yes",AV$3=Projects!$C$37+Projects!$D$37-1),Projects!$B$37*(Assumptions!$B$10+Assumptions!$B$11+Assumptions!$B$12)*0.05,0)</f>
        <v>0</v>
      </c>
      <c r="AW46" s="30" t="n">
        <f aca="false">IF(AND(Projects!$G$37="Yes",AW$3&gt;=Projects!$C$37,AW$3&lt;Projects!$C$37+Projects!$D$37),Projects!$B$37*INDEX(Curves!$B$4:$AR$4,1,AW$3-Projects!$C$37+1),0)-IF(AND(Projects!$G$37="Yes",AW$3&gt;=Projects!$C$37,AW$3&lt;Projects!$C$37+Projects!$D$37),Projects!$B$37*(Assumptions!$B$10+Assumptions!$B$11+Assumptions!$B$12)/Projects!$D$37*0.95,0)-IF(AND(Projects!$G$37="Yes",AW$3=Projects!$C$37+Projects!$D$37-1),Projects!$B$37*(Assumptions!$B$10+Assumptions!$B$11+Assumptions!$B$12)*0.05,0)</f>
        <v>0</v>
      </c>
      <c r="AX46" s="30" t="n">
        <f aca="false">IF(AND(Projects!$G$37="Yes",AX$3&gt;=Projects!$C$37,AX$3&lt;Projects!$C$37+Projects!$D$37),Projects!$B$37*INDEX(Curves!$B$4:$AR$4,1,AX$3-Projects!$C$37+1),0)-IF(AND(Projects!$G$37="Yes",AX$3&gt;=Projects!$C$37,AX$3&lt;Projects!$C$37+Projects!$D$37),Projects!$B$37*(Assumptions!$B$10+Assumptions!$B$11+Assumptions!$B$12)/Projects!$D$37*0.95,0)-IF(AND(Projects!$G$37="Yes",AX$3=Projects!$C$37+Projects!$D$37-1),Projects!$B$37*(Assumptions!$B$10+Assumptions!$B$11+Assumptions!$B$12)*0.05,0)</f>
        <v>0</v>
      </c>
      <c r="AY46" s="30" t="n">
        <f aca="false">IF(AND(Projects!$G$37="Yes",AY$3&gt;=Projects!$C$37,AY$3&lt;Projects!$C$37+Projects!$D$37),Projects!$B$37*INDEX(Curves!$B$4:$AR$4,1,AY$3-Projects!$C$37+1),0)-IF(AND(Projects!$G$37="Yes",AY$3&gt;=Projects!$C$37,AY$3&lt;Projects!$C$37+Projects!$D$37),Projects!$B$37*(Assumptions!$B$10+Assumptions!$B$11+Assumptions!$B$12)/Projects!$D$37*0.95,0)-IF(AND(Projects!$G$37="Yes",AY$3=Projects!$C$37+Projects!$D$37-1),Projects!$B$37*(Assumptions!$B$10+Assumptions!$B$11+Assumptions!$B$12)*0.05,0)</f>
        <v>0</v>
      </c>
      <c r="AZ46" s="30" t="n">
        <f aca="false">IF(AND(Projects!$G$37="Yes",AZ$3&gt;=Projects!$C$37,AZ$3&lt;Projects!$C$37+Projects!$D$37),Projects!$B$37*INDEX(Curves!$B$4:$AR$4,1,AZ$3-Projects!$C$37+1),0)-IF(AND(Projects!$G$37="Yes",AZ$3&gt;=Projects!$C$37,AZ$3&lt;Projects!$C$37+Projects!$D$37),Projects!$B$37*(Assumptions!$B$10+Assumptions!$B$11+Assumptions!$B$12)/Projects!$D$37*0.95,0)-IF(AND(Projects!$G$37="Yes",AZ$3=Projects!$C$37+Projects!$D$37-1),Projects!$B$37*(Assumptions!$B$10+Assumptions!$B$11+Assumptions!$B$12)*0.05,0)</f>
        <v>0</v>
      </c>
      <c r="BA46" s="30" t="n">
        <f aca="false">IF(AND(Projects!$G$37="Yes",BA$3&gt;=Projects!$C$37,BA$3&lt;Projects!$C$37+Projects!$D$37),Projects!$B$37*INDEX(Curves!$B$4:$AR$4,1,BA$3-Projects!$C$37+1),0)-IF(AND(Projects!$G$37="Yes",BA$3&gt;=Projects!$C$37,BA$3&lt;Projects!$C$37+Projects!$D$37),Projects!$B$37*(Assumptions!$B$10+Assumptions!$B$11+Assumptions!$B$12)/Projects!$D$37*0.95,0)-IF(AND(Projects!$G$37="Yes",BA$3=Projects!$C$37+Projects!$D$37-1),Projects!$B$37*(Assumptions!$B$10+Assumptions!$B$11+Assumptions!$B$12)*0.05,0)</f>
        <v>0</v>
      </c>
      <c r="BB46" s="30" t="n">
        <f aca="false">IF(AND(Projects!$G$37="Yes",BB$3&gt;=Projects!$C$37,BB$3&lt;Projects!$C$37+Projects!$D$37),Projects!$B$37*INDEX(Curves!$B$4:$AR$4,1,BB$3-Projects!$C$37+1),0)-IF(AND(Projects!$G$37="Yes",BB$3&gt;=Projects!$C$37,BB$3&lt;Projects!$C$37+Projects!$D$37),Projects!$B$37*(Assumptions!$B$10+Assumptions!$B$11+Assumptions!$B$12)/Projects!$D$37*0.95,0)-IF(AND(Projects!$G$37="Yes",BB$3=Projects!$C$37+Projects!$D$37-1),Projects!$B$37*(Assumptions!$B$10+Assumptions!$B$11+Assumptions!$B$12)*0.05,0)</f>
        <v>0</v>
      </c>
      <c r="BC46" s="30" t="n">
        <f aca="false">IF(AND(Projects!$G$37="Yes",BC$3&gt;=Projects!$C$37,BC$3&lt;Projects!$C$37+Projects!$D$37),Projects!$B$37*INDEX(Curves!$B$4:$AR$4,1,BC$3-Projects!$C$37+1),0)-IF(AND(Projects!$G$37="Yes",BC$3&gt;=Projects!$C$37,BC$3&lt;Projects!$C$37+Projects!$D$37),Projects!$B$37*(Assumptions!$B$10+Assumptions!$B$11+Assumptions!$B$12)/Projects!$D$37*0.95,0)-IF(AND(Projects!$G$37="Yes",BC$3=Projects!$C$37+Projects!$D$37-1),Projects!$B$37*(Assumptions!$B$10+Assumptions!$B$11+Assumptions!$B$12)*0.05,0)</f>
        <v>0</v>
      </c>
      <c r="BD46" s="30" t="n">
        <f aca="false">IF(AND(Projects!$G$37="Yes",BD$3&gt;=Projects!$C$37,BD$3&lt;Projects!$C$37+Projects!$D$37),Projects!$B$37*INDEX(Curves!$B$4:$AR$4,1,BD$3-Projects!$C$37+1),0)-IF(AND(Projects!$G$37="Yes",BD$3&gt;=Projects!$C$37,BD$3&lt;Projects!$C$37+Projects!$D$37),Projects!$B$37*(Assumptions!$B$10+Assumptions!$B$11+Assumptions!$B$12)/Projects!$D$37*0.95,0)-IF(AND(Projects!$G$37="Yes",BD$3=Projects!$C$37+Projects!$D$37-1),Projects!$B$37*(Assumptions!$B$10+Assumptions!$B$11+Assumptions!$B$12)*0.05,0)</f>
        <v>0</v>
      </c>
      <c r="BE46" s="30" t="n">
        <f aca="false">IF(AND(Projects!$G$37="Yes",BE$3&gt;=Projects!$C$37,BE$3&lt;Projects!$C$37+Projects!$D$37),Projects!$B$37*INDEX(Curves!$B$4:$AR$4,1,BE$3-Projects!$C$37+1),0)-IF(AND(Projects!$G$37="Yes",BE$3&gt;=Projects!$C$37,BE$3&lt;Projects!$C$37+Projects!$D$37),Projects!$B$37*(Assumptions!$B$10+Assumptions!$B$11+Assumptions!$B$12)/Projects!$D$37*0.95,0)-IF(AND(Projects!$G$37="Yes",BE$3=Projects!$C$37+Projects!$D$37-1),Projects!$B$37*(Assumptions!$B$10+Assumptions!$B$11+Assumptions!$B$12)*0.05,0)</f>
        <v>0</v>
      </c>
      <c r="BF46" s="30" t="n">
        <f aca="false">IF(AND(Projects!$G$37="Yes",BF$3&gt;=Projects!$C$37,BF$3&lt;Projects!$C$37+Projects!$D$37),Projects!$B$37*INDEX(Curves!$B$4:$AR$4,1,BF$3-Projects!$C$37+1),0)-IF(AND(Projects!$G$37="Yes",BF$3&gt;=Projects!$C$37,BF$3&lt;Projects!$C$37+Projects!$D$37),Projects!$B$37*(Assumptions!$B$10+Assumptions!$B$11+Assumptions!$B$12)/Projects!$D$37*0.95,0)-IF(AND(Projects!$G$37="Yes",BF$3=Projects!$C$37+Projects!$D$37-1),Projects!$B$37*(Assumptions!$B$10+Assumptions!$B$11+Assumptions!$B$12)*0.05,0)</f>
        <v>0</v>
      </c>
      <c r="BG46" s="30" t="n">
        <f aca="false">IF(AND(Projects!$G$37="Yes",BG$3&gt;=Projects!$C$37,BG$3&lt;Projects!$C$37+Projects!$D$37),Projects!$B$37*INDEX(Curves!$B$4:$AR$4,1,BG$3-Projects!$C$37+1),0)-IF(AND(Projects!$G$37="Yes",BG$3&gt;=Projects!$C$37,BG$3&lt;Projects!$C$37+Projects!$D$37),Projects!$B$37*(Assumptions!$B$10+Assumptions!$B$11+Assumptions!$B$12)/Projects!$D$37*0.95,0)-IF(AND(Projects!$G$37="Yes",BG$3=Projects!$C$37+Projects!$D$37-1),Projects!$B$37*(Assumptions!$B$10+Assumptions!$B$11+Assumptions!$B$12)*0.05,0)</f>
        <v>0</v>
      </c>
      <c r="BH46" s="30" t="n">
        <f aca="false">IF(AND(Projects!$G$37="Yes",BH$3&gt;=Projects!$C$37,BH$3&lt;Projects!$C$37+Projects!$D$37),Projects!$B$37*INDEX(Curves!$B$4:$AR$4,1,BH$3-Projects!$C$37+1),0)-IF(AND(Projects!$G$37="Yes",BH$3&gt;=Projects!$C$37,BH$3&lt;Projects!$C$37+Projects!$D$37),Projects!$B$37*(Assumptions!$B$10+Assumptions!$B$11+Assumptions!$B$12)/Projects!$D$37*0.95,0)-IF(AND(Projects!$G$37="Yes",BH$3=Projects!$C$37+Projects!$D$37-1),Projects!$B$37*(Assumptions!$B$10+Assumptions!$B$11+Assumptions!$B$12)*0.05,0)</f>
        <v>0</v>
      </c>
      <c r="BI46" s="30" t="n">
        <f aca="false">IF(AND(Projects!$G$37="Yes",BI$3&gt;=Projects!$C$37,BI$3&lt;Projects!$C$37+Projects!$D$37),Projects!$B$37*INDEX(Curves!$B$4:$AR$4,1,BI$3-Projects!$C$37+1),0)-IF(AND(Projects!$G$37="Yes",BI$3&gt;=Projects!$C$37,BI$3&lt;Projects!$C$37+Projects!$D$37),Projects!$B$37*(Assumptions!$B$10+Assumptions!$B$11+Assumptions!$B$12)/Projects!$D$37*0.95,0)-IF(AND(Projects!$G$37="Yes",BI$3=Projects!$C$37+Projects!$D$37-1),Projects!$B$37*(Assumptions!$B$10+Assumptions!$B$11+Assumptions!$B$12)*0.05,0)</f>
        <v>0</v>
      </c>
      <c r="BJ46" s="30" t="n">
        <f aca="false">IF(AND(Projects!$G$37="Yes",BJ$3&gt;=Projects!$C$37,BJ$3&lt;Projects!$C$37+Projects!$D$37),Projects!$B$37*INDEX(Curves!$B$4:$AR$4,1,BJ$3-Projects!$C$37+1),0)-IF(AND(Projects!$G$37="Yes",BJ$3&gt;=Projects!$C$37,BJ$3&lt;Projects!$C$37+Projects!$D$37),Projects!$B$37*(Assumptions!$B$10+Assumptions!$B$11+Assumptions!$B$12)/Projects!$D$37*0.95,0)-IF(AND(Projects!$G$37="Yes",BJ$3=Projects!$C$37+Projects!$D$37-1),Projects!$B$37*(Assumptions!$B$10+Assumptions!$B$11+Assumptions!$B$12)*0.05,0)</f>
        <v>0</v>
      </c>
      <c r="BK46" s="30" t="n">
        <f aca="false">IF(AND(Projects!$G$37="Yes",BK$3&gt;=Projects!$C$37,BK$3&lt;Projects!$C$37+Projects!$D$37),Projects!$B$37*INDEX(Curves!$B$4:$AR$4,1,BK$3-Projects!$C$37+1),0)-IF(AND(Projects!$G$37="Yes",BK$3&gt;=Projects!$C$37,BK$3&lt;Projects!$C$37+Projects!$D$37),Projects!$B$37*(Assumptions!$B$10+Assumptions!$B$11+Assumptions!$B$12)/Projects!$D$37*0.95,0)-IF(AND(Projects!$G$37="Yes",BK$3=Projects!$C$37+Projects!$D$37-1),Projects!$B$37*(Assumptions!$B$10+Assumptions!$B$11+Assumptions!$B$12)*0.05,0)</f>
        <v>0</v>
      </c>
      <c r="BL46" s="30" t="n">
        <f aca="false">IF(AND(Projects!$G$37="Yes",BL$3&gt;=Projects!$C$37,BL$3&lt;Projects!$C$37+Projects!$D$37),Projects!$B$37*INDEX(Curves!$B$4:$AR$4,1,BL$3-Projects!$C$37+1),0)-IF(AND(Projects!$G$37="Yes",BL$3&gt;=Projects!$C$37,BL$3&lt;Projects!$C$37+Projects!$D$37),Projects!$B$37*(Assumptions!$B$10+Assumptions!$B$11+Assumptions!$B$12)/Projects!$D$37*0.95,0)-IF(AND(Projects!$G$37="Yes",BL$3=Projects!$C$37+Projects!$D$37-1),Projects!$B$37*(Assumptions!$B$10+Assumptions!$B$11+Assumptions!$B$12)*0.05,0)</f>
        <v>0</v>
      </c>
      <c r="BM46" s="30" t="n">
        <f aca="false">IF(AND(Projects!$G$37="Yes",BM$3&gt;=Projects!$C$37,BM$3&lt;Projects!$C$37+Projects!$D$37),Projects!$B$37*INDEX(Curves!$B$4:$AR$4,1,BM$3-Projects!$C$37+1),0)-IF(AND(Projects!$G$37="Yes",BM$3&gt;=Projects!$C$37,BM$3&lt;Projects!$C$37+Projects!$D$37),Projects!$B$37*(Assumptions!$B$10+Assumptions!$B$11+Assumptions!$B$12)/Projects!$D$37*0.95,0)-IF(AND(Projects!$G$37="Yes",BM$3=Projects!$C$37+Projects!$D$37-1),Projects!$B$37*(Assumptions!$B$10+Assumptions!$B$11+Assumptions!$B$12)*0.05,0)</f>
        <v>0</v>
      </c>
      <c r="BN46" s="30" t="n">
        <f aca="false">IF(AND(Projects!$G$37="Yes",BN$3&gt;=Projects!$C$37,BN$3&lt;Projects!$C$37+Projects!$D$37),Projects!$B$37*INDEX(Curves!$B$4:$AR$4,1,BN$3-Projects!$C$37+1),0)-IF(AND(Projects!$G$37="Yes",BN$3&gt;=Projects!$C$37,BN$3&lt;Projects!$C$37+Projects!$D$37),Projects!$B$37*(Assumptions!$B$10+Assumptions!$B$11+Assumptions!$B$12)/Projects!$D$37*0.95,0)-IF(AND(Projects!$G$37="Yes",BN$3=Projects!$C$37+Projects!$D$37-1),Projects!$B$37*(Assumptions!$B$10+Assumptions!$B$11+Assumptions!$B$12)*0.05,0)</f>
        <v>0</v>
      </c>
      <c r="BO46" s="30" t="n">
        <f aca="false">IF(AND(Projects!$G$37="Yes",BO$3&gt;=Projects!$C$37,BO$3&lt;Projects!$C$37+Projects!$D$37),Projects!$B$37*INDEX(Curves!$B$4:$AR$4,1,BO$3-Projects!$C$37+1),0)-IF(AND(Projects!$G$37="Yes",BO$3&gt;=Projects!$C$37,BO$3&lt;Projects!$C$37+Projects!$D$37),Projects!$B$37*(Assumptions!$B$10+Assumptions!$B$11+Assumptions!$B$12)/Projects!$D$37*0.95,0)-IF(AND(Projects!$G$37="Yes",BO$3=Projects!$C$37+Projects!$D$37-1),Projects!$B$37*(Assumptions!$B$10+Assumptions!$B$11+Assumptions!$B$12)*0.05,0)</f>
        <v>0</v>
      </c>
      <c r="BP46" s="30" t="n">
        <f aca="false">IF(AND(Projects!$G$37="Yes",BP$3&gt;=Projects!$C$37,BP$3&lt;Projects!$C$37+Projects!$D$37),Projects!$B$37*INDEX(Curves!$B$4:$AR$4,1,BP$3-Projects!$C$37+1),0)-IF(AND(Projects!$G$37="Yes",BP$3&gt;=Projects!$C$37,BP$3&lt;Projects!$C$37+Projects!$D$37),Projects!$B$37*(Assumptions!$B$10+Assumptions!$B$11+Assumptions!$B$12)/Projects!$D$37*0.95,0)-IF(AND(Projects!$G$37="Yes",BP$3=Projects!$C$37+Projects!$D$37-1),Projects!$B$37*(Assumptions!$B$10+Assumptions!$B$11+Assumptions!$B$12)*0.05,0)</f>
        <v>0</v>
      </c>
      <c r="BQ46" s="30" t="n">
        <f aca="false">IF(AND(Projects!$G$37="Yes",BQ$3&gt;=Projects!$C$37,BQ$3&lt;Projects!$C$37+Projects!$D$37),Projects!$B$37*INDEX(Curves!$B$4:$AR$4,1,BQ$3-Projects!$C$37+1),0)-IF(AND(Projects!$G$37="Yes",BQ$3&gt;=Projects!$C$37,BQ$3&lt;Projects!$C$37+Projects!$D$37),Projects!$B$37*(Assumptions!$B$10+Assumptions!$B$11+Assumptions!$B$12)/Projects!$D$37*0.95,0)-IF(AND(Projects!$G$37="Yes",BQ$3=Projects!$C$37+Projects!$D$37-1),Projects!$B$37*(Assumptions!$B$10+Assumptions!$B$11+Assumptions!$B$12)*0.05,0)</f>
        <v>0</v>
      </c>
      <c r="BR46" s="30" t="n">
        <f aca="false">IF(AND(Projects!$G$37="Yes",BR$3&gt;=Projects!$C$37,BR$3&lt;Projects!$C$37+Projects!$D$37),Projects!$B$37*INDEX(Curves!$B$4:$AR$4,1,BR$3-Projects!$C$37+1),0)-IF(AND(Projects!$G$37="Yes",BR$3&gt;=Projects!$C$37,BR$3&lt;Projects!$C$37+Projects!$D$37),Projects!$B$37*(Assumptions!$B$10+Assumptions!$B$11+Assumptions!$B$12)/Projects!$D$37*0.95,0)-IF(AND(Projects!$G$37="Yes",BR$3=Projects!$C$37+Projects!$D$37-1),Projects!$B$37*(Assumptions!$B$10+Assumptions!$B$11+Assumptions!$B$12)*0.05,0)</f>
        <v>0</v>
      </c>
      <c r="BS46" s="30" t="n">
        <f aca="false">IF(AND(Projects!$G$37="Yes",BS$3&gt;=Projects!$C$37,BS$3&lt;Projects!$C$37+Projects!$D$37),Projects!$B$37*INDEX(Curves!$B$4:$AR$4,1,BS$3-Projects!$C$37+1),0)-IF(AND(Projects!$G$37="Yes",BS$3&gt;=Projects!$C$37,BS$3&lt;Projects!$C$37+Projects!$D$37),Projects!$B$37*(Assumptions!$B$10+Assumptions!$B$11+Assumptions!$B$12)/Projects!$D$37*0.95,0)-IF(AND(Projects!$G$37="Yes",BS$3=Projects!$C$37+Projects!$D$37-1),Projects!$B$37*(Assumptions!$B$10+Assumptions!$B$11+Assumptions!$B$12)*0.05,0)</f>
        <v>0</v>
      </c>
      <c r="BT46" s="30" t="n">
        <f aca="false">IF(AND(Projects!$G$37="Yes",BT$3&gt;=Projects!$C$37,BT$3&lt;Projects!$C$37+Projects!$D$37),Projects!$B$37*INDEX(Curves!$B$4:$AR$4,1,BT$3-Projects!$C$37+1),0)-IF(AND(Projects!$G$37="Yes",BT$3&gt;=Projects!$C$37,BT$3&lt;Projects!$C$37+Projects!$D$37),Projects!$B$37*(Assumptions!$B$10+Assumptions!$B$11+Assumptions!$B$12)/Projects!$D$37*0.95,0)-IF(AND(Projects!$G$37="Yes",BT$3=Projects!$C$37+Projects!$D$37-1),Projects!$B$37*(Assumptions!$B$10+Assumptions!$B$11+Assumptions!$B$12)*0.05,0)</f>
        <v>0</v>
      </c>
      <c r="BU46" s="30" t="n">
        <f aca="false">IF(AND(Projects!$G$37="Yes",BU$3&gt;=Projects!$C$37,BU$3&lt;Projects!$C$37+Projects!$D$37),Projects!$B$37*INDEX(Curves!$B$4:$AR$4,1,BU$3-Projects!$C$37+1),0)-IF(AND(Projects!$G$37="Yes",BU$3&gt;=Projects!$C$37,BU$3&lt;Projects!$C$37+Projects!$D$37),Projects!$B$37*(Assumptions!$B$10+Assumptions!$B$11+Assumptions!$B$12)/Projects!$D$37*0.95,0)-IF(AND(Projects!$G$37="Yes",BU$3=Projects!$C$37+Projects!$D$37-1),Projects!$B$37*(Assumptions!$B$10+Assumptions!$B$11+Assumptions!$B$12)*0.05,0)</f>
        <v>0</v>
      </c>
      <c r="BV46" s="30" t="n">
        <f aca="false">IF(AND(Projects!$G$37="Yes",BV$3&gt;=Projects!$C$37,BV$3&lt;Projects!$C$37+Projects!$D$37),Projects!$B$37*INDEX(Curves!$B$4:$AR$4,1,BV$3-Projects!$C$37+1),0)-IF(AND(Projects!$G$37="Yes",BV$3&gt;=Projects!$C$37,BV$3&lt;Projects!$C$37+Projects!$D$37),Projects!$B$37*(Assumptions!$B$10+Assumptions!$B$11+Assumptions!$B$12)/Projects!$D$37*0.95,0)-IF(AND(Projects!$G$37="Yes",BV$3=Projects!$C$37+Projects!$D$37-1),Projects!$B$37*(Assumptions!$B$10+Assumptions!$B$11+Assumptions!$B$12)*0.05,0)</f>
        <v>0</v>
      </c>
      <c r="BW46" s="30" t="n">
        <f aca="false">IF(AND(Projects!$G$37="Yes",BW$3&gt;=Projects!$C$37,BW$3&lt;Projects!$C$37+Projects!$D$37),Projects!$B$37*INDEX(Curves!$B$4:$AR$4,1,BW$3-Projects!$C$37+1),0)-IF(AND(Projects!$G$37="Yes",BW$3&gt;=Projects!$C$37,BW$3&lt;Projects!$C$37+Projects!$D$37),Projects!$B$37*(Assumptions!$B$10+Assumptions!$B$11+Assumptions!$B$12)/Projects!$D$37*0.95,0)-IF(AND(Projects!$G$37="Yes",BW$3=Projects!$C$37+Projects!$D$37-1),Projects!$B$37*(Assumptions!$B$10+Assumptions!$B$11+Assumptions!$B$12)*0.05,0)</f>
        <v>0</v>
      </c>
      <c r="BX46" s="30" t="n">
        <f aca="false">IF(AND(Projects!$G$37="Yes",BX$3&gt;=Projects!$C$37,BX$3&lt;Projects!$C$37+Projects!$D$37),Projects!$B$37*INDEX(Curves!$B$4:$AR$4,1,BX$3-Projects!$C$37+1),0)-IF(AND(Projects!$G$37="Yes",BX$3&gt;=Projects!$C$37,BX$3&lt;Projects!$C$37+Projects!$D$37),Projects!$B$37*(Assumptions!$B$10+Assumptions!$B$11+Assumptions!$B$12)/Projects!$D$37*0.95,0)-IF(AND(Projects!$G$37="Yes",BX$3=Projects!$C$37+Projects!$D$37-1),Projects!$B$37*(Assumptions!$B$10+Assumptions!$B$11+Assumptions!$B$12)*0.05,0)</f>
        <v>0</v>
      </c>
      <c r="BY46" s="30" t="n">
        <f aca="false">IF(AND(Projects!$G$37="Yes",BY$3&gt;=Projects!$C$37,BY$3&lt;Projects!$C$37+Projects!$D$37),Projects!$B$37*INDEX(Curves!$B$4:$AR$4,1,BY$3-Projects!$C$37+1),0)-IF(AND(Projects!$G$37="Yes",BY$3&gt;=Projects!$C$37,BY$3&lt;Projects!$C$37+Projects!$D$37),Projects!$B$37*(Assumptions!$B$10+Assumptions!$B$11+Assumptions!$B$12)/Projects!$D$37*0.95,0)-IF(AND(Projects!$G$37="Yes",BY$3=Projects!$C$37+Projects!$D$37-1),Projects!$B$37*(Assumptions!$B$10+Assumptions!$B$11+Assumptions!$B$12)*0.05,0)</f>
        <v>0</v>
      </c>
      <c r="BZ46" s="30" t="n">
        <f aca="false">IF(AND(Projects!$G$37="Yes",BZ$3&gt;=Projects!$C$37,BZ$3&lt;Projects!$C$37+Projects!$D$37),Projects!$B$37*INDEX(Curves!$B$4:$AR$4,1,BZ$3-Projects!$C$37+1),0)-IF(AND(Projects!$G$37="Yes",BZ$3&gt;=Projects!$C$37,BZ$3&lt;Projects!$C$37+Projects!$D$37),Projects!$B$37*(Assumptions!$B$10+Assumptions!$B$11+Assumptions!$B$12)/Projects!$D$37*0.95,0)-IF(AND(Projects!$G$37="Yes",BZ$3=Projects!$C$37+Projects!$D$37-1),Projects!$B$37*(Assumptions!$B$10+Assumptions!$B$11+Assumptions!$B$12)*0.05,0)</f>
        <v>0</v>
      </c>
      <c r="CA46" s="30" t="n">
        <f aca="false">IF(AND(Projects!$G$37="Yes",CA$3&gt;=Projects!$C$37,CA$3&lt;Projects!$C$37+Projects!$D$37),Projects!$B$37*INDEX(Curves!$B$4:$AR$4,1,CA$3-Projects!$C$37+1),0)-IF(AND(Projects!$G$37="Yes",CA$3&gt;=Projects!$C$37,CA$3&lt;Projects!$C$37+Projects!$D$37),Projects!$B$37*(Assumptions!$B$10+Assumptions!$B$11+Assumptions!$B$12)/Projects!$D$37*0.95,0)-IF(AND(Projects!$G$37="Yes",CA$3=Projects!$C$37+Projects!$D$37-1),Projects!$B$37*(Assumptions!$B$10+Assumptions!$B$11+Assumptions!$B$12)*0.05,0)</f>
        <v>0</v>
      </c>
      <c r="CB46" s="30" t="n">
        <f aca="false">IF(AND(Projects!$G$37="Yes",CB$3&gt;=Projects!$C$37,CB$3&lt;Projects!$C$37+Projects!$D$37),Projects!$B$37*INDEX(Curves!$B$4:$AR$4,1,CB$3-Projects!$C$37+1),0)-IF(AND(Projects!$G$37="Yes",CB$3&gt;=Projects!$C$37,CB$3&lt;Projects!$C$37+Projects!$D$37),Projects!$B$37*(Assumptions!$B$10+Assumptions!$B$11+Assumptions!$B$12)/Projects!$D$37*0.95,0)-IF(AND(Projects!$G$37="Yes",CB$3=Projects!$C$37+Projects!$D$37-1),Projects!$B$37*(Assumptions!$B$10+Assumptions!$B$11+Assumptions!$B$12)*0.05,0)</f>
        <v>0</v>
      </c>
      <c r="CC46" s="30" t="n">
        <f aca="false">IF(AND(Projects!$G$37="Yes",CC$3&gt;=Projects!$C$37,CC$3&lt;Projects!$C$37+Projects!$D$37),Projects!$B$37*INDEX(Curves!$B$4:$AR$4,1,CC$3-Projects!$C$37+1),0)-IF(AND(Projects!$G$37="Yes",CC$3&gt;=Projects!$C$37,CC$3&lt;Projects!$C$37+Projects!$D$37),Projects!$B$37*(Assumptions!$B$10+Assumptions!$B$11+Assumptions!$B$12)/Projects!$D$37*0.95,0)-IF(AND(Projects!$G$37="Yes",CC$3=Projects!$C$37+Projects!$D$37-1),Projects!$B$37*(Assumptions!$B$10+Assumptions!$B$11+Assumptions!$B$12)*0.05,0)</f>
        <v>0</v>
      </c>
      <c r="CD46" s="30" t="n">
        <f aca="false">IF(AND(Projects!$G$37="Yes",CD$3&gt;=Projects!$C$37,CD$3&lt;Projects!$C$37+Projects!$D$37),Projects!$B$37*INDEX(Curves!$B$4:$AR$4,1,CD$3-Projects!$C$37+1),0)-IF(AND(Projects!$G$37="Yes",CD$3&gt;=Projects!$C$37,CD$3&lt;Projects!$C$37+Projects!$D$37),Projects!$B$37*(Assumptions!$B$10+Assumptions!$B$11+Assumptions!$B$12)/Projects!$D$37*0.95,0)-IF(AND(Projects!$G$37="Yes",CD$3=Projects!$C$37+Projects!$D$37-1),Projects!$B$37*(Assumptions!$B$10+Assumptions!$B$11+Assumptions!$B$12)*0.05,0)</f>
        <v>0</v>
      </c>
      <c r="CE46" s="30" t="n">
        <f aca="false">IF(AND(Projects!$G$37="Yes",CE$3&gt;=Projects!$C$37,CE$3&lt;Projects!$C$37+Projects!$D$37),Projects!$B$37*INDEX(Curves!$B$4:$AR$4,1,CE$3-Projects!$C$37+1),0)-IF(AND(Projects!$G$37="Yes",CE$3&gt;=Projects!$C$37,CE$3&lt;Projects!$C$37+Projects!$D$37),Projects!$B$37*(Assumptions!$B$10+Assumptions!$B$11+Assumptions!$B$12)/Projects!$D$37*0.95,0)-IF(AND(Projects!$G$37="Yes",CE$3=Projects!$C$37+Projects!$D$37-1),Projects!$B$37*(Assumptions!$B$10+Assumptions!$B$11+Assumptions!$B$12)*0.05,0)</f>
        <v>0</v>
      </c>
      <c r="CF46" s="30" t="n">
        <f aca="false">IF(AND(Projects!$G$37="Yes",CF$3&gt;=Projects!$C$37,CF$3&lt;Projects!$C$37+Projects!$D$37),Projects!$B$37*INDEX(Curves!$B$4:$AR$4,1,CF$3-Projects!$C$37+1),0)-IF(AND(Projects!$G$37="Yes",CF$3&gt;=Projects!$C$37,CF$3&lt;Projects!$C$37+Projects!$D$37),Projects!$B$37*(Assumptions!$B$10+Assumptions!$B$11+Assumptions!$B$12)/Projects!$D$37*0.95,0)-IF(AND(Projects!$G$37="Yes",CF$3=Projects!$C$37+Projects!$D$37-1),Projects!$B$37*(Assumptions!$B$10+Assumptions!$B$11+Assumptions!$B$12)*0.05,0)</f>
        <v>0</v>
      </c>
      <c r="CG46" s="30" t="n">
        <f aca="false">IF(AND(Projects!$G$37="Yes",CG$3&gt;=Projects!$C$37,CG$3&lt;Projects!$C$37+Projects!$D$37),Projects!$B$37*INDEX(Curves!$B$4:$AR$4,1,CG$3-Projects!$C$37+1),0)-IF(AND(Projects!$G$37="Yes",CG$3&gt;=Projects!$C$37,CG$3&lt;Projects!$C$37+Projects!$D$37),Projects!$B$37*(Assumptions!$B$10+Assumptions!$B$11+Assumptions!$B$12)/Projects!$D$37*0.95,0)-IF(AND(Projects!$G$37="Yes",CG$3=Projects!$C$37+Projects!$D$37-1),Projects!$B$37*(Assumptions!$B$10+Assumptions!$B$11+Assumptions!$B$12)*0.05,0)</f>
        <v>0</v>
      </c>
      <c r="CH46" s="30" t="n">
        <f aca="false">IF(AND(Projects!$G$37="Yes",CH$3&gt;=Projects!$C$37,CH$3&lt;Projects!$C$37+Projects!$D$37),Projects!$B$37*INDEX(Curves!$B$4:$AR$4,1,CH$3-Projects!$C$37+1),0)-IF(AND(Projects!$G$37="Yes",CH$3&gt;=Projects!$C$37,CH$3&lt;Projects!$C$37+Projects!$D$37),Projects!$B$37*(Assumptions!$B$10+Assumptions!$B$11+Assumptions!$B$12)/Projects!$D$37*0.95,0)-IF(AND(Projects!$G$37="Yes",CH$3=Projects!$C$37+Projects!$D$37-1),Projects!$B$37*(Assumptions!$B$10+Assumptions!$B$11+Assumptions!$B$12)*0.05,0)</f>
        <v>0</v>
      </c>
      <c r="CI46" s="30" t="n">
        <f aca="false">IF(AND(Projects!$G$37="Yes",CI$3&gt;=Projects!$C$37,CI$3&lt;Projects!$C$37+Projects!$D$37),Projects!$B$37*INDEX(Curves!$B$4:$AR$4,1,CI$3-Projects!$C$37+1),0)-IF(AND(Projects!$G$37="Yes",CI$3&gt;=Projects!$C$37,CI$3&lt;Projects!$C$37+Projects!$D$37),Projects!$B$37*(Assumptions!$B$10+Assumptions!$B$11+Assumptions!$B$12)/Projects!$D$37*0.95,0)-IF(AND(Projects!$G$37="Yes",CI$3=Projects!$C$37+Projects!$D$37-1),Projects!$B$37*(Assumptions!$B$10+Assumptions!$B$11+Assumptions!$B$12)*0.05,0)</f>
        <v>0</v>
      </c>
      <c r="CJ46" s="30" t="n">
        <f aca="false">IF(AND(Projects!$G$37="Yes",CJ$3&gt;=Projects!$C$37,CJ$3&lt;Projects!$C$37+Projects!$D$37),Projects!$B$37*INDEX(Curves!$B$4:$AR$4,1,CJ$3-Projects!$C$37+1),0)-IF(AND(Projects!$G$37="Yes",CJ$3&gt;=Projects!$C$37,CJ$3&lt;Projects!$C$37+Projects!$D$37),Projects!$B$37*(Assumptions!$B$10+Assumptions!$B$11+Assumptions!$B$12)/Projects!$D$37*0.95,0)-IF(AND(Projects!$G$37="Yes",CJ$3=Projects!$C$37+Projects!$D$37-1),Projects!$B$37*(Assumptions!$B$10+Assumptions!$B$11+Assumptions!$B$12)*0.05,0)</f>
        <v>0</v>
      </c>
      <c r="CK46" s="30" t="n">
        <f aca="false">IF(AND(Projects!$G$37="Yes",CK$3&gt;=Projects!$C$37,CK$3&lt;Projects!$C$37+Projects!$D$37),Projects!$B$37*INDEX(Curves!$B$4:$AR$4,1,CK$3-Projects!$C$37+1),0)-IF(AND(Projects!$G$37="Yes",CK$3&gt;=Projects!$C$37,CK$3&lt;Projects!$C$37+Projects!$D$37),Projects!$B$37*(Assumptions!$B$10+Assumptions!$B$11+Assumptions!$B$12)/Projects!$D$37*0.95,0)-IF(AND(Projects!$G$37="Yes",CK$3=Projects!$C$37+Projects!$D$37-1),Projects!$B$37*(Assumptions!$B$10+Assumptions!$B$11+Assumptions!$B$12)*0.05,0)</f>
        <v>0</v>
      </c>
      <c r="CL46" s="30" t="n">
        <f aca="false">IF(AND(Projects!$G$37="Yes",CL$3&gt;=Projects!$C$37,CL$3&lt;Projects!$C$37+Projects!$D$37),Projects!$B$37*INDEX(Curves!$B$4:$AR$4,1,CL$3-Projects!$C$37+1),0)-IF(AND(Projects!$G$37="Yes",CL$3&gt;=Projects!$C$37,CL$3&lt;Projects!$C$37+Projects!$D$37),Projects!$B$37*(Assumptions!$B$10+Assumptions!$B$11+Assumptions!$B$12)/Projects!$D$37*0.95,0)-IF(AND(Projects!$G$37="Yes",CL$3=Projects!$C$37+Projects!$D$37-1),Projects!$B$37*(Assumptions!$B$10+Assumptions!$B$11+Assumptions!$B$12)*0.05,0)</f>
        <v>0</v>
      </c>
      <c r="CM46" s="30" t="n">
        <f aca="false">IF(AND(Projects!$G$37="Yes",CM$3&gt;=Projects!$C$37,CM$3&lt;Projects!$C$37+Projects!$D$37),Projects!$B$37*INDEX(Curves!$B$4:$AR$4,1,CM$3-Projects!$C$37+1),0)-IF(AND(Projects!$G$37="Yes",CM$3&gt;=Projects!$C$37,CM$3&lt;Projects!$C$37+Projects!$D$37),Projects!$B$37*(Assumptions!$B$10+Assumptions!$B$11+Assumptions!$B$12)/Projects!$D$37*0.95,0)-IF(AND(Projects!$G$37="Yes",CM$3=Projects!$C$37+Projects!$D$37-1),Projects!$B$37*(Assumptions!$B$10+Assumptions!$B$11+Assumptions!$B$12)*0.05,0)</f>
        <v>0</v>
      </c>
      <c r="CN46" s="30" t="n">
        <f aca="false">IF(AND(Projects!$G$37="Yes",CN$3&gt;=Projects!$C$37,CN$3&lt;Projects!$C$37+Projects!$D$37),Projects!$B$37*INDEX(Curves!$B$4:$AR$4,1,CN$3-Projects!$C$37+1),0)-IF(AND(Projects!$G$37="Yes",CN$3&gt;=Projects!$C$37,CN$3&lt;Projects!$C$37+Projects!$D$37),Projects!$B$37*(Assumptions!$B$10+Assumptions!$B$11+Assumptions!$B$12)/Projects!$D$37*0.95,0)-IF(AND(Projects!$G$37="Yes",CN$3=Projects!$C$37+Projects!$D$37-1),Projects!$B$37*(Assumptions!$B$10+Assumptions!$B$11+Assumptions!$B$12)*0.05,0)</f>
        <v>0</v>
      </c>
      <c r="CO46" s="30" t="n">
        <f aca="false">IF(AND(Projects!$G$37="Yes",CO$3&gt;=Projects!$C$37,CO$3&lt;Projects!$C$37+Projects!$D$37),Projects!$B$37*INDEX(Curves!$B$4:$AR$4,1,CO$3-Projects!$C$37+1),0)-IF(AND(Projects!$G$37="Yes",CO$3&gt;=Projects!$C$37,CO$3&lt;Projects!$C$37+Projects!$D$37),Projects!$B$37*(Assumptions!$B$10+Assumptions!$B$11+Assumptions!$B$12)/Projects!$D$37*0.95,0)-IF(AND(Projects!$G$37="Yes",CO$3=Projects!$C$37+Projects!$D$37-1),Projects!$B$37*(Assumptions!$B$10+Assumptions!$B$11+Assumptions!$B$12)*0.05,0)</f>
        <v>0</v>
      </c>
      <c r="CP46" s="30" t="n">
        <f aca="false">IF(AND(Projects!$G$37="Yes",CP$3&gt;=Projects!$C$37,CP$3&lt;Projects!$C$37+Projects!$D$37),Projects!$B$37*INDEX(Curves!$B$4:$AR$4,1,CP$3-Projects!$C$37+1),0)-IF(AND(Projects!$G$37="Yes",CP$3&gt;=Projects!$C$37,CP$3&lt;Projects!$C$37+Projects!$D$37),Projects!$B$37*(Assumptions!$B$10+Assumptions!$B$11+Assumptions!$B$12)/Projects!$D$37*0.95,0)-IF(AND(Projects!$G$37="Yes",CP$3=Projects!$C$37+Projects!$D$37-1),Projects!$B$37*(Assumptions!$B$10+Assumptions!$B$11+Assumptions!$B$12)*0.05,0)</f>
        <v>0</v>
      </c>
      <c r="CQ46" s="30" t="n">
        <f aca="false">IF(AND(Projects!$G$37="Yes",CQ$3&gt;=Projects!$C$37,CQ$3&lt;Projects!$C$37+Projects!$D$37),Projects!$B$37*INDEX(Curves!$B$4:$AR$4,1,CQ$3-Projects!$C$37+1),0)-IF(AND(Projects!$G$37="Yes",CQ$3&gt;=Projects!$C$37,CQ$3&lt;Projects!$C$37+Projects!$D$37),Projects!$B$37*(Assumptions!$B$10+Assumptions!$B$11+Assumptions!$B$12)/Projects!$D$37*0.95,0)-IF(AND(Projects!$G$37="Yes",CQ$3=Projects!$C$37+Projects!$D$37-1),Projects!$B$37*(Assumptions!$B$10+Assumptions!$B$11+Assumptions!$B$12)*0.05,0)</f>
        <v>0</v>
      </c>
      <c r="CR46" s="30" t="n">
        <f aca="false">IF(AND(Projects!$G$37="Yes",CR$3&gt;=Projects!$C$37,CR$3&lt;Projects!$C$37+Projects!$D$37),Projects!$B$37*INDEX(Curves!$B$4:$AR$4,1,CR$3-Projects!$C$37+1),0)-IF(AND(Projects!$G$37="Yes",CR$3&gt;=Projects!$C$37,CR$3&lt;Projects!$C$37+Projects!$D$37),Projects!$B$37*(Assumptions!$B$10+Assumptions!$B$11+Assumptions!$B$12)/Projects!$D$37*0.95,0)-IF(AND(Projects!$G$37="Yes",CR$3=Projects!$C$37+Projects!$D$37-1),Projects!$B$37*(Assumptions!$B$10+Assumptions!$B$11+Assumptions!$B$12)*0.05,0)</f>
        <v>0</v>
      </c>
      <c r="CS46" s="30" t="n">
        <f aca="false">IF(AND(Projects!$G$37="Yes",CS$3&gt;=Projects!$C$37,CS$3&lt;Projects!$C$37+Projects!$D$37),Projects!$B$37*INDEX(Curves!$B$4:$AR$4,1,CS$3-Projects!$C$37+1),0)-IF(AND(Projects!$G$37="Yes",CS$3&gt;=Projects!$C$37,CS$3&lt;Projects!$C$37+Projects!$D$37),Projects!$B$37*(Assumptions!$B$10+Assumptions!$B$11+Assumptions!$B$12)/Projects!$D$37*0.95,0)-IF(AND(Projects!$G$37="Yes",CS$3=Projects!$C$37+Projects!$D$37-1),Projects!$B$37*(Assumptions!$B$10+Assumptions!$B$11+Assumptions!$B$12)*0.05,0)</f>
        <v>0</v>
      </c>
      <c r="CT46" s="30" t="n">
        <f aca="false">IF(AND(Projects!$G$37="Yes",CT$3&gt;=Projects!$C$37,CT$3&lt;Projects!$C$37+Projects!$D$37),Projects!$B$37*INDEX(Curves!$B$4:$AR$4,1,CT$3-Projects!$C$37+1),0)-IF(AND(Projects!$G$37="Yes",CT$3&gt;=Projects!$C$37,CT$3&lt;Projects!$C$37+Projects!$D$37),Projects!$B$37*(Assumptions!$B$10+Assumptions!$B$11+Assumptions!$B$12)/Projects!$D$37*0.95,0)-IF(AND(Projects!$G$37="Yes",CT$3=Projects!$C$37+Projects!$D$37-1),Projects!$B$37*(Assumptions!$B$10+Assumptions!$B$11+Assumptions!$B$12)*0.05,0)</f>
        <v>0</v>
      </c>
      <c r="CU46" s="30" t="n">
        <f aca="false">IF(AND(Projects!$G$37="Yes",CU$3&gt;=Projects!$C$37,CU$3&lt;Projects!$C$37+Projects!$D$37),Projects!$B$37*INDEX(Curves!$B$4:$AR$4,1,CU$3-Projects!$C$37+1),0)-IF(AND(Projects!$G$37="Yes",CU$3&gt;=Projects!$C$37,CU$3&lt;Projects!$C$37+Projects!$D$37),Projects!$B$37*(Assumptions!$B$10+Assumptions!$B$11+Assumptions!$B$12)/Projects!$D$37*0.95,0)-IF(AND(Projects!$G$37="Yes",CU$3=Projects!$C$37+Projects!$D$37-1),Projects!$B$37*(Assumptions!$B$10+Assumptions!$B$11+Assumptions!$B$12)*0.05,0)</f>
        <v>0</v>
      </c>
      <c r="CV46" s="30" t="n">
        <f aca="false">IF(AND(Projects!$G$37="Yes",CV$3&gt;=Projects!$C$37,CV$3&lt;Projects!$C$37+Projects!$D$37),Projects!$B$37*INDEX(Curves!$B$4:$AR$4,1,CV$3-Projects!$C$37+1),0)-IF(AND(Projects!$G$37="Yes",CV$3&gt;=Projects!$C$37,CV$3&lt;Projects!$C$37+Projects!$D$37),Projects!$B$37*(Assumptions!$B$10+Assumptions!$B$11+Assumptions!$B$12)/Projects!$D$37*0.95,0)-IF(AND(Projects!$G$37="Yes",CV$3=Projects!$C$37+Projects!$D$37-1),Projects!$B$37*(Assumptions!$B$10+Assumptions!$B$11+Assumptions!$B$12)*0.05,0)</f>
        <v>0</v>
      </c>
      <c r="CW46" s="30" t="n">
        <f aca="false">IF(AND(Projects!$G$37="Yes",CW$3&gt;=Projects!$C$37,CW$3&lt;Projects!$C$37+Projects!$D$37),Projects!$B$37*INDEX(Curves!$B$4:$AR$4,1,CW$3-Projects!$C$37+1),0)-IF(AND(Projects!$G$37="Yes",CW$3&gt;=Projects!$C$37,CW$3&lt;Projects!$C$37+Projects!$D$37),Projects!$B$37*(Assumptions!$B$10+Assumptions!$B$11+Assumptions!$B$12)/Projects!$D$37*0.95,0)-IF(AND(Projects!$G$37="Yes",CW$3=Projects!$C$37+Projects!$D$37-1),Projects!$B$37*(Assumptions!$B$10+Assumptions!$B$11+Assumptions!$B$12)*0.05,0)</f>
        <v>0</v>
      </c>
      <c r="CX46" s="30" t="n">
        <f aca="false">IF(AND(Projects!$G$37="Yes",CX$3&gt;=Projects!$C$37,CX$3&lt;Projects!$C$37+Projects!$D$37),Projects!$B$37*INDEX(Curves!$B$4:$AR$4,1,CX$3-Projects!$C$37+1),0)-IF(AND(Projects!$G$37="Yes",CX$3&gt;=Projects!$C$37,CX$3&lt;Projects!$C$37+Projects!$D$37),Projects!$B$37*(Assumptions!$B$10+Assumptions!$B$11+Assumptions!$B$12)/Projects!$D$37*0.95,0)-IF(AND(Projects!$G$37="Yes",CX$3=Projects!$C$37+Projects!$D$37-1),Projects!$B$37*(Assumptions!$B$10+Assumptions!$B$11+Assumptions!$B$12)*0.05,0)</f>
        <v>0</v>
      </c>
      <c r="CY46" s="30" t="n">
        <f aca="false">IF(AND(Projects!$G$37="Yes",CY$3&gt;=Projects!$C$37,CY$3&lt;Projects!$C$37+Projects!$D$37),Projects!$B$37*INDEX(Curves!$B$4:$AR$4,1,CY$3-Projects!$C$37+1),0)-IF(AND(Projects!$G$37="Yes",CY$3&gt;=Projects!$C$37,CY$3&lt;Projects!$C$37+Projects!$D$37),Projects!$B$37*(Assumptions!$B$10+Assumptions!$B$11+Assumptions!$B$12)/Projects!$D$37*0.95,0)-IF(AND(Projects!$G$37="Yes",CY$3=Projects!$C$37+Projects!$D$37-1),Projects!$B$37*(Assumptions!$B$10+Assumptions!$B$11+Assumptions!$B$12)*0.05,0)</f>
        <v>0</v>
      </c>
      <c r="CZ46" s="30" t="n">
        <f aca="false">IF(AND(Projects!$G$37="Yes",CZ$3&gt;=Projects!$C$37,CZ$3&lt;Projects!$C$37+Projects!$D$37),Projects!$B$37*INDEX(Curves!$B$4:$AR$4,1,CZ$3-Projects!$C$37+1),0)-IF(AND(Projects!$G$37="Yes",CZ$3&gt;=Projects!$C$37,CZ$3&lt;Projects!$C$37+Projects!$D$37),Projects!$B$37*(Assumptions!$B$10+Assumptions!$B$11+Assumptions!$B$12)/Projects!$D$37*0.95,0)-IF(AND(Projects!$G$37="Yes",CZ$3=Projects!$C$37+Projects!$D$37-1),Projects!$B$37*(Assumptions!$B$10+Assumptions!$B$11+Assumptions!$B$12)*0.05,0)</f>
        <v>0</v>
      </c>
      <c r="DA46" s="30" t="n">
        <f aca="false">IF(AND(Projects!$G$37="Yes",DA$3&gt;=Projects!$C$37,DA$3&lt;Projects!$C$37+Projects!$D$37),Projects!$B$37*INDEX(Curves!$B$4:$AR$4,1,DA$3-Projects!$C$37+1),0)-IF(AND(Projects!$G$37="Yes",DA$3&gt;=Projects!$C$37,DA$3&lt;Projects!$C$37+Projects!$D$37),Projects!$B$37*(Assumptions!$B$10+Assumptions!$B$11+Assumptions!$B$12)/Projects!$D$37*0.95,0)-IF(AND(Projects!$G$37="Yes",DA$3=Projects!$C$37+Projects!$D$37-1),Projects!$B$37*(Assumptions!$B$10+Assumptions!$B$11+Assumptions!$B$12)*0.05,0)</f>
        <v>0</v>
      </c>
      <c r="DB46" s="30" t="n">
        <f aca="false">IF(AND(Projects!$G$37="Yes",DB$3&gt;=Projects!$C$37,DB$3&lt;Projects!$C$37+Projects!$D$37),Projects!$B$37*INDEX(Curves!$B$4:$AR$4,1,DB$3-Projects!$C$37+1),0)-IF(AND(Projects!$G$37="Yes",DB$3&gt;=Projects!$C$37,DB$3&lt;Projects!$C$37+Projects!$D$37),Projects!$B$37*(Assumptions!$B$10+Assumptions!$B$11+Assumptions!$B$12)/Projects!$D$37*0.95,0)-IF(AND(Projects!$G$37="Yes",DB$3=Projects!$C$37+Projects!$D$37-1),Projects!$B$37*(Assumptions!$B$10+Assumptions!$B$11+Assumptions!$B$12)*0.05,0)</f>
        <v>0</v>
      </c>
      <c r="DC46" s="30" t="n">
        <f aca="false">IF(AND(Projects!$G$37="Yes",DC$3&gt;=Projects!$C$37,DC$3&lt;Projects!$C$37+Projects!$D$37),Projects!$B$37*INDEX(Curves!$B$4:$AR$4,1,DC$3-Projects!$C$37+1),0)-IF(AND(Projects!$G$37="Yes",DC$3&gt;=Projects!$C$37,DC$3&lt;Projects!$C$37+Projects!$D$37),Projects!$B$37*(Assumptions!$B$10+Assumptions!$B$11+Assumptions!$B$12)/Projects!$D$37*0.95,0)-IF(AND(Projects!$G$37="Yes",DC$3=Projects!$C$37+Projects!$D$37-1),Projects!$B$37*(Assumptions!$B$10+Assumptions!$B$11+Assumptions!$B$12)*0.05,0)</f>
        <v>0</v>
      </c>
      <c r="DD46" s="30" t="n">
        <f aca="false">IF(AND(Projects!$G$37="Yes",DD$3&gt;=Projects!$C$37,DD$3&lt;Projects!$C$37+Projects!$D$37),Projects!$B$37*INDEX(Curves!$B$4:$AR$4,1,DD$3-Projects!$C$37+1),0)-IF(AND(Projects!$G$37="Yes",DD$3&gt;=Projects!$C$37,DD$3&lt;Projects!$C$37+Projects!$D$37),Projects!$B$37*(Assumptions!$B$10+Assumptions!$B$11+Assumptions!$B$12)/Projects!$D$37*0.95,0)-IF(AND(Projects!$G$37="Yes",DD$3=Projects!$C$37+Projects!$D$37-1),Projects!$B$37*(Assumptions!$B$10+Assumptions!$B$11+Assumptions!$B$12)*0.05,0)</f>
        <v>0</v>
      </c>
      <c r="DE46" s="30" t="n">
        <f aca="false">IF(AND(Projects!$G$37="Yes",DE$3&gt;=Projects!$C$37,DE$3&lt;Projects!$C$37+Projects!$D$37),Projects!$B$37*INDEX(Curves!$B$4:$AR$4,1,DE$3-Projects!$C$37+1),0)-IF(AND(Projects!$G$37="Yes",DE$3&gt;=Projects!$C$37,DE$3&lt;Projects!$C$37+Projects!$D$37),Projects!$B$37*(Assumptions!$B$10+Assumptions!$B$11+Assumptions!$B$12)/Projects!$D$37*0.95,0)-IF(AND(Projects!$G$37="Yes",DE$3=Projects!$C$37+Projects!$D$37-1),Projects!$B$37*(Assumptions!$B$10+Assumptions!$B$11+Assumptions!$B$12)*0.05,0)</f>
        <v>0</v>
      </c>
    </row>
    <row r="47" customFormat="false" ht="15" hidden="true" customHeight="true" outlineLevel="1" collapsed="false">
      <c r="A47" s="32" t="s">
        <v>41</v>
      </c>
      <c r="B47" s="30" t="n">
        <v>0</v>
      </c>
      <c r="C47" s="30" t="n">
        <v>0</v>
      </c>
      <c r="D47" s="30" t="n">
        <v>0</v>
      </c>
      <c r="E47" s="30" t="n">
        <v>0</v>
      </c>
      <c r="F47" s="30" t="n">
        <f aca="false">IF(AND(Projects!$G$38="Yes",F$3&gt;=Projects!$C$38,F$3&lt;Projects!$C$38+Projects!$D$38),Projects!$B$38*INDEX(Curves!$B$4:$AR$4,1,F$3-Projects!$C$38+1),0)-IF(AND(Projects!$G$38="Yes",F$3&gt;=Projects!$C$38,F$3&lt;Projects!$C$38+Projects!$D$38),Projects!$B$38*(Assumptions!$B$10+Assumptions!$B$11+Assumptions!$B$12)/Projects!$D$38*0.95,0)-IF(AND(Projects!$G$38="Yes",F$3=Projects!$C$38+Projects!$D$38-1),Projects!$B$38*(Assumptions!$B$10+Assumptions!$B$11+Assumptions!$B$12)*0.05,0)</f>
        <v>0</v>
      </c>
      <c r="G47" s="30" t="n">
        <f aca="false">IF(AND(Projects!$G$38="Yes",G$3&gt;=Projects!$C$38,G$3&lt;Projects!$C$38+Projects!$D$38),Projects!$B$38*INDEX(Curves!$B$4:$AR$4,1,G$3-Projects!$C$38+1),0)-IF(AND(Projects!$G$38="Yes",G$3&gt;=Projects!$C$38,G$3&lt;Projects!$C$38+Projects!$D$38),Projects!$B$38*(Assumptions!$B$10+Assumptions!$B$11+Assumptions!$B$12)/Projects!$D$38*0.95,0)-IF(AND(Projects!$G$38="Yes",G$3=Projects!$C$38+Projects!$D$38-1),Projects!$B$38*(Assumptions!$B$10+Assumptions!$B$11+Assumptions!$B$12)*0.05,0)</f>
        <v>0</v>
      </c>
      <c r="H47" s="30" t="n">
        <f aca="false">IF(AND(Projects!$G$38="Yes",H$3&gt;=Projects!$C$38,H$3&lt;Projects!$C$38+Projects!$D$38),Projects!$B$38*INDEX(Curves!$B$4:$AR$4,1,H$3-Projects!$C$38+1),0)-IF(AND(Projects!$G$38="Yes",H$3&gt;=Projects!$C$38,H$3&lt;Projects!$C$38+Projects!$D$38),Projects!$B$38*(Assumptions!$B$10+Assumptions!$B$11+Assumptions!$B$12)/Projects!$D$38*0.95,0)-IF(AND(Projects!$G$38="Yes",H$3=Projects!$C$38+Projects!$D$38-1),Projects!$B$38*(Assumptions!$B$10+Assumptions!$B$11+Assumptions!$B$12)*0.05,0)</f>
        <v>0</v>
      </c>
      <c r="I47" s="30" t="n">
        <f aca="false">IF(AND(Projects!$G$38="Yes",I$3&gt;=Projects!$C$38,I$3&lt;Projects!$C$38+Projects!$D$38),Projects!$B$38*INDEX(Curves!$B$4:$AR$4,1,I$3-Projects!$C$38+1),0)-IF(AND(Projects!$G$38="Yes",I$3&gt;=Projects!$C$38,I$3&lt;Projects!$C$38+Projects!$D$38),Projects!$B$38*(Assumptions!$B$10+Assumptions!$B$11+Assumptions!$B$12)/Projects!$D$38*0.95,0)-IF(AND(Projects!$G$38="Yes",I$3=Projects!$C$38+Projects!$D$38-1),Projects!$B$38*(Assumptions!$B$10+Assumptions!$B$11+Assumptions!$B$12)*0.05,0)</f>
        <v>0</v>
      </c>
      <c r="J47" s="30" t="n">
        <f aca="false">IF(AND(Projects!$G$38="Yes",J$3&gt;=Projects!$C$38,J$3&lt;Projects!$C$38+Projects!$D$38),Projects!$B$38*INDEX(Curves!$B$4:$AR$4,1,J$3-Projects!$C$38+1),0)-IF(AND(Projects!$G$38="Yes",J$3&gt;=Projects!$C$38,J$3&lt;Projects!$C$38+Projects!$D$38),Projects!$B$38*(Assumptions!$B$10+Assumptions!$B$11+Assumptions!$B$12)/Projects!$D$38*0.95,0)-IF(AND(Projects!$G$38="Yes",J$3=Projects!$C$38+Projects!$D$38-1),Projects!$B$38*(Assumptions!$B$10+Assumptions!$B$11+Assumptions!$B$12)*0.05,0)</f>
        <v>0</v>
      </c>
      <c r="K47" s="30" t="n">
        <f aca="false">IF(AND(Projects!$G$38="Yes",K$3&gt;=Projects!$C$38,K$3&lt;Projects!$C$38+Projects!$D$38),Projects!$B$38*INDEX(Curves!$B$4:$AR$4,1,K$3-Projects!$C$38+1),0)-IF(AND(Projects!$G$38="Yes",K$3&gt;=Projects!$C$38,K$3&lt;Projects!$C$38+Projects!$D$38),Projects!$B$38*(Assumptions!$B$10+Assumptions!$B$11+Assumptions!$B$12)/Projects!$D$38*0.95,0)-IF(AND(Projects!$G$38="Yes",K$3=Projects!$C$38+Projects!$D$38-1),Projects!$B$38*(Assumptions!$B$10+Assumptions!$B$11+Assumptions!$B$12)*0.05,0)</f>
        <v>0</v>
      </c>
      <c r="L47" s="30" t="n">
        <f aca="false">IF(AND(Projects!$G$38="Yes",L$3&gt;=Projects!$C$38,L$3&lt;Projects!$C$38+Projects!$D$38),Projects!$B$38*INDEX(Curves!$B$4:$AR$4,1,L$3-Projects!$C$38+1),0)-IF(AND(Projects!$G$38="Yes",L$3&gt;=Projects!$C$38,L$3&lt;Projects!$C$38+Projects!$D$38),Projects!$B$38*(Assumptions!$B$10+Assumptions!$B$11+Assumptions!$B$12)/Projects!$D$38*0.95,0)-IF(AND(Projects!$G$38="Yes",L$3=Projects!$C$38+Projects!$D$38-1),Projects!$B$38*(Assumptions!$B$10+Assumptions!$B$11+Assumptions!$B$12)*0.05,0)</f>
        <v>0</v>
      </c>
      <c r="M47" s="30" t="n">
        <f aca="false">IF(AND(Projects!$G$38="Yes",M$3&gt;=Projects!$C$38,M$3&lt;Projects!$C$38+Projects!$D$38),Projects!$B$38*INDEX(Curves!$B$4:$AR$4,1,M$3-Projects!$C$38+1),0)-IF(AND(Projects!$G$38="Yes",M$3&gt;=Projects!$C$38,M$3&lt;Projects!$C$38+Projects!$D$38),Projects!$B$38*(Assumptions!$B$10+Assumptions!$B$11+Assumptions!$B$12)/Projects!$D$38*0.95,0)-IF(AND(Projects!$G$38="Yes",M$3=Projects!$C$38+Projects!$D$38-1),Projects!$B$38*(Assumptions!$B$10+Assumptions!$B$11+Assumptions!$B$12)*0.05,0)</f>
        <v>0</v>
      </c>
      <c r="N47" s="30" t="n">
        <f aca="false">IF(AND(Projects!$G$38="Yes",N$3&gt;=Projects!$C$38,N$3&lt;Projects!$C$38+Projects!$D$38),Projects!$B$38*INDEX(Curves!$B$4:$AR$4,1,N$3-Projects!$C$38+1),0)-IF(AND(Projects!$G$38="Yes",N$3&gt;=Projects!$C$38,N$3&lt;Projects!$C$38+Projects!$D$38),Projects!$B$38*(Assumptions!$B$10+Assumptions!$B$11+Assumptions!$B$12)/Projects!$D$38*0.95,0)-IF(AND(Projects!$G$38="Yes",N$3=Projects!$C$38+Projects!$D$38-1),Projects!$B$38*(Assumptions!$B$10+Assumptions!$B$11+Assumptions!$B$12)*0.05,0)</f>
        <v>0</v>
      </c>
      <c r="O47" s="30" t="n">
        <f aca="false">IF(AND(Projects!$G$38="Yes",O$3&gt;=Projects!$C$38,O$3&lt;Projects!$C$38+Projects!$D$38),Projects!$B$38*INDEX(Curves!$B$4:$AR$4,1,O$3-Projects!$C$38+1),0)-IF(AND(Projects!$G$38="Yes",O$3&gt;=Projects!$C$38,O$3&lt;Projects!$C$38+Projects!$D$38),Projects!$B$38*(Assumptions!$B$10+Assumptions!$B$11+Assumptions!$B$12)/Projects!$D$38*0.95,0)-IF(AND(Projects!$G$38="Yes",O$3=Projects!$C$38+Projects!$D$38-1),Projects!$B$38*(Assumptions!$B$10+Assumptions!$B$11+Assumptions!$B$12)*0.05,0)</f>
        <v>0</v>
      </c>
      <c r="P47" s="30" t="n">
        <f aca="false">IF(AND(Projects!$G$38="Yes",P$3&gt;=Projects!$C$38,P$3&lt;Projects!$C$38+Projects!$D$38),Projects!$B$38*INDEX(Curves!$B$4:$AR$4,1,P$3-Projects!$C$38+1),0)-IF(AND(Projects!$G$38="Yes",P$3&gt;=Projects!$C$38,P$3&lt;Projects!$C$38+Projects!$D$38),Projects!$B$38*(Assumptions!$B$10+Assumptions!$B$11+Assumptions!$B$12)/Projects!$D$38*0.95,0)-IF(AND(Projects!$G$38="Yes",P$3=Projects!$C$38+Projects!$D$38-1),Projects!$B$38*(Assumptions!$B$10+Assumptions!$B$11+Assumptions!$B$12)*0.05,0)</f>
        <v>0</v>
      </c>
      <c r="Q47" s="30" t="n">
        <f aca="false">IF(AND(Projects!$G$38="Yes",Q$3&gt;=Projects!$C$38,Q$3&lt;Projects!$C$38+Projects!$D$38),Projects!$B$38*INDEX(Curves!$B$4:$AR$4,1,Q$3-Projects!$C$38+1),0)-IF(AND(Projects!$G$38="Yes",Q$3&gt;=Projects!$C$38,Q$3&lt;Projects!$C$38+Projects!$D$38),Projects!$B$38*(Assumptions!$B$10+Assumptions!$B$11+Assumptions!$B$12)/Projects!$D$38*0.95,0)-IF(AND(Projects!$G$38="Yes",Q$3=Projects!$C$38+Projects!$D$38-1),Projects!$B$38*(Assumptions!$B$10+Assumptions!$B$11+Assumptions!$B$12)*0.05,0)</f>
        <v>0</v>
      </c>
      <c r="R47" s="30" t="n">
        <f aca="false">IF(AND(Projects!$G$38="Yes",R$3&gt;=Projects!$C$38,R$3&lt;Projects!$C$38+Projects!$D$38),Projects!$B$38*INDEX(Curves!$B$4:$AR$4,1,R$3-Projects!$C$38+1),0)-IF(AND(Projects!$G$38="Yes",R$3&gt;=Projects!$C$38,R$3&lt;Projects!$C$38+Projects!$D$38),Projects!$B$38*(Assumptions!$B$10+Assumptions!$B$11+Assumptions!$B$12)/Projects!$D$38*0.95,0)-IF(AND(Projects!$G$38="Yes",R$3=Projects!$C$38+Projects!$D$38-1),Projects!$B$38*(Assumptions!$B$10+Assumptions!$B$11+Assumptions!$B$12)*0.05,0)</f>
        <v>0</v>
      </c>
      <c r="S47" s="30" t="n">
        <f aca="false">IF(AND(Projects!$G$38="Yes",S$3&gt;=Projects!$C$38,S$3&lt;Projects!$C$38+Projects!$D$38),Projects!$B$38*INDEX(Curves!$B$4:$AR$4,1,S$3-Projects!$C$38+1),0)-IF(AND(Projects!$G$38="Yes",S$3&gt;=Projects!$C$38,S$3&lt;Projects!$C$38+Projects!$D$38),Projects!$B$38*(Assumptions!$B$10+Assumptions!$B$11+Assumptions!$B$12)/Projects!$D$38*0.95,0)-IF(AND(Projects!$G$38="Yes",S$3=Projects!$C$38+Projects!$D$38-1),Projects!$B$38*(Assumptions!$B$10+Assumptions!$B$11+Assumptions!$B$12)*0.05,0)</f>
        <v>0</v>
      </c>
      <c r="T47" s="30" t="n">
        <f aca="false">IF(AND(Projects!$G$38="Yes",T$3&gt;=Projects!$C$38,T$3&lt;Projects!$C$38+Projects!$D$38),Projects!$B$38*INDEX(Curves!$B$4:$AR$4,1,T$3-Projects!$C$38+1),0)-IF(AND(Projects!$G$38="Yes",T$3&gt;=Projects!$C$38,T$3&lt;Projects!$C$38+Projects!$D$38),Projects!$B$38*(Assumptions!$B$10+Assumptions!$B$11+Assumptions!$B$12)/Projects!$D$38*0.95,0)-IF(AND(Projects!$G$38="Yes",T$3=Projects!$C$38+Projects!$D$38-1),Projects!$B$38*(Assumptions!$B$10+Assumptions!$B$11+Assumptions!$B$12)*0.05,0)</f>
        <v>0</v>
      </c>
      <c r="U47" s="30" t="n">
        <f aca="false">IF(AND(Projects!$G$38="Yes",U$3&gt;=Projects!$C$38,U$3&lt;Projects!$C$38+Projects!$D$38),Projects!$B$38*INDEX(Curves!$B$4:$AR$4,1,U$3-Projects!$C$38+1),0)-IF(AND(Projects!$G$38="Yes",U$3&gt;=Projects!$C$38,U$3&lt;Projects!$C$38+Projects!$D$38),Projects!$B$38*(Assumptions!$B$10+Assumptions!$B$11+Assumptions!$B$12)/Projects!$D$38*0.95,0)-IF(AND(Projects!$G$38="Yes",U$3=Projects!$C$38+Projects!$D$38-1),Projects!$B$38*(Assumptions!$B$10+Assumptions!$B$11+Assumptions!$B$12)*0.05,0)</f>
        <v>0</v>
      </c>
      <c r="V47" s="30" t="n">
        <f aca="false">IF(AND(Projects!$G$38="Yes",V$3&gt;=Projects!$C$38,V$3&lt;Projects!$C$38+Projects!$D$38),Projects!$B$38*INDEX(Curves!$B$4:$AR$4,1,V$3-Projects!$C$38+1),0)-IF(AND(Projects!$G$38="Yes",V$3&gt;=Projects!$C$38,V$3&lt;Projects!$C$38+Projects!$D$38),Projects!$B$38*(Assumptions!$B$10+Assumptions!$B$11+Assumptions!$B$12)/Projects!$D$38*0.95,0)-IF(AND(Projects!$G$38="Yes",V$3=Projects!$C$38+Projects!$D$38-1),Projects!$B$38*(Assumptions!$B$10+Assumptions!$B$11+Assumptions!$B$12)*0.05,0)</f>
        <v>0</v>
      </c>
      <c r="W47" s="30" t="n">
        <f aca="false">IF(AND(Projects!$G$38="Yes",W$3&gt;=Projects!$C$38,W$3&lt;Projects!$C$38+Projects!$D$38),Projects!$B$38*INDEX(Curves!$B$4:$AR$4,1,W$3-Projects!$C$38+1),0)-IF(AND(Projects!$G$38="Yes",W$3&gt;=Projects!$C$38,W$3&lt;Projects!$C$38+Projects!$D$38),Projects!$B$38*(Assumptions!$B$10+Assumptions!$B$11+Assumptions!$B$12)/Projects!$D$38*0.95,0)-IF(AND(Projects!$G$38="Yes",W$3=Projects!$C$38+Projects!$D$38-1),Projects!$B$38*(Assumptions!$B$10+Assumptions!$B$11+Assumptions!$B$12)*0.05,0)</f>
        <v>0</v>
      </c>
      <c r="X47" s="30" t="n">
        <f aca="false">IF(AND(Projects!$G$38="Yes",X$3&gt;=Projects!$C$38,X$3&lt;Projects!$C$38+Projects!$D$38),Projects!$B$38*INDEX(Curves!$B$4:$AR$4,1,X$3-Projects!$C$38+1),0)-IF(AND(Projects!$G$38="Yes",X$3&gt;=Projects!$C$38,X$3&lt;Projects!$C$38+Projects!$D$38),Projects!$B$38*(Assumptions!$B$10+Assumptions!$B$11+Assumptions!$B$12)/Projects!$D$38*0.95,0)-IF(AND(Projects!$G$38="Yes",X$3=Projects!$C$38+Projects!$D$38-1),Projects!$B$38*(Assumptions!$B$10+Assumptions!$B$11+Assumptions!$B$12)*0.05,0)</f>
        <v>0</v>
      </c>
      <c r="Y47" s="30" t="n">
        <f aca="false">IF(AND(Projects!$G$38="Yes",Y$3&gt;=Projects!$C$38,Y$3&lt;Projects!$C$38+Projects!$D$38),Projects!$B$38*INDEX(Curves!$B$4:$AR$4,1,Y$3-Projects!$C$38+1),0)-IF(AND(Projects!$G$38="Yes",Y$3&gt;=Projects!$C$38,Y$3&lt;Projects!$C$38+Projects!$D$38),Projects!$B$38*(Assumptions!$B$10+Assumptions!$B$11+Assumptions!$B$12)/Projects!$D$38*0.95,0)-IF(AND(Projects!$G$38="Yes",Y$3=Projects!$C$38+Projects!$D$38-1),Projects!$B$38*(Assumptions!$B$10+Assumptions!$B$11+Assumptions!$B$12)*0.05,0)</f>
        <v>0</v>
      </c>
      <c r="Z47" s="30" t="n">
        <f aca="false">IF(AND(Projects!$G$38="Yes",Z$3&gt;=Projects!$C$38,Z$3&lt;Projects!$C$38+Projects!$D$38),Projects!$B$38*INDEX(Curves!$B$4:$AR$4,1,Z$3-Projects!$C$38+1),0)-IF(AND(Projects!$G$38="Yes",Z$3&gt;=Projects!$C$38,Z$3&lt;Projects!$C$38+Projects!$D$38),Projects!$B$38*(Assumptions!$B$10+Assumptions!$B$11+Assumptions!$B$12)/Projects!$D$38*0.95,0)-IF(AND(Projects!$G$38="Yes",Z$3=Projects!$C$38+Projects!$D$38-1),Projects!$B$38*(Assumptions!$B$10+Assumptions!$B$11+Assumptions!$B$12)*0.05,0)</f>
        <v>0</v>
      </c>
      <c r="AA47" s="30" t="n">
        <f aca="false">IF(AND(Projects!$G$38="Yes",AA$3&gt;=Projects!$C$38,AA$3&lt;Projects!$C$38+Projects!$D$38),Projects!$B$38*INDEX(Curves!$B$4:$AR$4,1,AA$3-Projects!$C$38+1),0)-IF(AND(Projects!$G$38="Yes",AA$3&gt;=Projects!$C$38,AA$3&lt;Projects!$C$38+Projects!$D$38),Projects!$B$38*(Assumptions!$B$10+Assumptions!$B$11+Assumptions!$B$12)/Projects!$D$38*0.95,0)-IF(AND(Projects!$G$38="Yes",AA$3=Projects!$C$38+Projects!$D$38-1),Projects!$B$38*(Assumptions!$B$10+Assumptions!$B$11+Assumptions!$B$12)*0.05,0)</f>
        <v>0</v>
      </c>
      <c r="AB47" s="30" t="n">
        <f aca="false">IF(AND(Projects!$G$38="Yes",AB$3&gt;=Projects!$C$38,AB$3&lt;Projects!$C$38+Projects!$D$38),Projects!$B$38*INDEX(Curves!$B$4:$AR$4,1,AB$3-Projects!$C$38+1),0)-IF(AND(Projects!$G$38="Yes",AB$3&gt;=Projects!$C$38,AB$3&lt;Projects!$C$38+Projects!$D$38),Projects!$B$38*(Assumptions!$B$10+Assumptions!$B$11+Assumptions!$B$12)/Projects!$D$38*0.95,0)-IF(AND(Projects!$G$38="Yes",AB$3=Projects!$C$38+Projects!$D$38-1),Projects!$B$38*(Assumptions!$B$10+Assumptions!$B$11+Assumptions!$B$12)*0.05,0)</f>
        <v>0</v>
      </c>
      <c r="AC47" s="30" t="n">
        <f aca="false">IF(AND(Projects!$G$38="Yes",AC$3&gt;=Projects!$C$38,AC$3&lt;Projects!$C$38+Projects!$D$38),Projects!$B$38*INDEX(Curves!$B$4:$AR$4,1,AC$3-Projects!$C$38+1),0)-IF(AND(Projects!$G$38="Yes",AC$3&gt;=Projects!$C$38,AC$3&lt;Projects!$C$38+Projects!$D$38),Projects!$B$38*(Assumptions!$B$10+Assumptions!$B$11+Assumptions!$B$12)/Projects!$D$38*0.95,0)-IF(AND(Projects!$G$38="Yes",AC$3=Projects!$C$38+Projects!$D$38-1),Projects!$B$38*(Assumptions!$B$10+Assumptions!$B$11+Assumptions!$B$12)*0.05,0)</f>
        <v>0</v>
      </c>
      <c r="AD47" s="30" t="n">
        <f aca="false">IF(AND(Projects!$G$38="Yes",AD$3&gt;=Projects!$C$38,AD$3&lt;Projects!$C$38+Projects!$D$38),Projects!$B$38*INDEX(Curves!$B$4:$AR$4,1,AD$3-Projects!$C$38+1),0)-IF(AND(Projects!$G$38="Yes",AD$3&gt;=Projects!$C$38,AD$3&lt;Projects!$C$38+Projects!$D$38),Projects!$B$38*(Assumptions!$B$10+Assumptions!$B$11+Assumptions!$B$12)/Projects!$D$38*0.95,0)-IF(AND(Projects!$G$38="Yes",AD$3=Projects!$C$38+Projects!$D$38-1),Projects!$B$38*(Assumptions!$B$10+Assumptions!$B$11+Assumptions!$B$12)*0.05,0)</f>
        <v>0</v>
      </c>
      <c r="AE47" s="30" t="n">
        <f aca="false">IF(AND(Projects!$G$38="Yes",AE$3&gt;=Projects!$C$38,AE$3&lt;Projects!$C$38+Projects!$D$38),Projects!$B$38*INDEX(Curves!$B$4:$AR$4,1,AE$3-Projects!$C$38+1),0)-IF(AND(Projects!$G$38="Yes",AE$3&gt;=Projects!$C$38,AE$3&lt;Projects!$C$38+Projects!$D$38),Projects!$B$38*(Assumptions!$B$10+Assumptions!$B$11+Assumptions!$B$12)/Projects!$D$38*0.95,0)-IF(AND(Projects!$G$38="Yes",AE$3=Projects!$C$38+Projects!$D$38-1),Projects!$B$38*(Assumptions!$B$10+Assumptions!$B$11+Assumptions!$B$12)*0.05,0)</f>
        <v>0</v>
      </c>
      <c r="AF47" s="30" t="n">
        <f aca="false">IF(AND(Projects!$G$38="Yes",AF$3&gt;=Projects!$C$38,AF$3&lt;Projects!$C$38+Projects!$D$38),Projects!$B$38*INDEX(Curves!$B$4:$AR$4,1,AF$3-Projects!$C$38+1),0)-IF(AND(Projects!$G$38="Yes",AF$3&gt;=Projects!$C$38,AF$3&lt;Projects!$C$38+Projects!$D$38),Projects!$B$38*(Assumptions!$B$10+Assumptions!$B$11+Assumptions!$B$12)/Projects!$D$38*0.95,0)-IF(AND(Projects!$G$38="Yes",AF$3=Projects!$C$38+Projects!$D$38-1),Projects!$B$38*(Assumptions!$B$10+Assumptions!$B$11+Assumptions!$B$12)*0.05,0)</f>
        <v>0</v>
      </c>
      <c r="AG47" s="30" t="n">
        <f aca="false">IF(AND(Projects!$G$38="Yes",AG$3&gt;=Projects!$C$38,AG$3&lt;Projects!$C$38+Projects!$D$38),Projects!$B$38*INDEX(Curves!$B$4:$AR$4,1,AG$3-Projects!$C$38+1),0)-IF(AND(Projects!$G$38="Yes",AG$3&gt;=Projects!$C$38,AG$3&lt;Projects!$C$38+Projects!$D$38),Projects!$B$38*(Assumptions!$B$10+Assumptions!$B$11+Assumptions!$B$12)/Projects!$D$38*0.95,0)-IF(AND(Projects!$G$38="Yes",AG$3=Projects!$C$38+Projects!$D$38-1),Projects!$B$38*(Assumptions!$B$10+Assumptions!$B$11+Assumptions!$B$12)*0.05,0)</f>
        <v>0</v>
      </c>
      <c r="AH47" s="30" t="n">
        <f aca="false">IF(AND(Projects!$G$38="Yes",AH$3&gt;=Projects!$C$38,AH$3&lt;Projects!$C$38+Projects!$D$38),Projects!$B$38*INDEX(Curves!$B$4:$AR$4,1,AH$3-Projects!$C$38+1),0)-IF(AND(Projects!$G$38="Yes",AH$3&gt;=Projects!$C$38,AH$3&lt;Projects!$C$38+Projects!$D$38),Projects!$B$38*(Assumptions!$B$10+Assumptions!$B$11+Assumptions!$B$12)/Projects!$D$38*0.95,0)-IF(AND(Projects!$G$38="Yes",AH$3=Projects!$C$38+Projects!$D$38-1),Projects!$B$38*(Assumptions!$B$10+Assumptions!$B$11+Assumptions!$B$12)*0.05,0)</f>
        <v>0</v>
      </c>
      <c r="AI47" s="30" t="n">
        <f aca="false">IF(AND(Projects!$G$38="Yes",AI$3&gt;=Projects!$C$38,AI$3&lt;Projects!$C$38+Projects!$D$38),Projects!$B$38*INDEX(Curves!$B$4:$AR$4,1,AI$3-Projects!$C$38+1),0)-IF(AND(Projects!$G$38="Yes",AI$3&gt;=Projects!$C$38,AI$3&lt;Projects!$C$38+Projects!$D$38),Projects!$B$38*(Assumptions!$B$10+Assumptions!$B$11+Assumptions!$B$12)/Projects!$D$38*0.95,0)-IF(AND(Projects!$G$38="Yes",AI$3=Projects!$C$38+Projects!$D$38-1),Projects!$B$38*(Assumptions!$B$10+Assumptions!$B$11+Assumptions!$B$12)*0.05,0)</f>
        <v>0</v>
      </c>
      <c r="AJ47" s="30" t="n">
        <f aca="false">IF(AND(Projects!$G$38="Yes",AJ$3&gt;=Projects!$C$38,AJ$3&lt;Projects!$C$38+Projects!$D$38),Projects!$B$38*INDEX(Curves!$B$4:$AR$4,1,AJ$3-Projects!$C$38+1),0)-IF(AND(Projects!$G$38="Yes",AJ$3&gt;=Projects!$C$38,AJ$3&lt;Projects!$C$38+Projects!$D$38),Projects!$B$38*(Assumptions!$B$10+Assumptions!$B$11+Assumptions!$B$12)/Projects!$D$38*0.95,0)-IF(AND(Projects!$G$38="Yes",AJ$3=Projects!$C$38+Projects!$D$38-1),Projects!$B$38*(Assumptions!$B$10+Assumptions!$B$11+Assumptions!$B$12)*0.05,0)</f>
        <v>0</v>
      </c>
      <c r="AK47" s="30" t="n">
        <f aca="false">IF(AND(Projects!$G$38="Yes",AK$3&gt;=Projects!$C$38,AK$3&lt;Projects!$C$38+Projects!$D$38),Projects!$B$38*INDEX(Curves!$B$4:$AR$4,1,AK$3-Projects!$C$38+1),0)-IF(AND(Projects!$G$38="Yes",AK$3&gt;=Projects!$C$38,AK$3&lt;Projects!$C$38+Projects!$D$38),Projects!$B$38*(Assumptions!$B$10+Assumptions!$B$11+Assumptions!$B$12)/Projects!$D$38*0.95,0)-IF(AND(Projects!$G$38="Yes",AK$3=Projects!$C$38+Projects!$D$38-1),Projects!$B$38*(Assumptions!$B$10+Assumptions!$B$11+Assumptions!$B$12)*0.05,0)</f>
        <v>0</v>
      </c>
      <c r="AL47" s="30" t="n">
        <f aca="false">IF(AND(Projects!$G$38="Yes",AL$3&gt;=Projects!$C$38,AL$3&lt;Projects!$C$38+Projects!$D$38),Projects!$B$38*INDEX(Curves!$B$4:$AR$4,1,AL$3-Projects!$C$38+1),0)-IF(AND(Projects!$G$38="Yes",AL$3&gt;=Projects!$C$38,AL$3&lt;Projects!$C$38+Projects!$D$38),Projects!$B$38*(Assumptions!$B$10+Assumptions!$B$11+Assumptions!$B$12)/Projects!$D$38*0.95,0)-IF(AND(Projects!$G$38="Yes",AL$3=Projects!$C$38+Projects!$D$38-1),Projects!$B$38*(Assumptions!$B$10+Assumptions!$B$11+Assumptions!$B$12)*0.05,0)</f>
        <v>0</v>
      </c>
      <c r="AM47" s="30" t="n">
        <f aca="false">IF(AND(Projects!$G$38="Yes",AM$3&gt;=Projects!$C$38,AM$3&lt;Projects!$C$38+Projects!$D$38),Projects!$B$38*INDEX(Curves!$B$4:$AR$4,1,AM$3-Projects!$C$38+1),0)-IF(AND(Projects!$G$38="Yes",AM$3&gt;=Projects!$C$38,AM$3&lt;Projects!$C$38+Projects!$D$38),Projects!$B$38*(Assumptions!$B$10+Assumptions!$B$11+Assumptions!$B$12)/Projects!$D$38*0.95,0)-IF(AND(Projects!$G$38="Yes",AM$3=Projects!$C$38+Projects!$D$38-1),Projects!$B$38*(Assumptions!$B$10+Assumptions!$B$11+Assumptions!$B$12)*0.05,0)</f>
        <v>0</v>
      </c>
      <c r="AN47" s="30" t="n">
        <f aca="false">IF(AND(Projects!$G$38="Yes",AN$3&gt;=Projects!$C$38,AN$3&lt;Projects!$C$38+Projects!$D$38),Projects!$B$38*INDEX(Curves!$B$4:$AR$4,1,AN$3-Projects!$C$38+1),0)-IF(AND(Projects!$G$38="Yes",AN$3&gt;=Projects!$C$38,AN$3&lt;Projects!$C$38+Projects!$D$38),Projects!$B$38*(Assumptions!$B$10+Assumptions!$B$11+Assumptions!$B$12)/Projects!$D$38*0.95,0)-IF(AND(Projects!$G$38="Yes",AN$3=Projects!$C$38+Projects!$D$38-1),Projects!$B$38*(Assumptions!$B$10+Assumptions!$B$11+Assumptions!$B$12)*0.05,0)</f>
        <v>0</v>
      </c>
      <c r="AO47" s="30" t="n">
        <f aca="false">IF(AND(Projects!$G$38="Yes",AO$3&gt;=Projects!$C$38,AO$3&lt;Projects!$C$38+Projects!$D$38),Projects!$B$38*INDEX(Curves!$B$4:$AR$4,1,AO$3-Projects!$C$38+1),0)-IF(AND(Projects!$G$38="Yes",AO$3&gt;=Projects!$C$38,AO$3&lt;Projects!$C$38+Projects!$D$38),Projects!$B$38*(Assumptions!$B$10+Assumptions!$B$11+Assumptions!$B$12)/Projects!$D$38*0.95,0)-IF(AND(Projects!$G$38="Yes",AO$3=Projects!$C$38+Projects!$D$38-1),Projects!$B$38*(Assumptions!$B$10+Assumptions!$B$11+Assumptions!$B$12)*0.05,0)</f>
        <v>0</v>
      </c>
      <c r="AP47" s="30" t="n">
        <f aca="false">IF(AND(Projects!$G$38="Yes",AP$3&gt;=Projects!$C$38,AP$3&lt;Projects!$C$38+Projects!$D$38),Projects!$B$38*INDEX(Curves!$B$4:$AR$4,1,AP$3-Projects!$C$38+1),0)-IF(AND(Projects!$G$38="Yes",AP$3&gt;=Projects!$C$38,AP$3&lt;Projects!$C$38+Projects!$D$38),Projects!$B$38*(Assumptions!$B$10+Assumptions!$B$11+Assumptions!$B$12)/Projects!$D$38*0.95,0)-IF(AND(Projects!$G$38="Yes",AP$3=Projects!$C$38+Projects!$D$38-1),Projects!$B$38*(Assumptions!$B$10+Assumptions!$B$11+Assumptions!$B$12)*0.05,0)</f>
        <v>0</v>
      </c>
      <c r="AQ47" s="30" t="n">
        <f aca="false">IF(AND(Projects!$G$38="Yes",AQ$3&gt;=Projects!$C$38,AQ$3&lt;Projects!$C$38+Projects!$D$38),Projects!$B$38*INDEX(Curves!$B$4:$AR$4,1,AQ$3-Projects!$C$38+1),0)-IF(AND(Projects!$G$38="Yes",AQ$3&gt;=Projects!$C$38,AQ$3&lt;Projects!$C$38+Projects!$D$38),Projects!$B$38*(Assumptions!$B$10+Assumptions!$B$11+Assumptions!$B$12)/Projects!$D$38*0.95,0)-IF(AND(Projects!$G$38="Yes",AQ$3=Projects!$C$38+Projects!$D$38-1),Projects!$B$38*(Assumptions!$B$10+Assumptions!$B$11+Assumptions!$B$12)*0.05,0)</f>
        <v>0</v>
      </c>
      <c r="AR47" s="30" t="n">
        <f aca="false">IF(AND(Projects!$G$38="Yes",AR$3&gt;=Projects!$C$38,AR$3&lt;Projects!$C$38+Projects!$D$38),Projects!$B$38*INDEX(Curves!$B$4:$AR$4,1,AR$3-Projects!$C$38+1),0)-IF(AND(Projects!$G$38="Yes",AR$3&gt;=Projects!$C$38,AR$3&lt;Projects!$C$38+Projects!$D$38),Projects!$B$38*(Assumptions!$B$10+Assumptions!$B$11+Assumptions!$B$12)/Projects!$D$38*0.95,0)-IF(AND(Projects!$G$38="Yes",AR$3=Projects!$C$38+Projects!$D$38-1),Projects!$B$38*(Assumptions!$B$10+Assumptions!$B$11+Assumptions!$B$12)*0.05,0)</f>
        <v>0</v>
      </c>
      <c r="AS47" s="30" t="n">
        <f aca="false">IF(AND(Projects!$G$38="Yes",AS$3&gt;=Projects!$C$38,AS$3&lt;Projects!$C$38+Projects!$D$38),Projects!$B$38*INDEX(Curves!$B$4:$AR$4,1,AS$3-Projects!$C$38+1),0)-IF(AND(Projects!$G$38="Yes",AS$3&gt;=Projects!$C$38,AS$3&lt;Projects!$C$38+Projects!$D$38),Projects!$B$38*(Assumptions!$B$10+Assumptions!$B$11+Assumptions!$B$12)/Projects!$D$38*0.95,0)-IF(AND(Projects!$G$38="Yes",AS$3=Projects!$C$38+Projects!$D$38-1),Projects!$B$38*(Assumptions!$B$10+Assumptions!$B$11+Assumptions!$B$12)*0.05,0)</f>
        <v>0</v>
      </c>
      <c r="AT47" s="30" t="n">
        <f aca="false">IF(AND(Projects!$G$38="Yes",AT$3&gt;=Projects!$C$38,AT$3&lt;Projects!$C$38+Projects!$D$38),Projects!$B$38*INDEX(Curves!$B$4:$AR$4,1,AT$3-Projects!$C$38+1),0)-IF(AND(Projects!$G$38="Yes",AT$3&gt;=Projects!$C$38,AT$3&lt;Projects!$C$38+Projects!$D$38),Projects!$B$38*(Assumptions!$B$10+Assumptions!$B$11+Assumptions!$B$12)/Projects!$D$38*0.95,0)-IF(AND(Projects!$G$38="Yes",AT$3=Projects!$C$38+Projects!$D$38-1),Projects!$B$38*(Assumptions!$B$10+Assumptions!$B$11+Assumptions!$B$12)*0.05,0)</f>
        <v>0</v>
      </c>
      <c r="AU47" s="30" t="n">
        <f aca="false">IF(AND(Projects!$G$38="Yes",AU$3&gt;=Projects!$C$38,AU$3&lt;Projects!$C$38+Projects!$D$38),Projects!$B$38*INDEX(Curves!$B$4:$AR$4,1,AU$3-Projects!$C$38+1),0)-IF(AND(Projects!$G$38="Yes",AU$3&gt;=Projects!$C$38,AU$3&lt;Projects!$C$38+Projects!$D$38),Projects!$B$38*(Assumptions!$B$10+Assumptions!$B$11+Assumptions!$B$12)/Projects!$D$38*0.95,0)-IF(AND(Projects!$G$38="Yes",AU$3=Projects!$C$38+Projects!$D$38-1),Projects!$B$38*(Assumptions!$B$10+Assumptions!$B$11+Assumptions!$B$12)*0.05,0)</f>
        <v>0</v>
      </c>
      <c r="AV47" s="30" t="n">
        <f aca="false">IF(AND(Projects!$G$38="Yes",AV$3&gt;=Projects!$C$38,AV$3&lt;Projects!$C$38+Projects!$D$38),Projects!$B$38*INDEX(Curves!$B$4:$AR$4,1,AV$3-Projects!$C$38+1),0)-IF(AND(Projects!$G$38="Yes",AV$3&gt;=Projects!$C$38,AV$3&lt;Projects!$C$38+Projects!$D$38),Projects!$B$38*(Assumptions!$B$10+Assumptions!$B$11+Assumptions!$B$12)/Projects!$D$38*0.95,0)-IF(AND(Projects!$G$38="Yes",AV$3=Projects!$C$38+Projects!$D$38-1),Projects!$B$38*(Assumptions!$B$10+Assumptions!$B$11+Assumptions!$B$12)*0.05,0)</f>
        <v>0</v>
      </c>
      <c r="AW47" s="30" t="n">
        <f aca="false">IF(AND(Projects!$G$38="Yes",AW$3&gt;=Projects!$C$38,AW$3&lt;Projects!$C$38+Projects!$D$38),Projects!$B$38*INDEX(Curves!$B$4:$AR$4,1,AW$3-Projects!$C$38+1),0)-IF(AND(Projects!$G$38="Yes",AW$3&gt;=Projects!$C$38,AW$3&lt;Projects!$C$38+Projects!$D$38),Projects!$B$38*(Assumptions!$B$10+Assumptions!$B$11+Assumptions!$B$12)/Projects!$D$38*0.95,0)-IF(AND(Projects!$G$38="Yes",AW$3=Projects!$C$38+Projects!$D$38-1),Projects!$B$38*(Assumptions!$B$10+Assumptions!$B$11+Assumptions!$B$12)*0.05,0)</f>
        <v>0</v>
      </c>
      <c r="AX47" s="30" t="n">
        <f aca="false">IF(AND(Projects!$G$38="Yes",AX$3&gt;=Projects!$C$38,AX$3&lt;Projects!$C$38+Projects!$D$38),Projects!$B$38*INDEX(Curves!$B$4:$AR$4,1,AX$3-Projects!$C$38+1),0)-IF(AND(Projects!$G$38="Yes",AX$3&gt;=Projects!$C$38,AX$3&lt;Projects!$C$38+Projects!$D$38),Projects!$B$38*(Assumptions!$B$10+Assumptions!$B$11+Assumptions!$B$12)/Projects!$D$38*0.95,0)-IF(AND(Projects!$G$38="Yes",AX$3=Projects!$C$38+Projects!$D$38-1),Projects!$B$38*(Assumptions!$B$10+Assumptions!$B$11+Assumptions!$B$12)*0.05,0)</f>
        <v>0</v>
      </c>
      <c r="AY47" s="30" t="n">
        <f aca="false">IF(AND(Projects!$G$38="Yes",AY$3&gt;=Projects!$C$38,AY$3&lt;Projects!$C$38+Projects!$D$38),Projects!$B$38*INDEX(Curves!$B$4:$AR$4,1,AY$3-Projects!$C$38+1),0)-IF(AND(Projects!$G$38="Yes",AY$3&gt;=Projects!$C$38,AY$3&lt;Projects!$C$38+Projects!$D$38),Projects!$B$38*(Assumptions!$B$10+Assumptions!$B$11+Assumptions!$B$12)/Projects!$D$38*0.95,0)-IF(AND(Projects!$G$38="Yes",AY$3=Projects!$C$38+Projects!$D$38-1),Projects!$B$38*(Assumptions!$B$10+Assumptions!$B$11+Assumptions!$B$12)*0.05,0)</f>
        <v>0</v>
      </c>
      <c r="AZ47" s="30" t="n">
        <f aca="false">IF(AND(Projects!$G$38="Yes",AZ$3&gt;=Projects!$C$38,AZ$3&lt;Projects!$C$38+Projects!$D$38),Projects!$B$38*INDEX(Curves!$B$4:$AR$4,1,AZ$3-Projects!$C$38+1),0)-IF(AND(Projects!$G$38="Yes",AZ$3&gt;=Projects!$C$38,AZ$3&lt;Projects!$C$38+Projects!$D$38),Projects!$B$38*(Assumptions!$B$10+Assumptions!$B$11+Assumptions!$B$12)/Projects!$D$38*0.95,0)-IF(AND(Projects!$G$38="Yes",AZ$3=Projects!$C$38+Projects!$D$38-1),Projects!$B$38*(Assumptions!$B$10+Assumptions!$B$11+Assumptions!$B$12)*0.05,0)</f>
        <v>0</v>
      </c>
      <c r="BA47" s="30" t="n">
        <f aca="false">IF(AND(Projects!$G$38="Yes",BA$3&gt;=Projects!$C$38,BA$3&lt;Projects!$C$38+Projects!$D$38),Projects!$B$38*INDEX(Curves!$B$4:$AR$4,1,BA$3-Projects!$C$38+1),0)-IF(AND(Projects!$G$38="Yes",BA$3&gt;=Projects!$C$38,BA$3&lt;Projects!$C$38+Projects!$D$38),Projects!$B$38*(Assumptions!$B$10+Assumptions!$B$11+Assumptions!$B$12)/Projects!$D$38*0.95,0)-IF(AND(Projects!$G$38="Yes",BA$3=Projects!$C$38+Projects!$D$38-1),Projects!$B$38*(Assumptions!$B$10+Assumptions!$B$11+Assumptions!$B$12)*0.05,0)</f>
        <v>0</v>
      </c>
      <c r="BB47" s="30" t="n">
        <f aca="false">IF(AND(Projects!$G$38="Yes",BB$3&gt;=Projects!$C$38,BB$3&lt;Projects!$C$38+Projects!$D$38),Projects!$B$38*INDEX(Curves!$B$4:$AR$4,1,BB$3-Projects!$C$38+1),0)-IF(AND(Projects!$G$38="Yes",BB$3&gt;=Projects!$C$38,BB$3&lt;Projects!$C$38+Projects!$D$38),Projects!$B$38*(Assumptions!$B$10+Assumptions!$B$11+Assumptions!$B$12)/Projects!$D$38*0.95,0)-IF(AND(Projects!$G$38="Yes",BB$3=Projects!$C$38+Projects!$D$38-1),Projects!$B$38*(Assumptions!$B$10+Assumptions!$B$11+Assumptions!$B$12)*0.05,0)</f>
        <v>0</v>
      </c>
      <c r="BC47" s="30" t="n">
        <f aca="false">IF(AND(Projects!$G$38="Yes",BC$3&gt;=Projects!$C$38,BC$3&lt;Projects!$C$38+Projects!$D$38),Projects!$B$38*INDEX(Curves!$B$4:$AR$4,1,BC$3-Projects!$C$38+1),0)-IF(AND(Projects!$G$38="Yes",BC$3&gt;=Projects!$C$38,BC$3&lt;Projects!$C$38+Projects!$D$38),Projects!$B$38*(Assumptions!$B$10+Assumptions!$B$11+Assumptions!$B$12)/Projects!$D$38*0.95,0)-IF(AND(Projects!$G$38="Yes",BC$3=Projects!$C$38+Projects!$D$38-1),Projects!$B$38*(Assumptions!$B$10+Assumptions!$B$11+Assumptions!$B$12)*0.05,0)</f>
        <v>0</v>
      </c>
      <c r="BD47" s="30" t="n">
        <f aca="false">IF(AND(Projects!$G$38="Yes",BD$3&gt;=Projects!$C$38,BD$3&lt;Projects!$C$38+Projects!$D$38),Projects!$B$38*INDEX(Curves!$B$4:$AR$4,1,BD$3-Projects!$C$38+1),0)-IF(AND(Projects!$G$38="Yes",BD$3&gt;=Projects!$C$38,BD$3&lt;Projects!$C$38+Projects!$D$38),Projects!$B$38*(Assumptions!$B$10+Assumptions!$B$11+Assumptions!$B$12)/Projects!$D$38*0.95,0)-IF(AND(Projects!$G$38="Yes",BD$3=Projects!$C$38+Projects!$D$38-1),Projects!$B$38*(Assumptions!$B$10+Assumptions!$B$11+Assumptions!$B$12)*0.05,0)</f>
        <v>0</v>
      </c>
      <c r="BE47" s="30" t="n">
        <f aca="false">IF(AND(Projects!$G$38="Yes",BE$3&gt;=Projects!$C$38,BE$3&lt;Projects!$C$38+Projects!$D$38),Projects!$B$38*INDEX(Curves!$B$4:$AR$4,1,BE$3-Projects!$C$38+1),0)-IF(AND(Projects!$G$38="Yes",BE$3&gt;=Projects!$C$38,BE$3&lt;Projects!$C$38+Projects!$D$38),Projects!$B$38*(Assumptions!$B$10+Assumptions!$B$11+Assumptions!$B$12)/Projects!$D$38*0.95,0)-IF(AND(Projects!$G$38="Yes",BE$3=Projects!$C$38+Projects!$D$38-1),Projects!$B$38*(Assumptions!$B$10+Assumptions!$B$11+Assumptions!$B$12)*0.05,0)</f>
        <v>0</v>
      </c>
      <c r="BF47" s="30" t="n">
        <f aca="false">IF(AND(Projects!$G$38="Yes",BF$3&gt;=Projects!$C$38,BF$3&lt;Projects!$C$38+Projects!$D$38),Projects!$B$38*INDEX(Curves!$B$4:$AR$4,1,BF$3-Projects!$C$38+1),0)-IF(AND(Projects!$G$38="Yes",BF$3&gt;=Projects!$C$38,BF$3&lt;Projects!$C$38+Projects!$D$38),Projects!$B$38*(Assumptions!$B$10+Assumptions!$B$11+Assumptions!$B$12)/Projects!$D$38*0.95,0)-IF(AND(Projects!$G$38="Yes",BF$3=Projects!$C$38+Projects!$D$38-1),Projects!$B$38*(Assumptions!$B$10+Assumptions!$B$11+Assumptions!$B$12)*0.05,0)</f>
        <v>0</v>
      </c>
      <c r="BG47" s="30" t="n">
        <f aca="false">IF(AND(Projects!$G$38="Yes",BG$3&gt;=Projects!$C$38,BG$3&lt;Projects!$C$38+Projects!$D$38),Projects!$B$38*INDEX(Curves!$B$4:$AR$4,1,BG$3-Projects!$C$38+1),0)-IF(AND(Projects!$G$38="Yes",BG$3&gt;=Projects!$C$38,BG$3&lt;Projects!$C$38+Projects!$D$38),Projects!$B$38*(Assumptions!$B$10+Assumptions!$B$11+Assumptions!$B$12)/Projects!$D$38*0.95,0)-IF(AND(Projects!$G$38="Yes",BG$3=Projects!$C$38+Projects!$D$38-1),Projects!$B$38*(Assumptions!$B$10+Assumptions!$B$11+Assumptions!$B$12)*0.05,0)</f>
        <v>0</v>
      </c>
      <c r="BH47" s="30" t="n">
        <f aca="false">IF(AND(Projects!$G$38="Yes",BH$3&gt;=Projects!$C$38,BH$3&lt;Projects!$C$38+Projects!$D$38),Projects!$B$38*INDEX(Curves!$B$4:$AR$4,1,BH$3-Projects!$C$38+1),0)-IF(AND(Projects!$G$38="Yes",BH$3&gt;=Projects!$C$38,BH$3&lt;Projects!$C$38+Projects!$D$38),Projects!$B$38*(Assumptions!$B$10+Assumptions!$B$11+Assumptions!$B$12)/Projects!$D$38*0.95,0)-IF(AND(Projects!$G$38="Yes",BH$3=Projects!$C$38+Projects!$D$38-1),Projects!$B$38*(Assumptions!$B$10+Assumptions!$B$11+Assumptions!$B$12)*0.05,0)</f>
        <v>0</v>
      </c>
      <c r="BI47" s="30" t="n">
        <f aca="false">IF(AND(Projects!$G$38="Yes",BI$3&gt;=Projects!$C$38,BI$3&lt;Projects!$C$38+Projects!$D$38),Projects!$B$38*INDEX(Curves!$B$4:$AR$4,1,BI$3-Projects!$C$38+1),0)-IF(AND(Projects!$G$38="Yes",BI$3&gt;=Projects!$C$38,BI$3&lt;Projects!$C$38+Projects!$D$38),Projects!$B$38*(Assumptions!$B$10+Assumptions!$B$11+Assumptions!$B$12)/Projects!$D$38*0.95,0)-IF(AND(Projects!$G$38="Yes",BI$3=Projects!$C$38+Projects!$D$38-1),Projects!$B$38*(Assumptions!$B$10+Assumptions!$B$11+Assumptions!$B$12)*0.05,0)</f>
        <v>0</v>
      </c>
      <c r="BJ47" s="30" t="n">
        <f aca="false">IF(AND(Projects!$G$38="Yes",BJ$3&gt;=Projects!$C$38,BJ$3&lt;Projects!$C$38+Projects!$D$38),Projects!$B$38*INDEX(Curves!$B$4:$AR$4,1,BJ$3-Projects!$C$38+1),0)-IF(AND(Projects!$G$38="Yes",BJ$3&gt;=Projects!$C$38,BJ$3&lt;Projects!$C$38+Projects!$D$38),Projects!$B$38*(Assumptions!$B$10+Assumptions!$B$11+Assumptions!$B$12)/Projects!$D$38*0.95,0)-IF(AND(Projects!$G$38="Yes",BJ$3=Projects!$C$38+Projects!$D$38-1),Projects!$B$38*(Assumptions!$B$10+Assumptions!$B$11+Assumptions!$B$12)*0.05,0)</f>
        <v>0</v>
      </c>
      <c r="BK47" s="30" t="n">
        <f aca="false">IF(AND(Projects!$G$38="Yes",BK$3&gt;=Projects!$C$38,BK$3&lt;Projects!$C$38+Projects!$D$38),Projects!$B$38*INDEX(Curves!$B$4:$AR$4,1,BK$3-Projects!$C$38+1),0)-IF(AND(Projects!$G$38="Yes",BK$3&gt;=Projects!$C$38,BK$3&lt;Projects!$C$38+Projects!$D$38),Projects!$B$38*(Assumptions!$B$10+Assumptions!$B$11+Assumptions!$B$12)/Projects!$D$38*0.95,0)-IF(AND(Projects!$G$38="Yes",BK$3=Projects!$C$38+Projects!$D$38-1),Projects!$B$38*(Assumptions!$B$10+Assumptions!$B$11+Assumptions!$B$12)*0.05,0)</f>
        <v>0</v>
      </c>
      <c r="BL47" s="30" t="n">
        <f aca="false">IF(AND(Projects!$G$38="Yes",BL$3&gt;=Projects!$C$38,BL$3&lt;Projects!$C$38+Projects!$D$38),Projects!$B$38*INDEX(Curves!$B$4:$AR$4,1,BL$3-Projects!$C$38+1),0)-IF(AND(Projects!$G$38="Yes",BL$3&gt;=Projects!$C$38,BL$3&lt;Projects!$C$38+Projects!$D$38),Projects!$B$38*(Assumptions!$B$10+Assumptions!$B$11+Assumptions!$B$12)/Projects!$D$38*0.95,0)-IF(AND(Projects!$G$38="Yes",BL$3=Projects!$C$38+Projects!$D$38-1),Projects!$B$38*(Assumptions!$B$10+Assumptions!$B$11+Assumptions!$B$12)*0.05,0)</f>
        <v>0</v>
      </c>
      <c r="BM47" s="30" t="n">
        <f aca="false">IF(AND(Projects!$G$38="Yes",BM$3&gt;=Projects!$C$38,BM$3&lt;Projects!$C$38+Projects!$D$38),Projects!$B$38*INDEX(Curves!$B$4:$AR$4,1,BM$3-Projects!$C$38+1),0)-IF(AND(Projects!$G$38="Yes",BM$3&gt;=Projects!$C$38,BM$3&lt;Projects!$C$38+Projects!$D$38),Projects!$B$38*(Assumptions!$B$10+Assumptions!$B$11+Assumptions!$B$12)/Projects!$D$38*0.95,0)-IF(AND(Projects!$G$38="Yes",BM$3=Projects!$C$38+Projects!$D$38-1),Projects!$B$38*(Assumptions!$B$10+Assumptions!$B$11+Assumptions!$B$12)*0.05,0)</f>
        <v>0</v>
      </c>
      <c r="BN47" s="30" t="n">
        <f aca="false">IF(AND(Projects!$G$38="Yes",BN$3&gt;=Projects!$C$38,BN$3&lt;Projects!$C$38+Projects!$D$38),Projects!$B$38*INDEX(Curves!$B$4:$AR$4,1,BN$3-Projects!$C$38+1),0)-IF(AND(Projects!$G$38="Yes",BN$3&gt;=Projects!$C$38,BN$3&lt;Projects!$C$38+Projects!$D$38),Projects!$B$38*(Assumptions!$B$10+Assumptions!$B$11+Assumptions!$B$12)/Projects!$D$38*0.95,0)-IF(AND(Projects!$G$38="Yes",BN$3=Projects!$C$38+Projects!$D$38-1),Projects!$B$38*(Assumptions!$B$10+Assumptions!$B$11+Assumptions!$B$12)*0.05,0)</f>
        <v>0</v>
      </c>
      <c r="BO47" s="30" t="n">
        <f aca="false">IF(AND(Projects!$G$38="Yes",BO$3&gt;=Projects!$C$38,BO$3&lt;Projects!$C$38+Projects!$D$38),Projects!$B$38*INDEX(Curves!$B$4:$AR$4,1,BO$3-Projects!$C$38+1),0)-IF(AND(Projects!$G$38="Yes",BO$3&gt;=Projects!$C$38,BO$3&lt;Projects!$C$38+Projects!$D$38),Projects!$B$38*(Assumptions!$B$10+Assumptions!$B$11+Assumptions!$B$12)/Projects!$D$38*0.95,0)-IF(AND(Projects!$G$38="Yes",BO$3=Projects!$C$38+Projects!$D$38-1),Projects!$B$38*(Assumptions!$B$10+Assumptions!$B$11+Assumptions!$B$12)*0.05,0)</f>
        <v>0</v>
      </c>
      <c r="BP47" s="30" t="n">
        <f aca="false">IF(AND(Projects!$G$38="Yes",BP$3&gt;=Projects!$C$38,BP$3&lt;Projects!$C$38+Projects!$D$38),Projects!$B$38*INDEX(Curves!$B$4:$AR$4,1,BP$3-Projects!$C$38+1),0)-IF(AND(Projects!$G$38="Yes",BP$3&gt;=Projects!$C$38,BP$3&lt;Projects!$C$38+Projects!$D$38),Projects!$B$38*(Assumptions!$B$10+Assumptions!$B$11+Assumptions!$B$12)/Projects!$D$38*0.95,0)-IF(AND(Projects!$G$38="Yes",BP$3=Projects!$C$38+Projects!$D$38-1),Projects!$B$38*(Assumptions!$B$10+Assumptions!$B$11+Assumptions!$B$12)*0.05,0)</f>
        <v>0</v>
      </c>
      <c r="BQ47" s="30" t="n">
        <f aca="false">IF(AND(Projects!$G$38="Yes",BQ$3&gt;=Projects!$C$38,BQ$3&lt;Projects!$C$38+Projects!$D$38),Projects!$B$38*INDEX(Curves!$B$4:$AR$4,1,BQ$3-Projects!$C$38+1),0)-IF(AND(Projects!$G$38="Yes",BQ$3&gt;=Projects!$C$38,BQ$3&lt;Projects!$C$38+Projects!$D$38),Projects!$B$38*(Assumptions!$B$10+Assumptions!$B$11+Assumptions!$B$12)/Projects!$D$38*0.95,0)-IF(AND(Projects!$G$38="Yes",BQ$3=Projects!$C$38+Projects!$D$38-1),Projects!$B$38*(Assumptions!$B$10+Assumptions!$B$11+Assumptions!$B$12)*0.05,0)</f>
        <v>0</v>
      </c>
      <c r="BR47" s="30" t="n">
        <f aca="false">IF(AND(Projects!$G$38="Yes",BR$3&gt;=Projects!$C$38,BR$3&lt;Projects!$C$38+Projects!$D$38),Projects!$B$38*INDEX(Curves!$B$4:$AR$4,1,BR$3-Projects!$C$38+1),0)-IF(AND(Projects!$G$38="Yes",BR$3&gt;=Projects!$C$38,BR$3&lt;Projects!$C$38+Projects!$D$38),Projects!$B$38*(Assumptions!$B$10+Assumptions!$B$11+Assumptions!$B$12)/Projects!$D$38*0.95,0)-IF(AND(Projects!$G$38="Yes",BR$3=Projects!$C$38+Projects!$D$38-1),Projects!$B$38*(Assumptions!$B$10+Assumptions!$B$11+Assumptions!$B$12)*0.05,0)</f>
        <v>0</v>
      </c>
      <c r="BS47" s="30" t="n">
        <f aca="false">IF(AND(Projects!$G$38="Yes",BS$3&gt;=Projects!$C$38,BS$3&lt;Projects!$C$38+Projects!$D$38),Projects!$B$38*INDEX(Curves!$B$4:$AR$4,1,BS$3-Projects!$C$38+1),0)-IF(AND(Projects!$G$38="Yes",BS$3&gt;=Projects!$C$38,BS$3&lt;Projects!$C$38+Projects!$D$38),Projects!$B$38*(Assumptions!$B$10+Assumptions!$B$11+Assumptions!$B$12)/Projects!$D$38*0.95,0)-IF(AND(Projects!$G$38="Yes",BS$3=Projects!$C$38+Projects!$D$38-1),Projects!$B$38*(Assumptions!$B$10+Assumptions!$B$11+Assumptions!$B$12)*0.05,0)</f>
        <v>0</v>
      </c>
      <c r="BT47" s="30" t="n">
        <f aca="false">IF(AND(Projects!$G$38="Yes",BT$3&gt;=Projects!$C$38,BT$3&lt;Projects!$C$38+Projects!$D$38),Projects!$B$38*INDEX(Curves!$B$4:$AR$4,1,BT$3-Projects!$C$38+1),0)-IF(AND(Projects!$G$38="Yes",BT$3&gt;=Projects!$C$38,BT$3&lt;Projects!$C$38+Projects!$D$38),Projects!$B$38*(Assumptions!$B$10+Assumptions!$B$11+Assumptions!$B$12)/Projects!$D$38*0.95,0)-IF(AND(Projects!$G$38="Yes",BT$3=Projects!$C$38+Projects!$D$38-1),Projects!$B$38*(Assumptions!$B$10+Assumptions!$B$11+Assumptions!$B$12)*0.05,0)</f>
        <v>0</v>
      </c>
      <c r="BU47" s="30" t="n">
        <f aca="false">IF(AND(Projects!$G$38="Yes",BU$3&gt;=Projects!$C$38,BU$3&lt;Projects!$C$38+Projects!$D$38),Projects!$B$38*INDEX(Curves!$B$4:$AR$4,1,BU$3-Projects!$C$38+1),0)-IF(AND(Projects!$G$38="Yes",BU$3&gt;=Projects!$C$38,BU$3&lt;Projects!$C$38+Projects!$D$38),Projects!$B$38*(Assumptions!$B$10+Assumptions!$B$11+Assumptions!$B$12)/Projects!$D$38*0.95,0)-IF(AND(Projects!$G$38="Yes",BU$3=Projects!$C$38+Projects!$D$38-1),Projects!$B$38*(Assumptions!$B$10+Assumptions!$B$11+Assumptions!$B$12)*0.05,0)</f>
        <v>0</v>
      </c>
      <c r="BV47" s="30" t="n">
        <f aca="false">IF(AND(Projects!$G$38="Yes",BV$3&gt;=Projects!$C$38,BV$3&lt;Projects!$C$38+Projects!$D$38),Projects!$B$38*INDEX(Curves!$B$4:$AR$4,1,BV$3-Projects!$C$38+1),0)-IF(AND(Projects!$G$38="Yes",BV$3&gt;=Projects!$C$38,BV$3&lt;Projects!$C$38+Projects!$D$38),Projects!$B$38*(Assumptions!$B$10+Assumptions!$B$11+Assumptions!$B$12)/Projects!$D$38*0.95,0)-IF(AND(Projects!$G$38="Yes",BV$3=Projects!$C$38+Projects!$D$38-1),Projects!$B$38*(Assumptions!$B$10+Assumptions!$B$11+Assumptions!$B$12)*0.05,0)</f>
        <v>0</v>
      </c>
      <c r="BW47" s="30" t="n">
        <f aca="false">IF(AND(Projects!$G$38="Yes",BW$3&gt;=Projects!$C$38,BW$3&lt;Projects!$C$38+Projects!$D$38),Projects!$B$38*INDEX(Curves!$B$4:$AR$4,1,BW$3-Projects!$C$38+1),0)-IF(AND(Projects!$G$38="Yes",BW$3&gt;=Projects!$C$38,BW$3&lt;Projects!$C$38+Projects!$D$38),Projects!$B$38*(Assumptions!$B$10+Assumptions!$B$11+Assumptions!$B$12)/Projects!$D$38*0.95,0)-IF(AND(Projects!$G$38="Yes",BW$3=Projects!$C$38+Projects!$D$38-1),Projects!$B$38*(Assumptions!$B$10+Assumptions!$B$11+Assumptions!$B$12)*0.05,0)</f>
        <v>0</v>
      </c>
      <c r="BX47" s="30" t="n">
        <f aca="false">IF(AND(Projects!$G$38="Yes",BX$3&gt;=Projects!$C$38,BX$3&lt;Projects!$C$38+Projects!$D$38),Projects!$B$38*INDEX(Curves!$B$4:$AR$4,1,BX$3-Projects!$C$38+1),0)-IF(AND(Projects!$G$38="Yes",BX$3&gt;=Projects!$C$38,BX$3&lt;Projects!$C$38+Projects!$D$38),Projects!$B$38*(Assumptions!$B$10+Assumptions!$B$11+Assumptions!$B$12)/Projects!$D$38*0.95,0)-IF(AND(Projects!$G$38="Yes",BX$3=Projects!$C$38+Projects!$D$38-1),Projects!$B$38*(Assumptions!$B$10+Assumptions!$B$11+Assumptions!$B$12)*0.05,0)</f>
        <v>0</v>
      </c>
      <c r="BY47" s="30" t="n">
        <f aca="false">IF(AND(Projects!$G$38="Yes",BY$3&gt;=Projects!$C$38,BY$3&lt;Projects!$C$38+Projects!$D$38),Projects!$B$38*INDEX(Curves!$B$4:$AR$4,1,BY$3-Projects!$C$38+1),0)-IF(AND(Projects!$G$38="Yes",BY$3&gt;=Projects!$C$38,BY$3&lt;Projects!$C$38+Projects!$D$38),Projects!$B$38*(Assumptions!$B$10+Assumptions!$B$11+Assumptions!$B$12)/Projects!$D$38*0.95,0)-IF(AND(Projects!$G$38="Yes",BY$3=Projects!$C$38+Projects!$D$38-1),Projects!$B$38*(Assumptions!$B$10+Assumptions!$B$11+Assumptions!$B$12)*0.05,0)</f>
        <v>0</v>
      </c>
      <c r="BZ47" s="30" t="n">
        <f aca="false">IF(AND(Projects!$G$38="Yes",BZ$3&gt;=Projects!$C$38,BZ$3&lt;Projects!$C$38+Projects!$D$38),Projects!$B$38*INDEX(Curves!$B$4:$AR$4,1,BZ$3-Projects!$C$38+1),0)-IF(AND(Projects!$G$38="Yes",BZ$3&gt;=Projects!$C$38,BZ$3&lt;Projects!$C$38+Projects!$D$38),Projects!$B$38*(Assumptions!$B$10+Assumptions!$B$11+Assumptions!$B$12)/Projects!$D$38*0.95,0)-IF(AND(Projects!$G$38="Yes",BZ$3=Projects!$C$38+Projects!$D$38-1),Projects!$B$38*(Assumptions!$B$10+Assumptions!$B$11+Assumptions!$B$12)*0.05,0)</f>
        <v>0</v>
      </c>
      <c r="CA47" s="30" t="n">
        <f aca="false">IF(AND(Projects!$G$38="Yes",CA$3&gt;=Projects!$C$38,CA$3&lt;Projects!$C$38+Projects!$D$38),Projects!$B$38*INDEX(Curves!$B$4:$AR$4,1,CA$3-Projects!$C$38+1),0)-IF(AND(Projects!$G$38="Yes",CA$3&gt;=Projects!$C$38,CA$3&lt;Projects!$C$38+Projects!$D$38),Projects!$B$38*(Assumptions!$B$10+Assumptions!$B$11+Assumptions!$B$12)/Projects!$D$38*0.95,0)-IF(AND(Projects!$G$38="Yes",CA$3=Projects!$C$38+Projects!$D$38-1),Projects!$B$38*(Assumptions!$B$10+Assumptions!$B$11+Assumptions!$B$12)*0.05,0)</f>
        <v>0</v>
      </c>
      <c r="CB47" s="30" t="n">
        <f aca="false">IF(AND(Projects!$G$38="Yes",CB$3&gt;=Projects!$C$38,CB$3&lt;Projects!$C$38+Projects!$D$38),Projects!$B$38*INDEX(Curves!$B$4:$AR$4,1,CB$3-Projects!$C$38+1),0)-IF(AND(Projects!$G$38="Yes",CB$3&gt;=Projects!$C$38,CB$3&lt;Projects!$C$38+Projects!$D$38),Projects!$B$38*(Assumptions!$B$10+Assumptions!$B$11+Assumptions!$B$12)/Projects!$D$38*0.95,0)-IF(AND(Projects!$G$38="Yes",CB$3=Projects!$C$38+Projects!$D$38-1),Projects!$B$38*(Assumptions!$B$10+Assumptions!$B$11+Assumptions!$B$12)*0.05,0)</f>
        <v>0</v>
      </c>
      <c r="CC47" s="30" t="n">
        <f aca="false">IF(AND(Projects!$G$38="Yes",CC$3&gt;=Projects!$C$38,CC$3&lt;Projects!$C$38+Projects!$D$38),Projects!$B$38*INDEX(Curves!$B$4:$AR$4,1,CC$3-Projects!$C$38+1),0)-IF(AND(Projects!$G$38="Yes",CC$3&gt;=Projects!$C$38,CC$3&lt;Projects!$C$38+Projects!$D$38),Projects!$B$38*(Assumptions!$B$10+Assumptions!$B$11+Assumptions!$B$12)/Projects!$D$38*0.95,0)-IF(AND(Projects!$G$38="Yes",CC$3=Projects!$C$38+Projects!$D$38-1),Projects!$B$38*(Assumptions!$B$10+Assumptions!$B$11+Assumptions!$B$12)*0.05,0)</f>
        <v>0</v>
      </c>
      <c r="CD47" s="30" t="n">
        <f aca="false">IF(AND(Projects!$G$38="Yes",CD$3&gt;=Projects!$C$38,CD$3&lt;Projects!$C$38+Projects!$D$38),Projects!$B$38*INDEX(Curves!$B$4:$AR$4,1,CD$3-Projects!$C$38+1),0)-IF(AND(Projects!$G$38="Yes",CD$3&gt;=Projects!$C$38,CD$3&lt;Projects!$C$38+Projects!$D$38),Projects!$B$38*(Assumptions!$B$10+Assumptions!$B$11+Assumptions!$B$12)/Projects!$D$38*0.95,0)-IF(AND(Projects!$G$38="Yes",CD$3=Projects!$C$38+Projects!$D$38-1),Projects!$B$38*(Assumptions!$B$10+Assumptions!$B$11+Assumptions!$B$12)*0.05,0)</f>
        <v>0</v>
      </c>
      <c r="CE47" s="30" t="n">
        <f aca="false">IF(AND(Projects!$G$38="Yes",CE$3&gt;=Projects!$C$38,CE$3&lt;Projects!$C$38+Projects!$D$38),Projects!$B$38*INDEX(Curves!$B$4:$AR$4,1,CE$3-Projects!$C$38+1),0)-IF(AND(Projects!$G$38="Yes",CE$3&gt;=Projects!$C$38,CE$3&lt;Projects!$C$38+Projects!$D$38),Projects!$B$38*(Assumptions!$B$10+Assumptions!$B$11+Assumptions!$B$12)/Projects!$D$38*0.95,0)-IF(AND(Projects!$G$38="Yes",CE$3=Projects!$C$38+Projects!$D$38-1),Projects!$B$38*(Assumptions!$B$10+Assumptions!$B$11+Assumptions!$B$12)*0.05,0)</f>
        <v>0</v>
      </c>
      <c r="CF47" s="30" t="n">
        <f aca="false">IF(AND(Projects!$G$38="Yes",CF$3&gt;=Projects!$C$38,CF$3&lt;Projects!$C$38+Projects!$D$38),Projects!$B$38*INDEX(Curves!$B$4:$AR$4,1,CF$3-Projects!$C$38+1),0)-IF(AND(Projects!$G$38="Yes",CF$3&gt;=Projects!$C$38,CF$3&lt;Projects!$C$38+Projects!$D$38),Projects!$B$38*(Assumptions!$B$10+Assumptions!$B$11+Assumptions!$B$12)/Projects!$D$38*0.95,0)-IF(AND(Projects!$G$38="Yes",CF$3=Projects!$C$38+Projects!$D$38-1),Projects!$B$38*(Assumptions!$B$10+Assumptions!$B$11+Assumptions!$B$12)*0.05,0)</f>
        <v>0</v>
      </c>
      <c r="CG47" s="30" t="n">
        <f aca="false">IF(AND(Projects!$G$38="Yes",CG$3&gt;=Projects!$C$38,CG$3&lt;Projects!$C$38+Projects!$D$38),Projects!$B$38*INDEX(Curves!$B$4:$AR$4,1,CG$3-Projects!$C$38+1),0)-IF(AND(Projects!$G$38="Yes",CG$3&gt;=Projects!$C$38,CG$3&lt;Projects!$C$38+Projects!$D$38),Projects!$B$38*(Assumptions!$B$10+Assumptions!$B$11+Assumptions!$B$12)/Projects!$D$38*0.95,0)-IF(AND(Projects!$G$38="Yes",CG$3=Projects!$C$38+Projects!$D$38-1),Projects!$B$38*(Assumptions!$B$10+Assumptions!$B$11+Assumptions!$B$12)*0.05,0)</f>
        <v>0</v>
      </c>
      <c r="CH47" s="30" t="n">
        <f aca="false">IF(AND(Projects!$G$38="Yes",CH$3&gt;=Projects!$C$38,CH$3&lt;Projects!$C$38+Projects!$D$38),Projects!$B$38*INDEX(Curves!$B$4:$AR$4,1,CH$3-Projects!$C$38+1),0)-IF(AND(Projects!$G$38="Yes",CH$3&gt;=Projects!$C$38,CH$3&lt;Projects!$C$38+Projects!$D$38),Projects!$B$38*(Assumptions!$B$10+Assumptions!$B$11+Assumptions!$B$12)/Projects!$D$38*0.95,0)-IF(AND(Projects!$G$38="Yes",CH$3=Projects!$C$38+Projects!$D$38-1),Projects!$B$38*(Assumptions!$B$10+Assumptions!$B$11+Assumptions!$B$12)*0.05,0)</f>
        <v>0</v>
      </c>
      <c r="CI47" s="30" t="n">
        <f aca="false">IF(AND(Projects!$G$38="Yes",CI$3&gt;=Projects!$C$38,CI$3&lt;Projects!$C$38+Projects!$D$38),Projects!$B$38*INDEX(Curves!$B$4:$AR$4,1,CI$3-Projects!$C$38+1),0)-IF(AND(Projects!$G$38="Yes",CI$3&gt;=Projects!$C$38,CI$3&lt;Projects!$C$38+Projects!$D$38),Projects!$B$38*(Assumptions!$B$10+Assumptions!$B$11+Assumptions!$B$12)/Projects!$D$38*0.95,0)-IF(AND(Projects!$G$38="Yes",CI$3=Projects!$C$38+Projects!$D$38-1),Projects!$B$38*(Assumptions!$B$10+Assumptions!$B$11+Assumptions!$B$12)*0.05,0)</f>
        <v>0</v>
      </c>
      <c r="CJ47" s="30" t="n">
        <f aca="false">IF(AND(Projects!$G$38="Yes",CJ$3&gt;=Projects!$C$38,CJ$3&lt;Projects!$C$38+Projects!$D$38),Projects!$B$38*INDEX(Curves!$B$4:$AR$4,1,CJ$3-Projects!$C$38+1),0)-IF(AND(Projects!$G$38="Yes",CJ$3&gt;=Projects!$C$38,CJ$3&lt;Projects!$C$38+Projects!$D$38),Projects!$B$38*(Assumptions!$B$10+Assumptions!$B$11+Assumptions!$B$12)/Projects!$D$38*0.95,0)-IF(AND(Projects!$G$38="Yes",CJ$3=Projects!$C$38+Projects!$D$38-1),Projects!$B$38*(Assumptions!$B$10+Assumptions!$B$11+Assumptions!$B$12)*0.05,0)</f>
        <v>0</v>
      </c>
      <c r="CK47" s="30" t="n">
        <f aca="false">IF(AND(Projects!$G$38="Yes",CK$3&gt;=Projects!$C$38,CK$3&lt;Projects!$C$38+Projects!$D$38),Projects!$B$38*INDEX(Curves!$B$4:$AR$4,1,CK$3-Projects!$C$38+1),0)-IF(AND(Projects!$G$38="Yes",CK$3&gt;=Projects!$C$38,CK$3&lt;Projects!$C$38+Projects!$D$38),Projects!$B$38*(Assumptions!$B$10+Assumptions!$B$11+Assumptions!$B$12)/Projects!$D$38*0.95,0)-IF(AND(Projects!$G$38="Yes",CK$3=Projects!$C$38+Projects!$D$38-1),Projects!$B$38*(Assumptions!$B$10+Assumptions!$B$11+Assumptions!$B$12)*0.05,0)</f>
        <v>0</v>
      </c>
      <c r="CL47" s="30" t="n">
        <f aca="false">IF(AND(Projects!$G$38="Yes",CL$3&gt;=Projects!$C$38,CL$3&lt;Projects!$C$38+Projects!$D$38),Projects!$B$38*INDEX(Curves!$B$4:$AR$4,1,CL$3-Projects!$C$38+1),0)-IF(AND(Projects!$G$38="Yes",CL$3&gt;=Projects!$C$38,CL$3&lt;Projects!$C$38+Projects!$D$38),Projects!$B$38*(Assumptions!$B$10+Assumptions!$B$11+Assumptions!$B$12)/Projects!$D$38*0.95,0)-IF(AND(Projects!$G$38="Yes",CL$3=Projects!$C$38+Projects!$D$38-1),Projects!$B$38*(Assumptions!$B$10+Assumptions!$B$11+Assumptions!$B$12)*0.05,0)</f>
        <v>0</v>
      </c>
      <c r="CM47" s="30" t="n">
        <f aca="false">IF(AND(Projects!$G$38="Yes",CM$3&gt;=Projects!$C$38,CM$3&lt;Projects!$C$38+Projects!$D$38),Projects!$B$38*INDEX(Curves!$B$4:$AR$4,1,CM$3-Projects!$C$38+1),0)-IF(AND(Projects!$G$38="Yes",CM$3&gt;=Projects!$C$38,CM$3&lt;Projects!$C$38+Projects!$D$38),Projects!$B$38*(Assumptions!$B$10+Assumptions!$B$11+Assumptions!$B$12)/Projects!$D$38*0.95,0)-IF(AND(Projects!$G$38="Yes",CM$3=Projects!$C$38+Projects!$D$38-1),Projects!$B$38*(Assumptions!$B$10+Assumptions!$B$11+Assumptions!$B$12)*0.05,0)</f>
        <v>0</v>
      </c>
      <c r="CN47" s="30" t="n">
        <f aca="false">IF(AND(Projects!$G$38="Yes",CN$3&gt;=Projects!$C$38,CN$3&lt;Projects!$C$38+Projects!$D$38),Projects!$B$38*INDEX(Curves!$B$4:$AR$4,1,CN$3-Projects!$C$38+1),0)-IF(AND(Projects!$G$38="Yes",CN$3&gt;=Projects!$C$38,CN$3&lt;Projects!$C$38+Projects!$D$38),Projects!$B$38*(Assumptions!$B$10+Assumptions!$B$11+Assumptions!$B$12)/Projects!$D$38*0.95,0)-IF(AND(Projects!$G$38="Yes",CN$3=Projects!$C$38+Projects!$D$38-1),Projects!$B$38*(Assumptions!$B$10+Assumptions!$B$11+Assumptions!$B$12)*0.05,0)</f>
        <v>0</v>
      </c>
      <c r="CO47" s="30" t="n">
        <f aca="false">IF(AND(Projects!$G$38="Yes",CO$3&gt;=Projects!$C$38,CO$3&lt;Projects!$C$38+Projects!$D$38),Projects!$B$38*INDEX(Curves!$B$4:$AR$4,1,CO$3-Projects!$C$38+1),0)-IF(AND(Projects!$G$38="Yes",CO$3&gt;=Projects!$C$38,CO$3&lt;Projects!$C$38+Projects!$D$38),Projects!$B$38*(Assumptions!$B$10+Assumptions!$B$11+Assumptions!$B$12)/Projects!$D$38*0.95,0)-IF(AND(Projects!$G$38="Yes",CO$3=Projects!$C$38+Projects!$D$38-1),Projects!$B$38*(Assumptions!$B$10+Assumptions!$B$11+Assumptions!$B$12)*0.05,0)</f>
        <v>0</v>
      </c>
      <c r="CP47" s="30" t="n">
        <f aca="false">IF(AND(Projects!$G$38="Yes",CP$3&gt;=Projects!$C$38,CP$3&lt;Projects!$C$38+Projects!$D$38),Projects!$B$38*INDEX(Curves!$B$4:$AR$4,1,CP$3-Projects!$C$38+1),0)-IF(AND(Projects!$G$38="Yes",CP$3&gt;=Projects!$C$38,CP$3&lt;Projects!$C$38+Projects!$D$38),Projects!$B$38*(Assumptions!$B$10+Assumptions!$B$11+Assumptions!$B$12)/Projects!$D$38*0.95,0)-IF(AND(Projects!$G$38="Yes",CP$3=Projects!$C$38+Projects!$D$38-1),Projects!$B$38*(Assumptions!$B$10+Assumptions!$B$11+Assumptions!$B$12)*0.05,0)</f>
        <v>0</v>
      </c>
      <c r="CQ47" s="30" t="n">
        <f aca="false">IF(AND(Projects!$G$38="Yes",CQ$3&gt;=Projects!$C$38,CQ$3&lt;Projects!$C$38+Projects!$D$38),Projects!$B$38*INDEX(Curves!$B$4:$AR$4,1,CQ$3-Projects!$C$38+1),0)-IF(AND(Projects!$G$38="Yes",CQ$3&gt;=Projects!$C$38,CQ$3&lt;Projects!$C$38+Projects!$D$38),Projects!$B$38*(Assumptions!$B$10+Assumptions!$B$11+Assumptions!$B$12)/Projects!$D$38*0.95,0)-IF(AND(Projects!$G$38="Yes",CQ$3=Projects!$C$38+Projects!$D$38-1),Projects!$B$38*(Assumptions!$B$10+Assumptions!$B$11+Assumptions!$B$12)*0.05,0)</f>
        <v>0</v>
      </c>
      <c r="CR47" s="30" t="n">
        <f aca="false">IF(AND(Projects!$G$38="Yes",CR$3&gt;=Projects!$C$38,CR$3&lt;Projects!$C$38+Projects!$D$38),Projects!$B$38*INDEX(Curves!$B$4:$AR$4,1,CR$3-Projects!$C$38+1),0)-IF(AND(Projects!$G$38="Yes",CR$3&gt;=Projects!$C$38,CR$3&lt;Projects!$C$38+Projects!$D$38),Projects!$B$38*(Assumptions!$B$10+Assumptions!$B$11+Assumptions!$B$12)/Projects!$D$38*0.95,0)-IF(AND(Projects!$G$38="Yes",CR$3=Projects!$C$38+Projects!$D$38-1),Projects!$B$38*(Assumptions!$B$10+Assumptions!$B$11+Assumptions!$B$12)*0.05,0)</f>
        <v>0</v>
      </c>
      <c r="CS47" s="30" t="n">
        <f aca="false">IF(AND(Projects!$G$38="Yes",CS$3&gt;=Projects!$C$38,CS$3&lt;Projects!$C$38+Projects!$D$38),Projects!$B$38*INDEX(Curves!$B$4:$AR$4,1,CS$3-Projects!$C$38+1),0)-IF(AND(Projects!$G$38="Yes",CS$3&gt;=Projects!$C$38,CS$3&lt;Projects!$C$38+Projects!$D$38),Projects!$B$38*(Assumptions!$B$10+Assumptions!$B$11+Assumptions!$B$12)/Projects!$D$38*0.95,0)-IF(AND(Projects!$G$38="Yes",CS$3=Projects!$C$38+Projects!$D$38-1),Projects!$B$38*(Assumptions!$B$10+Assumptions!$B$11+Assumptions!$B$12)*0.05,0)</f>
        <v>0</v>
      </c>
      <c r="CT47" s="30" t="n">
        <f aca="false">IF(AND(Projects!$G$38="Yes",CT$3&gt;=Projects!$C$38,CT$3&lt;Projects!$C$38+Projects!$D$38),Projects!$B$38*INDEX(Curves!$B$4:$AR$4,1,CT$3-Projects!$C$38+1),0)-IF(AND(Projects!$G$38="Yes",CT$3&gt;=Projects!$C$38,CT$3&lt;Projects!$C$38+Projects!$D$38),Projects!$B$38*(Assumptions!$B$10+Assumptions!$B$11+Assumptions!$B$12)/Projects!$D$38*0.95,0)-IF(AND(Projects!$G$38="Yes",CT$3=Projects!$C$38+Projects!$D$38-1),Projects!$B$38*(Assumptions!$B$10+Assumptions!$B$11+Assumptions!$B$12)*0.05,0)</f>
        <v>0</v>
      </c>
      <c r="CU47" s="30" t="n">
        <f aca="false">IF(AND(Projects!$G$38="Yes",CU$3&gt;=Projects!$C$38,CU$3&lt;Projects!$C$38+Projects!$D$38),Projects!$B$38*INDEX(Curves!$B$4:$AR$4,1,CU$3-Projects!$C$38+1),0)-IF(AND(Projects!$G$38="Yes",CU$3&gt;=Projects!$C$38,CU$3&lt;Projects!$C$38+Projects!$D$38),Projects!$B$38*(Assumptions!$B$10+Assumptions!$B$11+Assumptions!$B$12)/Projects!$D$38*0.95,0)-IF(AND(Projects!$G$38="Yes",CU$3=Projects!$C$38+Projects!$D$38-1),Projects!$B$38*(Assumptions!$B$10+Assumptions!$B$11+Assumptions!$B$12)*0.05,0)</f>
        <v>0</v>
      </c>
      <c r="CV47" s="30" t="n">
        <f aca="false">IF(AND(Projects!$G$38="Yes",CV$3&gt;=Projects!$C$38,CV$3&lt;Projects!$C$38+Projects!$D$38),Projects!$B$38*INDEX(Curves!$B$4:$AR$4,1,CV$3-Projects!$C$38+1),0)-IF(AND(Projects!$G$38="Yes",CV$3&gt;=Projects!$C$38,CV$3&lt;Projects!$C$38+Projects!$D$38),Projects!$B$38*(Assumptions!$B$10+Assumptions!$B$11+Assumptions!$B$12)/Projects!$D$38*0.95,0)-IF(AND(Projects!$G$38="Yes",CV$3=Projects!$C$38+Projects!$D$38-1),Projects!$B$38*(Assumptions!$B$10+Assumptions!$B$11+Assumptions!$B$12)*0.05,0)</f>
        <v>0</v>
      </c>
      <c r="CW47" s="30" t="n">
        <f aca="false">IF(AND(Projects!$G$38="Yes",CW$3&gt;=Projects!$C$38,CW$3&lt;Projects!$C$38+Projects!$D$38),Projects!$B$38*INDEX(Curves!$B$4:$AR$4,1,CW$3-Projects!$C$38+1),0)-IF(AND(Projects!$G$38="Yes",CW$3&gt;=Projects!$C$38,CW$3&lt;Projects!$C$38+Projects!$D$38),Projects!$B$38*(Assumptions!$B$10+Assumptions!$B$11+Assumptions!$B$12)/Projects!$D$38*0.95,0)-IF(AND(Projects!$G$38="Yes",CW$3=Projects!$C$38+Projects!$D$38-1),Projects!$B$38*(Assumptions!$B$10+Assumptions!$B$11+Assumptions!$B$12)*0.05,0)</f>
        <v>0</v>
      </c>
      <c r="CX47" s="30" t="n">
        <f aca="false">IF(AND(Projects!$G$38="Yes",CX$3&gt;=Projects!$C$38,CX$3&lt;Projects!$C$38+Projects!$D$38),Projects!$B$38*INDEX(Curves!$B$4:$AR$4,1,CX$3-Projects!$C$38+1),0)-IF(AND(Projects!$G$38="Yes",CX$3&gt;=Projects!$C$38,CX$3&lt;Projects!$C$38+Projects!$D$38),Projects!$B$38*(Assumptions!$B$10+Assumptions!$B$11+Assumptions!$B$12)/Projects!$D$38*0.95,0)-IF(AND(Projects!$G$38="Yes",CX$3=Projects!$C$38+Projects!$D$38-1),Projects!$B$38*(Assumptions!$B$10+Assumptions!$B$11+Assumptions!$B$12)*0.05,0)</f>
        <v>0</v>
      </c>
      <c r="CY47" s="30" t="n">
        <f aca="false">IF(AND(Projects!$G$38="Yes",CY$3&gt;=Projects!$C$38,CY$3&lt;Projects!$C$38+Projects!$D$38),Projects!$B$38*INDEX(Curves!$B$4:$AR$4,1,CY$3-Projects!$C$38+1),0)-IF(AND(Projects!$G$38="Yes",CY$3&gt;=Projects!$C$38,CY$3&lt;Projects!$C$38+Projects!$D$38),Projects!$B$38*(Assumptions!$B$10+Assumptions!$B$11+Assumptions!$B$12)/Projects!$D$38*0.95,0)-IF(AND(Projects!$G$38="Yes",CY$3=Projects!$C$38+Projects!$D$38-1),Projects!$B$38*(Assumptions!$B$10+Assumptions!$B$11+Assumptions!$B$12)*0.05,0)</f>
        <v>0</v>
      </c>
      <c r="CZ47" s="30" t="n">
        <f aca="false">IF(AND(Projects!$G$38="Yes",CZ$3&gt;=Projects!$C$38,CZ$3&lt;Projects!$C$38+Projects!$D$38),Projects!$B$38*INDEX(Curves!$B$4:$AR$4,1,CZ$3-Projects!$C$38+1),0)-IF(AND(Projects!$G$38="Yes",CZ$3&gt;=Projects!$C$38,CZ$3&lt;Projects!$C$38+Projects!$D$38),Projects!$B$38*(Assumptions!$B$10+Assumptions!$B$11+Assumptions!$B$12)/Projects!$D$38*0.95,0)-IF(AND(Projects!$G$38="Yes",CZ$3=Projects!$C$38+Projects!$D$38-1),Projects!$B$38*(Assumptions!$B$10+Assumptions!$B$11+Assumptions!$B$12)*0.05,0)</f>
        <v>0</v>
      </c>
      <c r="DA47" s="30" t="n">
        <f aca="false">IF(AND(Projects!$G$38="Yes",DA$3&gt;=Projects!$C$38,DA$3&lt;Projects!$C$38+Projects!$D$38),Projects!$B$38*INDEX(Curves!$B$4:$AR$4,1,DA$3-Projects!$C$38+1),0)-IF(AND(Projects!$G$38="Yes",DA$3&gt;=Projects!$C$38,DA$3&lt;Projects!$C$38+Projects!$D$38),Projects!$B$38*(Assumptions!$B$10+Assumptions!$B$11+Assumptions!$B$12)/Projects!$D$38*0.95,0)-IF(AND(Projects!$G$38="Yes",DA$3=Projects!$C$38+Projects!$D$38-1),Projects!$B$38*(Assumptions!$B$10+Assumptions!$B$11+Assumptions!$B$12)*0.05,0)</f>
        <v>0</v>
      </c>
      <c r="DB47" s="30" t="n">
        <f aca="false">IF(AND(Projects!$G$38="Yes",DB$3&gt;=Projects!$C$38,DB$3&lt;Projects!$C$38+Projects!$D$38),Projects!$B$38*INDEX(Curves!$B$4:$AR$4,1,DB$3-Projects!$C$38+1),0)-IF(AND(Projects!$G$38="Yes",DB$3&gt;=Projects!$C$38,DB$3&lt;Projects!$C$38+Projects!$D$38),Projects!$B$38*(Assumptions!$B$10+Assumptions!$B$11+Assumptions!$B$12)/Projects!$D$38*0.95,0)-IF(AND(Projects!$G$38="Yes",DB$3=Projects!$C$38+Projects!$D$38-1),Projects!$B$38*(Assumptions!$B$10+Assumptions!$B$11+Assumptions!$B$12)*0.05,0)</f>
        <v>0</v>
      </c>
      <c r="DC47" s="30" t="n">
        <f aca="false">IF(AND(Projects!$G$38="Yes",DC$3&gt;=Projects!$C$38,DC$3&lt;Projects!$C$38+Projects!$D$38),Projects!$B$38*INDEX(Curves!$B$4:$AR$4,1,DC$3-Projects!$C$38+1),0)-IF(AND(Projects!$G$38="Yes",DC$3&gt;=Projects!$C$38,DC$3&lt;Projects!$C$38+Projects!$D$38),Projects!$B$38*(Assumptions!$B$10+Assumptions!$B$11+Assumptions!$B$12)/Projects!$D$38*0.95,0)-IF(AND(Projects!$G$38="Yes",DC$3=Projects!$C$38+Projects!$D$38-1),Projects!$B$38*(Assumptions!$B$10+Assumptions!$B$11+Assumptions!$B$12)*0.05,0)</f>
        <v>0</v>
      </c>
      <c r="DD47" s="30" t="n">
        <f aca="false">IF(AND(Projects!$G$38="Yes",DD$3&gt;=Projects!$C$38,DD$3&lt;Projects!$C$38+Projects!$D$38),Projects!$B$38*INDEX(Curves!$B$4:$AR$4,1,DD$3-Projects!$C$38+1),0)-IF(AND(Projects!$G$38="Yes",DD$3&gt;=Projects!$C$38,DD$3&lt;Projects!$C$38+Projects!$D$38),Projects!$B$38*(Assumptions!$B$10+Assumptions!$B$11+Assumptions!$B$12)/Projects!$D$38*0.95,0)-IF(AND(Projects!$G$38="Yes",DD$3=Projects!$C$38+Projects!$D$38-1),Projects!$B$38*(Assumptions!$B$10+Assumptions!$B$11+Assumptions!$B$12)*0.05,0)</f>
        <v>0</v>
      </c>
      <c r="DE47" s="30" t="n">
        <f aca="false">IF(AND(Projects!$G$38="Yes",DE$3&gt;=Projects!$C$38,DE$3&lt;Projects!$C$38+Projects!$D$38),Projects!$B$38*INDEX(Curves!$B$4:$AR$4,1,DE$3-Projects!$C$38+1),0)-IF(AND(Projects!$G$38="Yes",DE$3&gt;=Projects!$C$38,DE$3&lt;Projects!$C$38+Projects!$D$38),Projects!$B$38*(Assumptions!$B$10+Assumptions!$B$11+Assumptions!$B$12)/Projects!$D$38*0.95,0)-IF(AND(Projects!$G$38="Yes",DE$3=Projects!$C$38+Projects!$D$38-1),Projects!$B$38*(Assumptions!$B$10+Assumptions!$B$11+Assumptions!$B$12)*0.05,0)</f>
        <v>0</v>
      </c>
    </row>
    <row r="48" customFormat="false" ht="15" hidden="true" customHeight="true" outlineLevel="1" collapsed="false">
      <c r="A48" s="32" t="s">
        <v>42</v>
      </c>
      <c r="B48" s="30" t="n">
        <v>0</v>
      </c>
      <c r="C48" s="30" t="n">
        <v>0</v>
      </c>
      <c r="D48" s="30" t="n">
        <v>0</v>
      </c>
      <c r="E48" s="30" t="n">
        <v>0</v>
      </c>
      <c r="F48" s="30" t="n">
        <f aca="false">IF(AND(Projects!$G$39="Yes",F$3&gt;=Projects!$C$39,F$3&lt;Projects!$C$39+Projects!$D$39),Projects!$B$39*INDEX(Curves!$B$4:$AR$4,1,F$3-Projects!$C$39+1),0)-IF(AND(Projects!$G$39="Yes",F$3&gt;=Projects!$C$39,F$3&lt;Projects!$C$39+Projects!$D$39),Projects!$B$39*(Assumptions!$B$10+Assumptions!$B$11+Assumptions!$B$12)/Projects!$D$39*0.95,0)-IF(AND(Projects!$G$39="Yes",F$3=Projects!$C$39+Projects!$D$39-1),Projects!$B$39*(Assumptions!$B$10+Assumptions!$B$11+Assumptions!$B$12)*0.05,0)</f>
        <v>0</v>
      </c>
      <c r="G48" s="30" t="n">
        <f aca="false">IF(AND(Projects!$G$39="Yes",G$3&gt;=Projects!$C$39,G$3&lt;Projects!$C$39+Projects!$D$39),Projects!$B$39*INDEX(Curves!$B$4:$AR$4,1,G$3-Projects!$C$39+1),0)-IF(AND(Projects!$G$39="Yes",G$3&gt;=Projects!$C$39,G$3&lt;Projects!$C$39+Projects!$D$39),Projects!$B$39*(Assumptions!$B$10+Assumptions!$B$11+Assumptions!$B$12)/Projects!$D$39*0.95,0)-IF(AND(Projects!$G$39="Yes",G$3=Projects!$C$39+Projects!$D$39-1),Projects!$B$39*(Assumptions!$B$10+Assumptions!$B$11+Assumptions!$B$12)*0.05,0)</f>
        <v>0</v>
      </c>
      <c r="H48" s="30" t="n">
        <f aca="false">IF(AND(Projects!$G$39="Yes",H$3&gt;=Projects!$C$39,H$3&lt;Projects!$C$39+Projects!$D$39),Projects!$B$39*INDEX(Curves!$B$4:$AR$4,1,H$3-Projects!$C$39+1),0)-IF(AND(Projects!$G$39="Yes",H$3&gt;=Projects!$C$39,H$3&lt;Projects!$C$39+Projects!$D$39),Projects!$B$39*(Assumptions!$B$10+Assumptions!$B$11+Assumptions!$B$12)/Projects!$D$39*0.95,0)-IF(AND(Projects!$G$39="Yes",H$3=Projects!$C$39+Projects!$D$39-1),Projects!$B$39*(Assumptions!$B$10+Assumptions!$B$11+Assumptions!$B$12)*0.05,0)</f>
        <v>0</v>
      </c>
      <c r="I48" s="30" t="n">
        <f aca="false">IF(AND(Projects!$G$39="Yes",I$3&gt;=Projects!$C$39,I$3&lt;Projects!$C$39+Projects!$D$39),Projects!$B$39*INDEX(Curves!$B$4:$AR$4,1,I$3-Projects!$C$39+1),0)-IF(AND(Projects!$G$39="Yes",I$3&gt;=Projects!$C$39,I$3&lt;Projects!$C$39+Projects!$D$39),Projects!$B$39*(Assumptions!$B$10+Assumptions!$B$11+Assumptions!$B$12)/Projects!$D$39*0.95,0)-IF(AND(Projects!$G$39="Yes",I$3=Projects!$C$39+Projects!$D$39-1),Projects!$B$39*(Assumptions!$B$10+Assumptions!$B$11+Assumptions!$B$12)*0.05,0)</f>
        <v>0</v>
      </c>
      <c r="J48" s="30" t="n">
        <f aca="false">IF(AND(Projects!$G$39="Yes",J$3&gt;=Projects!$C$39,J$3&lt;Projects!$C$39+Projects!$D$39),Projects!$B$39*INDEX(Curves!$B$4:$AR$4,1,J$3-Projects!$C$39+1),0)-IF(AND(Projects!$G$39="Yes",J$3&gt;=Projects!$C$39,J$3&lt;Projects!$C$39+Projects!$D$39),Projects!$B$39*(Assumptions!$B$10+Assumptions!$B$11+Assumptions!$B$12)/Projects!$D$39*0.95,0)-IF(AND(Projects!$G$39="Yes",J$3=Projects!$C$39+Projects!$D$39-1),Projects!$B$39*(Assumptions!$B$10+Assumptions!$B$11+Assumptions!$B$12)*0.05,0)</f>
        <v>0</v>
      </c>
      <c r="K48" s="30" t="n">
        <f aca="false">IF(AND(Projects!$G$39="Yes",K$3&gt;=Projects!$C$39,K$3&lt;Projects!$C$39+Projects!$D$39),Projects!$B$39*INDEX(Curves!$B$4:$AR$4,1,K$3-Projects!$C$39+1),0)-IF(AND(Projects!$G$39="Yes",K$3&gt;=Projects!$C$39,K$3&lt;Projects!$C$39+Projects!$D$39),Projects!$B$39*(Assumptions!$B$10+Assumptions!$B$11+Assumptions!$B$12)/Projects!$D$39*0.95,0)-IF(AND(Projects!$G$39="Yes",K$3=Projects!$C$39+Projects!$D$39-1),Projects!$B$39*(Assumptions!$B$10+Assumptions!$B$11+Assumptions!$B$12)*0.05,0)</f>
        <v>0</v>
      </c>
      <c r="L48" s="30" t="n">
        <f aca="false">IF(AND(Projects!$G$39="Yes",L$3&gt;=Projects!$C$39,L$3&lt;Projects!$C$39+Projects!$D$39),Projects!$B$39*INDEX(Curves!$B$4:$AR$4,1,L$3-Projects!$C$39+1),0)-IF(AND(Projects!$G$39="Yes",L$3&gt;=Projects!$C$39,L$3&lt;Projects!$C$39+Projects!$D$39),Projects!$B$39*(Assumptions!$B$10+Assumptions!$B$11+Assumptions!$B$12)/Projects!$D$39*0.95,0)-IF(AND(Projects!$G$39="Yes",L$3=Projects!$C$39+Projects!$D$39-1),Projects!$B$39*(Assumptions!$B$10+Assumptions!$B$11+Assumptions!$B$12)*0.05,0)</f>
        <v>0</v>
      </c>
      <c r="M48" s="30" t="n">
        <f aca="false">IF(AND(Projects!$G$39="Yes",M$3&gt;=Projects!$C$39,M$3&lt;Projects!$C$39+Projects!$D$39),Projects!$B$39*INDEX(Curves!$B$4:$AR$4,1,M$3-Projects!$C$39+1),0)-IF(AND(Projects!$G$39="Yes",M$3&gt;=Projects!$C$39,M$3&lt;Projects!$C$39+Projects!$D$39),Projects!$B$39*(Assumptions!$B$10+Assumptions!$B$11+Assumptions!$B$12)/Projects!$D$39*0.95,0)-IF(AND(Projects!$G$39="Yes",M$3=Projects!$C$39+Projects!$D$39-1),Projects!$B$39*(Assumptions!$B$10+Assumptions!$B$11+Assumptions!$B$12)*0.05,0)</f>
        <v>0</v>
      </c>
      <c r="N48" s="30" t="n">
        <f aca="false">IF(AND(Projects!$G$39="Yes",N$3&gt;=Projects!$C$39,N$3&lt;Projects!$C$39+Projects!$D$39),Projects!$B$39*INDEX(Curves!$B$4:$AR$4,1,N$3-Projects!$C$39+1),0)-IF(AND(Projects!$G$39="Yes",N$3&gt;=Projects!$C$39,N$3&lt;Projects!$C$39+Projects!$D$39),Projects!$B$39*(Assumptions!$B$10+Assumptions!$B$11+Assumptions!$B$12)/Projects!$D$39*0.95,0)-IF(AND(Projects!$G$39="Yes",N$3=Projects!$C$39+Projects!$D$39-1),Projects!$B$39*(Assumptions!$B$10+Assumptions!$B$11+Assumptions!$B$12)*0.05,0)</f>
        <v>0</v>
      </c>
      <c r="O48" s="30" t="n">
        <f aca="false">IF(AND(Projects!$G$39="Yes",O$3&gt;=Projects!$C$39,O$3&lt;Projects!$C$39+Projects!$D$39),Projects!$B$39*INDEX(Curves!$B$4:$AR$4,1,O$3-Projects!$C$39+1),0)-IF(AND(Projects!$G$39="Yes",O$3&gt;=Projects!$C$39,O$3&lt;Projects!$C$39+Projects!$D$39),Projects!$B$39*(Assumptions!$B$10+Assumptions!$B$11+Assumptions!$B$12)/Projects!$D$39*0.95,0)-IF(AND(Projects!$G$39="Yes",O$3=Projects!$C$39+Projects!$D$39-1),Projects!$B$39*(Assumptions!$B$10+Assumptions!$B$11+Assumptions!$B$12)*0.05,0)</f>
        <v>0</v>
      </c>
      <c r="P48" s="30" t="n">
        <f aca="false">IF(AND(Projects!$G$39="Yes",P$3&gt;=Projects!$C$39,P$3&lt;Projects!$C$39+Projects!$D$39),Projects!$B$39*INDEX(Curves!$B$4:$AR$4,1,P$3-Projects!$C$39+1),0)-IF(AND(Projects!$G$39="Yes",P$3&gt;=Projects!$C$39,P$3&lt;Projects!$C$39+Projects!$D$39),Projects!$B$39*(Assumptions!$B$10+Assumptions!$B$11+Assumptions!$B$12)/Projects!$D$39*0.95,0)-IF(AND(Projects!$G$39="Yes",P$3=Projects!$C$39+Projects!$D$39-1),Projects!$B$39*(Assumptions!$B$10+Assumptions!$B$11+Assumptions!$B$12)*0.05,0)</f>
        <v>0</v>
      </c>
      <c r="Q48" s="30" t="n">
        <f aca="false">IF(AND(Projects!$G$39="Yes",Q$3&gt;=Projects!$C$39,Q$3&lt;Projects!$C$39+Projects!$D$39),Projects!$B$39*INDEX(Curves!$B$4:$AR$4,1,Q$3-Projects!$C$39+1),0)-IF(AND(Projects!$G$39="Yes",Q$3&gt;=Projects!$C$39,Q$3&lt;Projects!$C$39+Projects!$D$39),Projects!$B$39*(Assumptions!$B$10+Assumptions!$B$11+Assumptions!$B$12)/Projects!$D$39*0.95,0)-IF(AND(Projects!$G$39="Yes",Q$3=Projects!$C$39+Projects!$D$39-1),Projects!$B$39*(Assumptions!$B$10+Assumptions!$B$11+Assumptions!$B$12)*0.05,0)</f>
        <v>0</v>
      </c>
      <c r="R48" s="30" t="n">
        <f aca="false">IF(AND(Projects!$G$39="Yes",R$3&gt;=Projects!$C$39,R$3&lt;Projects!$C$39+Projects!$D$39),Projects!$B$39*INDEX(Curves!$B$4:$AR$4,1,R$3-Projects!$C$39+1),0)-IF(AND(Projects!$G$39="Yes",R$3&gt;=Projects!$C$39,R$3&lt;Projects!$C$39+Projects!$D$39),Projects!$B$39*(Assumptions!$B$10+Assumptions!$B$11+Assumptions!$B$12)/Projects!$D$39*0.95,0)-IF(AND(Projects!$G$39="Yes",R$3=Projects!$C$39+Projects!$D$39-1),Projects!$B$39*(Assumptions!$B$10+Assumptions!$B$11+Assumptions!$B$12)*0.05,0)</f>
        <v>0</v>
      </c>
      <c r="S48" s="30" t="n">
        <f aca="false">IF(AND(Projects!$G$39="Yes",S$3&gt;=Projects!$C$39,S$3&lt;Projects!$C$39+Projects!$D$39),Projects!$B$39*INDEX(Curves!$B$4:$AR$4,1,S$3-Projects!$C$39+1),0)-IF(AND(Projects!$G$39="Yes",S$3&gt;=Projects!$C$39,S$3&lt;Projects!$C$39+Projects!$D$39),Projects!$B$39*(Assumptions!$B$10+Assumptions!$B$11+Assumptions!$B$12)/Projects!$D$39*0.95,0)-IF(AND(Projects!$G$39="Yes",S$3=Projects!$C$39+Projects!$D$39-1),Projects!$B$39*(Assumptions!$B$10+Assumptions!$B$11+Assumptions!$B$12)*0.05,0)</f>
        <v>0</v>
      </c>
      <c r="T48" s="30" t="n">
        <f aca="false">IF(AND(Projects!$G$39="Yes",T$3&gt;=Projects!$C$39,T$3&lt;Projects!$C$39+Projects!$D$39),Projects!$B$39*INDEX(Curves!$B$4:$AR$4,1,T$3-Projects!$C$39+1),0)-IF(AND(Projects!$G$39="Yes",T$3&gt;=Projects!$C$39,T$3&lt;Projects!$C$39+Projects!$D$39),Projects!$B$39*(Assumptions!$B$10+Assumptions!$B$11+Assumptions!$B$12)/Projects!$D$39*0.95,0)-IF(AND(Projects!$G$39="Yes",T$3=Projects!$C$39+Projects!$D$39-1),Projects!$B$39*(Assumptions!$B$10+Assumptions!$B$11+Assumptions!$B$12)*0.05,0)</f>
        <v>0</v>
      </c>
      <c r="U48" s="30" t="n">
        <f aca="false">IF(AND(Projects!$G$39="Yes",U$3&gt;=Projects!$C$39,U$3&lt;Projects!$C$39+Projects!$D$39),Projects!$B$39*INDEX(Curves!$B$4:$AR$4,1,U$3-Projects!$C$39+1),0)-IF(AND(Projects!$G$39="Yes",U$3&gt;=Projects!$C$39,U$3&lt;Projects!$C$39+Projects!$D$39),Projects!$B$39*(Assumptions!$B$10+Assumptions!$B$11+Assumptions!$B$12)/Projects!$D$39*0.95,0)-IF(AND(Projects!$G$39="Yes",U$3=Projects!$C$39+Projects!$D$39-1),Projects!$B$39*(Assumptions!$B$10+Assumptions!$B$11+Assumptions!$B$12)*0.05,0)</f>
        <v>0</v>
      </c>
      <c r="V48" s="30" t="n">
        <f aca="false">IF(AND(Projects!$G$39="Yes",V$3&gt;=Projects!$C$39,V$3&lt;Projects!$C$39+Projects!$D$39),Projects!$B$39*INDEX(Curves!$B$4:$AR$4,1,V$3-Projects!$C$39+1),0)-IF(AND(Projects!$G$39="Yes",V$3&gt;=Projects!$C$39,V$3&lt;Projects!$C$39+Projects!$D$39),Projects!$B$39*(Assumptions!$B$10+Assumptions!$B$11+Assumptions!$B$12)/Projects!$D$39*0.95,0)-IF(AND(Projects!$G$39="Yes",V$3=Projects!$C$39+Projects!$D$39-1),Projects!$B$39*(Assumptions!$B$10+Assumptions!$B$11+Assumptions!$B$12)*0.05,0)</f>
        <v>0</v>
      </c>
      <c r="W48" s="30" t="n">
        <f aca="false">IF(AND(Projects!$G$39="Yes",W$3&gt;=Projects!$C$39,W$3&lt;Projects!$C$39+Projects!$D$39),Projects!$B$39*INDEX(Curves!$B$4:$AR$4,1,W$3-Projects!$C$39+1),0)-IF(AND(Projects!$G$39="Yes",W$3&gt;=Projects!$C$39,W$3&lt;Projects!$C$39+Projects!$D$39),Projects!$B$39*(Assumptions!$B$10+Assumptions!$B$11+Assumptions!$B$12)/Projects!$D$39*0.95,0)-IF(AND(Projects!$G$39="Yes",W$3=Projects!$C$39+Projects!$D$39-1),Projects!$B$39*(Assumptions!$B$10+Assumptions!$B$11+Assumptions!$B$12)*0.05,0)</f>
        <v>0</v>
      </c>
      <c r="X48" s="30" t="n">
        <f aca="false">IF(AND(Projects!$G$39="Yes",X$3&gt;=Projects!$C$39,X$3&lt;Projects!$C$39+Projects!$D$39),Projects!$B$39*INDEX(Curves!$B$4:$AR$4,1,X$3-Projects!$C$39+1),0)-IF(AND(Projects!$G$39="Yes",X$3&gt;=Projects!$C$39,X$3&lt;Projects!$C$39+Projects!$D$39),Projects!$B$39*(Assumptions!$B$10+Assumptions!$B$11+Assumptions!$B$12)/Projects!$D$39*0.95,0)-IF(AND(Projects!$G$39="Yes",X$3=Projects!$C$39+Projects!$D$39-1),Projects!$B$39*(Assumptions!$B$10+Assumptions!$B$11+Assumptions!$B$12)*0.05,0)</f>
        <v>0</v>
      </c>
      <c r="Y48" s="30" t="n">
        <f aca="false">IF(AND(Projects!$G$39="Yes",Y$3&gt;=Projects!$C$39,Y$3&lt;Projects!$C$39+Projects!$D$39),Projects!$B$39*INDEX(Curves!$B$4:$AR$4,1,Y$3-Projects!$C$39+1),0)-IF(AND(Projects!$G$39="Yes",Y$3&gt;=Projects!$C$39,Y$3&lt;Projects!$C$39+Projects!$D$39),Projects!$B$39*(Assumptions!$B$10+Assumptions!$B$11+Assumptions!$B$12)/Projects!$D$39*0.95,0)-IF(AND(Projects!$G$39="Yes",Y$3=Projects!$C$39+Projects!$D$39-1),Projects!$B$39*(Assumptions!$B$10+Assumptions!$B$11+Assumptions!$B$12)*0.05,0)</f>
        <v>0</v>
      </c>
      <c r="Z48" s="30" t="n">
        <f aca="false">IF(AND(Projects!$G$39="Yes",Z$3&gt;=Projects!$C$39,Z$3&lt;Projects!$C$39+Projects!$D$39),Projects!$B$39*INDEX(Curves!$B$4:$AR$4,1,Z$3-Projects!$C$39+1),0)-IF(AND(Projects!$G$39="Yes",Z$3&gt;=Projects!$C$39,Z$3&lt;Projects!$C$39+Projects!$D$39),Projects!$B$39*(Assumptions!$B$10+Assumptions!$B$11+Assumptions!$B$12)/Projects!$D$39*0.95,0)-IF(AND(Projects!$G$39="Yes",Z$3=Projects!$C$39+Projects!$D$39-1),Projects!$B$39*(Assumptions!$B$10+Assumptions!$B$11+Assumptions!$B$12)*0.05,0)</f>
        <v>0</v>
      </c>
      <c r="AA48" s="30" t="n">
        <f aca="false">IF(AND(Projects!$G$39="Yes",AA$3&gt;=Projects!$C$39,AA$3&lt;Projects!$C$39+Projects!$D$39),Projects!$B$39*INDEX(Curves!$B$4:$AR$4,1,AA$3-Projects!$C$39+1),0)-IF(AND(Projects!$G$39="Yes",AA$3&gt;=Projects!$C$39,AA$3&lt;Projects!$C$39+Projects!$D$39),Projects!$B$39*(Assumptions!$B$10+Assumptions!$B$11+Assumptions!$B$12)/Projects!$D$39*0.95,0)-IF(AND(Projects!$G$39="Yes",AA$3=Projects!$C$39+Projects!$D$39-1),Projects!$B$39*(Assumptions!$B$10+Assumptions!$B$11+Assumptions!$B$12)*0.05,0)</f>
        <v>0</v>
      </c>
      <c r="AB48" s="30" t="n">
        <f aca="false">IF(AND(Projects!$G$39="Yes",AB$3&gt;=Projects!$C$39,AB$3&lt;Projects!$C$39+Projects!$D$39),Projects!$B$39*INDEX(Curves!$B$4:$AR$4,1,AB$3-Projects!$C$39+1),0)-IF(AND(Projects!$G$39="Yes",AB$3&gt;=Projects!$C$39,AB$3&lt;Projects!$C$39+Projects!$D$39),Projects!$B$39*(Assumptions!$B$10+Assumptions!$B$11+Assumptions!$B$12)/Projects!$D$39*0.95,0)-IF(AND(Projects!$G$39="Yes",AB$3=Projects!$C$39+Projects!$D$39-1),Projects!$B$39*(Assumptions!$B$10+Assumptions!$B$11+Assumptions!$B$12)*0.05,0)</f>
        <v>0</v>
      </c>
      <c r="AC48" s="30" t="n">
        <f aca="false">IF(AND(Projects!$G$39="Yes",AC$3&gt;=Projects!$C$39,AC$3&lt;Projects!$C$39+Projects!$D$39),Projects!$B$39*INDEX(Curves!$B$4:$AR$4,1,AC$3-Projects!$C$39+1),0)-IF(AND(Projects!$G$39="Yes",AC$3&gt;=Projects!$C$39,AC$3&lt;Projects!$C$39+Projects!$D$39),Projects!$B$39*(Assumptions!$B$10+Assumptions!$B$11+Assumptions!$B$12)/Projects!$D$39*0.95,0)-IF(AND(Projects!$G$39="Yes",AC$3=Projects!$C$39+Projects!$D$39-1),Projects!$B$39*(Assumptions!$B$10+Assumptions!$B$11+Assumptions!$B$12)*0.05,0)</f>
        <v>0</v>
      </c>
      <c r="AD48" s="30" t="n">
        <f aca="false">IF(AND(Projects!$G$39="Yes",AD$3&gt;=Projects!$C$39,AD$3&lt;Projects!$C$39+Projects!$D$39),Projects!$B$39*INDEX(Curves!$B$4:$AR$4,1,AD$3-Projects!$C$39+1),0)-IF(AND(Projects!$G$39="Yes",AD$3&gt;=Projects!$C$39,AD$3&lt;Projects!$C$39+Projects!$D$39),Projects!$B$39*(Assumptions!$B$10+Assumptions!$B$11+Assumptions!$B$12)/Projects!$D$39*0.95,0)-IF(AND(Projects!$G$39="Yes",AD$3=Projects!$C$39+Projects!$D$39-1),Projects!$B$39*(Assumptions!$B$10+Assumptions!$B$11+Assumptions!$B$12)*0.05,0)</f>
        <v>0</v>
      </c>
      <c r="AE48" s="30" t="n">
        <f aca="false">IF(AND(Projects!$G$39="Yes",AE$3&gt;=Projects!$C$39,AE$3&lt;Projects!$C$39+Projects!$D$39),Projects!$B$39*INDEX(Curves!$B$4:$AR$4,1,AE$3-Projects!$C$39+1),0)-IF(AND(Projects!$G$39="Yes",AE$3&gt;=Projects!$C$39,AE$3&lt;Projects!$C$39+Projects!$D$39),Projects!$B$39*(Assumptions!$B$10+Assumptions!$B$11+Assumptions!$B$12)/Projects!$D$39*0.95,0)-IF(AND(Projects!$G$39="Yes",AE$3=Projects!$C$39+Projects!$D$39-1),Projects!$B$39*(Assumptions!$B$10+Assumptions!$B$11+Assumptions!$B$12)*0.05,0)</f>
        <v>0</v>
      </c>
      <c r="AF48" s="30" t="n">
        <f aca="false">IF(AND(Projects!$G$39="Yes",AF$3&gt;=Projects!$C$39,AF$3&lt;Projects!$C$39+Projects!$D$39),Projects!$B$39*INDEX(Curves!$B$4:$AR$4,1,AF$3-Projects!$C$39+1),0)-IF(AND(Projects!$G$39="Yes",AF$3&gt;=Projects!$C$39,AF$3&lt;Projects!$C$39+Projects!$D$39),Projects!$B$39*(Assumptions!$B$10+Assumptions!$B$11+Assumptions!$B$12)/Projects!$D$39*0.95,0)-IF(AND(Projects!$G$39="Yes",AF$3=Projects!$C$39+Projects!$D$39-1),Projects!$B$39*(Assumptions!$B$10+Assumptions!$B$11+Assumptions!$B$12)*0.05,0)</f>
        <v>0</v>
      </c>
      <c r="AG48" s="30" t="n">
        <f aca="false">IF(AND(Projects!$G$39="Yes",AG$3&gt;=Projects!$C$39,AG$3&lt;Projects!$C$39+Projects!$D$39),Projects!$B$39*INDEX(Curves!$B$4:$AR$4,1,AG$3-Projects!$C$39+1),0)-IF(AND(Projects!$G$39="Yes",AG$3&gt;=Projects!$C$39,AG$3&lt;Projects!$C$39+Projects!$D$39),Projects!$B$39*(Assumptions!$B$10+Assumptions!$B$11+Assumptions!$B$12)/Projects!$D$39*0.95,0)-IF(AND(Projects!$G$39="Yes",AG$3=Projects!$C$39+Projects!$D$39-1),Projects!$B$39*(Assumptions!$B$10+Assumptions!$B$11+Assumptions!$B$12)*0.05,0)</f>
        <v>0</v>
      </c>
      <c r="AH48" s="30" t="n">
        <f aca="false">IF(AND(Projects!$G$39="Yes",AH$3&gt;=Projects!$C$39,AH$3&lt;Projects!$C$39+Projects!$D$39),Projects!$B$39*INDEX(Curves!$B$4:$AR$4,1,AH$3-Projects!$C$39+1),0)-IF(AND(Projects!$G$39="Yes",AH$3&gt;=Projects!$C$39,AH$3&lt;Projects!$C$39+Projects!$D$39),Projects!$B$39*(Assumptions!$B$10+Assumptions!$B$11+Assumptions!$B$12)/Projects!$D$39*0.95,0)-IF(AND(Projects!$G$39="Yes",AH$3=Projects!$C$39+Projects!$D$39-1),Projects!$B$39*(Assumptions!$B$10+Assumptions!$B$11+Assumptions!$B$12)*0.05,0)</f>
        <v>0</v>
      </c>
      <c r="AI48" s="30" t="n">
        <f aca="false">IF(AND(Projects!$G$39="Yes",AI$3&gt;=Projects!$C$39,AI$3&lt;Projects!$C$39+Projects!$D$39),Projects!$B$39*INDEX(Curves!$B$4:$AR$4,1,AI$3-Projects!$C$39+1),0)-IF(AND(Projects!$G$39="Yes",AI$3&gt;=Projects!$C$39,AI$3&lt;Projects!$C$39+Projects!$D$39),Projects!$B$39*(Assumptions!$B$10+Assumptions!$B$11+Assumptions!$B$12)/Projects!$D$39*0.95,0)-IF(AND(Projects!$G$39="Yes",AI$3=Projects!$C$39+Projects!$D$39-1),Projects!$B$39*(Assumptions!$B$10+Assumptions!$B$11+Assumptions!$B$12)*0.05,0)</f>
        <v>0</v>
      </c>
      <c r="AJ48" s="30" t="n">
        <f aca="false">IF(AND(Projects!$G$39="Yes",AJ$3&gt;=Projects!$C$39,AJ$3&lt;Projects!$C$39+Projects!$D$39),Projects!$B$39*INDEX(Curves!$B$4:$AR$4,1,AJ$3-Projects!$C$39+1),0)-IF(AND(Projects!$G$39="Yes",AJ$3&gt;=Projects!$C$39,AJ$3&lt;Projects!$C$39+Projects!$D$39),Projects!$B$39*(Assumptions!$B$10+Assumptions!$B$11+Assumptions!$B$12)/Projects!$D$39*0.95,0)-IF(AND(Projects!$G$39="Yes",AJ$3=Projects!$C$39+Projects!$D$39-1),Projects!$B$39*(Assumptions!$B$10+Assumptions!$B$11+Assumptions!$B$12)*0.05,0)</f>
        <v>0</v>
      </c>
      <c r="AK48" s="30" t="n">
        <f aca="false">IF(AND(Projects!$G$39="Yes",AK$3&gt;=Projects!$C$39,AK$3&lt;Projects!$C$39+Projects!$D$39),Projects!$B$39*INDEX(Curves!$B$4:$AR$4,1,AK$3-Projects!$C$39+1),0)-IF(AND(Projects!$G$39="Yes",AK$3&gt;=Projects!$C$39,AK$3&lt;Projects!$C$39+Projects!$D$39),Projects!$B$39*(Assumptions!$B$10+Assumptions!$B$11+Assumptions!$B$12)/Projects!$D$39*0.95,0)-IF(AND(Projects!$G$39="Yes",AK$3=Projects!$C$39+Projects!$D$39-1),Projects!$B$39*(Assumptions!$B$10+Assumptions!$B$11+Assumptions!$B$12)*0.05,0)</f>
        <v>0</v>
      </c>
      <c r="AL48" s="30" t="n">
        <f aca="false">IF(AND(Projects!$G$39="Yes",AL$3&gt;=Projects!$C$39,AL$3&lt;Projects!$C$39+Projects!$D$39),Projects!$B$39*INDEX(Curves!$B$4:$AR$4,1,AL$3-Projects!$C$39+1),0)-IF(AND(Projects!$G$39="Yes",AL$3&gt;=Projects!$C$39,AL$3&lt;Projects!$C$39+Projects!$D$39),Projects!$B$39*(Assumptions!$B$10+Assumptions!$B$11+Assumptions!$B$12)/Projects!$D$39*0.95,0)-IF(AND(Projects!$G$39="Yes",AL$3=Projects!$C$39+Projects!$D$39-1),Projects!$B$39*(Assumptions!$B$10+Assumptions!$B$11+Assumptions!$B$12)*0.05,0)</f>
        <v>0</v>
      </c>
      <c r="AM48" s="30" t="n">
        <f aca="false">IF(AND(Projects!$G$39="Yes",AM$3&gt;=Projects!$C$39,AM$3&lt;Projects!$C$39+Projects!$D$39),Projects!$B$39*INDEX(Curves!$B$4:$AR$4,1,AM$3-Projects!$C$39+1),0)-IF(AND(Projects!$G$39="Yes",AM$3&gt;=Projects!$C$39,AM$3&lt;Projects!$C$39+Projects!$D$39),Projects!$B$39*(Assumptions!$B$10+Assumptions!$B$11+Assumptions!$B$12)/Projects!$D$39*0.95,0)-IF(AND(Projects!$G$39="Yes",AM$3=Projects!$C$39+Projects!$D$39-1),Projects!$B$39*(Assumptions!$B$10+Assumptions!$B$11+Assumptions!$B$12)*0.05,0)</f>
        <v>0</v>
      </c>
      <c r="AN48" s="30" t="n">
        <f aca="false">IF(AND(Projects!$G$39="Yes",AN$3&gt;=Projects!$C$39,AN$3&lt;Projects!$C$39+Projects!$D$39),Projects!$B$39*INDEX(Curves!$B$4:$AR$4,1,AN$3-Projects!$C$39+1),0)-IF(AND(Projects!$G$39="Yes",AN$3&gt;=Projects!$C$39,AN$3&lt;Projects!$C$39+Projects!$D$39),Projects!$B$39*(Assumptions!$B$10+Assumptions!$B$11+Assumptions!$B$12)/Projects!$D$39*0.95,0)-IF(AND(Projects!$G$39="Yes",AN$3=Projects!$C$39+Projects!$D$39-1),Projects!$B$39*(Assumptions!$B$10+Assumptions!$B$11+Assumptions!$B$12)*0.05,0)</f>
        <v>0</v>
      </c>
      <c r="AO48" s="30" t="n">
        <f aca="false">IF(AND(Projects!$G$39="Yes",AO$3&gt;=Projects!$C$39,AO$3&lt;Projects!$C$39+Projects!$D$39),Projects!$B$39*INDEX(Curves!$B$4:$AR$4,1,AO$3-Projects!$C$39+1),0)-IF(AND(Projects!$G$39="Yes",AO$3&gt;=Projects!$C$39,AO$3&lt;Projects!$C$39+Projects!$D$39),Projects!$B$39*(Assumptions!$B$10+Assumptions!$B$11+Assumptions!$B$12)/Projects!$D$39*0.95,0)-IF(AND(Projects!$G$39="Yes",AO$3=Projects!$C$39+Projects!$D$39-1),Projects!$B$39*(Assumptions!$B$10+Assumptions!$B$11+Assumptions!$B$12)*0.05,0)</f>
        <v>0</v>
      </c>
      <c r="AP48" s="30" t="n">
        <f aca="false">IF(AND(Projects!$G$39="Yes",AP$3&gt;=Projects!$C$39,AP$3&lt;Projects!$C$39+Projects!$D$39),Projects!$B$39*INDEX(Curves!$B$4:$AR$4,1,AP$3-Projects!$C$39+1),0)-IF(AND(Projects!$G$39="Yes",AP$3&gt;=Projects!$C$39,AP$3&lt;Projects!$C$39+Projects!$D$39),Projects!$B$39*(Assumptions!$B$10+Assumptions!$B$11+Assumptions!$B$12)/Projects!$D$39*0.95,0)-IF(AND(Projects!$G$39="Yes",AP$3=Projects!$C$39+Projects!$D$39-1),Projects!$B$39*(Assumptions!$B$10+Assumptions!$B$11+Assumptions!$B$12)*0.05,0)</f>
        <v>0</v>
      </c>
      <c r="AQ48" s="30" t="n">
        <f aca="false">IF(AND(Projects!$G$39="Yes",AQ$3&gt;=Projects!$C$39,AQ$3&lt;Projects!$C$39+Projects!$D$39),Projects!$B$39*INDEX(Curves!$B$4:$AR$4,1,AQ$3-Projects!$C$39+1),0)-IF(AND(Projects!$G$39="Yes",AQ$3&gt;=Projects!$C$39,AQ$3&lt;Projects!$C$39+Projects!$D$39),Projects!$B$39*(Assumptions!$B$10+Assumptions!$B$11+Assumptions!$B$12)/Projects!$D$39*0.95,0)-IF(AND(Projects!$G$39="Yes",AQ$3=Projects!$C$39+Projects!$D$39-1),Projects!$B$39*(Assumptions!$B$10+Assumptions!$B$11+Assumptions!$B$12)*0.05,0)</f>
        <v>0</v>
      </c>
      <c r="AR48" s="30" t="n">
        <f aca="false">IF(AND(Projects!$G$39="Yes",AR$3&gt;=Projects!$C$39,AR$3&lt;Projects!$C$39+Projects!$D$39),Projects!$B$39*INDEX(Curves!$B$4:$AR$4,1,AR$3-Projects!$C$39+1),0)-IF(AND(Projects!$G$39="Yes",AR$3&gt;=Projects!$C$39,AR$3&lt;Projects!$C$39+Projects!$D$39),Projects!$B$39*(Assumptions!$B$10+Assumptions!$B$11+Assumptions!$B$12)/Projects!$D$39*0.95,0)-IF(AND(Projects!$G$39="Yes",AR$3=Projects!$C$39+Projects!$D$39-1),Projects!$B$39*(Assumptions!$B$10+Assumptions!$B$11+Assumptions!$B$12)*0.05,0)</f>
        <v>0</v>
      </c>
      <c r="AS48" s="30" t="n">
        <f aca="false">IF(AND(Projects!$G$39="Yes",AS$3&gt;=Projects!$C$39,AS$3&lt;Projects!$C$39+Projects!$D$39),Projects!$B$39*INDEX(Curves!$B$4:$AR$4,1,AS$3-Projects!$C$39+1),0)-IF(AND(Projects!$G$39="Yes",AS$3&gt;=Projects!$C$39,AS$3&lt;Projects!$C$39+Projects!$D$39),Projects!$B$39*(Assumptions!$B$10+Assumptions!$B$11+Assumptions!$B$12)/Projects!$D$39*0.95,0)-IF(AND(Projects!$G$39="Yes",AS$3=Projects!$C$39+Projects!$D$39-1),Projects!$B$39*(Assumptions!$B$10+Assumptions!$B$11+Assumptions!$B$12)*0.05,0)</f>
        <v>0</v>
      </c>
      <c r="AT48" s="30" t="n">
        <f aca="false">IF(AND(Projects!$G$39="Yes",AT$3&gt;=Projects!$C$39,AT$3&lt;Projects!$C$39+Projects!$D$39),Projects!$B$39*INDEX(Curves!$B$4:$AR$4,1,AT$3-Projects!$C$39+1),0)-IF(AND(Projects!$G$39="Yes",AT$3&gt;=Projects!$C$39,AT$3&lt;Projects!$C$39+Projects!$D$39),Projects!$B$39*(Assumptions!$B$10+Assumptions!$B$11+Assumptions!$B$12)/Projects!$D$39*0.95,0)-IF(AND(Projects!$G$39="Yes",AT$3=Projects!$C$39+Projects!$D$39-1),Projects!$B$39*(Assumptions!$B$10+Assumptions!$B$11+Assumptions!$B$12)*0.05,0)</f>
        <v>0</v>
      </c>
      <c r="AU48" s="30" t="n">
        <f aca="false">IF(AND(Projects!$G$39="Yes",AU$3&gt;=Projects!$C$39,AU$3&lt;Projects!$C$39+Projects!$D$39),Projects!$B$39*INDEX(Curves!$B$4:$AR$4,1,AU$3-Projects!$C$39+1),0)-IF(AND(Projects!$G$39="Yes",AU$3&gt;=Projects!$C$39,AU$3&lt;Projects!$C$39+Projects!$D$39),Projects!$B$39*(Assumptions!$B$10+Assumptions!$B$11+Assumptions!$B$12)/Projects!$D$39*0.95,0)-IF(AND(Projects!$G$39="Yes",AU$3=Projects!$C$39+Projects!$D$39-1),Projects!$B$39*(Assumptions!$B$10+Assumptions!$B$11+Assumptions!$B$12)*0.05,0)</f>
        <v>0</v>
      </c>
      <c r="AV48" s="30" t="n">
        <f aca="false">IF(AND(Projects!$G$39="Yes",AV$3&gt;=Projects!$C$39,AV$3&lt;Projects!$C$39+Projects!$D$39),Projects!$B$39*INDEX(Curves!$B$4:$AR$4,1,AV$3-Projects!$C$39+1),0)-IF(AND(Projects!$G$39="Yes",AV$3&gt;=Projects!$C$39,AV$3&lt;Projects!$C$39+Projects!$D$39),Projects!$B$39*(Assumptions!$B$10+Assumptions!$B$11+Assumptions!$B$12)/Projects!$D$39*0.95,0)-IF(AND(Projects!$G$39="Yes",AV$3=Projects!$C$39+Projects!$D$39-1),Projects!$B$39*(Assumptions!$B$10+Assumptions!$B$11+Assumptions!$B$12)*0.05,0)</f>
        <v>0</v>
      </c>
      <c r="AW48" s="30" t="n">
        <f aca="false">IF(AND(Projects!$G$39="Yes",AW$3&gt;=Projects!$C$39,AW$3&lt;Projects!$C$39+Projects!$D$39),Projects!$B$39*INDEX(Curves!$B$4:$AR$4,1,AW$3-Projects!$C$39+1),0)-IF(AND(Projects!$G$39="Yes",AW$3&gt;=Projects!$C$39,AW$3&lt;Projects!$C$39+Projects!$D$39),Projects!$B$39*(Assumptions!$B$10+Assumptions!$B$11+Assumptions!$B$12)/Projects!$D$39*0.95,0)-IF(AND(Projects!$G$39="Yes",AW$3=Projects!$C$39+Projects!$D$39-1),Projects!$B$39*(Assumptions!$B$10+Assumptions!$B$11+Assumptions!$B$12)*0.05,0)</f>
        <v>0</v>
      </c>
      <c r="AX48" s="30" t="n">
        <f aca="false">IF(AND(Projects!$G$39="Yes",AX$3&gt;=Projects!$C$39,AX$3&lt;Projects!$C$39+Projects!$D$39),Projects!$B$39*INDEX(Curves!$B$4:$AR$4,1,AX$3-Projects!$C$39+1),0)-IF(AND(Projects!$G$39="Yes",AX$3&gt;=Projects!$C$39,AX$3&lt;Projects!$C$39+Projects!$D$39),Projects!$B$39*(Assumptions!$B$10+Assumptions!$B$11+Assumptions!$B$12)/Projects!$D$39*0.95,0)-IF(AND(Projects!$G$39="Yes",AX$3=Projects!$C$39+Projects!$D$39-1),Projects!$B$39*(Assumptions!$B$10+Assumptions!$B$11+Assumptions!$B$12)*0.05,0)</f>
        <v>0</v>
      </c>
      <c r="AY48" s="30" t="n">
        <f aca="false">IF(AND(Projects!$G$39="Yes",AY$3&gt;=Projects!$C$39,AY$3&lt;Projects!$C$39+Projects!$D$39),Projects!$B$39*INDEX(Curves!$B$4:$AR$4,1,AY$3-Projects!$C$39+1),0)-IF(AND(Projects!$G$39="Yes",AY$3&gt;=Projects!$C$39,AY$3&lt;Projects!$C$39+Projects!$D$39),Projects!$B$39*(Assumptions!$B$10+Assumptions!$B$11+Assumptions!$B$12)/Projects!$D$39*0.95,0)-IF(AND(Projects!$G$39="Yes",AY$3=Projects!$C$39+Projects!$D$39-1),Projects!$B$39*(Assumptions!$B$10+Assumptions!$B$11+Assumptions!$B$12)*0.05,0)</f>
        <v>0</v>
      </c>
      <c r="AZ48" s="30" t="n">
        <f aca="false">IF(AND(Projects!$G$39="Yes",AZ$3&gt;=Projects!$C$39,AZ$3&lt;Projects!$C$39+Projects!$D$39),Projects!$B$39*INDEX(Curves!$B$4:$AR$4,1,AZ$3-Projects!$C$39+1),0)-IF(AND(Projects!$G$39="Yes",AZ$3&gt;=Projects!$C$39,AZ$3&lt;Projects!$C$39+Projects!$D$39),Projects!$B$39*(Assumptions!$B$10+Assumptions!$B$11+Assumptions!$B$12)/Projects!$D$39*0.95,0)-IF(AND(Projects!$G$39="Yes",AZ$3=Projects!$C$39+Projects!$D$39-1),Projects!$B$39*(Assumptions!$B$10+Assumptions!$B$11+Assumptions!$B$12)*0.05,0)</f>
        <v>0</v>
      </c>
      <c r="BA48" s="30" t="n">
        <f aca="false">IF(AND(Projects!$G$39="Yes",BA$3&gt;=Projects!$C$39,BA$3&lt;Projects!$C$39+Projects!$D$39),Projects!$B$39*INDEX(Curves!$B$4:$AR$4,1,BA$3-Projects!$C$39+1),0)-IF(AND(Projects!$G$39="Yes",BA$3&gt;=Projects!$C$39,BA$3&lt;Projects!$C$39+Projects!$D$39),Projects!$B$39*(Assumptions!$B$10+Assumptions!$B$11+Assumptions!$B$12)/Projects!$D$39*0.95,0)-IF(AND(Projects!$G$39="Yes",BA$3=Projects!$C$39+Projects!$D$39-1),Projects!$B$39*(Assumptions!$B$10+Assumptions!$B$11+Assumptions!$B$12)*0.05,0)</f>
        <v>0</v>
      </c>
      <c r="BB48" s="30" t="n">
        <f aca="false">IF(AND(Projects!$G$39="Yes",BB$3&gt;=Projects!$C$39,BB$3&lt;Projects!$C$39+Projects!$D$39),Projects!$B$39*INDEX(Curves!$B$4:$AR$4,1,BB$3-Projects!$C$39+1),0)-IF(AND(Projects!$G$39="Yes",BB$3&gt;=Projects!$C$39,BB$3&lt;Projects!$C$39+Projects!$D$39),Projects!$B$39*(Assumptions!$B$10+Assumptions!$B$11+Assumptions!$B$12)/Projects!$D$39*0.95,0)-IF(AND(Projects!$G$39="Yes",BB$3=Projects!$C$39+Projects!$D$39-1),Projects!$B$39*(Assumptions!$B$10+Assumptions!$B$11+Assumptions!$B$12)*0.05,0)</f>
        <v>0</v>
      </c>
      <c r="BC48" s="30" t="n">
        <f aca="false">IF(AND(Projects!$G$39="Yes",BC$3&gt;=Projects!$C$39,BC$3&lt;Projects!$C$39+Projects!$D$39),Projects!$B$39*INDEX(Curves!$B$4:$AR$4,1,BC$3-Projects!$C$39+1),0)-IF(AND(Projects!$G$39="Yes",BC$3&gt;=Projects!$C$39,BC$3&lt;Projects!$C$39+Projects!$D$39),Projects!$B$39*(Assumptions!$B$10+Assumptions!$B$11+Assumptions!$B$12)/Projects!$D$39*0.95,0)-IF(AND(Projects!$G$39="Yes",BC$3=Projects!$C$39+Projects!$D$39-1),Projects!$B$39*(Assumptions!$B$10+Assumptions!$B$11+Assumptions!$B$12)*0.05,0)</f>
        <v>0</v>
      </c>
      <c r="BD48" s="30" t="n">
        <f aca="false">IF(AND(Projects!$G$39="Yes",BD$3&gt;=Projects!$C$39,BD$3&lt;Projects!$C$39+Projects!$D$39),Projects!$B$39*INDEX(Curves!$B$4:$AR$4,1,BD$3-Projects!$C$39+1),0)-IF(AND(Projects!$G$39="Yes",BD$3&gt;=Projects!$C$39,BD$3&lt;Projects!$C$39+Projects!$D$39),Projects!$B$39*(Assumptions!$B$10+Assumptions!$B$11+Assumptions!$B$12)/Projects!$D$39*0.95,0)-IF(AND(Projects!$G$39="Yes",BD$3=Projects!$C$39+Projects!$D$39-1),Projects!$B$39*(Assumptions!$B$10+Assumptions!$B$11+Assumptions!$B$12)*0.05,0)</f>
        <v>0</v>
      </c>
      <c r="BE48" s="30" t="n">
        <f aca="false">IF(AND(Projects!$G$39="Yes",BE$3&gt;=Projects!$C$39,BE$3&lt;Projects!$C$39+Projects!$D$39),Projects!$B$39*INDEX(Curves!$B$4:$AR$4,1,BE$3-Projects!$C$39+1),0)-IF(AND(Projects!$G$39="Yes",BE$3&gt;=Projects!$C$39,BE$3&lt;Projects!$C$39+Projects!$D$39),Projects!$B$39*(Assumptions!$B$10+Assumptions!$B$11+Assumptions!$B$12)/Projects!$D$39*0.95,0)-IF(AND(Projects!$G$39="Yes",BE$3=Projects!$C$39+Projects!$D$39-1),Projects!$B$39*(Assumptions!$B$10+Assumptions!$B$11+Assumptions!$B$12)*0.05,0)</f>
        <v>0</v>
      </c>
      <c r="BF48" s="30" t="n">
        <f aca="false">IF(AND(Projects!$G$39="Yes",BF$3&gt;=Projects!$C$39,BF$3&lt;Projects!$C$39+Projects!$D$39),Projects!$B$39*INDEX(Curves!$B$4:$AR$4,1,BF$3-Projects!$C$39+1),0)-IF(AND(Projects!$G$39="Yes",BF$3&gt;=Projects!$C$39,BF$3&lt;Projects!$C$39+Projects!$D$39),Projects!$B$39*(Assumptions!$B$10+Assumptions!$B$11+Assumptions!$B$12)/Projects!$D$39*0.95,0)-IF(AND(Projects!$G$39="Yes",BF$3=Projects!$C$39+Projects!$D$39-1),Projects!$B$39*(Assumptions!$B$10+Assumptions!$B$11+Assumptions!$B$12)*0.05,0)</f>
        <v>0</v>
      </c>
      <c r="BG48" s="30" t="n">
        <f aca="false">IF(AND(Projects!$G$39="Yes",BG$3&gt;=Projects!$C$39,BG$3&lt;Projects!$C$39+Projects!$D$39),Projects!$B$39*INDEX(Curves!$B$4:$AR$4,1,BG$3-Projects!$C$39+1),0)-IF(AND(Projects!$G$39="Yes",BG$3&gt;=Projects!$C$39,BG$3&lt;Projects!$C$39+Projects!$D$39),Projects!$B$39*(Assumptions!$B$10+Assumptions!$B$11+Assumptions!$B$12)/Projects!$D$39*0.95,0)-IF(AND(Projects!$G$39="Yes",BG$3=Projects!$C$39+Projects!$D$39-1),Projects!$B$39*(Assumptions!$B$10+Assumptions!$B$11+Assumptions!$B$12)*0.05,0)</f>
        <v>0</v>
      </c>
      <c r="BH48" s="30" t="n">
        <f aca="false">IF(AND(Projects!$G$39="Yes",BH$3&gt;=Projects!$C$39,BH$3&lt;Projects!$C$39+Projects!$D$39),Projects!$B$39*INDEX(Curves!$B$4:$AR$4,1,BH$3-Projects!$C$39+1),0)-IF(AND(Projects!$G$39="Yes",BH$3&gt;=Projects!$C$39,BH$3&lt;Projects!$C$39+Projects!$D$39),Projects!$B$39*(Assumptions!$B$10+Assumptions!$B$11+Assumptions!$B$12)/Projects!$D$39*0.95,0)-IF(AND(Projects!$G$39="Yes",BH$3=Projects!$C$39+Projects!$D$39-1),Projects!$B$39*(Assumptions!$B$10+Assumptions!$B$11+Assumptions!$B$12)*0.05,0)</f>
        <v>0</v>
      </c>
      <c r="BI48" s="30" t="n">
        <f aca="false">IF(AND(Projects!$G$39="Yes",BI$3&gt;=Projects!$C$39,BI$3&lt;Projects!$C$39+Projects!$D$39),Projects!$B$39*INDEX(Curves!$B$4:$AR$4,1,BI$3-Projects!$C$39+1),0)-IF(AND(Projects!$G$39="Yes",BI$3&gt;=Projects!$C$39,BI$3&lt;Projects!$C$39+Projects!$D$39),Projects!$B$39*(Assumptions!$B$10+Assumptions!$B$11+Assumptions!$B$12)/Projects!$D$39*0.95,0)-IF(AND(Projects!$G$39="Yes",BI$3=Projects!$C$39+Projects!$D$39-1),Projects!$B$39*(Assumptions!$B$10+Assumptions!$B$11+Assumptions!$B$12)*0.05,0)</f>
        <v>0</v>
      </c>
      <c r="BJ48" s="30" t="n">
        <f aca="false">IF(AND(Projects!$G$39="Yes",BJ$3&gt;=Projects!$C$39,BJ$3&lt;Projects!$C$39+Projects!$D$39),Projects!$B$39*INDEX(Curves!$B$4:$AR$4,1,BJ$3-Projects!$C$39+1),0)-IF(AND(Projects!$G$39="Yes",BJ$3&gt;=Projects!$C$39,BJ$3&lt;Projects!$C$39+Projects!$D$39),Projects!$B$39*(Assumptions!$B$10+Assumptions!$B$11+Assumptions!$B$12)/Projects!$D$39*0.95,0)-IF(AND(Projects!$G$39="Yes",BJ$3=Projects!$C$39+Projects!$D$39-1),Projects!$B$39*(Assumptions!$B$10+Assumptions!$B$11+Assumptions!$B$12)*0.05,0)</f>
        <v>0</v>
      </c>
      <c r="BK48" s="30" t="n">
        <f aca="false">IF(AND(Projects!$G$39="Yes",BK$3&gt;=Projects!$C$39,BK$3&lt;Projects!$C$39+Projects!$D$39),Projects!$B$39*INDEX(Curves!$B$4:$AR$4,1,BK$3-Projects!$C$39+1),0)-IF(AND(Projects!$G$39="Yes",BK$3&gt;=Projects!$C$39,BK$3&lt;Projects!$C$39+Projects!$D$39),Projects!$B$39*(Assumptions!$B$10+Assumptions!$B$11+Assumptions!$B$12)/Projects!$D$39*0.95,0)-IF(AND(Projects!$G$39="Yes",BK$3=Projects!$C$39+Projects!$D$39-1),Projects!$B$39*(Assumptions!$B$10+Assumptions!$B$11+Assumptions!$B$12)*0.05,0)</f>
        <v>0</v>
      </c>
      <c r="BL48" s="30" t="n">
        <f aca="false">IF(AND(Projects!$G$39="Yes",BL$3&gt;=Projects!$C$39,BL$3&lt;Projects!$C$39+Projects!$D$39),Projects!$B$39*INDEX(Curves!$B$4:$AR$4,1,BL$3-Projects!$C$39+1),0)-IF(AND(Projects!$G$39="Yes",BL$3&gt;=Projects!$C$39,BL$3&lt;Projects!$C$39+Projects!$D$39),Projects!$B$39*(Assumptions!$B$10+Assumptions!$B$11+Assumptions!$B$12)/Projects!$D$39*0.95,0)-IF(AND(Projects!$G$39="Yes",BL$3=Projects!$C$39+Projects!$D$39-1),Projects!$B$39*(Assumptions!$B$10+Assumptions!$B$11+Assumptions!$B$12)*0.05,0)</f>
        <v>0</v>
      </c>
      <c r="BM48" s="30" t="n">
        <f aca="false">IF(AND(Projects!$G$39="Yes",BM$3&gt;=Projects!$C$39,BM$3&lt;Projects!$C$39+Projects!$D$39),Projects!$B$39*INDEX(Curves!$B$4:$AR$4,1,BM$3-Projects!$C$39+1),0)-IF(AND(Projects!$G$39="Yes",BM$3&gt;=Projects!$C$39,BM$3&lt;Projects!$C$39+Projects!$D$39),Projects!$B$39*(Assumptions!$B$10+Assumptions!$B$11+Assumptions!$B$12)/Projects!$D$39*0.95,0)-IF(AND(Projects!$G$39="Yes",BM$3=Projects!$C$39+Projects!$D$39-1),Projects!$B$39*(Assumptions!$B$10+Assumptions!$B$11+Assumptions!$B$12)*0.05,0)</f>
        <v>0</v>
      </c>
      <c r="BN48" s="30" t="n">
        <f aca="false">IF(AND(Projects!$G$39="Yes",BN$3&gt;=Projects!$C$39,BN$3&lt;Projects!$C$39+Projects!$D$39),Projects!$B$39*INDEX(Curves!$B$4:$AR$4,1,BN$3-Projects!$C$39+1),0)-IF(AND(Projects!$G$39="Yes",BN$3&gt;=Projects!$C$39,BN$3&lt;Projects!$C$39+Projects!$D$39),Projects!$B$39*(Assumptions!$B$10+Assumptions!$B$11+Assumptions!$B$12)/Projects!$D$39*0.95,0)-IF(AND(Projects!$G$39="Yes",BN$3=Projects!$C$39+Projects!$D$39-1),Projects!$B$39*(Assumptions!$B$10+Assumptions!$B$11+Assumptions!$B$12)*0.05,0)</f>
        <v>0</v>
      </c>
      <c r="BO48" s="30" t="n">
        <f aca="false">IF(AND(Projects!$G$39="Yes",BO$3&gt;=Projects!$C$39,BO$3&lt;Projects!$C$39+Projects!$D$39),Projects!$B$39*INDEX(Curves!$B$4:$AR$4,1,BO$3-Projects!$C$39+1),0)-IF(AND(Projects!$G$39="Yes",BO$3&gt;=Projects!$C$39,BO$3&lt;Projects!$C$39+Projects!$D$39),Projects!$B$39*(Assumptions!$B$10+Assumptions!$B$11+Assumptions!$B$12)/Projects!$D$39*0.95,0)-IF(AND(Projects!$G$39="Yes",BO$3=Projects!$C$39+Projects!$D$39-1),Projects!$B$39*(Assumptions!$B$10+Assumptions!$B$11+Assumptions!$B$12)*0.05,0)</f>
        <v>0</v>
      </c>
      <c r="BP48" s="30" t="n">
        <f aca="false">IF(AND(Projects!$G$39="Yes",BP$3&gt;=Projects!$C$39,BP$3&lt;Projects!$C$39+Projects!$D$39),Projects!$B$39*INDEX(Curves!$B$4:$AR$4,1,BP$3-Projects!$C$39+1),0)-IF(AND(Projects!$G$39="Yes",BP$3&gt;=Projects!$C$39,BP$3&lt;Projects!$C$39+Projects!$D$39),Projects!$B$39*(Assumptions!$B$10+Assumptions!$B$11+Assumptions!$B$12)/Projects!$D$39*0.95,0)-IF(AND(Projects!$G$39="Yes",BP$3=Projects!$C$39+Projects!$D$39-1),Projects!$B$39*(Assumptions!$B$10+Assumptions!$B$11+Assumptions!$B$12)*0.05,0)</f>
        <v>0</v>
      </c>
      <c r="BQ48" s="30" t="n">
        <f aca="false">IF(AND(Projects!$G$39="Yes",BQ$3&gt;=Projects!$C$39,BQ$3&lt;Projects!$C$39+Projects!$D$39),Projects!$B$39*INDEX(Curves!$B$4:$AR$4,1,BQ$3-Projects!$C$39+1),0)-IF(AND(Projects!$G$39="Yes",BQ$3&gt;=Projects!$C$39,BQ$3&lt;Projects!$C$39+Projects!$D$39),Projects!$B$39*(Assumptions!$B$10+Assumptions!$B$11+Assumptions!$B$12)/Projects!$D$39*0.95,0)-IF(AND(Projects!$G$39="Yes",BQ$3=Projects!$C$39+Projects!$D$39-1),Projects!$B$39*(Assumptions!$B$10+Assumptions!$B$11+Assumptions!$B$12)*0.05,0)</f>
        <v>0</v>
      </c>
      <c r="BR48" s="30" t="n">
        <f aca="false">IF(AND(Projects!$G$39="Yes",BR$3&gt;=Projects!$C$39,BR$3&lt;Projects!$C$39+Projects!$D$39),Projects!$B$39*INDEX(Curves!$B$4:$AR$4,1,BR$3-Projects!$C$39+1),0)-IF(AND(Projects!$G$39="Yes",BR$3&gt;=Projects!$C$39,BR$3&lt;Projects!$C$39+Projects!$D$39),Projects!$B$39*(Assumptions!$B$10+Assumptions!$B$11+Assumptions!$B$12)/Projects!$D$39*0.95,0)-IF(AND(Projects!$G$39="Yes",BR$3=Projects!$C$39+Projects!$D$39-1),Projects!$B$39*(Assumptions!$B$10+Assumptions!$B$11+Assumptions!$B$12)*0.05,0)</f>
        <v>0</v>
      </c>
      <c r="BS48" s="30" t="n">
        <f aca="false">IF(AND(Projects!$G$39="Yes",BS$3&gt;=Projects!$C$39,BS$3&lt;Projects!$C$39+Projects!$D$39),Projects!$B$39*INDEX(Curves!$B$4:$AR$4,1,BS$3-Projects!$C$39+1),0)-IF(AND(Projects!$G$39="Yes",BS$3&gt;=Projects!$C$39,BS$3&lt;Projects!$C$39+Projects!$D$39),Projects!$B$39*(Assumptions!$B$10+Assumptions!$B$11+Assumptions!$B$12)/Projects!$D$39*0.95,0)-IF(AND(Projects!$G$39="Yes",BS$3=Projects!$C$39+Projects!$D$39-1),Projects!$B$39*(Assumptions!$B$10+Assumptions!$B$11+Assumptions!$B$12)*0.05,0)</f>
        <v>0</v>
      </c>
      <c r="BT48" s="30" t="n">
        <f aca="false">IF(AND(Projects!$G$39="Yes",BT$3&gt;=Projects!$C$39,BT$3&lt;Projects!$C$39+Projects!$D$39),Projects!$B$39*INDEX(Curves!$B$4:$AR$4,1,BT$3-Projects!$C$39+1),0)-IF(AND(Projects!$G$39="Yes",BT$3&gt;=Projects!$C$39,BT$3&lt;Projects!$C$39+Projects!$D$39),Projects!$B$39*(Assumptions!$B$10+Assumptions!$B$11+Assumptions!$B$12)/Projects!$D$39*0.95,0)-IF(AND(Projects!$G$39="Yes",BT$3=Projects!$C$39+Projects!$D$39-1),Projects!$B$39*(Assumptions!$B$10+Assumptions!$B$11+Assumptions!$B$12)*0.05,0)</f>
        <v>0</v>
      </c>
      <c r="BU48" s="30" t="n">
        <f aca="false">IF(AND(Projects!$G$39="Yes",BU$3&gt;=Projects!$C$39,BU$3&lt;Projects!$C$39+Projects!$D$39),Projects!$B$39*INDEX(Curves!$B$4:$AR$4,1,BU$3-Projects!$C$39+1),0)-IF(AND(Projects!$G$39="Yes",BU$3&gt;=Projects!$C$39,BU$3&lt;Projects!$C$39+Projects!$D$39),Projects!$B$39*(Assumptions!$B$10+Assumptions!$B$11+Assumptions!$B$12)/Projects!$D$39*0.95,0)-IF(AND(Projects!$G$39="Yes",BU$3=Projects!$C$39+Projects!$D$39-1),Projects!$B$39*(Assumptions!$B$10+Assumptions!$B$11+Assumptions!$B$12)*0.05,0)</f>
        <v>0</v>
      </c>
      <c r="BV48" s="30" t="n">
        <f aca="false">IF(AND(Projects!$G$39="Yes",BV$3&gt;=Projects!$C$39,BV$3&lt;Projects!$C$39+Projects!$D$39),Projects!$B$39*INDEX(Curves!$B$4:$AR$4,1,BV$3-Projects!$C$39+1),0)-IF(AND(Projects!$G$39="Yes",BV$3&gt;=Projects!$C$39,BV$3&lt;Projects!$C$39+Projects!$D$39),Projects!$B$39*(Assumptions!$B$10+Assumptions!$B$11+Assumptions!$B$12)/Projects!$D$39*0.95,0)-IF(AND(Projects!$G$39="Yes",BV$3=Projects!$C$39+Projects!$D$39-1),Projects!$B$39*(Assumptions!$B$10+Assumptions!$B$11+Assumptions!$B$12)*0.05,0)</f>
        <v>0</v>
      </c>
      <c r="BW48" s="30" t="n">
        <f aca="false">IF(AND(Projects!$G$39="Yes",BW$3&gt;=Projects!$C$39,BW$3&lt;Projects!$C$39+Projects!$D$39),Projects!$B$39*INDEX(Curves!$B$4:$AR$4,1,BW$3-Projects!$C$39+1),0)-IF(AND(Projects!$G$39="Yes",BW$3&gt;=Projects!$C$39,BW$3&lt;Projects!$C$39+Projects!$D$39),Projects!$B$39*(Assumptions!$B$10+Assumptions!$B$11+Assumptions!$B$12)/Projects!$D$39*0.95,0)-IF(AND(Projects!$G$39="Yes",BW$3=Projects!$C$39+Projects!$D$39-1),Projects!$B$39*(Assumptions!$B$10+Assumptions!$B$11+Assumptions!$B$12)*0.05,0)</f>
        <v>0</v>
      </c>
      <c r="BX48" s="30" t="n">
        <f aca="false">IF(AND(Projects!$G$39="Yes",BX$3&gt;=Projects!$C$39,BX$3&lt;Projects!$C$39+Projects!$D$39),Projects!$B$39*INDEX(Curves!$B$4:$AR$4,1,BX$3-Projects!$C$39+1),0)-IF(AND(Projects!$G$39="Yes",BX$3&gt;=Projects!$C$39,BX$3&lt;Projects!$C$39+Projects!$D$39),Projects!$B$39*(Assumptions!$B$10+Assumptions!$B$11+Assumptions!$B$12)/Projects!$D$39*0.95,0)-IF(AND(Projects!$G$39="Yes",BX$3=Projects!$C$39+Projects!$D$39-1),Projects!$B$39*(Assumptions!$B$10+Assumptions!$B$11+Assumptions!$B$12)*0.05,0)</f>
        <v>0</v>
      </c>
      <c r="BY48" s="30" t="n">
        <f aca="false">IF(AND(Projects!$G$39="Yes",BY$3&gt;=Projects!$C$39,BY$3&lt;Projects!$C$39+Projects!$D$39),Projects!$B$39*INDEX(Curves!$B$4:$AR$4,1,BY$3-Projects!$C$39+1),0)-IF(AND(Projects!$G$39="Yes",BY$3&gt;=Projects!$C$39,BY$3&lt;Projects!$C$39+Projects!$D$39),Projects!$B$39*(Assumptions!$B$10+Assumptions!$B$11+Assumptions!$B$12)/Projects!$D$39*0.95,0)-IF(AND(Projects!$G$39="Yes",BY$3=Projects!$C$39+Projects!$D$39-1),Projects!$B$39*(Assumptions!$B$10+Assumptions!$B$11+Assumptions!$B$12)*0.05,0)</f>
        <v>0</v>
      </c>
      <c r="BZ48" s="30" t="n">
        <f aca="false">IF(AND(Projects!$G$39="Yes",BZ$3&gt;=Projects!$C$39,BZ$3&lt;Projects!$C$39+Projects!$D$39),Projects!$B$39*INDEX(Curves!$B$4:$AR$4,1,BZ$3-Projects!$C$39+1),0)-IF(AND(Projects!$G$39="Yes",BZ$3&gt;=Projects!$C$39,BZ$3&lt;Projects!$C$39+Projects!$D$39),Projects!$B$39*(Assumptions!$B$10+Assumptions!$B$11+Assumptions!$B$12)/Projects!$D$39*0.95,0)-IF(AND(Projects!$G$39="Yes",BZ$3=Projects!$C$39+Projects!$D$39-1),Projects!$B$39*(Assumptions!$B$10+Assumptions!$B$11+Assumptions!$B$12)*0.05,0)</f>
        <v>0</v>
      </c>
      <c r="CA48" s="30" t="n">
        <f aca="false">IF(AND(Projects!$G$39="Yes",CA$3&gt;=Projects!$C$39,CA$3&lt;Projects!$C$39+Projects!$D$39),Projects!$B$39*INDEX(Curves!$B$4:$AR$4,1,CA$3-Projects!$C$39+1),0)-IF(AND(Projects!$G$39="Yes",CA$3&gt;=Projects!$C$39,CA$3&lt;Projects!$C$39+Projects!$D$39),Projects!$B$39*(Assumptions!$B$10+Assumptions!$B$11+Assumptions!$B$12)/Projects!$D$39*0.95,0)-IF(AND(Projects!$G$39="Yes",CA$3=Projects!$C$39+Projects!$D$39-1),Projects!$B$39*(Assumptions!$B$10+Assumptions!$B$11+Assumptions!$B$12)*0.05,0)</f>
        <v>0</v>
      </c>
      <c r="CB48" s="30" t="n">
        <f aca="false">IF(AND(Projects!$G$39="Yes",CB$3&gt;=Projects!$C$39,CB$3&lt;Projects!$C$39+Projects!$D$39),Projects!$B$39*INDEX(Curves!$B$4:$AR$4,1,CB$3-Projects!$C$39+1),0)-IF(AND(Projects!$G$39="Yes",CB$3&gt;=Projects!$C$39,CB$3&lt;Projects!$C$39+Projects!$D$39),Projects!$B$39*(Assumptions!$B$10+Assumptions!$B$11+Assumptions!$B$12)/Projects!$D$39*0.95,0)-IF(AND(Projects!$G$39="Yes",CB$3=Projects!$C$39+Projects!$D$39-1),Projects!$B$39*(Assumptions!$B$10+Assumptions!$B$11+Assumptions!$B$12)*0.05,0)</f>
        <v>0</v>
      </c>
      <c r="CC48" s="30" t="n">
        <f aca="false">IF(AND(Projects!$G$39="Yes",CC$3&gt;=Projects!$C$39,CC$3&lt;Projects!$C$39+Projects!$D$39),Projects!$B$39*INDEX(Curves!$B$4:$AR$4,1,CC$3-Projects!$C$39+1),0)-IF(AND(Projects!$G$39="Yes",CC$3&gt;=Projects!$C$39,CC$3&lt;Projects!$C$39+Projects!$D$39),Projects!$B$39*(Assumptions!$B$10+Assumptions!$B$11+Assumptions!$B$12)/Projects!$D$39*0.95,0)-IF(AND(Projects!$G$39="Yes",CC$3=Projects!$C$39+Projects!$D$39-1),Projects!$B$39*(Assumptions!$B$10+Assumptions!$B$11+Assumptions!$B$12)*0.05,0)</f>
        <v>0</v>
      </c>
      <c r="CD48" s="30" t="n">
        <f aca="false">IF(AND(Projects!$G$39="Yes",CD$3&gt;=Projects!$C$39,CD$3&lt;Projects!$C$39+Projects!$D$39),Projects!$B$39*INDEX(Curves!$B$4:$AR$4,1,CD$3-Projects!$C$39+1),0)-IF(AND(Projects!$G$39="Yes",CD$3&gt;=Projects!$C$39,CD$3&lt;Projects!$C$39+Projects!$D$39),Projects!$B$39*(Assumptions!$B$10+Assumptions!$B$11+Assumptions!$B$12)/Projects!$D$39*0.95,0)-IF(AND(Projects!$G$39="Yes",CD$3=Projects!$C$39+Projects!$D$39-1),Projects!$B$39*(Assumptions!$B$10+Assumptions!$B$11+Assumptions!$B$12)*0.05,0)</f>
        <v>0</v>
      </c>
      <c r="CE48" s="30" t="n">
        <f aca="false">IF(AND(Projects!$G$39="Yes",CE$3&gt;=Projects!$C$39,CE$3&lt;Projects!$C$39+Projects!$D$39),Projects!$B$39*INDEX(Curves!$B$4:$AR$4,1,CE$3-Projects!$C$39+1),0)-IF(AND(Projects!$G$39="Yes",CE$3&gt;=Projects!$C$39,CE$3&lt;Projects!$C$39+Projects!$D$39),Projects!$B$39*(Assumptions!$B$10+Assumptions!$B$11+Assumptions!$B$12)/Projects!$D$39*0.95,0)-IF(AND(Projects!$G$39="Yes",CE$3=Projects!$C$39+Projects!$D$39-1),Projects!$B$39*(Assumptions!$B$10+Assumptions!$B$11+Assumptions!$B$12)*0.05,0)</f>
        <v>0</v>
      </c>
      <c r="CF48" s="30" t="n">
        <f aca="false">IF(AND(Projects!$G$39="Yes",CF$3&gt;=Projects!$C$39,CF$3&lt;Projects!$C$39+Projects!$D$39),Projects!$B$39*INDEX(Curves!$B$4:$AR$4,1,CF$3-Projects!$C$39+1),0)-IF(AND(Projects!$G$39="Yes",CF$3&gt;=Projects!$C$39,CF$3&lt;Projects!$C$39+Projects!$D$39),Projects!$B$39*(Assumptions!$B$10+Assumptions!$B$11+Assumptions!$B$12)/Projects!$D$39*0.95,0)-IF(AND(Projects!$G$39="Yes",CF$3=Projects!$C$39+Projects!$D$39-1),Projects!$B$39*(Assumptions!$B$10+Assumptions!$B$11+Assumptions!$B$12)*0.05,0)</f>
        <v>0</v>
      </c>
      <c r="CG48" s="30" t="n">
        <f aca="false">IF(AND(Projects!$G$39="Yes",CG$3&gt;=Projects!$C$39,CG$3&lt;Projects!$C$39+Projects!$D$39),Projects!$B$39*INDEX(Curves!$B$4:$AR$4,1,CG$3-Projects!$C$39+1),0)-IF(AND(Projects!$G$39="Yes",CG$3&gt;=Projects!$C$39,CG$3&lt;Projects!$C$39+Projects!$D$39),Projects!$B$39*(Assumptions!$B$10+Assumptions!$B$11+Assumptions!$B$12)/Projects!$D$39*0.95,0)-IF(AND(Projects!$G$39="Yes",CG$3=Projects!$C$39+Projects!$D$39-1),Projects!$B$39*(Assumptions!$B$10+Assumptions!$B$11+Assumptions!$B$12)*0.05,0)</f>
        <v>0</v>
      </c>
      <c r="CH48" s="30" t="n">
        <f aca="false">IF(AND(Projects!$G$39="Yes",CH$3&gt;=Projects!$C$39,CH$3&lt;Projects!$C$39+Projects!$D$39),Projects!$B$39*INDEX(Curves!$B$4:$AR$4,1,CH$3-Projects!$C$39+1),0)-IF(AND(Projects!$G$39="Yes",CH$3&gt;=Projects!$C$39,CH$3&lt;Projects!$C$39+Projects!$D$39),Projects!$B$39*(Assumptions!$B$10+Assumptions!$B$11+Assumptions!$B$12)/Projects!$D$39*0.95,0)-IF(AND(Projects!$G$39="Yes",CH$3=Projects!$C$39+Projects!$D$39-1),Projects!$B$39*(Assumptions!$B$10+Assumptions!$B$11+Assumptions!$B$12)*0.05,0)</f>
        <v>0</v>
      </c>
      <c r="CI48" s="30" t="n">
        <f aca="false">IF(AND(Projects!$G$39="Yes",CI$3&gt;=Projects!$C$39,CI$3&lt;Projects!$C$39+Projects!$D$39),Projects!$B$39*INDEX(Curves!$B$4:$AR$4,1,CI$3-Projects!$C$39+1),0)-IF(AND(Projects!$G$39="Yes",CI$3&gt;=Projects!$C$39,CI$3&lt;Projects!$C$39+Projects!$D$39),Projects!$B$39*(Assumptions!$B$10+Assumptions!$B$11+Assumptions!$B$12)/Projects!$D$39*0.95,0)-IF(AND(Projects!$G$39="Yes",CI$3=Projects!$C$39+Projects!$D$39-1),Projects!$B$39*(Assumptions!$B$10+Assumptions!$B$11+Assumptions!$B$12)*0.05,0)</f>
        <v>0</v>
      </c>
      <c r="CJ48" s="30" t="n">
        <f aca="false">IF(AND(Projects!$G$39="Yes",CJ$3&gt;=Projects!$C$39,CJ$3&lt;Projects!$C$39+Projects!$D$39),Projects!$B$39*INDEX(Curves!$B$4:$AR$4,1,CJ$3-Projects!$C$39+1),0)-IF(AND(Projects!$G$39="Yes",CJ$3&gt;=Projects!$C$39,CJ$3&lt;Projects!$C$39+Projects!$D$39),Projects!$B$39*(Assumptions!$B$10+Assumptions!$B$11+Assumptions!$B$12)/Projects!$D$39*0.95,0)-IF(AND(Projects!$G$39="Yes",CJ$3=Projects!$C$39+Projects!$D$39-1),Projects!$B$39*(Assumptions!$B$10+Assumptions!$B$11+Assumptions!$B$12)*0.05,0)</f>
        <v>0</v>
      </c>
      <c r="CK48" s="30" t="n">
        <f aca="false">IF(AND(Projects!$G$39="Yes",CK$3&gt;=Projects!$C$39,CK$3&lt;Projects!$C$39+Projects!$D$39),Projects!$B$39*INDEX(Curves!$B$4:$AR$4,1,CK$3-Projects!$C$39+1),0)-IF(AND(Projects!$G$39="Yes",CK$3&gt;=Projects!$C$39,CK$3&lt;Projects!$C$39+Projects!$D$39),Projects!$B$39*(Assumptions!$B$10+Assumptions!$B$11+Assumptions!$B$12)/Projects!$D$39*0.95,0)-IF(AND(Projects!$G$39="Yes",CK$3=Projects!$C$39+Projects!$D$39-1),Projects!$B$39*(Assumptions!$B$10+Assumptions!$B$11+Assumptions!$B$12)*0.05,0)</f>
        <v>0</v>
      </c>
      <c r="CL48" s="30" t="n">
        <f aca="false">IF(AND(Projects!$G$39="Yes",CL$3&gt;=Projects!$C$39,CL$3&lt;Projects!$C$39+Projects!$D$39),Projects!$B$39*INDEX(Curves!$B$4:$AR$4,1,CL$3-Projects!$C$39+1),0)-IF(AND(Projects!$G$39="Yes",CL$3&gt;=Projects!$C$39,CL$3&lt;Projects!$C$39+Projects!$D$39),Projects!$B$39*(Assumptions!$B$10+Assumptions!$B$11+Assumptions!$B$12)/Projects!$D$39*0.95,0)-IF(AND(Projects!$G$39="Yes",CL$3=Projects!$C$39+Projects!$D$39-1),Projects!$B$39*(Assumptions!$B$10+Assumptions!$B$11+Assumptions!$B$12)*0.05,0)</f>
        <v>0</v>
      </c>
      <c r="CM48" s="30" t="n">
        <f aca="false">IF(AND(Projects!$G$39="Yes",CM$3&gt;=Projects!$C$39,CM$3&lt;Projects!$C$39+Projects!$D$39),Projects!$B$39*INDEX(Curves!$B$4:$AR$4,1,CM$3-Projects!$C$39+1),0)-IF(AND(Projects!$G$39="Yes",CM$3&gt;=Projects!$C$39,CM$3&lt;Projects!$C$39+Projects!$D$39),Projects!$B$39*(Assumptions!$B$10+Assumptions!$B$11+Assumptions!$B$12)/Projects!$D$39*0.95,0)-IF(AND(Projects!$G$39="Yes",CM$3=Projects!$C$39+Projects!$D$39-1),Projects!$B$39*(Assumptions!$B$10+Assumptions!$B$11+Assumptions!$B$12)*0.05,0)</f>
        <v>0</v>
      </c>
      <c r="CN48" s="30" t="n">
        <f aca="false">IF(AND(Projects!$G$39="Yes",CN$3&gt;=Projects!$C$39,CN$3&lt;Projects!$C$39+Projects!$D$39),Projects!$B$39*INDEX(Curves!$B$4:$AR$4,1,CN$3-Projects!$C$39+1),0)-IF(AND(Projects!$G$39="Yes",CN$3&gt;=Projects!$C$39,CN$3&lt;Projects!$C$39+Projects!$D$39),Projects!$B$39*(Assumptions!$B$10+Assumptions!$B$11+Assumptions!$B$12)/Projects!$D$39*0.95,0)-IF(AND(Projects!$G$39="Yes",CN$3=Projects!$C$39+Projects!$D$39-1),Projects!$B$39*(Assumptions!$B$10+Assumptions!$B$11+Assumptions!$B$12)*0.05,0)</f>
        <v>0</v>
      </c>
      <c r="CO48" s="30" t="n">
        <f aca="false">IF(AND(Projects!$G$39="Yes",CO$3&gt;=Projects!$C$39,CO$3&lt;Projects!$C$39+Projects!$D$39),Projects!$B$39*INDEX(Curves!$B$4:$AR$4,1,CO$3-Projects!$C$39+1),0)-IF(AND(Projects!$G$39="Yes",CO$3&gt;=Projects!$C$39,CO$3&lt;Projects!$C$39+Projects!$D$39),Projects!$B$39*(Assumptions!$B$10+Assumptions!$B$11+Assumptions!$B$12)/Projects!$D$39*0.95,0)-IF(AND(Projects!$G$39="Yes",CO$3=Projects!$C$39+Projects!$D$39-1),Projects!$B$39*(Assumptions!$B$10+Assumptions!$B$11+Assumptions!$B$12)*0.05,0)</f>
        <v>0</v>
      </c>
      <c r="CP48" s="30" t="n">
        <f aca="false">IF(AND(Projects!$G$39="Yes",CP$3&gt;=Projects!$C$39,CP$3&lt;Projects!$C$39+Projects!$D$39),Projects!$B$39*INDEX(Curves!$B$4:$AR$4,1,CP$3-Projects!$C$39+1),0)-IF(AND(Projects!$G$39="Yes",CP$3&gt;=Projects!$C$39,CP$3&lt;Projects!$C$39+Projects!$D$39),Projects!$B$39*(Assumptions!$B$10+Assumptions!$B$11+Assumptions!$B$12)/Projects!$D$39*0.95,0)-IF(AND(Projects!$G$39="Yes",CP$3=Projects!$C$39+Projects!$D$39-1),Projects!$B$39*(Assumptions!$B$10+Assumptions!$B$11+Assumptions!$B$12)*0.05,0)</f>
        <v>0</v>
      </c>
      <c r="CQ48" s="30" t="n">
        <f aca="false">IF(AND(Projects!$G$39="Yes",CQ$3&gt;=Projects!$C$39,CQ$3&lt;Projects!$C$39+Projects!$D$39),Projects!$B$39*INDEX(Curves!$B$4:$AR$4,1,CQ$3-Projects!$C$39+1),0)-IF(AND(Projects!$G$39="Yes",CQ$3&gt;=Projects!$C$39,CQ$3&lt;Projects!$C$39+Projects!$D$39),Projects!$B$39*(Assumptions!$B$10+Assumptions!$B$11+Assumptions!$B$12)/Projects!$D$39*0.95,0)-IF(AND(Projects!$G$39="Yes",CQ$3=Projects!$C$39+Projects!$D$39-1),Projects!$B$39*(Assumptions!$B$10+Assumptions!$B$11+Assumptions!$B$12)*0.05,0)</f>
        <v>0</v>
      </c>
      <c r="CR48" s="30" t="n">
        <f aca="false">IF(AND(Projects!$G$39="Yes",CR$3&gt;=Projects!$C$39,CR$3&lt;Projects!$C$39+Projects!$D$39),Projects!$B$39*INDEX(Curves!$B$4:$AR$4,1,CR$3-Projects!$C$39+1),0)-IF(AND(Projects!$G$39="Yes",CR$3&gt;=Projects!$C$39,CR$3&lt;Projects!$C$39+Projects!$D$39),Projects!$B$39*(Assumptions!$B$10+Assumptions!$B$11+Assumptions!$B$12)/Projects!$D$39*0.95,0)-IF(AND(Projects!$G$39="Yes",CR$3=Projects!$C$39+Projects!$D$39-1),Projects!$B$39*(Assumptions!$B$10+Assumptions!$B$11+Assumptions!$B$12)*0.05,0)</f>
        <v>0</v>
      </c>
      <c r="CS48" s="30" t="n">
        <f aca="false">IF(AND(Projects!$G$39="Yes",CS$3&gt;=Projects!$C$39,CS$3&lt;Projects!$C$39+Projects!$D$39),Projects!$B$39*INDEX(Curves!$B$4:$AR$4,1,CS$3-Projects!$C$39+1),0)-IF(AND(Projects!$G$39="Yes",CS$3&gt;=Projects!$C$39,CS$3&lt;Projects!$C$39+Projects!$D$39),Projects!$B$39*(Assumptions!$B$10+Assumptions!$B$11+Assumptions!$B$12)/Projects!$D$39*0.95,0)-IF(AND(Projects!$G$39="Yes",CS$3=Projects!$C$39+Projects!$D$39-1),Projects!$B$39*(Assumptions!$B$10+Assumptions!$B$11+Assumptions!$B$12)*0.05,0)</f>
        <v>0</v>
      </c>
      <c r="CT48" s="30" t="n">
        <f aca="false">IF(AND(Projects!$G$39="Yes",CT$3&gt;=Projects!$C$39,CT$3&lt;Projects!$C$39+Projects!$D$39),Projects!$B$39*INDEX(Curves!$B$4:$AR$4,1,CT$3-Projects!$C$39+1),0)-IF(AND(Projects!$G$39="Yes",CT$3&gt;=Projects!$C$39,CT$3&lt;Projects!$C$39+Projects!$D$39),Projects!$B$39*(Assumptions!$B$10+Assumptions!$B$11+Assumptions!$B$12)/Projects!$D$39*0.95,0)-IF(AND(Projects!$G$39="Yes",CT$3=Projects!$C$39+Projects!$D$39-1),Projects!$B$39*(Assumptions!$B$10+Assumptions!$B$11+Assumptions!$B$12)*0.05,0)</f>
        <v>0</v>
      </c>
      <c r="CU48" s="30" t="n">
        <f aca="false">IF(AND(Projects!$G$39="Yes",CU$3&gt;=Projects!$C$39,CU$3&lt;Projects!$C$39+Projects!$D$39),Projects!$B$39*INDEX(Curves!$B$4:$AR$4,1,CU$3-Projects!$C$39+1),0)-IF(AND(Projects!$G$39="Yes",CU$3&gt;=Projects!$C$39,CU$3&lt;Projects!$C$39+Projects!$D$39),Projects!$B$39*(Assumptions!$B$10+Assumptions!$B$11+Assumptions!$B$12)/Projects!$D$39*0.95,0)-IF(AND(Projects!$G$39="Yes",CU$3=Projects!$C$39+Projects!$D$39-1),Projects!$B$39*(Assumptions!$B$10+Assumptions!$B$11+Assumptions!$B$12)*0.05,0)</f>
        <v>0</v>
      </c>
      <c r="CV48" s="30" t="n">
        <f aca="false">IF(AND(Projects!$G$39="Yes",CV$3&gt;=Projects!$C$39,CV$3&lt;Projects!$C$39+Projects!$D$39),Projects!$B$39*INDEX(Curves!$B$4:$AR$4,1,CV$3-Projects!$C$39+1),0)-IF(AND(Projects!$G$39="Yes",CV$3&gt;=Projects!$C$39,CV$3&lt;Projects!$C$39+Projects!$D$39),Projects!$B$39*(Assumptions!$B$10+Assumptions!$B$11+Assumptions!$B$12)/Projects!$D$39*0.95,0)-IF(AND(Projects!$G$39="Yes",CV$3=Projects!$C$39+Projects!$D$39-1),Projects!$B$39*(Assumptions!$B$10+Assumptions!$B$11+Assumptions!$B$12)*0.05,0)</f>
        <v>0</v>
      </c>
      <c r="CW48" s="30" t="n">
        <f aca="false">IF(AND(Projects!$G$39="Yes",CW$3&gt;=Projects!$C$39,CW$3&lt;Projects!$C$39+Projects!$D$39),Projects!$B$39*INDEX(Curves!$B$4:$AR$4,1,CW$3-Projects!$C$39+1),0)-IF(AND(Projects!$G$39="Yes",CW$3&gt;=Projects!$C$39,CW$3&lt;Projects!$C$39+Projects!$D$39),Projects!$B$39*(Assumptions!$B$10+Assumptions!$B$11+Assumptions!$B$12)/Projects!$D$39*0.95,0)-IF(AND(Projects!$G$39="Yes",CW$3=Projects!$C$39+Projects!$D$39-1),Projects!$B$39*(Assumptions!$B$10+Assumptions!$B$11+Assumptions!$B$12)*0.05,0)</f>
        <v>0</v>
      </c>
      <c r="CX48" s="30" t="n">
        <f aca="false">IF(AND(Projects!$G$39="Yes",CX$3&gt;=Projects!$C$39,CX$3&lt;Projects!$C$39+Projects!$D$39),Projects!$B$39*INDEX(Curves!$B$4:$AR$4,1,CX$3-Projects!$C$39+1),0)-IF(AND(Projects!$G$39="Yes",CX$3&gt;=Projects!$C$39,CX$3&lt;Projects!$C$39+Projects!$D$39),Projects!$B$39*(Assumptions!$B$10+Assumptions!$B$11+Assumptions!$B$12)/Projects!$D$39*0.95,0)-IF(AND(Projects!$G$39="Yes",CX$3=Projects!$C$39+Projects!$D$39-1),Projects!$B$39*(Assumptions!$B$10+Assumptions!$B$11+Assumptions!$B$12)*0.05,0)</f>
        <v>0</v>
      </c>
      <c r="CY48" s="30" t="n">
        <f aca="false">IF(AND(Projects!$G$39="Yes",CY$3&gt;=Projects!$C$39,CY$3&lt;Projects!$C$39+Projects!$D$39),Projects!$B$39*INDEX(Curves!$B$4:$AR$4,1,CY$3-Projects!$C$39+1),0)-IF(AND(Projects!$G$39="Yes",CY$3&gt;=Projects!$C$39,CY$3&lt;Projects!$C$39+Projects!$D$39),Projects!$B$39*(Assumptions!$B$10+Assumptions!$B$11+Assumptions!$B$12)/Projects!$D$39*0.95,0)-IF(AND(Projects!$G$39="Yes",CY$3=Projects!$C$39+Projects!$D$39-1),Projects!$B$39*(Assumptions!$B$10+Assumptions!$B$11+Assumptions!$B$12)*0.05,0)</f>
        <v>0</v>
      </c>
      <c r="CZ48" s="30" t="n">
        <f aca="false">IF(AND(Projects!$G$39="Yes",CZ$3&gt;=Projects!$C$39,CZ$3&lt;Projects!$C$39+Projects!$D$39),Projects!$B$39*INDEX(Curves!$B$4:$AR$4,1,CZ$3-Projects!$C$39+1),0)-IF(AND(Projects!$G$39="Yes",CZ$3&gt;=Projects!$C$39,CZ$3&lt;Projects!$C$39+Projects!$D$39),Projects!$B$39*(Assumptions!$B$10+Assumptions!$B$11+Assumptions!$B$12)/Projects!$D$39*0.95,0)-IF(AND(Projects!$G$39="Yes",CZ$3=Projects!$C$39+Projects!$D$39-1),Projects!$B$39*(Assumptions!$B$10+Assumptions!$B$11+Assumptions!$B$12)*0.05,0)</f>
        <v>0</v>
      </c>
      <c r="DA48" s="30" t="n">
        <f aca="false">IF(AND(Projects!$G$39="Yes",DA$3&gt;=Projects!$C$39,DA$3&lt;Projects!$C$39+Projects!$D$39),Projects!$B$39*INDEX(Curves!$B$4:$AR$4,1,DA$3-Projects!$C$39+1),0)-IF(AND(Projects!$G$39="Yes",DA$3&gt;=Projects!$C$39,DA$3&lt;Projects!$C$39+Projects!$D$39),Projects!$B$39*(Assumptions!$B$10+Assumptions!$B$11+Assumptions!$B$12)/Projects!$D$39*0.95,0)-IF(AND(Projects!$G$39="Yes",DA$3=Projects!$C$39+Projects!$D$39-1),Projects!$B$39*(Assumptions!$B$10+Assumptions!$B$11+Assumptions!$B$12)*0.05,0)</f>
        <v>0</v>
      </c>
      <c r="DB48" s="30" t="n">
        <f aca="false">IF(AND(Projects!$G$39="Yes",DB$3&gt;=Projects!$C$39,DB$3&lt;Projects!$C$39+Projects!$D$39),Projects!$B$39*INDEX(Curves!$B$4:$AR$4,1,DB$3-Projects!$C$39+1),0)-IF(AND(Projects!$G$39="Yes",DB$3&gt;=Projects!$C$39,DB$3&lt;Projects!$C$39+Projects!$D$39),Projects!$B$39*(Assumptions!$B$10+Assumptions!$B$11+Assumptions!$B$12)/Projects!$D$39*0.95,0)-IF(AND(Projects!$G$39="Yes",DB$3=Projects!$C$39+Projects!$D$39-1),Projects!$B$39*(Assumptions!$B$10+Assumptions!$B$11+Assumptions!$B$12)*0.05,0)</f>
        <v>0</v>
      </c>
      <c r="DC48" s="30" t="n">
        <f aca="false">IF(AND(Projects!$G$39="Yes",DC$3&gt;=Projects!$C$39,DC$3&lt;Projects!$C$39+Projects!$D$39),Projects!$B$39*INDEX(Curves!$B$4:$AR$4,1,DC$3-Projects!$C$39+1),0)-IF(AND(Projects!$G$39="Yes",DC$3&gt;=Projects!$C$39,DC$3&lt;Projects!$C$39+Projects!$D$39),Projects!$B$39*(Assumptions!$B$10+Assumptions!$B$11+Assumptions!$B$12)/Projects!$D$39*0.95,0)-IF(AND(Projects!$G$39="Yes",DC$3=Projects!$C$39+Projects!$D$39-1),Projects!$B$39*(Assumptions!$B$10+Assumptions!$B$11+Assumptions!$B$12)*0.05,0)</f>
        <v>0</v>
      </c>
      <c r="DD48" s="30" t="n">
        <f aca="false">IF(AND(Projects!$G$39="Yes",DD$3&gt;=Projects!$C$39,DD$3&lt;Projects!$C$39+Projects!$D$39),Projects!$B$39*INDEX(Curves!$B$4:$AR$4,1,DD$3-Projects!$C$39+1),0)-IF(AND(Projects!$G$39="Yes",DD$3&gt;=Projects!$C$39,DD$3&lt;Projects!$C$39+Projects!$D$39),Projects!$B$39*(Assumptions!$B$10+Assumptions!$B$11+Assumptions!$B$12)/Projects!$D$39*0.95,0)-IF(AND(Projects!$G$39="Yes",DD$3=Projects!$C$39+Projects!$D$39-1),Projects!$B$39*(Assumptions!$B$10+Assumptions!$B$11+Assumptions!$B$12)*0.05,0)</f>
        <v>0</v>
      </c>
      <c r="DE48" s="30" t="n">
        <f aca="false">IF(AND(Projects!$G$39="Yes",DE$3&gt;=Projects!$C$39,DE$3&lt;Projects!$C$39+Projects!$D$39),Projects!$B$39*INDEX(Curves!$B$4:$AR$4,1,DE$3-Projects!$C$39+1),0)-IF(AND(Projects!$G$39="Yes",DE$3&gt;=Projects!$C$39,DE$3&lt;Projects!$C$39+Projects!$D$39),Projects!$B$39*(Assumptions!$B$10+Assumptions!$B$11+Assumptions!$B$12)/Projects!$D$39*0.95,0)-IF(AND(Projects!$G$39="Yes",DE$3=Projects!$C$39+Projects!$D$39-1),Projects!$B$39*(Assumptions!$B$10+Assumptions!$B$11+Assumptions!$B$12)*0.05,0)</f>
        <v>0</v>
      </c>
    </row>
    <row r="49" customFormat="false" ht="15" hidden="true" customHeight="true" outlineLevel="1" collapsed="false">
      <c r="A49" s="32" t="s">
        <v>43</v>
      </c>
      <c r="B49" s="30" t="n">
        <v>0</v>
      </c>
      <c r="C49" s="30" t="n">
        <v>0</v>
      </c>
      <c r="D49" s="30" t="n">
        <v>0</v>
      </c>
      <c r="E49" s="30" t="n">
        <v>0</v>
      </c>
      <c r="F49" s="30" t="n">
        <f aca="false">IF(AND(Projects!$G$40="Yes",F$3&gt;=Projects!$C$40,F$3&lt;Projects!$C$40+Projects!$D$40),Projects!$B$40*INDEX(Curves!$B$4:$AR$4,1,F$3-Projects!$C$40+1),0)-IF(AND(Projects!$G$40="Yes",F$3&gt;=Projects!$C$40,F$3&lt;Projects!$C$40+Projects!$D$40),Projects!$B$40*(Assumptions!$B$10+Assumptions!$B$11+Assumptions!$B$12)/Projects!$D$40*0.95,0)-IF(AND(Projects!$G$40="Yes",F$3=Projects!$C$40+Projects!$D$40-1),Projects!$B$40*(Assumptions!$B$10+Assumptions!$B$11+Assumptions!$B$12)*0.05,0)</f>
        <v>0</v>
      </c>
      <c r="G49" s="30" t="n">
        <f aca="false">IF(AND(Projects!$G$40="Yes",G$3&gt;=Projects!$C$40,G$3&lt;Projects!$C$40+Projects!$D$40),Projects!$B$40*INDEX(Curves!$B$4:$AR$4,1,G$3-Projects!$C$40+1),0)-IF(AND(Projects!$G$40="Yes",G$3&gt;=Projects!$C$40,G$3&lt;Projects!$C$40+Projects!$D$40),Projects!$B$40*(Assumptions!$B$10+Assumptions!$B$11+Assumptions!$B$12)/Projects!$D$40*0.95,0)-IF(AND(Projects!$G$40="Yes",G$3=Projects!$C$40+Projects!$D$40-1),Projects!$B$40*(Assumptions!$B$10+Assumptions!$B$11+Assumptions!$B$12)*0.05,0)</f>
        <v>0</v>
      </c>
      <c r="H49" s="30" t="n">
        <f aca="false">IF(AND(Projects!$G$40="Yes",H$3&gt;=Projects!$C$40,H$3&lt;Projects!$C$40+Projects!$D$40),Projects!$B$40*INDEX(Curves!$B$4:$AR$4,1,H$3-Projects!$C$40+1),0)-IF(AND(Projects!$G$40="Yes",H$3&gt;=Projects!$C$40,H$3&lt;Projects!$C$40+Projects!$D$40),Projects!$B$40*(Assumptions!$B$10+Assumptions!$B$11+Assumptions!$B$12)/Projects!$D$40*0.95,0)-IF(AND(Projects!$G$40="Yes",H$3=Projects!$C$40+Projects!$D$40-1),Projects!$B$40*(Assumptions!$B$10+Assumptions!$B$11+Assumptions!$B$12)*0.05,0)</f>
        <v>0</v>
      </c>
      <c r="I49" s="30" t="n">
        <f aca="false">IF(AND(Projects!$G$40="Yes",I$3&gt;=Projects!$C$40,I$3&lt;Projects!$C$40+Projects!$D$40),Projects!$B$40*INDEX(Curves!$B$4:$AR$4,1,I$3-Projects!$C$40+1),0)-IF(AND(Projects!$G$40="Yes",I$3&gt;=Projects!$C$40,I$3&lt;Projects!$C$40+Projects!$D$40),Projects!$B$40*(Assumptions!$B$10+Assumptions!$B$11+Assumptions!$B$12)/Projects!$D$40*0.95,0)-IF(AND(Projects!$G$40="Yes",I$3=Projects!$C$40+Projects!$D$40-1),Projects!$B$40*(Assumptions!$B$10+Assumptions!$B$11+Assumptions!$B$12)*0.05,0)</f>
        <v>0</v>
      </c>
      <c r="J49" s="30" t="n">
        <f aca="false">IF(AND(Projects!$G$40="Yes",J$3&gt;=Projects!$C$40,J$3&lt;Projects!$C$40+Projects!$D$40),Projects!$B$40*INDEX(Curves!$B$4:$AR$4,1,J$3-Projects!$C$40+1),0)-IF(AND(Projects!$G$40="Yes",J$3&gt;=Projects!$C$40,J$3&lt;Projects!$C$40+Projects!$D$40),Projects!$B$40*(Assumptions!$B$10+Assumptions!$B$11+Assumptions!$B$12)/Projects!$D$40*0.95,0)-IF(AND(Projects!$G$40="Yes",J$3=Projects!$C$40+Projects!$D$40-1),Projects!$B$40*(Assumptions!$B$10+Assumptions!$B$11+Assumptions!$B$12)*0.05,0)</f>
        <v>0</v>
      </c>
      <c r="K49" s="30" t="n">
        <f aca="false">IF(AND(Projects!$G$40="Yes",K$3&gt;=Projects!$C$40,K$3&lt;Projects!$C$40+Projects!$D$40),Projects!$B$40*INDEX(Curves!$B$4:$AR$4,1,K$3-Projects!$C$40+1),0)-IF(AND(Projects!$G$40="Yes",K$3&gt;=Projects!$C$40,K$3&lt;Projects!$C$40+Projects!$D$40),Projects!$B$40*(Assumptions!$B$10+Assumptions!$B$11+Assumptions!$B$12)/Projects!$D$40*0.95,0)-IF(AND(Projects!$G$40="Yes",K$3=Projects!$C$40+Projects!$D$40-1),Projects!$B$40*(Assumptions!$B$10+Assumptions!$B$11+Assumptions!$B$12)*0.05,0)</f>
        <v>0</v>
      </c>
      <c r="L49" s="30" t="n">
        <f aca="false">IF(AND(Projects!$G$40="Yes",L$3&gt;=Projects!$C$40,L$3&lt;Projects!$C$40+Projects!$D$40),Projects!$B$40*INDEX(Curves!$B$4:$AR$4,1,L$3-Projects!$C$40+1),0)-IF(AND(Projects!$G$40="Yes",L$3&gt;=Projects!$C$40,L$3&lt;Projects!$C$40+Projects!$D$40),Projects!$B$40*(Assumptions!$B$10+Assumptions!$B$11+Assumptions!$B$12)/Projects!$D$40*0.95,0)-IF(AND(Projects!$G$40="Yes",L$3=Projects!$C$40+Projects!$D$40-1),Projects!$B$40*(Assumptions!$B$10+Assumptions!$B$11+Assumptions!$B$12)*0.05,0)</f>
        <v>0</v>
      </c>
      <c r="M49" s="30" t="n">
        <f aca="false">IF(AND(Projects!$G$40="Yes",M$3&gt;=Projects!$C$40,M$3&lt;Projects!$C$40+Projects!$D$40),Projects!$B$40*INDEX(Curves!$B$4:$AR$4,1,M$3-Projects!$C$40+1),0)-IF(AND(Projects!$G$40="Yes",M$3&gt;=Projects!$C$40,M$3&lt;Projects!$C$40+Projects!$D$40),Projects!$B$40*(Assumptions!$B$10+Assumptions!$B$11+Assumptions!$B$12)/Projects!$D$40*0.95,0)-IF(AND(Projects!$G$40="Yes",M$3=Projects!$C$40+Projects!$D$40-1),Projects!$B$40*(Assumptions!$B$10+Assumptions!$B$11+Assumptions!$B$12)*0.05,0)</f>
        <v>0</v>
      </c>
      <c r="N49" s="30" t="n">
        <f aca="false">IF(AND(Projects!$G$40="Yes",N$3&gt;=Projects!$C$40,N$3&lt;Projects!$C$40+Projects!$D$40),Projects!$B$40*INDEX(Curves!$B$4:$AR$4,1,N$3-Projects!$C$40+1),0)-IF(AND(Projects!$G$40="Yes",N$3&gt;=Projects!$C$40,N$3&lt;Projects!$C$40+Projects!$D$40),Projects!$B$40*(Assumptions!$B$10+Assumptions!$B$11+Assumptions!$B$12)/Projects!$D$40*0.95,0)-IF(AND(Projects!$G$40="Yes",N$3=Projects!$C$40+Projects!$D$40-1),Projects!$B$40*(Assumptions!$B$10+Assumptions!$B$11+Assumptions!$B$12)*0.05,0)</f>
        <v>0</v>
      </c>
      <c r="O49" s="30" t="n">
        <f aca="false">IF(AND(Projects!$G$40="Yes",O$3&gt;=Projects!$C$40,O$3&lt;Projects!$C$40+Projects!$D$40),Projects!$B$40*INDEX(Curves!$B$4:$AR$4,1,O$3-Projects!$C$40+1),0)-IF(AND(Projects!$G$40="Yes",O$3&gt;=Projects!$C$40,O$3&lt;Projects!$C$40+Projects!$D$40),Projects!$B$40*(Assumptions!$B$10+Assumptions!$B$11+Assumptions!$B$12)/Projects!$D$40*0.95,0)-IF(AND(Projects!$G$40="Yes",O$3=Projects!$C$40+Projects!$D$40-1),Projects!$B$40*(Assumptions!$B$10+Assumptions!$B$11+Assumptions!$B$12)*0.05,0)</f>
        <v>0</v>
      </c>
      <c r="P49" s="30" t="n">
        <f aca="false">IF(AND(Projects!$G$40="Yes",P$3&gt;=Projects!$C$40,P$3&lt;Projects!$C$40+Projects!$D$40),Projects!$B$40*INDEX(Curves!$B$4:$AR$4,1,P$3-Projects!$C$40+1),0)-IF(AND(Projects!$G$40="Yes",P$3&gt;=Projects!$C$40,P$3&lt;Projects!$C$40+Projects!$D$40),Projects!$B$40*(Assumptions!$B$10+Assumptions!$B$11+Assumptions!$B$12)/Projects!$D$40*0.95,0)-IF(AND(Projects!$G$40="Yes",P$3=Projects!$C$40+Projects!$D$40-1),Projects!$B$40*(Assumptions!$B$10+Assumptions!$B$11+Assumptions!$B$12)*0.05,0)</f>
        <v>0</v>
      </c>
      <c r="Q49" s="30" t="n">
        <f aca="false">IF(AND(Projects!$G$40="Yes",Q$3&gt;=Projects!$C$40,Q$3&lt;Projects!$C$40+Projects!$D$40),Projects!$B$40*INDEX(Curves!$B$4:$AR$4,1,Q$3-Projects!$C$40+1),0)-IF(AND(Projects!$G$40="Yes",Q$3&gt;=Projects!$C$40,Q$3&lt;Projects!$C$40+Projects!$D$40),Projects!$B$40*(Assumptions!$B$10+Assumptions!$B$11+Assumptions!$B$12)/Projects!$D$40*0.95,0)-IF(AND(Projects!$G$40="Yes",Q$3=Projects!$C$40+Projects!$D$40-1),Projects!$B$40*(Assumptions!$B$10+Assumptions!$B$11+Assumptions!$B$12)*0.05,0)</f>
        <v>0</v>
      </c>
      <c r="R49" s="30" t="n">
        <f aca="false">IF(AND(Projects!$G$40="Yes",R$3&gt;=Projects!$C$40,R$3&lt;Projects!$C$40+Projects!$D$40),Projects!$B$40*INDEX(Curves!$B$4:$AR$4,1,R$3-Projects!$C$40+1),0)-IF(AND(Projects!$G$40="Yes",R$3&gt;=Projects!$C$40,R$3&lt;Projects!$C$40+Projects!$D$40),Projects!$B$40*(Assumptions!$B$10+Assumptions!$B$11+Assumptions!$B$12)/Projects!$D$40*0.95,0)-IF(AND(Projects!$G$40="Yes",R$3=Projects!$C$40+Projects!$D$40-1),Projects!$B$40*(Assumptions!$B$10+Assumptions!$B$11+Assumptions!$B$12)*0.05,0)</f>
        <v>0</v>
      </c>
      <c r="S49" s="30" t="n">
        <f aca="false">IF(AND(Projects!$G$40="Yes",S$3&gt;=Projects!$C$40,S$3&lt;Projects!$C$40+Projects!$D$40),Projects!$B$40*INDEX(Curves!$B$4:$AR$4,1,S$3-Projects!$C$40+1),0)-IF(AND(Projects!$G$40="Yes",S$3&gt;=Projects!$C$40,S$3&lt;Projects!$C$40+Projects!$D$40),Projects!$B$40*(Assumptions!$B$10+Assumptions!$B$11+Assumptions!$B$12)/Projects!$D$40*0.95,0)-IF(AND(Projects!$G$40="Yes",S$3=Projects!$C$40+Projects!$D$40-1),Projects!$B$40*(Assumptions!$B$10+Assumptions!$B$11+Assumptions!$B$12)*0.05,0)</f>
        <v>0</v>
      </c>
      <c r="T49" s="30" t="n">
        <f aca="false">IF(AND(Projects!$G$40="Yes",T$3&gt;=Projects!$C$40,T$3&lt;Projects!$C$40+Projects!$D$40),Projects!$B$40*INDEX(Curves!$B$4:$AR$4,1,T$3-Projects!$C$40+1),0)-IF(AND(Projects!$G$40="Yes",T$3&gt;=Projects!$C$40,T$3&lt;Projects!$C$40+Projects!$D$40),Projects!$B$40*(Assumptions!$B$10+Assumptions!$B$11+Assumptions!$B$12)/Projects!$D$40*0.95,0)-IF(AND(Projects!$G$40="Yes",T$3=Projects!$C$40+Projects!$D$40-1),Projects!$B$40*(Assumptions!$B$10+Assumptions!$B$11+Assumptions!$B$12)*0.05,0)</f>
        <v>0</v>
      </c>
      <c r="U49" s="30" t="n">
        <f aca="false">IF(AND(Projects!$G$40="Yes",U$3&gt;=Projects!$C$40,U$3&lt;Projects!$C$40+Projects!$D$40),Projects!$B$40*INDEX(Curves!$B$4:$AR$4,1,U$3-Projects!$C$40+1),0)-IF(AND(Projects!$G$40="Yes",U$3&gt;=Projects!$C$40,U$3&lt;Projects!$C$40+Projects!$D$40),Projects!$B$40*(Assumptions!$B$10+Assumptions!$B$11+Assumptions!$B$12)/Projects!$D$40*0.95,0)-IF(AND(Projects!$G$40="Yes",U$3=Projects!$C$40+Projects!$D$40-1),Projects!$B$40*(Assumptions!$B$10+Assumptions!$B$11+Assumptions!$B$12)*0.05,0)</f>
        <v>0</v>
      </c>
      <c r="V49" s="30" t="n">
        <f aca="false">IF(AND(Projects!$G$40="Yes",V$3&gt;=Projects!$C$40,V$3&lt;Projects!$C$40+Projects!$D$40),Projects!$B$40*INDEX(Curves!$B$4:$AR$4,1,V$3-Projects!$C$40+1),0)-IF(AND(Projects!$G$40="Yes",V$3&gt;=Projects!$C$40,V$3&lt;Projects!$C$40+Projects!$D$40),Projects!$B$40*(Assumptions!$B$10+Assumptions!$B$11+Assumptions!$B$12)/Projects!$D$40*0.95,0)-IF(AND(Projects!$G$40="Yes",V$3=Projects!$C$40+Projects!$D$40-1),Projects!$B$40*(Assumptions!$B$10+Assumptions!$B$11+Assumptions!$B$12)*0.05,0)</f>
        <v>0</v>
      </c>
      <c r="W49" s="30" t="n">
        <f aca="false">IF(AND(Projects!$G$40="Yes",W$3&gt;=Projects!$C$40,W$3&lt;Projects!$C$40+Projects!$D$40),Projects!$B$40*INDEX(Curves!$B$4:$AR$4,1,W$3-Projects!$C$40+1),0)-IF(AND(Projects!$G$40="Yes",W$3&gt;=Projects!$C$40,W$3&lt;Projects!$C$40+Projects!$D$40),Projects!$B$40*(Assumptions!$B$10+Assumptions!$B$11+Assumptions!$B$12)/Projects!$D$40*0.95,0)-IF(AND(Projects!$G$40="Yes",W$3=Projects!$C$40+Projects!$D$40-1),Projects!$B$40*(Assumptions!$B$10+Assumptions!$B$11+Assumptions!$B$12)*0.05,0)</f>
        <v>0</v>
      </c>
      <c r="X49" s="30" t="n">
        <f aca="false">IF(AND(Projects!$G$40="Yes",X$3&gt;=Projects!$C$40,X$3&lt;Projects!$C$40+Projects!$D$40),Projects!$B$40*INDEX(Curves!$B$4:$AR$4,1,X$3-Projects!$C$40+1),0)-IF(AND(Projects!$G$40="Yes",X$3&gt;=Projects!$C$40,X$3&lt;Projects!$C$40+Projects!$D$40),Projects!$B$40*(Assumptions!$B$10+Assumptions!$B$11+Assumptions!$B$12)/Projects!$D$40*0.95,0)-IF(AND(Projects!$G$40="Yes",X$3=Projects!$C$40+Projects!$D$40-1),Projects!$B$40*(Assumptions!$B$10+Assumptions!$B$11+Assumptions!$B$12)*0.05,0)</f>
        <v>0</v>
      </c>
      <c r="Y49" s="30" t="n">
        <f aca="false">IF(AND(Projects!$G$40="Yes",Y$3&gt;=Projects!$C$40,Y$3&lt;Projects!$C$40+Projects!$D$40),Projects!$B$40*INDEX(Curves!$B$4:$AR$4,1,Y$3-Projects!$C$40+1),0)-IF(AND(Projects!$G$40="Yes",Y$3&gt;=Projects!$C$40,Y$3&lt;Projects!$C$40+Projects!$D$40),Projects!$B$40*(Assumptions!$B$10+Assumptions!$B$11+Assumptions!$B$12)/Projects!$D$40*0.95,0)-IF(AND(Projects!$G$40="Yes",Y$3=Projects!$C$40+Projects!$D$40-1),Projects!$B$40*(Assumptions!$B$10+Assumptions!$B$11+Assumptions!$B$12)*0.05,0)</f>
        <v>0</v>
      </c>
      <c r="Z49" s="30" t="n">
        <f aca="false">IF(AND(Projects!$G$40="Yes",Z$3&gt;=Projects!$C$40,Z$3&lt;Projects!$C$40+Projects!$D$40),Projects!$B$40*INDEX(Curves!$B$4:$AR$4,1,Z$3-Projects!$C$40+1),0)-IF(AND(Projects!$G$40="Yes",Z$3&gt;=Projects!$C$40,Z$3&lt;Projects!$C$40+Projects!$D$40),Projects!$B$40*(Assumptions!$B$10+Assumptions!$B$11+Assumptions!$B$12)/Projects!$D$40*0.95,0)-IF(AND(Projects!$G$40="Yes",Z$3=Projects!$C$40+Projects!$D$40-1),Projects!$B$40*(Assumptions!$B$10+Assumptions!$B$11+Assumptions!$B$12)*0.05,0)</f>
        <v>0</v>
      </c>
      <c r="AA49" s="30" t="n">
        <f aca="false">IF(AND(Projects!$G$40="Yes",AA$3&gt;=Projects!$C$40,AA$3&lt;Projects!$C$40+Projects!$D$40),Projects!$B$40*INDEX(Curves!$B$4:$AR$4,1,AA$3-Projects!$C$40+1),0)-IF(AND(Projects!$G$40="Yes",AA$3&gt;=Projects!$C$40,AA$3&lt;Projects!$C$40+Projects!$D$40),Projects!$B$40*(Assumptions!$B$10+Assumptions!$B$11+Assumptions!$B$12)/Projects!$D$40*0.95,0)-IF(AND(Projects!$G$40="Yes",AA$3=Projects!$C$40+Projects!$D$40-1),Projects!$B$40*(Assumptions!$B$10+Assumptions!$B$11+Assumptions!$B$12)*0.05,0)</f>
        <v>0</v>
      </c>
      <c r="AB49" s="30" t="n">
        <f aca="false">IF(AND(Projects!$G$40="Yes",AB$3&gt;=Projects!$C$40,AB$3&lt;Projects!$C$40+Projects!$D$40),Projects!$B$40*INDEX(Curves!$B$4:$AR$4,1,AB$3-Projects!$C$40+1),0)-IF(AND(Projects!$G$40="Yes",AB$3&gt;=Projects!$C$40,AB$3&lt;Projects!$C$40+Projects!$D$40),Projects!$B$40*(Assumptions!$B$10+Assumptions!$B$11+Assumptions!$B$12)/Projects!$D$40*0.95,0)-IF(AND(Projects!$G$40="Yes",AB$3=Projects!$C$40+Projects!$D$40-1),Projects!$B$40*(Assumptions!$B$10+Assumptions!$B$11+Assumptions!$B$12)*0.05,0)</f>
        <v>0</v>
      </c>
      <c r="AC49" s="30" t="n">
        <f aca="false">IF(AND(Projects!$G$40="Yes",AC$3&gt;=Projects!$C$40,AC$3&lt;Projects!$C$40+Projects!$D$40),Projects!$B$40*INDEX(Curves!$B$4:$AR$4,1,AC$3-Projects!$C$40+1),0)-IF(AND(Projects!$G$40="Yes",AC$3&gt;=Projects!$C$40,AC$3&lt;Projects!$C$40+Projects!$D$40),Projects!$B$40*(Assumptions!$B$10+Assumptions!$B$11+Assumptions!$B$12)/Projects!$D$40*0.95,0)-IF(AND(Projects!$G$40="Yes",AC$3=Projects!$C$40+Projects!$D$40-1),Projects!$B$40*(Assumptions!$B$10+Assumptions!$B$11+Assumptions!$B$12)*0.05,0)</f>
        <v>0</v>
      </c>
      <c r="AD49" s="30" t="n">
        <f aca="false">IF(AND(Projects!$G$40="Yes",AD$3&gt;=Projects!$C$40,AD$3&lt;Projects!$C$40+Projects!$D$40),Projects!$B$40*INDEX(Curves!$B$4:$AR$4,1,AD$3-Projects!$C$40+1),0)-IF(AND(Projects!$G$40="Yes",AD$3&gt;=Projects!$C$40,AD$3&lt;Projects!$C$40+Projects!$D$40),Projects!$B$40*(Assumptions!$B$10+Assumptions!$B$11+Assumptions!$B$12)/Projects!$D$40*0.95,0)-IF(AND(Projects!$G$40="Yes",AD$3=Projects!$C$40+Projects!$D$40-1),Projects!$B$40*(Assumptions!$B$10+Assumptions!$B$11+Assumptions!$B$12)*0.05,0)</f>
        <v>0</v>
      </c>
      <c r="AE49" s="30" t="n">
        <f aca="false">IF(AND(Projects!$G$40="Yes",AE$3&gt;=Projects!$C$40,AE$3&lt;Projects!$C$40+Projects!$D$40),Projects!$B$40*INDEX(Curves!$B$4:$AR$4,1,AE$3-Projects!$C$40+1),0)-IF(AND(Projects!$G$40="Yes",AE$3&gt;=Projects!$C$40,AE$3&lt;Projects!$C$40+Projects!$D$40),Projects!$B$40*(Assumptions!$B$10+Assumptions!$B$11+Assumptions!$B$12)/Projects!$D$40*0.95,0)-IF(AND(Projects!$G$40="Yes",AE$3=Projects!$C$40+Projects!$D$40-1),Projects!$B$40*(Assumptions!$B$10+Assumptions!$B$11+Assumptions!$B$12)*0.05,0)</f>
        <v>0</v>
      </c>
      <c r="AF49" s="30" t="n">
        <f aca="false">IF(AND(Projects!$G$40="Yes",AF$3&gt;=Projects!$C$40,AF$3&lt;Projects!$C$40+Projects!$D$40),Projects!$B$40*INDEX(Curves!$B$4:$AR$4,1,AF$3-Projects!$C$40+1),0)-IF(AND(Projects!$G$40="Yes",AF$3&gt;=Projects!$C$40,AF$3&lt;Projects!$C$40+Projects!$D$40),Projects!$B$40*(Assumptions!$B$10+Assumptions!$B$11+Assumptions!$B$12)/Projects!$D$40*0.95,0)-IF(AND(Projects!$G$40="Yes",AF$3=Projects!$C$40+Projects!$D$40-1),Projects!$B$40*(Assumptions!$B$10+Assumptions!$B$11+Assumptions!$B$12)*0.05,0)</f>
        <v>0</v>
      </c>
      <c r="AG49" s="30" t="n">
        <f aca="false">IF(AND(Projects!$G$40="Yes",AG$3&gt;=Projects!$C$40,AG$3&lt;Projects!$C$40+Projects!$D$40),Projects!$B$40*INDEX(Curves!$B$4:$AR$4,1,AG$3-Projects!$C$40+1),0)-IF(AND(Projects!$G$40="Yes",AG$3&gt;=Projects!$C$40,AG$3&lt;Projects!$C$40+Projects!$D$40),Projects!$B$40*(Assumptions!$B$10+Assumptions!$B$11+Assumptions!$B$12)/Projects!$D$40*0.95,0)-IF(AND(Projects!$G$40="Yes",AG$3=Projects!$C$40+Projects!$D$40-1),Projects!$B$40*(Assumptions!$B$10+Assumptions!$B$11+Assumptions!$B$12)*0.05,0)</f>
        <v>0</v>
      </c>
      <c r="AH49" s="30" t="n">
        <f aca="false">IF(AND(Projects!$G$40="Yes",AH$3&gt;=Projects!$C$40,AH$3&lt;Projects!$C$40+Projects!$D$40),Projects!$B$40*INDEX(Curves!$B$4:$AR$4,1,AH$3-Projects!$C$40+1),0)-IF(AND(Projects!$G$40="Yes",AH$3&gt;=Projects!$C$40,AH$3&lt;Projects!$C$40+Projects!$D$40),Projects!$B$40*(Assumptions!$B$10+Assumptions!$B$11+Assumptions!$B$12)/Projects!$D$40*0.95,0)-IF(AND(Projects!$G$40="Yes",AH$3=Projects!$C$40+Projects!$D$40-1),Projects!$B$40*(Assumptions!$B$10+Assumptions!$B$11+Assumptions!$B$12)*0.05,0)</f>
        <v>0</v>
      </c>
      <c r="AI49" s="30" t="n">
        <f aca="false">IF(AND(Projects!$G$40="Yes",AI$3&gt;=Projects!$C$40,AI$3&lt;Projects!$C$40+Projects!$D$40),Projects!$B$40*INDEX(Curves!$B$4:$AR$4,1,AI$3-Projects!$C$40+1),0)-IF(AND(Projects!$G$40="Yes",AI$3&gt;=Projects!$C$40,AI$3&lt;Projects!$C$40+Projects!$D$40),Projects!$B$40*(Assumptions!$B$10+Assumptions!$B$11+Assumptions!$B$12)/Projects!$D$40*0.95,0)-IF(AND(Projects!$G$40="Yes",AI$3=Projects!$C$40+Projects!$D$40-1),Projects!$B$40*(Assumptions!$B$10+Assumptions!$B$11+Assumptions!$B$12)*0.05,0)</f>
        <v>0</v>
      </c>
      <c r="AJ49" s="30" t="n">
        <f aca="false">IF(AND(Projects!$G$40="Yes",AJ$3&gt;=Projects!$C$40,AJ$3&lt;Projects!$C$40+Projects!$D$40),Projects!$B$40*INDEX(Curves!$B$4:$AR$4,1,AJ$3-Projects!$C$40+1),0)-IF(AND(Projects!$G$40="Yes",AJ$3&gt;=Projects!$C$40,AJ$3&lt;Projects!$C$40+Projects!$D$40),Projects!$B$40*(Assumptions!$B$10+Assumptions!$B$11+Assumptions!$B$12)/Projects!$D$40*0.95,0)-IF(AND(Projects!$G$40="Yes",AJ$3=Projects!$C$40+Projects!$D$40-1),Projects!$B$40*(Assumptions!$B$10+Assumptions!$B$11+Assumptions!$B$12)*0.05,0)</f>
        <v>0</v>
      </c>
      <c r="AK49" s="30" t="n">
        <f aca="false">IF(AND(Projects!$G$40="Yes",AK$3&gt;=Projects!$C$40,AK$3&lt;Projects!$C$40+Projects!$D$40),Projects!$B$40*INDEX(Curves!$B$4:$AR$4,1,AK$3-Projects!$C$40+1),0)-IF(AND(Projects!$G$40="Yes",AK$3&gt;=Projects!$C$40,AK$3&lt;Projects!$C$40+Projects!$D$40),Projects!$B$40*(Assumptions!$B$10+Assumptions!$B$11+Assumptions!$B$12)/Projects!$D$40*0.95,0)-IF(AND(Projects!$G$40="Yes",AK$3=Projects!$C$40+Projects!$D$40-1),Projects!$B$40*(Assumptions!$B$10+Assumptions!$B$11+Assumptions!$B$12)*0.05,0)</f>
        <v>0</v>
      </c>
      <c r="AL49" s="30" t="n">
        <f aca="false">IF(AND(Projects!$G$40="Yes",AL$3&gt;=Projects!$C$40,AL$3&lt;Projects!$C$40+Projects!$D$40),Projects!$B$40*INDEX(Curves!$B$4:$AR$4,1,AL$3-Projects!$C$40+1),0)-IF(AND(Projects!$G$40="Yes",AL$3&gt;=Projects!$C$40,AL$3&lt;Projects!$C$40+Projects!$D$40),Projects!$B$40*(Assumptions!$B$10+Assumptions!$B$11+Assumptions!$B$12)/Projects!$D$40*0.95,0)-IF(AND(Projects!$G$40="Yes",AL$3=Projects!$C$40+Projects!$D$40-1),Projects!$B$40*(Assumptions!$B$10+Assumptions!$B$11+Assumptions!$B$12)*0.05,0)</f>
        <v>0</v>
      </c>
      <c r="AM49" s="30" t="n">
        <f aca="false">IF(AND(Projects!$G$40="Yes",AM$3&gt;=Projects!$C$40,AM$3&lt;Projects!$C$40+Projects!$D$40),Projects!$B$40*INDEX(Curves!$B$4:$AR$4,1,AM$3-Projects!$C$40+1),0)-IF(AND(Projects!$G$40="Yes",AM$3&gt;=Projects!$C$40,AM$3&lt;Projects!$C$40+Projects!$D$40),Projects!$B$40*(Assumptions!$B$10+Assumptions!$B$11+Assumptions!$B$12)/Projects!$D$40*0.95,0)-IF(AND(Projects!$G$40="Yes",AM$3=Projects!$C$40+Projects!$D$40-1),Projects!$B$40*(Assumptions!$B$10+Assumptions!$B$11+Assumptions!$B$12)*0.05,0)</f>
        <v>0</v>
      </c>
      <c r="AN49" s="30" t="n">
        <f aca="false">IF(AND(Projects!$G$40="Yes",AN$3&gt;=Projects!$C$40,AN$3&lt;Projects!$C$40+Projects!$D$40),Projects!$B$40*INDEX(Curves!$B$4:$AR$4,1,AN$3-Projects!$C$40+1),0)-IF(AND(Projects!$G$40="Yes",AN$3&gt;=Projects!$C$40,AN$3&lt;Projects!$C$40+Projects!$D$40),Projects!$B$40*(Assumptions!$B$10+Assumptions!$B$11+Assumptions!$B$12)/Projects!$D$40*0.95,0)-IF(AND(Projects!$G$40="Yes",AN$3=Projects!$C$40+Projects!$D$40-1),Projects!$B$40*(Assumptions!$B$10+Assumptions!$B$11+Assumptions!$B$12)*0.05,0)</f>
        <v>0</v>
      </c>
      <c r="AO49" s="30" t="n">
        <f aca="false">IF(AND(Projects!$G$40="Yes",AO$3&gt;=Projects!$C$40,AO$3&lt;Projects!$C$40+Projects!$D$40),Projects!$B$40*INDEX(Curves!$B$4:$AR$4,1,AO$3-Projects!$C$40+1),0)-IF(AND(Projects!$G$40="Yes",AO$3&gt;=Projects!$C$40,AO$3&lt;Projects!$C$40+Projects!$D$40),Projects!$B$40*(Assumptions!$B$10+Assumptions!$B$11+Assumptions!$B$12)/Projects!$D$40*0.95,0)-IF(AND(Projects!$G$40="Yes",AO$3=Projects!$C$40+Projects!$D$40-1),Projects!$B$40*(Assumptions!$B$10+Assumptions!$B$11+Assumptions!$B$12)*0.05,0)</f>
        <v>0</v>
      </c>
      <c r="AP49" s="30" t="n">
        <f aca="false">IF(AND(Projects!$G$40="Yes",AP$3&gt;=Projects!$C$40,AP$3&lt;Projects!$C$40+Projects!$D$40),Projects!$B$40*INDEX(Curves!$B$4:$AR$4,1,AP$3-Projects!$C$40+1),0)-IF(AND(Projects!$G$40="Yes",AP$3&gt;=Projects!$C$40,AP$3&lt;Projects!$C$40+Projects!$D$40),Projects!$B$40*(Assumptions!$B$10+Assumptions!$B$11+Assumptions!$B$12)/Projects!$D$40*0.95,0)-IF(AND(Projects!$G$40="Yes",AP$3=Projects!$C$40+Projects!$D$40-1),Projects!$B$40*(Assumptions!$B$10+Assumptions!$B$11+Assumptions!$B$12)*0.05,0)</f>
        <v>0</v>
      </c>
      <c r="AQ49" s="30" t="n">
        <f aca="false">IF(AND(Projects!$G$40="Yes",AQ$3&gt;=Projects!$C$40,AQ$3&lt;Projects!$C$40+Projects!$D$40),Projects!$B$40*INDEX(Curves!$B$4:$AR$4,1,AQ$3-Projects!$C$40+1),0)-IF(AND(Projects!$G$40="Yes",AQ$3&gt;=Projects!$C$40,AQ$3&lt;Projects!$C$40+Projects!$D$40),Projects!$B$40*(Assumptions!$B$10+Assumptions!$B$11+Assumptions!$B$12)/Projects!$D$40*0.95,0)-IF(AND(Projects!$G$40="Yes",AQ$3=Projects!$C$40+Projects!$D$40-1),Projects!$B$40*(Assumptions!$B$10+Assumptions!$B$11+Assumptions!$B$12)*0.05,0)</f>
        <v>0</v>
      </c>
      <c r="AR49" s="30" t="n">
        <f aca="false">IF(AND(Projects!$G$40="Yes",AR$3&gt;=Projects!$C$40,AR$3&lt;Projects!$C$40+Projects!$D$40),Projects!$B$40*INDEX(Curves!$B$4:$AR$4,1,AR$3-Projects!$C$40+1),0)-IF(AND(Projects!$G$40="Yes",AR$3&gt;=Projects!$C$40,AR$3&lt;Projects!$C$40+Projects!$D$40),Projects!$B$40*(Assumptions!$B$10+Assumptions!$B$11+Assumptions!$B$12)/Projects!$D$40*0.95,0)-IF(AND(Projects!$G$40="Yes",AR$3=Projects!$C$40+Projects!$D$40-1),Projects!$B$40*(Assumptions!$B$10+Assumptions!$B$11+Assumptions!$B$12)*0.05,0)</f>
        <v>0</v>
      </c>
      <c r="AS49" s="30" t="n">
        <f aca="false">IF(AND(Projects!$G$40="Yes",AS$3&gt;=Projects!$C$40,AS$3&lt;Projects!$C$40+Projects!$D$40),Projects!$B$40*INDEX(Curves!$B$4:$AR$4,1,AS$3-Projects!$C$40+1),0)-IF(AND(Projects!$G$40="Yes",AS$3&gt;=Projects!$C$40,AS$3&lt;Projects!$C$40+Projects!$D$40),Projects!$B$40*(Assumptions!$B$10+Assumptions!$B$11+Assumptions!$B$12)/Projects!$D$40*0.95,0)-IF(AND(Projects!$G$40="Yes",AS$3=Projects!$C$40+Projects!$D$40-1),Projects!$B$40*(Assumptions!$B$10+Assumptions!$B$11+Assumptions!$B$12)*0.05,0)</f>
        <v>0</v>
      </c>
      <c r="AT49" s="30" t="n">
        <f aca="false">IF(AND(Projects!$G$40="Yes",AT$3&gt;=Projects!$C$40,AT$3&lt;Projects!$C$40+Projects!$D$40),Projects!$B$40*INDEX(Curves!$B$4:$AR$4,1,AT$3-Projects!$C$40+1),0)-IF(AND(Projects!$G$40="Yes",AT$3&gt;=Projects!$C$40,AT$3&lt;Projects!$C$40+Projects!$D$40),Projects!$B$40*(Assumptions!$B$10+Assumptions!$B$11+Assumptions!$B$12)/Projects!$D$40*0.95,0)-IF(AND(Projects!$G$40="Yes",AT$3=Projects!$C$40+Projects!$D$40-1),Projects!$B$40*(Assumptions!$B$10+Assumptions!$B$11+Assumptions!$B$12)*0.05,0)</f>
        <v>0</v>
      </c>
      <c r="AU49" s="30" t="n">
        <f aca="false">IF(AND(Projects!$G$40="Yes",AU$3&gt;=Projects!$C$40,AU$3&lt;Projects!$C$40+Projects!$D$40),Projects!$B$40*INDEX(Curves!$B$4:$AR$4,1,AU$3-Projects!$C$40+1),0)-IF(AND(Projects!$G$40="Yes",AU$3&gt;=Projects!$C$40,AU$3&lt;Projects!$C$40+Projects!$D$40),Projects!$B$40*(Assumptions!$B$10+Assumptions!$B$11+Assumptions!$B$12)/Projects!$D$40*0.95,0)-IF(AND(Projects!$G$40="Yes",AU$3=Projects!$C$40+Projects!$D$40-1),Projects!$B$40*(Assumptions!$B$10+Assumptions!$B$11+Assumptions!$B$12)*0.05,0)</f>
        <v>0</v>
      </c>
      <c r="AV49" s="30" t="n">
        <f aca="false">IF(AND(Projects!$G$40="Yes",AV$3&gt;=Projects!$C$40,AV$3&lt;Projects!$C$40+Projects!$D$40),Projects!$B$40*INDEX(Curves!$B$4:$AR$4,1,AV$3-Projects!$C$40+1),0)-IF(AND(Projects!$G$40="Yes",AV$3&gt;=Projects!$C$40,AV$3&lt;Projects!$C$40+Projects!$D$40),Projects!$B$40*(Assumptions!$B$10+Assumptions!$B$11+Assumptions!$B$12)/Projects!$D$40*0.95,0)-IF(AND(Projects!$G$40="Yes",AV$3=Projects!$C$40+Projects!$D$40-1),Projects!$B$40*(Assumptions!$B$10+Assumptions!$B$11+Assumptions!$B$12)*0.05,0)</f>
        <v>0</v>
      </c>
      <c r="AW49" s="30" t="n">
        <f aca="false">IF(AND(Projects!$G$40="Yes",AW$3&gt;=Projects!$C$40,AW$3&lt;Projects!$C$40+Projects!$D$40),Projects!$B$40*INDEX(Curves!$B$4:$AR$4,1,AW$3-Projects!$C$40+1),0)-IF(AND(Projects!$G$40="Yes",AW$3&gt;=Projects!$C$40,AW$3&lt;Projects!$C$40+Projects!$D$40),Projects!$B$40*(Assumptions!$B$10+Assumptions!$B$11+Assumptions!$B$12)/Projects!$D$40*0.95,0)-IF(AND(Projects!$G$40="Yes",AW$3=Projects!$C$40+Projects!$D$40-1),Projects!$B$40*(Assumptions!$B$10+Assumptions!$B$11+Assumptions!$B$12)*0.05,0)</f>
        <v>0</v>
      </c>
      <c r="AX49" s="30" t="n">
        <f aca="false">IF(AND(Projects!$G$40="Yes",AX$3&gt;=Projects!$C$40,AX$3&lt;Projects!$C$40+Projects!$D$40),Projects!$B$40*INDEX(Curves!$B$4:$AR$4,1,AX$3-Projects!$C$40+1),0)-IF(AND(Projects!$G$40="Yes",AX$3&gt;=Projects!$C$40,AX$3&lt;Projects!$C$40+Projects!$D$40),Projects!$B$40*(Assumptions!$B$10+Assumptions!$B$11+Assumptions!$B$12)/Projects!$D$40*0.95,0)-IF(AND(Projects!$G$40="Yes",AX$3=Projects!$C$40+Projects!$D$40-1),Projects!$B$40*(Assumptions!$B$10+Assumptions!$B$11+Assumptions!$B$12)*0.05,0)</f>
        <v>0</v>
      </c>
      <c r="AY49" s="30" t="n">
        <f aca="false">IF(AND(Projects!$G$40="Yes",AY$3&gt;=Projects!$C$40,AY$3&lt;Projects!$C$40+Projects!$D$40),Projects!$B$40*INDEX(Curves!$B$4:$AR$4,1,AY$3-Projects!$C$40+1),0)-IF(AND(Projects!$G$40="Yes",AY$3&gt;=Projects!$C$40,AY$3&lt;Projects!$C$40+Projects!$D$40),Projects!$B$40*(Assumptions!$B$10+Assumptions!$B$11+Assumptions!$B$12)/Projects!$D$40*0.95,0)-IF(AND(Projects!$G$40="Yes",AY$3=Projects!$C$40+Projects!$D$40-1),Projects!$B$40*(Assumptions!$B$10+Assumptions!$B$11+Assumptions!$B$12)*0.05,0)</f>
        <v>0</v>
      </c>
      <c r="AZ49" s="30" t="n">
        <f aca="false">IF(AND(Projects!$G$40="Yes",AZ$3&gt;=Projects!$C$40,AZ$3&lt;Projects!$C$40+Projects!$D$40),Projects!$B$40*INDEX(Curves!$B$4:$AR$4,1,AZ$3-Projects!$C$40+1),0)-IF(AND(Projects!$G$40="Yes",AZ$3&gt;=Projects!$C$40,AZ$3&lt;Projects!$C$40+Projects!$D$40),Projects!$B$40*(Assumptions!$B$10+Assumptions!$B$11+Assumptions!$B$12)/Projects!$D$40*0.95,0)-IF(AND(Projects!$G$40="Yes",AZ$3=Projects!$C$40+Projects!$D$40-1),Projects!$B$40*(Assumptions!$B$10+Assumptions!$B$11+Assumptions!$B$12)*0.05,0)</f>
        <v>0</v>
      </c>
      <c r="BA49" s="30" t="n">
        <f aca="false">IF(AND(Projects!$G$40="Yes",BA$3&gt;=Projects!$C$40,BA$3&lt;Projects!$C$40+Projects!$D$40),Projects!$B$40*INDEX(Curves!$B$4:$AR$4,1,BA$3-Projects!$C$40+1),0)-IF(AND(Projects!$G$40="Yes",BA$3&gt;=Projects!$C$40,BA$3&lt;Projects!$C$40+Projects!$D$40),Projects!$B$40*(Assumptions!$B$10+Assumptions!$B$11+Assumptions!$B$12)/Projects!$D$40*0.95,0)-IF(AND(Projects!$G$40="Yes",BA$3=Projects!$C$40+Projects!$D$40-1),Projects!$B$40*(Assumptions!$B$10+Assumptions!$B$11+Assumptions!$B$12)*0.05,0)</f>
        <v>0</v>
      </c>
      <c r="BB49" s="30" t="n">
        <f aca="false">IF(AND(Projects!$G$40="Yes",BB$3&gt;=Projects!$C$40,BB$3&lt;Projects!$C$40+Projects!$D$40),Projects!$B$40*INDEX(Curves!$B$4:$AR$4,1,BB$3-Projects!$C$40+1),0)-IF(AND(Projects!$G$40="Yes",BB$3&gt;=Projects!$C$40,BB$3&lt;Projects!$C$40+Projects!$D$40),Projects!$B$40*(Assumptions!$B$10+Assumptions!$B$11+Assumptions!$B$12)/Projects!$D$40*0.95,0)-IF(AND(Projects!$G$40="Yes",BB$3=Projects!$C$40+Projects!$D$40-1),Projects!$B$40*(Assumptions!$B$10+Assumptions!$B$11+Assumptions!$B$12)*0.05,0)</f>
        <v>0</v>
      </c>
      <c r="BC49" s="30" t="n">
        <f aca="false">IF(AND(Projects!$G$40="Yes",BC$3&gt;=Projects!$C$40,BC$3&lt;Projects!$C$40+Projects!$D$40),Projects!$B$40*INDEX(Curves!$B$4:$AR$4,1,BC$3-Projects!$C$40+1),0)-IF(AND(Projects!$G$40="Yes",BC$3&gt;=Projects!$C$40,BC$3&lt;Projects!$C$40+Projects!$D$40),Projects!$B$40*(Assumptions!$B$10+Assumptions!$B$11+Assumptions!$B$12)/Projects!$D$40*0.95,0)-IF(AND(Projects!$G$40="Yes",BC$3=Projects!$C$40+Projects!$D$40-1),Projects!$B$40*(Assumptions!$B$10+Assumptions!$B$11+Assumptions!$B$12)*0.05,0)</f>
        <v>0</v>
      </c>
      <c r="BD49" s="30" t="n">
        <f aca="false">IF(AND(Projects!$G$40="Yes",BD$3&gt;=Projects!$C$40,BD$3&lt;Projects!$C$40+Projects!$D$40),Projects!$B$40*INDEX(Curves!$B$4:$AR$4,1,BD$3-Projects!$C$40+1),0)-IF(AND(Projects!$G$40="Yes",BD$3&gt;=Projects!$C$40,BD$3&lt;Projects!$C$40+Projects!$D$40),Projects!$B$40*(Assumptions!$B$10+Assumptions!$B$11+Assumptions!$B$12)/Projects!$D$40*0.95,0)-IF(AND(Projects!$G$40="Yes",BD$3=Projects!$C$40+Projects!$D$40-1),Projects!$B$40*(Assumptions!$B$10+Assumptions!$B$11+Assumptions!$B$12)*0.05,0)</f>
        <v>0</v>
      </c>
      <c r="BE49" s="30" t="n">
        <f aca="false">IF(AND(Projects!$G$40="Yes",BE$3&gt;=Projects!$C$40,BE$3&lt;Projects!$C$40+Projects!$D$40),Projects!$B$40*INDEX(Curves!$B$4:$AR$4,1,BE$3-Projects!$C$40+1),0)-IF(AND(Projects!$G$40="Yes",BE$3&gt;=Projects!$C$40,BE$3&lt;Projects!$C$40+Projects!$D$40),Projects!$B$40*(Assumptions!$B$10+Assumptions!$B$11+Assumptions!$B$12)/Projects!$D$40*0.95,0)-IF(AND(Projects!$G$40="Yes",BE$3=Projects!$C$40+Projects!$D$40-1),Projects!$B$40*(Assumptions!$B$10+Assumptions!$B$11+Assumptions!$B$12)*0.05,0)</f>
        <v>0</v>
      </c>
      <c r="BF49" s="30" t="n">
        <f aca="false">IF(AND(Projects!$G$40="Yes",BF$3&gt;=Projects!$C$40,BF$3&lt;Projects!$C$40+Projects!$D$40),Projects!$B$40*INDEX(Curves!$B$4:$AR$4,1,BF$3-Projects!$C$40+1),0)-IF(AND(Projects!$G$40="Yes",BF$3&gt;=Projects!$C$40,BF$3&lt;Projects!$C$40+Projects!$D$40),Projects!$B$40*(Assumptions!$B$10+Assumptions!$B$11+Assumptions!$B$12)/Projects!$D$40*0.95,0)-IF(AND(Projects!$G$40="Yes",BF$3=Projects!$C$40+Projects!$D$40-1),Projects!$B$40*(Assumptions!$B$10+Assumptions!$B$11+Assumptions!$B$12)*0.05,0)</f>
        <v>0</v>
      </c>
      <c r="BG49" s="30" t="n">
        <f aca="false">IF(AND(Projects!$G$40="Yes",BG$3&gt;=Projects!$C$40,BG$3&lt;Projects!$C$40+Projects!$D$40),Projects!$B$40*INDEX(Curves!$B$4:$AR$4,1,BG$3-Projects!$C$40+1),0)-IF(AND(Projects!$G$40="Yes",BG$3&gt;=Projects!$C$40,BG$3&lt;Projects!$C$40+Projects!$D$40),Projects!$B$40*(Assumptions!$B$10+Assumptions!$B$11+Assumptions!$B$12)/Projects!$D$40*0.95,0)-IF(AND(Projects!$G$40="Yes",BG$3=Projects!$C$40+Projects!$D$40-1),Projects!$B$40*(Assumptions!$B$10+Assumptions!$B$11+Assumptions!$B$12)*0.05,0)</f>
        <v>0</v>
      </c>
      <c r="BH49" s="30" t="n">
        <f aca="false">IF(AND(Projects!$G$40="Yes",BH$3&gt;=Projects!$C$40,BH$3&lt;Projects!$C$40+Projects!$D$40),Projects!$B$40*INDEX(Curves!$B$4:$AR$4,1,BH$3-Projects!$C$40+1),0)-IF(AND(Projects!$G$40="Yes",BH$3&gt;=Projects!$C$40,BH$3&lt;Projects!$C$40+Projects!$D$40),Projects!$B$40*(Assumptions!$B$10+Assumptions!$B$11+Assumptions!$B$12)/Projects!$D$40*0.95,0)-IF(AND(Projects!$G$40="Yes",BH$3=Projects!$C$40+Projects!$D$40-1),Projects!$B$40*(Assumptions!$B$10+Assumptions!$B$11+Assumptions!$B$12)*0.05,0)</f>
        <v>0</v>
      </c>
      <c r="BI49" s="30" t="n">
        <f aca="false">IF(AND(Projects!$G$40="Yes",BI$3&gt;=Projects!$C$40,BI$3&lt;Projects!$C$40+Projects!$D$40),Projects!$B$40*INDEX(Curves!$B$4:$AR$4,1,BI$3-Projects!$C$40+1),0)-IF(AND(Projects!$G$40="Yes",BI$3&gt;=Projects!$C$40,BI$3&lt;Projects!$C$40+Projects!$D$40),Projects!$B$40*(Assumptions!$B$10+Assumptions!$B$11+Assumptions!$B$12)/Projects!$D$40*0.95,0)-IF(AND(Projects!$G$40="Yes",BI$3=Projects!$C$40+Projects!$D$40-1),Projects!$B$40*(Assumptions!$B$10+Assumptions!$B$11+Assumptions!$B$12)*0.05,0)</f>
        <v>0</v>
      </c>
      <c r="BJ49" s="30" t="n">
        <f aca="false">IF(AND(Projects!$G$40="Yes",BJ$3&gt;=Projects!$C$40,BJ$3&lt;Projects!$C$40+Projects!$D$40),Projects!$B$40*INDEX(Curves!$B$4:$AR$4,1,BJ$3-Projects!$C$40+1),0)-IF(AND(Projects!$G$40="Yes",BJ$3&gt;=Projects!$C$40,BJ$3&lt;Projects!$C$40+Projects!$D$40),Projects!$B$40*(Assumptions!$B$10+Assumptions!$B$11+Assumptions!$B$12)/Projects!$D$40*0.95,0)-IF(AND(Projects!$G$40="Yes",BJ$3=Projects!$C$40+Projects!$D$40-1),Projects!$B$40*(Assumptions!$B$10+Assumptions!$B$11+Assumptions!$B$12)*0.05,0)</f>
        <v>0</v>
      </c>
      <c r="BK49" s="30" t="n">
        <f aca="false">IF(AND(Projects!$G$40="Yes",BK$3&gt;=Projects!$C$40,BK$3&lt;Projects!$C$40+Projects!$D$40),Projects!$B$40*INDEX(Curves!$B$4:$AR$4,1,BK$3-Projects!$C$40+1),0)-IF(AND(Projects!$G$40="Yes",BK$3&gt;=Projects!$C$40,BK$3&lt;Projects!$C$40+Projects!$D$40),Projects!$B$40*(Assumptions!$B$10+Assumptions!$B$11+Assumptions!$B$12)/Projects!$D$40*0.95,0)-IF(AND(Projects!$G$40="Yes",BK$3=Projects!$C$40+Projects!$D$40-1),Projects!$B$40*(Assumptions!$B$10+Assumptions!$B$11+Assumptions!$B$12)*0.05,0)</f>
        <v>0</v>
      </c>
      <c r="BL49" s="30" t="n">
        <f aca="false">IF(AND(Projects!$G$40="Yes",BL$3&gt;=Projects!$C$40,BL$3&lt;Projects!$C$40+Projects!$D$40),Projects!$B$40*INDEX(Curves!$B$4:$AR$4,1,BL$3-Projects!$C$40+1),0)-IF(AND(Projects!$G$40="Yes",BL$3&gt;=Projects!$C$40,BL$3&lt;Projects!$C$40+Projects!$D$40),Projects!$B$40*(Assumptions!$B$10+Assumptions!$B$11+Assumptions!$B$12)/Projects!$D$40*0.95,0)-IF(AND(Projects!$G$40="Yes",BL$3=Projects!$C$40+Projects!$D$40-1),Projects!$B$40*(Assumptions!$B$10+Assumptions!$B$11+Assumptions!$B$12)*0.05,0)</f>
        <v>0</v>
      </c>
      <c r="BM49" s="30" t="n">
        <f aca="false">IF(AND(Projects!$G$40="Yes",BM$3&gt;=Projects!$C$40,BM$3&lt;Projects!$C$40+Projects!$D$40),Projects!$B$40*INDEX(Curves!$B$4:$AR$4,1,BM$3-Projects!$C$40+1),0)-IF(AND(Projects!$G$40="Yes",BM$3&gt;=Projects!$C$40,BM$3&lt;Projects!$C$40+Projects!$D$40),Projects!$B$40*(Assumptions!$B$10+Assumptions!$B$11+Assumptions!$B$12)/Projects!$D$40*0.95,0)-IF(AND(Projects!$G$40="Yes",BM$3=Projects!$C$40+Projects!$D$40-1),Projects!$B$40*(Assumptions!$B$10+Assumptions!$B$11+Assumptions!$B$12)*0.05,0)</f>
        <v>0</v>
      </c>
      <c r="BN49" s="30" t="n">
        <f aca="false">IF(AND(Projects!$G$40="Yes",BN$3&gt;=Projects!$C$40,BN$3&lt;Projects!$C$40+Projects!$D$40),Projects!$B$40*INDEX(Curves!$B$4:$AR$4,1,BN$3-Projects!$C$40+1),0)-IF(AND(Projects!$G$40="Yes",BN$3&gt;=Projects!$C$40,BN$3&lt;Projects!$C$40+Projects!$D$40),Projects!$B$40*(Assumptions!$B$10+Assumptions!$B$11+Assumptions!$B$12)/Projects!$D$40*0.95,0)-IF(AND(Projects!$G$40="Yes",BN$3=Projects!$C$40+Projects!$D$40-1),Projects!$B$40*(Assumptions!$B$10+Assumptions!$B$11+Assumptions!$B$12)*0.05,0)</f>
        <v>0</v>
      </c>
      <c r="BO49" s="30" t="n">
        <f aca="false">IF(AND(Projects!$G$40="Yes",BO$3&gt;=Projects!$C$40,BO$3&lt;Projects!$C$40+Projects!$D$40),Projects!$B$40*INDEX(Curves!$B$4:$AR$4,1,BO$3-Projects!$C$40+1),0)-IF(AND(Projects!$G$40="Yes",BO$3&gt;=Projects!$C$40,BO$3&lt;Projects!$C$40+Projects!$D$40),Projects!$B$40*(Assumptions!$B$10+Assumptions!$B$11+Assumptions!$B$12)/Projects!$D$40*0.95,0)-IF(AND(Projects!$G$40="Yes",BO$3=Projects!$C$40+Projects!$D$40-1),Projects!$B$40*(Assumptions!$B$10+Assumptions!$B$11+Assumptions!$B$12)*0.05,0)</f>
        <v>0</v>
      </c>
      <c r="BP49" s="30" t="n">
        <f aca="false">IF(AND(Projects!$G$40="Yes",BP$3&gt;=Projects!$C$40,BP$3&lt;Projects!$C$40+Projects!$D$40),Projects!$B$40*INDEX(Curves!$B$4:$AR$4,1,BP$3-Projects!$C$40+1),0)-IF(AND(Projects!$G$40="Yes",BP$3&gt;=Projects!$C$40,BP$3&lt;Projects!$C$40+Projects!$D$40),Projects!$B$40*(Assumptions!$B$10+Assumptions!$B$11+Assumptions!$B$12)/Projects!$D$40*0.95,0)-IF(AND(Projects!$G$40="Yes",BP$3=Projects!$C$40+Projects!$D$40-1),Projects!$B$40*(Assumptions!$B$10+Assumptions!$B$11+Assumptions!$B$12)*0.05,0)</f>
        <v>0</v>
      </c>
      <c r="BQ49" s="30" t="n">
        <f aca="false">IF(AND(Projects!$G$40="Yes",BQ$3&gt;=Projects!$C$40,BQ$3&lt;Projects!$C$40+Projects!$D$40),Projects!$B$40*INDEX(Curves!$B$4:$AR$4,1,BQ$3-Projects!$C$40+1),0)-IF(AND(Projects!$G$40="Yes",BQ$3&gt;=Projects!$C$40,BQ$3&lt;Projects!$C$40+Projects!$D$40),Projects!$B$40*(Assumptions!$B$10+Assumptions!$B$11+Assumptions!$B$12)/Projects!$D$40*0.95,0)-IF(AND(Projects!$G$40="Yes",BQ$3=Projects!$C$40+Projects!$D$40-1),Projects!$B$40*(Assumptions!$B$10+Assumptions!$B$11+Assumptions!$B$12)*0.05,0)</f>
        <v>0</v>
      </c>
      <c r="BR49" s="30" t="n">
        <f aca="false">IF(AND(Projects!$G$40="Yes",BR$3&gt;=Projects!$C$40,BR$3&lt;Projects!$C$40+Projects!$D$40),Projects!$B$40*INDEX(Curves!$B$4:$AR$4,1,BR$3-Projects!$C$40+1),0)-IF(AND(Projects!$G$40="Yes",BR$3&gt;=Projects!$C$40,BR$3&lt;Projects!$C$40+Projects!$D$40),Projects!$B$40*(Assumptions!$B$10+Assumptions!$B$11+Assumptions!$B$12)/Projects!$D$40*0.95,0)-IF(AND(Projects!$G$40="Yes",BR$3=Projects!$C$40+Projects!$D$40-1),Projects!$B$40*(Assumptions!$B$10+Assumptions!$B$11+Assumptions!$B$12)*0.05,0)</f>
        <v>0</v>
      </c>
      <c r="BS49" s="30" t="n">
        <f aca="false">IF(AND(Projects!$G$40="Yes",BS$3&gt;=Projects!$C$40,BS$3&lt;Projects!$C$40+Projects!$D$40),Projects!$B$40*INDEX(Curves!$B$4:$AR$4,1,BS$3-Projects!$C$40+1),0)-IF(AND(Projects!$G$40="Yes",BS$3&gt;=Projects!$C$40,BS$3&lt;Projects!$C$40+Projects!$D$40),Projects!$B$40*(Assumptions!$B$10+Assumptions!$B$11+Assumptions!$B$12)/Projects!$D$40*0.95,0)-IF(AND(Projects!$G$40="Yes",BS$3=Projects!$C$40+Projects!$D$40-1),Projects!$B$40*(Assumptions!$B$10+Assumptions!$B$11+Assumptions!$B$12)*0.05,0)</f>
        <v>0</v>
      </c>
      <c r="BT49" s="30" t="n">
        <f aca="false">IF(AND(Projects!$G$40="Yes",BT$3&gt;=Projects!$C$40,BT$3&lt;Projects!$C$40+Projects!$D$40),Projects!$B$40*INDEX(Curves!$B$4:$AR$4,1,BT$3-Projects!$C$40+1),0)-IF(AND(Projects!$G$40="Yes",BT$3&gt;=Projects!$C$40,BT$3&lt;Projects!$C$40+Projects!$D$40),Projects!$B$40*(Assumptions!$B$10+Assumptions!$B$11+Assumptions!$B$12)/Projects!$D$40*0.95,0)-IF(AND(Projects!$G$40="Yes",BT$3=Projects!$C$40+Projects!$D$40-1),Projects!$B$40*(Assumptions!$B$10+Assumptions!$B$11+Assumptions!$B$12)*0.05,0)</f>
        <v>0</v>
      </c>
      <c r="BU49" s="30" t="n">
        <f aca="false">IF(AND(Projects!$G$40="Yes",BU$3&gt;=Projects!$C$40,BU$3&lt;Projects!$C$40+Projects!$D$40),Projects!$B$40*INDEX(Curves!$B$4:$AR$4,1,BU$3-Projects!$C$40+1),0)-IF(AND(Projects!$G$40="Yes",BU$3&gt;=Projects!$C$40,BU$3&lt;Projects!$C$40+Projects!$D$40),Projects!$B$40*(Assumptions!$B$10+Assumptions!$B$11+Assumptions!$B$12)/Projects!$D$40*0.95,0)-IF(AND(Projects!$G$40="Yes",BU$3=Projects!$C$40+Projects!$D$40-1),Projects!$B$40*(Assumptions!$B$10+Assumptions!$B$11+Assumptions!$B$12)*0.05,0)</f>
        <v>0</v>
      </c>
      <c r="BV49" s="30" t="n">
        <f aca="false">IF(AND(Projects!$G$40="Yes",BV$3&gt;=Projects!$C$40,BV$3&lt;Projects!$C$40+Projects!$D$40),Projects!$B$40*INDEX(Curves!$B$4:$AR$4,1,BV$3-Projects!$C$40+1),0)-IF(AND(Projects!$G$40="Yes",BV$3&gt;=Projects!$C$40,BV$3&lt;Projects!$C$40+Projects!$D$40),Projects!$B$40*(Assumptions!$B$10+Assumptions!$B$11+Assumptions!$B$12)/Projects!$D$40*0.95,0)-IF(AND(Projects!$G$40="Yes",BV$3=Projects!$C$40+Projects!$D$40-1),Projects!$B$40*(Assumptions!$B$10+Assumptions!$B$11+Assumptions!$B$12)*0.05,0)</f>
        <v>0</v>
      </c>
      <c r="BW49" s="30" t="n">
        <f aca="false">IF(AND(Projects!$G$40="Yes",BW$3&gt;=Projects!$C$40,BW$3&lt;Projects!$C$40+Projects!$D$40),Projects!$B$40*INDEX(Curves!$B$4:$AR$4,1,BW$3-Projects!$C$40+1),0)-IF(AND(Projects!$G$40="Yes",BW$3&gt;=Projects!$C$40,BW$3&lt;Projects!$C$40+Projects!$D$40),Projects!$B$40*(Assumptions!$B$10+Assumptions!$B$11+Assumptions!$B$12)/Projects!$D$40*0.95,0)-IF(AND(Projects!$G$40="Yes",BW$3=Projects!$C$40+Projects!$D$40-1),Projects!$B$40*(Assumptions!$B$10+Assumptions!$B$11+Assumptions!$B$12)*0.05,0)</f>
        <v>0</v>
      </c>
      <c r="BX49" s="30" t="n">
        <f aca="false">IF(AND(Projects!$G$40="Yes",BX$3&gt;=Projects!$C$40,BX$3&lt;Projects!$C$40+Projects!$D$40),Projects!$B$40*INDEX(Curves!$B$4:$AR$4,1,BX$3-Projects!$C$40+1),0)-IF(AND(Projects!$G$40="Yes",BX$3&gt;=Projects!$C$40,BX$3&lt;Projects!$C$40+Projects!$D$40),Projects!$B$40*(Assumptions!$B$10+Assumptions!$B$11+Assumptions!$B$12)/Projects!$D$40*0.95,0)-IF(AND(Projects!$G$40="Yes",BX$3=Projects!$C$40+Projects!$D$40-1),Projects!$B$40*(Assumptions!$B$10+Assumptions!$B$11+Assumptions!$B$12)*0.05,0)</f>
        <v>0</v>
      </c>
      <c r="BY49" s="30" t="n">
        <f aca="false">IF(AND(Projects!$G$40="Yes",BY$3&gt;=Projects!$C$40,BY$3&lt;Projects!$C$40+Projects!$D$40),Projects!$B$40*INDEX(Curves!$B$4:$AR$4,1,BY$3-Projects!$C$40+1),0)-IF(AND(Projects!$G$40="Yes",BY$3&gt;=Projects!$C$40,BY$3&lt;Projects!$C$40+Projects!$D$40),Projects!$B$40*(Assumptions!$B$10+Assumptions!$B$11+Assumptions!$B$12)/Projects!$D$40*0.95,0)-IF(AND(Projects!$G$40="Yes",BY$3=Projects!$C$40+Projects!$D$40-1),Projects!$B$40*(Assumptions!$B$10+Assumptions!$B$11+Assumptions!$B$12)*0.05,0)</f>
        <v>0</v>
      </c>
      <c r="BZ49" s="30" t="n">
        <f aca="false">IF(AND(Projects!$G$40="Yes",BZ$3&gt;=Projects!$C$40,BZ$3&lt;Projects!$C$40+Projects!$D$40),Projects!$B$40*INDEX(Curves!$B$4:$AR$4,1,BZ$3-Projects!$C$40+1),0)-IF(AND(Projects!$G$40="Yes",BZ$3&gt;=Projects!$C$40,BZ$3&lt;Projects!$C$40+Projects!$D$40),Projects!$B$40*(Assumptions!$B$10+Assumptions!$B$11+Assumptions!$B$12)/Projects!$D$40*0.95,0)-IF(AND(Projects!$G$40="Yes",BZ$3=Projects!$C$40+Projects!$D$40-1),Projects!$B$40*(Assumptions!$B$10+Assumptions!$B$11+Assumptions!$B$12)*0.05,0)</f>
        <v>0</v>
      </c>
      <c r="CA49" s="30" t="n">
        <f aca="false">IF(AND(Projects!$G$40="Yes",CA$3&gt;=Projects!$C$40,CA$3&lt;Projects!$C$40+Projects!$D$40),Projects!$B$40*INDEX(Curves!$B$4:$AR$4,1,CA$3-Projects!$C$40+1),0)-IF(AND(Projects!$G$40="Yes",CA$3&gt;=Projects!$C$40,CA$3&lt;Projects!$C$40+Projects!$D$40),Projects!$B$40*(Assumptions!$B$10+Assumptions!$B$11+Assumptions!$B$12)/Projects!$D$40*0.95,0)-IF(AND(Projects!$G$40="Yes",CA$3=Projects!$C$40+Projects!$D$40-1),Projects!$B$40*(Assumptions!$B$10+Assumptions!$B$11+Assumptions!$B$12)*0.05,0)</f>
        <v>0</v>
      </c>
      <c r="CB49" s="30" t="n">
        <f aca="false">IF(AND(Projects!$G$40="Yes",CB$3&gt;=Projects!$C$40,CB$3&lt;Projects!$C$40+Projects!$D$40),Projects!$B$40*INDEX(Curves!$B$4:$AR$4,1,CB$3-Projects!$C$40+1),0)-IF(AND(Projects!$G$40="Yes",CB$3&gt;=Projects!$C$40,CB$3&lt;Projects!$C$40+Projects!$D$40),Projects!$B$40*(Assumptions!$B$10+Assumptions!$B$11+Assumptions!$B$12)/Projects!$D$40*0.95,0)-IF(AND(Projects!$G$40="Yes",CB$3=Projects!$C$40+Projects!$D$40-1),Projects!$B$40*(Assumptions!$B$10+Assumptions!$B$11+Assumptions!$B$12)*0.05,0)</f>
        <v>0</v>
      </c>
      <c r="CC49" s="30" t="n">
        <f aca="false">IF(AND(Projects!$G$40="Yes",CC$3&gt;=Projects!$C$40,CC$3&lt;Projects!$C$40+Projects!$D$40),Projects!$B$40*INDEX(Curves!$B$4:$AR$4,1,CC$3-Projects!$C$40+1),0)-IF(AND(Projects!$G$40="Yes",CC$3&gt;=Projects!$C$40,CC$3&lt;Projects!$C$40+Projects!$D$40),Projects!$B$40*(Assumptions!$B$10+Assumptions!$B$11+Assumptions!$B$12)/Projects!$D$40*0.95,0)-IF(AND(Projects!$G$40="Yes",CC$3=Projects!$C$40+Projects!$D$40-1),Projects!$B$40*(Assumptions!$B$10+Assumptions!$B$11+Assumptions!$B$12)*0.05,0)</f>
        <v>0</v>
      </c>
      <c r="CD49" s="30" t="n">
        <f aca="false">IF(AND(Projects!$G$40="Yes",CD$3&gt;=Projects!$C$40,CD$3&lt;Projects!$C$40+Projects!$D$40),Projects!$B$40*INDEX(Curves!$B$4:$AR$4,1,CD$3-Projects!$C$40+1),0)-IF(AND(Projects!$G$40="Yes",CD$3&gt;=Projects!$C$40,CD$3&lt;Projects!$C$40+Projects!$D$40),Projects!$B$40*(Assumptions!$B$10+Assumptions!$B$11+Assumptions!$B$12)/Projects!$D$40*0.95,0)-IF(AND(Projects!$G$40="Yes",CD$3=Projects!$C$40+Projects!$D$40-1),Projects!$B$40*(Assumptions!$B$10+Assumptions!$B$11+Assumptions!$B$12)*0.05,0)</f>
        <v>0</v>
      </c>
      <c r="CE49" s="30" t="n">
        <f aca="false">IF(AND(Projects!$G$40="Yes",CE$3&gt;=Projects!$C$40,CE$3&lt;Projects!$C$40+Projects!$D$40),Projects!$B$40*INDEX(Curves!$B$4:$AR$4,1,CE$3-Projects!$C$40+1),0)-IF(AND(Projects!$G$40="Yes",CE$3&gt;=Projects!$C$40,CE$3&lt;Projects!$C$40+Projects!$D$40),Projects!$B$40*(Assumptions!$B$10+Assumptions!$B$11+Assumptions!$B$12)/Projects!$D$40*0.95,0)-IF(AND(Projects!$G$40="Yes",CE$3=Projects!$C$40+Projects!$D$40-1),Projects!$B$40*(Assumptions!$B$10+Assumptions!$B$11+Assumptions!$B$12)*0.05,0)</f>
        <v>0</v>
      </c>
      <c r="CF49" s="30" t="n">
        <f aca="false">IF(AND(Projects!$G$40="Yes",CF$3&gt;=Projects!$C$40,CF$3&lt;Projects!$C$40+Projects!$D$40),Projects!$B$40*INDEX(Curves!$B$4:$AR$4,1,CF$3-Projects!$C$40+1),0)-IF(AND(Projects!$G$40="Yes",CF$3&gt;=Projects!$C$40,CF$3&lt;Projects!$C$40+Projects!$D$40),Projects!$B$40*(Assumptions!$B$10+Assumptions!$B$11+Assumptions!$B$12)/Projects!$D$40*0.95,0)-IF(AND(Projects!$G$40="Yes",CF$3=Projects!$C$40+Projects!$D$40-1),Projects!$B$40*(Assumptions!$B$10+Assumptions!$B$11+Assumptions!$B$12)*0.05,0)</f>
        <v>0</v>
      </c>
      <c r="CG49" s="30" t="n">
        <f aca="false">IF(AND(Projects!$G$40="Yes",CG$3&gt;=Projects!$C$40,CG$3&lt;Projects!$C$40+Projects!$D$40),Projects!$B$40*INDEX(Curves!$B$4:$AR$4,1,CG$3-Projects!$C$40+1),0)-IF(AND(Projects!$G$40="Yes",CG$3&gt;=Projects!$C$40,CG$3&lt;Projects!$C$40+Projects!$D$40),Projects!$B$40*(Assumptions!$B$10+Assumptions!$B$11+Assumptions!$B$12)/Projects!$D$40*0.95,0)-IF(AND(Projects!$G$40="Yes",CG$3=Projects!$C$40+Projects!$D$40-1),Projects!$B$40*(Assumptions!$B$10+Assumptions!$B$11+Assumptions!$B$12)*0.05,0)</f>
        <v>0</v>
      </c>
      <c r="CH49" s="30" t="n">
        <f aca="false">IF(AND(Projects!$G$40="Yes",CH$3&gt;=Projects!$C$40,CH$3&lt;Projects!$C$40+Projects!$D$40),Projects!$B$40*INDEX(Curves!$B$4:$AR$4,1,CH$3-Projects!$C$40+1),0)-IF(AND(Projects!$G$40="Yes",CH$3&gt;=Projects!$C$40,CH$3&lt;Projects!$C$40+Projects!$D$40),Projects!$B$40*(Assumptions!$B$10+Assumptions!$B$11+Assumptions!$B$12)/Projects!$D$40*0.95,0)-IF(AND(Projects!$G$40="Yes",CH$3=Projects!$C$40+Projects!$D$40-1),Projects!$B$40*(Assumptions!$B$10+Assumptions!$B$11+Assumptions!$B$12)*0.05,0)</f>
        <v>0</v>
      </c>
      <c r="CI49" s="30" t="n">
        <f aca="false">IF(AND(Projects!$G$40="Yes",CI$3&gt;=Projects!$C$40,CI$3&lt;Projects!$C$40+Projects!$D$40),Projects!$B$40*INDEX(Curves!$B$4:$AR$4,1,CI$3-Projects!$C$40+1),0)-IF(AND(Projects!$G$40="Yes",CI$3&gt;=Projects!$C$40,CI$3&lt;Projects!$C$40+Projects!$D$40),Projects!$B$40*(Assumptions!$B$10+Assumptions!$B$11+Assumptions!$B$12)/Projects!$D$40*0.95,0)-IF(AND(Projects!$G$40="Yes",CI$3=Projects!$C$40+Projects!$D$40-1),Projects!$B$40*(Assumptions!$B$10+Assumptions!$B$11+Assumptions!$B$12)*0.05,0)</f>
        <v>0</v>
      </c>
      <c r="CJ49" s="30" t="n">
        <f aca="false">IF(AND(Projects!$G$40="Yes",CJ$3&gt;=Projects!$C$40,CJ$3&lt;Projects!$C$40+Projects!$D$40),Projects!$B$40*INDEX(Curves!$B$4:$AR$4,1,CJ$3-Projects!$C$40+1),0)-IF(AND(Projects!$G$40="Yes",CJ$3&gt;=Projects!$C$40,CJ$3&lt;Projects!$C$40+Projects!$D$40),Projects!$B$40*(Assumptions!$B$10+Assumptions!$B$11+Assumptions!$B$12)/Projects!$D$40*0.95,0)-IF(AND(Projects!$G$40="Yes",CJ$3=Projects!$C$40+Projects!$D$40-1),Projects!$B$40*(Assumptions!$B$10+Assumptions!$B$11+Assumptions!$B$12)*0.05,0)</f>
        <v>0</v>
      </c>
      <c r="CK49" s="30" t="n">
        <f aca="false">IF(AND(Projects!$G$40="Yes",CK$3&gt;=Projects!$C$40,CK$3&lt;Projects!$C$40+Projects!$D$40),Projects!$B$40*INDEX(Curves!$B$4:$AR$4,1,CK$3-Projects!$C$40+1),0)-IF(AND(Projects!$G$40="Yes",CK$3&gt;=Projects!$C$40,CK$3&lt;Projects!$C$40+Projects!$D$40),Projects!$B$40*(Assumptions!$B$10+Assumptions!$B$11+Assumptions!$B$12)/Projects!$D$40*0.95,0)-IF(AND(Projects!$G$40="Yes",CK$3=Projects!$C$40+Projects!$D$40-1),Projects!$B$40*(Assumptions!$B$10+Assumptions!$B$11+Assumptions!$B$12)*0.05,0)</f>
        <v>0</v>
      </c>
      <c r="CL49" s="30" t="n">
        <f aca="false">IF(AND(Projects!$G$40="Yes",CL$3&gt;=Projects!$C$40,CL$3&lt;Projects!$C$40+Projects!$D$40),Projects!$B$40*INDEX(Curves!$B$4:$AR$4,1,CL$3-Projects!$C$40+1),0)-IF(AND(Projects!$G$40="Yes",CL$3&gt;=Projects!$C$40,CL$3&lt;Projects!$C$40+Projects!$D$40),Projects!$B$40*(Assumptions!$B$10+Assumptions!$B$11+Assumptions!$B$12)/Projects!$D$40*0.95,0)-IF(AND(Projects!$G$40="Yes",CL$3=Projects!$C$40+Projects!$D$40-1),Projects!$B$40*(Assumptions!$B$10+Assumptions!$B$11+Assumptions!$B$12)*0.05,0)</f>
        <v>0</v>
      </c>
      <c r="CM49" s="30" t="n">
        <f aca="false">IF(AND(Projects!$G$40="Yes",CM$3&gt;=Projects!$C$40,CM$3&lt;Projects!$C$40+Projects!$D$40),Projects!$B$40*INDEX(Curves!$B$4:$AR$4,1,CM$3-Projects!$C$40+1),0)-IF(AND(Projects!$G$40="Yes",CM$3&gt;=Projects!$C$40,CM$3&lt;Projects!$C$40+Projects!$D$40),Projects!$B$40*(Assumptions!$B$10+Assumptions!$B$11+Assumptions!$B$12)/Projects!$D$40*0.95,0)-IF(AND(Projects!$G$40="Yes",CM$3=Projects!$C$40+Projects!$D$40-1),Projects!$B$40*(Assumptions!$B$10+Assumptions!$B$11+Assumptions!$B$12)*0.05,0)</f>
        <v>0</v>
      </c>
      <c r="CN49" s="30" t="n">
        <f aca="false">IF(AND(Projects!$G$40="Yes",CN$3&gt;=Projects!$C$40,CN$3&lt;Projects!$C$40+Projects!$D$40),Projects!$B$40*INDEX(Curves!$B$4:$AR$4,1,CN$3-Projects!$C$40+1),0)-IF(AND(Projects!$G$40="Yes",CN$3&gt;=Projects!$C$40,CN$3&lt;Projects!$C$40+Projects!$D$40),Projects!$B$40*(Assumptions!$B$10+Assumptions!$B$11+Assumptions!$B$12)/Projects!$D$40*0.95,0)-IF(AND(Projects!$G$40="Yes",CN$3=Projects!$C$40+Projects!$D$40-1),Projects!$B$40*(Assumptions!$B$10+Assumptions!$B$11+Assumptions!$B$12)*0.05,0)</f>
        <v>0</v>
      </c>
      <c r="CO49" s="30" t="n">
        <f aca="false">IF(AND(Projects!$G$40="Yes",CO$3&gt;=Projects!$C$40,CO$3&lt;Projects!$C$40+Projects!$D$40),Projects!$B$40*INDEX(Curves!$B$4:$AR$4,1,CO$3-Projects!$C$40+1),0)-IF(AND(Projects!$G$40="Yes",CO$3&gt;=Projects!$C$40,CO$3&lt;Projects!$C$40+Projects!$D$40),Projects!$B$40*(Assumptions!$B$10+Assumptions!$B$11+Assumptions!$B$12)/Projects!$D$40*0.95,0)-IF(AND(Projects!$G$40="Yes",CO$3=Projects!$C$40+Projects!$D$40-1),Projects!$B$40*(Assumptions!$B$10+Assumptions!$B$11+Assumptions!$B$12)*0.05,0)</f>
        <v>0</v>
      </c>
      <c r="CP49" s="30" t="n">
        <f aca="false">IF(AND(Projects!$G$40="Yes",CP$3&gt;=Projects!$C$40,CP$3&lt;Projects!$C$40+Projects!$D$40),Projects!$B$40*INDEX(Curves!$B$4:$AR$4,1,CP$3-Projects!$C$40+1),0)-IF(AND(Projects!$G$40="Yes",CP$3&gt;=Projects!$C$40,CP$3&lt;Projects!$C$40+Projects!$D$40),Projects!$B$40*(Assumptions!$B$10+Assumptions!$B$11+Assumptions!$B$12)/Projects!$D$40*0.95,0)-IF(AND(Projects!$G$40="Yes",CP$3=Projects!$C$40+Projects!$D$40-1),Projects!$B$40*(Assumptions!$B$10+Assumptions!$B$11+Assumptions!$B$12)*0.05,0)</f>
        <v>0</v>
      </c>
      <c r="CQ49" s="30" t="n">
        <f aca="false">IF(AND(Projects!$G$40="Yes",CQ$3&gt;=Projects!$C$40,CQ$3&lt;Projects!$C$40+Projects!$D$40),Projects!$B$40*INDEX(Curves!$B$4:$AR$4,1,CQ$3-Projects!$C$40+1),0)-IF(AND(Projects!$G$40="Yes",CQ$3&gt;=Projects!$C$40,CQ$3&lt;Projects!$C$40+Projects!$D$40),Projects!$B$40*(Assumptions!$B$10+Assumptions!$B$11+Assumptions!$B$12)/Projects!$D$40*0.95,0)-IF(AND(Projects!$G$40="Yes",CQ$3=Projects!$C$40+Projects!$D$40-1),Projects!$B$40*(Assumptions!$B$10+Assumptions!$B$11+Assumptions!$B$12)*0.05,0)</f>
        <v>0</v>
      </c>
      <c r="CR49" s="30" t="n">
        <f aca="false">IF(AND(Projects!$G$40="Yes",CR$3&gt;=Projects!$C$40,CR$3&lt;Projects!$C$40+Projects!$D$40),Projects!$B$40*INDEX(Curves!$B$4:$AR$4,1,CR$3-Projects!$C$40+1),0)-IF(AND(Projects!$G$40="Yes",CR$3&gt;=Projects!$C$40,CR$3&lt;Projects!$C$40+Projects!$D$40),Projects!$B$40*(Assumptions!$B$10+Assumptions!$B$11+Assumptions!$B$12)/Projects!$D$40*0.95,0)-IF(AND(Projects!$G$40="Yes",CR$3=Projects!$C$40+Projects!$D$40-1),Projects!$B$40*(Assumptions!$B$10+Assumptions!$B$11+Assumptions!$B$12)*0.05,0)</f>
        <v>0</v>
      </c>
      <c r="CS49" s="30" t="n">
        <f aca="false">IF(AND(Projects!$G$40="Yes",CS$3&gt;=Projects!$C$40,CS$3&lt;Projects!$C$40+Projects!$D$40),Projects!$B$40*INDEX(Curves!$B$4:$AR$4,1,CS$3-Projects!$C$40+1),0)-IF(AND(Projects!$G$40="Yes",CS$3&gt;=Projects!$C$40,CS$3&lt;Projects!$C$40+Projects!$D$40),Projects!$B$40*(Assumptions!$B$10+Assumptions!$B$11+Assumptions!$B$12)/Projects!$D$40*0.95,0)-IF(AND(Projects!$G$40="Yes",CS$3=Projects!$C$40+Projects!$D$40-1),Projects!$B$40*(Assumptions!$B$10+Assumptions!$B$11+Assumptions!$B$12)*0.05,0)</f>
        <v>0</v>
      </c>
      <c r="CT49" s="30" t="n">
        <f aca="false">IF(AND(Projects!$G$40="Yes",CT$3&gt;=Projects!$C$40,CT$3&lt;Projects!$C$40+Projects!$D$40),Projects!$B$40*INDEX(Curves!$B$4:$AR$4,1,CT$3-Projects!$C$40+1),0)-IF(AND(Projects!$G$40="Yes",CT$3&gt;=Projects!$C$40,CT$3&lt;Projects!$C$40+Projects!$D$40),Projects!$B$40*(Assumptions!$B$10+Assumptions!$B$11+Assumptions!$B$12)/Projects!$D$40*0.95,0)-IF(AND(Projects!$G$40="Yes",CT$3=Projects!$C$40+Projects!$D$40-1),Projects!$B$40*(Assumptions!$B$10+Assumptions!$B$11+Assumptions!$B$12)*0.05,0)</f>
        <v>0</v>
      </c>
      <c r="CU49" s="30" t="n">
        <f aca="false">IF(AND(Projects!$G$40="Yes",CU$3&gt;=Projects!$C$40,CU$3&lt;Projects!$C$40+Projects!$D$40),Projects!$B$40*INDEX(Curves!$B$4:$AR$4,1,CU$3-Projects!$C$40+1),0)-IF(AND(Projects!$G$40="Yes",CU$3&gt;=Projects!$C$40,CU$3&lt;Projects!$C$40+Projects!$D$40),Projects!$B$40*(Assumptions!$B$10+Assumptions!$B$11+Assumptions!$B$12)/Projects!$D$40*0.95,0)-IF(AND(Projects!$G$40="Yes",CU$3=Projects!$C$40+Projects!$D$40-1),Projects!$B$40*(Assumptions!$B$10+Assumptions!$B$11+Assumptions!$B$12)*0.05,0)</f>
        <v>0</v>
      </c>
      <c r="CV49" s="30" t="n">
        <f aca="false">IF(AND(Projects!$G$40="Yes",CV$3&gt;=Projects!$C$40,CV$3&lt;Projects!$C$40+Projects!$D$40),Projects!$B$40*INDEX(Curves!$B$4:$AR$4,1,CV$3-Projects!$C$40+1),0)-IF(AND(Projects!$G$40="Yes",CV$3&gt;=Projects!$C$40,CV$3&lt;Projects!$C$40+Projects!$D$40),Projects!$B$40*(Assumptions!$B$10+Assumptions!$B$11+Assumptions!$B$12)/Projects!$D$40*0.95,0)-IF(AND(Projects!$G$40="Yes",CV$3=Projects!$C$40+Projects!$D$40-1),Projects!$B$40*(Assumptions!$B$10+Assumptions!$B$11+Assumptions!$B$12)*0.05,0)</f>
        <v>0</v>
      </c>
      <c r="CW49" s="30" t="n">
        <f aca="false">IF(AND(Projects!$G$40="Yes",CW$3&gt;=Projects!$C$40,CW$3&lt;Projects!$C$40+Projects!$D$40),Projects!$B$40*INDEX(Curves!$B$4:$AR$4,1,CW$3-Projects!$C$40+1),0)-IF(AND(Projects!$G$40="Yes",CW$3&gt;=Projects!$C$40,CW$3&lt;Projects!$C$40+Projects!$D$40),Projects!$B$40*(Assumptions!$B$10+Assumptions!$B$11+Assumptions!$B$12)/Projects!$D$40*0.95,0)-IF(AND(Projects!$G$40="Yes",CW$3=Projects!$C$40+Projects!$D$40-1),Projects!$B$40*(Assumptions!$B$10+Assumptions!$B$11+Assumptions!$B$12)*0.05,0)</f>
        <v>0</v>
      </c>
      <c r="CX49" s="30" t="n">
        <f aca="false">IF(AND(Projects!$G$40="Yes",CX$3&gt;=Projects!$C$40,CX$3&lt;Projects!$C$40+Projects!$D$40),Projects!$B$40*INDEX(Curves!$B$4:$AR$4,1,CX$3-Projects!$C$40+1),0)-IF(AND(Projects!$G$40="Yes",CX$3&gt;=Projects!$C$40,CX$3&lt;Projects!$C$40+Projects!$D$40),Projects!$B$40*(Assumptions!$B$10+Assumptions!$B$11+Assumptions!$B$12)/Projects!$D$40*0.95,0)-IF(AND(Projects!$G$40="Yes",CX$3=Projects!$C$40+Projects!$D$40-1),Projects!$B$40*(Assumptions!$B$10+Assumptions!$B$11+Assumptions!$B$12)*0.05,0)</f>
        <v>0</v>
      </c>
      <c r="CY49" s="30" t="n">
        <f aca="false">IF(AND(Projects!$G$40="Yes",CY$3&gt;=Projects!$C$40,CY$3&lt;Projects!$C$40+Projects!$D$40),Projects!$B$40*INDEX(Curves!$B$4:$AR$4,1,CY$3-Projects!$C$40+1),0)-IF(AND(Projects!$G$40="Yes",CY$3&gt;=Projects!$C$40,CY$3&lt;Projects!$C$40+Projects!$D$40),Projects!$B$40*(Assumptions!$B$10+Assumptions!$B$11+Assumptions!$B$12)/Projects!$D$40*0.95,0)-IF(AND(Projects!$G$40="Yes",CY$3=Projects!$C$40+Projects!$D$40-1),Projects!$B$40*(Assumptions!$B$10+Assumptions!$B$11+Assumptions!$B$12)*0.05,0)</f>
        <v>0</v>
      </c>
      <c r="CZ49" s="30" t="n">
        <f aca="false">IF(AND(Projects!$G$40="Yes",CZ$3&gt;=Projects!$C$40,CZ$3&lt;Projects!$C$40+Projects!$D$40),Projects!$B$40*INDEX(Curves!$B$4:$AR$4,1,CZ$3-Projects!$C$40+1),0)-IF(AND(Projects!$G$40="Yes",CZ$3&gt;=Projects!$C$40,CZ$3&lt;Projects!$C$40+Projects!$D$40),Projects!$B$40*(Assumptions!$B$10+Assumptions!$B$11+Assumptions!$B$12)/Projects!$D$40*0.95,0)-IF(AND(Projects!$G$40="Yes",CZ$3=Projects!$C$40+Projects!$D$40-1),Projects!$B$40*(Assumptions!$B$10+Assumptions!$B$11+Assumptions!$B$12)*0.05,0)</f>
        <v>0</v>
      </c>
      <c r="DA49" s="30" t="n">
        <f aca="false">IF(AND(Projects!$G$40="Yes",DA$3&gt;=Projects!$C$40,DA$3&lt;Projects!$C$40+Projects!$D$40),Projects!$B$40*INDEX(Curves!$B$4:$AR$4,1,DA$3-Projects!$C$40+1),0)-IF(AND(Projects!$G$40="Yes",DA$3&gt;=Projects!$C$40,DA$3&lt;Projects!$C$40+Projects!$D$40),Projects!$B$40*(Assumptions!$B$10+Assumptions!$B$11+Assumptions!$B$12)/Projects!$D$40*0.95,0)-IF(AND(Projects!$G$40="Yes",DA$3=Projects!$C$40+Projects!$D$40-1),Projects!$B$40*(Assumptions!$B$10+Assumptions!$B$11+Assumptions!$B$12)*0.05,0)</f>
        <v>0</v>
      </c>
      <c r="DB49" s="30" t="n">
        <f aca="false">IF(AND(Projects!$G$40="Yes",DB$3&gt;=Projects!$C$40,DB$3&lt;Projects!$C$40+Projects!$D$40),Projects!$B$40*INDEX(Curves!$B$4:$AR$4,1,DB$3-Projects!$C$40+1),0)-IF(AND(Projects!$G$40="Yes",DB$3&gt;=Projects!$C$40,DB$3&lt;Projects!$C$40+Projects!$D$40),Projects!$B$40*(Assumptions!$B$10+Assumptions!$B$11+Assumptions!$B$12)/Projects!$D$40*0.95,0)-IF(AND(Projects!$G$40="Yes",DB$3=Projects!$C$40+Projects!$D$40-1),Projects!$B$40*(Assumptions!$B$10+Assumptions!$B$11+Assumptions!$B$12)*0.05,0)</f>
        <v>0</v>
      </c>
      <c r="DC49" s="30" t="n">
        <f aca="false">IF(AND(Projects!$G$40="Yes",DC$3&gt;=Projects!$C$40,DC$3&lt;Projects!$C$40+Projects!$D$40),Projects!$B$40*INDEX(Curves!$B$4:$AR$4,1,DC$3-Projects!$C$40+1),0)-IF(AND(Projects!$G$40="Yes",DC$3&gt;=Projects!$C$40,DC$3&lt;Projects!$C$40+Projects!$D$40),Projects!$B$40*(Assumptions!$B$10+Assumptions!$B$11+Assumptions!$B$12)/Projects!$D$40*0.95,0)-IF(AND(Projects!$G$40="Yes",DC$3=Projects!$C$40+Projects!$D$40-1),Projects!$B$40*(Assumptions!$B$10+Assumptions!$B$11+Assumptions!$B$12)*0.05,0)</f>
        <v>0</v>
      </c>
      <c r="DD49" s="30" t="n">
        <f aca="false">IF(AND(Projects!$G$40="Yes",DD$3&gt;=Projects!$C$40,DD$3&lt;Projects!$C$40+Projects!$D$40),Projects!$B$40*INDEX(Curves!$B$4:$AR$4,1,DD$3-Projects!$C$40+1),0)-IF(AND(Projects!$G$40="Yes",DD$3&gt;=Projects!$C$40,DD$3&lt;Projects!$C$40+Projects!$D$40),Projects!$B$40*(Assumptions!$B$10+Assumptions!$B$11+Assumptions!$B$12)/Projects!$D$40*0.95,0)-IF(AND(Projects!$G$40="Yes",DD$3=Projects!$C$40+Projects!$D$40-1),Projects!$B$40*(Assumptions!$B$10+Assumptions!$B$11+Assumptions!$B$12)*0.05,0)</f>
        <v>0</v>
      </c>
      <c r="DE49" s="30" t="n">
        <f aca="false">IF(AND(Projects!$G$40="Yes",DE$3&gt;=Projects!$C$40,DE$3&lt;Projects!$C$40+Projects!$D$40),Projects!$B$40*INDEX(Curves!$B$4:$AR$4,1,DE$3-Projects!$C$40+1),0)-IF(AND(Projects!$G$40="Yes",DE$3&gt;=Projects!$C$40,DE$3&lt;Projects!$C$40+Projects!$D$40),Projects!$B$40*(Assumptions!$B$10+Assumptions!$B$11+Assumptions!$B$12)/Projects!$D$40*0.95,0)-IF(AND(Projects!$G$40="Yes",DE$3=Projects!$C$40+Projects!$D$40-1),Projects!$B$40*(Assumptions!$B$10+Assumptions!$B$11+Assumptions!$B$12)*0.05,0)</f>
        <v>0</v>
      </c>
    </row>
    <row r="50" customFormat="false" ht="15" hidden="true" customHeight="true" outlineLevel="1" collapsed="false">
      <c r="A50" s="32" t="s">
        <v>44</v>
      </c>
      <c r="B50" s="30" t="n">
        <v>0</v>
      </c>
      <c r="C50" s="30" t="n">
        <v>0</v>
      </c>
      <c r="D50" s="30" t="n">
        <v>0</v>
      </c>
      <c r="E50" s="30" t="n">
        <v>0</v>
      </c>
      <c r="F50" s="30" t="n">
        <f aca="false">IF(AND(Projects!$G$41="Yes",F$3&gt;=Projects!$C$41,F$3&lt;Projects!$C$41+Projects!$D$41),Projects!$B$41*INDEX(Curves!$B$4:$AR$4,1,F$3-Projects!$C$41+1),0)-IF(AND(Projects!$G$41="Yes",F$3&gt;=Projects!$C$41,F$3&lt;Projects!$C$41+Projects!$D$41),Projects!$B$41*(Assumptions!$B$10+Assumptions!$B$11+Assumptions!$B$12)/Projects!$D$41*0.95,0)-IF(AND(Projects!$G$41="Yes",F$3=Projects!$C$41+Projects!$D$41-1),Projects!$B$41*(Assumptions!$B$10+Assumptions!$B$11+Assumptions!$B$12)*0.05,0)</f>
        <v>0</v>
      </c>
      <c r="G50" s="30" t="n">
        <f aca="false">IF(AND(Projects!$G$41="Yes",G$3&gt;=Projects!$C$41,G$3&lt;Projects!$C$41+Projects!$D$41),Projects!$B$41*INDEX(Curves!$B$4:$AR$4,1,G$3-Projects!$C$41+1),0)-IF(AND(Projects!$G$41="Yes",G$3&gt;=Projects!$C$41,G$3&lt;Projects!$C$41+Projects!$D$41),Projects!$B$41*(Assumptions!$B$10+Assumptions!$B$11+Assumptions!$B$12)/Projects!$D$41*0.95,0)-IF(AND(Projects!$G$41="Yes",G$3=Projects!$C$41+Projects!$D$41-1),Projects!$B$41*(Assumptions!$B$10+Assumptions!$B$11+Assumptions!$B$12)*0.05,0)</f>
        <v>0</v>
      </c>
      <c r="H50" s="30" t="n">
        <f aca="false">IF(AND(Projects!$G$41="Yes",H$3&gt;=Projects!$C$41,H$3&lt;Projects!$C$41+Projects!$D$41),Projects!$B$41*INDEX(Curves!$B$4:$AR$4,1,H$3-Projects!$C$41+1),0)-IF(AND(Projects!$G$41="Yes",H$3&gt;=Projects!$C$41,H$3&lt;Projects!$C$41+Projects!$D$41),Projects!$B$41*(Assumptions!$B$10+Assumptions!$B$11+Assumptions!$B$12)/Projects!$D$41*0.95,0)-IF(AND(Projects!$G$41="Yes",H$3=Projects!$C$41+Projects!$D$41-1),Projects!$B$41*(Assumptions!$B$10+Assumptions!$B$11+Assumptions!$B$12)*0.05,0)</f>
        <v>0</v>
      </c>
      <c r="I50" s="30" t="n">
        <f aca="false">IF(AND(Projects!$G$41="Yes",I$3&gt;=Projects!$C$41,I$3&lt;Projects!$C$41+Projects!$D$41),Projects!$B$41*INDEX(Curves!$B$4:$AR$4,1,I$3-Projects!$C$41+1),0)-IF(AND(Projects!$G$41="Yes",I$3&gt;=Projects!$C$41,I$3&lt;Projects!$C$41+Projects!$D$41),Projects!$B$41*(Assumptions!$B$10+Assumptions!$B$11+Assumptions!$B$12)/Projects!$D$41*0.95,0)-IF(AND(Projects!$G$41="Yes",I$3=Projects!$C$41+Projects!$D$41-1),Projects!$B$41*(Assumptions!$B$10+Assumptions!$B$11+Assumptions!$B$12)*0.05,0)</f>
        <v>0</v>
      </c>
      <c r="J50" s="30" t="n">
        <f aca="false">IF(AND(Projects!$G$41="Yes",J$3&gt;=Projects!$C$41,J$3&lt;Projects!$C$41+Projects!$D$41),Projects!$B$41*INDEX(Curves!$B$4:$AR$4,1,J$3-Projects!$C$41+1),0)-IF(AND(Projects!$G$41="Yes",J$3&gt;=Projects!$C$41,J$3&lt;Projects!$C$41+Projects!$D$41),Projects!$B$41*(Assumptions!$B$10+Assumptions!$B$11+Assumptions!$B$12)/Projects!$D$41*0.95,0)-IF(AND(Projects!$G$41="Yes",J$3=Projects!$C$41+Projects!$D$41-1),Projects!$B$41*(Assumptions!$B$10+Assumptions!$B$11+Assumptions!$B$12)*0.05,0)</f>
        <v>0</v>
      </c>
      <c r="K50" s="30" t="n">
        <f aca="false">IF(AND(Projects!$G$41="Yes",K$3&gt;=Projects!$C$41,K$3&lt;Projects!$C$41+Projects!$D$41),Projects!$B$41*INDEX(Curves!$B$4:$AR$4,1,K$3-Projects!$C$41+1),0)-IF(AND(Projects!$G$41="Yes",K$3&gt;=Projects!$C$41,K$3&lt;Projects!$C$41+Projects!$D$41),Projects!$B$41*(Assumptions!$B$10+Assumptions!$B$11+Assumptions!$B$12)/Projects!$D$41*0.95,0)-IF(AND(Projects!$G$41="Yes",K$3=Projects!$C$41+Projects!$D$41-1),Projects!$B$41*(Assumptions!$B$10+Assumptions!$B$11+Assumptions!$B$12)*0.05,0)</f>
        <v>0</v>
      </c>
      <c r="L50" s="30" t="n">
        <f aca="false">IF(AND(Projects!$G$41="Yes",L$3&gt;=Projects!$C$41,L$3&lt;Projects!$C$41+Projects!$D$41),Projects!$B$41*INDEX(Curves!$B$4:$AR$4,1,L$3-Projects!$C$41+1),0)-IF(AND(Projects!$G$41="Yes",L$3&gt;=Projects!$C$41,L$3&lt;Projects!$C$41+Projects!$D$41),Projects!$B$41*(Assumptions!$B$10+Assumptions!$B$11+Assumptions!$B$12)/Projects!$D$41*0.95,0)-IF(AND(Projects!$G$41="Yes",L$3=Projects!$C$41+Projects!$D$41-1),Projects!$B$41*(Assumptions!$B$10+Assumptions!$B$11+Assumptions!$B$12)*0.05,0)</f>
        <v>0</v>
      </c>
      <c r="M50" s="30" t="n">
        <f aca="false">IF(AND(Projects!$G$41="Yes",M$3&gt;=Projects!$C$41,M$3&lt;Projects!$C$41+Projects!$D$41),Projects!$B$41*INDEX(Curves!$B$4:$AR$4,1,M$3-Projects!$C$41+1),0)-IF(AND(Projects!$G$41="Yes",M$3&gt;=Projects!$C$41,M$3&lt;Projects!$C$41+Projects!$D$41),Projects!$B$41*(Assumptions!$B$10+Assumptions!$B$11+Assumptions!$B$12)/Projects!$D$41*0.95,0)-IF(AND(Projects!$G$41="Yes",M$3=Projects!$C$41+Projects!$D$41-1),Projects!$B$41*(Assumptions!$B$10+Assumptions!$B$11+Assumptions!$B$12)*0.05,0)</f>
        <v>0</v>
      </c>
      <c r="N50" s="30" t="n">
        <f aca="false">IF(AND(Projects!$G$41="Yes",N$3&gt;=Projects!$C$41,N$3&lt;Projects!$C$41+Projects!$D$41),Projects!$B$41*INDEX(Curves!$B$4:$AR$4,1,N$3-Projects!$C$41+1),0)-IF(AND(Projects!$G$41="Yes",N$3&gt;=Projects!$C$41,N$3&lt;Projects!$C$41+Projects!$D$41),Projects!$B$41*(Assumptions!$B$10+Assumptions!$B$11+Assumptions!$B$12)/Projects!$D$41*0.95,0)-IF(AND(Projects!$G$41="Yes",N$3=Projects!$C$41+Projects!$D$41-1),Projects!$B$41*(Assumptions!$B$10+Assumptions!$B$11+Assumptions!$B$12)*0.05,0)</f>
        <v>0</v>
      </c>
      <c r="O50" s="30" t="n">
        <f aca="false">IF(AND(Projects!$G$41="Yes",O$3&gt;=Projects!$C$41,O$3&lt;Projects!$C$41+Projects!$D$41),Projects!$B$41*INDEX(Curves!$B$4:$AR$4,1,O$3-Projects!$C$41+1),0)-IF(AND(Projects!$G$41="Yes",O$3&gt;=Projects!$C$41,O$3&lt;Projects!$C$41+Projects!$D$41),Projects!$B$41*(Assumptions!$B$10+Assumptions!$B$11+Assumptions!$B$12)/Projects!$D$41*0.95,0)-IF(AND(Projects!$G$41="Yes",O$3=Projects!$C$41+Projects!$D$41-1),Projects!$B$41*(Assumptions!$B$10+Assumptions!$B$11+Assumptions!$B$12)*0.05,0)</f>
        <v>0</v>
      </c>
      <c r="P50" s="30" t="n">
        <f aca="false">IF(AND(Projects!$G$41="Yes",P$3&gt;=Projects!$C$41,P$3&lt;Projects!$C$41+Projects!$D$41),Projects!$B$41*INDEX(Curves!$B$4:$AR$4,1,P$3-Projects!$C$41+1),0)-IF(AND(Projects!$G$41="Yes",P$3&gt;=Projects!$C$41,P$3&lt;Projects!$C$41+Projects!$D$41),Projects!$B$41*(Assumptions!$B$10+Assumptions!$B$11+Assumptions!$B$12)/Projects!$D$41*0.95,0)-IF(AND(Projects!$G$41="Yes",P$3=Projects!$C$41+Projects!$D$41-1),Projects!$B$41*(Assumptions!$B$10+Assumptions!$B$11+Assumptions!$B$12)*0.05,0)</f>
        <v>0</v>
      </c>
      <c r="Q50" s="30" t="n">
        <f aca="false">IF(AND(Projects!$G$41="Yes",Q$3&gt;=Projects!$C$41,Q$3&lt;Projects!$C$41+Projects!$D$41),Projects!$B$41*INDEX(Curves!$B$4:$AR$4,1,Q$3-Projects!$C$41+1),0)-IF(AND(Projects!$G$41="Yes",Q$3&gt;=Projects!$C$41,Q$3&lt;Projects!$C$41+Projects!$D$41),Projects!$B$41*(Assumptions!$B$10+Assumptions!$B$11+Assumptions!$B$12)/Projects!$D$41*0.95,0)-IF(AND(Projects!$G$41="Yes",Q$3=Projects!$C$41+Projects!$D$41-1),Projects!$B$41*(Assumptions!$B$10+Assumptions!$B$11+Assumptions!$B$12)*0.05,0)</f>
        <v>0</v>
      </c>
      <c r="R50" s="30" t="n">
        <f aca="false">IF(AND(Projects!$G$41="Yes",R$3&gt;=Projects!$C$41,R$3&lt;Projects!$C$41+Projects!$D$41),Projects!$B$41*INDEX(Curves!$B$4:$AR$4,1,R$3-Projects!$C$41+1),0)-IF(AND(Projects!$G$41="Yes",R$3&gt;=Projects!$C$41,R$3&lt;Projects!$C$41+Projects!$D$41),Projects!$B$41*(Assumptions!$B$10+Assumptions!$B$11+Assumptions!$B$12)/Projects!$D$41*0.95,0)-IF(AND(Projects!$G$41="Yes",R$3=Projects!$C$41+Projects!$D$41-1),Projects!$B$41*(Assumptions!$B$10+Assumptions!$B$11+Assumptions!$B$12)*0.05,0)</f>
        <v>0</v>
      </c>
      <c r="S50" s="30" t="n">
        <f aca="false">IF(AND(Projects!$G$41="Yes",S$3&gt;=Projects!$C$41,S$3&lt;Projects!$C$41+Projects!$D$41),Projects!$B$41*INDEX(Curves!$B$4:$AR$4,1,S$3-Projects!$C$41+1),0)-IF(AND(Projects!$G$41="Yes",S$3&gt;=Projects!$C$41,S$3&lt;Projects!$C$41+Projects!$D$41),Projects!$B$41*(Assumptions!$B$10+Assumptions!$B$11+Assumptions!$B$12)/Projects!$D$41*0.95,0)-IF(AND(Projects!$G$41="Yes",S$3=Projects!$C$41+Projects!$D$41-1),Projects!$B$41*(Assumptions!$B$10+Assumptions!$B$11+Assumptions!$B$12)*0.05,0)</f>
        <v>0</v>
      </c>
      <c r="T50" s="30" t="n">
        <f aca="false">IF(AND(Projects!$G$41="Yes",T$3&gt;=Projects!$C$41,T$3&lt;Projects!$C$41+Projects!$D$41),Projects!$B$41*INDEX(Curves!$B$4:$AR$4,1,T$3-Projects!$C$41+1),0)-IF(AND(Projects!$G$41="Yes",T$3&gt;=Projects!$C$41,T$3&lt;Projects!$C$41+Projects!$D$41),Projects!$B$41*(Assumptions!$B$10+Assumptions!$B$11+Assumptions!$B$12)/Projects!$D$41*0.95,0)-IF(AND(Projects!$G$41="Yes",T$3=Projects!$C$41+Projects!$D$41-1),Projects!$B$41*(Assumptions!$B$10+Assumptions!$B$11+Assumptions!$B$12)*0.05,0)</f>
        <v>0</v>
      </c>
      <c r="U50" s="30" t="n">
        <f aca="false">IF(AND(Projects!$G$41="Yes",U$3&gt;=Projects!$C$41,U$3&lt;Projects!$C$41+Projects!$D$41),Projects!$B$41*INDEX(Curves!$B$4:$AR$4,1,U$3-Projects!$C$41+1),0)-IF(AND(Projects!$G$41="Yes",U$3&gt;=Projects!$C$41,U$3&lt;Projects!$C$41+Projects!$D$41),Projects!$B$41*(Assumptions!$B$10+Assumptions!$B$11+Assumptions!$B$12)/Projects!$D$41*0.95,0)-IF(AND(Projects!$G$41="Yes",U$3=Projects!$C$41+Projects!$D$41-1),Projects!$B$41*(Assumptions!$B$10+Assumptions!$B$11+Assumptions!$B$12)*0.05,0)</f>
        <v>0</v>
      </c>
      <c r="V50" s="30" t="n">
        <f aca="false">IF(AND(Projects!$G$41="Yes",V$3&gt;=Projects!$C$41,V$3&lt;Projects!$C$41+Projects!$D$41),Projects!$B$41*INDEX(Curves!$B$4:$AR$4,1,V$3-Projects!$C$41+1),0)-IF(AND(Projects!$G$41="Yes",V$3&gt;=Projects!$C$41,V$3&lt;Projects!$C$41+Projects!$D$41),Projects!$B$41*(Assumptions!$B$10+Assumptions!$B$11+Assumptions!$B$12)/Projects!$D$41*0.95,0)-IF(AND(Projects!$G$41="Yes",V$3=Projects!$C$41+Projects!$D$41-1),Projects!$B$41*(Assumptions!$B$10+Assumptions!$B$11+Assumptions!$B$12)*0.05,0)</f>
        <v>0</v>
      </c>
      <c r="W50" s="30" t="n">
        <f aca="false">IF(AND(Projects!$G$41="Yes",W$3&gt;=Projects!$C$41,W$3&lt;Projects!$C$41+Projects!$D$41),Projects!$B$41*INDEX(Curves!$B$4:$AR$4,1,W$3-Projects!$C$41+1),0)-IF(AND(Projects!$G$41="Yes",W$3&gt;=Projects!$C$41,W$3&lt;Projects!$C$41+Projects!$D$41),Projects!$B$41*(Assumptions!$B$10+Assumptions!$B$11+Assumptions!$B$12)/Projects!$D$41*0.95,0)-IF(AND(Projects!$G$41="Yes",W$3=Projects!$C$41+Projects!$D$41-1),Projects!$B$41*(Assumptions!$B$10+Assumptions!$B$11+Assumptions!$B$12)*0.05,0)</f>
        <v>0</v>
      </c>
      <c r="X50" s="30" t="n">
        <f aca="false">IF(AND(Projects!$G$41="Yes",X$3&gt;=Projects!$C$41,X$3&lt;Projects!$C$41+Projects!$D$41),Projects!$B$41*INDEX(Curves!$B$4:$AR$4,1,X$3-Projects!$C$41+1),0)-IF(AND(Projects!$G$41="Yes",X$3&gt;=Projects!$C$41,X$3&lt;Projects!$C$41+Projects!$D$41),Projects!$B$41*(Assumptions!$B$10+Assumptions!$B$11+Assumptions!$B$12)/Projects!$D$41*0.95,0)-IF(AND(Projects!$G$41="Yes",X$3=Projects!$C$41+Projects!$D$41-1),Projects!$B$41*(Assumptions!$B$10+Assumptions!$B$11+Assumptions!$B$12)*0.05,0)</f>
        <v>0</v>
      </c>
      <c r="Y50" s="30" t="n">
        <f aca="false">IF(AND(Projects!$G$41="Yes",Y$3&gt;=Projects!$C$41,Y$3&lt;Projects!$C$41+Projects!$D$41),Projects!$B$41*INDEX(Curves!$B$4:$AR$4,1,Y$3-Projects!$C$41+1),0)-IF(AND(Projects!$G$41="Yes",Y$3&gt;=Projects!$C$41,Y$3&lt;Projects!$C$41+Projects!$D$41),Projects!$B$41*(Assumptions!$B$10+Assumptions!$B$11+Assumptions!$B$12)/Projects!$D$41*0.95,0)-IF(AND(Projects!$G$41="Yes",Y$3=Projects!$C$41+Projects!$D$41-1),Projects!$B$41*(Assumptions!$B$10+Assumptions!$B$11+Assumptions!$B$12)*0.05,0)</f>
        <v>0</v>
      </c>
      <c r="Z50" s="30" t="n">
        <f aca="false">IF(AND(Projects!$G$41="Yes",Z$3&gt;=Projects!$C$41,Z$3&lt;Projects!$C$41+Projects!$D$41),Projects!$B$41*INDEX(Curves!$B$4:$AR$4,1,Z$3-Projects!$C$41+1),0)-IF(AND(Projects!$G$41="Yes",Z$3&gt;=Projects!$C$41,Z$3&lt;Projects!$C$41+Projects!$D$41),Projects!$B$41*(Assumptions!$B$10+Assumptions!$B$11+Assumptions!$B$12)/Projects!$D$41*0.95,0)-IF(AND(Projects!$G$41="Yes",Z$3=Projects!$C$41+Projects!$D$41-1),Projects!$B$41*(Assumptions!$B$10+Assumptions!$B$11+Assumptions!$B$12)*0.05,0)</f>
        <v>0</v>
      </c>
      <c r="AA50" s="30" t="n">
        <f aca="false">IF(AND(Projects!$G$41="Yes",AA$3&gt;=Projects!$C$41,AA$3&lt;Projects!$C$41+Projects!$D$41),Projects!$B$41*INDEX(Curves!$B$4:$AR$4,1,AA$3-Projects!$C$41+1),0)-IF(AND(Projects!$G$41="Yes",AA$3&gt;=Projects!$C$41,AA$3&lt;Projects!$C$41+Projects!$D$41),Projects!$B$41*(Assumptions!$B$10+Assumptions!$B$11+Assumptions!$B$12)/Projects!$D$41*0.95,0)-IF(AND(Projects!$G$41="Yes",AA$3=Projects!$C$41+Projects!$D$41-1),Projects!$B$41*(Assumptions!$B$10+Assumptions!$B$11+Assumptions!$B$12)*0.05,0)</f>
        <v>0</v>
      </c>
      <c r="AB50" s="30" t="n">
        <f aca="false">IF(AND(Projects!$G$41="Yes",AB$3&gt;=Projects!$C$41,AB$3&lt;Projects!$C$41+Projects!$D$41),Projects!$B$41*INDEX(Curves!$B$4:$AR$4,1,AB$3-Projects!$C$41+1),0)-IF(AND(Projects!$G$41="Yes",AB$3&gt;=Projects!$C$41,AB$3&lt;Projects!$C$41+Projects!$D$41),Projects!$B$41*(Assumptions!$B$10+Assumptions!$B$11+Assumptions!$B$12)/Projects!$D$41*0.95,0)-IF(AND(Projects!$G$41="Yes",AB$3=Projects!$C$41+Projects!$D$41-1),Projects!$B$41*(Assumptions!$B$10+Assumptions!$B$11+Assumptions!$B$12)*0.05,0)</f>
        <v>0</v>
      </c>
      <c r="AC50" s="30" t="n">
        <f aca="false">IF(AND(Projects!$G$41="Yes",AC$3&gt;=Projects!$C$41,AC$3&lt;Projects!$C$41+Projects!$D$41),Projects!$B$41*INDEX(Curves!$B$4:$AR$4,1,AC$3-Projects!$C$41+1),0)-IF(AND(Projects!$G$41="Yes",AC$3&gt;=Projects!$C$41,AC$3&lt;Projects!$C$41+Projects!$D$41),Projects!$B$41*(Assumptions!$B$10+Assumptions!$B$11+Assumptions!$B$12)/Projects!$D$41*0.95,0)-IF(AND(Projects!$G$41="Yes",AC$3=Projects!$C$41+Projects!$D$41-1),Projects!$B$41*(Assumptions!$B$10+Assumptions!$B$11+Assumptions!$B$12)*0.05,0)</f>
        <v>0</v>
      </c>
      <c r="AD50" s="30" t="n">
        <f aca="false">IF(AND(Projects!$G$41="Yes",AD$3&gt;=Projects!$C$41,AD$3&lt;Projects!$C$41+Projects!$D$41),Projects!$B$41*INDEX(Curves!$B$4:$AR$4,1,AD$3-Projects!$C$41+1),0)-IF(AND(Projects!$G$41="Yes",AD$3&gt;=Projects!$C$41,AD$3&lt;Projects!$C$41+Projects!$D$41),Projects!$B$41*(Assumptions!$B$10+Assumptions!$B$11+Assumptions!$B$12)/Projects!$D$41*0.95,0)-IF(AND(Projects!$G$41="Yes",AD$3=Projects!$C$41+Projects!$D$41-1),Projects!$B$41*(Assumptions!$B$10+Assumptions!$B$11+Assumptions!$B$12)*0.05,0)</f>
        <v>0</v>
      </c>
      <c r="AE50" s="30" t="n">
        <f aca="false">IF(AND(Projects!$G$41="Yes",AE$3&gt;=Projects!$C$41,AE$3&lt;Projects!$C$41+Projects!$D$41),Projects!$B$41*INDEX(Curves!$B$4:$AR$4,1,AE$3-Projects!$C$41+1),0)-IF(AND(Projects!$G$41="Yes",AE$3&gt;=Projects!$C$41,AE$3&lt;Projects!$C$41+Projects!$D$41),Projects!$B$41*(Assumptions!$B$10+Assumptions!$B$11+Assumptions!$B$12)/Projects!$D$41*0.95,0)-IF(AND(Projects!$G$41="Yes",AE$3=Projects!$C$41+Projects!$D$41-1),Projects!$B$41*(Assumptions!$B$10+Assumptions!$B$11+Assumptions!$B$12)*0.05,0)</f>
        <v>0</v>
      </c>
      <c r="AF50" s="30" t="n">
        <f aca="false">IF(AND(Projects!$G$41="Yes",AF$3&gt;=Projects!$C$41,AF$3&lt;Projects!$C$41+Projects!$D$41),Projects!$B$41*INDEX(Curves!$B$4:$AR$4,1,AF$3-Projects!$C$41+1),0)-IF(AND(Projects!$G$41="Yes",AF$3&gt;=Projects!$C$41,AF$3&lt;Projects!$C$41+Projects!$D$41),Projects!$B$41*(Assumptions!$B$10+Assumptions!$B$11+Assumptions!$B$12)/Projects!$D$41*0.95,0)-IF(AND(Projects!$G$41="Yes",AF$3=Projects!$C$41+Projects!$D$41-1),Projects!$B$41*(Assumptions!$B$10+Assumptions!$B$11+Assumptions!$B$12)*0.05,0)</f>
        <v>0</v>
      </c>
      <c r="AG50" s="30" t="n">
        <f aca="false">IF(AND(Projects!$G$41="Yes",AG$3&gt;=Projects!$C$41,AG$3&lt;Projects!$C$41+Projects!$D$41),Projects!$B$41*INDEX(Curves!$B$4:$AR$4,1,AG$3-Projects!$C$41+1),0)-IF(AND(Projects!$G$41="Yes",AG$3&gt;=Projects!$C$41,AG$3&lt;Projects!$C$41+Projects!$D$41),Projects!$B$41*(Assumptions!$B$10+Assumptions!$B$11+Assumptions!$B$12)/Projects!$D$41*0.95,0)-IF(AND(Projects!$G$41="Yes",AG$3=Projects!$C$41+Projects!$D$41-1),Projects!$B$41*(Assumptions!$B$10+Assumptions!$B$11+Assumptions!$B$12)*0.05,0)</f>
        <v>0</v>
      </c>
      <c r="AH50" s="30" t="n">
        <f aca="false">IF(AND(Projects!$G$41="Yes",AH$3&gt;=Projects!$C$41,AH$3&lt;Projects!$C$41+Projects!$D$41),Projects!$B$41*INDEX(Curves!$B$4:$AR$4,1,AH$3-Projects!$C$41+1),0)-IF(AND(Projects!$G$41="Yes",AH$3&gt;=Projects!$C$41,AH$3&lt;Projects!$C$41+Projects!$D$41),Projects!$B$41*(Assumptions!$B$10+Assumptions!$B$11+Assumptions!$B$12)/Projects!$D$41*0.95,0)-IF(AND(Projects!$G$41="Yes",AH$3=Projects!$C$41+Projects!$D$41-1),Projects!$B$41*(Assumptions!$B$10+Assumptions!$B$11+Assumptions!$B$12)*0.05,0)</f>
        <v>0</v>
      </c>
      <c r="AI50" s="30" t="n">
        <f aca="false">IF(AND(Projects!$G$41="Yes",AI$3&gt;=Projects!$C$41,AI$3&lt;Projects!$C$41+Projects!$D$41),Projects!$B$41*INDEX(Curves!$B$4:$AR$4,1,AI$3-Projects!$C$41+1),0)-IF(AND(Projects!$G$41="Yes",AI$3&gt;=Projects!$C$41,AI$3&lt;Projects!$C$41+Projects!$D$41),Projects!$B$41*(Assumptions!$B$10+Assumptions!$B$11+Assumptions!$B$12)/Projects!$D$41*0.95,0)-IF(AND(Projects!$G$41="Yes",AI$3=Projects!$C$41+Projects!$D$41-1),Projects!$B$41*(Assumptions!$B$10+Assumptions!$B$11+Assumptions!$B$12)*0.05,0)</f>
        <v>0</v>
      </c>
      <c r="AJ50" s="30" t="n">
        <f aca="false">IF(AND(Projects!$G$41="Yes",AJ$3&gt;=Projects!$C$41,AJ$3&lt;Projects!$C$41+Projects!$D$41),Projects!$B$41*INDEX(Curves!$B$4:$AR$4,1,AJ$3-Projects!$C$41+1),0)-IF(AND(Projects!$G$41="Yes",AJ$3&gt;=Projects!$C$41,AJ$3&lt;Projects!$C$41+Projects!$D$41),Projects!$B$41*(Assumptions!$B$10+Assumptions!$B$11+Assumptions!$B$12)/Projects!$D$41*0.95,0)-IF(AND(Projects!$G$41="Yes",AJ$3=Projects!$C$41+Projects!$D$41-1),Projects!$B$41*(Assumptions!$B$10+Assumptions!$B$11+Assumptions!$B$12)*0.05,0)</f>
        <v>0</v>
      </c>
      <c r="AK50" s="30" t="n">
        <f aca="false">IF(AND(Projects!$G$41="Yes",AK$3&gt;=Projects!$C$41,AK$3&lt;Projects!$C$41+Projects!$D$41),Projects!$B$41*INDEX(Curves!$B$4:$AR$4,1,AK$3-Projects!$C$41+1),0)-IF(AND(Projects!$G$41="Yes",AK$3&gt;=Projects!$C$41,AK$3&lt;Projects!$C$41+Projects!$D$41),Projects!$B$41*(Assumptions!$B$10+Assumptions!$B$11+Assumptions!$B$12)/Projects!$D$41*0.95,0)-IF(AND(Projects!$G$41="Yes",AK$3=Projects!$C$41+Projects!$D$41-1),Projects!$B$41*(Assumptions!$B$10+Assumptions!$B$11+Assumptions!$B$12)*0.05,0)</f>
        <v>0</v>
      </c>
      <c r="AL50" s="30" t="n">
        <f aca="false">IF(AND(Projects!$G$41="Yes",AL$3&gt;=Projects!$C$41,AL$3&lt;Projects!$C$41+Projects!$D$41),Projects!$B$41*INDEX(Curves!$B$4:$AR$4,1,AL$3-Projects!$C$41+1),0)-IF(AND(Projects!$G$41="Yes",AL$3&gt;=Projects!$C$41,AL$3&lt;Projects!$C$41+Projects!$D$41),Projects!$B$41*(Assumptions!$B$10+Assumptions!$B$11+Assumptions!$B$12)/Projects!$D$41*0.95,0)-IF(AND(Projects!$G$41="Yes",AL$3=Projects!$C$41+Projects!$D$41-1),Projects!$B$41*(Assumptions!$B$10+Assumptions!$B$11+Assumptions!$B$12)*0.05,0)</f>
        <v>0</v>
      </c>
      <c r="AM50" s="30" t="n">
        <f aca="false">IF(AND(Projects!$G$41="Yes",AM$3&gt;=Projects!$C$41,AM$3&lt;Projects!$C$41+Projects!$D$41),Projects!$B$41*INDEX(Curves!$B$4:$AR$4,1,AM$3-Projects!$C$41+1),0)-IF(AND(Projects!$G$41="Yes",AM$3&gt;=Projects!$C$41,AM$3&lt;Projects!$C$41+Projects!$D$41),Projects!$B$41*(Assumptions!$B$10+Assumptions!$B$11+Assumptions!$B$12)/Projects!$D$41*0.95,0)-IF(AND(Projects!$G$41="Yes",AM$3=Projects!$C$41+Projects!$D$41-1),Projects!$B$41*(Assumptions!$B$10+Assumptions!$B$11+Assumptions!$B$12)*0.05,0)</f>
        <v>0</v>
      </c>
      <c r="AN50" s="30" t="n">
        <f aca="false">IF(AND(Projects!$G$41="Yes",AN$3&gt;=Projects!$C$41,AN$3&lt;Projects!$C$41+Projects!$D$41),Projects!$B$41*INDEX(Curves!$B$4:$AR$4,1,AN$3-Projects!$C$41+1),0)-IF(AND(Projects!$G$41="Yes",AN$3&gt;=Projects!$C$41,AN$3&lt;Projects!$C$41+Projects!$D$41),Projects!$B$41*(Assumptions!$B$10+Assumptions!$B$11+Assumptions!$B$12)/Projects!$D$41*0.95,0)-IF(AND(Projects!$G$41="Yes",AN$3=Projects!$C$41+Projects!$D$41-1),Projects!$B$41*(Assumptions!$B$10+Assumptions!$B$11+Assumptions!$B$12)*0.05,0)</f>
        <v>0</v>
      </c>
      <c r="AO50" s="30" t="n">
        <f aca="false">IF(AND(Projects!$G$41="Yes",AO$3&gt;=Projects!$C$41,AO$3&lt;Projects!$C$41+Projects!$D$41),Projects!$B$41*INDEX(Curves!$B$4:$AR$4,1,AO$3-Projects!$C$41+1),0)-IF(AND(Projects!$G$41="Yes",AO$3&gt;=Projects!$C$41,AO$3&lt;Projects!$C$41+Projects!$D$41),Projects!$B$41*(Assumptions!$B$10+Assumptions!$B$11+Assumptions!$B$12)/Projects!$D$41*0.95,0)-IF(AND(Projects!$G$41="Yes",AO$3=Projects!$C$41+Projects!$D$41-1),Projects!$B$41*(Assumptions!$B$10+Assumptions!$B$11+Assumptions!$B$12)*0.05,0)</f>
        <v>0</v>
      </c>
      <c r="AP50" s="30" t="n">
        <f aca="false">IF(AND(Projects!$G$41="Yes",AP$3&gt;=Projects!$C$41,AP$3&lt;Projects!$C$41+Projects!$D$41),Projects!$B$41*INDEX(Curves!$B$4:$AR$4,1,AP$3-Projects!$C$41+1),0)-IF(AND(Projects!$G$41="Yes",AP$3&gt;=Projects!$C$41,AP$3&lt;Projects!$C$41+Projects!$D$41),Projects!$B$41*(Assumptions!$B$10+Assumptions!$B$11+Assumptions!$B$12)/Projects!$D$41*0.95,0)-IF(AND(Projects!$G$41="Yes",AP$3=Projects!$C$41+Projects!$D$41-1),Projects!$B$41*(Assumptions!$B$10+Assumptions!$B$11+Assumptions!$B$12)*0.05,0)</f>
        <v>0</v>
      </c>
      <c r="AQ50" s="30" t="n">
        <f aca="false">IF(AND(Projects!$G$41="Yes",AQ$3&gt;=Projects!$C$41,AQ$3&lt;Projects!$C$41+Projects!$D$41),Projects!$B$41*INDEX(Curves!$B$4:$AR$4,1,AQ$3-Projects!$C$41+1),0)-IF(AND(Projects!$G$41="Yes",AQ$3&gt;=Projects!$C$41,AQ$3&lt;Projects!$C$41+Projects!$D$41),Projects!$B$41*(Assumptions!$B$10+Assumptions!$B$11+Assumptions!$B$12)/Projects!$D$41*0.95,0)-IF(AND(Projects!$G$41="Yes",AQ$3=Projects!$C$41+Projects!$D$41-1),Projects!$B$41*(Assumptions!$B$10+Assumptions!$B$11+Assumptions!$B$12)*0.05,0)</f>
        <v>0</v>
      </c>
      <c r="AR50" s="30" t="n">
        <f aca="false">IF(AND(Projects!$G$41="Yes",AR$3&gt;=Projects!$C$41,AR$3&lt;Projects!$C$41+Projects!$D$41),Projects!$B$41*INDEX(Curves!$B$4:$AR$4,1,AR$3-Projects!$C$41+1),0)-IF(AND(Projects!$G$41="Yes",AR$3&gt;=Projects!$C$41,AR$3&lt;Projects!$C$41+Projects!$D$41),Projects!$B$41*(Assumptions!$B$10+Assumptions!$B$11+Assumptions!$B$12)/Projects!$D$41*0.95,0)-IF(AND(Projects!$G$41="Yes",AR$3=Projects!$C$41+Projects!$D$41-1),Projects!$B$41*(Assumptions!$B$10+Assumptions!$B$11+Assumptions!$B$12)*0.05,0)</f>
        <v>0</v>
      </c>
      <c r="AS50" s="30" t="n">
        <f aca="false">IF(AND(Projects!$G$41="Yes",AS$3&gt;=Projects!$C$41,AS$3&lt;Projects!$C$41+Projects!$D$41),Projects!$B$41*INDEX(Curves!$B$4:$AR$4,1,AS$3-Projects!$C$41+1),0)-IF(AND(Projects!$G$41="Yes",AS$3&gt;=Projects!$C$41,AS$3&lt;Projects!$C$41+Projects!$D$41),Projects!$B$41*(Assumptions!$B$10+Assumptions!$B$11+Assumptions!$B$12)/Projects!$D$41*0.95,0)-IF(AND(Projects!$G$41="Yes",AS$3=Projects!$C$41+Projects!$D$41-1),Projects!$B$41*(Assumptions!$B$10+Assumptions!$B$11+Assumptions!$B$12)*0.05,0)</f>
        <v>0</v>
      </c>
      <c r="AT50" s="30" t="n">
        <f aca="false">IF(AND(Projects!$G$41="Yes",AT$3&gt;=Projects!$C$41,AT$3&lt;Projects!$C$41+Projects!$D$41),Projects!$B$41*INDEX(Curves!$B$4:$AR$4,1,AT$3-Projects!$C$41+1),0)-IF(AND(Projects!$G$41="Yes",AT$3&gt;=Projects!$C$41,AT$3&lt;Projects!$C$41+Projects!$D$41),Projects!$B$41*(Assumptions!$B$10+Assumptions!$B$11+Assumptions!$B$12)/Projects!$D$41*0.95,0)-IF(AND(Projects!$G$41="Yes",AT$3=Projects!$C$41+Projects!$D$41-1),Projects!$B$41*(Assumptions!$B$10+Assumptions!$B$11+Assumptions!$B$12)*0.05,0)</f>
        <v>0</v>
      </c>
      <c r="AU50" s="30" t="n">
        <f aca="false">IF(AND(Projects!$G$41="Yes",AU$3&gt;=Projects!$C$41,AU$3&lt;Projects!$C$41+Projects!$D$41),Projects!$B$41*INDEX(Curves!$B$4:$AR$4,1,AU$3-Projects!$C$41+1),0)-IF(AND(Projects!$G$41="Yes",AU$3&gt;=Projects!$C$41,AU$3&lt;Projects!$C$41+Projects!$D$41),Projects!$B$41*(Assumptions!$B$10+Assumptions!$B$11+Assumptions!$B$12)/Projects!$D$41*0.95,0)-IF(AND(Projects!$G$41="Yes",AU$3=Projects!$C$41+Projects!$D$41-1),Projects!$B$41*(Assumptions!$B$10+Assumptions!$B$11+Assumptions!$B$12)*0.05,0)</f>
        <v>0</v>
      </c>
      <c r="AV50" s="30" t="n">
        <f aca="false">IF(AND(Projects!$G$41="Yes",AV$3&gt;=Projects!$C$41,AV$3&lt;Projects!$C$41+Projects!$D$41),Projects!$B$41*INDEX(Curves!$B$4:$AR$4,1,AV$3-Projects!$C$41+1),0)-IF(AND(Projects!$G$41="Yes",AV$3&gt;=Projects!$C$41,AV$3&lt;Projects!$C$41+Projects!$D$41),Projects!$B$41*(Assumptions!$B$10+Assumptions!$B$11+Assumptions!$B$12)/Projects!$D$41*0.95,0)-IF(AND(Projects!$G$41="Yes",AV$3=Projects!$C$41+Projects!$D$41-1),Projects!$B$41*(Assumptions!$B$10+Assumptions!$B$11+Assumptions!$B$12)*0.05,0)</f>
        <v>0</v>
      </c>
      <c r="AW50" s="30" t="n">
        <f aca="false">IF(AND(Projects!$G$41="Yes",AW$3&gt;=Projects!$C$41,AW$3&lt;Projects!$C$41+Projects!$D$41),Projects!$B$41*INDEX(Curves!$B$4:$AR$4,1,AW$3-Projects!$C$41+1),0)-IF(AND(Projects!$G$41="Yes",AW$3&gt;=Projects!$C$41,AW$3&lt;Projects!$C$41+Projects!$D$41),Projects!$B$41*(Assumptions!$B$10+Assumptions!$B$11+Assumptions!$B$12)/Projects!$D$41*0.95,0)-IF(AND(Projects!$G$41="Yes",AW$3=Projects!$C$41+Projects!$D$41-1),Projects!$B$41*(Assumptions!$B$10+Assumptions!$B$11+Assumptions!$B$12)*0.05,0)</f>
        <v>0</v>
      </c>
      <c r="AX50" s="30" t="n">
        <f aca="false">IF(AND(Projects!$G$41="Yes",AX$3&gt;=Projects!$C$41,AX$3&lt;Projects!$C$41+Projects!$D$41),Projects!$B$41*INDEX(Curves!$B$4:$AR$4,1,AX$3-Projects!$C$41+1),0)-IF(AND(Projects!$G$41="Yes",AX$3&gt;=Projects!$C$41,AX$3&lt;Projects!$C$41+Projects!$D$41),Projects!$B$41*(Assumptions!$B$10+Assumptions!$B$11+Assumptions!$B$12)/Projects!$D$41*0.95,0)-IF(AND(Projects!$G$41="Yes",AX$3=Projects!$C$41+Projects!$D$41-1),Projects!$B$41*(Assumptions!$B$10+Assumptions!$B$11+Assumptions!$B$12)*0.05,0)</f>
        <v>0</v>
      </c>
      <c r="AY50" s="30" t="n">
        <f aca="false">IF(AND(Projects!$G$41="Yes",AY$3&gt;=Projects!$C$41,AY$3&lt;Projects!$C$41+Projects!$D$41),Projects!$B$41*INDEX(Curves!$B$4:$AR$4,1,AY$3-Projects!$C$41+1),0)-IF(AND(Projects!$G$41="Yes",AY$3&gt;=Projects!$C$41,AY$3&lt;Projects!$C$41+Projects!$D$41),Projects!$B$41*(Assumptions!$B$10+Assumptions!$B$11+Assumptions!$B$12)/Projects!$D$41*0.95,0)-IF(AND(Projects!$G$41="Yes",AY$3=Projects!$C$41+Projects!$D$41-1),Projects!$B$41*(Assumptions!$B$10+Assumptions!$B$11+Assumptions!$B$12)*0.05,0)</f>
        <v>0</v>
      </c>
      <c r="AZ50" s="30" t="n">
        <f aca="false">IF(AND(Projects!$G$41="Yes",AZ$3&gt;=Projects!$C$41,AZ$3&lt;Projects!$C$41+Projects!$D$41),Projects!$B$41*INDEX(Curves!$B$4:$AR$4,1,AZ$3-Projects!$C$41+1),0)-IF(AND(Projects!$G$41="Yes",AZ$3&gt;=Projects!$C$41,AZ$3&lt;Projects!$C$41+Projects!$D$41),Projects!$B$41*(Assumptions!$B$10+Assumptions!$B$11+Assumptions!$B$12)/Projects!$D$41*0.95,0)-IF(AND(Projects!$G$41="Yes",AZ$3=Projects!$C$41+Projects!$D$41-1),Projects!$B$41*(Assumptions!$B$10+Assumptions!$B$11+Assumptions!$B$12)*0.05,0)</f>
        <v>0</v>
      </c>
      <c r="BA50" s="30" t="n">
        <f aca="false">IF(AND(Projects!$G$41="Yes",BA$3&gt;=Projects!$C$41,BA$3&lt;Projects!$C$41+Projects!$D$41),Projects!$B$41*INDEX(Curves!$B$4:$AR$4,1,BA$3-Projects!$C$41+1),0)-IF(AND(Projects!$G$41="Yes",BA$3&gt;=Projects!$C$41,BA$3&lt;Projects!$C$41+Projects!$D$41),Projects!$B$41*(Assumptions!$B$10+Assumptions!$B$11+Assumptions!$B$12)/Projects!$D$41*0.95,0)-IF(AND(Projects!$G$41="Yes",BA$3=Projects!$C$41+Projects!$D$41-1),Projects!$B$41*(Assumptions!$B$10+Assumptions!$B$11+Assumptions!$B$12)*0.05,0)</f>
        <v>0</v>
      </c>
      <c r="BB50" s="30" t="n">
        <f aca="false">IF(AND(Projects!$G$41="Yes",BB$3&gt;=Projects!$C$41,BB$3&lt;Projects!$C$41+Projects!$D$41),Projects!$B$41*INDEX(Curves!$B$4:$AR$4,1,BB$3-Projects!$C$41+1),0)-IF(AND(Projects!$G$41="Yes",BB$3&gt;=Projects!$C$41,BB$3&lt;Projects!$C$41+Projects!$D$41),Projects!$B$41*(Assumptions!$B$10+Assumptions!$B$11+Assumptions!$B$12)/Projects!$D$41*0.95,0)-IF(AND(Projects!$G$41="Yes",BB$3=Projects!$C$41+Projects!$D$41-1),Projects!$B$41*(Assumptions!$B$10+Assumptions!$B$11+Assumptions!$B$12)*0.05,0)</f>
        <v>0</v>
      </c>
      <c r="BC50" s="30" t="n">
        <f aca="false">IF(AND(Projects!$G$41="Yes",BC$3&gt;=Projects!$C$41,BC$3&lt;Projects!$C$41+Projects!$D$41),Projects!$B$41*INDEX(Curves!$B$4:$AR$4,1,BC$3-Projects!$C$41+1),0)-IF(AND(Projects!$G$41="Yes",BC$3&gt;=Projects!$C$41,BC$3&lt;Projects!$C$41+Projects!$D$41),Projects!$B$41*(Assumptions!$B$10+Assumptions!$B$11+Assumptions!$B$12)/Projects!$D$41*0.95,0)-IF(AND(Projects!$G$41="Yes",BC$3=Projects!$C$41+Projects!$D$41-1),Projects!$B$41*(Assumptions!$B$10+Assumptions!$B$11+Assumptions!$B$12)*0.05,0)</f>
        <v>0</v>
      </c>
      <c r="BD50" s="30" t="n">
        <f aca="false">IF(AND(Projects!$G$41="Yes",BD$3&gt;=Projects!$C$41,BD$3&lt;Projects!$C$41+Projects!$D$41),Projects!$B$41*INDEX(Curves!$B$4:$AR$4,1,BD$3-Projects!$C$41+1),0)-IF(AND(Projects!$G$41="Yes",BD$3&gt;=Projects!$C$41,BD$3&lt;Projects!$C$41+Projects!$D$41),Projects!$B$41*(Assumptions!$B$10+Assumptions!$B$11+Assumptions!$B$12)/Projects!$D$41*0.95,0)-IF(AND(Projects!$G$41="Yes",BD$3=Projects!$C$41+Projects!$D$41-1),Projects!$B$41*(Assumptions!$B$10+Assumptions!$B$11+Assumptions!$B$12)*0.05,0)</f>
        <v>0</v>
      </c>
      <c r="BE50" s="30" t="n">
        <f aca="false">IF(AND(Projects!$G$41="Yes",BE$3&gt;=Projects!$C$41,BE$3&lt;Projects!$C$41+Projects!$D$41),Projects!$B$41*INDEX(Curves!$B$4:$AR$4,1,BE$3-Projects!$C$41+1),0)-IF(AND(Projects!$G$41="Yes",BE$3&gt;=Projects!$C$41,BE$3&lt;Projects!$C$41+Projects!$D$41),Projects!$B$41*(Assumptions!$B$10+Assumptions!$B$11+Assumptions!$B$12)/Projects!$D$41*0.95,0)-IF(AND(Projects!$G$41="Yes",BE$3=Projects!$C$41+Projects!$D$41-1),Projects!$B$41*(Assumptions!$B$10+Assumptions!$B$11+Assumptions!$B$12)*0.05,0)</f>
        <v>0</v>
      </c>
      <c r="BF50" s="30" t="n">
        <f aca="false">IF(AND(Projects!$G$41="Yes",BF$3&gt;=Projects!$C$41,BF$3&lt;Projects!$C$41+Projects!$D$41),Projects!$B$41*INDEX(Curves!$B$4:$AR$4,1,BF$3-Projects!$C$41+1),0)-IF(AND(Projects!$G$41="Yes",BF$3&gt;=Projects!$C$41,BF$3&lt;Projects!$C$41+Projects!$D$41),Projects!$B$41*(Assumptions!$B$10+Assumptions!$B$11+Assumptions!$B$12)/Projects!$D$41*0.95,0)-IF(AND(Projects!$G$41="Yes",BF$3=Projects!$C$41+Projects!$D$41-1),Projects!$B$41*(Assumptions!$B$10+Assumptions!$B$11+Assumptions!$B$12)*0.05,0)</f>
        <v>0</v>
      </c>
      <c r="BG50" s="30" t="n">
        <f aca="false">IF(AND(Projects!$G$41="Yes",BG$3&gt;=Projects!$C$41,BG$3&lt;Projects!$C$41+Projects!$D$41),Projects!$B$41*INDEX(Curves!$B$4:$AR$4,1,BG$3-Projects!$C$41+1),0)-IF(AND(Projects!$G$41="Yes",BG$3&gt;=Projects!$C$41,BG$3&lt;Projects!$C$41+Projects!$D$41),Projects!$B$41*(Assumptions!$B$10+Assumptions!$B$11+Assumptions!$B$12)/Projects!$D$41*0.95,0)-IF(AND(Projects!$G$41="Yes",BG$3=Projects!$C$41+Projects!$D$41-1),Projects!$B$41*(Assumptions!$B$10+Assumptions!$B$11+Assumptions!$B$12)*0.05,0)</f>
        <v>0</v>
      </c>
      <c r="BH50" s="30" t="n">
        <f aca="false">IF(AND(Projects!$G$41="Yes",BH$3&gt;=Projects!$C$41,BH$3&lt;Projects!$C$41+Projects!$D$41),Projects!$B$41*INDEX(Curves!$B$4:$AR$4,1,BH$3-Projects!$C$41+1),0)-IF(AND(Projects!$G$41="Yes",BH$3&gt;=Projects!$C$41,BH$3&lt;Projects!$C$41+Projects!$D$41),Projects!$B$41*(Assumptions!$B$10+Assumptions!$B$11+Assumptions!$B$12)/Projects!$D$41*0.95,0)-IF(AND(Projects!$G$41="Yes",BH$3=Projects!$C$41+Projects!$D$41-1),Projects!$B$41*(Assumptions!$B$10+Assumptions!$B$11+Assumptions!$B$12)*0.05,0)</f>
        <v>0</v>
      </c>
      <c r="BI50" s="30" t="n">
        <f aca="false">IF(AND(Projects!$G$41="Yes",BI$3&gt;=Projects!$C$41,BI$3&lt;Projects!$C$41+Projects!$D$41),Projects!$B$41*INDEX(Curves!$B$4:$AR$4,1,BI$3-Projects!$C$41+1),0)-IF(AND(Projects!$G$41="Yes",BI$3&gt;=Projects!$C$41,BI$3&lt;Projects!$C$41+Projects!$D$41),Projects!$B$41*(Assumptions!$B$10+Assumptions!$B$11+Assumptions!$B$12)/Projects!$D$41*0.95,0)-IF(AND(Projects!$G$41="Yes",BI$3=Projects!$C$41+Projects!$D$41-1),Projects!$B$41*(Assumptions!$B$10+Assumptions!$B$11+Assumptions!$B$12)*0.05,0)</f>
        <v>0</v>
      </c>
      <c r="BJ50" s="30" t="n">
        <f aca="false">IF(AND(Projects!$G$41="Yes",BJ$3&gt;=Projects!$C$41,BJ$3&lt;Projects!$C$41+Projects!$D$41),Projects!$B$41*INDEX(Curves!$B$4:$AR$4,1,BJ$3-Projects!$C$41+1),0)-IF(AND(Projects!$G$41="Yes",BJ$3&gt;=Projects!$C$41,BJ$3&lt;Projects!$C$41+Projects!$D$41),Projects!$B$41*(Assumptions!$B$10+Assumptions!$B$11+Assumptions!$B$12)/Projects!$D$41*0.95,0)-IF(AND(Projects!$G$41="Yes",BJ$3=Projects!$C$41+Projects!$D$41-1),Projects!$B$41*(Assumptions!$B$10+Assumptions!$B$11+Assumptions!$B$12)*0.05,0)</f>
        <v>0</v>
      </c>
      <c r="BK50" s="30" t="n">
        <f aca="false">IF(AND(Projects!$G$41="Yes",BK$3&gt;=Projects!$C$41,BK$3&lt;Projects!$C$41+Projects!$D$41),Projects!$B$41*INDEX(Curves!$B$4:$AR$4,1,BK$3-Projects!$C$41+1),0)-IF(AND(Projects!$G$41="Yes",BK$3&gt;=Projects!$C$41,BK$3&lt;Projects!$C$41+Projects!$D$41),Projects!$B$41*(Assumptions!$B$10+Assumptions!$B$11+Assumptions!$B$12)/Projects!$D$41*0.95,0)-IF(AND(Projects!$G$41="Yes",BK$3=Projects!$C$41+Projects!$D$41-1),Projects!$B$41*(Assumptions!$B$10+Assumptions!$B$11+Assumptions!$B$12)*0.05,0)</f>
        <v>0</v>
      </c>
      <c r="BL50" s="30" t="n">
        <f aca="false">IF(AND(Projects!$G$41="Yes",BL$3&gt;=Projects!$C$41,BL$3&lt;Projects!$C$41+Projects!$D$41),Projects!$B$41*INDEX(Curves!$B$4:$AR$4,1,BL$3-Projects!$C$41+1),0)-IF(AND(Projects!$G$41="Yes",BL$3&gt;=Projects!$C$41,BL$3&lt;Projects!$C$41+Projects!$D$41),Projects!$B$41*(Assumptions!$B$10+Assumptions!$B$11+Assumptions!$B$12)/Projects!$D$41*0.95,0)-IF(AND(Projects!$G$41="Yes",BL$3=Projects!$C$41+Projects!$D$41-1),Projects!$B$41*(Assumptions!$B$10+Assumptions!$B$11+Assumptions!$B$12)*0.05,0)</f>
        <v>0</v>
      </c>
      <c r="BM50" s="30" t="n">
        <f aca="false">IF(AND(Projects!$G$41="Yes",BM$3&gt;=Projects!$C$41,BM$3&lt;Projects!$C$41+Projects!$D$41),Projects!$B$41*INDEX(Curves!$B$4:$AR$4,1,BM$3-Projects!$C$41+1),0)-IF(AND(Projects!$G$41="Yes",BM$3&gt;=Projects!$C$41,BM$3&lt;Projects!$C$41+Projects!$D$41),Projects!$B$41*(Assumptions!$B$10+Assumptions!$B$11+Assumptions!$B$12)/Projects!$D$41*0.95,0)-IF(AND(Projects!$G$41="Yes",BM$3=Projects!$C$41+Projects!$D$41-1),Projects!$B$41*(Assumptions!$B$10+Assumptions!$B$11+Assumptions!$B$12)*0.05,0)</f>
        <v>0</v>
      </c>
      <c r="BN50" s="30" t="n">
        <f aca="false">IF(AND(Projects!$G$41="Yes",BN$3&gt;=Projects!$C$41,BN$3&lt;Projects!$C$41+Projects!$D$41),Projects!$B$41*INDEX(Curves!$B$4:$AR$4,1,BN$3-Projects!$C$41+1),0)-IF(AND(Projects!$G$41="Yes",BN$3&gt;=Projects!$C$41,BN$3&lt;Projects!$C$41+Projects!$D$41),Projects!$B$41*(Assumptions!$B$10+Assumptions!$B$11+Assumptions!$B$12)/Projects!$D$41*0.95,0)-IF(AND(Projects!$G$41="Yes",BN$3=Projects!$C$41+Projects!$D$41-1),Projects!$B$41*(Assumptions!$B$10+Assumptions!$B$11+Assumptions!$B$12)*0.05,0)</f>
        <v>0</v>
      </c>
      <c r="BO50" s="30" t="n">
        <f aca="false">IF(AND(Projects!$G$41="Yes",BO$3&gt;=Projects!$C$41,BO$3&lt;Projects!$C$41+Projects!$D$41),Projects!$B$41*INDEX(Curves!$B$4:$AR$4,1,BO$3-Projects!$C$41+1),0)-IF(AND(Projects!$G$41="Yes",BO$3&gt;=Projects!$C$41,BO$3&lt;Projects!$C$41+Projects!$D$41),Projects!$B$41*(Assumptions!$B$10+Assumptions!$B$11+Assumptions!$B$12)/Projects!$D$41*0.95,0)-IF(AND(Projects!$G$41="Yes",BO$3=Projects!$C$41+Projects!$D$41-1),Projects!$B$41*(Assumptions!$B$10+Assumptions!$B$11+Assumptions!$B$12)*0.05,0)</f>
        <v>0</v>
      </c>
      <c r="BP50" s="30" t="n">
        <f aca="false">IF(AND(Projects!$G$41="Yes",BP$3&gt;=Projects!$C$41,BP$3&lt;Projects!$C$41+Projects!$D$41),Projects!$B$41*INDEX(Curves!$B$4:$AR$4,1,BP$3-Projects!$C$41+1),0)-IF(AND(Projects!$G$41="Yes",BP$3&gt;=Projects!$C$41,BP$3&lt;Projects!$C$41+Projects!$D$41),Projects!$B$41*(Assumptions!$B$10+Assumptions!$B$11+Assumptions!$B$12)/Projects!$D$41*0.95,0)-IF(AND(Projects!$G$41="Yes",BP$3=Projects!$C$41+Projects!$D$41-1),Projects!$B$41*(Assumptions!$B$10+Assumptions!$B$11+Assumptions!$B$12)*0.05,0)</f>
        <v>0</v>
      </c>
      <c r="BQ50" s="30" t="n">
        <f aca="false">IF(AND(Projects!$G$41="Yes",BQ$3&gt;=Projects!$C$41,BQ$3&lt;Projects!$C$41+Projects!$D$41),Projects!$B$41*INDEX(Curves!$B$4:$AR$4,1,BQ$3-Projects!$C$41+1),0)-IF(AND(Projects!$G$41="Yes",BQ$3&gt;=Projects!$C$41,BQ$3&lt;Projects!$C$41+Projects!$D$41),Projects!$B$41*(Assumptions!$B$10+Assumptions!$B$11+Assumptions!$B$12)/Projects!$D$41*0.95,0)-IF(AND(Projects!$G$41="Yes",BQ$3=Projects!$C$41+Projects!$D$41-1),Projects!$B$41*(Assumptions!$B$10+Assumptions!$B$11+Assumptions!$B$12)*0.05,0)</f>
        <v>0</v>
      </c>
      <c r="BR50" s="30" t="n">
        <f aca="false">IF(AND(Projects!$G$41="Yes",BR$3&gt;=Projects!$C$41,BR$3&lt;Projects!$C$41+Projects!$D$41),Projects!$B$41*INDEX(Curves!$B$4:$AR$4,1,BR$3-Projects!$C$41+1),0)-IF(AND(Projects!$G$41="Yes",BR$3&gt;=Projects!$C$41,BR$3&lt;Projects!$C$41+Projects!$D$41),Projects!$B$41*(Assumptions!$B$10+Assumptions!$B$11+Assumptions!$B$12)/Projects!$D$41*0.95,0)-IF(AND(Projects!$G$41="Yes",BR$3=Projects!$C$41+Projects!$D$41-1),Projects!$B$41*(Assumptions!$B$10+Assumptions!$B$11+Assumptions!$B$12)*0.05,0)</f>
        <v>0</v>
      </c>
      <c r="BS50" s="30" t="n">
        <f aca="false">IF(AND(Projects!$G$41="Yes",BS$3&gt;=Projects!$C$41,BS$3&lt;Projects!$C$41+Projects!$D$41),Projects!$B$41*INDEX(Curves!$B$4:$AR$4,1,BS$3-Projects!$C$41+1),0)-IF(AND(Projects!$G$41="Yes",BS$3&gt;=Projects!$C$41,BS$3&lt;Projects!$C$41+Projects!$D$41),Projects!$B$41*(Assumptions!$B$10+Assumptions!$B$11+Assumptions!$B$12)/Projects!$D$41*0.95,0)-IF(AND(Projects!$G$41="Yes",BS$3=Projects!$C$41+Projects!$D$41-1),Projects!$B$41*(Assumptions!$B$10+Assumptions!$B$11+Assumptions!$B$12)*0.05,0)</f>
        <v>0</v>
      </c>
      <c r="BT50" s="30" t="n">
        <f aca="false">IF(AND(Projects!$G$41="Yes",BT$3&gt;=Projects!$C$41,BT$3&lt;Projects!$C$41+Projects!$D$41),Projects!$B$41*INDEX(Curves!$B$4:$AR$4,1,BT$3-Projects!$C$41+1),0)-IF(AND(Projects!$G$41="Yes",BT$3&gt;=Projects!$C$41,BT$3&lt;Projects!$C$41+Projects!$D$41),Projects!$B$41*(Assumptions!$B$10+Assumptions!$B$11+Assumptions!$B$12)/Projects!$D$41*0.95,0)-IF(AND(Projects!$G$41="Yes",BT$3=Projects!$C$41+Projects!$D$41-1),Projects!$B$41*(Assumptions!$B$10+Assumptions!$B$11+Assumptions!$B$12)*0.05,0)</f>
        <v>0</v>
      </c>
      <c r="BU50" s="30" t="n">
        <f aca="false">IF(AND(Projects!$G$41="Yes",BU$3&gt;=Projects!$C$41,BU$3&lt;Projects!$C$41+Projects!$D$41),Projects!$B$41*INDEX(Curves!$B$4:$AR$4,1,BU$3-Projects!$C$41+1),0)-IF(AND(Projects!$G$41="Yes",BU$3&gt;=Projects!$C$41,BU$3&lt;Projects!$C$41+Projects!$D$41),Projects!$B$41*(Assumptions!$B$10+Assumptions!$B$11+Assumptions!$B$12)/Projects!$D$41*0.95,0)-IF(AND(Projects!$G$41="Yes",BU$3=Projects!$C$41+Projects!$D$41-1),Projects!$B$41*(Assumptions!$B$10+Assumptions!$B$11+Assumptions!$B$12)*0.05,0)</f>
        <v>0</v>
      </c>
      <c r="BV50" s="30" t="n">
        <f aca="false">IF(AND(Projects!$G$41="Yes",BV$3&gt;=Projects!$C$41,BV$3&lt;Projects!$C$41+Projects!$D$41),Projects!$B$41*INDEX(Curves!$B$4:$AR$4,1,BV$3-Projects!$C$41+1),0)-IF(AND(Projects!$G$41="Yes",BV$3&gt;=Projects!$C$41,BV$3&lt;Projects!$C$41+Projects!$D$41),Projects!$B$41*(Assumptions!$B$10+Assumptions!$B$11+Assumptions!$B$12)/Projects!$D$41*0.95,0)-IF(AND(Projects!$G$41="Yes",BV$3=Projects!$C$41+Projects!$D$41-1),Projects!$B$41*(Assumptions!$B$10+Assumptions!$B$11+Assumptions!$B$12)*0.05,0)</f>
        <v>0</v>
      </c>
      <c r="BW50" s="30" t="n">
        <f aca="false">IF(AND(Projects!$G$41="Yes",BW$3&gt;=Projects!$C$41,BW$3&lt;Projects!$C$41+Projects!$D$41),Projects!$B$41*INDEX(Curves!$B$4:$AR$4,1,BW$3-Projects!$C$41+1),0)-IF(AND(Projects!$G$41="Yes",BW$3&gt;=Projects!$C$41,BW$3&lt;Projects!$C$41+Projects!$D$41),Projects!$B$41*(Assumptions!$B$10+Assumptions!$B$11+Assumptions!$B$12)/Projects!$D$41*0.95,0)-IF(AND(Projects!$G$41="Yes",BW$3=Projects!$C$41+Projects!$D$41-1),Projects!$B$41*(Assumptions!$B$10+Assumptions!$B$11+Assumptions!$B$12)*0.05,0)</f>
        <v>0</v>
      </c>
      <c r="BX50" s="30" t="n">
        <f aca="false">IF(AND(Projects!$G$41="Yes",BX$3&gt;=Projects!$C$41,BX$3&lt;Projects!$C$41+Projects!$D$41),Projects!$B$41*INDEX(Curves!$B$4:$AR$4,1,BX$3-Projects!$C$41+1),0)-IF(AND(Projects!$G$41="Yes",BX$3&gt;=Projects!$C$41,BX$3&lt;Projects!$C$41+Projects!$D$41),Projects!$B$41*(Assumptions!$B$10+Assumptions!$B$11+Assumptions!$B$12)/Projects!$D$41*0.95,0)-IF(AND(Projects!$G$41="Yes",BX$3=Projects!$C$41+Projects!$D$41-1),Projects!$B$41*(Assumptions!$B$10+Assumptions!$B$11+Assumptions!$B$12)*0.05,0)</f>
        <v>0</v>
      </c>
      <c r="BY50" s="30" t="n">
        <f aca="false">IF(AND(Projects!$G$41="Yes",BY$3&gt;=Projects!$C$41,BY$3&lt;Projects!$C$41+Projects!$D$41),Projects!$B$41*INDEX(Curves!$B$4:$AR$4,1,BY$3-Projects!$C$41+1),0)-IF(AND(Projects!$G$41="Yes",BY$3&gt;=Projects!$C$41,BY$3&lt;Projects!$C$41+Projects!$D$41),Projects!$B$41*(Assumptions!$B$10+Assumptions!$B$11+Assumptions!$B$12)/Projects!$D$41*0.95,0)-IF(AND(Projects!$G$41="Yes",BY$3=Projects!$C$41+Projects!$D$41-1),Projects!$B$41*(Assumptions!$B$10+Assumptions!$B$11+Assumptions!$B$12)*0.05,0)</f>
        <v>0</v>
      </c>
      <c r="BZ50" s="30" t="n">
        <f aca="false">IF(AND(Projects!$G$41="Yes",BZ$3&gt;=Projects!$C$41,BZ$3&lt;Projects!$C$41+Projects!$D$41),Projects!$B$41*INDEX(Curves!$B$4:$AR$4,1,BZ$3-Projects!$C$41+1),0)-IF(AND(Projects!$G$41="Yes",BZ$3&gt;=Projects!$C$41,BZ$3&lt;Projects!$C$41+Projects!$D$41),Projects!$B$41*(Assumptions!$B$10+Assumptions!$B$11+Assumptions!$B$12)/Projects!$D$41*0.95,0)-IF(AND(Projects!$G$41="Yes",BZ$3=Projects!$C$41+Projects!$D$41-1),Projects!$B$41*(Assumptions!$B$10+Assumptions!$B$11+Assumptions!$B$12)*0.05,0)</f>
        <v>0</v>
      </c>
      <c r="CA50" s="30" t="n">
        <f aca="false">IF(AND(Projects!$G$41="Yes",CA$3&gt;=Projects!$C$41,CA$3&lt;Projects!$C$41+Projects!$D$41),Projects!$B$41*INDEX(Curves!$B$4:$AR$4,1,CA$3-Projects!$C$41+1),0)-IF(AND(Projects!$G$41="Yes",CA$3&gt;=Projects!$C$41,CA$3&lt;Projects!$C$41+Projects!$D$41),Projects!$B$41*(Assumptions!$B$10+Assumptions!$B$11+Assumptions!$B$12)/Projects!$D$41*0.95,0)-IF(AND(Projects!$G$41="Yes",CA$3=Projects!$C$41+Projects!$D$41-1),Projects!$B$41*(Assumptions!$B$10+Assumptions!$B$11+Assumptions!$B$12)*0.05,0)</f>
        <v>0</v>
      </c>
      <c r="CB50" s="30" t="n">
        <f aca="false">IF(AND(Projects!$G$41="Yes",CB$3&gt;=Projects!$C$41,CB$3&lt;Projects!$C$41+Projects!$D$41),Projects!$B$41*INDEX(Curves!$B$4:$AR$4,1,CB$3-Projects!$C$41+1),0)-IF(AND(Projects!$G$41="Yes",CB$3&gt;=Projects!$C$41,CB$3&lt;Projects!$C$41+Projects!$D$41),Projects!$B$41*(Assumptions!$B$10+Assumptions!$B$11+Assumptions!$B$12)/Projects!$D$41*0.95,0)-IF(AND(Projects!$G$41="Yes",CB$3=Projects!$C$41+Projects!$D$41-1),Projects!$B$41*(Assumptions!$B$10+Assumptions!$B$11+Assumptions!$B$12)*0.05,0)</f>
        <v>0</v>
      </c>
      <c r="CC50" s="30" t="n">
        <f aca="false">IF(AND(Projects!$G$41="Yes",CC$3&gt;=Projects!$C$41,CC$3&lt;Projects!$C$41+Projects!$D$41),Projects!$B$41*INDEX(Curves!$B$4:$AR$4,1,CC$3-Projects!$C$41+1),0)-IF(AND(Projects!$G$41="Yes",CC$3&gt;=Projects!$C$41,CC$3&lt;Projects!$C$41+Projects!$D$41),Projects!$B$41*(Assumptions!$B$10+Assumptions!$B$11+Assumptions!$B$12)/Projects!$D$41*0.95,0)-IF(AND(Projects!$G$41="Yes",CC$3=Projects!$C$41+Projects!$D$41-1),Projects!$B$41*(Assumptions!$B$10+Assumptions!$B$11+Assumptions!$B$12)*0.05,0)</f>
        <v>0</v>
      </c>
      <c r="CD50" s="30" t="n">
        <f aca="false">IF(AND(Projects!$G$41="Yes",CD$3&gt;=Projects!$C$41,CD$3&lt;Projects!$C$41+Projects!$D$41),Projects!$B$41*INDEX(Curves!$B$4:$AR$4,1,CD$3-Projects!$C$41+1),0)-IF(AND(Projects!$G$41="Yes",CD$3&gt;=Projects!$C$41,CD$3&lt;Projects!$C$41+Projects!$D$41),Projects!$B$41*(Assumptions!$B$10+Assumptions!$B$11+Assumptions!$B$12)/Projects!$D$41*0.95,0)-IF(AND(Projects!$G$41="Yes",CD$3=Projects!$C$41+Projects!$D$41-1),Projects!$B$41*(Assumptions!$B$10+Assumptions!$B$11+Assumptions!$B$12)*0.05,0)</f>
        <v>0</v>
      </c>
      <c r="CE50" s="30" t="n">
        <f aca="false">IF(AND(Projects!$G$41="Yes",CE$3&gt;=Projects!$C$41,CE$3&lt;Projects!$C$41+Projects!$D$41),Projects!$B$41*INDEX(Curves!$B$4:$AR$4,1,CE$3-Projects!$C$41+1),0)-IF(AND(Projects!$G$41="Yes",CE$3&gt;=Projects!$C$41,CE$3&lt;Projects!$C$41+Projects!$D$41),Projects!$B$41*(Assumptions!$B$10+Assumptions!$B$11+Assumptions!$B$12)/Projects!$D$41*0.95,0)-IF(AND(Projects!$G$41="Yes",CE$3=Projects!$C$41+Projects!$D$41-1),Projects!$B$41*(Assumptions!$B$10+Assumptions!$B$11+Assumptions!$B$12)*0.05,0)</f>
        <v>0</v>
      </c>
      <c r="CF50" s="30" t="n">
        <f aca="false">IF(AND(Projects!$G$41="Yes",CF$3&gt;=Projects!$C$41,CF$3&lt;Projects!$C$41+Projects!$D$41),Projects!$B$41*INDEX(Curves!$B$4:$AR$4,1,CF$3-Projects!$C$41+1),0)-IF(AND(Projects!$G$41="Yes",CF$3&gt;=Projects!$C$41,CF$3&lt;Projects!$C$41+Projects!$D$41),Projects!$B$41*(Assumptions!$B$10+Assumptions!$B$11+Assumptions!$B$12)/Projects!$D$41*0.95,0)-IF(AND(Projects!$G$41="Yes",CF$3=Projects!$C$41+Projects!$D$41-1),Projects!$B$41*(Assumptions!$B$10+Assumptions!$B$11+Assumptions!$B$12)*0.05,0)</f>
        <v>0</v>
      </c>
      <c r="CG50" s="30" t="n">
        <f aca="false">IF(AND(Projects!$G$41="Yes",CG$3&gt;=Projects!$C$41,CG$3&lt;Projects!$C$41+Projects!$D$41),Projects!$B$41*INDEX(Curves!$B$4:$AR$4,1,CG$3-Projects!$C$41+1),0)-IF(AND(Projects!$G$41="Yes",CG$3&gt;=Projects!$C$41,CG$3&lt;Projects!$C$41+Projects!$D$41),Projects!$B$41*(Assumptions!$B$10+Assumptions!$B$11+Assumptions!$B$12)/Projects!$D$41*0.95,0)-IF(AND(Projects!$G$41="Yes",CG$3=Projects!$C$41+Projects!$D$41-1),Projects!$B$41*(Assumptions!$B$10+Assumptions!$B$11+Assumptions!$B$12)*0.05,0)</f>
        <v>0</v>
      </c>
      <c r="CH50" s="30" t="n">
        <f aca="false">IF(AND(Projects!$G$41="Yes",CH$3&gt;=Projects!$C$41,CH$3&lt;Projects!$C$41+Projects!$D$41),Projects!$B$41*INDEX(Curves!$B$4:$AR$4,1,CH$3-Projects!$C$41+1),0)-IF(AND(Projects!$G$41="Yes",CH$3&gt;=Projects!$C$41,CH$3&lt;Projects!$C$41+Projects!$D$41),Projects!$B$41*(Assumptions!$B$10+Assumptions!$B$11+Assumptions!$B$12)/Projects!$D$41*0.95,0)-IF(AND(Projects!$G$41="Yes",CH$3=Projects!$C$41+Projects!$D$41-1),Projects!$B$41*(Assumptions!$B$10+Assumptions!$B$11+Assumptions!$B$12)*0.05,0)</f>
        <v>0</v>
      </c>
      <c r="CI50" s="30" t="n">
        <f aca="false">IF(AND(Projects!$G$41="Yes",CI$3&gt;=Projects!$C$41,CI$3&lt;Projects!$C$41+Projects!$D$41),Projects!$B$41*INDEX(Curves!$B$4:$AR$4,1,CI$3-Projects!$C$41+1),0)-IF(AND(Projects!$G$41="Yes",CI$3&gt;=Projects!$C$41,CI$3&lt;Projects!$C$41+Projects!$D$41),Projects!$B$41*(Assumptions!$B$10+Assumptions!$B$11+Assumptions!$B$12)/Projects!$D$41*0.95,0)-IF(AND(Projects!$G$41="Yes",CI$3=Projects!$C$41+Projects!$D$41-1),Projects!$B$41*(Assumptions!$B$10+Assumptions!$B$11+Assumptions!$B$12)*0.05,0)</f>
        <v>0</v>
      </c>
      <c r="CJ50" s="30" t="n">
        <f aca="false">IF(AND(Projects!$G$41="Yes",CJ$3&gt;=Projects!$C$41,CJ$3&lt;Projects!$C$41+Projects!$D$41),Projects!$B$41*INDEX(Curves!$B$4:$AR$4,1,CJ$3-Projects!$C$41+1),0)-IF(AND(Projects!$G$41="Yes",CJ$3&gt;=Projects!$C$41,CJ$3&lt;Projects!$C$41+Projects!$D$41),Projects!$B$41*(Assumptions!$B$10+Assumptions!$B$11+Assumptions!$B$12)/Projects!$D$41*0.95,0)-IF(AND(Projects!$G$41="Yes",CJ$3=Projects!$C$41+Projects!$D$41-1),Projects!$B$41*(Assumptions!$B$10+Assumptions!$B$11+Assumptions!$B$12)*0.05,0)</f>
        <v>0</v>
      </c>
      <c r="CK50" s="30" t="n">
        <f aca="false">IF(AND(Projects!$G$41="Yes",CK$3&gt;=Projects!$C$41,CK$3&lt;Projects!$C$41+Projects!$D$41),Projects!$B$41*INDEX(Curves!$B$4:$AR$4,1,CK$3-Projects!$C$41+1),0)-IF(AND(Projects!$G$41="Yes",CK$3&gt;=Projects!$C$41,CK$3&lt;Projects!$C$41+Projects!$D$41),Projects!$B$41*(Assumptions!$B$10+Assumptions!$B$11+Assumptions!$B$12)/Projects!$D$41*0.95,0)-IF(AND(Projects!$G$41="Yes",CK$3=Projects!$C$41+Projects!$D$41-1),Projects!$B$41*(Assumptions!$B$10+Assumptions!$B$11+Assumptions!$B$12)*0.05,0)</f>
        <v>0</v>
      </c>
      <c r="CL50" s="30" t="n">
        <f aca="false">IF(AND(Projects!$G$41="Yes",CL$3&gt;=Projects!$C$41,CL$3&lt;Projects!$C$41+Projects!$D$41),Projects!$B$41*INDEX(Curves!$B$4:$AR$4,1,CL$3-Projects!$C$41+1),0)-IF(AND(Projects!$G$41="Yes",CL$3&gt;=Projects!$C$41,CL$3&lt;Projects!$C$41+Projects!$D$41),Projects!$B$41*(Assumptions!$B$10+Assumptions!$B$11+Assumptions!$B$12)/Projects!$D$41*0.95,0)-IF(AND(Projects!$G$41="Yes",CL$3=Projects!$C$41+Projects!$D$41-1),Projects!$B$41*(Assumptions!$B$10+Assumptions!$B$11+Assumptions!$B$12)*0.05,0)</f>
        <v>0</v>
      </c>
      <c r="CM50" s="30" t="n">
        <f aca="false">IF(AND(Projects!$G$41="Yes",CM$3&gt;=Projects!$C$41,CM$3&lt;Projects!$C$41+Projects!$D$41),Projects!$B$41*INDEX(Curves!$B$4:$AR$4,1,CM$3-Projects!$C$41+1),0)-IF(AND(Projects!$G$41="Yes",CM$3&gt;=Projects!$C$41,CM$3&lt;Projects!$C$41+Projects!$D$41),Projects!$B$41*(Assumptions!$B$10+Assumptions!$B$11+Assumptions!$B$12)/Projects!$D$41*0.95,0)-IF(AND(Projects!$G$41="Yes",CM$3=Projects!$C$41+Projects!$D$41-1),Projects!$B$41*(Assumptions!$B$10+Assumptions!$B$11+Assumptions!$B$12)*0.05,0)</f>
        <v>0</v>
      </c>
      <c r="CN50" s="30" t="n">
        <f aca="false">IF(AND(Projects!$G$41="Yes",CN$3&gt;=Projects!$C$41,CN$3&lt;Projects!$C$41+Projects!$D$41),Projects!$B$41*INDEX(Curves!$B$4:$AR$4,1,CN$3-Projects!$C$41+1),0)-IF(AND(Projects!$G$41="Yes",CN$3&gt;=Projects!$C$41,CN$3&lt;Projects!$C$41+Projects!$D$41),Projects!$B$41*(Assumptions!$B$10+Assumptions!$B$11+Assumptions!$B$12)/Projects!$D$41*0.95,0)-IF(AND(Projects!$G$41="Yes",CN$3=Projects!$C$41+Projects!$D$41-1),Projects!$B$41*(Assumptions!$B$10+Assumptions!$B$11+Assumptions!$B$12)*0.05,0)</f>
        <v>0</v>
      </c>
      <c r="CO50" s="30" t="n">
        <f aca="false">IF(AND(Projects!$G$41="Yes",CO$3&gt;=Projects!$C$41,CO$3&lt;Projects!$C$41+Projects!$D$41),Projects!$B$41*INDEX(Curves!$B$4:$AR$4,1,CO$3-Projects!$C$41+1),0)-IF(AND(Projects!$G$41="Yes",CO$3&gt;=Projects!$C$41,CO$3&lt;Projects!$C$41+Projects!$D$41),Projects!$B$41*(Assumptions!$B$10+Assumptions!$B$11+Assumptions!$B$12)/Projects!$D$41*0.95,0)-IF(AND(Projects!$G$41="Yes",CO$3=Projects!$C$41+Projects!$D$41-1),Projects!$B$41*(Assumptions!$B$10+Assumptions!$B$11+Assumptions!$B$12)*0.05,0)</f>
        <v>0</v>
      </c>
      <c r="CP50" s="30" t="n">
        <f aca="false">IF(AND(Projects!$G$41="Yes",CP$3&gt;=Projects!$C$41,CP$3&lt;Projects!$C$41+Projects!$D$41),Projects!$B$41*INDEX(Curves!$B$4:$AR$4,1,CP$3-Projects!$C$41+1),0)-IF(AND(Projects!$G$41="Yes",CP$3&gt;=Projects!$C$41,CP$3&lt;Projects!$C$41+Projects!$D$41),Projects!$B$41*(Assumptions!$B$10+Assumptions!$B$11+Assumptions!$B$12)/Projects!$D$41*0.95,0)-IF(AND(Projects!$G$41="Yes",CP$3=Projects!$C$41+Projects!$D$41-1),Projects!$B$41*(Assumptions!$B$10+Assumptions!$B$11+Assumptions!$B$12)*0.05,0)</f>
        <v>0</v>
      </c>
      <c r="CQ50" s="30" t="n">
        <f aca="false">IF(AND(Projects!$G$41="Yes",CQ$3&gt;=Projects!$C$41,CQ$3&lt;Projects!$C$41+Projects!$D$41),Projects!$B$41*INDEX(Curves!$B$4:$AR$4,1,CQ$3-Projects!$C$41+1),0)-IF(AND(Projects!$G$41="Yes",CQ$3&gt;=Projects!$C$41,CQ$3&lt;Projects!$C$41+Projects!$D$41),Projects!$B$41*(Assumptions!$B$10+Assumptions!$B$11+Assumptions!$B$12)/Projects!$D$41*0.95,0)-IF(AND(Projects!$G$41="Yes",CQ$3=Projects!$C$41+Projects!$D$41-1),Projects!$B$41*(Assumptions!$B$10+Assumptions!$B$11+Assumptions!$B$12)*0.05,0)</f>
        <v>0</v>
      </c>
      <c r="CR50" s="30" t="n">
        <f aca="false">IF(AND(Projects!$G$41="Yes",CR$3&gt;=Projects!$C$41,CR$3&lt;Projects!$C$41+Projects!$D$41),Projects!$B$41*INDEX(Curves!$B$4:$AR$4,1,CR$3-Projects!$C$41+1),0)-IF(AND(Projects!$G$41="Yes",CR$3&gt;=Projects!$C$41,CR$3&lt;Projects!$C$41+Projects!$D$41),Projects!$B$41*(Assumptions!$B$10+Assumptions!$B$11+Assumptions!$B$12)/Projects!$D$41*0.95,0)-IF(AND(Projects!$G$41="Yes",CR$3=Projects!$C$41+Projects!$D$41-1),Projects!$B$41*(Assumptions!$B$10+Assumptions!$B$11+Assumptions!$B$12)*0.05,0)</f>
        <v>0</v>
      </c>
      <c r="CS50" s="30" t="n">
        <f aca="false">IF(AND(Projects!$G$41="Yes",CS$3&gt;=Projects!$C$41,CS$3&lt;Projects!$C$41+Projects!$D$41),Projects!$B$41*INDEX(Curves!$B$4:$AR$4,1,CS$3-Projects!$C$41+1),0)-IF(AND(Projects!$G$41="Yes",CS$3&gt;=Projects!$C$41,CS$3&lt;Projects!$C$41+Projects!$D$41),Projects!$B$41*(Assumptions!$B$10+Assumptions!$B$11+Assumptions!$B$12)/Projects!$D$41*0.95,0)-IF(AND(Projects!$G$41="Yes",CS$3=Projects!$C$41+Projects!$D$41-1),Projects!$B$41*(Assumptions!$B$10+Assumptions!$B$11+Assumptions!$B$12)*0.05,0)</f>
        <v>0</v>
      </c>
      <c r="CT50" s="30" t="n">
        <f aca="false">IF(AND(Projects!$G$41="Yes",CT$3&gt;=Projects!$C$41,CT$3&lt;Projects!$C$41+Projects!$D$41),Projects!$B$41*INDEX(Curves!$B$4:$AR$4,1,CT$3-Projects!$C$41+1),0)-IF(AND(Projects!$G$41="Yes",CT$3&gt;=Projects!$C$41,CT$3&lt;Projects!$C$41+Projects!$D$41),Projects!$B$41*(Assumptions!$B$10+Assumptions!$B$11+Assumptions!$B$12)/Projects!$D$41*0.95,0)-IF(AND(Projects!$G$41="Yes",CT$3=Projects!$C$41+Projects!$D$41-1),Projects!$B$41*(Assumptions!$B$10+Assumptions!$B$11+Assumptions!$B$12)*0.05,0)</f>
        <v>0</v>
      </c>
      <c r="CU50" s="30" t="n">
        <f aca="false">IF(AND(Projects!$G$41="Yes",CU$3&gt;=Projects!$C$41,CU$3&lt;Projects!$C$41+Projects!$D$41),Projects!$B$41*INDEX(Curves!$B$4:$AR$4,1,CU$3-Projects!$C$41+1),0)-IF(AND(Projects!$G$41="Yes",CU$3&gt;=Projects!$C$41,CU$3&lt;Projects!$C$41+Projects!$D$41),Projects!$B$41*(Assumptions!$B$10+Assumptions!$B$11+Assumptions!$B$12)/Projects!$D$41*0.95,0)-IF(AND(Projects!$G$41="Yes",CU$3=Projects!$C$41+Projects!$D$41-1),Projects!$B$41*(Assumptions!$B$10+Assumptions!$B$11+Assumptions!$B$12)*0.05,0)</f>
        <v>0</v>
      </c>
      <c r="CV50" s="30" t="n">
        <f aca="false">IF(AND(Projects!$G$41="Yes",CV$3&gt;=Projects!$C$41,CV$3&lt;Projects!$C$41+Projects!$D$41),Projects!$B$41*INDEX(Curves!$B$4:$AR$4,1,CV$3-Projects!$C$41+1),0)-IF(AND(Projects!$G$41="Yes",CV$3&gt;=Projects!$C$41,CV$3&lt;Projects!$C$41+Projects!$D$41),Projects!$B$41*(Assumptions!$B$10+Assumptions!$B$11+Assumptions!$B$12)/Projects!$D$41*0.95,0)-IF(AND(Projects!$G$41="Yes",CV$3=Projects!$C$41+Projects!$D$41-1),Projects!$B$41*(Assumptions!$B$10+Assumptions!$B$11+Assumptions!$B$12)*0.05,0)</f>
        <v>0</v>
      </c>
      <c r="CW50" s="30" t="n">
        <f aca="false">IF(AND(Projects!$G$41="Yes",CW$3&gt;=Projects!$C$41,CW$3&lt;Projects!$C$41+Projects!$D$41),Projects!$B$41*INDEX(Curves!$B$4:$AR$4,1,CW$3-Projects!$C$41+1),0)-IF(AND(Projects!$G$41="Yes",CW$3&gt;=Projects!$C$41,CW$3&lt;Projects!$C$41+Projects!$D$41),Projects!$B$41*(Assumptions!$B$10+Assumptions!$B$11+Assumptions!$B$12)/Projects!$D$41*0.95,0)-IF(AND(Projects!$G$41="Yes",CW$3=Projects!$C$41+Projects!$D$41-1),Projects!$B$41*(Assumptions!$B$10+Assumptions!$B$11+Assumptions!$B$12)*0.05,0)</f>
        <v>0</v>
      </c>
      <c r="CX50" s="30" t="n">
        <f aca="false">IF(AND(Projects!$G$41="Yes",CX$3&gt;=Projects!$C$41,CX$3&lt;Projects!$C$41+Projects!$D$41),Projects!$B$41*INDEX(Curves!$B$4:$AR$4,1,CX$3-Projects!$C$41+1),0)-IF(AND(Projects!$G$41="Yes",CX$3&gt;=Projects!$C$41,CX$3&lt;Projects!$C$41+Projects!$D$41),Projects!$B$41*(Assumptions!$B$10+Assumptions!$B$11+Assumptions!$B$12)/Projects!$D$41*0.95,0)-IF(AND(Projects!$G$41="Yes",CX$3=Projects!$C$41+Projects!$D$41-1),Projects!$B$41*(Assumptions!$B$10+Assumptions!$B$11+Assumptions!$B$12)*0.05,0)</f>
        <v>0</v>
      </c>
      <c r="CY50" s="30" t="n">
        <f aca="false">IF(AND(Projects!$G$41="Yes",CY$3&gt;=Projects!$C$41,CY$3&lt;Projects!$C$41+Projects!$D$41),Projects!$B$41*INDEX(Curves!$B$4:$AR$4,1,CY$3-Projects!$C$41+1),0)-IF(AND(Projects!$G$41="Yes",CY$3&gt;=Projects!$C$41,CY$3&lt;Projects!$C$41+Projects!$D$41),Projects!$B$41*(Assumptions!$B$10+Assumptions!$B$11+Assumptions!$B$12)/Projects!$D$41*0.95,0)-IF(AND(Projects!$G$41="Yes",CY$3=Projects!$C$41+Projects!$D$41-1),Projects!$B$41*(Assumptions!$B$10+Assumptions!$B$11+Assumptions!$B$12)*0.05,0)</f>
        <v>0</v>
      </c>
      <c r="CZ50" s="30" t="n">
        <f aca="false">IF(AND(Projects!$G$41="Yes",CZ$3&gt;=Projects!$C$41,CZ$3&lt;Projects!$C$41+Projects!$D$41),Projects!$B$41*INDEX(Curves!$B$4:$AR$4,1,CZ$3-Projects!$C$41+1),0)-IF(AND(Projects!$G$41="Yes",CZ$3&gt;=Projects!$C$41,CZ$3&lt;Projects!$C$41+Projects!$D$41),Projects!$B$41*(Assumptions!$B$10+Assumptions!$B$11+Assumptions!$B$12)/Projects!$D$41*0.95,0)-IF(AND(Projects!$G$41="Yes",CZ$3=Projects!$C$41+Projects!$D$41-1),Projects!$B$41*(Assumptions!$B$10+Assumptions!$B$11+Assumptions!$B$12)*0.05,0)</f>
        <v>0</v>
      </c>
      <c r="DA50" s="30" t="n">
        <f aca="false">IF(AND(Projects!$G$41="Yes",DA$3&gt;=Projects!$C$41,DA$3&lt;Projects!$C$41+Projects!$D$41),Projects!$B$41*INDEX(Curves!$B$4:$AR$4,1,DA$3-Projects!$C$41+1),0)-IF(AND(Projects!$G$41="Yes",DA$3&gt;=Projects!$C$41,DA$3&lt;Projects!$C$41+Projects!$D$41),Projects!$B$41*(Assumptions!$B$10+Assumptions!$B$11+Assumptions!$B$12)/Projects!$D$41*0.95,0)-IF(AND(Projects!$G$41="Yes",DA$3=Projects!$C$41+Projects!$D$41-1),Projects!$B$41*(Assumptions!$B$10+Assumptions!$B$11+Assumptions!$B$12)*0.05,0)</f>
        <v>0</v>
      </c>
      <c r="DB50" s="30" t="n">
        <f aca="false">IF(AND(Projects!$G$41="Yes",DB$3&gt;=Projects!$C$41,DB$3&lt;Projects!$C$41+Projects!$D$41),Projects!$B$41*INDEX(Curves!$B$4:$AR$4,1,DB$3-Projects!$C$41+1),0)-IF(AND(Projects!$G$41="Yes",DB$3&gt;=Projects!$C$41,DB$3&lt;Projects!$C$41+Projects!$D$41),Projects!$B$41*(Assumptions!$B$10+Assumptions!$B$11+Assumptions!$B$12)/Projects!$D$41*0.95,0)-IF(AND(Projects!$G$41="Yes",DB$3=Projects!$C$41+Projects!$D$41-1),Projects!$B$41*(Assumptions!$B$10+Assumptions!$B$11+Assumptions!$B$12)*0.05,0)</f>
        <v>0</v>
      </c>
      <c r="DC50" s="30" t="n">
        <f aca="false">IF(AND(Projects!$G$41="Yes",DC$3&gt;=Projects!$C$41,DC$3&lt;Projects!$C$41+Projects!$D$41),Projects!$B$41*INDEX(Curves!$B$4:$AR$4,1,DC$3-Projects!$C$41+1),0)-IF(AND(Projects!$G$41="Yes",DC$3&gt;=Projects!$C$41,DC$3&lt;Projects!$C$41+Projects!$D$41),Projects!$B$41*(Assumptions!$B$10+Assumptions!$B$11+Assumptions!$B$12)/Projects!$D$41*0.95,0)-IF(AND(Projects!$G$41="Yes",DC$3=Projects!$C$41+Projects!$D$41-1),Projects!$B$41*(Assumptions!$B$10+Assumptions!$B$11+Assumptions!$B$12)*0.05,0)</f>
        <v>0</v>
      </c>
      <c r="DD50" s="30" t="n">
        <f aca="false">IF(AND(Projects!$G$41="Yes",DD$3&gt;=Projects!$C$41,DD$3&lt;Projects!$C$41+Projects!$D$41),Projects!$B$41*INDEX(Curves!$B$4:$AR$4,1,DD$3-Projects!$C$41+1),0)-IF(AND(Projects!$G$41="Yes",DD$3&gt;=Projects!$C$41,DD$3&lt;Projects!$C$41+Projects!$D$41),Projects!$B$41*(Assumptions!$B$10+Assumptions!$B$11+Assumptions!$B$12)/Projects!$D$41*0.95,0)-IF(AND(Projects!$G$41="Yes",DD$3=Projects!$C$41+Projects!$D$41-1),Projects!$B$41*(Assumptions!$B$10+Assumptions!$B$11+Assumptions!$B$12)*0.05,0)</f>
        <v>0</v>
      </c>
      <c r="DE50" s="30" t="n">
        <f aca="false">IF(AND(Projects!$G$41="Yes",DE$3&gt;=Projects!$C$41,DE$3&lt;Projects!$C$41+Projects!$D$41),Projects!$B$41*INDEX(Curves!$B$4:$AR$4,1,DE$3-Projects!$C$41+1),0)-IF(AND(Projects!$G$41="Yes",DE$3&gt;=Projects!$C$41,DE$3&lt;Projects!$C$41+Projects!$D$41),Projects!$B$41*(Assumptions!$B$10+Assumptions!$B$11+Assumptions!$B$12)/Projects!$D$41*0.95,0)-IF(AND(Projects!$G$41="Yes",DE$3=Projects!$C$41+Projects!$D$41-1),Projects!$B$41*(Assumptions!$B$10+Assumptions!$B$11+Assumptions!$B$12)*0.05,0)</f>
        <v>0</v>
      </c>
    </row>
    <row r="51" customFormat="false" ht="15" hidden="true" customHeight="true" outlineLevel="1" collapsed="false">
      <c r="A51" s="32" t="s">
        <v>45</v>
      </c>
      <c r="B51" s="30" t="n">
        <v>0</v>
      </c>
      <c r="C51" s="30" t="n">
        <v>0</v>
      </c>
      <c r="D51" s="30" t="n">
        <v>0</v>
      </c>
      <c r="E51" s="30" t="n">
        <v>0</v>
      </c>
      <c r="F51" s="30" t="n">
        <f aca="false">IF(AND(Projects!$G$42="Yes",F$3&gt;=Projects!$C$42,F$3&lt;Projects!$C$42+Projects!$D$42),Projects!$B$42*INDEX(Curves!$B$4:$AR$4,1,F$3-Projects!$C$42+1),0)-IF(AND(Projects!$G$42="Yes",F$3&gt;=Projects!$C$42,F$3&lt;Projects!$C$42+Projects!$D$42),Projects!$B$42*(Assumptions!$B$10+Assumptions!$B$11+Assumptions!$B$12)/Projects!$D$42*0.95,0)-IF(AND(Projects!$G$42="Yes",F$3=Projects!$C$42+Projects!$D$42-1),Projects!$B$42*(Assumptions!$B$10+Assumptions!$B$11+Assumptions!$B$12)*0.05,0)</f>
        <v>0</v>
      </c>
      <c r="G51" s="30" t="n">
        <f aca="false">IF(AND(Projects!$G$42="Yes",G$3&gt;=Projects!$C$42,G$3&lt;Projects!$C$42+Projects!$D$42),Projects!$B$42*INDEX(Curves!$B$4:$AR$4,1,G$3-Projects!$C$42+1),0)-IF(AND(Projects!$G$42="Yes",G$3&gt;=Projects!$C$42,G$3&lt;Projects!$C$42+Projects!$D$42),Projects!$B$42*(Assumptions!$B$10+Assumptions!$B$11+Assumptions!$B$12)/Projects!$D$42*0.95,0)-IF(AND(Projects!$G$42="Yes",G$3=Projects!$C$42+Projects!$D$42-1),Projects!$B$42*(Assumptions!$B$10+Assumptions!$B$11+Assumptions!$B$12)*0.05,0)</f>
        <v>0</v>
      </c>
      <c r="H51" s="30" t="n">
        <f aca="false">IF(AND(Projects!$G$42="Yes",H$3&gt;=Projects!$C$42,H$3&lt;Projects!$C$42+Projects!$D$42),Projects!$B$42*INDEX(Curves!$B$4:$AR$4,1,H$3-Projects!$C$42+1),0)-IF(AND(Projects!$G$42="Yes",H$3&gt;=Projects!$C$42,H$3&lt;Projects!$C$42+Projects!$D$42),Projects!$B$42*(Assumptions!$B$10+Assumptions!$B$11+Assumptions!$B$12)/Projects!$D$42*0.95,0)-IF(AND(Projects!$G$42="Yes",H$3=Projects!$C$42+Projects!$D$42-1),Projects!$B$42*(Assumptions!$B$10+Assumptions!$B$11+Assumptions!$B$12)*0.05,0)</f>
        <v>0</v>
      </c>
      <c r="I51" s="30" t="n">
        <f aca="false">IF(AND(Projects!$G$42="Yes",I$3&gt;=Projects!$C$42,I$3&lt;Projects!$C$42+Projects!$D$42),Projects!$B$42*INDEX(Curves!$B$4:$AR$4,1,I$3-Projects!$C$42+1),0)-IF(AND(Projects!$G$42="Yes",I$3&gt;=Projects!$C$42,I$3&lt;Projects!$C$42+Projects!$D$42),Projects!$B$42*(Assumptions!$B$10+Assumptions!$B$11+Assumptions!$B$12)/Projects!$D$42*0.95,0)-IF(AND(Projects!$G$42="Yes",I$3=Projects!$C$42+Projects!$D$42-1),Projects!$B$42*(Assumptions!$B$10+Assumptions!$B$11+Assumptions!$B$12)*0.05,0)</f>
        <v>0</v>
      </c>
      <c r="J51" s="30" t="n">
        <f aca="false">IF(AND(Projects!$G$42="Yes",J$3&gt;=Projects!$C$42,J$3&lt;Projects!$C$42+Projects!$D$42),Projects!$B$42*INDEX(Curves!$B$4:$AR$4,1,J$3-Projects!$C$42+1),0)-IF(AND(Projects!$G$42="Yes",J$3&gt;=Projects!$C$42,J$3&lt;Projects!$C$42+Projects!$D$42),Projects!$B$42*(Assumptions!$B$10+Assumptions!$B$11+Assumptions!$B$12)/Projects!$D$42*0.95,0)-IF(AND(Projects!$G$42="Yes",J$3=Projects!$C$42+Projects!$D$42-1),Projects!$B$42*(Assumptions!$B$10+Assumptions!$B$11+Assumptions!$B$12)*0.05,0)</f>
        <v>0</v>
      </c>
      <c r="K51" s="30" t="n">
        <f aca="false">IF(AND(Projects!$G$42="Yes",K$3&gt;=Projects!$C$42,K$3&lt;Projects!$C$42+Projects!$D$42),Projects!$B$42*INDEX(Curves!$B$4:$AR$4,1,K$3-Projects!$C$42+1),0)-IF(AND(Projects!$G$42="Yes",K$3&gt;=Projects!$C$42,K$3&lt;Projects!$C$42+Projects!$D$42),Projects!$B$42*(Assumptions!$B$10+Assumptions!$B$11+Assumptions!$B$12)/Projects!$D$42*0.95,0)-IF(AND(Projects!$G$42="Yes",K$3=Projects!$C$42+Projects!$D$42-1),Projects!$B$42*(Assumptions!$B$10+Assumptions!$B$11+Assumptions!$B$12)*0.05,0)</f>
        <v>0</v>
      </c>
      <c r="L51" s="30" t="n">
        <f aca="false">IF(AND(Projects!$G$42="Yes",L$3&gt;=Projects!$C$42,L$3&lt;Projects!$C$42+Projects!$D$42),Projects!$B$42*INDEX(Curves!$B$4:$AR$4,1,L$3-Projects!$C$42+1),0)-IF(AND(Projects!$G$42="Yes",L$3&gt;=Projects!$C$42,L$3&lt;Projects!$C$42+Projects!$D$42),Projects!$B$42*(Assumptions!$B$10+Assumptions!$B$11+Assumptions!$B$12)/Projects!$D$42*0.95,0)-IF(AND(Projects!$G$42="Yes",L$3=Projects!$C$42+Projects!$D$42-1),Projects!$B$42*(Assumptions!$B$10+Assumptions!$B$11+Assumptions!$B$12)*0.05,0)</f>
        <v>0</v>
      </c>
      <c r="M51" s="30" t="n">
        <f aca="false">IF(AND(Projects!$G$42="Yes",M$3&gt;=Projects!$C$42,M$3&lt;Projects!$C$42+Projects!$D$42),Projects!$B$42*INDEX(Curves!$B$4:$AR$4,1,M$3-Projects!$C$42+1),0)-IF(AND(Projects!$G$42="Yes",M$3&gt;=Projects!$C$42,M$3&lt;Projects!$C$42+Projects!$D$42),Projects!$B$42*(Assumptions!$B$10+Assumptions!$B$11+Assumptions!$B$12)/Projects!$D$42*0.95,0)-IF(AND(Projects!$G$42="Yes",M$3=Projects!$C$42+Projects!$D$42-1),Projects!$B$42*(Assumptions!$B$10+Assumptions!$B$11+Assumptions!$B$12)*0.05,0)</f>
        <v>0</v>
      </c>
      <c r="N51" s="30" t="n">
        <f aca="false">IF(AND(Projects!$G$42="Yes",N$3&gt;=Projects!$C$42,N$3&lt;Projects!$C$42+Projects!$D$42),Projects!$B$42*INDEX(Curves!$B$4:$AR$4,1,N$3-Projects!$C$42+1),0)-IF(AND(Projects!$G$42="Yes",N$3&gt;=Projects!$C$42,N$3&lt;Projects!$C$42+Projects!$D$42),Projects!$B$42*(Assumptions!$B$10+Assumptions!$B$11+Assumptions!$B$12)/Projects!$D$42*0.95,0)-IF(AND(Projects!$G$42="Yes",N$3=Projects!$C$42+Projects!$D$42-1),Projects!$B$42*(Assumptions!$B$10+Assumptions!$B$11+Assumptions!$B$12)*0.05,0)</f>
        <v>0</v>
      </c>
      <c r="O51" s="30" t="n">
        <f aca="false">IF(AND(Projects!$G$42="Yes",O$3&gt;=Projects!$C$42,O$3&lt;Projects!$C$42+Projects!$D$42),Projects!$B$42*INDEX(Curves!$B$4:$AR$4,1,O$3-Projects!$C$42+1),0)-IF(AND(Projects!$G$42="Yes",O$3&gt;=Projects!$C$42,O$3&lt;Projects!$C$42+Projects!$D$42),Projects!$B$42*(Assumptions!$B$10+Assumptions!$B$11+Assumptions!$B$12)/Projects!$D$42*0.95,0)-IF(AND(Projects!$G$42="Yes",O$3=Projects!$C$42+Projects!$D$42-1),Projects!$B$42*(Assumptions!$B$10+Assumptions!$B$11+Assumptions!$B$12)*0.05,0)</f>
        <v>0</v>
      </c>
      <c r="P51" s="30" t="n">
        <f aca="false">IF(AND(Projects!$G$42="Yes",P$3&gt;=Projects!$C$42,P$3&lt;Projects!$C$42+Projects!$D$42),Projects!$B$42*INDEX(Curves!$B$4:$AR$4,1,P$3-Projects!$C$42+1),0)-IF(AND(Projects!$G$42="Yes",P$3&gt;=Projects!$C$42,P$3&lt;Projects!$C$42+Projects!$D$42),Projects!$B$42*(Assumptions!$B$10+Assumptions!$B$11+Assumptions!$B$12)/Projects!$D$42*0.95,0)-IF(AND(Projects!$G$42="Yes",P$3=Projects!$C$42+Projects!$D$42-1),Projects!$B$42*(Assumptions!$B$10+Assumptions!$B$11+Assumptions!$B$12)*0.05,0)</f>
        <v>0</v>
      </c>
      <c r="Q51" s="30" t="n">
        <f aca="false">IF(AND(Projects!$G$42="Yes",Q$3&gt;=Projects!$C$42,Q$3&lt;Projects!$C$42+Projects!$D$42),Projects!$B$42*INDEX(Curves!$B$4:$AR$4,1,Q$3-Projects!$C$42+1),0)-IF(AND(Projects!$G$42="Yes",Q$3&gt;=Projects!$C$42,Q$3&lt;Projects!$C$42+Projects!$D$42),Projects!$B$42*(Assumptions!$B$10+Assumptions!$B$11+Assumptions!$B$12)/Projects!$D$42*0.95,0)-IF(AND(Projects!$G$42="Yes",Q$3=Projects!$C$42+Projects!$D$42-1),Projects!$B$42*(Assumptions!$B$10+Assumptions!$B$11+Assumptions!$B$12)*0.05,0)</f>
        <v>0</v>
      </c>
      <c r="R51" s="30" t="n">
        <f aca="false">IF(AND(Projects!$G$42="Yes",R$3&gt;=Projects!$C$42,R$3&lt;Projects!$C$42+Projects!$D$42),Projects!$B$42*INDEX(Curves!$B$4:$AR$4,1,R$3-Projects!$C$42+1),0)-IF(AND(Projects!$G$42="Yes",R$3&gt;=Projects!$C$42,R$3&lt;Projects!$C$42+Projects!$D$42),Projects!$B$42*(Assumptions!$B$10+Assumptions!$B$11+Assumptions!$B$12)/Projects!$D$42*0.95,0)-IF(AND(Projects!$G$42="Yes",R$3=Projects!$C$42+Projects!$D$42-1),Projects!$B$42*(Assumptions!$B$10+Assumptions!$B$11+Assumptions!$B$12)*0.05,0)</f>
        <v>0</v>
      </c>
      <c r="S51" s="30" t="n">
        <f aca="false">IF(AND(Projects!$G$42="Yes",S$3&gt;=Projects!$C$42,S$3&lt;Projects!$C$42+Projects!$D$42),Projects!$B$42*INDEX(Curves!$B$4:$AR$4,1,S$3-Projects!$C$42+1),0)-IF(AND(Projects!$G$42="Yes",S$3&gt;=Projects!$C$42,S$3&lt;Projects!$C$42+Projects!$D$42),Projects!$B$42*(Assumptions!$B$10+Assumptions!$B$11+Assumptions!$B$12)/Projects!$D$42*0.95,0)-IF(AND(Projects!$G$42="Yes",S$3=Projects!$C$42+Projects!$D$42-1),Projects!$B$42*(Assumptions!$B$10+Assumptions!$B$11+Assumptions!$B$12)*0.05,0)</f>
        <v>0</v>
      </c>
      <c r="T51" s="30" t="n">
        <f aca="false">IF(AND(Projects!$G$42="Yes",T$3&gt;=Projects!$C$42,T$3&lt;Projects!$C$42+Projects!$D$42),Projects!$B$42*INDEX(Curves!$B$4:$AR$4,1,T$3-Projects!$C$42+1),0)-IF(AND(Projects!$G$42="Yes",T$3&gt;=Projects!$C$42,T$3&lt;Projects!$C$42+Projects!$D$42),Projects!$B$42*(Assumptions!$B$10+Assumptions!$B$11+Assumptions!$B$12)/Projects!$D$42*0.95,0)-IF(AND(Projects!$G$42="Yes",T$3=Projects!$C$42+Projects!$D$42-1),Projects!$B$42*(Assumptions!$B$10+Assumptions!$B$11+Assumptions!$B$12)*0.05,0)</f>
        <v>0</v>
      </c>
      <c r="U51" s="30" t="n">
        <f aca="false">IF(AND(Projects!$G$42="Yes",U$3&gt;=Projects!$C$42,U$3&lt;Projects!$C$42+Projects!$D$42),Projects!$B$42*INDEX(Curves!$B$4:$AR$4,1,U$3-Projects!$C$42+1),0)-IF(AND(Projects!$G$42="Yes",U$3&gt;=Projects!$C$42,U$3&lt;Projects!$C$42+Projects!$D$42),Projects!$B$42*(Assumptions!$B$10+Assumptions!$B$11+Assumptions!$B$12)/Projects!$D$42*0.95,0)-IF(AND(Projects!$G$42="Yes",U$3=Projects!$C$42+Projects!$D$42-1),Projects!$B$42*(Assumptions!$B$10+Assumptions!$B$11+Assumptions!$B$12)*0.05,0)</f>
        <v>0</v>
      </c>
      <c r="V51" s="30" t="n">
        <f aca="false">IF(AND(Projects!$G$42="Yes",V$3&gt;=Projects!$C$42,V$3&lt;Projects!$C$42+Projects!$D$42),Projects!$B$42*INDEX(Curves!$B$4:$AR$4,1,V$3-Projects!$C$42+1),0)-IF(AND(Projects!$G$42="Yes",V$3&gt;=Projects!$C$42,V$3&lt;Projects!$C$42+Projects!$D$42),Projects!$B$42*(Assumptions!$B$10+Assumptions!$B$11+Assumptions!$B$12)/Projects!$D$42*0.95,0)-IF(AND(Projects!$G$42="Yes",V$3=Projects!$C$42+Projects!$D$42-1),Projects!$B$42*(Assumptions!$B$10+Assumptions!$B$11+Assumptions!$B$12)*0.05,0)</f>
        <v>0</v>
      </c>
      <c r="W51" s="30" t="n">
        <f aca="false">IF(AND(Projects!$G$42="Yes",W$3&gt;=Projects!$C$42,W$3&lt;Projects!$C$42+Projects!$D$42),Projects!$B$42*INDEX(Curves!$B$4:$AR$4,1,W$3-Projects!$C$42+1),0)-IF(AND(Projects!$G$42="Yes",W$3&gt;=Projects!$C$42,W$3&lt;Projects!$C$42+Projects!$D$42),Projects!$B$42*(Assumptions!$B$10+Assumptions!$B$11+Assumptions!$B$12)/Projects!$D$42*0.95,0)-IF(AND(Projects!$G$42="Yes",W$3=Projects!$C$42+Projects!$D$42-1),Projects!$B$42*(Assumptions!$B$10+Assumptions!$B$11+Assumptions!$B$12)*0.05,0)</f>
        <v>0</v>
      </c>
      <c r="X51" s="30" t="n">
        <f aca="false">IF(AND(Projects!$G$42="Yes",X$3&gt;=Projects!$C$42,X$3&lt;Projects!$C$42+Projects!$D$42),Projects!$B$42*INDEX(Curves!$B$4:$AR$4,1,X$3-Projects!$C$42+1),0)-IF(AND(Projects!$G$42="Yes",X$3&gt;=Projects!$C$42,X$3&lt;Projects!$C$42+Projects!$D$42),Projects!$B$42*(Assumptions!$B$10+Assumptions!$B$11+Assumptions!$B$12)/Projects!$D$42*0.95,0)-IF(AND(Projects!$G$42="Yes",X$3=Projects!$C$42+Projects!$D$42-1),Projects!$B$42*(Assumptions!$B$10+Assumptions!$B$11+Assumptions!$B$12)*0.05,0)</f>
        <v>0</v>
      </c>
      <c r="Y51" s="30" t="n">
        <f aca="false">IF(AND(Projects!$G$42="Yes",Y$3&gt;=Projects!$C$42,Y$3&lt;Projects!$C$42+Projects!$D$42),Projects!$B$42*INDEX(Curves!$B$4:$AR$4,1,Y$3-Projects!$C$42+1),0)-IF(AND(Projects!$G$42="Yes",Y$3&gt;=Projects!$C$42,Y$3&lt;Projects!$C$42+Projects!$D$42),Projects!$B$42*(Assumptions!$B$10+Assumptions!$B$11+Assumptions!$B$12)/Projects!$D$42*0.95,0)-IF(AND(Projects!$G$42="Yes",Y$3=Projects!$C$42+Projects!$D$42-1),Projects!$B$42*(Assumptions!$B$10+Assumptions!$B$11+Assumptions!$B$12)*0.05,0)</f>
        <v>0</v>
      </c>
      <c r="Z51" s="30" t="n">
        <f aca="false">IF(AND(Projects!$G$42="Yes",Z$3&gt;=Projects!$C$42,Z$3&lt;Projects!$C$42+Projects!$D$42),Projects!$B$42*INDEX(Curves!$B$4:$AR$4,1,Z$3-Projects!$C$42+1),0)-IF(AND(Projects!$G$42="Yes",Z$3&gt;=Projects!$C$42,Z$3&lt;Projects!$C$42+Projects!$D$42),Projects!$B$42*(Assumptions!$B$10+Assumptions!$B$11+Assumptions!$B$12)/Projects!$D$42*0.95,0)-IF(AND(Projects!$G$42="Yes",Z$3=Projects!$C$42+Projects!$D$42-1),Projects!$B$42*(Assumptions!$B$10+Assumptions!$B$11+Assumptions!$B$12)*0.05,0)</f>
        <v>0</v>
      </c>
      <c r="AA51" s="30" t="n">
        <f aca="false">IF(AND(Projects!$G$42="Yes",AA$3&gt;=Projects!$C$42,AA$3&lt;Projects!$C$42+Projects!$D$42),Projects!$B$42*INDEX(Curves!$B$4:$AR$4,1,AA$3-Projects!$C$42+1),0)-IF(AND(Projects!$G$42="Yes",AA$3&gt;=Projects!$C$42,AA$3&lt;Projects!$C$42+Projects!$D$42),Projects!$B$42*(Assumptions!$B$10+Assumptions!$B$11+Assumptions!$B$12)/Projects!$D$42*0.95,0)-IF(AND(Projects!$G$42="Yes",AA$3=Projects!$C$42+Projects!$D$42-1),Projects!$B$42*(Assumptions!$B$10+Assumptions!$B$11+Assumptions!$B$12)*0.05,0)</f>
        <v>0</v>
      </c>
      <c r="AB51" s="30" t="n">
        <f aca="false">IF(AND(Projects!$G$42="Yes",AB$3&gt;=Projects!$C$42,AB$3&lt;Projects!$C$42+Projects!$D$42),Projects!$B$42*INDEX(Curves!$B$4:$AR$4,1,AB$3-Projects!$C$42+1),0)-IF(AND(Projects!$G$42="Yes",AB$3&gt;=Projects!$C$42,AB$3&lt;Projects!$C$42+Projects!$D$42),Projects!$B$42*(Assumptions!$B$10+Assumptions!$B$11+Assumptions!$B$12)/Projects!$D$42*0.95,0)-IF(AND(Projects!$G$42="Yes",AB$3=Projects!$C$42+Projects!$D$42-1),Projects!$B$42*(Assumptions!$B$10+Assumptions!$B$11+Assumptions!$B$12)*0.05,0)</f>
        <v>0</v>
      </c>
      <c r="AC51" s="30" t="n">
        <f aca="false">IF(AND(Projects!$G$42="Yes",AC$3&gt;=Projects!$C$42,AC$3&lt;Projects!$C$42+Projects!$D$42),Projects!$B$42*INDEX(Curves!$B$4:$AR$4,1,AC$3-Projects!$C$42+1),0)-IF(AND(Projects!$G$42="Yes",AC$3&gt;=Projects!$C$42,AC$3&lt;Projects!$C$42+Projects!$D$42),Projects!$B$42*(Assumptions!$B$10+Assumptions!$B$11+Assumptions!$B$12)/Projects!$D$42*0.95,0)-IF(AND(Projects!$G$42="Yes",AC$3=Projects!$C$42+Projects!$D$42-1),Projects!$B$42*(Assumptions!$B$10+Assumptions!$B$11+Assumptions!$B$12)*0.05,0)</f>
        <v>0</v>
      </c>
      <c r="AD51" s="30" t="n">
        <f aca="false">IF(AND(Projects!$G$42="Yes",AD$3&gt;=Projects!$C$42,AD$3&lt;Projects!$C$42+Projects!$D$42),Projects!$B$42*INDEX(Curves!$B$4:$AR$4,1,AD$3-Projects!$C$42+1),0)-IF(AND(Projects!$G$42="Yes",AD$3&gt;=Projects!$C$42,AD$3&lt;Projects!$C$42+Projects!$D$42),Projects!$B$42*(Assumptions!$B$10+Assumptions!$B$11+Assumptions!$B$12)/Projects!$D$42*0.95,0)-IF(AND(Projects!$G$42="Yes",AD$3=Projects!$C$42+Projects!$D$42-1),Projects!$B$42*(Assumptions!$B$10+Assumptions!$B$11+Assumptions!$B$12)*0.05,0)</f>
        <v>0</v>
      </c>
      <c r="AE51" s="30" t="n">
        <f aca="false">IF(AND(Projects!$G$42="Yes",AE$3&gt;=Projects!$C$42,AE$3&lt;Projects!$C$42+Projects!$D$42),Projects!$B$42*INDEX(Curves!$B$4:$AR$4,1,AE$3-Projects!$C$42+1),0)-IF(AND(Projects!$G$42="Yes",AE$3&gt;=Projects!$C$42,AE$3&lt;Projects!$C$42+Projects!$D$42),Projects!$B$42*(Assumptions!$B$10+Assumptions!$B$11+Assumptions!$B$12)/Projects!$D$42*0.95,0)-IF(AND(Projects!$G$42="Yes",AE$3=Projects!$C$42+Projects!$D$42-1),Projects!$B$42*(Assumptions!$B$10+Assumptions!$B$11+Assumptions!$B$12)*0.05,0)</f>
        <v>0</v>
      </c>
      <c r="AF51" s="30" t="n">
        <f aca="false">IF(AND(Projects!$G$42="Yes",AF$3&gt;=Projects!$C$42,AF$3&lt;Projects!$C$42+Projects!$D$42),Projects!$B$42*INDEX(Curves!$B$4:$AR$4,1,AF$3-Projects!$C$42+1),0)-IF(AND(Projects!$G$42="Yes",AF$3&gt;=Projects!$C$42,AF$3&lt;Projects!$C$42+Projects!$D$42),Projects!$B$42*(Assumptions!$B$10+Assumptions!$B$11+Assumptions!$B$12)/Projects!$D$42*0.95,0)-IF(AND(Projects!$G$42="Yes",AF$3=Projects!$C$42+Projects!$D$42-1),Projects!$B$42*(Assumptions!$B$10+Assumptions!$B$11+Assumptions!$B$12)*0.05,0)</f>
        <v>0</v>
      </c>
      <c r="AG51" s="30" t="n">
        <f aca="false">IF(AND(Projects!$G$42="Yes",AG$3&gt;=Projects!$C$42,AG$3&lt;Projects!$C$42+Projects!$D$42),Projects!$B$42*INDEX(Curves!$B$4:$AR$4,1,AG$3-Projects!$C$42+1),0)-IF(AND(Projects!$G$42="Yes",AG$3&gt;=Projects!$C$42,AG$3&lt;Projects!$C$42+Projects!$D$42),Projects!$B$42*(Assumptions!$B$10+Assumptions!$B$11+Assumptions!$B$12)/Projects!$D$42*0.95,0)-IF(AND(Projects!$G$42="Yes",AG$3=Projects!$C$42+Projects!$D$42-1),Projects!$B$42*(Assumptions!$B$10+Assumptions!$B$11+Assumptions!$B$12)*0.05,0)</f>
        <v>0</v>
      </c>
      <c r="AH51" s="30" t="n">
        <f aca="false">IF(AND(Projects!$G$42="Yes",AH$3&gt;=Projects!$C$42,AH$3&lt;Projects!$C$42+Projects!$D$42),Projects!$B$42*INDEX(Curves!$B$4:$AR$4,1,AH$3-Projects!$C$42+1),0)-IF(AND(Projects!$G$42="Yes",AH$3&gt;=Projects!$C$42,AH$3&lt;Projects!$C$42+Projects!$D$42),Projects!$B$42*(Assumptions!$B$10+Assumptions!$B$11+Assumptions!$B$12)/Projects!$D$42*0.95,0)-IF(AND(Projects!$G$42="Yes",AH$3=Projects!$C$42+Projects!$D$42-1),Projects!$B$42*(Assumptions!$B$10+Assumptions!$B$11+Assumptions!$B$12)*0.05,0)</f>
        <v>0</v>
      </c>
      <c r="AI51" s="30" t="n">
        <f aca="false">IF(AND(Projects!$G$42="Yes",AI$3&gt;=Projects!$C$42,AI$3&lt;Projects!$C$42+Projects!$D$42),Projects!$B$42*INDEX(Curves!$B$4:$AR$4,1,AI$3-Projects!$C$42+1),0)-IF(AND(Projects!$G$42="Yes",AI$3&gt;=Projects!$C$42,AI$3&lt;Projects!$C$42+Projects!$D$42),Projects!$B$42*(Assumptions!$B$10+Assumptions!$B$11+Assumptions!$B$12)/Projects!$D$42*0.95,0)-IF(AND(Projects!$G$42="Yes",AI$3=Projects!$C$42+Projects!$D$42-1),Projects!$B$42*(Assumptions!$B$10+Assumptions!$B$11+Assumptions!$B$12)*0.05,0)</f>
        <v>0</v>
      </c>
      <c r="AJ51" s="30" t="n">
        <f aca="false">IF(AND(Projects!$G$42="Yes",AJ$3&gt;=Projects!$C$42,AJ$3&lt;Projects!$C$42+Projects!$D$42),Projects!$B$42*INDEX(Curves!$B$4:$AR$4,1,AJ$3-Projects!$C$42+1),0)-IF(AND(Projects!$G$42="Yes",AJ$3&gt;=Projects!$C$42,AJ$3&lt;Projects!$C$42+Projects!$D$42),Projects!$B$42*(Assumptions!$B$10+Assumptions!$B$11+Assumptions!$B$12)/Projects!$D$42*0.95,0)-IF(AND(Projects!$G$42="Yes",AJ$3=Projects!$C$42+Projects!$D$42-1),Projects!$B$42*(Assumptions!$B$10+Assumptions!$B$11+Assumptions!$B$12)*0.05,0)</f>
        <v>0</v>
      </c>
      <c r="AK51" s="30" t="n">
        <f aca="false">IF(AND(Projects!$G$42="Yes",AK$3&gt;=Projects!$C$42,AK$3&lt;Projects!$C$42+Projects!$D$42),Projects!$B$42*INDEX(Curves!$B$4:$AR$4,1,AK$3-Projects!$C$42+1),0)-IF(AND(Projects!$G$42="Yes",AK$3&gt;=Projects!$C$42,AK$3&lt;Projects!$C$42+Projects!$D$42),Projects!$B$42*(Assumptions!$B$10+Assumptions!$B$11+Assumptions!$B$12)/Projects!$D$42*0.95,0)-IF(AND(Projects!$G$42="Yes",AK$3=Projects!$C$42+Projects!$D$42-1),Projects!$B$42*(Assumptions!$B$10+Assumptions!$B$11+Assumptions!$B$12)*0.05,0)</f>
        <v>0</v>
      </c>
      <c r="AL51" s="30" t="n">
        <f aca="false">IF(AND(Projects!$G$42="Yes",AL$3&gt;=Projects!$C$42,AL$3&lt;Projects!$C$42+Projects!$D$42),Projects!$B$42*INDEX(Curves!$B$4:$AR$4,1,AL$3-Projects!$C$42+1),0)-IF(AND(Projects!$G$42="Yes",AL$3&gt;=Projects!$C$42,AL$3&lt;Projects!$C$42+Projects!$D$42),Projects!$B$42*(Assumptions!$B$10+Assumptions!$B$11+Assumptions!$B$12)/Projects!$D$42*0.95,0)-IF(AND(Projects!$G$42="Yes",AL$3=Projects!$C$42+Projects!$D$42-1),Projects!$B$42*(Assumptions!$B$10+Assumptions!$B$11+Assumptions!$B$12)*0.05,0)</f>
        <v>0</v>
      </c>
      <c r="AM51" s="30" t="n">
        <f aca="false">IF(AND(Projects!$G$42="Yes",AM$3&gt;=Projects!$C$42,AM$3&lt;Projects!$C$42+Projects!$D$42),Projects!$B$42*INDEX(Curves!$B$4:$AR$4,1,AM$3-Projects!$C$42+1),0)-IF(AND(Projects!$G$42="Yes",AM$3&gt;=Projects!$C$42,AM$3&lt;Projects!$C$42+Projects!$D$42),Projects!$B$42*(Assumptions!$B$10+Assumptions!$B$11+Assumptions!$B$12)/Projects!$D$42*0.95,0)-IF(AND(Projects!$G$42="Yes",AM$3=Projects!$C$42+Projects!$D$42-1),Projects!$B$42*(Assumptions!$B$10+Assumptions!$B$11+Assumptions!$B$12)*0.05,0)</f>
        <v>0</v>
      </c>
      <c r="AN51" s="30" t="n">
        <f aca="false">IF(AND(Projects!$G$42="Yes",AN$3&gt;=Projects!$C$42,AN$3&lt;Projects!$C$42+Projects!$D$42),Projects!$B$42*INDEX(Curves!$B$4:$AR$4,1,AN$3-Projects!$C$42+1),0)-IF(AND(Projects!$G$42="Yes",AN$3&gt;=Projects!$C$42,AN$3&lt;Projects!$C$42+Projects!$D$42),Projects!$B$42*(Assumptions!$B$10+Assumptions!$B$11+Assumptions!$B$12)/Projects!$D$42*0.95,0)-IF(AND(Projects!$G$42="Yes",AN$3=Projects!$C$42+Projects!$D$42-1),Projects!$B$42*(Assumptions!$B$10+Assumptions!$B$11+Assumptions!$B$12)*0.05,0)</f>
        <v>0</v>
      </c>
      <c r="AO51" s="30" t="n">
        <f aca="false">IF(AND(Projects!$G$42="Yes",AO$3&gt;=Projects!$C$42,AO$3&lt;Projects!$C$42+Projects!$D$42),Projects!$B$42*INDEX(Curves!$B$4:$AR$4,1,AO$3-Projects!$C$42+1),0)-IF(AND(Projects!$G$42="Yes",AO$3&gt;=Projects!$C$42,AO$3&lt;Projects!$C$42+Projects!$D$42),Projects!$B$42*(Assumptions!$B$10+Assumptions!$B$11+Assumptions!$B$12)/Projects!$D$42*0.95,0)-IF(AND(Projects!$G$42="Yes",AO$3=Projects!$C$42+Projects!$D$42-1),Projects!$B$42*(Assumptions!$B$10+Assumptions!$B$11+Assumptions!$B$12)*0.05,0)</f>
        <v>0</v>
      </c>
      <c r="AP51" s="30" t="n">
        <f aca="false">IF(AND(Projects!$G$42="Yes",AP$3&gt;=Projects!$C$42,AP$3&lt;Projects!$C$42+Projects!$D$42),Projects!$B$42*INDEX(Curves!$B$4:$AR$4,1,AP$3-Projects!$C$42+1),0)-IF(AND(Projects!$G$42="Yes",AP$3&gt;=Projects!$C$42,AP$3&lt;Projects!$C$42+Projects!$D$42),Projects!$B$42*(Assumptions!$B$10+Assumptions!$B$11+Assumptions!$B$12)/Projects!$D$42*0.95,0)-IF(AND(Projects!$G$42="Yes",AP$3=Projects!$C$42+Projects!$D$42-1),Projects!$B$42*(Assumptions!$B$10+Assumptions!$B$11+Assumptions!$B$12)*0.05,0)</f>
        <v>0</v>
      </c>
      <c r="AQ51" s="30" t="n">
        <f aca="false">IF(AND(Projects!$G$42="Yes",AQ$3&gt;=Projects!$C$42,AQ$3&lt;Projects!$C$42+Projects!$D$42),Projects!$B$42*INDEX(Curves!$B$4:$AR$4,1,AQ$3-Projects!$C$42+1),0)-IF(AND(Projects!$G$42="Yes",AQ$3&gt;=Projects!$C$42,AQ$3&lt;Projects!$C$42+Projects!$D$42),Projects!$B$42*(Assumptions!$B$10+Assumptions!$B$11+Assumptions!$B$12)/Projects!$D$42*0.95,0)-IF(AND(Projects!$G$42="Yes",AQ$3=Projects!$C$42+Projects!$D$42-1),Projects!$B$42*(Assumptions!$B$10+Assumptions!$B$11+Assumptions!$B$12)*0.05,0)</f>
        <v>0</v>
      </c>
      <c r="AR51" s="30" t="n">
        <f aca="false">IF(AND(Projects!$G$42="Yes",AR$3&gt;=Projects!$C$42,AR$3&lt;Projects!$C$42+Projects!$D$42),Projects!$B$42*INDEX(Curves!$B$4:$AR$4,1,AR$3-Projects!$C$42+1),0)-IF(AND(Projects!$G$42="Yes",AR$3&gt;=Projects!$C$42,AR$3&lt;Projects!$C$42+Projects!$D$42),Projects!$B$42*(Assumptions!$B$10+Assumptions!$B$11+Assumptions!$B$12)/Projects!$D$42*0.95,0)-IF(AND(Projects!$G$42="Yes",AR$3=Projects!$C$42+Projects!$D$42-1),Projects!$B$42*(Assumptions!$B$10+Assumptions!$B$11+Assumptions!$B$12)*0.05,0)</f>
        <v>0</v>
      </c>
      <c r="AS51" s="30" t="n">
        <f aca="false">IF(AND(Projects!$G$42="Yes",AS$3&gt;=Projects!$C$42,AS$3&lt;Projects!$C$42+Projects!$D$42),Projects!$B$42*INDEX(Curves!$B$4:$AR$4,1,AS$3-Projects!$C$42+1),0)-IF(AND(Projects!$G$42="Yes",AS$3&gt;=Projects!$C$42,AS$3&lt;Projects!$C$42+Projects!$D$42),Projects!$B$42*(Assumptions!$B$10+Assumptions!$B$11+Assumptions!$B$12)/Projects!$D$42*0.95,0)-IF(AND(Projects!$G$42="Yes",AS$3=Projects!$C$42+Projects!$D$42-1),Projects!$B$42*(Assumptions!$B$10+Assumptions!$B$11+Assumptions!$B$12)*0.05,0)</f>
        <v>0</v>
      </c>
      <c r="AT51" s="30" t="n">
        <f aca="false">IF(AND(Projects!$G$42="Yes",AT$3&gt;=Projects!$C$42,AT$3&lt;Projects!$C$42+Projects!$D$42),Projects!$B$42*INDEX(Curves!$B$4:$AR$4,1,AT$3-Projects!$C$42+1),0)-IF(AND(Projects!$G$42="Yes",AT$3&gt;=Projects!$C$42,AT$3&lt;Projects!$C$42+Projects!$D$42),Projects!$B$42*(Assumptions!$B$10+Assumptions!$B$11+Assumptions!$B$12)/Projects!$D$42*0.95,0)-IF(AND(Projects!$G$42="Yes",AT$3=Projects!$C$42+Projects!$D$42-1),Projects!$B$42*(Assumptions!$B$10+Assumptions!$B$11+Assumptions!$B$12)*0.05,0)</f>
        <v>0</v>
      </c>
      <c r="AU51" s="30" t="n">
        <f aca="false">IF(AND(Projects!$G$42="Yes",AU$3&gt;=Projects!$C$42,AU$3&lt;Projects!$C$42+Projects!$D$42),Projects!$B$42*INDEX(Curves!$B$4:$AR$4,1,AU$3-Projects!$C$42+1),0)-IF(AND(Projects!$G$42="Yes",AU$3&gt;=Projects!$C$42,AU$3&lt;Projects!$C$42+Projects!$D$42),Projects!$B$42*(Assumptions!$B$10+Assumptions!$B$11+Assumptions!$B$12)/Projects!$D$42*0.95,0)-IF(AND(Projects!$G$42="Yes",AU$3=Projects!$C$42+Projects!$D$42-1),Projects!$B$42*(Assumptions!$B$10+Assumptions!$B$11+Assumptions!$B$12)*0.05,0)</f>
        <v>0</v>
      </c>
      <c r="AV51" s="30" t="n">
        <f aca="false">IF(AND(Projects!$G$42="Yes",AV$3&gt;=Projects!$C$42,AV$3&lt;Projects!$C$42+Projects!$D$42),Projects!$B$42*INDEX(Curves!$B$4:$AR$4,1,AV$3-Projects!$C$42+1),0)-IF(AND(Projects!$G$42="Yes",AV$3&gt;=Projects!$C$42,AV$3&lt;Projects!$C$42+Projects!$D$42),Projects!$B$42*(Assumptions!$B$10+Assumptions!$B$11+Assumptions!$B$12)/Projects!$D$42*0.95,0)-IF(AND(Projects!$G$42="Yes",AV$3=Projects!$C$42+Projects!$D$42-1),Projects!$B$42*(Assumptions!$B$10+Assumptions!$B$11+Assumptions!$B$12)*0.05,0)</f>
        <v>0</v>
      </c>
      <c r="AW51" s="30" t="n">
        <f aca="false">IF(AND(Projects!$G$42="Yes",AW$3&gt;=Projects!$C$42,AW$3&lt;Projects!$C$42+Projects!$D$42),Projects!$B$42*INDEX(Curves!$B$4:$AR$4,1,AW$3-Projects!$C$42+1),0)-IF(AND(Projects!$G$42="Yes",AW$3&gt;=Projects!$C$42,AW$3&lt;Projects!$C$42+Projects!$D$42),Projects!$B$42*(Assumptions!$B$10+Assumptions!$B$11+Assumptions!$B$12)/Projects!$D$42*0.95,0)-IF(AND(Projects!$G$42="Yes",AW$3=Projects!$C$42+Projects!$D$42-1),Projects!$B$42*(Assumptions!$B$10+Assumptions!$B$11+Assumptions!$B$12)*0.05,0)</f>
        <v>0</v>
      </c>
      <c r="AX51" s="30" t="n">
        <f aca="false">IF(AND(Projects!$G$42="Yes",AX$3&gt;=Projects!$C$42,AX$3&lt;Projects!$C$42+Projects!$D$42),Projects!$B$42*INDEX(Curves!$B$4:$AR$4,1,AX$3-Projects!$C$42+1),0)-IF(AND(Projects!$G$42="Yes",AX$3&gt;=Projects!$C$42,AX$3&lt;Projects!$C$42+Projects!$D$42),Projects!$B$42*(Assumptions!$B$10+Assumptions!$B$11+Assumptions!$B$12)/Projects!$D$42*0.95,0)-IF(AND(Projects!$G$42="Yes",AX$3=Projects!$C$42+Projects!$D$42-1),Projects!$B$42*(Assumptions!$B$10+Assumptions!$B$11+Assumptions!$B$12)*0.05,0)</f>
        <v>0</v>
      </c>
      <c r="AY51" s="30" t="n">
        <f aca="false">IF(AND(Projects!$G$42="Yes",AY$3&gt;=Projects!$C$42,AY$3&lt;Projects!$C$42+Projects!$D$42),Projects!$B$42*INDEX(Curves!$B$4:$AR$4,1,AY$3-Projects!$C$42+1),0)-IF(AND(Projects!$G$42="Yes",AY$3&gt;=Projects!$C$42,AY$3&lt;Projects!$C$42+Projects!$D$42),Projects!$B$42*(Assumptions!$B$10+Assumptions!$B$11+Assumptions!$B$12)/Projects!$D$42*0.95,0)-IF(AND(Projects!$G$42="Yes",AY$3=Projects!$C$42+Projects!$D$42-1),Projects!$B$42*(Assumptions!$B$10+Assumptions!$B$11+Assumptions!$B$12)*0.05,0)</f>
        <v>0</v>
      </c>
      <c r="AZ51" s="30" t="n">
        <f aca="false">IF(AND(Projects!$G$42="Yes",AZ$3&gt;=Projects!$C$42,AZ$3&lt;Projects!$C$42+Projects!$D$42),Projects!$B$42*INDEX(Curves!$B$4:$AR$4,1,AZ$3-Projects!$C$42+1),0)-IF(AND(Projects!$G$42="Yes",AZ$3&gt;=Projects!$C$42,AZ$3&lt;Projects!$C$42+Projects!$D$42),Projects!$B$42*(Assumptions!$B$10+Assumptions!$B$11+Assumptions!$B$12)/Projects!$D$42*0.95,0)-IF(AND(Projects!$G$42="Yes",AZ$3=Projects!$C$42+Projects!$D$42-1),Projects!$B$42*(Assumptions!$B$10+Assumptions!$B$11+Assumptions!$B$12)*0.05,0)</f>
        <v>0</v>
      </c>
      <c r="BA51" s="30" t="n">
        <f aca="false">IF(AND(Projects!$G$42="Yes",BA$3&gt;=Projects!$C$42,BA$3&lt;Projects!$C$42+Projects!$D$42),Projects!$B$42*INDEX(Curves!$B$4:$AR$4,1,BA$3-Projects!$C$42+1),0)-IF(AND(Projects!$G$42="Yes",BA$3&gt;=Projects!$C$42,BA$3&lt;Projects!$C$42+Projects!$D$42),Projects!$B$42*(Assumptions!$B$10+Assumptions!$B$11+Assumptions!$B$12)/Projects!$D$42*0.95,0)-IF(AND(Projects!$G$42="Yes",BA$3=Projects!$C$42+Projects!$D$42-1),Projects!$B$42*(Assumptions!$B$10+Assumptions!$B$11+Assumptions!$B$12)*0.05,0)</f>
        <v>0</v>
      </c>
      <c r="BB51" s="30" t="n">
        <f aca="false">IF(AND(Projects!$G$42="Yes",BB$3&gt;=Projects!$C$42,BB$3&lt;Projects!$C$42+Projects!$D$42),Projects!$B$42*INDEX(Curves!$B$4:$AR$4,1,BB$3-Projects!$C$42+1),0)-IF(AND(Projects!$G$42="Yes",BB$3&gt;=Projects!$C$42,BB$3&lt;Projects!$C$42+Projects!$D$42),Projects!$B$42*(Assumptions!$B$10+Assumptions!$B$11+Assumptions!$B$12)/Projects!$D$42*0.95,0)-IF(AND(Projects!$G$42="Yes",BB$3=Projects!$C$42+Projects!$D$42-1),Projects!$B$42*(Assumptions!$B$10+Assumptions!$B$11+Assumptions!$B$12)*0.05,0)</f>
        <v>0</v>
      </c>
      <c r="BC51" s="30" t="n">
        <f aca="false">IF(AND(Projects!$G$42="Yes",BC$3&gt;=Projects!$C$42,BC$3&lt;Projects!$C$42+Projects!$D$42),Projects!$B$42*INDEX(Curves!$B$4:$AR$4,1,BC$3-Projects!$C$42+1),0)-IF(AND(Projects!$G$42="Yes",BC$3&gt;=Projects!$C$42,BC$3&lt;Projects!$C$42+Projects!$D$42),Projects!$B$42*(Assumptions!$B$10+Assumptions!$B$11+Assumptions!$B$12)/Projects!$D$42*0.95,0)-IF(AND(Projects!$G$42="Yes",BC$3=Projects!$C$42+Projects!$D$42-1),Projects!$B$42*(Assumptions!$B$10+Assumptions!$B$11+Assumptions!$B$12)*0.05,0)</f>
        <v>0</v>
      </c>
      <c r="BD51" s="30" t="n">
        <f aca="false">IF(AND(Projects!$G$42="Yes",BD$3&gt;=Projects!$C$42,BD$3&lt;Projects!$C$42+Projects!$D$42),Projects!$B$42*INDEX(Curves!$B$4:$AR$4,1,BD$3-Projects!$C$42+1),0)-IF(AND(Projects!$G$42="Yes",BD$3&gt;=Projects!$C$42,BD$3&lt;Projects!$C$42+Projects!$D$42),Projects!$B$42*(Assumptions!$B$10+Assumptions!$B$11+Assumptions!$B$12)/Projects!$D$42*0.95,0)-IF(AND(Projects!$G$42="Yes",BD$3=Projects!$C$42+Projects!$D$42-1),Projects!$B$42*(Assumptions!$B$10+Assumptions!$B$11+Assumptions!$B$12)*0.05,0)</f>
        <v>0</v>
      </c>
      <c r="BE51" s="30" t="n">
        <f aca="false">IF(AND(Projects!$G$42="Yes",BE$3&gt;=Projects!$C$42,BE$3&lt;Projects!$C$42+Projects!$D$42),Projects!$B$42*INDEX(Curves!$B$4:$AR$4,1,BE$3-Projects!$C$42+1),0)-IF(AND(Projects!$G$42="Yes",BE$3&gt;=Projects!$C$42,BE$3&lt;Projects!$C$42+Projects!$D$42),Projects!$B$42*(Assumptions!$B$10+Assumptions!$B$11+Assumptions!$B$12)/Projects!$D$42*0.95,0)-IF(AND(Projects!$G$42="Yes",BE$3=Projects!$C$42+Projects!$D$42-1),Projects!$B$42*(Assumptions!$B$10+Assumptions!$B$11+Assumptions!$B$12)*0.05,0)</f>
        <v>0</v>
      </c>
      <c r="BF51" s="30" t="n">
        <f aca="false">IF(AND(Projects!$G$42="Yes",BF$3&gt;=Projects!$C$42,BF$3&lt;Projects!$C$42+Projects!$D$42),Projects!$B$42*INDEX(Curves!$B$4:$AR$4,1,BF$3-Projects!$C$42+1),0)-IF(AND(Projects!$G$42="Yes",BF$3&gt;=Projects!$C$42,BF$3&lt;Projects!$C$42+Projects!$D$42),Projects!$B$42*(Assumptions!$B$10+Assumptions!$B$11+Assumptions!$B$12)/Projects!$D$42*0.95,0)-IF(AND(Projects!$G$42="Yes",BF$3=Projects!$C$42+Projects!$D$42-1),Projects!$B$42*(Assumptions!$B$10+Assumptions!$B$11+Assumptions!$B$12)*0.05,0)</f>
        <v>0</v>
      </c>
      <c r="BG51" s="30" t="n">
        <f aca="false">IF(AND(Projects!$G$42="Yes",BG$3&gt;=Projects!$C$42,BG$3&lt;Projects!$C$42+Projects!$D$42),Projects!$B$42*INDEX(Curves!$B$4:$AR$4,1,BG$3-Projects!$C$42+1),0)-IF(AND(Projects!$G$42="Yes",BG$3&gt;=Projects!$C$42,BG$3&lt;Projects!$C$42+Projects!$D$42),Projects!$B$42*(Assumptions!$B$10+Assumptions!$B$11+Assumptions!$B$12)/Projects!$D$42*0.95,0)-IF(AND(Projects!$G$42="Yes",BG$3=Projects!$C$42+Projects!$D$42-1),Projects!$B$42*(Assumptions!$B$10+Assumptions!$B$11+Assumptions!$B$12)*0.05,0)</f>
        <v>0</v>
      </c>
      <c r="BH51" s="30" t="n">
        <f aca="false">IF(AND(Projects!$G$42="Yes",BH$3&gt;=Projects!$C$42,BH$3&lt;Projects!$C$42+Projects!$D$42),Projects!$B$42*INDEX(Curves!$B$4:$AR$4,1,BH$3-Projects!$C$42+1),0)-IF(AND(Projects!$G$42="Yes",BH$3&gt;=Projects!$C$42,BH$3&lt;Projects!$C$42+Projects!$D$42),Projects!$B$42*(Assumptions!$B$10+Assumptions!$B$11+Assumptions!$B$12)/Projects!$D$42*0.95,0)-IF(AND(Projects!$G$42="Yes",BH$3=Projects!$C$42+Projects!$D$42-1),Projects!$B$42*(Assumptions!$B$10+Assumptions!$B$11+Assumptions!$B$12)*0.05,0)</f>
        <v>0</v>
      </c>
      <c r="BI51" s="30" t="n">
        <f aca="false">IF(AND(Projects!$G$42="Yes",BI$3&gt;=Projects!$C$42,BI$3&lt;Projects!$C$42+Projects!$D$42),Projects!$B$42*INDEX(Curves!$B$4:$AR$4,1,BI$3-Projects!$C$42+1),0)-IF(AND(Projects!$G$42="Yes",BI$3&gt;=Projects!$C$42,BI$3&lt;Projects!$C$42+Projects!$D$42),Projects!$B$42*(Assumptions!$B$10+Assumptions!$B$11+Assumptions!$B$12)/Projects!$D$42*0.95,0)-IF(AND(Projects!$G$42="Yes",BI$3=Projects!$C$42+Projects!$D$42-1),Projects!$B$42*(Assumptions!$B$10+Assumptions!$B$11+Assumptions!$B$12)*0.05,0)</f>
        <v>0</v>
      </c>
      <c r="BJ51" s="30" t="n">
        <f aca="false">IF(AND(Projects!$G$42="Yes",BJ$3&gt;=Projects!$C$42,BJ$3&lt;Projects!$C$42+Projects!$D$42),Projects!$B$42*INDEX(Curves!$B$4:$AR$4,1,BJ$3-Projects!$C$42+1),0)-IF(AND(Projects!$G$42="Yes",BJ$3&gt;=Projects!$C$42,BJ$3&lt;Projects!$C$42+Projects!$D$42),Projects!$B$42*(Assumptions!$B$10+Assumptions!$B$11+Assumptions!$B$12)/Projects!$D$42*0.95,0)-IF(AND(Projects!$G$42="Yes",BJ$3=Projects!$C$42+Projects!$D$42-1),Projects!$B$42*(Assumptions!$B$10+Assumptions!$B$11+Assumptions!$B$12)*0.05,0)</f>
        <v>0</v>
      </c>
      <c r="BK51" s="30" t="n">
        <f aca="false">IF(AND(Projects!$G$42="Yes",BK$3&gt;=Projects!$C$42,BK$3&lt;Projects!$C$42+Projects!$D$42),Projects!$B$42*INDEX(Curves!$B$4:$AR$4,1,BK$3-Projects!$C$42+1),0)-IF(AND(Projects!$G$42="Yes",BK$3&gt;=Projects!$C$42,BK$3&lt;Projects!$C$42+Projects!$D$42),Projects!$B$42*(Assumptions!$B$10+Assumptions!$B$11+Assumptions!$B$12)/Projects!$D$42*0.95,0)-IF(AND(Projects!$G$42="Yes",BK$3=Projects!$C$42+Projects!$D$42-1),Projects!$B$42*(Assumptions!$B$10+Assumptions!$B$11+Assumptions!$B$12)*0.05,0)</f>
        <v>0</v>
      </c>
      <c r="BL51" s="30" t="n">
        <f aca="false">IF(AND(Projects!$G$42="Yes",BL$3&gt;=Projects!$C$42,BL$3&lt;Projects!$C$42+Projects!$D$42),Projects!$B$42*INDEX(Curves!$B$4:$AR$4,1,BL$3-Projects!$C$42+1),0)-IF(AND(Projects!$G$42="Yes",BL$3&gt;=Projects!$C$42,BL$3&lt;Projects!$C$42+Projects!$D$42),Projects!$B$42*(Assumptions!$B$10+Assumptions!$B$11+Assumptions!$B$12)/Projects!$D$42*0.95,0)-IF(AND(Projects!$G$42="Yes",BL$3=Projects!$C$42+Projects!$D$42-1),Projects!$B$42*(Assumptions!$B$10+Assumptions!$B$11+Assumptions!$B$12)*0.05,0)</f>
        <v>0</v>
      </c>
      <c r="BM51" s="30" t="n">
        <f aca="false">IF(AND(Projects!$G$42="Yes",BM$3&gt;=Projects!$C$42,BM$3&lt;Projects!$C$42+Projects!$D$42),Projects!$B$42*INDEX(Curves!$B$4:$AR$4,1,BM$3-Projects!$C$42+1),0)-IF(AND(Projects!$G$42="Yes",BM$3&gt;=Projects!$C$42,BM$3&lt;Projects!$C$42+Projects!$D$42),Projects!$B$42*(Assumptions!$B$10+Assumptions!$B$11+Assumptions!$B$12)/Projects!$D$42*0.95,0)-IF(AND(Projects!$G$42="Yes",BM$3=Projects!$C$42+Projects!$D$42-1),Projects!$B$42*(Assumptions!$B$10+Assumptions!$B$11+Assumptions!$B$12)*0.05,0)</f>
        <v>0</v>
      </c>
      <c r="BN51" s="30" t="n">
        <f aca="false">IF(AND(Projects!$G$42="Yes",BN$3&gt;=Projects!$C$42,BN$3&lt;Projects!$C$42+Projects!$D$42),Projects!$B$42*INDEX(Curves!$B$4:$AR$4,1,BN$3-Projects!$C$42+1),0)-IF(AND(Projects!$G$42="Yes",BN$3&gt;=Projects!$C$42,BN$3&lt;Projects!$C$42+Projects!$D$42),Projects!$B$42*(Assumptions!$B$10+Assumptions!$B$11+Assumptions!$B$12)/Projects!$D$42*0.95,0)-IF(AND(Projects!$G$42="Yes",BN$3=Projects!$C$42+Projects!$D$42-1),Projects!$B$42*(Assumptions!$B$10+Assumptions!$B$11+Assumptions!$B$12)*0.05,0)</f>
        <v>0</v>
      </c>
      <c r="BO51" s="30" t="n">
        <f aca="false">IF(AND(Projects!$G$42="Yes",BO$3&gt;=Projects!$C$42,BO$3&lt;Projects!$C$42+Projects!$D$42),Projects!$B$42*INDEX(Curves!$B$4:$AR$4,1,BO$3-Projects!$C$42+1),0)-IF(AND(Projects!$G$42="Yes",BO$3&gt;=Projects!$C$42,BO$3&lt;Projects!$C$42+Projects!$D$42),Projects!$B$42*(Assumptions!$B$10+Assumptions!$B$11+Assumptions!$B$12)/Projects!$D$42*0.95,0)-IF(AND(Projects!$G$42="Yes",BO$3=Projects!$C$42+Projects!$D$42-1),Projects!$B$42*(Assumptions!$B$10+Assumptions!$B$11+Assumptions!$B$12)*0.05,0)</f>
        <v>0</v>
      </c>
      <c r="BP51" s="30" t="n">
        <f aca="false">IF(AND(Projects!$G$42="Yes",BP$3&gt;=Projects!$C$42,BP$3&lt;Projects!$C$42+Projects!$D$42),Projects!$B$42*INDEX(Curves!$B$4:$AR$4,1,BP$3-Projects!$C$42+1),0)-IF(AND(Projects!$G$42="Yes",BP$3&gt;=Projects!$C$42,BP$3&lt;Projects!$C$42+Projects!$D$42),Projects!$B$42*(Assumptions!$B$10+Assumptions!$B$11+Assumptions!$B$12)/Projects!$D$42*0.95,0)-IF(AND(Projects!$G$42="Yes",BP$3=Projects!$C$42+Projects!$D$42-1),Projects!$B$42*(Assumptions!$B$10+Assumptions!$B$11+Assumptions!$B$12)*0.05,0)</f>
        <v>0</v>
      </c>
      <c r="BQ51" s="30" t="n">
        <f aca="false">IF(AND(Projects!$G$42="Yes",BQ$3&gt;=Projects!$C$42,BQ$3&lt;Projects!$C$42+Projects!$D$42),Projects!$B$42*INDEX(Curves!$B$4:$AR$4,1,BQ$3-Projects!$C$42+1),0)-IF(AND(Projects!$G$42="Yes",BQ$3&gt;=Projects!$C$42,BQ$3&lt;Projects!$C$42+Projects!$D$42),Projects!$B$42*(Assumptions!$B$10+Assumptions!$B$11+Assumptions!$B$12)/Projects!$D$42*0.95,0)-IF(AND(Projects!$G$42="Yes",BQ$3=Projects!$C$42+Projects!$D$42-1),Projects!$B$42*(Assumptions!$B$10+Assumptions!$B$11+Assumptions!$B$12)*0.05,0)</f>
        <v>0</v>
      </c>
      <c r="BR51" s="30" t="n">
        <f aca="false">IF(AND(Projects!$G$42="Yes",BR$3&gt;=Projects!$C$42,BR$3&lt;Projects!$C$42+Projects!$D$42),Projects!$B$42*INDEX(Curves!$B$4:$AR$4,1,BR$3-Projects!$C$42+1),0)-IF(AND(Projects!$G$42="Yes",BR$3&gt;=Projects!$C$42,BR$3&lt;Projects!$C$42+Projects!$D$42),Projects!$B$42*(Assumptions!$B$10+Assumptions!$B$11+Assumptions!$B$12)/Projects!$D$42*0.95,0)-IF(AND(Projects!$G$42="Yes",BR$3=Projects!$C$42+Projects!$D$42-1),Projects!$B$42*(Assumptions!$B$10+Assumptions!$B$11+Assumptions!$B$12)*0.05,0)</f>
        <v>0</v>
      </c>
      <c r="BS51" s="30" t="n">
        <f aca="false">IF(AND(Projects!$G$42="Yes",BS$3&gt;=Projects!$C$42,BS$3&lt;Projects!$C$42+Projects!$D$42),Projects!$B$42*INDEX(Curves!$B$4:$AR$4,1,BS$3-Projects!$C$42+1),0)-IF(AND(Projects!$G$42="Yes",BS$3&gt;=Projects!$C$42,BS$3&lt;Projects!$C$42+Projects!$D$42),Projects!$B$42*(Assumptions!$B$10+Assumptions!$B$11+Assumptions!$B$12)/Projects!$D$42*0.95,0)-IF(AND(Projects!$G$42="Yes",BS$3=Projects!$C$42+Projects!$D$42-1),Projects!$B$42*(Assumptions!$B$10+Assumptions!$B$11+Assumptions!$B$12)*0.05,0)</f>
        <v>0</v>
      </c>
      <c r="BT51" s="30" t="n">
        <f aca="false">IF(AND(Projects!$G$42="Yes",BT$3&gt;=Projects!$C$42,BT$3&lt;Projects!$C$42+Projects!$D$42),Projects!$B$42*INDEX(Curves!$B$4:$AR$4,1,BT$3-Projects!$C$42+1),0)-IF(AND(Projects!$G$42="Yes",BT$3&gt;=Projects!$C$42,BT$3&lt;Projects!$C$42+Projects!$D$42),Projects!$B$42*(Assumptions!$B$10+Assumptions!$B$11+Assumptions!$B$12)/Projects!$D$42*0.95,0)-IF(AND(Projects!$G$42="Yes",BT$3=Projects!$C$42+Projects!$D$42-1),Projects!$B$42*(Assumptions!$B$10+Assumptions!$B$11+Assumptions!$B$12)*0.05,0)</f>
        <v>0</v>
      </c>
      <c r="BU51" s="30" t="n">
        <f aca="false">IF(AND(Projects!$G$42="Yes",BU$3&gt;=Projects!$C$42,BU$3&lt;Projects!$C$42+Projects!$D$42),Projects!$B$42*INDEX(Curves!$B$4:$AR$4,1,BU$3-Projects!$C$42+1),0)-IF(AND(Projects!$G$42="Yes",BU$3&gt;=Projects!$C$42,BU$3&lt;Projects!$C$42+Projects!$D$42),Projects!$B$42*(Assumptions!$B$10+Assumptions!$B$11+Assumptions!$B$12)/Projects!$D$42*0.95,0)-IF(AND(Projects!$G$42="Yes",BU$3=Projects!$C$42+Projects!$D$42-1),Projects!$B$42*(Assumptions!$B$10+Assumptions!$B$11+Assumptions!$B$12)*0.05,0)</f>
        <v>0</v>
      </c>
      <c r="BV51" s="30" t="n">
        <f aca="false">IF(AND(Projects!$G$42="Yes",BV$3&gt;=Projects!$C$42,BV$3&lt;Projects!$C$42+Projects!$D$42),Projects!$B$42*INDEX(Curves!$B$4:$AR$4,1,BV$3-Projects!$C$42+1),0)-IF(AND(Projects!$G$42="Yes",BV$3&gt;=Projects!$C$42,BV$3&lt;Projects!$C$42+Projects!$D$42),Projects!$B$42*(Assumptions!$B$10+Assumptions!$B$11+Assumptions!$B$12)/Projects!$D$42*0.95,0)-IF(AND(Projects!$G$42="Yes",BV$3=Projects!$C$42+Projects!$D$42-1),Projects!$B$42*(Assumptions!$B$10+Assumptions!$B$11+Assumptions!$B$12)*0.05,0)</f>
        <v>0</v>
      </c>
      <c r="BW51" s="30" t="n">
        <f aca="false">IF(AND(Projects!$G$42="Yes",BW$3&gt;=Projects!$C$42,BW$3&lt;Projects!$C$42+Projects!$D$42),Projects!$B$42*INDEX(Curves!$B$4:$AR$4,1,BW$3-Projects!$C$42+1),0)-IF(AND(Projects!$G$42="Yes",BW$3&gt;=Projects!$C$42,BW$3&lt;Projects!$C$42+Projects!$D$42),Projects!$B$42*(Assumptions!$B$10+Assumptions!$B$11+Assumptions!$B$12)/Projects!$D$42*0.95,0)-IF(AND(Projects!$G$42="Yes",BW$3=Projects!$C$42+Projects!$D$42-1),Projects!$B$42*(Assumptions!$B$10+Assumptions!$B$11+Assumptions!$B$12)*0.05,0)</f>
        <v>0</v>
      </c>
      <c r="BX51" s="30" t="n">
        <f aca="false">IF(AND(Projects!$G$42="Yes",BX$3&gt;=Projects!$C$42,BX$3&lt;Projects!$C$42+Projects!$D$42),Projects!$B$42*INDEX(Curves!$B$4:$AR$4,1,BX$3-Projects!$C$42+1),0)-IF(AND(Projects!$G$42="Yes",BX$3&gt;=Projects!$C$42,BX$3&lt;Projects!$C$42+Projects!$D$42),Projects!$B$42*(Assumptions!$B$10+Assumptions!$B$11+Assumptions!$B$12)/Projects!$D$42*0.95,0)-IF(AND(Projects!$G$42="Yes",BX$3=Projects!$C$42+Projects!$D$42-1),Projects!$B$42*(Assumptions!$B$10+Assumptions!$B$11+Assumptions!$B$12)*0.05,0)</f>
        <v>0</v>
      </c>
      <c r="BY51" s="30" t="n">
        <f aca="false">IF(AND(Projects!$G$42="Yes",BY$3&gt;=Projects!$C$42,BY$3&lt;Projects!$C$42+Projects!$D$42),Projects!$B$42*INDEX(Curves!$B$4:$AR$4,1,BY$3-Projects!$C$42+1),0)-IF(AND(Projects!$G$42="Yes",BY$3&gt;=Projects!$C$42,BY$3&lt;Projects!$C$42+Projects!$D$42),Projects!$B$42*(Assumptions!$B$10+Assumptions!$B$11+Assumptions!$B$12)/Projects!$D$42*0.95,0)-IF(AND(Projects!$G$42="Yes",BY$3=Projects!$C$42+Projects!$D$42-1),Projects!$B$42*(Assumptions!$B$10+Assumptions!$B$11+Assumptions!$B$12)*0.05,0)</f>
        <v>0</v>
      </c>
      <c r="BZ51" s="30" t="n">
        <f aca="false">IF(AND(Projects!$G$42="Yes",BZ$3&gt;=Projects!$C$42,BZ$3&lt;Projects!$C$42+Projects!$D$42),Projects!$B$42*INDEX(Curves!$B$4:$AR$4,1,BZ$3-Projects!$C$42+1),0)-IF(AND(Projects!$G$42="Yes",BZ$3&gt;=Projects!$C$42,BZ$3&lt;Projects!$C$42+Projects!$D$42),Projects!$B$42*(Assumptions!$B$10+Assumptions!$B$11+Assumptions!$B$12)/Projects!$D$42*0.95,0)-IF(AND(Projects!$G$42="Yes",BZ$3=Projects!$C$42+Projects!$D$42-1),Projects!$B$42*(Assumptions!$B$10+Assumptions!$B$11+Assumptions!$B$12)*0.05,0)</f>
        <v>0</v>
      </c>
      <c r="CA51" s="30" t="n">
        <f aca="false">IF(AND(Projects!$G$42="Yes",CA$3&gt;=Projects!$C$42,CA$3&lt;Projects!$C$42+Projects!$D$42),Projects!$B$42*INDEX(Curves!$B$4:$AR$4,1,CA$3-Projects!$C$42+1),0)-IF(AND(Projects!$G$42="Yes",CA$3&gt;=Projects!$C$42,CA$3&lt;Projects!$C$42+Projects!$D$42),Projects!$B$42*(Assumptions!$B$10+Assumptions!$B$11+Assumptions!$B$12)/Projects!$D$42*0.95,0)-IF(AND(Projects!$G$42="Yes",CA$3=Projects!$C$42+Projects!$D$42-1),Projects!$B$42*(Assumptions!$B$10+Assumptions!$B$11+Assumptions!$B$12)*0.05,0)</f>
        <v>0</v>
      </c>
      <c r="CB51" s="30" t="n">
        <f aca="false">IF(AND(Projects!$G$42="Yes",CB$3&gt;=Projects!$C$42,CB$3&lt;Projects!$C$42+Projects!$D$42),Projects!$B$42*INDEX(Curves!$B$4:$AR$4,1,CB$3-Projects!$C$42+1),0)-IF(AND(Projects!$G$42="Yes",CB$3&gt;=Projects!$C$42,CB$3&lt;Projects!$C$42+Projects!$D$42),Projects!$B$42*(Assumptions!$B$10+Assumptions!$B$11+Assumptions!$B$12)/Projects!$D$42*0.95,0)-IF(AND(Projects!$G$42="Yes",CB$3=Projects!$C$42+Projects!$D$42-1),Projects!$B$42*(Assumptions!$B$10+Assumptions!$B$11+Assumptions!$B$12)*0.05,0)</f>
        <v>0</v>
      </c>
      <c r="CC51" s="30" t="n">
        <f aca="false">IF(AND(Projects!$G$42="Yes",CC$3&gt;=Projects!$C$42,CC$3&lt;Projects!$C$42+Projects!$D$42),Projects!$B$42*INDEX(Curves!$B$4:$AR$4,1,CC$3-Projects!$C$42+1),0)-IF(AND(Projects!$G$42="Yes",CC$3&gt;=Projects!$C$42,CC$3&lt;Projects!$C$42+Projects!$D$42),Projects!$B$42*(Assumptions!$B$10+Assumptions!$B$11+Assumptions!$B$12)/Projects!$D$42*0.95,0)-IF(AND(Projects!$G$42="Yes",CC$3=Projects!$C$42+Projects!$D$42-1),Projects!$B$42*(Assumptions!$B$10+Assumptions!$B$11+Assumptions!$B$12)*0.05,0)</f>
        <v>0</v>
      </c>
      <c r="CD51" s="30" t="n">
        <f aca="false">IF(AND(Projects!$G$42="Yes",CD$3&gt;=Projects!$C$42,CD$3&lt;Projects!$C$42+Projects!$D$42),Projects!$B$42*INDEX(Curves!$B$4:$AR$4,1,CD$3-Projects!$C$42+1),0)-IF(AND(Projects!$G$42="Yes",CD$3&gt;=Projects!$C$42,CD$3&lt;Projects!$C$42+Projects!$D$42),Projects!$B$42*(Assumptions!$B$10+Assumptions!$B$11+Assumptions!$B$12)/Projects!$D$42*0.95,0)-IF(AND(Projects!$G$42="Yes",CD$3=Projects!$C$42+Projects!$D$42-1),Projects!$B$42*(Assumptions!$B$10+Assumptions!$B$11+Assumptions!$B$12)*0.05,0)</f>
        <v>0</v>
      </c>
      <c r="CE51" s="30" t="n">
        <f aca="false">IF(AND(Projects!$G$42="Yes",CE$3&gt;=Projects!$C$42,CE$3&lt;Projects!$C$42+Projects!$D$42),Projects!$B$42*INDEX(Curves!$B$4:$AR$4,1,CE$3-Projects!$C$42+1),0)-IF(AND(Projects!$G$42="Yes",CE$3&gt;=Projects!$C$42,CE$3&lt;Projects!$C$42+Projects!$D$42),Projects!$B$42*(Assumptions!$B$10+Assumptions!$B$11+Assumptions!$B$12)/Projects!$D$42*0.95,0)-IF(AND(Projects!$G$42="Yes",CE$3=Projects!$C$42+Projects!$D$42-1),Projects!$B$42*(Assumptions!$B$10+Assumptions!$B$11+Assumptions!$B$12)*0.05,0)</f>
        <v>0</v>
      </c>
      <c r="CF51" s="30" t="n">
        <f aca="false">IF(AND(Projects!$G$42="Yes",CF$3&gt;=Projects!$C$42,CF$3&lt;Projects!$C$42+Projects!$D$42),Projects!$B$42*INDEX(Curves!$B$4:$AR$4,1,CF$3-Projects!$C$42+1),0)-IF(AND(Projects!$G$42="Yes",CF$3&gt;=Projects!$C$42,CF$3&lt;Projects!$C$42+Projects!$D$42),Projects!$B$42*(Assumptions!$B$10+Assumptions!$B$11+Assumptions!$B$12)/Projects!$D$42*0.95,0)-IF(AND(Projects!$G$42="Yes",CF$3=Projects!$C$42+Projects!$D$42-1),Projects!$B$42*(Assumptions!$B$10+Assumptions!$B$11+Assumptions!$B$12)*0.05,0)</f>
        <v>0</v>
      </c>
      <c r="CG51" s="30" t="n">
        <f aca="false">IF(AND(Projects!$G$42="Yes",CG$3&gt;=Projects!$C$42,CG$3&lt;Projects!$C$42+Projects!$D$42),Projects!$B$42*INDEX(Curves!$B$4:$AR$4,1,CG$3-Projects!$C$42+1),0)-IF(AND(Projects!$G$42="Yes",CG$3&gt;=Projects!$C$42,CG$3&lt;Projects!$C$42+Projects!$D$42),Projects!$B$42*(Assumptions!$B$10+Assumptions!$B$11+Assumptions!$B$12)/Projects!$D$42*0.95,0)-IF(AND(Projects!$G$42="Yes",CG$3=Projects!$C$42+Projects!$D$42-1),Projects!$B$42*(Assumptions!$B$10+Assumptions!$B$11+Assumptions!$B$12)*0.05,0)</f>
        <v>0</v>
      </c>
      <c r="CH51" s="30" t="n">
        <f aca="false">IF(AND(Projects!$G$42="Yes",CH$3&gt;=Projects!$C$42,CH$3&lt;Projects!$C$42+Projects!$D$42),Projects!$B$42*INDEX(Curves!$B$4:$AR$4,1,CH$3-Projects!$C$42+1),0)-IF(AND(Projects!$G$42="Yes",CH$3&gt;=Projects!$C$42,CH$3&lt;Projects!$C$42+Projects!$D$42),Projects!$B$42*(Assumptions!$B$10+Assumptions!$B$11+Assumptions!$B$12)/Projects!$D$42*0.95,0)-IF(AND(Projects!$G$42="Yes",CH$3=Projects!$C$42+Projects!$D$42-1),Projects!$B$42*(Assumptions!$B$10+Assumptions!$B$11+Assumptions!$B$12)*0.05,0)</f>
        <v>0</v>
      </c>
      <c r="CI51" s="30" t="n">
        <f aca="false">IF(AND(Projects!$G$42="Yes",CI$3&gt;=Projects!$C$42,CI$3&lt;Projects!$C$42+Projects!$D$42),Projects!$B$42*INDEX(Curves!$B$4:$AR$4,1,CI$3-Projects!$C$42+1),0)-IF(AND(Projects!$G$42="Yes",CI$3&gt;=Projects!$C$42,CI$3&lt;Projects!$C$42+Projects!$D$42),Projects!$B$42*(Assumptions!$B$10+Assumptions!$B$11+Assumptions!$B$12)/Projects!$D$42*0.95,0)-IF(AND(Projects!$G$42="Yes",CI$3=Projects!$C$42+Projects!$D$42-1),Projects!$B$42*(Assumptions!$B$10+Assumptions!$B$11+Assumptions!$B$12)*0.05,0)</f>
        <v>0</v>
      </c>
      <c r="CJ51" s="30" t="n">
        <f aca="false">IF(AND(Projects!$G$42="Yes",CJ$3&gt;=Projects!$C$42,CJ$3&lt;Projects!$C$42+Projects!$D$42),Projects!$B$42*INDEX(Curves!$B$4:$AR$4,1,CJ$3-Projects!$C$42+1),0)-IF(AND(Projects!$G$42="Yes",CJ$3&gt;=Projects!$C$42,CJ$3&lt;Projects!$C$42+Projects!$D$42),Projects!$B$42*(Assumptions!$B$10+Assumptions!$B$11+Assumptions!$B$12)/Projects!$D$42*0.95,0)-IF(AND(Projects!$G$42="Yes",CJ$3=Projects!$C$42+Projects!$D$42-1),Projects!$B$42*(Assumptions!$B$10+Assumptions!$B$11+Assumptions!$B$12)*0.05,0)</f>
        <v>0</v>
      </c>
      <c r="CK51" s="30" t="n">
        <f aca="false">IF(AND(Projects!$G$42="Yes",CK$3&gt;=Projects!$C$42,CK$3&lt;Projects!$C$42+Projects!$D$42),Projects!$B$42*INDEX(Curves!$B$4:$AR$4,1,CK$3-Projects!$C$42+1),0)-IF(AND(Projects!$G$42="Yes",CK$3&gt;=Projects!$C$42,CK$3&lt;Projects!$C$42+Projects!$D$42),Projects!$B$42*(Assumptions!$B$10+Assumptions!$B$11+Assumptions!$B$12)/Projects!$D$42*0.95,0)-IF(AND(Projects!$G$42="Yes",CK$3=Projects!$C$42+Projects!$D$42-1),Projects!$B$42*(Assumptions!$B$10+Assumptions!$B$11+Assumptions!$B$12)*0.05,0)</f>
        <v>0</v>
      </c>
      <c r="CL51" s="30" t="n">
        <f aca="false">IF(AND(Projects!$G$42="Yes",CL$3&gt;=Projects!$C$42,CL$3&lt;Projects!$C$42+Projects!$D$42),Projects!$B$42*INDEX(Curves!$B$4:$AR$4,1,CL$3-Projects!$C$42+1),0)-IF(AND(Projects!$G$42="Yes",CL$3&gt;=Projects!$C$42,CL$3&lt;Projects!$C$42+Projects!$D$42),Projects!$B$42*(Assumptions!$B$10+Assumptions!$B$11+Assumptions!$B$12)/Projects!$D$42*0.95,0)-IF(AND(Projects!$G$42="Yes",CL$3=Projects!$C$42+Projects!$D$42-1),Projects!$B$42*(Assumptions!$B$10+Assumptions!$B$11+Assumptions!$B$12)*0.05,0)</f>
        <v>0</v>
      </c>
      <c r="CM51" s="30" t="n">
        <f aca="false">IF(AND(Projects!$G$42="Yes",CM$3&gt;=Projects!$C$42,CM$3&lt;Projects!$C$42+Projects!$D$42),Projects!$B$42*INDEX(Curves!$B$4:$AR$4,1,CM$3-Projects!$C$42+1),0)-IF(AND(Projects!$G$42="Yes",CM$3&gt;=Projects!$C$42,CM$3&lt;Projects!$C$42+Projects!$D$42),Projects!$B$42*(Assumptions!$B$10+Assumptions!$B$11+Assumptions!$B$12)/Projects!$D$42*0.95,0)-IF(AND(Projects!$G$42="Yes",CM$3=Projects!$C$42+Projects!$D$42-1),Projects!$B$42*(Assumptions!$B$10+Assumptions!$B$11+Assumptions!$B$12)*0.05,0)</f>
        <v>0</v>
      </c>
      <c r="CN51" s="30" t="n">
        <f aca="false">IF(AND(Projects!$G$42="Yes",CN$3&gt;=Projects!$C$42,CN$3&lt;Projects!$C$42+Projects!$D$42),Projects!$B$42*INDEX(Curves!$B$4:$AR$4,1,CN$3-Projects!$C$42+1),0)-IF(AND(Projects!$G$42="Yes",CN$3&gt;=Projects!$C$42,CN$3&lt;Projects!$C$42+Projects!$D$42),Projects!$B$42*(Assumptions!$B$10+Assumptions!$B$11+Assumptions!$B$12)/Projects!$D$42*0.95,0)-IF(AND(Projects!$G$42="Yes",CN$3=Projects!$C$42+Projects!$D$42-1),Projects!$B$42*(Assumptions!$B$10+Assumptions!$B$11+Assumptions!$B$12)*0.05,0)</f>
        <v>0</v>
      </c>
      <c r="CO51" s="30" t="n">
        <f aca="false">IF(AND(Projects!$G$42="Yes",CO$3&gt;=Projects!$C$42,CO$3&lt;Projects!$C$42+Projects!$D$42),Projects!$B$42*INDEX(Curves!$B$4:$AR$4,1,CO$3-Projects!$C$42+1),0)-IF(AND(Projects!$G$42="Yes",CO$3&gt;=Projects!$C$42,CO$3&lt;Projects!$C$42+Projects!$D$42),Projects!$B$42*(Assumptions!$B$10+Assumptions!$B$11+Assumptions!$B$12)/Projects!$D$42*0.95,0)-IF(AND(Projects!$G$42="Yes",CO$3=Projects!$C$42+Projects!$D$42-1),Projects!$B$42*(Assumptions!$B$10+Assumptions!$B$11+Assumptions!$B$12)*0.05,0)</f>
        <v>0</v>
      </c>
      <c r="CP51" s="30" t="n">
        <f aca="false">IF(AND(Projects!$G$42="Yes",CP$3&gt;=Projects!$C$42,CP$3&lt;Projects!$C$42+Projects!$D$42),Projects!$B$42*INDEX(Curves!$B$4:$AR$4,1,CP$3-Projects!$C$42+1),0)-IF(AND(Projects!$G$42="Yes",CP$3&gt;=Projects!$C$42,CP$3&lt;Projects!$C$42+Projects!$D$42),Projects!$B$42*(Assumptions!$B$10+Assumptions!$B$11+Assumptions!$B$12)/Projects!$D$42*0.95,0)-IF(AND(Projects!$G$42="Yes",CP$3=Projects!$C$42+Projects!$D$42-1),Projects!$B$42*(Assumptions!$B$10+Assumptions!$B$11+Assumptions!$B$12)*0.05,0)</f>
        <v>0</v>
      </c>
      <c r="CQ51" s="30" t="n">
        <f aca="false">IF(AND(Projects!$G$42="Yes",CQ$3&gt;=Projects!$C$42,CQ$3&lt;Projects!$C$42+Projects!$D$42),Projects!$B$42*INDEX(Curves!$B$4:$AR$4,1,CQ$3-Projects!$C$42+1),0)-IF(AND(Projects!$G$42="Yes",CQ$3&gt;=Projects!$C$42,CQ$3&lt;Projects!$C$42+Projects!$D$42),Projects!$B$42*(Assumptions!$B$10+Assumptions!$B$11+Assumptions!$B$12)/Projects!$D$42*0.95,0)-IF(AND(Projects!$G$42="Yes",CQ$3=Projects!$C$42+Projects!$D$42-1),Projects!$B$42*(Assumptions!$B$10+Assumptions!$B$11+Assumptions!$B$12)*0.05,0)</f>
        <v>0</v>
      </c>
      <c r="CR51" s="30" t="n">
        <f aca="false">IF(AND(Projects!$G$42="Yes",CR$3&gt;=Projects!$C$42,CR$3&lt;Projects!$C$42+Projects!$D$42),Projects!$B$42*INDEX(Curves!$B$4:$AR$4,1,CR$3-Projects!$C$42+1),0)-IF(AND(Projects!$G$42="Yes",CR$3&gt;=Projects!$C$42,CR$3&lt;Projects!$C$42+Projects!$D$42),Projects!$B$42*(Assumptions!$B$10+Assumptions!$B$11+Assumptions!$B$12)/Projects!$D$42*0.95,0)-IF(AND(Projects!$G$42="Yes",CR$3=Projects!$C$42+Projects!$D$42-1),Projects!$B$42*(Assumptions!$B$10+Assumptions!$B$11+Assumptions!$B$12)*0.05,0)</f>
        <v>0</v>
      </c>
      <c r="CS51" s="30" t="n">
        <f aca="false">IF(AND(Projects!$G$42="Yes",CS$3&gt;=Projects!$C$42,CS$3&lt;Projects!$C$42+Projects!$D$42),Projects!$B$42*INDEX(Curves!$B$4:$AR$4,1,CS$3-Projects!$C$42+1),0)-IF(AND(Projects!$G$42="Yes",CS$3&gt;=Projects!$C$42,CS$3&lt;Projects!$C$42+Projects!$D$42),Projects!$B$42*(Assumptions!$B$10+Assumptions!$B$11+Assumptions!$B$12)/Projects!$D$42*0.95,0)-IF(AND(Projects!$G$42="Yes",CS$3=Projects!$C$42+Projects!$D$42-1),Projects!$B$42*(Assumptions!$B$10+Assumptions!$B$11+Assumptions!$B$12)*0.05,0)</f>
        <v>0</v>
      </c>
      <c r="CT51" s="30" t="n">
        <f aca="false">IF(AND(Projects!$G$42="Yes",CT$3&gt;=Projects!$C$42,CT$3&lt;Projects!$C$42+Projects!$D$42),Projects!$B$42*INDEX(Curves!$B$4:$AR$4,1,CT$3-Projects!$C$42+1),0)-IF(AND(Projects!$G$42="Yes",CT$3&gt;=Projects!$C$42,CT$3&lt;Projects!$C$42+Projects!$D$42),Projects!$B$42*(Assumptions!$B$10+Assumptions!$B$11+Assumptions!$B$12)/Projects!$D$42*0.95,0)-IF(AND(Projects!$G$42="Yes",CT$3=Projects!$C$42+Projects!$D$42-1),Projects!$B$42*(Assumptions!$B$10+Assumptions!$B$11+Assumptions!$B$12)*0.05,0)</f>
        <v>0</v>
      </c>
      <c r="CU51" s="30" t="n">
        <f aca="false">IF(AND(Projects!$G$42="Yes",CU$3&gt;=Projects!$C$42,CU$3&lt;Projects!$C$42+Projects!$D$42),Projects!$B$42*INDEX(Curves!$B$4:$AR$4,1,CU$3-Projects!$C$42+1),0)-IF(AND(Projects!$G$42="Yes",CU$3&gt;=Projects!$C$42,CU$3&lt;Projects!$C$42+Projects!$D$42),Projects!$B$42*(Assumptions!$B$10+Assumptions!$B$11+Assumptions!$B$12)/Projects!$D$42*0.95,0)-IF(AND(Projects!$G$42="Yes",CU$3=Projects!$C$42+Projects!$D$42-1),Projects!$B$42*(Assumptions!$B$10+Assumptions!$B$11+Assumptions!$B$12)*0.05,0)</f>
        <v>0</v>
      </c>
      <c r="CV51" s="30" t="n">
        <f aca="false">IF(AND(Projects!$G$42="Yes",CV$3&gt;=Projects!$C$42,CV$3&lt;Projects!$C$42+Projects!$D$42),Projects!$B$42*INDEX(Curves!$B$4:$AR$4,1,CV$3-Projects!$C$42+1),0)-IF(AND(Projects!$G$42="Yes",CV$3&gt;=Projects!$C$42,CV$3&lt;Projects!$C$42+Projects!$D$42),Projects!$B$42*(Assumptions!$B$10+Assumptions!$B$11+Assumptions!$B$12)/Projects!$D$42*0.95,0)-IF(AND(Projects!$G$42="Yes",CV$3=Projects!$C$42+Projects!$D$42-1),Projects!$B$42*(Assumptions!$B$10+Assumptions!$B$11+Assumptions!$B$12)*0.05,0)</f>
        <v>0</v>
      </c>
      <c r="CW51" s="30" t="n">
        <f aca="false">IF(AND(Projects!$G$42="Yes",CW$3&gt;=Projects!$C$42,CW$3&lt;Projects!$C$42+Projects!$D$42),Projects!$B$42*INDEX(Curves!$B$4:$AR$4,1,CW$3-Projects!$C$42+1),0)-IF(AND(Projects!$G$42="Yes",CW$3&gt;=Projects!$C$42,CW$3&lt;Projects!$C$42+Projects!$D$42),Projects!$B$42*(Assumptions!$B$10+Assumptions!$B$11+Assumptions!$B$12)/Projects!$D$42*0.95,0)-IF(AND(Projects!$G$42="Yes",CW$3=Projects!$C$42+Projects!$D$42-1),Projects!$B$42*(Assumptions!$B$10+Assumptions!$B$11+Assumptions!$B$12)*0.05,0)</f>
        <v>0</v>
      </c>
      <c r="CX51" s="30" t="n">
        <f aca="false">IF(AND(Projects!$G$42="Yes",CX$3&gt;=Projects!$C$42,CX$3&lt;Projects!$C$42+Projects!$D$42),Projects!$B$42*INDEX(Curves!$B$4:$AR$4,1,CX$3-Projects!$C$42+1),0)-IF(AND(Projects!$G$42="Yes",CX$3&gt;=Projects!$C$42,CX$3&lt;Projects!$C$42+Projects!$D$42),Projects!$B$42*(Assumptions!$B$10+Assumptions!$B$11+Assumptions!$B$12)/Projects!$D$42*0.95,0)-IF(AND(Projects!$G$42="Yes",CX$3=Projects!$C$42+Projects!$D$42-1),Projects!$B$42*(Assumptions!$B$10+Assumptions!$B$11+Assumptions!$B$12)*0.05,0)</f>
        <v>0</v>
      </c>
      <c r="CY51" s="30" t="n">
        <f aca="false">IF(AND(Projects!$G$42="Yes",CY$3&gt;=Projects!$C$42,CY$3&lt;Projects!$C$42+Projects!$D$42),Projects!$B$42*INDEX(Curves!$B$4:$AR$4,1,CY$3-Projects!$C$42+1),0)-IF(AND(Projects!$G$42="Yes",CY$3&gt;=Projects!$C$42,CY$3&lt;Projects!$C$42+Projects!$D$42),Projects!$B$42*(Assumptions!$B$10+Assumptions!$B$11+Assumptions!$B$12)/Projects!$D$42*0.95,0)-IF(AND(Projects!$G$42="Yes",CY$3=Projects!$C$42+Projects!$D$42-1),Projects!$B$42*(Assumptions!$B$10+Assumptions!$B$11+Assumptions!$B$12)*0.05,0)</f>
        <v>0</v>
      </c>
      <c r="CZ51" s="30" t="n">
        <f aca="false">IF(AND(Projects!$G$42="Yes",CZ$3&gt;=Projects!$C$42,CZ$3&lt;Projects!$C$42+Projects!$D$42),Projects!$B$42*INDEX(Curves!$B$4:$AR$4,1,CZ$3-Projects!$C$42+1),0)-IF(AND(Projects!$G$42="Yes",CZ$3&gt;=Projects!$C$42,CZ$3&lt;Projects!$C$42+Projects!$D$42),Projects!$B$42*(Assumptions!$B$10+Assumptions!$B$11+Assumptions!$B$12)/Projects!$D$42*0.95,0)-IF(AND(Projects!$G$42="Yes",CZ$3=Projects!$C$42+Projects!$D$42-1),Projects!$B$42*(Assumptions!$B$10+Assumptions!$B$11+Assumptions!$B$12)*0.05,0)</f>
        <v>0</v>
      </c>
      <c r="DA51" s="30" t="n">
        <f aca="false">IF(AND(Projects!$G$42="Yes",DA$3&gt;=Projects!$C$42,DA$3&lt;Projects!$C$42+Projects!$D$42),Projects!$B$42*INDEX(Curves!$B$4:$AR$4,1,DA$3-Projects!$C$42+1),0)-IF(AND(Projects!$G$42="Yes",DA$3&gt;=Projects!$C$42,DA$3&lt;Projects!$C$42+Projects!$D$42),Projects!$B$42*(Assumptions!$B$10+Assumptions!$B$11+Assumptions!$B$12)/Projects!$D$42*0.95,0)-IF(AND(Projects!$G$42="Yes",DA$3=Projects!$C$42+Projects!$D$42-1),Projects!$B$42*(Assumptions!$B$10+Assumptions!$B$11+Assumptions!$B$12)*0.05,0)</f>
        <v>0</v>
      </c>
      <c r="DB51" s="30" t="n">
        <f aca="false">IF(AND(Projects!$G$42="Yes",DB$3&gt;=Projects!$C$42,DB$3&lt;Projects!$C$42+Projects!$D$42),Projects!$B$42*INDEX(Curves!$B$4:$AR$4,1,DB$3-Projects!$C$42+1),0)-IF(AND(Projects!$G$42="Yes",DB$3&gt;=Projects!$C$42,DB$3&lt;Projects!$C$42+Projects!$D$42),Projects!$B$42*(Assumptions!$B$10+Assumptions!$B$11+Assumptions!$B$12)/Projects!$D$42*0.95,0)-IF(AND(Projects!$G$42="Yes",DB$3=Projects!$C$42+Projects!$D$42-1),Projects!$B$42*(Assumptions!$B$10+Assumptions!$B$11+Assumptions!$B$12)*0.05,0)</f>
        <v>0</v>
      </c>
      <c r="DC51" s="30" t="n">
        <f aca="false">IF(AND(Projects!$G$42="Yes",DC$3&gt;=Projects!$C$42,DC$3&lt;Projects!$C$42+Projects!$D$42),Projects!$B$42*INDEX(Curves!$B$4:$AR$4,1,DC$3-Projects!$C$42+1),0)-IF(AND(Projects!$G$42="Yes",DC$3&gt;=Projects!$C$42,DC$3&lt;Projects!$C$42+Projects!$D$42),Projects!$B$42*(Assumptions!$B$10+Assumptions!$B$11+Assumptions!$B$12)/Projects!$D$42*0.95,0)-IF(AND(Projects!$G$42="Yes",DC$3=Projects!$C$42+Projects!$D$42-1),Projects!$B$42*(Assumptions!$B$10+Assumptions!$B$11+Assumptions!$B$12)*0.05,0)</f>
        <v>0</v>
      </c>
      <c r="DD51" s="30" t="n">
        <f aca="false">IF(AND(Projects!$G$42="Yes",DD$3&gt;=Projects!$C$42,DD$3&lt;Projects!$C$42+Projects!$D$42),Projects!$B$42*INDEX(Curves!$B$4:$AR$4,1,DD$3-Projects!$C$42+1),0)-IF(AND(Projects!$G$42="Yes",DD$3&gt;=Projects!$C$42,DD$3&lt;Projects!$C$42+Projects!$D$42),Projects!$B$42*(Assumptions!$B$10+Assumptions!$B$11+Assumptions!$B$12)/Projects!$D$42*0.95,0)-IF(AND(Projects!$G$42="Yes",DD$3=Projects!$C$42+Projects!$D$42-1),Projects!$B$42*(Assumptions!$B$10+Assumptions!$B$11+Assumptions!$B$12)*0.05,0)</f>
        <v>0</v>
      </c>
      <c r="DE51" s="30" t="n">
        <f aca="false">IF(AND(Projects!$G$42="Yes",DE$3&gt;=Projects!$C$42,DE$3&lt;Projects!$C$42+Projects!$D$42),Projects!$B$42*INDEX(Curves!$B$4:$AR$4,1,DE$3-Projects!$C$42+1),0)-IF(AND(Projects!$G$42="Yes",DE$3&gt;=Projects!$C$42,DE$3&lt;Projects!$C$42+Projects!$D$42),Projects!$B$42*(Assumptions!$B$10+Assumptions!$B$11+Assumptions!$B$12)/Projects!$D$42*0.95,0)-IF(AND(Projects!$G$42="Yes",DE$3=Projects!$C$42+Projects!$D$42-1),Projects!$B$42*(Assumptions!$B$10+Assumptions!$B$11+Assumptions!$B$12)*0.05,0)</f>
        <v>0</v>
      </c>
    </row>
    <row r="52" customFormat="false" ht="15" hidden="true" customHeight="true" outlineLevel="1" collapsed="false">
      <c r="A52" s="32" t="s">
        <v>46</v>
      </c>
      <c r="B52" s="30" t="n">
        <v>0</v>
      </c>
      <c r="C52" s="30" t="n">
        <v>0</v>
      </c>
      <c r="D52" s="30" t="n">
        <v>0</v>
      </c>
      <c r="E52" s="30" t="n">
        <v>0</v>
      </c>
      <c r="F52" s="30" t="n">
        <f aca="false">IF(AND(Projects!$G$43="Yes",F$3&gt;=Projects!$C$43,F$3&lt;Projects!$C$43+Projects!$D$43),Projects!$B$43*INDEX(Curves!$B$4:$AR$4,1,F$3-Projects!$C$43+1),0)-IF(AND(Projects!$G$43="Yes",F$3&gt;=Projects!$C$43,F$3&lt;Projects!$C$43+Projects!$D$43),Projects!$B$43*(Assumptions!$B$10+Assumptions!$B$11+Assumptions!$B$12)/Projects!$D$43*0.95,0)-IF(AND(Projects!$G$43="Yes",F$3=Projects!$C$43+Projects!$D$43-1),Projects!$B$43*(Assumptions!$B$10+Assumptions!$B$11+Assumptions!$B$12)*0.05,0)</f>
        <v>0</v>
      </c>
      <c r="G52" s="30" t="n">
        <f aca="false">IF(AND(Projects!$G$43="Yes",G$3&gt;=Projects!$C$43,G$3&lt;Projects!$C$43+Projects!$D$43),Projects!$B$43*INDEX(Curves!$B$4:$AR$4,1,G$3-Projects!$C$43+1),0)-IF(AND(Projects!$G$43="Yes",G$3&gt;=Projects!$C$43,G$3&lt;Projects!$C$43+Projects!$D$43),Projects!$B$43*(Assumptions!$B$10+Assumptions!$B$11+Assumptions!$B$12)/Projects!$D$43*0.95,0)-IF(AND(Projects!$G$43="Yes",G$3=Projects!$C$43+Projects!$D$43-1),Projects!$B$43*(Assumptions!$B$10+Assumptions!$B$11+Assumptions!$B$12)*0.05,0)</f>
        <v>0</v>
      </c>
      <c r="H52" s="30" t="n">
        <f aca="false">IF(AND(Projects!$G$43="Yes",H$3&gt;=Projects!$C$43,H$3&lt;Projects!$C$43+Projects!$D$43),Projects!$B$43*INDEX(Curves!$B$4:$AR$4,1,H$3-Projects!$C$43+1),0)-IF(AND(Projects!$G$43="Yes",H$3&gt;=Projects!$C$43,H$3&lt;Projects!$C$43+Projects!$D$43),Projects!$B$43*(Assumptions!$B$10+Assumptions!$B$11+Assumptions!$B$12)/Projects!$D$43*0.95,0)-IF(AND(Projects!$G$43="Yes",H$3=Projects!$C$43+Projects!$D$43-1),Projects!$B$43*(Assumptions!$B$10+Assumptions!$B$11+Assumptions!$B$12)*0.05,0)</f>
        <v>0</v>
      </c>
      <c r="I52" s="30" t="n">
        <f aca="false">IF(AND(Projects!$G$43="Yes",I$3&gt;=Projects!$C$43,I$3&lt;Projects!$C$43+Projects!$D$43),Projects!$B$43*INDEX(Curves!$B$4:$AR$4,1,I$3-Projects!$C$43+1),0)-IF(AND(Projects!$G$43="Yes",I$3&gt;=Projects!$C$43,I$3&lt;Projects!$C$43+Projects!$D$43),Projects!$B$43*(Assumptions!$B$10+Assumptions!$B$11+Assumptions!$B$12)/Projects!$D$43*0.95,0)-IF(AND(Projects!$G$43="Yes",I$3=Projects!$C$43+Projects!$D$43-1),Projects!$B$43*(Assumptions!$B$10+Assumptions!$B$11+Assumptions!$B$12)*0.05,0)</f>
        <v>0</v>
      </c>
      <c r="J52" s="30" t="n">
        <f aca="false">IF(AND(Projects!$G$43="Yes",J$3&gt;=Projects!$C$43,J$3&lt;Projects!$C$43+Projects!$D$43),Projects!$B$43*INDEX(Curves!$B$4:$AR$4,1,J$3-Projects!$C$43+1),0)-IF(AND(Projects!$G$43="Yes",J$3&gt;=Projects!$C$43,J$3&lt;Projects!$C$43+Projects!$D$43),Projects!$B$43*(Assumptions!$B$10+Assumptions!$B$11+Assumptions!$B$12)/Projects!$D$43*0.95,0)-IF(AND(Projects!$G$43="Yes",J$3=Projects!$C$43+Projects!$D$43-1),Projects!$B$43*(Assumptions!$B$10+Assumptions!$B$11+Assumptions!$B$12)*0.05,0)</f>
        <v>0</v>
      </c>
      <c r="K52" s="30" t="n">
        <f aca="false">IF(AND(Projects!$G$43="Yes",K$3&gt;=Projects!$C$43,K$3&lt;Projects!$C$43+Projects!$D$43),Projects!$B$43*INDEX(Curves!$B$4:$AR$4,1,K$3-Projects!$C$43+1),0)-IF(AND(Projects!$G$43="Yes",K$3&gt;=Projects!$C$43,K$3&lt;Projects!$C$43+Projects!$D$43),Projects!$B$43*(Assumptions!$B$10+Assumptions!$B$11+Assumptions!$B$12)/Projects!$D$43*0.95,0)-IF(AND(Projects!$G$43="Yes",K$3=Projects!$C$43+Projects!$D$43-1),Projects!$B$43*(Assumptions!$B$10+Assumptions!$B$11+Assumptions!$B$12)*0.05,0)</f>
        <v>0</v>
      </c>
      <c r="L52" s="30" t="n">
        <f aca="false">IF(AND(Projects!$G$43="Yes",L$3&gt;=Projects!$C$43,L$3&lt;Projects!$C$43+Projects!$D$43),Projects!$B$43*INDEX(Curves!$B$4:$AR$4,1,L$3-Projects!$C$43+1),0)-IF(AND(Projects!$G$43="Yes",L$3&gt;=Projects!$C$43,L$3&lt;Projects!$C$43+Projects!$D$43),Projects!$B$43*(Assumptions!$B$10+Assumptions!$B$11+Assumptions!$B$12)/Projects!$D$43*0.95,0)-IF(AND(Projects!$G$43="Yes",L$3=Projects!$C$43+Projects!$D$43-1),Projects!$B$43*(Assumptions!$B$10+Assumptions!$B$11+Assumptions!$B$12)*0.05,0)</f>
        <v>0</v>
      </c>
      <c r="M52" s="30" t="n">
        <f aca="false">IF(AND(Projects!$G$43="Yes",M$3&gt;=Projects!$C$43,M$3&lt;Projects!$C$43+Projects!$D$43),Projects!$B$43*INDEX(Curves!$B$4:$AR$4,1,M$3-Projects!$C$43+1),0)-IF(AND(Projects!$G$43="Yes",M$3&gt;=Projects!$C$43,M$3&lt;Projects!$C$43+Projects!$D$43),Projects!$B$43*(Assumptions!$B$10+Assumptions!$B$11+Assumptions!$B$12)/Projects!$D$43*0.95,0)-IF(AND(Projects!$G$43="Yes",M$3=Projects!$C$43+Projects!$D$43-1),Projects!$B$43*(Assumptions!$B$10+Assumptions!$B$11+Assumptions!$B$12)*0.05,0)</f>
        <v>0</v>
      </c>
      <c r="N52" s="30" t="n">
        <f aca="false">IF(AND(Projects!$G$43="Yes",N$3&gt;=Projects!$C$43,N$3&lt;Projects!$C$43+Projects!$D$43),Projects!$B$43*INDEX(Curves!$B$4:$AR$4,1,N$3-Projects!$C$43+1),0)-IF(AND(Projects!$G$43="Yes",N$3&gt;=Projects!$C$43,N$3&lt;Projects!$C$43+Projects!$D$43),Projects!$B$43*(Assumptions!$B$10+Assumptions!$B$11+Assumptions!$B$12)/Projects!$D$43*0.95,0)-IF(AND(Projects!$G$43="Yes",N$3=Projects!$C$43+Projects!$D$43-1),Projects!$B$43*(Assumptions!$B$10+Assumptions!$B$11+Assumptions!$B$12)*0.05,0)</f>
        <v>0</v>
      </c>
      <c r="O52" s="30" t="n">
        <f aca="false">IF(AND(Projects!$G$43="Yes",O$3&gt;=Projects!$C$43,O$3&lt;Projects!$C$43+Projects!$D$43),Projects!$B$43*INDEX(Curves!$B$4:$AR$4,1,O$3-Projects!$C$43+1),0)-IF(AND(Projects!$G$43="Yes",O$3&gt;=Projects!$C$43,O$3&lt;Projects!$C$43+Projects!$D$43),Projects!$B$43*(Assumptions!$B$10+Assumptions!$B$11+Assumptions!$B$12)/Projects!$D$43*0.95,0)-IF(AND(Projects!$G$43="Yes",O$3=Projects!$C$43+Projects!$D$43-1),Projects!$B$43*(Assumptions!$B$10+Assumptions!$B$11+Assumptions!$B$12)*0.05,0)</f>
        <v>0</v>
      </c>
      <c r="P52" s="30" t="n">
        <f aca="false">IF(AND(Projects!$G$43="Yes",P$3&gt;=Projects!$C$43,P$3&lt;Projects!$C$43+Projects!$D$43),Projects!$B$43*INDEX(Curves!$B$4:$AR$4,1,P$3-Projects!$C$43+1),0)-IF(AND(Projects!$G$43="Yes",P$3&gt;=Projects!$C$43,P$3&lt;Projects!$C$43+Projects!$D$43),Projects!$B$43*(Assumptions!$B$10+Assumptions!$B$11+Assumptions!$B$12)/Projects!$D$43*0.95,0)-IF(AND(Projects!$G$43="Yes",P$3=Projects!$C$43+Projects!$D$43-1),Projects!$B$43*(Assumptions!$B$10+Assumptions!$B$11+Assumptions!$B$12)*0.05,0)</f>
        <v>0</v>
      </c>
      <c r="Q52" s="30" t="n">
        <f aca="false">IF(AND(Projects!$G$43="Yes",Q$3&gt;=Projects!$C$43,Q$3&lt;Projects!$C$43+Projects!$D$43),Projects!$B$43*INDEX(Curves!$B$4:$AR$4,1,Q$3-Projects!$C$43+1),0)-IF(AND(Projects!$G$43="Yes",Q$3&gt;=Projects!$C$43,Q$3&lt;Projects!$C$43+Projects!$D$43),Projects!$B$43*(Assumptions!$B$10+Assumptions!$B$11+Assumptions!$B$12)/Projects!$D$43*0.95,0)-IF(AND(Projects!$G$43="Yes",Q$3=Projects!$C$43+Projects!$D$43-1),Projects!$B$43*(Assumptions!$B$10+Assumptions!$B$11+Assumptions!$B$12)*0.05,0)</f>
        <v>0</v>
      </c>
      <c r="R52" s="30" t="n">
        <f aca="false">IF(AND(Projects!$G$43="Yes",R$3&gt;=Projects!$C$43,R$3&lt;Projects!$C$43+Projects!$D$43),Projects!$B$43*INDEX(Curves!$B$4:$AR$4,1,R$3-Projects!$C$43+1),0)-IF(AND(Projects!$G$43="Yes",R$3&gt;=Projects!$C$43,R$3&lt;Projects!$C$43+Projects!$D$43),Projects!$B$43*(Assumptions!$B$10+Assumptions!$B$11+Assumptions!$B$12)/Projects!$D$43*0.95,0)-IF(AND(Projects!$G$43="Yes",R$3=Projects!$C$43+Projects!$D$43-1),Projects!$B$43*(Assumptions!$B$10+Assumptions!$B$11+Assumptions!$B$12)*0.05,0)</f>
        <v>0</v>
      </c>
      <c r="S52" s="30" t="n">
        <f aca="false">IF(AND(Projects!$G$43="Yes",S$3&gt;=Projects!$C$43,S$3&lt;Projects!$C$43+Projects!$D$43),Projects!$B$43*INDEX(Curves!$B$4:$AR$4,1,S$3-Projects!$C$43+1),0)-IF(AND(Projects!$G$43="Yes",S$3&gt;=Projects!$C$43,S$3&lt;Projects!$C$43+Projects!$D$43),Projects!$B$43*(Assumptions!$B$10+Assumptions!$B$11+Assumptions!$B$12)/Projects!$D$43*0.95,0)-IF(AND(Projects!$G$43="Yes",S$3=Projects!$C$43+Projects!$D$43-1),Projects!$B$43*(Assumptions!$B$10+Assumptions!$B$11+Assumptions!$B$12)*0.05,0)</f>
        <v>0</v>
      </c>
      <c r="T52" s="30" t="n">
        <f aca="false">IF(AND(Projects!$G$43="Yes",T$3&gt;=Projects!$C$43,T$3&lt;Projects!$C$43+Projects!$D$43),Projects!$B$43*INDEX(Curves!$B$4:$AR$4,1,T$3-Projects!$C$43+1),0)-IF(AND(Projects!$G$43="Yes",T$3&gt;=Projects!$C$43,T$3&lt;Projects!$C$43+Projects!$D$43),Projects!$B$43*(Assumptions!$B$10+Assumptions!$B$11+Assumptions!$B$12)/Projects!$D$43*0.95,0)-IF(AND(Projects!$G$43="Yes",T$3=Projects!$C$43+Projects!$D$43-1),Projects!$B$43*(Assumptions!$B$10+Assumptions!$B$11+Assumptions!$B$12)*0.05,0)</f>
        <v>0</v>
      </c>
      <c r="U52" s="30" t="n">
        <f aca="false">IF(AND(Projects!$G$43="Yes",U$3&gt;=Projects!$C$43,U$3&lt;Projects!$C$43+Projects!$D$43),Projects!$B$43*INDEX(Curves!$B$4:$AR$4,1,U$3-Projects!$C$43+1),0)-IF(AND(Projects!$G$43="Yes",U$3&gt;=Projects!$C$43,U$3&lt;Projects!$C$43+Projects!$D$43),Projects!$B$43*(Assumptions!$B$10+Assumptions!$B$11+Assumptions!$B$12)/Projects!$D$43*0.95,0)-IF(AND(Projects!$G$43="Yes",U$3=Projects!$C$43+Projects!$D$43-1),Projects!$B$43*(Assumptions!$B$10+Assumptions!$B$11+Assumptions!$B$12)*0.05,0)</f>
        <v>0</v>
      </c>
      <c r="V52" s="30" t="n">
        <f aca="false">IF(AND(Projects!$G$43="Yes",V$3&gt;=Projects!$C$43,V$3&lt;Projects!$C$43+Projects!$D$43),Projects!$B$43*INDEX(Curves!$B$4:$AR$4,1,V$3-Projects!$C$43+1),0)-IF(AND(Projects!$G$43="Yes",V$3&gt;=Projects!$C$43,V$3&lt;Projects!$C$43+Projects!$D$43),Projects!$B$43*(Assumptions!$B$10+Assumptions!$B$11+Assumptions!$B$12)/Projects!$D$43*0.95,0)-IF(AND(Projects!$G$43="Yes",V$3=Projects!$C$43+Projects!$D$43-1),Projects!$B$43*(Assumptions!$B$10+Assumptions!$B$11+Assumptions!$B$12)*0.05,0)</f>
        <v>0</v>
      </c>
      <c r="W52" s="30" t="n">
        <f aca="false">IF(AND(Projects!$G$43="Yes",W$3&gt;=Projects!$C$43,W$3&lt;Projects!$C$43+Projects!$D$43),Projects!$B$43*INDEX(Curves!$B$4:$AR$4,1,W$3-Projects!$C$43+1),0)-IF(AND(Projects!$G$43="Yes",W$3&gt;=Projects!$C$43,W$3&lt;Projects!$C$43+Projects!$D$43),Projects!$B$43*(Assumptions!$B$10+Assumptions!$B$11+Assumptions!$B$12)/Projects!$D$43*0.95,0)-IF(AND(Projects!$G$43="Yes",W$3=Projects!$C$43+Projects!$D$43-1),Projects!$B$43*(Assumptions!$B$10+Assumptions!$B$11+Assumptions!$B$12)*0.05,0)</f>
        <v>0</v>
      </c>
      <c r="X52" s="30" t="n">
        <f aca="false">IF(AND(Projects!$G$43="Yes",X$3&gt;=Projects!$C$43,X$3&lt;Projects!$C$43+Projects!$D$43),Projects!$B$43*INDEX(Curves!$B$4:$AR$4,1,X$3-Projects!$C$43+1),0)-IF(AND(Projects!$G$43="Yes",X$3&gt;=Projects!$C$43,X$3&lt;Projects!$C$43+Projects!$D$43),Projects!$B$43*(Assumptions!$B$10+Assumptions!$B$11+Assumptions!$B$12)/Projects!$D$43*0.95,0)-IF(AND(Projects!$G$43="Yes",X$3=Projects!$C$43+Projects!$D$43-1),Projects!$B$43*(Assumptions!$B$10+Assumptions!$B$11+Assumptions!$B$12)*0.05,0)</f>
        <v>0</v>
      </c>
      <c r="Y52" s="30" t="n">
        <f aca="false">IF(AND(Projects!$G$43="Yes",Y$3&gt;=Projects!$C$43,Y$3&lt;Projects!$C$43+Projects!$D$43),Projects!$B$43*INDEX(Curves!$B$4:$AR$4,1,Y$3-Projects!$C$43+1),0)-IF(AND(Projects!$G$43="Yes",Y$3&gt;=Projects!$C$43,Y$3&lt;Projects!$C$43+Projects!$D$43),Projects!$B$43*(Assumptions!$B$10+Assumptions!$B$11+Assumptions!$B$12)/Projects!$D$43*0.95,0)-IF(AND(Projects!$G$43="Yes",Y$3=Projects!$C$43+Projects!$D$43-1),Projects!$B$43*(Assumptions!$B$10+Assumptions!$B$11+Assumptions!$B$12)*0.05,0)</f>
        <v>0</v>
      </c>
      <c r="Z52" s="30" t="n">
        <f aca="false">IF(AND(Projects!$G$43="Yes",Z$3&gt;=Projects!$C$43,Z$3&lt;Projects!$C$43+Projects!$D$43),Projects!$B$43*INDEX(Curves!$B$4:$AR$4,1,Z$3-Projects!$C$43+1),0)-IF(AND(Projects!$G$43="Yes",Z$3&gt;=Projects!$C$43,Z$3&lt;Projects!$C$43+Projects!$D$43),Projects!$B$43*(Assumptions!$B$10+Assumptions!$B$11+Assumptions!$B$12)/Projects!$D$43*0.95,0)-IF(AND(Projects!$G$43="Yes",Z$3=Projects!$C$43+Projects!$D$43-1),Projects!$B$43*(Assumptions!$B$10+Assumptions!$B$11+Assumptions!$B$12)*0.05,0)</f>
        <v>0</v>
      </c>
      <c r="AA52" s="30" t="n">
        <f aca="false">IF(AND(Projects!$G$43="Yes",AA$3&gt;=Projects!$C$43,AA$3&lt;Projects!$C$43+Projects!$D$43),Projects!$B$43*INDEX(Curves!$B$4:$AR$4,1,AA$3-Projects!$C$43+1),0)-IF(AND(Projects!$G$43="Yes",AA$3&gt;=Projects!$C$43,AA$3&lt;Projects!$C$43+Projects!$D$43),Projects!$B$43*(Assumptions!$B$10+Assumptions!$B$11+Assumptions!$B$12)/Projects!$D$43*0.95,0)-IF(AND(Projects!$G$43="Yes",AA$3=Projects!$C$43+Projects!$D$43-1),Projects!$B$43*(Assumptions!$B$10+Assumptions!$B$11+Assumptions!$B$12)*0.05,0)</f>
        <v>0</v>
      </c>
      <c r="AB52" s="30" t="n">
        <f aca="false">IF(AND(Projects!$G$43="Yes",AB$3&gt;=Projects!$C$43,AB$3&lt;Projects!$C$43+Projects!$D$43),Projects!$B$43*INDEX(Curves!$B$4:$AR$4,1,AB$3-Projects!$C$43+1),0)-IF(AND(Projects!$G$43="Yes",AB$3&gt;=Projects!$C$43,AB$3&lt;Projects!$C$43+Projects!$D$43),Projects!$B$43*(Assumptions!$B$10+Assumptions!$B$11+Assumptions!$B$12)/Projects!$D$43*0.95,0)-IF(AND(Projects!$G$43="Yes",AB$3=Projects!$C$43+Projects!$D$43-1),Projects!$B$43*(Assumptions!$B$10+Assumptions!$B$11+Assumptions!$B$12)*0.05,0)</f>
        <v>0</v>
      </c>
      <c r="AC52" s="30" t="n">
        <f aca="false">IF(AND(Projects!$G$43="Yes",AC$3&gt;=Projects!$C$43,AC$3&lt;Projects!$C$43+Projects!$D$43),Projects!$B$43*INDEX(Curves!$B$4:$AR$4,1,AC$3-Projects!$C$43+1),0)-IF(AND(Projects!$G$43="Yes",AC$3&gt;=Projects!$C$43,AC$3&lt;Projects!$C$43+Projects!$D$43),Projects!$B$43*(Assumptions!$B$10+Assumptions!$B$11+Assumptions!$B$12)/Projects!$D$43*0.95,0)-IF(AND(Projects!$G$43="Yes",AC$3=Projects!$C$43+Projects!$D$43-1),Projects!$B$43*(Assumptions!$B$10+Assumptions!$B$11+Assumptions!$B$12)*0.05,0)</f>
        <v>0</v>
      </c>
      <c r="AD52" s="30" t="n">
        <f aca="false">IF(AND(Projects!$G$43="Yes",AD$3&gt;=Projects!$C$43,AD$3&lt;Projects!$C$43+Projects!$D$43),Projects!$B$43*INDEX(Curves!$B$4:$AR$4,1,AD$3-Projects!$C$43+1),0)-IF(AND(Projects!$G$43="Yes",AD$3&gt;=Projects!$C$43,AD$3&lt;Projects!$C$43+Projects!$D$43),Projects!$B$43*(Assumptions!$B$10+Assumptions!$B$11+Assumptions!$B$12)/Projects!$D$43*0.95,0)-IF(AND(Projects!$G$43="Yes",AD$3=Projects!$C$43+Projects!$D$43-1),Projects!$B$43*(Assumptions!$B$10+Assumptions!$B$11+Assumptions!$B$12)*0.05,0)</f>
        <v>0</v>
      </c>
      <c r="AE52" s="30" t="n">
        <f aca="false">IF(AND(Projects!$G$43="Yes",AE$3&gt;=Projects!$C$43,AE$3&lt;Projects!$C$43+Projects!$D$43),Projects!$B$43*INDEX(Curves!$B$4:$AR$4,1,AE$3-Projects!$C$43+1),0)-IF(AND(Projects!$G$43="Yes",AE$3&gt;=Projects!$C$43,AE$3&lt;Projects!$C$43+Projects!$D$43),Projects!$B$43*(Assumptions!$B$10+Assumptions!$B$11+Assumptions!$B$12)/Projects!$D$43*0.95,0)-IF(AND(Projects!$G$43="Yes",AE$3=Projects!$C$43+Projects!$D$43-1),Projects!$B$43*(Assumptions!$B$10+Assumptions!$B$11+Assumptions!$B$12)*0.05,0)</f>
        <v>0</v>
      </c>
      <c r="AF52" s="30" t="n">
        <f aca="false">IF(AND(Projects!$G$43="Yes",AF$3&gt;=Projects!$C$43,AF$3&lt;Projects!$C$43+Projects!$D$43),Projects!$B$43*INDEX(Curves!$B$4:$AR$4,1,AF$3-Projects!$C$43+1),0)-IF(AND(Projects!$G$43="Yes",AF$3&gt;=Projects!$C$43,AF$3&lt;Projects!$C$43+Projects!$D$43),Projects!$B$43*(Assumptions!$B$10+Assumptions!$B$11+Assumptions!$B$12)/Projects!$D$43*0.95,0)-IF(AND(Projects!$G$43="Yes",AF$3=Projects!$C$43+Projects!$D$43-1),Projects!$B$43*(Assumptions!$B$10+Assumptions!$B$11+Assumptions!$B$12)*0.05,0)</f>
        <v>0</v>
      </c>
      <c r="AG52" s="30" t="n">
        <f aca="false">IF(AND(Projects!$G$43="Yes",AG$3&gt;=Projects!$C$43,AG$3&lt;Projects!$C$43+Projects!$D$43),Projects!$B$43*INDEX(Curves!$B$4:$AR$4,1,AG$3-Projects!$C$43+1),0)-IF(AND(Projects!$G$43="Yes",AG$3&gt;=Projects!$C$43,AG$3&lt;Projects!$C$43+Projects!$D$43),Projects!$B$43*(Assumptions!$B$10+Assumptions!$B$11+Assumptions!$B$12)/Projects!$D$43*0.95,0)-IF(AND(Projects!$G$43="Yes",AG$3=Projects!$C$43+Projects!$D$43-1),Projects!$B$43*(Assumptions!$B$10+Assumptions!$B$11+Assumptions!$B$12)*0.05,0)</f>
        <v>0</v>
      </c>
      <c r="AH52" s="30" t="n">
        <f aca="false">IF(AND(Projects!$G$43="Yes",AH$3&gt;=Projects!$C$43,AH$3&lt;Projects!$C$43+Projects!$D$43),Projects!$B$43*INDEX(Curves!$B$4:$AR$4,1,AH$3-Projects!$C$43+1),0)-IF(AND(Projects!$G$43="Yes",AH$3&gt;=Projects!$C$43,AH$3&lt;Projects!$C$43+Projects!$D$43),Projects!$B$43*(Assumptions!$B$10+Assumptions!$B$11+Assumptions!$B$12)/Projects!$D$43*0.95,0)-IF(AND(Projects!$G$43="Yes",AH$3=Projects!$C$43+Projects!$D$43-1),Projects!$B$43*(Assumptions!$B$10+Assumptions!$B$11+Assumptions!$B$12)*0.05,0)</f>
        <v>0</v>
      </c>
      <c r="AI52" s="30" t="n">
        <f aca="false">IF(AND(Projects!$G$43="Yes",AI$3&gt;=Projects!$C$43,AI$3&lt;Projects!$C$43+Projects!$D$43),Projects!$B$43*INDEX(Curves!$B$4:$AR$4,1,AI$3-Projects!$C$43+1),0)-IF(AND(Projects!$G$43="Yes",AI$3&gt;=Projects!$C$43,AI$3&lt;Projects!$C$43+Projects!$D$43),Projects!$B$43*(Assumptions!$B$10+Assumptions!$B$11+Assumptions!$B$12)/Projects!$D$43*0.95,0)-IF(AND(Projects!$G$43="Yes",AI$3=Projects!$C$43+Projects!$D$43-1),Projects!$B$43*(Assumptions!$B$10+Assumptions!$B$11+Assumptions!$B$12)*0.05,0)</f>
        <v>0</v>
      </c>
      <c r="AJ52" s="30" t="n">
        <f aca="false">IF(AND(Projects!$G$43="Yes",AJ$3&gt;=Projects!$C$43,AJ$3&lt;Projects!$C$43+Projects!$D$43),Projects!$B$43*INDEX(Curves!$B$4:$AR$4,1,AJ$3-Projects!$C$43+1),0)-IF(AND(Projects!$G$43="Yes",AJ$3&gt;=Projects!$C$43,AJ$3&lt;Projects!$C$43+Projects!$D$43),Projects!$B$43*(Assumptions!$B$10+Assumptions!$B$11+Assumptions!$B$12)/Projects!$D$43*0.95,0)-IF(AND(Projects!$G$43="Yes",AJ$3=Projects!$C$43+Projects!$D$43-1),Projects!$B$43*(Assumptions!$B$10+Assumptions!$B$11+Assumptions!$B$12)*0.05,0)</f>
        <v>0</v>
      </c>
      <c r="AK52" s="30" t="n">
        <f aca="false">IF(AND(Projects!$G$43="Yes",AK$3&gt;=Projects!$C$43,AK$3&lt;Projects!$C$43+Projects!$D$43),Projects!$B$43*INDEX(Curves!$B$4:$AR$4,1,AK$3-Projects!$C$43+1),0)-IF(AND(Projects!$G$43="Yes",AK$3&gt;=Projects!$C$43,AK$3&lt;Projects!$C$43+Projects!$D$43),Projects!$B$43*(Assumptions!$B$10+Assumptions!$B$11+Assumptions!$B$12)/Projects!$D$43*0.95,0)-IF(AND(Projects!$G$43="Yes",AK$3=Projects!$C$43+Projects!$D$43-1),Projects!$B$43*(Assumptions!$B$10+Assumptions!$B$11+Assumptions!$B$12)*0.05,0)</f>
        <v>0</v>
      </c>
      <c r="AL52" s="30" t="n">
        <f aca="false">IF(AND(Projects!$G$43="Yes",AL$3&gt;=Projects!$C$43,AL$3&lt;Projects!$C$43+Projects!$D$43),Projects!$B$43*INDEX(Curves!$B$4:$AR$4,1,AL$3-Projects!$C$43+1),0)-IF(AND(Projects!$G$43="Yes",AL$3&gt;=Projects!$C$43,AL$3&lt;Projects!$C$43+Projects!$D$43),Projects!$B$43*(Assumptions!$B$10+Assumptions!$B$11+Assumptions!$B$12)/Projects!$D$43*0.95,0)-IF(AND(Projects!$G$43="Yes",AL$3=Projects!$C$43+Projects!$D$43-1),Projects!$B$43*(Assumptions!$B$10+Assumptions!$B$11+Assumptions!$B$12)*0.05,0)</f>
        <v>0</v>
      </c>
      <c r="AM52" s="30" t="n">
        <f aca="false">IF(AND(Projects!$G$43="Yes",AM$3&gt;=Projects!$C$43,AM$3&lt;Projects!$C$43+Projects!$D$43),Projects!$B$43*INDEX(Curves!$B$4:$AR$4,1,AM$3-Projects!$C$43+1),0)-IF(AND(Projects!$G$43="Yes",AM$3&gt;=Projects!$C$43,AM$3&lt;Projects!$C$43+Projects!$D$43),Projects!$B$43*(Assumptions!$B$10+Assumptions!$B$11+Assumptions!$B$12)/Projects!$D$43*0.95,0)-IF(AND(Projects!$G$43="Yes",AM$3=Projects!$C$43+Projects!$D$43-1),Projects!$B$43*(Assumptions!$B$10+Assumptions!$B$11+Assumptions!$B$12)*0.05,0)</f>
        <v>0</v>
      </c>
      <c r="AN52" s="30" t="n">
        <f aca="false">IF(AND(Projects!$G$43="Yes",AN$3&gt;=Projects!$C$43,AN$3&lt;Projects!$C$43+Projects!$D$43),Projects!$B$43*INDEX(Curves!$B$4:$AR$4,1,AN$3-Projects!$C$43+1),0)-IF(AND(Projects!$G$43="Yes",AN$3&gt;=Projects!$C$43,AN$3&lt;Projects!$C$43+Projects!$D$43),Projects!$B$43*(Assumptions!$B$10+Assumptions!$B$11+Assumptions!$B$12)/Projects!$D$43*0.95,0)-IF(AND(Projects!$G$43="Yes",AN$3=Projects!$C$43+Projects!$D$43-1),Projects!$B$43*(Assumptions!$B$10+Assumptions!$B$11+Assumptions!$B$12)*0.05,0)</f>
        <v>0</v>
      </c>
      <c r="AO52" s="30" t="n">
        <f aca="false">IF(AND(Projects!$G$43="Yes",AO$3&gt;=Projects!$C$43,AO$3&lt;Projects!$C$43+Projects!$D$43),Projects!$B$43*INDEX(Curves!$B$4:$AR$4,1,AO$3-Projects!$C$43+1),0)-IF(AND(Projects!$G$43="Yes",AO$3&gt;=Projects!$C$43,AO$3&lt;Projects!$C$43+Projects!$D$43),Projects!$B$43*(Assumptions!$B$10+Assumptions!$B$11+Assumptions!$B$12)/Projects!$D$43*0.95,0)-IF(AND(Projects!$G$43="Yes",AO$3=Projects!$C$43+Projects!$D$43-1),Projects!$B$43*(Assumptions!$B$10+Assumptions!$B$11+Assumptions!$B$12)*0.05,0)</f>
        <v>0</v>
      </c>
      <c r="AP52" s="30" t="n">
        <f aca="false">IF(AND(Projects!$G$43="Yes",AP$3&gt;=Projects!$C$43,AP$3&lt;Projects!$C$43+Projects!$D$43),Projects!$B$43*INDEX(Curves!$B$4:$AR$4,1,AP$3-Projects!$C$43+1),0)-IF(AND(Projects!$G$43="Yes",AP$3&gt;=Projects!$C$43,AP$3&lt;Projects!$C$43+Projects!$D$43),Projects!$B$43*(Assumptions!$B$10+Assumptions!$B$11+Assumptions!$B$12)/Projects!$D$43*0.95,0)-IF(AND(Projects!$G$43="Yes",AP$3=Projects!$C$43+Projects!$D$43-1),Projects!$B$43*(Assumptions!$B$10+Assumptions!$B$11+Assumptions!$B$12)*0.05,0)</f>
        <v>0</v>
      </c>
      <c r="AQ52" s="30" t="n">
        <f aca="false">IF(AND(Projects!$G$43="Yes",AQ$3&gt;=Projects!$C$43,AQ$3&lt;Projects!$C$43+Projects!$D$43),Projects!$B$43*INDEX(Curves!$B$4:$AR$4,1,AQ$3-Projects!$C$43+1),0)-IF(AND(Projects!$G$43="Yes",AQ$3&gt;=Projects!$C$43,AQ$3&lt;Projects!$C$43+Projects!$D$43),Projects!$B$43*(Assumptions!$B$10+Assumptions!$B$11+Assumptions!$B$12)/Projects!$D$43*0.95,0)-IF(AND(Projects!$G$43="Yes",AQ$3=Projects!$C$43+Projects!$D$43-1),Projects!$B$43*(Assumptions!$B$10+Assumptions!$B$11+Assumptions!$B$12)*0.05,0)</f>
        <v>0</v>
      </c>
      <c r="AR52" s="30" t="n">
        <f aca="false">IF(AND(Projects!$G$43="Yes",AR$3&gt;=Projects!$C$43,AR$3&lt;Projects!$C$43+Projects!$D$43),Projects!$B$43*INDEX(Curves!$B$4:$AR$4,1,AR$3-Projects!$C$43+1),0)-IF(AND(Projects!$G$43="Yes",AR$3&gt;=Projects!$C$43,AR$3&lt;Projects!$C$43+Projects!$D$43),Projects!$B$43*(Assumptions!$B$10+Assumptions!$B$11+Assumptions!$B$12)/Projects!$D$43*0.95,0)-IF(AND(Projects!$G$43="Yes",AR$3=Projects!$C$43+Projects!$D$43-1),Projects!$B$43*(Assumptions!$B$10+Assumptions!$B$11+Assumptions!$B$12)*0.05,0)</f>
        <v>0</v>
      </c>
      <c r="AS52" s="30" t="n">
        <f aca="false">IF(AND(Projects!$G$43="Yes",AS$3&gt;=Projects!$C$43,AS$3&lt;Projects!$C$43+Projects!$D$43),Projects!$B$43*INDEX(Curves!$B$4:$AR$4,1,AS$3-Projects!$C$43+1),0)-IF(AND(Projects!$G$43="Yes",AS$3&gt;=Projects!$C$43,AS$3&lt;Projects!$C$43+Projects!$D$43),Projects!$B$43*(Assumptions!$B$10+Assumptions!$B$11+Assumptions!$B$12)/Projects!$D$43*0.95,0)-IF(AND(Projects!$G$43="Yes",AS$3=Projects!$C$43+Projects!$D$43-1),Projects!$B$43*(Assumptions!$B$10+Assumptions!$B$11+Assumptions!$B$12)*0.05,0)</f>
        <v>0</v>
      </c>
      <c r="AT52" s="30" t="n">
        <f aca="false">IF(AND(Projects!$G$43="Yes",AT$3&gt;=Projects!$C$43,AT$3&lt;Projects!$C$43+Projects!$D$43),Projects!$B$43*INDEX(Curves!$B$4:$AR$4,1,AT$3-Projects!$C$43+1),0)-IF(AND(Projects!$G$43="Yes",AT$3&gt;=Projects!$C$43,AT$3&lt;Projects!$C$43+Projects!$D$43),Projects!$B$43*(Assumptions!$B$10+Assumptions!$B$11+Assumptions!$B$12)/Projects!$D$43*0.95,0)-IF(AND(Projects!$G$43="Yes",AT$3=Projects!$C$43+Projects!$D$43-1),Projects!$B$43*(Assumptions!$B$10+Assumptions!$B$11+Assumptions!$B$12)*0.05,0)</f>
        <v>0</v>
      </c>
      <c r="AU52" s="30" t="n">
        <f aca="false">IF(AND(Projects!$G$43="Yes",AU$3&gt;=Projects!$C$43,AU$3&lt;Projects!$C$43+Projects!$D$43),Projects!$B$43*INDEX(Curves!$B$4:$AR$4,1,AU$3-Projects!$C$43+1),0)-IF(AND(Projects!$G$43="Yes",AU$3&gt;=Projects!$C$43,AU$3&lt;Projects!$C$43+Projects!$D$43),Projects!$B$43*(Assumptions!$B$10+Assumptions!$B$11+Assumptions!$B$12)/Projects!$D$43*0.95,0)-IF(AND(Projects!$G$43="Yes",AU$3=Projects!$C$43+Projects!$D$43-1),Projects!$B$43*(Assumptions!$B$10+Assumptions!$B$11+Assumptions!$B$12)*0.05,0)</f>
        <v>0</v>
      </c>
      <c r="AV52" s="30" t="n">
        <f aca="false">IF(AND(Projects!$G$43="Yes",AV$3&gt;=Projects!$C$43,AV$3&lt;Projects!$C$43+Projects!$D$43),Projects!$B$43*INDEX(Curves!$B$4:$AR$4,1,AV$3-Projects!$C$43+1),0)-IF(AND(Projects!$G$43="Yes",AV$3&gt;=Projects!$C$43,AV$3&lt;Projects!$C$43+Projects!$D$43),Projects!$B$43*(Assumptions!$B$10+Assumptions!$B$11+Assumptions!$B$12)/Projects!$D$43*0.95,0)-IF(AND(Projects!$G$43="Yes",AV$3=Projects!$C$43+Projects!$D$43-1),Projects!$B$43*(Assumptions!$B$10+Assumptions!$B$11+Assumptions!$B$12)*0.05,0)</f>
        <v>0</v>
      </c>
      <c r="AW52" s="30" t="n">
        <f aca="false">IF(AND(Projects!$G$43="Yes",AW$3&gt;=Projects!$C$43,AW$3&lt;Projects!$C$43+Projects!$D$43),Projects!$B$43*INDEX(Curves!$B$4:$AR$4,1,AW$3-Projects!$C$43+1),0)-IF(AND(Projects!$G$43="Yes",AW$3&gt;=Projects!$C$43,AW$3&lt;Projects!$C$43+Projects!$D$43),Projects!$B$43*(Assumptions!$B$10+Assumptions!$B$11+Assumptions!$B$12)/Projects!$D$43*0.95,0)-IF(AND(Projects!$G$43="Yes",AW$3=Projects!$C$43+Projects!$D$43-1),Projects!$B$43*(Assumptions!$B$10+Assumptions!$B$11+Assumptions!$B$12)*0.05,0)</f>
        <v>0</v>
      </c>
      <c r="AX52" s="30" t="n">
        <f aca="false">IF(AND(Projects!$G$43="Yes",AX$3&gt;=Projects!$C$43,AX$3&lt;Projects!$C$43+Projects!$D$43),Projects!$B$43*INDEX(Curves!$B$4:$AR$4,1,AX$3-Projects!$C$43+1),0)-IF(AND(Projects!$G$43="Yes",AX$3&gt;=Projects!$C$43,AX$3&lt;Projects!$C$43+Projects!$D$43),Projects!$B$43*(Assumptions!$B$10+Assumptions!$B$11+Assumptions!$B$12)/Projects!$D$43*0.95,0)-IF(AND(Projects!$G$43="Yes",AX$3=Projects!$C$43+Projects!$D$43-1),Projects!$B$43*(Assumptions!$B$10+Assumptions!$B$11+Assumptions!$B$12)*0.05,0)</f>
        <v>0</v>
      </c>
      <c r="AY52" s="30" t="n">
        <f aca="false">IF(AND(Projects!$G$43="Yes",AY$3&gt;=Projects!$C$43,AY$3&lt;Projects!$C$43+Projects!$D$43),Projects!$B$43*INDEX(Curves!$B$4:$AR$4,1,AY$3-Projects!$C$43+1),0)-IF(AND(Projects!$G$43="Yes",AY$3&gt;=Projects!$C$43,AY$3&lt;Projects!$C$43+Projects!$D$43),Projects!$B$43*(Assumptions!$B$10+Assumptions!$B$11+Assumptions!$B$12)/Projects!$D$43*0.95,0)-IF(AND(Projects!$G$43="Yes",AY$3=Projects!$C$43+Projects!$D$43-1),Projects!$B$43*(Assumptions!$B$10+Assumptions!$B$11+Assumptions!$B$12)*0.05,0)</f>
        <v>0</v>
      </c>
      <c r="AZ52" s="30" t="n">
        <f aca="false">IF(AND(Projects!$G$43="Yes",AZ$3&gt;=Projects!$C$43,AZ$3&lt;Projects!$C$43+Projects!$D$43),Projects!$B$43*INDEX(Curves!$B$4:$AR$4,1,AZ$3-Projects!$C$43+1),0)-IF(AND(Projects!$G$43="Yes",AZ$3&gt;=Projects!$C$43,AZ$3&lt;Projects!$C$43+Projects!$D$43),Projects!$B$43*(Assumptions!$B$10+Assumptions!$B$11+Assumptions!$B$12)/Projects!$D$43*0.95,0)-IF(AND(Projects!$G$43="Yes",AZ$3=Projects!$C$43+Projects!$D$43-1),Projects!$B$43*(Assumptions!$B$10+Assumptions!$B$11+Assumptions!$B$12)*0.05,0)</f>
        <v>0</v>
      </c>
      <c r="BA52" s="30" t="n">
        <f aca="false">IF(AND(Projects!$G$43="Yes",BA$3&gt;=Projects!$C$43,BA$3&lt;Projects!$C$43+Projects!$D$43),Projects!$B$43*INDEX(Curves!$B$4:$AR$4,1,BA$3-Projects!$C$43+1),0)-IF(AND(Projects!$G$43="Yes",BA$3&gt;=Projects!$C$43,BA$3&lt;Projects!$C$43+Projects!$D$43),Projects!$B$43*(Assumptions!$B$10+Assumptions!$B$11+Assumptions!$B$12)/Projects!$D$43*0.95,0)-IF(AND(Projects!$G$43="Yes",BA$3=Projects!$C$43+Projects!$D$43-1),Projects!$B$43*(Assumptions!$B$10+Assumptions!$B$11+Assumptions!$B$12)*0.05,0)</f>
        <v>0</v>
      </c>
      <c r="BB52" s="30" t="n">
        <f aca="false">IF(AND(Projects!$G$43="Yes",BB$3&gt;=Projects!$C$43,BB$3&lt;Projects!$C$43+Projects!$D$43),Projects!$B$43*INDEX(Curves!$B$4:$AR$4,1,BB$3-Projects!$C$43+1),0)-IF(AND(Projects!$G$43="Yes",BB$3&gt;=Projects!$C$43,BB$3&lt;Projects!$C$43+Projects!$D$43),Projects!$B$43*(Assumptions!$B$10+Assumptions!$B$11+Assumptions!$B$12)/Projects!$D$43*0.95,0)-IF(AND(Projects!$G$43="Yes",BB$3=Projects!$C$43+Projects!$D$43-1),Projects!$B$43*(Assumptions!$B$10+Assumptions!$B$11+Assumptions!$B$12)*0.05,0)</f>
        <v>0</v>
      </c>
      <c r="BC52" s="30" t="n">
        <f aca="false">IF(AND(Projects!$G$43="Yes",BC$3&gt;=Projects!$C$43,BC$3&lt;Projects!$C$43+Projects!$D$43),Projects!$B$43*INDEX(Curves!$B$4:$AR$4,1,BC$3-Projects!$C$43+1),0)-IF(AND(Projects!$G$43="Yes",BC$3&gt;=Projects!$C$43,BC$3&lt;Projects!$C$43+Projects!$D$43),Projects!$B$43*(Assumptions!$B$10+Assumptions!$B$11+Assumptions!$B$12)/Projects!$D$43*0.95,0)-IF(AND(Projects!$G$43="Yes",BC$3=Projects!$C$43+Projects!$D$43-1),Projects!$B$43*(Assumptions!$B$10+Assumptions!$B$11+Assumptions!$B$12)*0.05,0)</f>
        <v>0</v>
      </c>
      <c r="BD52" s="30" t="n">
        <f aca="false">IF(AND(Projects!$G$43="Yes",BD$3&gt;=Projects!$C$43,BD$3&lt;Projects!$C$43+Projects!$D$43),Projects!$B$43*INDEX(Curves!$B$4:$AR$4,1,BD$3-Projects!$C$43+1),0)-IF(AND(Projects!$G$43="Yes",BD$3&gt;=Projects!$C$43,BD$3&lt;Projects!$C$43+Projects!$D$43),Projects!$B$43*(Assumptions!$B$10+Assumptions!$B$11+Assumptions!$B$12)/Projects!$D$43*0.95,0)-IF(AND(Projects!$G$43="Yes",BD$3=Projects!$C$43+Projects!$D$43-1),Projects!$B$43*(Assumptions!$B$10+Assumptions!$B$11+Assumptions!$B$12)*0.05,0)</f>
        <v>0</v>
      </c>
      <c r="BE52" s="30" t="n">
        <f aca="false">IF(AND(Projects!$G$43="Yes",BE$3&gt;=Projects!$C$43,BE$3&lt;Projects!$C$43+Projects!$D$43),Projects!$B$43*INDEX(Curves!$B$4:$AR$4,1,BE$3-Projects!$C$43+1),0)-IF(AND(Projects!$G$43="Yes",BE$3&gt;=Projects!$C$43,BE$3&lt;Projects!$C$43+Projects!$D$43),Projects!$B$43*(Assumptions!$B$10+Assumptions!$B$11+Assumptions!$B$12)/Projects!$D$43*0.95,0)-IF(AND(Projects!$G$43="Yes",BE$3=Projects!$C$43+Projects!$D$43-1),Projects!$B$43*(Assumptions!$B$10+Assumptions!$B$11+Assumptions!$B$12)*0.05,0)</f>
        <v>0</v>
      </c>
      <c r="BF52" s="30" t="n">
        <f aca="false">IF(AND(Projects!$G$43="Yes",BF$3&gt;=Projects!$C$43,BF$3&lt;Projects!$C$43+Projects!$D$43),Projects!$B$43*INDEX(Curves!$B$4:$AR$4,1,BF$3-Projects!$C$43+1),0)-IF(AND(Projects!$G$43="Yes",BF$3&gt;=Projects!$C$43,BF$3&lt;Projects!$C$43+Projects!$D$43),Projects!$B$43*(Assumptions!$B$10+Assumptions!$B$11+Assumptions!$B$12)/Projects!$D$43*0.95,0)-IF(AND(Projects!$G$43="Yes",BF$3=Projects!$C$43+Projects!$D$43-1),Projects!$B$43*(Assumptions!$B$10+Assumptions!$B$11+Assumptions!$B$12)*0.05,0)</f>
        <v>0</v>
      </c>
      <c r="BG52" s="30" t="n">
        <f aca="false">IF(AND(Projects!$G$43="Yes",BG$3&gt;=Projects!$C$43,BG$3&lt;Projects!$C$43+Projects!$D$43),Projects!$B$43*INDEX(Curves!$B$4:$AR$4,1,BG$3-Projects!$C$43+1),0)-IF(AND(Projects!$G$43="Yes",BG$3&gt;=Projects!$C$43,BG$3&lt;Projects!$C$43+Projects!$D$43),Projects!$B$43*(Assumptions!$B$10+Assumptions!$B$11+Assumptions!$B$12)/Projects!$D$43*0.95,0)-IF(AND(Projects!$G$43="Yes",BG$3=Projects!$C$43+Projects!$D$43-1),Projects!$B$43*(Assumptions!$B$10+Assumptions!$B$11+Assumptions!$B$12)*0.05,0)</f>
        <v>0</v>
      </c>
      <c r="BH52" s="30" t="n">
        <f aca="false">IF(AND(Projects!$G$43="Yes",BH$3&gt;=Projects!$C$43,BH$3&lt;Projects!$C$43+Projects!$D$43),Projects!$B$43*INDEX(Curves!$B$4:$AR$4,1,BH$3-Projects!$C$43+1),0)-IF(AND(Projects!$G$43="Yes",BH$3&gt;=Projects!$C$43,BH$3&lt;Projects!$C$43+Projects!$D$43),Projects!$B$43*(Assumptions!$B$10+Assumptions!$B$11+Assumptions!$B$12)/Projects!$D$43*0.95,0)-IF(AND(Projects!$G$43="Yes",BH$3=Projects!$C$43+Projects!$D$43-1),Projects!$B$43*(Assumptions!$B$10+Assumptions!$B$11+Assumptions!$B$12)*0.05,0)</f>
        <v>0</v>
      </c>
      <c r="BI52" s="30" t="n">
        <f aca="false">IF(AND(Projects!$G$43="Yes",BI$3&gt;=Projects!$C$43,BI$3&lt;Projects!$C$43+Projects!$D$43),Projects!$B$43*INDEX(Curves!$B$4:$AR$4,1,BI$3-Projects!$C$43+1),0)-IF(AND(Projects!$G$43="Yes",BI$3&gt;=Projects!$C$43,BI$3&lt;Projects!$C$43+Projects!$D$43),Projects!$B$43*(Assumptions!$B$10+Assumptions!$B$11+Assumptions!$B$12)/Projects!$D$43*0.95,0)-IF(AND(Projects!$G$43="Yes",BI$3=Projects!$C$43+Projects!$D$43-1),Projects!$B$43*(Assumptions!$B$10+Assumptions!$B$11+Assumptions!$B$12)*0.05,0)</f>
        <v>0</v>
      </c>
      <c r="BJ52" s="30" t="n">
        <f aca="false">IF(AND(Projects!$G$43="Yes",BJ$3&gt;=Projects!$C$43,BJ$3&lt;Projects!$C$43+Projects!$D$43),Projects!$B$43*INDEX(Curves!$B$4:$AR$4,1,BJ$3-Projects!$C$43+1),0)-IF(AND(Projects!$G$43="Yes",BJ$3&gt;=Projects!$C$43,BJ$3&lt;Projects!$C$43+Projects!$D$43),Projects!$B$43*(Assumptions!$B$10+Assumptions!$B$11+Assumptions!$B$12)/Projects!$D$43*0.95,0)-IF(AND(Projects!$G$43="Yes",BJ$3=Projects!$C$43+Projects!$D$43-1),Projects!$B$43*(Assumptions!$B$10+Assumptions!$B$11+Assumptions!$B$12)*0.05,0)</f>
        <v>0</v>
      </c>
      <c r="BK52" s="30" t="n">
        <f aca="false">IF(AND(Projects!$G$43="Yes",BK$3&gt;=Projects!$C$43,BK$3&lt;Projects!$C$43+Projects!$D$43),Projects!$B$43*INDEX(Curves!$B$4:$AR$4,1,BK$3-Projects!$C$43+1),0)-IF(AND(Projects!$G$43="Yes",BK$3&gt;=Projects!$C$43,BK$3&lt;Projects!$C$43+Projects!$D$43),Projects!$B$43*(Assumptions!$B$10+Assumptions!$B$11+Assumptions!$B$12)/Projects!$D$43*0.95,0)-IF(AND(Projects!$G$43="Yes",BK$3=Projects!$C$43+Projects!$D$43-1),Projects!$B$43*(Assumptions!$B$10+Assumptions!$B$11+Assumptions!$B$12)*0.05,0)</f>
        <v>0</v>
      </c>
      <c r="BL52" s="30" t="n">
        <f aca="false">IF(AND(Projects!$G$43="Yes",BL$3&gt;=Projects!$C$43,BL$3&lt;Projects!$C$43+Projects!$D$43),Projects!$B$43*INDEX(Curves!$B$4:$AR$4,1,BL$3-Projects!$C$43+1),0)-IF(AND(Projects!$G$43="Yes",BL$3&gt;=Projects!$C$43,BL$3&lt;Projects!$C$43+Projects!$D$43),Projects!$B$43*(Assumptions!$B$10+Assumptions!$B$11+Assumptions!$B$12)/Projects!$D$43*0.95,0)-IF(AND(Projects!$G$43="Yes",BL$3=Projects!$C$43+Projects!$D$43-1),Projects!$B$43*(Assumptions!$B$10+Assumptions!$B$11+Assumptions!$B$12)*0.05,0)</f>
        <v>0</v>
      </c>
      <c r="BM52" s="30" t="n">
        <f aca="false">IF(AND(Projects!$G$43="Yes",BM$3&gt;=Projects!$C$43,BM$3&lt;Projects!$C$43+Projects!$D$43),Projects!$B$43*INDEX(Curves!$B$4:$AR$4,1,BM$3-Projects!$C$43+1),0)-IF(AND(Projects!$G$43="Yes",BM$3&gt;=Projects!$C$43,BM$3&lt;Projects!$C$43+Projects!$D$43),Projects!$B$43*(Assumptions!$B$10+Assumptions!$B$11+Assumptions!$B$12)/Projects!$D$43*0.95,0)-IF(AND(Projects!$G$43="Yes",BM$3=Projects!$C$43+Projects!$D$43-1),Projects!$B$43*(Assumptions!$B$10+Assumptions!$B$11+Assumptions!$B$12)*0.05,0)</f>
        <v>0</v>
      </c>
      <c r="BN52" s="30" t="n">
        <f aca="false">IF(AND(Projects!$G$43="Yes",BN$3&gt;=Projects!$C$43,BN$3&lt;Projects!$C$43+Projects!$D$43),Projects!$B$43*INDEX(Curves!$B$4:$AR$4,1,BN$3-Projects!$C$43+1),0)-IF(AND(Projects!$G$43="Yes",BN$3&gt;=Projects!$C$43,BN$3&lt;Projects!$C$43+Projects!$D$43),Projects!$B$43*(Assumptions!$B$10+Assumptions!$B$11+Assumptions!$B$12)/Projects!$D$43*0.95,0)-IF(AND(Projects!$G$43="Yes",BN$3=Projects!$C$43+Projects!$D$43-1),Projects!$B$43*(Assumptions!$B$10+Assumptions!$B$11+Assumptions!$B$12)*0.05,0)</f>
        <v>0</v>
      </c>
      <c r="BO52" s="30" t="n">
        <f aca="false">IF(AND(Projects!$G$43="Yes",BO$3&gt;=Projects!$C$43,BO$3&lt;Projects!$C$43+Projects!$D$43),Projects!$B$43*INDEX(Curves!$B$4:$AR$4,1,BO$3-Projects!$C$43+1),0)-IF(AND(Projects!$G$43="Yes",BO$3&gt;=Projects!$C$43,BO$3&lt;Projects!$C$43+Projects!$D$43),Projects!$B$43*(Assumptions!$B$10+Assumptions!$B$11+Assumptions!$B$12)/Projects!$D$43*0.95,0)-IF(AND(Projects!$G$43="Yes",BO$3=Projects!$C$43+Projects!$D$43-1),Projects!$B$43*(Assumptions!$B$10+Assumptions!$B$11+Assumptions!$B$12)*0.05,0)</f>
        <v>0</v>
      </c>
      <c r="BP52" s="30" t="n">
        <f aca="false">IF(AND(Projects!$G$43="Yes",BP$3&gt;=Projects!$C$43,BP$3&lt;Projects!$C$43+Projects!$D$43),Projects!$B$43*INDEX(Curves!$B$4:$AR$4,1,BP$3-Projects!$C$43+1),0)-IF(AND(Projects!$G$43="Yes",BP$3&gt;=Projects!$C$43,BP$3&lt;Projects!$C$43+Projects!$D$43),Projects!$B$43*(Assumptions!$B$10+Assumptions!$B$11+Assumptions!$B$12)/Projects!$D$43*0.95,0)-IF(AND(Projects!$G$43="Yes",BP$3=Projects!$C$43+Projects!$D$43-1),Projects!$B$43*(Assumptions!$B$10+Assumptions!$B$11+Assumptions!$B$12)*0.05,0)</f>
        <v>0</v>
      </c>
      <c r="BQ52" s="30" t="n">
        <f aca="false">IF(AND(Projects!$G$43="Yes",BQ$3&gt;=Projects!$C$43,BQ$3&lt;Projects!$C$43+Projects!$D$43),Projects!$B$43*INDEX(Curves!$B$4:$AR$4,1,BQ$3-Projects!$C$43+1),0)-IF(AND(Projects!$G$43="Yes",BQ$3&gt;=Projects!$C$43,BQ$3&lt;Projects!$C$43+Projects!$D$43),Projects!$B$43*(Assumptions!$B$10+Assumptions!$B$11+Assumptions!$B$12)/Projects!$D$43*0.95,0)-IF(AND(Projects!$G$43="Yes",BQ$3=Projects!$C$43+Projects!$D$43-1),Projects!$B$43*(Assumptions!$B$10+Assumptions!$B$11+Assumptions!$B$12)*0.05,0)</f>
        <v>0</v>
      </c>
      <c r="BR52" s="30" t="n">
        <f aca="false">IF(AND(Projects!$G$43="Yes",BR$3&gt;=Projects!$C$43,BR$3&lt;Projects!$C$43+Projects!$D$43),Projects!$B$43*INDEX(Curves!$B$4:$AR$4,1,BR$3-Projects!$C$43+1),0)-IF(AND(Projects!$G$43="Yes",BR$3&gt;=Projects!$C$43,BR$3&lt;Projects!$C$43+Projects!$D$43),Projects!$B$43*(Assumptions!$B$10+Assumptions!$B$11+Assumptions!$B$12)/Projects!$D$43*0.95,0)-IF(AND(Projects!$G$43="Yes",BR$3=Projects!$C$43+Projects!$D$43-1),Projects!$B$43*(Assumptions!$B$10+Assumptions!$B$11+Assumptions!$B$12)*0.05,0)</f>
        <v>0</v>
      </c>
      <c r="BS52" s="30" t="n">
        <f aca="false">IF(AND(Projects!$G$43="Yes",BS$3&gt;=Projects!$C$43,BS$3&lt;Projects!$C$43+Projects!$D$43),Projects!$B$43*INDEX(Curves!$B$4:$AR$4,1,BS$3-Projects!$C$43+1),0)-IF(AND(Projects!$G$43="Yes",BS$3&gt;=Projects!$C$43,BS$3&lt;Projects!$C$43+Projects!$D$43),Projects!$B$43*(Assumptions!$B$10+Assumptions!$B$11+Assumptions!$B$12)/Projects!$D$43*0.95,0)-IF(AND(Projects!$G$43="Yes",BS$3=Projects!$C$43+Projects!$D$43-1),Projects!$B$43*(Assumptions!$B$10+Assumptions!$B$11+Assumptions!$B$12)*0.05,0)</f>
        <v>0</v>
      </c>
      <c r="BT52" s="30" t="n">
        <f aca="false">IF(AND(Projects!$G$43="Yes",BT$3&gt;=Projects!$C$43,BT$3&lt;Projects!$C$43+Projects!$D$43),Projects!$B$43*INDEX(Curves!$B$4:$AR$4,1,BT$3-Projects!$C$43+1),0)-IF(AND(Projects!$G$43="Yes",BT$3&gt;=Projects!$C$43,BT$3&lt;Projects!$C$43+Projects!$D$43),Projects!$B$43*(Assumptions!$B$10+Assumptions!$B$11+Assumptions!$B$12)/Projects!$D$43*0.95,0)-IF(AND(Projects!$G$43="Yes",BT$3=Projects!$C$43+Projects!$D$43-1),Projects!$B$43*(Assumptions!$B$10+Assumptions!$B$11+Assumptions!$B$12)*0.05,0)</f>
        <v>0</v>
      </c>
      <c r="BU52" s="30" t="n">
        <f aca="false">IF(AND(Projects!$G$43="Yes",BU$3&gt;=Projects!$C$43,BU$3&lt;Projects!$C$43+Projects!$D$43),Projects!$B$43*INDEX(Curves!$B$4:$AR$4,1,BU$3-Projects!$C$43+1),0)-IF(AND(Projects!$G$43="Yes",BU$3&gt;=Projects!$C$43,BU$3&lt;Projects!$C$43+Projects!$D$43),Projects!$B$43*(Assumptions!$B$10+Assumptions!$B$11+Assumptions!$B$12)/Projects!$D$43*0.95,0)-IF(AND(Projects!$G$43="Yes",BU$3=Projects!$C$43+Projects!$D$43-1),Projects!$B$43*(Assumptions!$B$10+Assumptions!$B$11+Assumptions!$B$12)*0.05,0)</f>
        <v>0</v>
      </c>
      <c r="BV52" s="30" t="n">
        <f aca="false">IF(AND(Projects!$G$43="Yes",BV$3&gt;=Projects!$C$43,BV$3&lt;Projects!$C$43+Projects!$D$43),Projects!$B$43*INDEX(Curves!$B$4:$AR$4,1,BV$3-Projects!$C$43+1),0)-IF(AND(Projects!$G$43="Yes",BV$3&gt;=Projects!$C$43,BV$3&lt;Projects!$C$43+Projects!$D$43),Projects!$B$43*(Assumptions!$B$10+Assumptions!$B$11+Assumptions!$B$12)/Projects!$D$43*0.95,0)-IF(AND(Projects!$G$43="Yes",BV$3=Projects!$C$43+Projects!$D$43-1),Projects!$B$43*(Assumptions!$B$10+Assumptions!$B$11+Assumptions!$B$12)*0.05,0)</f>
        <v>0</v>
      </c>
      <c r="BW52" s="30" t="n">
        <f aca="false">IF(AND(Projects!$G$43="Yes",BW$3&gt;=Projects!$C$43,BW$3&lt;Projects!$C$43+Projects!$D$43),Projects!$B$43*INDEX(Curves!$B$4:$AR$4,1,BW$3-Projects!$C$43+1),0)-IF(AND(Projects!$G$43="Yes",BW$3&gt;=Projects!$C$43,BW$3&lt;Projects!$C$43+Projects!$D$43),Projects!$B$43*(Assumptions!$B$10+Assumptions!$B$11+Assumptions!$B$12)/Projects!$D$43*0.95,0)-IF(AND(Projects!$G$43="Yes",BW$3=Projects!$C$43+Projects!$D$43-1),Projects!$B$43*(Assumptions!$B$10+Assumptions!$B$11+Assumptions!$B$12)*0.05,0)</f>
        <v>0</v>
      </c>
      <c r="BX52" s="30" t="n">
        <f aca="false">IF(AND(Projects!$G$43="Yes",BX$3&gt;=Projects!$C$43,BX$3&lt;Projects!$C$43+Projects!$D$43),Projects!$B$43*INDEX(Curves!$B$4:$AR$4,1,BX$3-Projects!$C$43+1),0)-IF(AND(Projects!$G$43="Yes",BX$3&gt;=Projects!$C$43,BX$3&lt;Projects!$C$43+Projects!$D$43),Projects!$B$43*(Assumptions!$B$10+Assumptions!$B$11+Assumptions!$B$12)/Projects!$D$43*0.95,0)-IF(AND(Projects!$G$43="Yes",BX$3=Projects!$C$43+Projects!$D$43-1),Projects!$B$43*(Assumptions!$B$10+Assumptions!$B$11+Assumptions!$B$12)*0.05,0)</f>
        <v>0</v>
      </c>
      <c r="BY52" s="30" t="n">
        <f aca="false">IF(AND(Projects!$G$43="Yes",BY$3&gt;=Projects!$C$43,BY$3&lt;Projects!$C$43+Projects!$D$43),Projects!$B$43*INDEX(Curves!$B$4:$AR$4,1,BY$3-Projects!$C$43+1),0)-IF(AND(Projects!$G$43="Yes",BY$3&gt;=Projects!$C$43,BY$3&lt;Projects!$C$43+Projects!$D$43),Projects!$B$43*(Assumptions!$B$10+Assumptions!$B$11+Assumptions!$B$12)/Projects!$D$43*0.95,0)-IF(AND(Projects!$G$43="Yes",BY$3=Projects!$C$43+Projects!$D$43-1),Projects!$B$43*(Assumptions!$B$10+Assumptions!$B$11+Assumptions!$B$12)*0.05,0)</f>
        <v>0</v>
      </c>
      <c r="BZ52" s="30" t="n">
        <f aca="false">IF(AND(Projects!$G$43="Yes",BZ$3&gt;=Projects!$C$43,BZ$3&lt;Projects!$C$43+Projects!$D$43),Projects!$B$43*INDEX(Curves!$B$4:$AR$4,1,BZ$3-Projects!$C$43+1),0)-IF(AND(Projects!$G$43="Yes",BZ$3&gt;=Projects!$C$43,BZ$3&lt;Projects!$C$43+Projects!$D$43),Projects!$B$43*(Assumptions!$B$10+Assumptions!$B$11+Assumptions!$B$12)/Projects!$D$43*0.95,0)-IF(AND(Projects!$G$43="Yes",BZ$3=Projects!$C$43+Projects!$D$43-1),Projects!$B$43*(Assumptions!$B$10+Assumptions!$B$11+Assumptions!$B$12)*0.05,0)</f>
        <v>0</v>
      </c>
      <c r="CA52" s="30" t="n">
        <f aca="false">IF(AND(Projects!$G$43="Yes",CA$3&gt;=Projects!$C$43,CA$3&lt;Projects!$C$43+Projects!$D$43),Projects!$B$43*INDEX(Curves!$B$4:$AR$4,1,CA$3-Projects!$C$43+1),0)-IF(AND(Projects!$G$43="Yes",CA$3&gt;=Projects!$C$43,CA$3&lt;Projects!$C$43+Projects!$D$43),Projects!$B$43*(Assumptions!$B$10+Assumptions!$B$11+Assumptions!$B$12)/Projects!$D$43*0.95,0)-IF(AND(Projects!$G$43="Yes",CA$3=Projects!$C$43+Projects!$D$43-1),Projects!$B$43*(Assumptions!$B$10+Assumptions!$B$11+Assumptions!$B$12)*0.05,0)</f>
        <v>0</v>
      </c>
      <c r="CB52" s="30" t="n">
        <f aca="false">IF(AND(Projects!$G$43="Yes",CB$3&gt;=Projects!$C$43,CB$3&lt;Projects!$C$43+Projects!$D$43),Projects!$B$43*INDEX(Curves!$B$4:$AR$4,1,CB$3-Projects!$C$43+1),0)-IF(AND(Projects!$G$43="Yes",CB$3&gt;=Projects!$C$43,CB$3&lt;Projects!$C$43+Projects!$D$43),Projects!$B$43*(Assumptions!$B$10+Assumptions!$B$11+Assumptions!$B$12)/Projects!$D$43*0.95,0)-IF(AND(Projects!$G$43="Yes",CB$3=Projects!$C$43+Projects!$D$43-1),Projects!$B$43*(Assumptions!$B$10+Assumptions!$B$11+Assumptions!$B$12)*0.05,0)</f>
        <v>0</v>
      </c>
      <c r="CC52" s="30" t="n">
        <f aca="false">IF(AND(Projects!$G$43="Yes",CC$3&gt;=Projects!$C$43,CC$3&lt;Projects!$C$43+Projects!$D$43),Projects!$B$43*INDEX(Curves!$B$4:$AR$4,1,CC$3-Projects!$C$43+1),0)-IF(AND(Projects!$G$43="Yes",CC$3&gt;=Projects!$C$43,CC$3&lt;Projects!$C$43+Projects!$D$43),Projects!$B$43*(Assumptions!$B$10+Assumptions!$B$11+Assumptions!$B$12)/Projects!$D$43*0.95,0)-IF(AND(Projects!$G$43="Yes",CC$3=Projects!$C$43+Projects!$D$43-1),Projects!$B$43*(Assumptions!$B$10+Assumptions!$B$11+Assumptions!$B$12)*0.05,0)</f>
        <v>0</v>
      </c>
      <c r="CD52" s="30" t="n">
        <f aca="false">IF(AND(Projects!$G$43="Yes",CD$3&gt;=Projects!$C$43,CD$3&lt;Projects!$C$43+Projects!$D$43),Projects!$B$43*INDEX(Curves!$B$4:$AR$4,1,CD$3-Projects!$C$43+1),0)-IF(AND(Projects!$G$43="Yes",CD$3&gt;=Projects!$C$43,CD$3&lt;Projects!$C$43+Projects!$D$43),Projects!$B$43*(Assumptions!$B$10+Assumptions!$B$11+Assumptions!$B$12)/Projects!$D$43*0.95,0)-IF(AND(Projects!$G$43="Yes",CD$3=Projects!$C$43+Projects!$D$43-1),Projects!$B$43*(Assumptions!$B$10+Assumptions!$B$11+Assumptions!$B$12)*0.05,0)</f>
        <v>0</v>
      </c>
      <c r="CE52" s="30" t="n">
        <f aca="false">IF(AND(Projects!$G$43="Yes",CE$3&gt;=Projects!$C$43,CE$3&lt;Projects!$C$43+Projects!$D$43),Projects!$B$43*INDEX(Curves!$B$4:$AR$4,1,CE$3-Projects!$C$43+1),0)-IF(AND(Projects!$G$43="Yes",CE$3&gt;=Projects!$C$43,CE$3&lt;Projects!$C$43+Projects!$D$43),Projects!$B$43*(Assumptions!$B$10+Assumptions!$B$11+Assumptions!$B$12)/Projects!$D$43*0.95,0)-IF(AND(Projects!$G$43="Yes",CE$3=Projects!$C$43+Projects!$D$43-1),Projects!$B$43*(Assumptions!$B$10+Assumptions!$B$11+Assumptions!$B$12)*0.05,0)</f>
        <v>0</v>
      </c>
      <c r="CF52" s="30" t="n">
        <f aca="false">IF(AND(Projects!$G$43="Yes",CF$3&gt;=Projects!$C$43,CF$3&lt;Projects!$C$43+Projects!$D$43),Projects!$B$43*INDEX(Curves!$B$4:$AR$4,1,CF$3-Projects!$C$43+1),0)-IF(AND(Projects!$G$43="Yes",CF$3&gt;=Projects!$C$43,CF$3&lt;Projects!$C$43+Projects!$D$43),Projects!$B$43*(Assumptions!$B$10+Assumptions!$B$11+Assumptions!$B$12)/Projects!$D$43*0.95,0)-IF(AND(Projects!$G$43="Yes",CF$3=Projects!$C$43+Projects!$D$43-1),Projects!$B$43*(Assumptions!$B$10+Assumptions!$B$11+Assumptions!$B$12)*0.05,0)</f>
        <v>0</v>
      </c>
      <c r="CG52" s="30" t="n">
        <f aca="false">IF(AND(Projects!$G$43="Yes",CG$3&gt;=Projects!$C$43,CG$3&lt;Projects!$C$43+Projects!$D$43),Projects!$B$43*INDEX(Curves!$B$4:$AR$4,1,CG$3-Projects!$C$43+1),0)-IF(AND(Projects!$G$43="Yes",CG$3&gt;=Projects!$C$43,CG$3&lt;Projects!$C$43+Projects!$D$43),Projects!$B$43*(Assumptions!$B$10+Assumptions!$B$11+Assumptions!$B$12)/Projects!$D$43*0.95,0)-IF(AND(Projects!$G$43="Yes",CG$3=Projects!$C$43+Projects!$D$43-1),Projects!$B$43*(Assumptions!$B$10+Assumptions!$B$11+Assumptions!$B$12)*0.05,0)</f>
        <v>0</v>
      </c>
      <c r="CH52" s="30" t="n">
        <f aca="false">IF(AND(Projects!$G$43="Yes",CH$3&gt;=Projects!$C$43,CH$3&lt;Projects!$C$43+Projects!$D$43),Projects!$B$43*INDEX(Curves!$B$4:$AR$4,1,CH$3-Projects!$C$43+1),0)-IF(AND(Projects!$G$43="Yes",CH$3&gt;=Projects!$C$43,CH$3&lt;Projects!$C$43+Projects!$D$43),Projects!$B$43*(Assumptions!$B$10+Assumptions!$B$11+Assumptions!$B$12)/Projects!$D$43*0.95,0)-IF(AND(Projects!$G$43="Yes",CH$3=Projects!$C$43+Projects!$D$43-1),Projects!$B$43*(Assumptions!$B$10+Assumptions!$B$11+Assumptions!$B$12)*0.05,0)</f>
        <v>0</v>
      </c>
      <c r="CI52" s="30" t="n">
        <f aca="false">IF(AND(Projects!$G$43="Yes",CI$3&gt;=Projects!$C$43,CI$3&lt;Projects!$C$43+Projects!$D$43),Projects!$B$43*INDEX(Curves!$B$4:$AR$4,1,CI$3-Projects!$C$43+1),0)-IF(AND(Projects!$G$43="Yes",CI$3&gt;=Projects!$C$43,CI$3&lt;Projects!$C$43+Projects!$D$43),Projects!$B$43*(Assumptions!$B$10+Assumptions!$B$11+Assumptions!$B$12)/Projects!$D$43*0.95,0)-IF(AND(Projects!$G$43="Yes",CI$3=Projects!$C$43+Projects!$D$43-1),Projects!$B$43*(Assumptions!$B$10+Assumptions!$B$11+Assumptions!$B$12)*0.05,0)</f>
        <v>0</v>
      </c>
      <c r="CJ52" s="30" t="n">
        <f aca="false">IF(AND(Projects!$G$43="Yes",CJ$3&gt;=Projects!$C$43,CJ$3&lt;Projects!$C$43+Projects!$D$43),Projects!$B$43*INDEX(Curves!$B$4:$AR$4,1,CJ$3-Projects!$C$43+1),0)-IF(AND(Projects!$G$43="Yes",CJ$3&gt;=Projects!$C$43,CJ$3&lt;Projects!$C$43+Projects!$D$43),Projects!$B$43*(Assumptions!$B$10+Assumptions!$B$11+Assumptions!$B$12)/Projects!$D$43*0.95,0)-IF(AND(Projects!$G$43="Yes",CJ$3=Projects!$C$43+Projects!$D$43-1),Projects!$B$43*(Assumptions!$B$10+Assumptions!$B$11+Assumptions!$B$12)*0.05,0)</f>
        <v>0</v>
      </c>
      <c r="CK52" s="30" t="n">
        <f aca="false">IF(AND(Projects!$G$43="Yes",CK$3&gt;=Projects!$C$43,CK$3&lt;Projects!$C$43+Projects!$D$43),Projects!$B$43*INDEX(Curves!$B$4:$AR$4,1,CK$3-Projects!$C$43+1),0)-IF(AND(Projects!$G$43="Yes",CK$3&gt;=Projects!$C$43,CK$3&lt;Projects!$C$43+Projects!$D$43),Projects!$B$43*(Assumptions!$B$10+Assumptions!$B$11+Assumptions!$B$12)/Projects!$D$43*0.95,0)-IF(AND(Projects!$G$43="Yes",CK$3=Projects!$C$43+Projects!$D$43-1),Projects!$B$43*(Assumptions!$B$10+Assumptions!$B$11+Assumptions!$B$12)*0.05,0)</f>
        <v>0</v>
      </c>
      <c r="CL52" s="30" t="n">
        <f aca="false">IF(AND(Projects!$G$43="Yes",CL$3&gt;=Projects!$C$43,CL$3&lt;Projects!$C$43+Projects!$D$43),Projects!$B$43*INDEX(Curves!$B$4:$AR$4,1,CL$3-Projects!$C$43+1),0)-IF(AND(Projects!$G$43="Yes",CL$3&gt;=Projects!$C$43,CL$3&lt;Projects!$C$43+Projects!$D$43),Projects!$B$43*(Assumptions!$B$10+Assumptions!$B$11+Assumptions!$B$12)/Projects!$D$43*0.95,0)-IF(AND(Projects!$G$43="Yes",CL$3=Projects!$C$43+Projects!$D$43-1),Projects!$B$43*(Assumptions!$B$10+Assumptions!$B$11+Assumptions!$B$12)*0.05,0)</f>
        <v>0</v>
      </c>
      <c r="CM52" s="30" t="n">
        <f aca="false">IF(AND(Projects!$G$43="Yes",CM$3&gt;=Projects!$C$43,CM$3&lt;Projects!$C$43+Projects!$D$43),Projects!$B$43*INDEX(Curves!$B$4:$AR$4,1,CM$3-Projects!$C$43+1),0)-IF(AND(Projects!$G$43="Yes",CM$3&gt;=Projects!$C$43,CM$3&lt;Projects!$C$43+Projects!$D$43),Projects!$B$43*(Assumptions!$B$10+Assumptions!$B$11+Assumptions!$B$12)/Projects!$D$43*0.95,0)-IF(AND(Projects!$G$43="Yes",CM$3=Projects!$C$43+Projects!$D$43-1),Projects!$B$43*(Assumptions!$B$10+Assumptions!$B$11+Assumptions!$B$12)*0.05,0)</f>
        <v>0</v>
      </c>
      <c r="CN52" s="30" t="n">
        <f aca="false">IF(AND(Projects!$G$43="Yes",CN$3&gt;=Projects!$C$43,CN$3&lt;Projects!$C$43+Projects!$D$43),Projects!$B$43*INDEX(Curves!$B$4:$AR$4,1,CN$3-Projects!$C$43+1),0)-IF(AND(Projects!$G$43="Yes",CN$3&gt;=Projects!$C$43,CN$3&lt;Projects!$C$43+Projects!$D$43),Projects!$B$43*(Assumptions!$B$10+Assumptions!$B$11+Assumptions!$B$12)/Projects!$D$43*0.95,0)-IF(AND(Projects!$G$43="Yes",CN$3=Projects!$C$43+Projects!$D$43-1),Projects!$B$43*(Assumptions!$B$10+Assumptions!$B$11+Assumptions!$B$12)*0.05,0)</f>
        <v>0</v>
      </c>
      <c r="CO52" s="30" t="n">
        <f aca="false">IF(AND(Projects!$G$43="Yes",CO$3&gt;=Projects!$C$43,CO$3&lt;Projects!$C$43+Projects!$D$43),Projects!$B$43*INDEX(Curves!$B$4:$AR$4,1,CO$3-Projects!$C$43+1),0)-IF(AND(Projects!$G$43="Yes",CO$3&gt;=Projects!$C$43,CO$3&lt;Projects!$C$43+Projects!$D$43),Projects!$B$43*(Assumptions!$B$10+Assumptions!$B$11+Assumptions!$B$12)/Projects!$D$43*0.95,0)-IF(AND(Projects!$G$43="Yes",CO$3=Projects!$C$43+Projects!$D$43-1),Projects!$B$43*(Assumptions!$B$10+Assumptions!$B$11+Assumptions!$B$12)*0.05,0)</f>
        <v>0</v>
      </c>
      <c r="CP52" s="30" t="n">
        <f aca="false">IF(AND(Projects!$G$43="Yes",CP$3&gt;=Projects!$C$43,CP$3&lt;Projects!$C$43+Projects!$D$43),Projects!$B$43*INDEX(Curves!$B$4:$AR$4,1,CP$3-Projects!$C$43+1),0)-IF(AND(Projects!$G$43="Yes",CP$3&gt;=Projects!$C$43,CP$3&lt;Projects!$C$43+Projects!$D$43),Projects!$B$43*(Assumptions!$B$10+Assumptions!$B$11+Assumptions!$B$12)/Projects!$D$43*0.95,0)-IF(AND(Projects!$G$43="Yes",CP$3=Projects!$C$43+Projects!$D$43-1),Projects!$B$43*(Assumptions!$B$10+Assumptions!$B$11+Assumptions!$B$12)*0.05,0)</f>
        <v>0</v>
      </c>
      <c r="CQ52" s="30" t="n">
        <f aca="false">IF(AND(Projects!$G$43="Yes",CQ$3&gt;=Projects!$C$43,CQ$3&lt;Projects!$C$43+Projects!$D$43),Projects!$B$43*INDEX(Curves!$B$4:$AR$4,1,CQ$3-Projects!$C$43+1),0)-IF(AND(Projects!$G$43="Yes",CQ$3&gt;=Projects!$C$43,CQ$3&lt;Projects!$C$43+Projects!$D$43),Projects!$B$43*(Assumptions!$B$10+Assumptions!$B$11+Assumptions!$B$12)/Projects!$D$43*0.95,0)-IF(AND(Projects!$G$43="Yes",CQ$3=Projects!$C$43+Projects!$D$43-1),Projects!$B$43*(Assumptions!$B$10+Assumptions!$B$11+Assumptions!$B$12)*0.05,0)</f>
        <v>0</v>
      </c>
      <c r="CR52" s="30" t="n">
        <f aca="false">IF(AND(Projects!$G$43="Yes",CR$3&gt;=Projects!$C$43,CR$3&lt;Projects!$C$43+Projects!$D$43),Projects!$B$43*INDEX(Curves!$B$4:$AR$4,1,CR$3-Projects!$C$43+1),0)-IF(AND(Projects!$G$43="Yes",CR$3&gt;=Projects!$C$43,CR$3&lt;Projects!$C$43+Projects!$D$43),Projects!$B$43*(Assumptions!$B$10+Assumptions!$B$11+Assumptions!$B$12)/Projects!$D$43*0.95,0)-IF(AND(Projects!$G$43="Yes",CR$3=Projects!$C$43+Projects!$D$43-1),Projects!$B$43*(Assumptions!$B$10+Assumptions!$B$11+Assumptions!$B$12)*0.05,0)</f>
        <v>0</v>
      </c>
      <c r="CS52" s="30" t="n">
        <f aca="false">IF(AND(Projects!$G$43="Yes",CS$3&gt;=Projects!$C$43,CS$3&lt;Projects!$C$43+Projects!$D$43),Projects!$B$43*INDEX(Curves!$B$4:$AR$4,1,CS$3-Projects!$C$43+1),0)-IF(AND(Projects!$G$43="Yes",CS$3&gt;=Projects!$C$43,CS$3&lt;Projects!$C$43+Projects!$D$43),Projects!$B$43*(Assumptions!$B$10+Assumptions!$B$11+Assumptions!$B$12)/Projects!$D$43*0.95,0)-IF(AND(Projects!$G$43="Yes",CS$3=Projects!$C$43+Projects!$D$43-1),Projects!$B$43*(Assumptions!$B$10+Assumptions!$B$11+Assumptions!$B$12)*0.05,0)</f>
        <v>0</v>
      </c>
      <c r="CT52" s="30" t="n">
        <f aca="false">IF(AND(Projects!$G$43="Yes",CT$3&gt;=Projects!$C$43,CT$3&lt;Projects!$C$43+Projects!$D$43),Projects!$B$43*INDEX(Curves!$B$4:$AR$4,1,CT$3-Projects!$C$43+1),0)-IF(AND(Projects!$G$43="Yes",CT$3&gt;=Projects!$C$43,CT$3&lt;Projects!$C$43+Projects!$D$43),Projects!$B$43*(Assumptions!$B$10+Assumptions!$B$11+Assumptions!$B$12)/Projects!$D$43*0.95,0)-IF(AND(Projects!$G$43="Yes",CT$3=Projects!$C$43+Projects!$D$43-1),Projects!$B$43*(Assumptions!$B$10+Assumptions!$B$11+Assumptions!$B$12)*0.05,0)</f>
        <v>0</v>
      </c>
      <c r="CU52" s="30" t="n">
        <f aca="false">IF(AND(Projects!$G$43="Yes",CU$3&gt;=Projects!$C$43,CU$3&lt;Projects!$C$43+Projects!$D$43),Projects!$B$43*INDEX(Curves!$B$4:$AR$4,1,CU$3-Projects!$C$43+1),0)-IF(AND(Projects!$G$43="Yes",CU$3&gt;=Projects!$C$43,CU$3&lt;Projects!$C$43+Projects!$D$43),Projects!$B$43*(Assumptions!$B$10+Assumptions!$B$11+Assumptions!$B$12)/Projects!$D$43*0.95,0)-IF(AND(Projects!$G$43="Yes",CU$3=Projects!$C$43+Projects!$D$43-1),Projects!$B$43*(Assumptions!$B$10+Assumptions!$B$11+Assumptions!$B$12)*0.05,0)</f>
        <v>0</v>
      </c>
      <c r="CV52" s="30" t="n">
        <f aca="false">IF(AND(Projects!$G$43="Yes",CV$3&gt;=Projects!$C$43,CV$3&lt;Projects!$C$43+Projects!$D$43),Projects!$B$43*INDEX(Curves!$B$4:$AR$4,1,CV$3-Projects!$C$43+1),0)-IF(AND(Projects!$G$43="Yes",CV$3&gt;=Projects!$C$43,CV$3&lt;Projects!$C$43+Projects!$D$43),Projects!$B$43*(Assumptions!$B$10+Assumptions!$B$11+Assumptions!$B$12)/Projects!$D$43*0.95,0)-IF(AND(Projects!$G$43="Yes",CV$3=Projects!$C$43+Projects!$D$43-1),Projects!$B$43*(Assumptions!$B$10+Assumptions!$B$11+Assumptions!$B$12)*0.05,0)</f>
        <v>0</v>
      </c>
      <c r="CW52" s="30" t="n">
        <f aca="false">IF(AND(Projects!$G$43="Yes",CW$3&gt;=Projects!$C$43,CW$3&lt;Projects!$C$43+Projects!$D$43),Projects!$B$43*INDEX(Curves!$B$4:$AR$4,1,CW$3-Projects!$C$43+1),0)-IF(AND(Projects!$G$43="Yes",CW$3&gt;=Projects!$C$43,CW$3&lt;Projects!$C$43+Projects!$D$43),Projects!$B$43*(Assumptions!$B$10+Assumptions!$B$11+Assumptions!$B$12)/Projects!$D$43*0.95,0)-IF(AND(Projects!$G$43="Yes",CW$3=Projects!$C$43+Projects!$D$43-1),Projects!$B$43*(Assumptions!$B$10+Assumptions!$B$11+Assumptions!$B$12)*0.05,0)</f>
        <v>0</v>
      </c>
      <c r="CX52" s="30" t="n">
        <f aca="false">IF(AND(Projects!$G$43="Yes",CX$3&gt;=Projects!$C$43,CX$3&lt;Projects!$C$43+Projects!$D$43),Projects!$B$43*INDEX(Curves!$B$4:$AR$4,1,CX$3-Projects!$C$43+1),0)-IF(AND(Projects!$G$43="Yes",CX$3&gt;=Projects!$C$43,CX$3&lt;Projects!$C$43+Projects!$D$43),Projects!$B$43*(Assumptions!$B$10+Assumptions!$B$11+Assumptions!$B$12)/Projects!$D$43*0.95,0)-IF(AND(Projects!$G$43="Yes",CX$3=Projects!$C$43+Projects!$D$43-1),Projects!$B$43*(Assumptions!$B$10+Assumptions!$B$11+Assumptions!$B$12)*0.05,0)</f>
        <v>0</v>
      </c>
      <c r="CY52" s="30" t="n">
        <f aca="false">IF(AND(Projects!$G$43="Yes",CY$3&gt;=Projects!$C$43,CY$3&lt;Projects!$C$43+Projects!$D$43),Projects!$B$43*INDEX(Curves!$B$4:$AR$4,1,CY$3-Projects!$C$43+1),0)-IF(AND(Projects!$G$43="Yes",CY$3&gt;=Projects!$C$43,CY$3&lt;Projects!$C$43+Projects!$D$43),Projects!$B$43*(Assumptions!$B$10+Assumptions!$B$11+Assumptions!$B$12)/Projects!$D$43*0.95,0)-IF(AND(Projects!$G$43="Yes",CY$3=Projects!$C$43+Projects!$D$43-1),Projects!$B$43*(Assumptions!$B$10+Assumptions!$B$11+Assumptions!$B$12)*0.05,0)</f>
        <v>0</v>
      </c>
      <c r="CZ52" s="30" t="n">
        <f aca="false">IF(AND(Projects!$G$43="Yes",CZ$3&gt;=Projects!$C$43,CZ$3&lt;Projects!$C$43+Projects!$D$43),Projects!$B$43*INDEX(Curves!$B$4:$AR$4,1,CZ$3-Projects!$C$43+1),0)-IF(AND(Projects!$G$43="Yes",CZ$3&gt;=Projects!$C$43,CZ$3&lt;Projects!$C$43+Projects!$D$43),Projects!$B$43*(Assumptions!$B$10+Assumptions!$B$11+Assumptions!$B$12)/Projects!$D$43*0.95,0)-IF(AND(Projects!$G$43="Yes",CZ$3=Projects!$C$43+Projects!$D$43-1),Projects!$B$43*(Assumptions!$B$10+Assumptions!$B$11+Assumptions!$B$12)*0.05,0)</f>
        <v>0</v>
      </c>
      <c r="DA52" s="30" t="n">
        <f aca="false">IF(AND(Projects!$G$43="Yes",DA$3&gt;=Projects!$C$43,DA$3&lt;Projects!$C$43+Projects!$D$43),Projects!$B$43*INDEX(Curves!$B$4:$AR$4,1,DA$3-Projects!$C$43+1),0)-IF(AND(Projects!$G$43="Yes",DA$3&gt;=Projects!$C$43,DA$3&lt;Projects!$C$43+Projects!$D$43),Projects!$B$43*(Assumptions!$B$10+Assumptions!$B$11+Assumptions!$B$12)/Projects!$D$43*0.95,0)-IF(AND(Projects!$G$43="Yes",DA$3=Projects!$C$43+Projects!$D$43-1),Projects!$B$43*(Assumptions!$B$10+Assumptions!$B$11+Assumptions!$B$12)*0.05,0)</f>
        <v>0</v>
      </c>
      <c r="DB52" s="30" t="n">
        <f aca="false">IF(AND(Projects!$G$43="Yes",DB$3&gt;=Projects!$C$43,DB$3&lt;Projects!$C$43+Projects!$D$43),Projects!$B$43*INDEX(Curves!$B$4:$AR$4,1,DB$3-Projects!$C$43+1),0)-IF(AND(Projects!$G$43="Yes",DB$3&gt;=Projects!$C$43,DB$3&lt;Projects!$C$43+Projects!$D$43),Projects!$B$43*(Assumptions!$B$10+Assumptions!$B$11+Assumptions!$B$12)/Projects!$D$43*0.95,0)-IF(AND(Projects!$G$43="Yes",DB$3=Projects!$C$43+Projects!$D$43-1),Projects!$B$43*(Assumptions!$B$10+Assumptions!$B$11+Assumptions!$B$12)*0.05,0)</f>
        <v>0</v>
      </c>
      <c r="DC52" s="30" t="n">
        <f aca="false">IF(AND(Projects!$G$43="Yes",DC$3&gt;=Projects!$C$43,DC$3&lt;Projects!$C$43+Projects!$D$43),Projects!$B$43*INDEX(Curves!$B$4:$AR$4,1,DC$3-Projects!$C$43+1),0)-IF(AND(Projects!$G$43="Yes",DC$3&gt;=Projects!$C$43,DC$3&lt;Projects!$C$43+Projects!$D$43),Projects!$B$43*(Assumptions!$B$10+Assumptions!$B$11+Assumptions!$B$12)/Projects!$D$43*0.95,0)-IF(AND(Projects!$G$43="Yes",DC$3=Projects!$C$43+Projects!$D$43-1),Projects!$B$43*(Assumptions!$B$10+Assumptions!$B$11+Assumptions!$B$12)*0.05,0)</f>
        <v>0</v>
      </c>
      <c r="DD52" s="30" t="n">
        <f aca="false">IF(AND(Projects!$G$43="Yes",DD$3&gt;=Projects!$C$43,DD$3&lt;Projects!$C$43+Projects!$D$43),Projects!$B$43*INDEX(Curves!$B$4:$AR$4,1,DD$3-Projects!$C$43+1),0)-IF(AND(Projects!$G$43="Yes",DD$3&gt;=Projects!$C$43,DD$3&lt;Projects!$C$43+Projects!$D$43),Projects!$B$43*(Assumptions!$B$10+Assumptions!$B$11+Assumptions!$B$12)/Projects!$D$43*0.95,0)-IF(AND(Projects!$G$43="Yes",DD$3=Projects!$C$43+Projects!$D$43-1),Projects!$B$43*(Assumptions!$B$10+Assumptions!$B$11+Assumptions!$B$12)*0.05,0)</f>
        <v>0</v>
      </c>
      <c r="DE52" s="30" t="n">
        <f aca="false">IF(AND(Projects!$G$43="Yes",DE$3&gt;=Projects!$C$43,DE$3&lt;Projects!$C$43+Projects!$D$43),Projects!$B$43*INDEX(Curves!$B$4:$AR$4,1,DE$3-Projects!$C$43+1),0)-IF(AND(Projects!$G$43="Yes",DE$3&gt;=Projects!$C$43,DE$3&lt;Projects!$C$43+Projects!$D$43),Projects!$B$43*(Assumptions!$B$10+Assumptions!$B$11+Assumptions!$B$12)/Projects!$D$43*0.95,0)-IF(AND(Projects!$G$43="Yes",DE$3=Projects!$C$43+Projects!$D$43-1),Projects!$B$43*(Assumptions!$B$10+Assumptions!$B$11+Assumptions!$B$12)*0.05,0)</f>
        <v>0</v>
      </c>
    </row>
    <row r="53" customFormat="false" ht="15" hidden="true" customHeight="true" outlineLevel="1" collapsed="false">
      <c r="A53" s="32" t="s">
        <v>47</v>
      </c>
      <c r="B53" s="30" t="n">
        <v>0</v>
      </c>
      <c r="C53" s="30" t="n">
        <v>0</v>
      </c>
      <c r="D53" s="30" t="n">
        <v>0</v>
      </c>
      <c r="E53" s="30" t="n">
        <v>0</v>
      </c>
      <c r="F53" s="30" t="n">
        <f aca="false">IF(AND(Projects!$G$44="Yes",F$3&gt;=Projects!$C$44,F$3&lt;Projects!$C$44+Projects!$D$44),Projects!$B$44*INDEX(Curves!$B$4:$AR$4,1,F$3-Projects!$C$44+1),0)-IF(AND(Projects!$G$44="Yes",F$3&gt;=Projects!$C$44,F$3&lt;Projects!$C$44+Projects!$D$44),Projects!$B$44*(Assumptions!$B$10+Assumptions!$B$11+Assumptions!$B$12)/Projects!$D$44*0.95,0)-IF(AND(Projects!$G$44="Yes",F$3=Projects!$C$44+Projects!$D$44-1),Projects!$B$44*(Assumptions!$B$10+Assumptions!$B$11+Assumptions!$B$12)*0.05,0)</f>
        <v>0</v>
      </c>
      <c r="G53" s="30" t="n">
        <f aca="false">IF(AND(Projects!$G$44="Yes",G$3&gt;=Projects!$C$44,G$3&lt;Projects!$C$44+Projects!$D$44),Projects!$B$44*INDEX(Curves!$B$4:$AR$4,1,G$3-Projects!$C$44+1),0)-IF(AND(Projects!$G$44="Yes",G$3&gt;=Projects!$C$44,G$3&lt;Projects!$C$44+Projects!$D$44),Projects!$B$44*(Assumptions!$B$10+Assumptions!$B$11+Assumptions!$B$12)/Projects!$D$44*0.95,0)-IF(AND(Projects!$G$44="Yes",G$3=Projects!$C$44+Projects!$D$44-1),Projects!$B$44*(Assumptions!$B$10+Assumptions!$B$11+Assumptions!$B$12)*0.05,0)</f>
        <v>0</v>
      </c>
      <c r="H53" s="30" t="n">
        <f aca="false">IF(AND(Projects!$G$44="Yes",H$3&gt;=Projects!$C$44,H$3&lt;Projects!$C$44+Projects!$D$44),Projects!$B$44*INDEX(Curves!$B$4:$AR$4,1,H$3-Projects!$C$44+1),0)-IF(AND(Projects!$G$44="Yes",H$3&gt;=Projects!$C$44,H$3&lt;Projects!$C$44+Projects!$D$44),Projects!$B$44*(Assumptions!$B$10+Assumptions!$B$11+Assumptions!$B$12)/Projects!$D$44*0.95,0)-IF(AND(Projects!$G$44="Yes",H$3=Projects!$C$44+Projects!$D$44-1),Projects!$B$44*(Assumptions!$B$10+Assumptions!$B$11+Assumptions!$B$12)*0.05,0)</f>
        <v>0</v>
      </c>
      <c r="I53" s="30" t="n">
        <f aca="false">IF(AND(Projects!$G$44="Yes",I$3&gt;=Projects!$C$44,I$3&lt;Projects!$C$44+Projects!$D$44),Projects!$B$44*INDEX(Curves!$B$4:$AR$4,1,I$3-Projects!$C$44+1),0)-IF(AND(Projects!$G$44="Yes",I$3&gt;=Projects!$C$44,I$3&lt;Projects!$C$44+Projects!$D$44),Projects!$B$44*(Assumptions!$B$10+Assumptions!$B$11+Assumptions!$B$12)/Projects!$D$44*0.95,0)-IF(AND(Projects!$G$44="Yes",I$3=Projects!$C$44+Projects!$D$44-1),Projects!$B$44*(Assumptions!$B$10+Assumptions!$B$11+Assumptions!$B$12)*0.05,0)</f>
        <v>0</v>
      </c>
      <c r="J53" s="30" t="n">
        <f aca="false">IF(AND(Projects!$G$44="Yes",J$3&gt;=Projects!$C$44,J$3&lt;Projects!$C$44+Projects!$D$44),Projects!$B$44*INDEX(Curves!$B$4:$AR$4,1,J$3-Projects!$C$44+1),0)-IF(AND(Projects!$G$44="Yes",J$3&gt;=Projects!$C$44,J$3&lt;Projects!$C$44+Projects!$D$44),Projects!$B$44*(Assumptions!$B$10+Assumptions!$B$11+Assumptions!$B$12)/Projects!$D$44*0.95,0)-IF(AND(Projects!$G$44="Yes",J$3=Projects!$C$44+Projects!$D$44-1),Projects!$B$44*(Assumptions!$B$10+Assumptions!$B$11+Assumptions!$B$12)*0.05,0)</f>
        <v>0</v>
      </c>
      <c r="K53" s="30" t="n">
        <f aca="false">IF(AND(Projects!$G$44="Yes",K$3&gt;=Projects!$C$44,K$3&lt;Projects!$C$44+Projects!$D$44),Projects!$B$44*INDEX(Curves!$B$4:$AR$4,1,K$3-Projects!$C$44+1),0)-IF(AND(Projects!$G$44="Yes",K$3&gt;=Projects!$C$44,K$3&lt;Projects!$C$44+Projects!$D$44),Projects!$B$44*(Assumptions!$B$10+Assumptions!$B$11+Assumptions!$B$12)/Projects!$D$44*0.95,0)-IF(AND(Projects!$G$44="Yes",K$3=Projects!$C$44+Projects!$D$44-1),Projects!$B$44*(Assumptions!$B$10+Assumptions!$B$11+Assumptions!$B$12)*0.05,0)</f>
        <v>0</v>
      </c>
      <c r="L53" s="30" t="n">
        <f aca="false">IF(AND(Projects!$G$44="Yes",L$3&gt;=Projects!$C$44,L$3&lt;Projects!$C$44+Projects!$D$44),Projects!$B$44*INDEX(Curves!$B$4:$AR$4,1,L$3-Projects!$C$44+1),0)-IF(AND(Projects!$G$44="Yes",L$3&gt;=Projects!$C$44,L$3&lt;Projects!$C$44+Projects!$D$44),Projects!$B$44*(Assumptions!$B$10+Assumptions!$B$11+Assumptions!$B$12)/Projects!$D$44*0.95,0)-IF(AND(Projects!$G$44="Yes",L$3=Projects!$C$44+Projects!$D$44-1),Projects!$B$44*(Assumptions!$B$10+Assumptions!$B$11+Assumptions!$B$12)*0.05,0)</f>
        <v>0</v>
      </c>
      <c r="M53" s="30" t="n">
        <f aca="false">IF(AND(Projects!$G$44="Yes",M$3&gt;=Projects!$C$44,M$3&lt;Projects!$C$44+Projects!$D$44),Projects!$B$44*INDEX(Curves!$B$4:$AR$4,1,M$3-Projects!$C$44+1),0)-IF(AND(Projects!$G$44="Yes",M$3&gt;=Projects!$C$44,M$3&lt;Projects!$C$44+Projects!$D$44),Projects!$B$44*(Assumptions!$B$10+Assumptions!$B$11+Assumptions!$B$12)/Projects!$D$44*0.95,0)-IF(AND(Projects!$G$44="Yes",M$3=Projects!$C$44+Projects!$D$44-1),Projects!$B$44*(Assumptions!$B$10+Assumptions!$B$11+Assumptions!$B$12)*0.05,0)</f>
        <v>0</v>
      </c>
      <c r="N53" s="30" t="n">
        <f aca="false">IF(AND(Projects!$G$44="Yes",N$3&gt;=Projects!$C$44,N$3&lt;Projects!$C$44+Projects!$D$44),Projects!$B$44*INDEX(Curves!$B$4:$AR$4,1,N$3-Projects!$C$44+1),0)-IF(AND(Projects!$G$44="Yes",N$3&gt;=Projects!$C$44,N$3&lt;Projects!$C$44+Projects!$D$44),Projects!$B$44*(Assumptions!$B$10+Assumptions!$B$11+Assumptions!$B$12)/Projects!$D$44*0.95,0)-IF(AND(Projects!$G$44="Yes",N$3=Projects!$C$44+Projects!$D$44-1),Projects!$B$44*(Assumptions!$B$10+Assumptions!$B$11+Assumptions!$B$12)*0.05,0)</f>
        <v>0</v>
      </c>
      <c r="O53" s="30" t="n">
        <f aca="false">IF(AND(Projects!$G$44="Yes",O$3&gt;=Projects!$C$44,O$3&lt;Projects!$C$44+Projects!$D$44),Projects!$B$44*INDEX(Curves!$B$4:$AR$4,1,O$3-Projects!$C$44+1),0)-IF(AND(Projects!$G$44="Yes",O$3&gt;=Projects!$C$44,O$3&lt;Projects!$C$44+Projects!$D$44),Projects!$B$44*(Assumptions!$B$10+Assumptions!$B$11+Assumptions!$B$12)/Projects!$D$44*0.95,0)-IF(AND(Projects!$G$44="Yes",O$3=Projects!$C$44+Projects!$D$44-1),Projects!$B$44*(Assumptions!$B$10+Assumptions!$B$11+Assumptions!$B$12)*0.05,0)</f>
        <v>0</v>
      </c>
      <c r="P53" s="30" t="n">
        <f aca="false">IF(AND(Projects!$G$44="Yes",P$3&gt;=Projects!$C$44,P$3&lt;Projects!$C$44+Projects!$D$44),Projects!$B$44*INDEX(Curves!$B$4:$AR$4,1,P$3-Projects!$C$44+1),0)-IF(AND(Projects!$G$44="Yes",P$3&gt;=Projects!$C$44,P$3&lt;Projects!$C$44+Projects!$D$44),Projects!$B$44*(Assumptions!$B$10+Assumptions!$B$11+Assumptions!$B$12)/Projects!$D$44*0.95,0)-IF(AND(Projects!$G$44="Yes",P$3=Projects!$C$44+Projects!$D$44-1),Projects!$B$44*(Assumptions!$B$10+Assumptions!$B$11+Assumptions!$B$12)*0.05,0)</f>
        <v>0</v>
      </c>
      <c r="Q53" s="30" t="n">
        <f aca="false">IF(AND(Projects!$G$44="Yes",Q$3&gt;=Projects!$C$44,Q$3&lt;Projects!$C$44+Projects!$D$44),Projects!$B$44*INDEX(Curves!$B$4:$AR$4,1,Q$3-Projects!$C$44+1),0)-IF(AND(Projects!$G$44="Yes",Q$3&gt;=Projects!$C$44,Q$3&lt;Projects!$C$44+Projects!$D$44),Projects!$B$44*(Assumptions!$B$10+Assumptions!$B$11+Assumptions!$B$12)/Projects!$D$44*0.95,0)-IF(AND(Projects!$G$44="Yes",Q$3=Projects!$C$44+Projects!$D$44-1),Projects!$B$44*(Assumptions!$B$10+Assumptions!$B$11+Assumptions!$B$12)*0.05,0)</f>
        <v>0</v>
      </c>
      <c r="R53" s="30" t="n">
        <f aca="false">IF(AND(Projects!$G$44="Yes",R$3&gt;=Projects!$C$44,R$3&lt;Projects!$C$44+Projects!$D$44),Projects!$B$44*INDEX(Curves!$B$4:$AR$4,1,R$3-Projects!$C$44+1),0)-IF(AND(Projects!$G$44="Yes",R$3&gt;=Projects!$C$44,R$3&lt;Projects!$C$44+Projects!$D$44),Projects!$B$44*(Assumptions!$B$10+Assumptions!$B$11+Assumptions!$B$12)/Projects!$D$44*0.95,0)-IF(AND(Projects!$G$44="Yes",R$3=Projects!$C$44+Projects!$D$44-1),Projects!$B$44*(Assumptions!$B$10+Assumptions!$B$11+Assumptions!$B$12)*0.05,0)</f>
        <v>0</v>
      </c>
      <c r="S53" s="30" t="n">
        <f aca="false">IF(AND(Projects!$G$44="Yes",S$3&gt;=Projects!$C$44,S$3&lt;Projects!$C$44+Projects!$D$44),Projects!$B$44*INDEX(Curves!$B$4:$AR$4,1,S$3-Projects!$C$44+1),0)-IF(AND(Projects!$G$44="Yes",S$3&gt;=Projects!$C$44,S$3&lt;Projects!$C$44+Projects!$D$44),Projects!$B$44*(Assumptions!$B$10+Assumptions!$B$11+Assumptions!$B$12)/Projects!$D$44*0.95,0)-IF(AND(Projects!$G$44="Yes",S$3=Projects!$C$44+Projects!$D$44-1),Projects!$B$44*(Assumptions!$B$10+Assumptions!$B$11+Assumptions!$B$12)*0.05,0)</f>
        <v>0</v>
      </c>
      <c r="T53" s="30" t="n">
        <f aca="false">IF(AND(Projects!$G$44="Yes",T$3&gt;=Projects!$C$44,T$3&lt;Projects!$C$44+Projects!$D$44),Projects!$B$44*INDEX(Curves!$B$4:$AR$4,1,T$3-Projects!$C$44+1),0)-IF(AND(Projects!$G$44="Yes",T$3&gt;=Projects!$C$44,T$3&lt;Projects!$C$44+Projects!$D$44),Projects!$B$44*(Assumptions!$B$10+Assumptions!$B$11+Assumptions!$B$12)/Projects!$D$44*0.95,0)-IF(AND(Projects!$G$44="Yes",T$3=Projects!$C$44+Projects!$D$44-1),Projects!$B$44*(Assumptions!$B$10+Assumptions!$B$11+Assumptions!$B$12)*0.05,0)</f>
        <v>0</v>
      </c>
      <c r="U53" s="30" t="n">
        <f aca="false">IF(AND(Projects!$G$44="Yes",U$3&gt;=Projects!$C$44,U$3&lt;Projects!$C$44+Projects!$D$44),Projects!$B$44*INDEX(Curves!$B$4:$AR$4,1,U$3-Projects!$C$44+1),0)-IF(AND(Projects!$G$44="Yes",U$3&gt;=Projects!$C$44,U$3&lt;Projects!$C$44+Projects!$D$44),Projects!$B$44*(Assumptions!$B$10+Assumptions!$B$11+Assumptions!$B$12)/Projects!$D$44*0.95,0)-IF(AND(Projects!$G$44="Yes",U$3=Projects!$C$44+Projects!$D$44-1),Projects!$B$44*(Assumptions!$B$10+Assumptions!$B$11+Assumptions!$B$12)*0.05,0)</f>
        <v>0</v>
      </c>
      <c r="V53" s="30" t="n">
        <f aca="false">IF(AND(Projects!$G$44="Yes",V$3&gt;=Projects!$C$44,V$3&lt;Projects!$C$44+Projects!$D$44),Projects!$B$44*INDEX(Curves!$B$4:$AR$4,1,V$3-Projects!$C$44+1),0)-IF(AND(Projects!$G$44="Yes",V$3&gt;=Projects!$C$44,V$3&lt;Projects!$C$44+Projects!$D$44),Projects!$B$44*(Assumptions!$B$10+Assumptions!$B$11+Assumptions!$B$12)/Projects!$D$44*0.95,0)-IF(AND(Projects!$G$44="Yes",V$3=Projects!$C$44+Projects!$D$44-1),Projects!$B$44*(Assumptions!$B$10+Assumptions!$B$11+Assumptions!$B$12)*0.05,0)</f>
        <v>0</v>
      </c>
      <c r="W53" s="30" t="n">
        <f aca="false">IF(AND(Projects!$G$44="Yes",W$3&gt;=Projects!$C$44,W$3&lt;Projects!$C$44+Projects!$D$44),Projects!$B$44*INDEX(Curves!$B$4:$AR$4,1,W$3-Projects!$C$44+1),0)-IF(AND(Projects!$G$44="Yes",W$3&gt;=Projects!$C$44,W$3&lt;Projects!$C$44+Projects!$D$44),Projects!$B$44*(Assumptions!$B$10+Assumptions!$B$11+Assumptions!$B$12)/Projects!$D$44*0.95,0)-IF(AND(Projects!$G$44="Yes",W$3=Projects!$C$44+Projects!$D$44-1),Projects!$B$44*(Assumptions!$B$10+Assumptions!$B$11+Assumptions!$B$12)*0.05,0)</f>
        <v>0</v>
      </c>
      <c r="X53" s="30" t="n">
        <f aca="false">IF(AND(Projects!$G$44="Yes",X$3&gt;=Projects!$C$44,X$3&lt;Projects!$C$44+Projects!$D$44),Projects!$B$44*INDEX(Curves!$B$4:$AR$4,1,X$3-Projects!$C$44+1),0)-IF(AND(Projects!$G$44="Yes",X$3&gt;=Projects!$C$44,X$3&lt;Projects!$C$44+Projects!$D$44),Projects!$B$44*(Assumptions!$B$10+Assumptions!$B$11+Assumptions!$B$12)/Projects!$D$44*0.95,0)-IF(AND(Projects!$G$44="Yes",X$3=Projects!$C$44+Projects!$D$44-1),Projects!$B$44*(Assumptions!$B$10+Assumptions!$B$11+Assumptions!$B$12)*0.05,0)</f>
        <v>0</v>
      </c>
      <c r="Y53" s="30" t="n">
        <f aca="false">IF(AND(Projects!$G$44="Yes",Y$3&gt;=Projects!$C$44,Y$3&lt;Projects!$C$44+Projects!$D$44),Projects!$B$44*INDEX(Curves!$B$4:$AR$4,1,Y$3-Projects!$C$44+1),0)-IF(AND(Projects!$G$44="Yes",Y$3&gt;=Projects!$C$44,Y$3&lt;Projects!$C$44+Projects!$D$44),Projects!$B$44*(Assumptions!$B$10+Assumptions!$B$11+Assumptions!$B$12)/Projects!$D$44*0.95,0)-IF(AND(Projects!$G$44="Yes",Y$3=Projects!$C$44+Projects!$D$44-1),Projects!$B$44*(Assumptions!$B$10+Assumptions!$B$11+Assumptions!$B$12)*0.05,0)</f>
        <v>0</v>
      </c>
      <c r="Z53" s="30" t="n">
        <f aca="false">IF(AND(Projects!$G$44="Yes",Z$3&gt;=Projects!$C$44,Z$3&lt;Projects!$C$44+Projects!$D$44),Projects!$B$44*INDEX(Curves!$B$4:$AR$4,1,Z$3-Projects!$C$44+1),0)-IF(AND(Projects!$G$44="Yes",Z$3&gt;=Projects!$C$44,Z$3&lt;Projects!$C$44+Projects!$D$44),Projects!$B$44*(Assumptions!$B$10+Assumptions!$B$11+Assumptions!$B$12)/Projects!$D$44*0.95,0)-IF(AND(Projects!$G$44="Yes",Z$3=Projects!$C$44+Projects!$D$44-1),Projects!$B$44*(Assumptions!$B$10+Assumptions!$B$11+Assumptions!$B$12)*0.05,0)</f>
        <v>0</v>
      </c>
      <c r="AA53" s="30" t="n">
        <f aca="false">IF(AND(Projects!$G$44="Yes",AA$3&gt;=Projects!$C$44,AA$3&lt;Projects!$C$44+Projects!$D$44),Projects!$B$44*INDEX(Curves!$B$4:$AR$4,1,AA$3-Projects!$C$44+1),0)-IF(AND(Projects!$G$44="Yes",AA$3&gt;=Projects!$C$44,AA$3&lt;Projects!$C$44+Projects!$D$44),Projects!$B$44*(Assumptions!$B$10+Assumptions!$B$11+Assumptions!$B$12)/Projects!$D$44*0.95,0)-IF(AND(Projects!$G$44="Yes",AA$3=Projects!$C$44+Projects!$D$44-1),Projects!$B$44*(Assumptions!$B$10+Assumptions!$B$11+Assumptions!$B$12)*0.05,0)</f>
        <v>0</v>
      </c>
      <c r="AB53" s="30" t="n">
        <f aca="false">IF(AND(Projects!$G$44="Yes",AB$3&gt;=Projects!$C$44,AB$3&lt;Projects!$C$44+Projects!$D$44),Projects!$B$44*INDEX(Curves!$B$4:$AR$4,1,AB$3-Projects!$C$44+1),0)-IF(AND(Projects!$G$44="Yes",AB$3&gt;=Projects!$C$44,AB$3&lt;Projects!$C$44+Projects!$D$44),Projects!$B$44*(Assumptions!$B$10+Assumptions!$B$11+Assumptions!$B$12)/Projects!$D$44*0.95,0)-IF(AND(Projects!$G$44="Yes",AB$3=Projects!$C$44+Projects!$D$44-1),Projects!$B$44*(Assumptions!$B$10+Assumptions!$B$11+Assumptions!$B$12)*0.05,0)</f>
        <v>0</v>
      </c>
      <c r="AC53" s="30" t="n">
        <f aca="false">IF(AND(Projects!$G$44="Yes",AC$3&gt;=Projects!$C$44,AC$3&lt;Projects!$C$44+Projects!$D$44),Projects!$B$44*INDEX(Curves!$B$4:$AR$4,1,AC$3-Projects!$C$44+1),0)-IF(AND(Projects!$G$44="Yes",AC$3&gt;=Projects!$C$44,AC$3&lt;Projects!$C$44+Projects!$D$44),Projects!$B$44*(Assumptions!$B$10+Assumptions!$B$11+Assumptions!$B$12)/Projects!$D$44*0.95,0)-IF(AND(Projects!$G$44="Yes",AC$3=Projects!$C$44+Projects!$D$44-1),Projects!$B$44*(Assumptions!$B$10+Assumptions!$B$11+Assumptions!$B$12)*0.05,0)</f>
        <v>0</v>
      </c>
      <c r="AD53" s="30" t="n">
        <f aca="false">IF(AND(Projects!$G$44="Yes",AD$3&gt;=Projects!$C$44,AD$3&lt;Projects!$C$44+Projects!$D$44),Projects!$B$44*INDEX(Curves!$B$4:$AR$4,1,AD$3-Projects!$C$44+1),0)-IF(AND(Projects!$G$44="Yes",AD$3&gt;=Projects!$C$44,AD$3&lt;Projects!$C$44+Projects!$D$44),Projects!$B$44*(Assumptions!$B$10+Assumptions!$B$11+Assumptions!$B$12)/Projects!$D$44*0.95,0)-IF(AND(Projects!$G$44="Yes",AD$3=Projects!$C$44+Projects!$D$44-1),Projects!$B$44*(Assumptions!$B$10+Assumptions!$B$11+Assumptions!$B$12)*0.05,0)</f>
        <v>0</v>
      </c>
      <c r="AE53" s="30" t="n">
        <f aca="false">IF(AND(Projects!$G$44="Yes",AE$3&gt;=Projects!$C$44,AE$3&lt;Projects!$C$44+Projects!$D$44),Projects!$B$44*INDEX(Curves!$B$4:$AR$4,1,AE$3-Projects!$C$44+1),0)-IF(AND(Projects!$G$44="Yes",AE$3&gt;=Projects!$C$44,AE$3&lt;Projects!$C$44+Projects!$D$44),Projects!$B$44*(Assumptions!$B$10+Assumptions!$B$11+Assumptions!$B$12)/Projects!$D$44*0.95,0)-IF(AND(Projects!$G$44="Yes",AE$3=Projects!$C$44+Projects!$D$44-1),Projects!$B$44*(Assumptions!$B$10+Assumptions!$B$11+Assumptions!$B$12)*0.05,0)</f>
        <v>0</v>
      </c>
      <c r="AF53" s="30" t="n">
        <f aca="false">IF(AND(Projects!$G$44="Yes",AF$3&gt;=Projects!$C$44,AF$3&lt;Projects!$C$44+Projects!$D$44),Projects!$B$44*INDEX(Curves!$B$4:$AR$4,1,AF$3-Projects!$C$44+1),0)-IF(AND(Projects!$G$44="Yes",AF$3&gt;=Projects!$C$44,AF$3&lt;Projects!$C$44+Projects!$D$44),Projects!$B$44*(Assumptions!$B$10+Assumptions!$B$11+Assumptions!$B$12)/Projects!$D$44*0.95,0)-IF(AND(Projects!$G$44="Yes",AF$3=Projects!$C$44+Projects!$D$44-1),Projects!$B$44*(Assumptions!$B$10+Assumptions!$B$11+Assumptions!$B$12)*0.05,0)</f>
        <v>0</v>
      </c>
      <c r="AG53" s="30" t="n">
        <f aca="false">IF(AND(Projects!$G$44="Yes",AG$3&gt;=Projects!$C$44,AG$3&lt;Projects!$C$44+Projects!$D$44),Projects!$B$44*INDEX(Curves!$B$4:$AR$4,1,AG$3-Projects!$C$44+1),0)-IF(AND(Projects!$G$44="Yes",AG$3&gt;=Projects!$C$44,AG$3&lt;Projects!$C$44+Projects!$D$44),Projects!$B$44*(Assumptions!$B$10+Assumptions!$B$11+Assumptions!$B$12)/Projects!$D$44*0.95,0)-IF(AND(Projects!$G$44="Yes",AG$3=Projects!$C$44+Projects!$D$44-1),Projects!$B$44*(Assumptions!$B$10+Assumptions!$B$11+Assumptions!$B$12)*0.05,0)</f>
        <v>0</v>
      </c>
      <c r="AH53" s="30" t="n">
        <f aca="false">IF(AND(Projects!$G$44="Yes",AH$3&gt;=Projects!$C$44,AH$3&lt;Projects!$C$44+Projects!$D$44),Projects!$B$44*INDEX(Curves!$B$4:$AR$4,1,AH$3-Projects!$C$44+1),0)-IF(AND(Projects!$G$44="Yes",AH$3&gt;=Projects!$C$44,AH$3&lt;Projects!$C$44+Projects!$D$44),Projects!$B$44*(Assumptions!$B$10+Assumptions!$B$11+Assumptions!$B$12)/Projects!$D$44*0.95,0)-IF(AND(Projects!$G$44="Yes",AH$3=Projects!$C$44+Projects!$D$44-1),Projects!$B$44*(Assumptions!$B$10+Assumptions!$B$11+Assumptions!$B$12)*0.05,0)</f>
        <v>0</v>
      </c>
      <c r="AI53" s="30" t="n">
        <f aca="false">IF(AND(Projects!$G$44="Yes",AI$3&gt;=Projects!$C$44,AI$3&lt;Projects!$C$44+Projects!$D$44),Projects!$B$44*INDEX(Curves!$B$4:$AR$4,1,AI$3-Projects!$C$44+1),0)-IF(AND(Projects!$G$44="Yes",AI$3&gt;=Projects!$C$44,AI$3&lt;Projects!$C$44+Projects!$D$44),Projects!$B$44*(Assumptions!$B$10+Assumptions!$B$11+Assumptions!$B$12)/Projects!$D$44*0.95,0)-IF(AND(Projects!$G$44="Yes",AI$3=Projects!$C$44+Projects!$D$44-1),Projects!$B$44*(Assumptions!$B$10+Assumptions!$B$11+Assumptions!$B$12)*0.05,0)</f>
        <v>0</v>
      </c>
      <c r="AJ53" s="30" t="n">
        <f aca="false">IF(AND(Projects!$G$44="Yes",AJ$3&gt;=Projects!$C$44,AJ$3&lt;Projects!$C$44+Projects!$D$44),Projects!$B$44*INDEX(Curves!$B$4:$AR$4,1,AJ$3-Projects!$C$44+1),0)-IF(AND(Projects!$G$44="Yes",AJ$3&gt;=Projects!$C$44,AJ$3&lt;Projects!$C$44+Projects!$D$44),Projects!$B$44*(Assumptions!$B$10+Assumptions!$B$11+Assumptions!$B$12)/Projects!$D$44*0.95,0)-IF(AND(Projects!$G$44="Yes",AJ$3=Projects!$C$44+Projects!$D$44-1),Projects!$B$44*(Assumptions!$B$10+Assumptions!$B$11+Assumptions!$B$12)*0.05,0)</f>
        <v>0</v>
      </c>
      <c r="AK53" s="30" t="n">
        <f aca="false">IF(AND(Projects!$G$44="Yes",AK$3&gt;=Projects!$C$44,AK$3&lt;Projects!$C$44+Projects!$D$44),Projects!$B$44*INDEX(Curves!$B$4:$AR$4,1,AK$3-Projects!$C$44+1),0)-IF(AND(Projects!$G$44="Yes",AK$3&gt;=Projects!$C$44,AK$3&lt;Projects!$C$44+Projects!$D$44),Projects!$B$44*(Assumptions!$B$10+Assumptions!$B$11+Assumptions!$B$12)/Projects!$D$44*0.95,0)-IF(AND(Projects!$G$44="Yes",AK$3=Projects!$C$44+Projects!$D$44-1),Projects!$B$44*(Assumptions!$B$10+Assumptions!$B$11+Assumptions!$B$12)*0.05,0)</f>
        <v>0</v>
      </c>
      <c r="AL53" s="30" t="n">
        <f aca="false">IF(AND(Projects!$G$44="Yes",AL$3&gt;=Projects!$C$44,AL$3&lt;Projects!$C$44+Projects!$D$44),Projects!$B$44*INDEX(Curves!$B$4:$AR$4,1,AL$3-Projects!$C$44+1),0)-IF(AND(Projects!$G$44="Yes",AL$3&gt;=Projects!$C$44,AL$3&lt;Projects!$C$44+Projects!$D$44),Projects!$B$44*(Assumptions!$B$10+Assumptions!$B$11+Assumptions!$B$12)/Projects!$D$44*0.95,0)-IF(AND(Projects!$G$44="Yes",AL$3=Projects!$C$44+Projects!$D$44-1),Projects!$B$44*(Assumptions!$B$10+Assumptions!$B$11+Assumptions!$B$12)*0.05,0)</f>
        <v>0</v>
      </c>
      <c r="AM53" s="30" t="n">
        <f aca="false">IF(AND(Projects!$G$44="Yes",AM$3&gt;=Projects!$C$44,AM$3&lt;Projects!$C$44+Projects!$D$44),Projects!$B$44*INDEX(Curves!$B$4:$AR$4,1,AM$3-Projects!$C$44+1),0)-IF(AND(Projects!$G$44="Yes",AM$3&gt;=Projects!$C$44,AM$3&lt;Projects!$C$44+Projects!$D$44),Projects!$B$44*(Assumptions!$B$10+Assumptions!$B$11+Assumptions!$B$12)/Projects!$D$44*0.95,0)-IF(AND(Projects!$G$44="Yes",AM$3=Projects!$C$44+Projects!$D$44-1),Projects!$B$44*(Assumptions!$B$10+Assumptions!$B$11+Assumptions!$B$12)*0.05,0)</f>
        <v>0</v>
      </c>
      <c r="AN53" s="30" t="n">
        <f aca="false">IF(AND(Projects!$G$44="Yes",AN$3&gt;=Projects!$C$44,AN$3&lt;Projects!$C$44+Projects!$D$44),Projects!$B$44*INDEX(Curves!$B$4:$AR$4,1,AN$3-Projects!$C$44+1),0)-IF(AND(Projects!$G$44="Yes",AN$3&gt;=Projects!$C$44,AN$3&lt;Projects!$C$44+Projects!$D$44),Projects!$B$44*(Assumptions!$B$10+Assumptions!$B$11+Assumptions!$B$12)/Projects!$D$44*0.95,0)-IF(AND(Projects!$G$44="Yes",AN$3=Projects!$C$44+Projects!$D$44-1),Projects!$B$44*(Assumptions!$B$10+Assumptions!$B$11+Assumptions!$B$12)*0.05,0)</f>
        <v>0</v>
      </c>
      <c r="AO53" s="30" t="n">
        <f aca="false">IF(AND(Projects!$G$44="Yes",AO$3&gt;=Projects!$C$44,AO$3&lt;Projects!$C$44+Projects!$D$44),Projects!$B$44*INDEX(Curves!$B$4:$AR$4,1,AO$3-Projects!$C$44+1),0)-IF(AND(Projects!$G$44="Yes",AO$3&gt;=Projects!$C$44,AO$3&lt;Projects!$C$44+Projects!$D$44),Projects!$B$44*(Assumptions!$B$10+Assumptions!$B$11+Assumptions!$B$12)/Projects!$D$44*0.95,0)-IF(AND(Projects!$G$44="Yes",AO$3=Projects!$C$44+Projects!$D$44-1),Projects!$B$44*(Assumptions!$B$10+Assumptions!$B$11+Assumptions!$B$12)*0.05,0)</f>
        <v>0</v>
      </c>
      <c r="AP53" s="30" t="n">
        <f aca="false">IF(AND(Projects!$G$44="Yes",AP$3&gt;=Projects!$C$44,AP$3&lt;Projects!$C$44+Projects!$D$44),Projects!$B$44*INDEX(Curves!$B$4:$AR$4,1,AP$3-Projects!$C$44+1),0)-IF(AND(Projects!$G$44="Yes",AP$3&gt;=Projects!$C$44,AP$3&lt;Projects!$C$44+Projects!$D$44),Projects!$B$44*(Assumptions!$B$10+Assumptions!$B$11+Assumptions!$B$12)/Projects!$D$44*0.95,0)-IF(AND(Projects!$G$44="Yes",AP$3=Projects!$C$44+Projects!$D$44-1),Projects!$B$44*(Assumptions!$B$10+Assumptions!$B$11+Assumptions!$B$12)*0.05,0)</f>
        <v>0</v>
      </c>
      <c r="AQ53" s="30" t="n">
        <f aca="false">IF(AND(Projects!$G$44="Yes",AQ$3&gt;=Projects!$C$44,AQ$3&lt;Projects!$C$44+Projects!$D$44),Projects!$B$44*INDEX(Curves!$B$4:$AR$4,1,AQ$3-Projects!$C$44+1),0)-IF(AND(Projects!$G$44="Yes",AQ$3&gt;=Projects!$C$44,AQ$3&lt;Projects!$C$44+Projects!$D$44),Projects!$B$44*(Assumptions!$B$10+Assumptions!$B$11+Assumptions!$B$12)/Projects!$D$44*0.95,0)-IF(AND(Projects!$G$44="Yes",AQ$3=Projects!$C$44+Projects!$D$44-1),Projects!$B$44*(Assumptions!$B$10+Assumptions!$B$11+Assumptions!$B$12)*0.05,0)</f>
        <v>0</v>
      </c>
      <c r="AR53" s="30" t="n">
        <f aca="false">IF(AND(Projects!$G$44="Yes",AR$3&gt;=Projects!$C$44,AR$3&lt;Projects!$C$44+Projects!$D$44),Projects!$B$44*INDEX(Curves!$B$4:$AR$4,1,AR$3-Projects!$C$44+1),0)-IF(AND(Projects!$G$44="Yes",AR$3&gt;=Projects!$C$44,AR$3&lt;Projects!$C$44+Projects!$D$44),Projects!$B$44*(Assumptions!$B$10+Assumptions!$B$11+Assumptions!$B$12)/Projects!$D$44*0.95,0)-IF(AND(Projects!$G$44="Yes",AR$3=Projects!$C$44+Projects!$D$44-1),Projects!$B$44*(Assumptions!$B$10+Assumptions!$B$11+Assumptions!$B$12)*0.05,0)</f>
        <v>0</v>
      </c>
      <c r="AS53" s="30" t="n">
        <f aca="false">IF(AND(Projects!$G$44="Yes",AS$3&gt;=Projects!$C$44,AS$3&lt;Projects!$C$44+Projects!$D$44),Projects!$B$44*INDEX(Curves!$B$4:$AR$4,1,AS$3-Projects!$C$44+1),0)-IF(AND(Projects!$G$44="Yes",AS$3&gt;=Projects!$C$44,AS$3&lt;Projects!$C$44+Projects!$D$44),Projects!$B$44*(Assumptions!$B$10+Assumptions!$B$11+Assumptions!$B$12)/Projects!$D$44*0.95,0)-IF(AND(Projects!$G$44="Yes",AS$3=Projects!$C$44+Projects!$D$44-1),Projects!$B$44*(Assumptions!$B$10+Assumptions!$B$11+Assumptions!$B$12)*0.05,0)</f>
        <v>0</v>
      </c>
      <c r="AT53" s="30" t="n">
        <f aca="false">IF(AND(Projects!$G$44="Yes",AT$3&gt;=Projects!$C$44,AT$3&lt;Projects!$C$44+Projects!$D$44),Projects!$B$44*INDEX(Curves!$B$4:$AR$4,1,AT$3-Projects!$C$44+1),0)-IF(AND(Projects!$G$44="Yes",AT$3&gt;=Projects!$C$44,AT$3&lt;Projects!$C$44+Projects!$D$44),Projects!$B$44*(Assumptions!$B$10+Assumptions!$B$11+Assumptions!$B$12)/Projects!$D$44*0.95,0)-IF(AND(Projects!$G$44="Yes",AT$3=Projects!$C$44+Projects!$D$44-1),Projects!$B$44*(Assumptions!$B$10+Assumptions!$B$11+Assumptions!$B$12)*0.05,0)</f>
        <v>0</v>
      </c>
      <c r="AU53" s="30" t="n">
        <f aca="false">IF(AND(Projects!$G$44="Yes",AU$3&gt;=Projects!$C$44,AU$3&lt;Projects!$C$44+Projects!$D$44),Projects!$B$44*INDEX(Curves!$B$4:$AR$4,1,AU$3-Projects!$C$44+1),0)-IF(AND(Projects!$G$44="Yes",AU$3&gt;=Projects!$C$44,AU$3&lt;Projects!$C$44+Projects!$D$44),Projects!$B$44*(Assumptions!$B$10+Assumptions!$B$11+Assumptions!$B$12)/Projects!$D$44*0.95,0)-IF(AND(Projects!$G$44="Yes",AU$3=Projects!$C$44+Projects!$D$44-1),Projects!$B$44*(Assumptions!$B$10+Assumptions!$B$11+Assumptions!$B$12)*0.05,0)</f>
        <v>0</v>
      </c>
      <c r="AV53" s="30" t="n">
        <f aca="false">IF(AND(Projects!$G$44="Yes",AV$3&gt;=Projects!$C$44,AV$3&lt;Projects!$C$44+Projects!$D$44),Projects!$B$44*INDEX(Curves!$B$4:$AR$4,1,AV$3-Projects!$C$44+1),0)-IF(AND(Projects!$G$44="Yes",AV$3&gt;=Projects!$C$44,AV$3&lt;Projects!$C$44+Projects!$D$44),Projects!$B$44*(Assumptions!$B$10+Assumptions!$B$11+Assumptions!$B$12)/Projects!$D$44*0.95,0)-IF(AND(Projects!$G$44="Yes",AV$3=Projects!$C$44+Projects!$D$44-1),Projects!$B$44*(Assumptions!$B$10+Assumptions!$B$11+Assumptions!$B$12)*0.05,0)</f>
        <v>0</v>
      </c>
      <c r="AW53" s="30" t="n">
        <f aca="false">IF(AND(Projects!$G$44="Yes",AW$3&gt;=Projects!$C$44,AW$3&lt;Projects!$C$44+Projects!$D$44),Projects!$B$44*INDEX(Curves!$B$4:$AR$4,1,AW$3-Projects!$C$44+1),0)-IF(AND(Projects!$G$44="Yes",AW$3&gt;=Projects!$C$44,AW$3&lt;Projects!$C$44+Projects!$D$44),Projects!$B$44*(Assumptions!$B$10+Assumptions!$B$11+Assumptions!$B$12)/Projects!$D$44*0.95,0)-IF(AND(Projects!$G$44="Yes",AW$3=Projects!$C$44+Projects!$D$44-1),Projects!$B$44*(Assumptions!$B$10+Assumptions!$B$11+Assumptions!$B$12)*0.05,0)</f>
        <v>0</v>
      </c>
      <c r="AX53" s="30" t="n">
        <f aca="false">IF(AND(Projects!$G$44="Yes",AX$3&gt;=Projects!$C$44,AX$3&lt;Projects!$C$44+Projects!$D$44),Projects!$B$44*INDEX(Curves!$B$4:$AR$4,1,AX$3-Projects!$C$44+1),0)-IF(AND(Projects!$G$44="Yes",AX$3&gt;=Projects!$C$44,AX$3&lt;Projects!$C$44+Projects!$D$44),Projects!$B$44*(Assumptions!$B$10+Assumptions!$B$11+Assumptions!$B$12)/Projects!$D$44*0.95,0)-IF(AND(Projects!$G$44="Yes",AX$3=Projects!$C$44+Projects!$D$44-1),Projects!$B$44*(Assumptions!$B$10+Assumptions!$B$11+Assumptions!$B$12)*0.05,0)</f>
        <v>0</v>
      </c>
      <c r="AY53" s="30" t="n">
        <f aca="false">IF(AND(Projects!$G$44="Yes",AY$3&gt;=Projects!$C$44,AY$3&lt;Projects!$C$44+Projects!$D$44),Projects!$B$44*INDEX(Curves!$B$4:$AR$4,1,AY$3-Projects!$C$44+1),0)-IF(AND(Projects!$G$44="Yes",AY$3&gt;=Projects!$C$44,AY$3&lt;Projects!$C$44+Projects!$D$44),Projects!$B$44*(Assumptions!$B$10+Assumptions!$B$11+Assumptions!$B$12)/Projects!$D$44*0.95,0)-IF(AND(Projects!$G$44="Yes",AY$3=Projects!$C$44+Projects!$D$44-1),Projects!$B$44*(Assumptions!$B$10+Assumptions!$B$11+Assumptions!$B$12)*0.05,0)</f>
        <v>0</v>
      </c>
      <c r="AZ53" s="30" t="n">
        <f aca="false">IF(AND(Projects!$G$44="Yes",AZ$3&gt;=Projects!$C$44,AZ$3&lt;Projects!$C$44+Projects!$D$44),Projects!$B$44*INDEX(Curves!$B$4:$AR$4,1,AZ$3-Projects!$C$44+1),0)-IF(AND(Projects!$G$44="Yes",AZ$3&gt;=Projects!$C$44,AZ$3&lt;Projects!$C$44+Projects!$D$44),Projects!$B$44*(Assumptions!$B$10+Assumptions!$B$11+Assumptions!$B$12)/Projects!$D$44*0.95,0)-IF(AND(Projects!$G$44="Yes",AZ$3=Projects!$C$44+Projects!$D$44-1),Projects!$B$44*(Assumptions!$B$10+Assumptions!$B$11+Assumptions!$B$12)*0.05,0)</f>
        <v>0</v>
      </c>
      <c r="BA53" s="30" t="n">
        <f aca="false">IF(AND(Projects!$G$44="Yes",BA$3&gt;=Projects!$C$44,BA$3&lt;Projects!$C$44+Projects!$D$44),Projects!$B$44*INDEX(Curves!$B$4:$AR$4,1,BA$3-Projects!$C$44+1),0)-IF(AND(Projects!$G$44="Yes",BA$3&gt;=Projects!$C$44,BA$3&lt;Projects!$C$44+Projects!$D$44),Projects!$B$44*(Assumptions!$B$10+Assumptions!$B$11+Assumptions!$B$12)/Projects!$D$44*0.95,0)-IF(AND(Projects!$G$44="Yes",BA$3=Projects!$C$44+Projects!$D$44-1),Projects!$B$44*(Assumptions!$B$10+Assumptions!$B$11+Assumptions!$B$12)*0.05,0)</f>
        <v>0</v>
      </c>
      <c r="BB53" s="30" t="n">
        <f aca="false">IF(AND(Projects!$G$44="Yes",BB$3&gt;=Projects!$C$44,BB$3&lt;Projects!$C$44+Projects!$D$44),Projects!$B$44*INDEX(Curves!$B$4:$AR$4,1,BB$3-Projects!$C$44+1),0)-IF(AND(Projects!$G$44="Yes",BB$3&gt;=Projects!$C$44,BB$3&lt;Projects!$C$44+Projects!$D$44),Projects!$B$44*(Assumptions!$B$10+Assumptions!$B$11+Assumptions!$B$12)/Projects!$D$44*0.95,0)-IF(AND(Projects!$G$44="Yes",BB$3=Projects!$C$44+Projects!$D$44-1),Projects!$B$44*(Assumptions!$B$10+Assumptions!$B$11+Assumptions!$B$12)*0.05,0)</f>
        <v>0</v>
      </c>
      <c r="BC53" s="30" t="n">
        <f aca="false">IF(AND(Projects!$G$44="Yes",BC$3&gt;=Projects!$C$44,BC$3&lt;Projects!$C$44+Projects!$D$44),Projects!$B$44*INDEX(Curves!$B$4:$AR$4,1,BC$3-Projects!$C$44+1),0)-IF(AND(Projects!$G$44="Yes",BC$3&gt;=Projects!$C$44,BC$3&lt;Projects!$C$44+Projects!$D$44),Projects!$B$44*(Assumptions!$B$10+Assumptions!$B$11+Assumptions!$B$12)/Projects!$D$44*0.95,0)-IF(AND(Projects!$G$44="Yes",BC$3=Projects!$C$44+Projects!$D$44-1),Projects!$B$44*(Assumptions!$B$10+Assumptions!$B$11+Assumptions!$B$12)*0.05,0)</f>
        <v>0</v>
      </c>
      <c r="BD53" s="30" t="n">
        <f aca="false">IF(AND(Projects!$G$44="Yes",BD$3&gt;=Projects!$C$44,BD$3&lt;Projects!$C$44+Projects!$D$44),Projects!$B$44*INDEX(Curves!$B$4:$AR$4,1,BD$3-Projects!$C$44+1),0)-IF(AND(Projects!$G$44="Yes",BD$3&gt;=Projects!$C$44,BD$3&lt;Projects!$C$44+Projects!$D$44),Projects!$B$44*(Assumptions!$B$10+Assumptions!$B$11+Assumptions!$B$12)/Projects!$D$44*0.95,0)-IF(AND(Projects!$G$44="Yes",BD$3=Projects!$C$44+Projects!$D$44-1),Projects!$B$44*(Assumptions!$B$10+Assumptions!$B$11+Assumptions!$B$12)*0.05,0)</f>
        <v>0</v>
      </c>
      <c r="BE53" s="30" t="n">
        <f aca="false">IF(AND(Projects!$G$44="Yes",BE$3&gt;=Projects!$C$44,BE$3&lt;Projects!$C$44+Projects!$D$44),Projects!$B$44*INDEX(Curves!$B$4:$AR$4,1,BE$3-Projects!$C$44+1),0)-IF(AND(Projects!$G$44="Yes",BE$3&gt;=Projects!$C$44,BE$3&lt;Projects!$C$44+Projects!$D$44),Projects!$B$44*(Assumptions!$B$10+Assumptions!$B$11+Assumptions!$B$12)/Projects!$D$44*0.95,0)-IF(AND(Projects!$G$44="Yes",BE$3=Projects!$C$44+Projects!$D$44-1),Projects!$B$44*(Assumptions!$B$10+Assumptions!$B$11+Assumptions!$B$12)*0.05,0)</f>
        <v>0</v>
      </c>
      <c r="BF53" s="30" t="n">
        <f aca="false">IF(AND(Projects!$G$44="Yes",BF$3&gt;=Projects!$C$44,BF$3&lt;Projects!$C$44+Projects!$D$44),Projects!$B$44*INDEX(Curves!$B$4:$AR$4,1,BF$3-Projects!$C$44+1),0)-IF(AND(Projects!$G$44="Yes",BF$3&gt;=Projects!$C$44,BF$3&lt;Projects!$C$44+Projects!$D$44),Projects!$B$44*(Assumptions!$B$10+Assumptions!$B$11+Assumptions!$B$12)/Projects!$D$44*0.95,0)-IF(AND(Projects!$G$44="Yes",BF$3=Projects!$C$44+Projects!$D$44-1),Projects!$B$44*(Assumptions!$B$10+Assumptions!$B$11+Assumptions!$B$12)*0.05,0)</f>
        <v>0</v>
      </c>
      <c r="BG53" s="30" t="n">
        <f aca="false">IF(AND(Projects!$G$44="Yes",BG$3&gt;=Projects!$C$44,BG$3&lt;Projects!$C$44+Projects!$D$44),Projects!$B$44*INDEX(Curves!$B$4:$AR$4,1,BG$3-Projects!$C$44+1),0)-IF(AND(Projects!$G$44="Yes",BG$3&gt;=Projects!$C$44,BG$3&lt;Projects!$C$44+Projects!$D$44),Projects!$B$44*(Assumptions!$B$10+Assumptions!$B$11+Assumptions!$B$12)/Projects!$D$44*0.95,0)-IF(AND(Projects!$G$44="Yes",BG$3=Projects!$C$44+Projects!$D$44-1),Projects!$B$44*(Assumptions!$B$10+Assumptions!$B$11+Assumptions!$B$12)*0.05,0)</f>
        <v>0</v>
      </c>
      <c r="BH53" s="30" t="n">
        <f aca="false">IF(AND(Projects!$G$44="Yes",BH$3&gt;=Projects!$C$44,BH$3&lt;Projects!$C$44+Projects!$D$44),Projects!$B$44*INDEX(Curves!$B$4:$AR$4,1,BH$3-Projects!$C$44+1),0)-IF(AND(Projects!$G$44="Yes",BH$3&gt;=Projects!$C$44,BH$3&lt;Projects!$C$44+Projects!$D$44),Projects!$B$44*(Assumptions!$B$10+Assumptions!$B$11+Assumptions!$B$12)/Projects!$D$44*0.95,0)-IF(AND(Projects!$G$44="Yes",BH$3=Projects!$C$44+Projects!$D$44-1),Projects!$B$44*(Assumptions!$B$10+Assumptions!$B$11+Assumptions!$B$12)*0.05,0)</f>
        <v>0</v>
      </c>
      <c r="BI53" s="30" t="n">
        <f aca="false">IF(AND(Projects!$G$44="Yes",BI$3&gt;=Projects!$C$44,BI$3&lt;Projects!$C$44+Projects!$D$44),Projects!$B$44*INDEX(Curves!$B$4:$AR$4,1,BI$3-Projects!$C$44+1),0)-IF(AND(Projects!$G$44="Yes",BI$3&gt;=Projects!$C$44,BI$3&lt;Projects!$C$44+Projects!$D$44),Projects!$B$44*(Assumptions!$B$10+Assumptions!$B$11+Assumptions!$B$12)/Projects!$D$44*0.95,0)-IF(AND(Projects!$G$44="Yes",BI$3=Projects!$C$44+Projects!$D$44-1),Projects!$B$44*(Assumptions!$B$10+Assumptions!$B$11+Assumptions!$B$12)*0.05,0)</f>
        <v>0</v>
      </c>
      <c r="BJ53" s="30" t="n">
        <f aca="false">IF(AND(Projects!$G$44="Yes",BJ$3&gt;=Projects!$C$44,BJ$3&lt;Projects!$C$44+Projects!$D$44),Projects!$B$44*INDEX(Curves!$B$4:$AR$4,1,BJ$3-Projects!$C$44+1),0)-IF(AND(Projects!$G$44="Yes",BJ$3&gt;=Projects!$C$44,BJ$3&lt;Projects!$C$44+Projects!$D$44),Projects!$B$44*(Assumptions!$B$10+Assumptions!$B$11+Assumptions!$B$12)/Projects!$D$44*0.95,0)-IF(AND(Projects!$G$44="Yes",BJ$3=Projects!$C$44+Projects!$D$44-1),Projects!$B$44*(Assumptions!$B$10+Assumptions!$B$11+Assumptions!$B$12)*0.05,0)</f>
        <v>0</v>
      </c>
      <c r="BK53" s="30" t="n">
        <f aca="false">IF(AND(Projects!$G$44="Yes",BK$3&gt;=Projects!$C$44,BK$3&lt;Projects!$C$44+Projects!$D$44),Projects!$B$44*INDEX(Curves!$B$4:$AR$4,1,BK$3-Projects!$C$44+1),0)-IF(AND(Projects!$G$44="Yes",BK$3&gt;=Projects!$C$44,BK$3&lt;Projects!$C$44+Projects!$D$44),Projects!$B$44*(Assumptions!$B$10+Assumptions!$B$11+Assumptions!$B$12)/Projects!$D$44*0.95,0)-IF(AND(Projects!$G$44="Yes",BK$3=Projects!$C$44+Projects!$D$44-1),Projects!$B$44*(Assumptions!$B$10+Assumptions!$B$11+Assumptions!$B$12)*0.05,0)</f>
        <v>0</v>
      </c>
      <c r="BL53" s="30" t="n">
        <f aca="false">IF(AND(Projects!$G$44="Yes",BL$3&gt;=Projects!$C$44,BL$3&lt;Projects!$C$44+Projects!$D$44),Projects!$B$44*INDEX(Curves!$B$4:$AR$4,1,BL$3-Projects!$C$44+1),0)-IF(AND(Projects!$G$44="Yes",BL$3&gt;=Projects!$C$44,BL$3&lt;Projects!$C$44+Projects!$D$44),Projects!$B$44*(Assumptions!$B$10+Assumptions!$B$11+Assumptions!$B$12)/Projects!$D$44*0.95,0)-IF(AND(Projects!$G$44="Yes",BL$3=Projects!$C$44+Projects!$D$44-1),Projects!$B$44*(Assumptions!$B$10+Assumptions!$B$11+Assumptions!$B$12)*0.05,0)</f>
        <v>0</v>
      </c>
      <c r="BM53" s="30" t="n">
        <f aca="false">IF(AND(Projects!$G$44="Yes",BM$3&gt;=Projects!$C$44,BM$3&lt;Projects!$C$44+Projects!$D$44),Projects!$B$44*INDEX(Curves!$B$4:$AR$4,1,BM$3-Projects!$C$44+1),0)-IF(AND(Projects!$G$44="Yes",BM$3&gt;=Projects!$C$44,BM$3&lt;Projects!$C$44+Projects!$D$44),Projects!$B$44*(Assumptions!$B$10+Assumptions!$B$11+Assumptions!$B$12)/Projects!$D$44*0.95,0)-IF(AND(Projects!$G$44="Yes",BM$3=Projects!$C$44+Projects!$D$44-1),Projects!$B$44*(Assumptions!$B$10+Assumptions!$B$11+Assumptions!$B$12)*0.05,0)</f>
        <v>0</v>
      </c>
      <c r="BN53" s="30" t="n">
        <f aca="false">IF(AND(Projects!$G$44="Yes",BN$3&gt;=Projects!$C$44,BN$3&lt;Projects!$C$44+Projects!$D$44),Projects!$B$44*INDEX(Curves!$B$4:$AR$4,1,BN$3-Projects!$C$44+1),0)-IF(AND(Projects!$G$44="Yes",BN$3&gt;=Projects!$C$44,BN$3&lt;Projects!$C$44+Projects!$D$44),Projects!$B$44*(Assumptions!$B$10+Assumptions!$B$11+Assumptions!$B$12)/Projects!$D$44*0.95,0)-IF(AND(Projects!$G$44="Yes",BN$3=Projects!$C$44+Projects!$D$44-1),Projects!$B$44*(Assumptions!$B$10+Assumptions!$B$11+Assumptions!$B$12)*0.05,0)</f>
        <v>0</v>
      </c>
      <c r="BO53" s="30" t="n">
        <f aca="false">IF(AND(Projects!$G$44="Yes",BO$3&gt;=Projects!$C$44,BO$3&lt;Projects!$C$44+Projects!$D$44),Projects!$B$44*INDEX(Curves!$B$4:$AR$4,1,BO$3-Projects!$C$44+1),0)-IF(AND(Projects!$G$44="Yes",BO$3&gt;=Projects!$C$44,BO$3&lt;Projects!$C$44+Projects!$D$44),Projects!$B$44*(Assumptions!$B$10+Assumptions!$B$11+Assumptions!$B$12)/Projects!$D$44*0.95,0)-IF(AND(Projects!$G$44="Yes",BO$3=Projects!$C$44+Projects!$D$44-1),Projects!$B$44*(Assumptions!$B$10+Assumptions!$B$11+Assumptions!$B$12)*0.05,0)</f>
        <v>0</v>
      </c>
      <c r="BP53" s="30" t="n">
        <f aca="false">IF(AND(Projects!$G$44="Yes",BP$3&gt;=Projects!$C$44,BP$3&lt;Projects!$C$44+Projects!$D$44),Projects!$B$44*INDEX(Curves!$B$4:$AR$4,1,BP$3-Projects!$C$44+1),0)-IF(AND(Projects!$G$44="Yes",BP$3&gt;=Projects!$C$44,BP$3&lt;Projects!$C$44+Projects!$D$44),Projects!$B$44*(Assumptions!$B$10+Assumptions!$B$11+Assumptions!$B$12)/Projects!$D$44*0.95,0)-IF(AND(Projects!$G$44="Yes",BP$3=Projects!$C$44+Projects!$D$44-1),Projects!$B$44*(Assumptions!$B$10+Assumptions!$B$11+Assumptions!$B$12)*0.05,0)</f>
        <v>0</v>
      </c>
      <c r="BQ53" s="30" t="n">
        <f aca="false">IF(AND(Projects!$G$44="Yes",BQ$3&gt;=Projects!$C$44,BQ$3&lt;Projects!$C$44+Projects!$D$44),Projects!$B$44*INDEX(Curves!$B$4:$AR$4,1,BQ$3-Projects!$C$44+1),0)-IF(AND(Projects!$G$44="Yes",BQ$3&gt;=Projects!$C$44,BQ$3&lt;Projects!$C$44+Projects!$D$44),Projects!$B$44*(Assumptions!$B$10+Assumptions!$B$11+Assumptions!$B$12)/Projects!$D$44*0.95,0)-IF(AND(Projects!$G$44="Yes",BQ$3=Projects!$C$44+Projects!$D$44-1),Projects!$B$44*(Assumptions!$B$10+Assumptions!$B$11+Assumptions!$B$12)*0.05,0)</f>
        <v>0</v>
      </c>
      <c r="BR53" s="30" t="n">
        <f aca="false">IF(AND(Projects!$G$44="Yes",BR$3&gt;=Projects!$C$44,BR$3&lt;Projects!$C$44+Projects!$D$44),Projects!$B$44*INDEX(Curves!$B$4:$AR$4,1,BR$3-Projects!$C$44+1),0)-IF(AND(Projects!$G$44="Yes",BR$3&gt;=Projects!$C$44,BR$3&lt;Projects!$C$44+Projects!$D$44),Projects!$B$44*(Assumptions!$B$10+Assumptions!$B$11+Assumptions!$B$12)/Projects!$D$44*0.95,0)-IF(AND(Projects!$G$44="Yes",BR$3=Projects!$C$44+Projects!$D$44-1),Projects!$B$44*(Assumptions!$B$10+Assumptions!$B$11+Assumptions!$B$12)*0.05,0)</f>
        <v>0</v>
      </c>
      <c r="BS53" s="30" t="n">
        <f aca="false">IF(AND(Projects!$G$44="Yes",BS$3&gt;=Projects!$C$44,BS$3&lt;Projects!$C$44+Projects!$D$44),Projects!$B$44*INDEX(Curves!$B$4:$AR$4,1,BS$3-Projects!$C$44+1),0)-IF(AND(Projects!$G$44="Yes",BS$3&gt;=Projects!$C$44,BS$3&lt;Projects!$C$44+Projects!$D$44),Projects!$B$44*(Assumptions!$B$10+Assumptions!$B$11+Assumptions!$B$12)/Projects!$D$44*0.95,0)-IF(AND(Projects!$G$44="Yes",BS$3=Projects!$C$44+Projects!$D$44-1),Projects!$B$44*(Assumptions!$B$10+Assumptions!$B$11+Assumptions!$B$12)*0.05,0)</f>
        <v>0</v>
      </c>
      <c r="BT53" s="30" t="n">
        <f aca="false">IF(AND(Projects!$G$44="Yes",BT$3&gt;=Projects!$C$44,BT$3&lt;Projects!$C$44+Projects!$D$44),Projects!$B$44*INDEX(Curves!$B$4:$AR$4,1,BT$3-Projects!$C$44+1),0)-IF(AND(Projects!$G$44="Yes",BT$3&gt;=Projects!$C$44,BT$3&lt;Projects!$C$44+Projects!$D$44),Projects!$B$44*(Assumptions!$B$10+Assumptions!$B$11+Assumptions!$B$12)/Projects!$D$44*0.95,0)-IF(AND(Projects!$G$44="Yes",BT$3=Projects!$C$44+Projects!$D$44-1),Projects!$B$44*(Assumptions!$B$10+Assumptions!$B$11+Assumptions!$B$12)*0.05,0)</f>
        <v>0</v>
      </c>
      <c r="BU53" s="30" t="n">
        <f aca="false">IF(AND(Projects!$G$44="Yes",BU$3&gt;=Projects!$C$44,BU$3&lt;Projects!$C$44+Projects!$D$44),Projects!$B$44*INDEX(Curves!$B$4:$AR$4,1,BU$3-Projects!$C$44+1),0)-IF(AND(Projects!$G$44="Yes",BU$3&gt;=Projects!$C$44,BU$3&lt;Projects!$C$44+Projects!$D$44),Projects!$B$44*(Assumptions!$B$10+Assumptions!$B$11+Assumptions!$B$12)/Projects!$D$44*0.95,0)-IF(AND(Projects!$G$44="Yes",BU$3=Projects!$C$44+Projects!$D$44-1),Projects!$B$44*(Assumptions!$B$10+Assumptions!$B$11+Assumptions!$B$12)*0.05,0)</f>
        <v>0</v>
      </c>
      <c r="BV53" s="30" t="n">
        <f aca="false">IF(AND(Projects!$G$44="Yes",BV$3&gt;=Projects!$C$44,BV$3&lt;Projects!$C$44+Projects!$D$44),Projects!$B$44*INDEX(Curves!$B$4:$AR$4,1,BV$3-Projects!$C$44+1),0)-IF(AND(Projects!$G$44="Yes",BV$3&gt;=Projects!$C$44,BV$3&lt;Projects!$C$44+Projects!$D$44),Projects!$B$44*(Assumptions!$B$10+Assumptions!$B$11+Assumptions!$B$12)/Projects!$D$44*0.95,0)-IF(AND(Projects!$G$44="Yes",BV$3=Projects!$C$44+Projects!$D$44-1),Projects!$B$44*(Assumptions!$B$10+Assumptions!$B$11+Assumptions!$B$12)*0.05,0)</f>
        <v>0</v>
      </c>
      <c r="BW53" s="30" t="n">
        <f aca="false">IF(AND(Projects!$G$44="Yes",BW$3&gt;=Projects!$C$44,BW$3&lt;Projects!$C$44+Projects!$D$44),Projects!$B$44*INDEX(Curves!$B$4:$AR$4,1,BW$3-Projects!$C$44+1),0)-IF(AND(Projects!$G$44="Yes",BW$3&gt;=Projects!$C$44,BW$3&lt;Projects!$C$44+Projects!$D$44),Projects!$B$44*(Assumptions!$B$10+Assumptions!$B$11+Assumptions!$B$12)/Projects!$D$44*0.95,0)-IF(AND(Projects!$G$44="Yes",BW$3=Projects!$C$44+Projects!$D$44-1),Projects!$B$44*(Assumptions!$B$10+Assumptions!$B$11+Assumptions!$B$12)*0.05,0)</f>
        <v>0</v>
      </c>
      <c r="BX53" s="30" t="n">
        <f aca="false">IF(AND(Projects!$G$44="Yes",BX$3&gt;=Projects!$C$44,BX$3&lt;Projects!$C$44+Projects!$D$44),Projects!$B$44*INDEX(Curves!$B$4:$AR$4,1,BX$3-Projects!$C$44+1),0)-IF(AND(Projects!$G$44="Yes",BX$3&gt;=Projects!$C$44,BX$3&lt;Projects!$C$44+Projects!$D$44),Projects!$B$44*(Assumptions!$B$10+Assumptions!$B$11+Assumptions!$B$12)/Projects!$D$44*0.95,0)-IF(AND(Projects!$G$44="Yes",BX$3=Projects!$C$44+Projects!$D$44-1),Projects!$B$44*(Assumptions!$B$10+Assumptions!$B$11+Assumptions!$B$12)*0.05,0)</f>
        <v>0</v>
      </c>
      <c r="BY53" s="30" t="n">
        <f aca="false">IF(AND(Projects!$G$44="Yes",BY$3&gt;=Projects!$C$44,BY$3&lt;Projects!$C$44+Projects!$D$44),Projects!$B$44*INDEX(Curves!$B$4:$AR$4,1,BY$3-Projects!$C$44+1),0)-IF(AND(Projects!$G$44="Yes",BY$3&gt;=Projects!$C$44,BY$3&lt;Projects!$C$44+Projects!$D$44),Projects!$B$44*(Assumptions!$B$10+Assumptions!$B$11+Assumptions!$B$12)/Projects!$D$44*0.95,0)-IF(AND(Projects!$G$44="Yes",BY$3=Projects!$C$44+Projects!$D$44-1),Projects!$B$44*(Assumptions!$B$10+Assumptions!$B$11+Assumptions!$B$12)*0.05,0)</f>
        <v>0</v>
      </c>
      <c r="BZ53" s="30" t="n">
        <f aca="false">IF(AND(Projects!$G$44="Yes",BZ$3&gt;=Projects!$C$44,BZ$3&lt;Projects!$C$44+Projects!$D$44),Projects!$B$44*INDEX(Curves!$B$4:$AR$4,1,BZ$3-Projects!$C$44+1),0)-IF(AND(Projects!$G$44="Yes",BZ$3&gt;=Projects!$C$44,BZ$3&lt;Projects!$C$44+Projects!$D$44),Projects!$B$44*(Assumptions!$B$10+Assumptions!$B$11+Assumptions!$B$12)/Projects!$D$44*0.95,0)-IF(AND(Projects!$G$44="Yes",BZ$3=Projects!$C$44+Projects!$D$44-1),Projects!$B$44*(Assumptions!$B$10+Assumptions!$B$11+Assumptions!$B$12)*0.05,0)</f>
        <v>0</v>
      </c>
      <c r="CA53" s="30" t="n">
        <f aca="false">IF(AND(Projects!$G$44="Yes",CA$3&gt;=Projects!$C$44,CA$3&lt;Projects!$C$44+Projects!$D$44),Projects!$B$44*INDEX(Curves!$B$4:$AR$4,1,CA$3-Projects!$C$44+1),0)-IF(AND(Projects!$G$44="Yes",CA$3&gt;=Projects!$C$44,CA$3&lt;Projects!$C$44+Projects!$D$44),Projects!$B$44*(Assumptions!$B$10+Assumptions!$B$11+Assumptions!$B$12)/Projects!$D$44*0.95,0)-IF(AND(Projects!$G$44="Yes",CA$3=Projects!$C$44+Projects!$D$44-1),Projects!$B$44*(Assumptions!$B$10+Assumptions!$B$11+Assumptions!$B$12)*0.05,0)</f>
        <v>0</v>
      </c>
      <c r="CB53" s="30" t="n">
        <f aca="false">IF(AND(Projects!$G$44="Yes",CB$3&gt;=Projects!$C$44,CB$3&lt;Projects!$C$44+Projects!$D$44),Projects!$B$44*INDEX(Curves!$B$4:$AR$4,1,CB$3-Projects!$C$44+1),0)-IF(AND(Projects!$G$44="Yes",CB$3&gt;=Projects!$C$44,CB$3&lt;Projects!$C$44+Projects!$D$44),Projects!$B$44*(Assumptions!$B$10+Assumptions!$B$11+Assumptions!$B$12)/Projects!$D$44*0.95,0)-IF(AND(Projects!$G$44="Yes",CB$3=Projects!$C$44+Projects!$D$44-1),Projects!$B$44*(Assumptions!$B$10+Assumptions!$B$11+Assumptions!$B$12)*0.05,0)</f>
        <v>0</v>
      </c>
      <c r="CC53" s="30" t="n">
        <f aca="false">IF(AND(Projects!$G$44="Yes",CC$3&gt;=Projects!$C$44,CC$3&lt;Projects!$C$44+Projects!$D$44),Projects!$B$44*INDEX(Curves!$B$4:$AR$4,1,CC$3-Projects!$C$44+1),0)-IF(AND(Projects!$G$44="Yes",CC$3&gt;=Projects!$C$44,CC$3&lt;Projects!$C$44+Projects!$D$44),Projects!$B$44*(Assumptions!$B$10+Assumptions!$B$11+Assumptions!$B$12)/Projects!$D$44*0.95,0)-IF(AND(Projects!$G$44="Yes",CC$3=Projects!$C$44+Projects!$D$44-1),Projects!$B$44*(Assumptions!$B$10+Assumptions!$B$11+Assumptions!$B$12)*0.05,0)</f>
        <v>0</v>
      </c>
      <c r="CD53" s="30" t="n">
        <f aca="false">IF(AND(Projects!$G$44="Yes",CD$3&gt;=Projects!$C$44,CD$3&lt;Projects!$C$44+Projects!$D$44),Projects!$B$44*INDEX(Curves!$B$4:$AR$4,1,CD$3-Projects!$C$44+1),0)-IF(AND(Projects!$G$44="Yes",CD$3&gt;=Projects!$C$44,CD$3&lt;Projects!$C$44+Projects!$D$44),Projects!$B$44*(Assumptions!$B$10+Assumptions!$B$11+Assumptions!$B$12)/Projects!$D$44*0.95,0)-IF(AND(Projects!$G$44="Yes",CD$3=Projects!$C$44+Projects!$D$44-1),Projects!$B$44*(Assumptions!$B$10+Assumptions!$B$11+Assumptions!$B$12)*0.05,0)</f>
        <v>0</v>
      </c>
      <c r="CE53" s="30" t="n">
        <f aca="false">IF(AND(Projects!$G$44="Yes",CE$3&gt;=Projects!$C$44,CE$3&lt;Projects!$C$44+Projects!$D$44),Projects!$B$44*INDEX(Curves!$B$4:$AR$4,1,CE$3-Projects!$C$44+1),0)-IF(AND(Projects!$G$44="Yes",CE$3&gt;=Projects!$C$44,CE$3&lt;Projects!$C$44+Projects!$D$44),Projects!$B$44*(Assumptions!$B$10+Assumptions!$B$11+Assumptions!$B$12)/Projects!$D$44*0.95,0)-IF(AND(Projects!$G$44="Yes",CE$3=Projects!$C$44+Projects!$D$44-1),Projects!$B$44*(Assumptions!$B$10+Assumptions!$B$11+Assumptions!$B$12)*0.05,0)</f>
        <v>0</v>
      </c>
      <c r="CF53" s="30" t="n">
        <f aca="false">IF(AND(Projects!$G$44="Yes",CF$3&gt;=Projects!$C$44,CF$3&lt;Projects!$C$44+Projects!$D$44),Projects!$B$44*INDEX(Curves!$B$4:$AR$4,1,CF$3-Projects!$C$44+1),0)-IF(AND(Projects!$G$44="Yes",CF$3&gt;=Projects!$C$44,CF$3&lt;Projects!$C$44+Projects!$D$44),Projects!$B$44*(Assumptions!$B$10+Assumptions!$B$11+Assumptions!$B$12)/Projects!$D$44*0.95,0)-IF(AND(Projects!$G$44="Yes",CF$3=Projects!$C$44+Projects!$D$44-1),Projects!$B$44*(Assumptions!$B$10+Assumptions!$B$11+Assumptions!$B$12)*0.05,0)</f>
        <v>0</v>
      </c>
      <c r="CG53" s="30" t="n">
        <f aca="false">IF(AND(Projects!$G$44="Yes",CG$3&gt;=Projects!$C$44,CG$3&lt;Projects!$C$44+Projects!$D$44),Projects!$B$44*INDEX(Curves!$B$4:$AR$4,1,CG$3-Projects!$C$44+1),0)-IF(AND(Projects!$G$44="Yes",CG$3&gt;=Projects!$C$44,CG$3&lt;Projects!$C$44+Projects!$D$44),Projects!$B$44*(Assumptions!$B$10+Assumptions!$B$11+Assumptions!$B$12)/Projects!$D$44*0.95,0)-IF(AND(Projects!$G$44="Yes",CG$3=Projects!$C$44+Projects!$D$44-1),Projects!$B$44*(Assumptions!$B$10+Assumptions!$B$11+Assumptions!$B$12)*0.05,0)</f>
        <v>0</v>
      </c>
      <c r="CH53" s="30" t="n">
        <f aca="false">IF(AND(Projects!$G$44="Yes",CH$3&gt;=Projects!$C$44,CH$3&lt;Projects!$C$44+Projects!$D$44),Projects!$B$44*INDEX(Curves!$B$4:$AR$4,1,CH$3-Projects!$C$44+1),0)-IF(AND(Projects!$G$44="Yes",CH$3&gt;=Projects!$C$44,CH$3&lt;Projects!$C$44+Projects!$D$44),Projects!$B$44*(Assumptions!$B$10+Assumptions!$B$11+Assumptions!$B$12)/Projects!$D$44*0.95,0)-IF(AND(Projects!$G$44="Yes",CH$3=Projects!$C$44+Projects!$D$44-1),Projects!$B$44*(Assumptions!$B$10+Assumptions!$B$11+Assumptions!$B$12)*0.05,0)</f>
        <v>0</v>
      </c>
      <c r="CI53" s="30" t="n">
        <f aca="false">IF(AND(Projects!$G$44="Yes",CI$3&gt;=Projects!$C$44,CI$3&lt;Projects!$C$44+Projects!$D$44),Projects!$B$44*INDEX(Curves!$B$4:$AR$4,1,CI$3-Projects!$C$44+1),0)-IF(AND(Projects!$G$44="Yes",CI$3&gt;=Projects!$C$44,CI$3&lt;Projects!$C$44+Projects!$D$44),Projects!$B$44*(Assumptions!$B$10+Assumptions!$B$11+Assumptions!$B$12)/Projects!$D$44*0.95,0)-IF(AND(Projects!$G$44="Yes",CI$3=Projects!$C$44+Projects!$D$44-1),Projects!$B$44*(Assumptions!$B$10+Assumptions!$B$11+Assumptions!$B$12)*0.05,0)</f>
        <v>0</v>
      </c>
      <c r="CJ53" s="30" t="n">
        <f aca="false">IF(AND(Projects!$G$44="Yes",CJ$3&gt;=Projects!$C$44,CJ$3&lt;Projects!$C$44+Projects!$D$44),Projects!$B$44*INDEX(Curves!$B$4:$AR$4,1,CJ$3-Projects!$C$44+1),0)-IF(AND(Projects!$G$44="Yes",CJ$3&gt;=Projects!$C$44,CJ$3&lt;Projects!$C$44+Projects!$D$44),Projects!$B$44*(Assumptions!$B$10+Assumptions!$B$11+Assumptions!$B$12)/Projects!$D$44*0.95,0)-IF(AND(Projects!$G$44="Yes",CJ$3=Projects!$C$44+Projects!$D$44-1),Projects!$B$44*(Assumptions!$B$10+Assumptions!$B$11+Assumptions!$B$12)*0.05,0)</f>
        <v>0</v>
      </c>
      <c r="CK53" s="30" t="n">
        <f aca="false">IF(AND(Projects!$G$44="Yes",CK$3&gt;=Projects!$C$44,CK$3&lt;Projects!$C$44+Projects!$D$44),Projects!$B$44*INDEX(Curves!$B$4:$AR$4,1,CK$3-Projects!$C$44+1),0)-IF(AND(Projects!$G$44="Yes",CK$3&gt;=Projects!$C$44,CK$3&lt;Projects!$C$44+Projects!$D$44),Projects!$B$44*(Assumptions!$B$10+Assumptions!$B$11+Assumptions!$B$12)/Projects!$D$44*0.95,0)-IF(AND(Projects!$G$44="Yes",CK$3=Projects!$C$44+Projects!$D$44-1),Projects!$B$44*(Assumptions!$B$10+Assumptions!$B$11+Assumptions!$B$12)*0.05,0)</f>
        <v>0</v>
      </c>
      <c r="CL53" s="30" t="n">
        <f aca="false">IF(AND(Projects!$G$44="Yes",CL$3&gt;=Projects!$C$44,CL$3&lt;Projects!$C$44+Projects!$D$44),Projects!$B$44*INDEX(Curves!$B$4:$AR$4,1,CL$3-Projects!$C$44+1),0)-IF(AND(Projects!$G$44="Yes",CL$3&gt;=Projects!$C$44,CL$3&lt;Projects!$C$44+Projects!$D$44),Projects!$B$44*(Assumptions!$B$10+Assumptions!$B$11+Assumptions!$B$12)/Projects!$D$44*0.95,0)-IF(AND(Projects!$G$44="Yes",CL$3=Projects!$C$44+Projects!$D$44-1),Projects!$B$44*(Assumptions!$B$10+Assumptions!$B$11+Assumptions!$B$12)*0.05,0)</f>
        <v>0</v>
      </c>
      <c r="CM53" s="30" t="n">
        <f aca="false">IF(AND(Projects!$G$44="Yes",CM$3&gt;=Projects!$C$44,CM$3&lt;Projects!$C$44+Projects!$D$44),Projects!$B$44*INDEX(Curves!$B$4:$AR$4,1,CM$3-Projects!$C$44+1),0)-IF(AND(Projects!$G$44="Yes",CM$3&gt;=Projects!$C$44,CM$3&lt;Projects!$C$44+Projects!$D$44),Projects!$B$44*(Assumptions!$B$10+Assumptions!$B$11+Assumptions!$B$12)/Projects!$D$44*0.95,0)-IF(AND(Projects!$G$44="Yes",CM$3=Projects!$C$44+Projects!$D$44-1),Projects!$B$44*(Assumptions!$B$10+Assumptions!$B$11+Assumptions!$B$12)*0.05,0)</f>
        <v>0</v>
      </c>
      <c r="CN53" s="30" t="n">
        <f aca="false">IF(AND(Projects!$G$44="Yes",CN$3&gt;=Projects!$C$44,CN$3&lt;Projects!$C$44+Projects!$D$44),Projects!$B$44*INDEX(Curves!$B$4:$AR$4,1,CN$3-Projects!$C$44+1),0)-IF(AND(Projects!$G$44="Yes",CN$3&gt;=Projects!$C$44,CN$3&lt;Projects!$C$44+Projects!$D$44),Projects!$B$44*(Assumptions!$B$10+Assumptions!$B$11+Assumptions!$B$12)/Projects!$D$44*0.95,0)-IF(AND(Projects!$G$44="Yes",CN$3=Projects!$C$44+Projects!$D$44-1),Projects!$B$44*(Assumptions!$B$10+Assumptions!$B$11+Assumptions!$B$12)*0.05,0)</f>
        <v>0</v>
      </c>
      <c r="CO53" s="30" t="n">
        <f aca="false">IF(AND(Projects!$G$44="Yes",CO$3&gt;=Projects!$C$44,CO$3&lt;Projects!$C$44+Projects!$D$44),Projects!$B$44*INDEX(Curves!$B$4:$AR$4,1,CO$3-Projects!$C$44+1),0)-IF(AND(Projects!$G$44="Yes",CO$3&gt;=Projects!$C$44,CO$3&lt;Projects!$C$44+Projects!$D$44),Projects!$B$44*(Assumptions!$B$10+Assumptions!$B$11+Assumptions!$B$12)/Projects!$D$44*0.95,0)-IF(AND(Projects!$G$44="Yes",CO$3=Projects!$C$44+Projects!$D$44-1),Projects!$B$44*(Assumptions!$B$10+Assumptions!$B$11+Assumptions!$B$12)*0.05,0)</f>
        <v>0</v>
      </c>
      <c r="CP53" s="30" t="n">
        <f aca="false">IF(AND(Projects!$G$44="Yes",CP$3&gt;=Projects!$C$44,CP$3&lt;Projects!$C$44+Projects!$D$44),Projects!$B$44*INDEX(Curves!$B$4:$AR$4,1,CP$3-Projects!$C$44+1),0)-IF(AND(Projects!$G$44="Yes",CP$3&gt;=Projects!$C$44,CP$3&lt;Projects!$C$44+Projects!$D$44),Projects!$B$44*(Assumptions!$B$10+Assumptions!$B$11+Assumptions!$B$12)/Projects!$D$44*0.95,0)-IF(AND(Projects!$G$44="Yes",CP$3=Projects!$C$44+Projects!$D$44-1),Projects!$B$44*(Assumptions!$B$10+Assumptions!$B$11+Assumptions!$B$12)*0.05,0)</f>
        <v>0</v>
      </c>
      <c r="CQ53" s="30" t="n">
        <f aca="false">IF(AND(Projects!$G$44="Yes",CQ$3&gt;=Projects!$C$44,CQ$3&lt;Projects!$C$44+Projects!$D$44),Projects!$B$44*INDEX(Curves!$B$4:$AR$4,1,CQ$3-Projects!$C$44+1),0)-IF(AND(Projects!$G$44="Yes",CQ$3&gt;=Projects!$C$44,CQ$3&lt;Projects!$C$44+Projects!$D$44),Projects!$B$44*(Assumptions!$B$10+Assumptions!$B$11+Assumptions!$B$12)/Projects!$D$44*0.95,0)-IF(AND(Projects!$G$44="Yes",CQ$3=Projects!$C$44+Projects!$D$44-1),Projects!$B$44*(Assumptions!$B$10+Assumptions!$B$11+Assumptions!$B$12)*0.05,0)</f>
        <v>0</v>
      </c>
      <c r="CR53" s="30" t="n">
        <f aca="false">IF(AND(Projects!$G$44="Yes",CR$3&gt;=Projects!$C$44,CR$3&lt;Projects!$C$44+Projects!$D$44),Projects!$B$44*INDEX(Curves!$B$4:$AR$4,1,CR$3-Projects!$C$44+1),0)-IF(AND(Projects!$G$44="Yes",CR$3&gt;=Projects!$C$44,CR$3&lt;Projects!$C$44+Projects!$D$44),Projects!$B$44*(Assumptions!$B$10+Assumptions!$B$11+Assumptions!$B$12)/Projects!$D$44*0.95,0)-IF(AND(Projects!$G$44="Yes",CR$3=Projects!$C$44+Projects!$D$44-1),Projects!$B$44*(Assumptions!$B$10+Assumptions!$B$11+Assumptions!$B$12)*0.05,0)</f>
        <v>0</v>
      </c>
      <c r="CS53" s="30" t="n">
        <f aca="false">IF(AND(Projects!$G$44="Yes",CS$3&gt;=Projects!$C$44,CS$3&lt;Projects!$C$44+Projects!$D$44),Projects!$B$44*INDEX(Curves!$B$4:$AR$4,1,CS$3-Projects!$C$44+1),0)-IF(AND(Projects!$G$44="Yes",CS$3&gt;=Projects!$C$44,CS$3&lt;Projects!$C$44+Projects!$D$44),Projects!$B$44*(Assumptions!$B$10+Assumptions!$B$11+Assumptions!$B$12)/Projects!$D$44*0.95,0)-IF(AND(Projects!$G$44="Yes",CS$3=Projects!$C$44+Projects!$D$44-1),Projects!$B$44*(Assumptions!$B$10+Assumptions!$B$11+Assumptions!$B$12)*0.05,0)</f>
        <v>0</v>
      </c>
      <c r="CT53" s="30" t="n">
        <f aca="false">IF(AND(Projects!$G$44="Yes",CT$3&gt;=Projects!$C$44,CT$3&lt;Projects!$C$44+Projects!$D$44),Projects!$B$44*INDEX(Curves!$B$4:$AR$4,1,CT$3-Projects!$C$44+1),0)-IF(AND(Projects!$G$44="Yes",CT$3&gt;=Projects!$C$44,CT$3&lt;Projects!$C$44+Projects!$D$44),Projects!$B$44*(Assumptions!$B$10+Assumptions!$B$11+Assumptions!$B$12)/Projects!$D$44*0.95,0)-IF(AND(Projects!$G$44="Yes",CT$3=Projects!$C$44+Projects!$D$44-1),Projects!$B$44*(Assumptions!$B$10+Assumptions!$B$11+Assumptions!$B$12)*0.05,0)</f>
        <v>0</v>
      </c>
      <c r="CU53" s="30" t="n">
        <f aca="false">IF(AND(Projects!$G$44="Yes",CU$3&gt;=Projects!$C$44,CU$3&lt;Projects!$C$44+Projects!$D$44),Projects!$B$44*INDEX(Curves!$B$4:$AR$4,1,CU$3-Projects!$C$44+1),0)-IF(AND(Projects!$G$44="Yes",CU$3&gt;=Projects!$C$44,CU$3&lt;Projects!$C$44+Projects!$D$44),Projects!$B$44*(Assumptions!$B$10+Assumptions!$B$11+Assumptions!$B$12)/Projects!$D$44*0.95,0)-IF(AND(Projects!$G$44="Yes",CU$3=Projects!$C$44+Projects!$D$44-1),Projects!$B$44*(Assumptions!$B$10+Assumptions!$B$11+Assumptions!$B$12)*0.05,0)</f>
        <v>0</v>
      </c>
      <c r="CV53" s="30" t="n">
        <f aca="false">IF(AND(Projects!$G$44="Yes",CV$3&gt;=Projects!$C$44,CV$3&lt;Projects!$C$44+Projects!$D$44),Projects!$B$44*INDEX(Curves!$B$4:$AR$4,1,CV$3-Projects!$C$44+1),0)-IF(AND(Projects!$G$44="Yes",CV$3&gt;=Projects!$C$44,CV$3&lt;Projects!$C$44+Projects!$D$44),Projects!$B$44*(Assumptions!$B$10+Assumptions!$B$11+Assumptions!$B$12)/Projects!$D$44*0.95,0)-IF(AND(Projects!$G$44="Yes",CV$3=Projects!$C$44+Projects!$D$44-1),Projects!$B$44*(Assumptions!$B$10+Assumptions!$B$11+Assumptions!$B$12)*0.05,0)</f>
        <v>0</v>
      </c>
      <c r="CW53" s="30" t="n">
        <f aca="false">IF(AND(Projects!$G$44="Yes",CW$3&gt;=Projects!$C$44,CW$3&lt;Projects!$C$44+Projects!$D$44),Projects!$B$44*INDEX(Curves!$B$4:$AR$4,1,CW$3-Projects!$C$44+1),0)-IF(AND(Projects!$G$44="Yes",CW$3&gt;=Projects!$C$44,CW$3&lt;Projects!$C$44+Projects!$D$44),Projects!$B$44*(Assumptions!$B$10+Assumptions!$B$11+Assumptions!$B$12)/Projects!$D$44*0.95,0)-IF(AND(Projects!$G$44="Yes",CW$3=Projects!$C$44+Projects!$D$44-1),Projects!$B$44*(Assumptions!$B$10+Assumptions!$B$11+Assumptions!$B$12)*0.05,0)</f>
        <v>0</v>
      </c>
      <c r="CX53" s="30" t="n">
        <f aca="false">IF(AND(Projects!$G$44="Yes",CX$3&gt;=Projects!$C$44,CX$3&lt;Projects!$C$44+Projects!$D$44),Projects!$B$44*INDEX(Curves!$B$4:$AR$4,1,CX$3-Projects!$C$44+1),0)-IF(AND(Projects!$G$44="Yes",CX$3&gt;=Projects!$C$44,CX$3&lt;Projects!$C$44+Projects!$D$44),Projects!$B$44*(Assumptions!$B$10+Assumptions!$B$11+Assumptions!$B$12)/Projects!$D$44*0.95,0)-IF(AND(Projects!$G$44="Yes",CX$3=Projects!$C$44+Projects!$D$44-1),Projects!$B$44*(Assumptions!$B$10+Assumptions!$B$11+Assumptions!$B$12)*0.05,0)</f>
        <v>0</v>
      </c>
      <c r="CY53" s="30" t="n">
        <f aca="false">IF(AND(Projects!$G$44="Yes",CY$3&gt;=Projects!$C$44,CY$3&lt;Projects!$C$44+Projects!$D$44),Projects!$B$44*INDEX(Curves!$B$4:$AR$4,1,CY$3-Projects!$C$44+1),0)-IF(AND(Projects!$G$44="Yes",CY$3&gt;=Projects!$C$44,CY$3&lt;Projects!$C$44+Projects!$D$44),Projects!$B$44*(Assumptions!$B$10+Assumptions!$B$11+Assumptions!$B$12)/Projects!$D$44*0.95,0)-IF(AND(Projects!$G$44="Yes",CY$3=Projects!$C$44+Projects!$D$44-1),Projects!$B$44*(Assumptions!$B$10+Assumptions!$B$11+Assumptions!$B$12)*0.05,0)</f>
        <v>0</v>
      </c>
      <c r="CZ53" s="30" t="n">
        <f aca="false">IF(AND(Projects!$G$44="Yes",CZ$3&gt;=Projects!$C$44,CZ$3&lt;Projects!$C$44+Projects!$D$44),Projects!$B$44*INDEX(Curves!$B$4:$AR$4,1,CZ$3-Projects!$C$44+1),0)-IF(AND(Projects!$G$44="Yes",CZ$3&gt;=Projects!$C$44,CZ$3&lt;Projects!$C$44+Projects!$D$44),Projects!$B$44*(Assumptions!$B$10+Assumptions!$B$11+Assumptions!$B$12)/Projects!$D$44*0.95,0)-IF(AND(Projects!$G$44="Yes",CZ$3=Projects!$C$44+Projects!$D$44-1),Projects!$B$44*(Assumptions!$B$10+Assumptions!$B$11+Assumptions!$B$12)*0.05,0)</f>
        <v>0</v>
      </c>
      <c r="DA53" s="30" t="n">
        <f aca="false">IF(AND(Projects!$G$44="Yes",DA$3&gt;=Projects!$C$44,DA$3&lt;Projects!$C$44+Projects!$D$44),Projects!$B$44*INDEX(Curves!$B$4:$AR$4,1,DA$3-Projects!$C$44+1),0)-IF(AND(Projects!$G$44="Yes",DA$3&gt;=Projects!$C$44,DA$3&lt;Projects!$C$44+Projects!$D$44),Projects!$B$44*(Assumptions!$B$10+Assumptions!$B$11+Assumptions!$B$12)/Projects!$D$44*0.95,0)-IF(AND(Projects!$G$44="Yes",DA$3=Projects!$C$44+Projects!$D$44-1),Projects!$B$44*(Assumptions!$B$10+Assumptions!$B$11+Assumptions!$B$12)*0.05,0)</f>
        <v>0</v>
      </c>
      <c r="DB53" s="30" t="n">
        <f aca="false">IF(AND(Projects!$G$44="Yes",DB$3&gt;=Projects!$C$44,DB$3&lt;Projects!$C$44+Projects!$D$44),Projects!$B$44*INDEX(Curves!$B$4:$AR$4,1,DB$3-Projects!$C$44+1),0)-IF(AND(Projects!$G$44="Yes",DB$3&gt;=Projects!$C$44,DB$3&lt;Projects!$C$44+Projects!$D$44),Projects!$B$44*(Assumptions!$B$10+Assumptions!$B$11+Assumptions!$B$12)/Projects!$D$44*0.95,0)-IF(AND(Projects!$G$44="Yes",DB$3=Projects!$C$44+Projects!$D$44-1),Projects!$B$44*(Assumptions!$B$10+Assumptions!$B$11+Assumptions!$B$12)*0.05,0)</f>
        <v>0</v>
      </c>
      <c r="DC53" s="30" t="n">
        <f aca="false">IF(AND(Projects!$G$44="Yes",DC$3&gt;=Projects!$C$44,DC$3&lt;Projects!$C$44+Projects!$D$44),Projects!$B$44*INDEX(Curves!$B$4:$AR$4,1,DC$3-Projects!$C$44+1),0)-IF(AND(Projects!$G$44="Yes",DC$3&gt;=Projects!$C$44,DC$3&lt;Projects!$C$44+Projects!$D$44),Projects!$B$44*(Assumptions!$B$10+Assumptions!$B$11+Assumptions!$B$12)/Projects!$D$44*0.95,0)-IF(AND(Projects!$G$44="Yes",DC$3=Projects!$C$44+Projects!$D$44-1),Projects!$B$44*(Assumptions!$B$10+Assumptions!$B$11+Assumptions!$B$12)*0.05,0)</f>
        <v>0</v>
      </c>
      <c r="DD53" s="30" t="n">
        <f aca="false">IF(AND(Projects!$G$44="Yes",DD$3&gt;=Projects!$C$44,DD$3&lt;Projects!$C$44+Projects!$D$44),Projects!$B$44*INDEX(Curves!$B$4:$AR$4,1,DD$3-Projects!$C$44+1),0)-IF(AND(Projects!$G$44="Yes",DD$3&gt;=Projects!$C$44,DD$3&lt;Projects!$C$44+Projects!$D$44),Projects!$B$44*(Assumptions!$B$10+Assumptions!$B$11+Assumptions!$B$12)/Projects!$D$44*0.95,0)-IF(AND(Projects!$G$44="Yes",DD$3=Projects!$C$44+Projects!$D$44-1),Projects!$B$44*(Assumptions!$B$10+Assumptions!$B$11+Assumptions!$B$12)*0.05,0)</f>
        <v>0</v>
      </c>
      <c r="DE53" s="30" t="n">
        <f aca="false">IF(AND(Projects!$G$44="Yes",DE$3&gt;=Projects!$C$44,DE$3&lt;Projects!$C$44+Projects!$D$44),Projects!$B$44*INDEX(Curves!$B$4:$AR$4,1,DE$3-Projects!$C$44+1),0)-IF(AND(Projects!$G$44="Yes",DE$3&gt;=Projects!$C$44,DE$3&lt;Projects!$C$44+Projects!$D$44),Projects!$B$44*(Assumptions!$B$10+Assumptions!$B$11+Assumptions!$B$12)/Projects!$D$44*0.95,0)-IF(AND(Projects!$G$44="Yes",DE$3=Projects!$C$44+Projects!$D$44-1),Projects!$B$44*(Assumptions!$B$10+Assumptions!$B$11+Assumptions!$B$12)*0.05,0)</f>
        <v>0</v>
      </c>
    </row>
    <row r="54" customFormat="false" ht="15" hidden="true" customHeight="true" outlineLevel="1" collapsed="false">
      <c r="A54" s="32" t="s">
        <v>48</v>
      </c>
      <c r="B54" s="30" t="n">
        <v>0</v>
      </c>
      <c r="C54" s="30" t="n">
        <v>0</v>
      </c>
      <c r="D54" s="30" t="n">
        <v>0</v>
      </c>
      <c r="E54" s="30" t="n">
        <v>0</v>
      </c>
      <c r="F54" s="30" t="n">
        <f aca="false">IF(AND(Projects!$G$45="Yes",F$3&gt;=Projects!$C$45,F$3&lt;Projects!$C$45+Projects!$D$45),Projects!$B$45*INDEX(Curves!$B$4:$AR$4,1,F$3-Projects!$C$45+1),0)-IF(AND(Projects!$G$45="Yes",F$3&gt;=Projects!$C$45,F$3&lt;Projects!$C$45+Projects!$D$45),Projects!$B$45*(Assumptions!$B$10+Assumptions!$B$11+Assumptions!$B$12)/Projects!$D$45*0.95,0)-IF(AND(Projects!$G$45="Yes",F$3=Projects!$C$45+Projects!$D$45-1),Projects!$B$45*(Assumptions!$B$10+Assumptions!$B$11+Assumptions!$B$12)*0.05,0)</f>
        <v>0</v>
      </c>
      <c r="G54" s="30" t="n">
        <f aca="false">IF(AND(Projects!$G$45="Yes",G$3&gt;=Projects!$C$45,G$3&lt;Projects!$C$45+Projects!$D$45),Projects!$B$45*INDEX(Curves!$B$4:$AR$4,1,G$3-Projects!$C$45+1),0)-IF(AND(Projects!$G$45="Yes",G$3&gt;=Projects!$C$45,G$3&lt;Projects!$C$45+Projects!$D$45),Projects!$B$45*(Assumptions!$B$10+Assumptions!$B$11+Assumptions!$B$12)/Projects!$D$45*0.95,0)-IF(AND(Projects!$G$45="Yes",G$3=Projects!$C$45+Projects!$D$45-1),Projects!$B$45*(Assumptions!$B$10+Assumptions!$B$11+Assumptions!$B$12)*0.05,0)</f>
        <v>0</v>
      </c>
      <c r="H54" s="30" t="n">
        <f aca="false">IF(AND(Projects!$G$45="Yes",H$3&gt;=Projects!$C$45,H$3&lt;Projects!$C$45+Projects!$D$45),Projects!$B$45*INDEX(Curves!$B$4:$AR$4,1,H$3-Projects!$C$45+1),0)-IF(AND(Projects!$G$45="Yes",H$3&gt;=Projects!$C$45,H$3&lt;Projects!$C$45+Projects!$D$45),Projects!$B$45*(Assumptions!$B$10+Assumptions!$B$11+Assumptions!$B$12)/Projects!$D$45*0.95,0)-IF(AND(Projects!$G$45="Yes",H$3=Projects!$C$45+Projects!$D$45-1),Projects!$B$45*(Assumptions!$B$10+Assumptions!$B$11+Assumptions!$B$12)*0.05,0)</f>
        <v>0</v>
      </c>
      <c r="I54" s="30" t="n">
        <f aca="false">IF(AND(Projects!$G$45="Yes",I$3&gt;=Projects!$C$45,I$3&lt;Projects!$C$45+Projects!$D$45),Projects!$B$45*INDEX(Curves!$B$4:$AR$4,1,I$3-Projects!$C$45+1),0)-IF(AND(Projects!$G$45="Yes",I$3&gt;=Projects!$C$45,I$3&lt;Projects!$C$45+Projects!$D$45),Projects!$B$45*(Assumptions!$B$10+Assumptions!$B$11+Assumptions!$B$12)/Projects!$D$45*0.95,0)-IF(AND(Projects!$G$45="Yes",I$3=Projects!$C$45+Projects!$D$45-1),Projects!$B$45*(Assumptions!$B$10+Assumptions!$B$11+Assumptions!$B$12)*0.05,0)</f>
        <v>0</v>
      </c>
      <c r="J54" s="30" t="n">
        <f aca="false">IF(AND(Projects!$G$45="Yes",J$3&gt;=Projects!$C$45,J$3&lt;Projects!$C$45+Projects!$D$45),Projects!$B$45*INDEX(Curves!$B$4:$AR$4,1,J$3-Projects!$C$45+1),0)-IF(AND(Projects!$G$45="Yes",J$3&gt;=Projects!$C$45,J$3&lt;Projects!$C$45+Projects!$D$45),Projects!$B$45*(Assumptions!$B$10+Assumptions!$B$11+Assumptions!$B$12)/Projects!$D$45*0.95,0)-IF(AND(Projects!$G$45="Yes",J$3=Projects!$C$45+Projects!$D$45-1),Projects!$B$45*(Assumptions!$B$10+Assumptions!$B$11+Assumptions!$B$12)*0.05,0)</f>
        <v>0</v>
      </c>
      <c r="K54" s="30" t="n">
        <f aca="false">IF(AND(Projects!$G$45="Yes",K$3&gt;=Projects!$C$45,K$3&lt;Projects!$C$45+Projects!$D$45),Projects!$B$45*INDEX(Curves!$B$4:$AR$4,1,K$3-Projects!$C$45+1),0)-IF(AND(Projects!$G$45="Yes",K$3&gt;=Projects!$C$45,K$3&lt;Projects!$C$45+Projects!$D$45),Projects!$B$45*(Assumptions!$B$10+Assumptions!$B$11+Assumptions!$B$12)/Projects!$D$45*0.95,0)-IF(AND(Projects!$G$45="Yes",K$3=Projects!$C$45+Projects!$D$45-1),Projects!$B$45*(Assumptions!$B$10+Assumptions!$B$11+Assumptions!$B$12)*0.05,0)</f>
        <v>0</v>
      </c>
      <c r="L54" s="30" t="n">
        <f aca="false">IF(AND(Projects!$G$45="Yes",L$3&gt;=Projects!$C$45,L$3&lt;Projects!$C$45+Projects!$D$45),Projects!$B$45*INDEX(Curves!$B$4:$AR$4,1,L$3-Projects!$C$45+1),0)-IF(AND(Projects!$G$45="Yes",L$3&gt;=Projects!$C$45,L$3&lt;Projects!$C$45+Projects!$D$45),Projects!$B$45*(Assumptions!$B$10+Assumptions!$B$11+Assumptions!$B$12)/Projects!$D$45*0.95,0)-IF(AND(Projects!$G$45="Yes",L$3=Projects!$C$45+Projects!$D$45-1),Projects!$B$45*(Assumptions!$B$10+Assumptions!$B$11+Assumptions!$B$12)*0.05,0)</f>
        <v>0</v>
      </c>
      <c r="M54" s="30" t="n">
        <f aca="false">IF(AND(Projects!$G$45="Yes",M$3&gt;=Projects!$C$45,M$3&lt;Projects!$C$45+Projects!$D$45),Projects!$B$45*INDEX(Curves!$B$4:$AR$4,1,M$3-Projects!$C$45+1),0)-IF(AND(Projects!$G$45="Yes",M$3&gt;=Projects!$C$45,M$3&lt;Projects!$C$45+Projects!$D$45),Projects!$B$45*(Assumptions!$B$10+Assumptions!$B$11+Assumptions!$B$12)/Projects!$D$45*0.95,0)-IF(AND(Projects!$G$45="Yes",M$3=Projects!$C$45+Projects!$D$45-1),Projects!$B$45*(Assumptions!$B$10+Assumptions!$B$11+Assumptions!$B$12)*0.05,0)</f>
        <v>0</v>
      </c>
      <c r="N54" s="30" t="n">
        <f aca="false">IF(AND(Projects!$G$45="Yes",N$3&gt;=Projects!$C$45,N$3&lt;Projects!$C$45+Projects!$D$45),Projects!$B$45*INDEX(Curves!$B$4:$AR$4,1,N$3-Projects!$C$45+1),0)-IF(AND(Projects!$G$45="Yes",N$3&gt;=Projects!$C$45,N$3&lt;Projects!$C$45+Projects!$D$45),Projects!$B$45*(Assumptions!$B$10+Assumptions!$B$11+Assumptions!$B$12)/Projects!$D$45*0.95,0)-IF(AND(Projects!$G$45="Yes",N$3=Projects!$C$45+Projects!$D$45-1),Projects!$B$45*(Assumptions!$B$10+Assumptions!$B$11+Assumptions!$B$12)*0.05,0)</f>
        <v>0</v>
      </c>
      <c r="O54" s="30" t="n">
        <f aca="false">IF(AND(Projects!$G$45="Yes",O$3&gt;=Projects!$C$45,O$3&lt;Projects!$C$45+Projects!$D$45),Projects!$B$45*INDEX(Curves!$B$4:$AR$4,1,O$3-Projects!$C$45+1),0)-IF(AND(Projects!$G$45="Yes",O$3&gt;=Projects!$C$45,O$3&lt;Projects!$C$45+Projects!$D$45),Projects!$B$45*(Assumptions!$B$10+Assumptions!$B$11+Assumptions!$B$12)/Projects!$D$45*0.95,0)-IF(AND(Projects!$G$45="Yes",O$3=Projects!$C$45+Projects!$D$45-1),Projects!$B$45*(Assumptions!$B$10+Assumptions!$B$11+Assumptions!$B$12)*0.05,0)</f>
        <v>0</v>
      </c>
      <c r="P54" s="30" t="n">
        <f aca="false">IF(AND(Projects!$G$45="Yes",P$3&gt;=Projects!$C$45,P$3&lt;Projects!$C$45+Projects!$D$45),Projects!$B$45*INDEX(Curves!$B$4:$AR$4,1,P$3-Projects!$C$45+1),0)-IF(AND(Projects!$G$45="Yes",P$3&gt;=Projects!$C$45,P$3&lt;Projects!$C$45+Projects!$D$45),Projects!$B$45*(Assumptions!$B$10+Assumptions!$B$11+Assumptions!$B$12)/Projects!$D$45*0.95,0)-IF(AND(Projects!$G$45="Yes",P$3=Projects!$C$45+Projects!$D$45-1),Projects!$B$45*(Assumptions!$B$10+Assumptions!$B$11+Assumptions!$B$12)*0.05,0)</f>
        <v>0</v>
      </c>
      <c r="Q54" s="30" t="n">
        <f aca="false">IF(AND(Projects!$G$45="Yes",Q$3&gt;=Projects!$C$45,Q$3&lt;Projects!$C$45+Projects!$D$45),Projects!$B$45*INDEX(Curves!$B$4:$AR$4,1,Q$3-Projects!$C$45+1),0)-IF(AND(Projects!$G$45="Yes",Q$3&gt;=Projects!$C$45,Q$3&lt;Projects!$C$45+Projects!$D$45),Projects!$B$45*(Assumptions!$B$10+Assumptions!$B$11+Assumptions!$B$12)/Projects!$D$45*0.95,0)-IF(AND(Projects!$G$45="Yes",Q$3=Projects!$C$45+Projects!$D$45-1),Projects!$B$45*(Assumptions!$B$10+Assumptions!$B$11+Assumptions!$B$12)*0.05,0)</f>
        <v>0</v>
      </c>
      <c r="R54" s="30" t="n">
        <f aca="false">IF(AND(Projects!$G$45="Yes",R$3&gt;=Projects!$C$45,R$3&lt;Projects!$C$45+Projects!$D$45),Projects!$B$45*INDEX(Curves!$B$4:$AR$4,1,R$3-Projects!$C$45+1),0)-IF(AND(Projects!$G$45="Yes",R$3&gt;=Projects!$C$45,R$3&lt;Projects!$C$45+Projects!$D$45),Projects!$B$45*(Assumptions!$B$10+Assumptions!$B$11+Assumptions!$B$12)/Projects!$D$45*0.95,0)-IF(AND(Projects!$G$45="Yes",R$3=Projects!$C$45+Projects!$D$45-1),Projects!$B$45*(Assumptions!$B$10+Assumptions!$B$11+Assumptions!$B$12)*0.05,0)</f>
        <v>0</v>
      </c>
      <c r="S54" s="30" t="n">
        <f aca="false">IF(AND(Projects!$G$45="Yes",S$3&gt;=Projects!$C$45,S$3&lt;Projects!$C$45+Projects!$D$45),Projects!$B$45*INDEX(Curves!$B$4:$AR$4,1,S$3-Projects!$C$45+1),0)-IF(AND(Projects!$G$45="Yes",S$3&gt;=Projects!$C$45,S$3&lt;Projects!$C$45+Projects!$D$45),Projects!$B$45*(Assumptions!$B$10+Assumptions!$B$11+Assumptions!$B$12)/Projects!$D$45*0.95,0)-IF(AND(Projects!$G$45="Yes",S$3=Projects!$C$45+Projects!$D$45-1),Projects!$B$45*(Assumptions!$B$10+Assumptions!$B$11+Assumptions!$B$12)*0.05,0)</f>
        <v>0</v>
      </c>
      <c r="T54" s="30" t="n">
        <f aca="false">IF(AND(Projects!$G$45="Yes",T$3&gt;=Projects!$C$45,T$3&lt;Projects!$C$45+Projects!$D$45),Projects!$B$45*INDEX(Curves!$B$4:$AR$4,1,T$3-Projects!$C$45+1),0)-IF(AND(Projects!$G$45="Yes",T$3&gt;=Projects!$C$45,T$3&lt;Projects!$C$45+Projects!$D$45),Projects!$B$45*(Assumptions!$B$10+Assumptions!$B$11+Assumptions!$B$12)/Projects!$D$45*0.95,0)-IF(AND(Projects!$G$45="Yes",T$3=Projects!$C$45+Projects!$D$45-1),Projects!$B$45*(Assumptions!$B$10+Assumptions!$B$11+Assumptions!$B$12)*0.05,0)</f>
        <v>0</v>
      </c>
      <c r="U54" s="30" t="n">
        <f aca="false">IF(AND(Projects!$G$45="Yes",U$3&gt;=Projects!$C$45,U$3&lt;Projects!$C$45+Projects!$D$45),Projects!$B$45*INDEX(Curves!$B$4:$AR$4,1,U$3-Projects!$C$45+1),0)-IF(AND(Projects!$G$45="Yes",U$3&gt;=Projects!$C$45,U$3&lt;Projects!$C$45+Projects!$D$45),Projects!$B$45*(Assumptions!$B$10+Assumptions!$B$11+Assumptions!$B$12)/Projects!$D$45*0.95,0)-IF(AND(Projects!$G$45="Yes",U$3=Projects!$C$45+Projects!$D$45-1),Projects!$B$45*(Assumptions!$B$10+Assumptions!$B$11+Assumptions!$B$12)*0.05,0)</f>
        <v>0</v>
      </c>
      <c r="V54" s="30" t="n">
        <f aca="false">IF(AND(Projects!$G$45="Yes",V$3&gt;=Projects!$C$45,V$3&lt;Projects!$C$45+Projects!$D$45),Projects!$B$45*INDEX(Curves!$B$4:$AR$4,1,V$3-Projects!$C$45+1),0)-IF(AND(Projects!$G$45="Yes",V$3&gt;=Projects!$C$45,V$3&lt;Projects!$C$45+Projects!$D$45),Projects!$B$45*(Assumptions!$B$10+Assumptions!$B$11+Assumptions!$B$12)/Projects!$D$45*0.95,0)-IF(AND(Projects!$G$45="Yes",V$3=Projects!$C$45+Projects!$D$45-1),Projects!$B$45*(Assumptions!$B$10+Assumptions!$B$11+Assumptions!$B$12)*0.05,0)</f>
        <v>0</v>
      </c>
      <c r="W54" s="30" t="n">
        <f aca="false">IF(AND(Projects!$G$45="Yes",W$3&gt;=Projects!$C$45,W$3&lt;Projects!$C$45+Projects!$D$45),Projects!$B$45*INDEX(Curves!$B$4:$AR$4,1,W$3-Projects!$C$45+1),0)-IF(AND(Projects!$G$45="Yes",W$3&gt;=Projects!$C$45,W$3&lt;Projects!$C$45+Projects!$D$45),Projects!$B$45*(Assumptions!$B$10+Assumptions!$B$11+Assumptions!$B$12)/Projects!$D$45*0.95,0)-IF(AND(Projects!$G$45="Yes",W$3=Projects!$C$45+Projects!$D$45-1),Projects!$B$45*(Assumptions!$B$10+Assumptions!$B$11+Assumptions!$B$12)*0.05,0)</f>
        <v>0</v>
      </c>
      <c r="X54" s="30" t="n">
        <f aca="false">IF(AND(Projects!$G$45="Yes",X$3&gt;=Projects!$C$45,X$3&lt;Projects!$C$45+Projects!$D$45),Projects!$B$45*INDEX(Curves!$B$4:$AR$4,1,X$3-Projects!$C$45+1),0)-IF(AND(Projects!$G$45="Yes",X$3&gt;=Projects!$C$45,X$3&lt;Projects!$C$45+Projects!$D$45),Projects!$B$45*(Assumptions!$B$10+Assumptions!$B$11+Assumptions!$B$12)/Projects!$D$45*0.95,0)-IF(AND(Projects!$G$45="Yes",X$3=Projects!$C$45+Projects!$D$45-1),Projects!$B$45*(Assumptions!$B$10+Assumptions!$B$11+Assumptions!$B$12)*0.05,0)</f>
        <v>0</v>
      </c>
      <c r="Y54" s="30" t="n">
        <f aca="false">IF(AND(Projects!$G$45="Yes",Y$3&gt;=Projects!$C$45,Y$3&lt;Projects!$C$45+Projects!$D$45),Projects!$B$45*INDEX(Curves!$B$4:$AR$4,1,Y$3-Projects!$C$45+1),0)-IF(AND(Projects!$G$45="Yes",Y$3&gt;=Projects!$C$45,Y$3&lt;Projects!$C$45+Projects!$D$45),Projects!$B$45*(Assumptions!$B$10+Assumptions!$B$11+Assumptions!$B$12)/Projects!$D$45*0.95,0)-IF(AND(Projects!$G$45="Yes",Y$3=Projects!$C$45+Projects!$D$45-1),Projects!$B$45*(Assumptions!$B$10+Assumptions!$B$11+Assumptions!$B$12)*0.05,0)</f>
        <v>0</v>
      </c>
      <c r="Z54" s="30" t="n">
        <f aca="false">IF(AND(Projects!$G$45="Yes",Z$3&gt;=Projects!$C$45,Z$3&lt;Projects!$C$45+Projects!$D$45),Projects!$B$45*INDEX(Curves!$B$4:$AR$4,1,Z$3-Projects!$C$45+1),0)-IF(AND(Projects!$G$45="Yes",Z$3&gt;=Projects!$C$45,Z$3&lt;Projects!$C$45+Projects!$D$45),Projects!$B$45*(Assumptions!$B$10+Assumptions!$B$11+Assumptions!$B$12)/Projects!$D$45*0.95,0)-IF(AND(Projects!$G$45="Yes",Z$3=Projects!$C$45+Projects!$D$45-1),Projects!$B$45*(Assumptions!$B$10+Assumptions!$B$11+Assumptions!$B$12)*0.05,0)</f>
        <v>0</v>
      </c>
      <c r="AA54" s="30" t="n">
        <f aca="false">IF(AND(Projects!$G$45="Yes",AA$3&gt;=Projects!$C$45,AA$3&lt;Projects!$C$45+Projects!$D$45),Projects!$B$45*INDEX(Curves!$B$4:$AR$4,1,AA$3-Projects!$C$45+1),0)-IF(AND(Projects!$G$45="Yes",AA$3&gt;=Projects!$C$45,AA$3&lt;Projects!$C$45+Projects!$D$45),Projects!$B$45*(Assumptions!$B$10+Assumptions!$B$11+Assumptions!$B$12)/Projects!$D$45*0.95,0)-IF(AND(Projects!$G$45="Yes",AA$3=Projects!$C$45+Projects!$D$45-1),Projects!$B$45*(Assumptions!$B$10+Assumptions!$B$11+Assumptions!$B$12)*0.05,0)</f>
        <v>0</v>
      </c>
      <c r="AB54" s="30" t="n">
        <f aca="false">IF(AND(Projects!$G$45="Yes",AB$3&gt;=Projects!$C$45,AB$3&lt;Projects!$C$45+Projects!$D$45),Projects!$B$45*INDEX(Curves!$B$4:$AR$4,1,AB$3-Projects!$C$45+1),0)-IF(AND(Projects!$G$45="Yes",AB$3&gt;=Projects!$C$45,AB$3&lt;Projects!$C$45+Projects!$D$45),Projects!$B$45*(Assumptions!$B$10+Assumptions!$B$11+Assumptions!$B$12)/Projects!$D$45*0.95,0)-IF(AND(Projects!$G$45="Yes",AB$3=Projects!$C$45+Projects!$D$45-1),Projects!$B$45*(Assumptions!$B$10+Assumptions!$B$11+Assumptions!$B$12)*0.05,0)</f>
        <v>0</v>
      </c>
      <c r="AC54" s="30" t="n">
        <f aca="false">IF(AND(Projects!$G$45="Yes",AC$3&gt;=Projects!$C$45,AC$3&lt;Projects!$C$45+Projects!$D$45),Projects!$B$45*INDEX(Curves!$B$4:$AR$4,1,AC$3-Projects!$C$45+1),0)-IF(AND(Projects!$G$45="Yes",AC$3&gt;=Projects!$C$45,AC$3&lt;Projects!$C$45+Projects!$D$45),Projects!$B$45*(Assumptions!$B$10+Assumptions!$B$11+Assumptions!$B$12)/Projects!$D$45*0.95,0)-IF(AND(Projects!$G$45="Yes",AC$3=Projects!$C$45+Projects!$D$45-1),Projects!$B$45*(Assumptions!$B$10+Assumptions!$B$11+Assumptions!$B$12)*0.05,0)</f>
        <v>0</v>
      </c>
      <c r="AD54" s="30" t="n">
        <f aca="false">IF(AND(Projects!$G$45="Yes",AD$3&gt;=Projects!$C$45,AD$3&lt;Projects!$C$45+Projects!$D$45),Projects!$B$45*INDEX(Curves!$B$4:$AR$4,1,AD$3-Projects!$C$45+1),0)-IF(AND(Projects!$G$45="Yes",AD$3&gt;=Projects!$C$45,AD$3&lt;Projects!$C$45+Projects!$D$45),Projects!$B$45*(Assumptions!$B$10+Assumptions!$B$11+Assumptions!$B$12)/Projects!$D$45*0.95,0)-IF(AND(Projects!$G$45="Yes",AD$3=Projects!$C$45+Projects!$D$45-1),Projects!$B$45*(Assumptions!$B$10+Assumptions!$B$11+Assumptions!$B$12)*0.05,0)</f>
        <v>0</v>
      </c>
      <c r="AE54" s="30" t="n">
        <f aca="false">IF(AND(Projects!$G$45="Yes",AE$3&gt;=Projects!$C$45,AE$3&lt;Projects!$C$45+Projects!$D$45),Projects!$B$45*INDEX(Curves!$B$4:$AR$4,1,AE$3-Projects!$C$45+1),0)-IF(AND(Projects!$G$45="Yes",AE$3&gt;=Projects!$C$45,AE$3&lt;Projects!$C$45+Projects!$D$45),Projects!$B$45*(Assumptions!$B$10+Assumptions!$B$11+Assumptions!$B$12)/Projects!$D$45*0.95,0)-IF(AND(Projects!$G$45="Yes",AE$3=Projects!$C$45+Projects!$D$45-1),Projects!$B$45*(Assumptions!$B$10+Assumptions!$B$11+Assumptions!$B$12)*0.05,0)</f>
        <v>0</v>
      </c>
      <c r="AF54" s="30" t="n">
        <f aca="false">IF(AND(Projects!$G$45="Yes",AF$3&gt;=Projects!$C$45,AF$3&lt;Projects!$C$45+Projects!$D$45),Projects!$B$45*INDEX(Curves!$B$4:$AR$4,1,AF$3-Projects!$C$45+1),0)-IF(AND(Projects!$G$45="Yes",AF$3&gt;=Projects!$C$45,AF$3&lt;Projects!$C$45+Projects!$D$45),Projects!$B$45*(Assumptions!$B$10+Assumptions!$B$11+Assumptions!$B$12)/Projects!$D$45*0.95,0)-IF(AND(Projects!$G$45="Yes",AF$3=Projects!$C$45+Projects!$D$45-1),Projects!$B$45*(Assumptions!$B$10+Assumptions!$B$11+Assumptions!$B$12)*0.05,0)</f>
        <v>0</v>
      </c>
      <c r="AG54" s="30" t="n">
        <f aca="false">IF(AND(Projects!$G$45="Yes",AG$3&gt;=Projects!$C$45,AG$3&lt;Projects!$C$45+Projects!$D$45),Projects!$B$45*INDEX(Curves!$B$4:$AR$4,1,AG$3-Projects!$C$45+1),0)-IF(AND(Projects!$G$45="Yes",AG$3&gt;=Projects!$C$45,AG$3&lt;Projects!$C$45+Projects!$D$45),Projects!$B$45*(Assumptions!$B$10+Assumptions!$B$11+Assumptions!$B$12)/Projects!$D$45*0.95,0)-IF(AND(Projects!$G$45="Yes",AG$3=Projects!$C$45+Projects!$D$45-1),Projects!$B$45*(Assumptions!$B$10+Assumptions!$B$11+Assumptions!$B$12)*0.05,0)</f>
        <v>0</v>
      </c>
      <c r="AH54" s="30" t="n">
        <f aca="false">IF(AND(Projects!$G$45="Yes",AH$3&gt;=Projects!$C$45,AH$3&lt;Projects!$C$45+Projects!$D$45),Projects!$B$45*INDEX(Curves!$B$4:$AR$4,1,AH$3-Projects!$C$45+1),0)-IF(AND(Projects!$G$45="Yes",AH$3&gt;=Projects!$C$45,AH$3&lt;Projects!$C$45+Projects!$D$45),Projects!$B$45*(Assumptions!$B$10+Assumptions!$B$11+Assumptions!$B$12)/Projects!$D$45*0.95,0)-IF(AND(Projects!$G$45="Yes",AH$3=Projects!$C$45+Projects!$D$45-1),Projects!$B$45*(Assumptions!$B$10+Assumptions!$B$11+Assumptions!$B$12)*0.05,0)</f>
        <v>0</v>
      </c>
      <c r="AI54" s="30" t="n">
        <f aca="false">IF(AND(Projects!$G$45="Yes",AI$3&gt;=Projects!$C$45,AI$3&lt;Projects!$C$45+Projects!$D$45),Projects!$B$45*INDEX(Curves!$B$4:$AR$4,1,AI$3-Projects!$C$45+1),0)-IF(AND(Projects!$G$45="Yes",AI$3&gt;=Projects!$C$45,AI$3&lt;Projects!$C$45+Projects!$D$45),Projects!$B$45*(Assumptions!$B$10+Assumptions!$B$11+Assumptions!$B$12)/Projects!$D$45*0.95,0)-IF(AND(Projects!$G$45="Yes",AI$3=Projects!$C$45+Projects!$D$45-1),Projects!$B$45*(Assumptions!$B$10+Assumptions!$B$11+Assumptions!$B$12)*0.05,0)</f>
        <v>0</v>
      </c>
      <c r="AJ54" s="30" t="n">
        <f aca="false">IF(AND(Projects!$G$45="Yes",AJ$3&gt;=Projects!$C$45,AJ$3&lt;Projects!$C$45+Projects!$D$45),Projects!$B$45*INDEX(Curves!$B$4:$AR$4,1,AJ$3-Projects!$C$45+1),0)-IF(AND(Projects!$G$45="Yes",AJ$3&gt;=Projects!$C$45,AJ$3&lt;Projects!$C$45+Projects!$D$45),Projects!$B$45*(Assumptions!$B$10+Assumptions!$B$11+Assumptions!$B$12)/Projects!$D$45*0.95,0)-IF(AND(Projects!$G$45="Yes",AJ$3=Projects!$C$45+Projects!$D$45-1),Projects!$B$45*(Assumptions!$B$10+Assumptions!$B$11+Assumptions!$B$12)*0.05,0)</f>
        <v>0</v>
      </c>
      <c r="AK54" s="30" t="n">
        <f aca="false">IF(AND(Projects!$G$45="Yes",AK$3&gt;=Projects!$C$45,AK$3&lt;Projects!$C$45+Projects!$D$45),Projects!$B$45*INDEX(Curves!$B$4:$AR$4,1,AK$3-Projects!$C$45+1),0)-IF(AND(Projects!$G$45="Yes",AK$3&gt;=Projects!$C$45,AK$3&lt;Projects!$C$45+Projects!$D$45),Projects!$B$45*(Assumptions!$B$10+Assumptions!$B$11+Assumptions!$B$12)/Projects!$D$45*0.95,0)-IF(AND(Projects!$G$45="Yes",AK$3=Projects!$C$45+Projects!$D$45-1),Projects!$B$45*(Assumptions!$B$10+Assumptions!$B$11+Assumptions!$B$12)*0.05,0)</f>
        <v>0</v>
      </c>
      <c r="AL54" s="30" t="n">
        <f aca="false">IF(AND(Projects!$G$45="Yes",AL$3&gt;=Projects!$C$45,AL$3&lt;Projects!$C$45+Projects!$D$45),Projects!$B$45*INDEX(Curves!$B$4:$AR$4,1,AL$3-Projects!$C$45+1),0)-IF(AND(Projects!$G$45="Yes",AL$3&gt;=Projects!$C$45,AL$3&lt;Projects!$C$45+Projects!$D$45),Projects!$B$45*(Assumptions!$B$10+Assumptions!$B$11+Assumptions!$B$12)/Projects!$D$45*0.95,0)-IF(AND(Projects!$G$45="Yes",AL$3=Projects!$C$45+Projects!$D$45-1),Projects!$B$45*(Assumptions!$B$10+Assumptions!$B$11+Assumptions!$B$12)*0.05,0)</f>
        <v>0</v>
      </c>
      <c r="AM54" s="30" t="n">
        <f aca="false">IF(AND(Projects!$G$45="Yes",AM$3&gt;=Projects!$C$45,AM$3&lt;Projects!$C$45+Projects!$D$45),Projects!$B$45*INDEX(Curves!$B$4:$AR$4,1,AM$3-Projects!$C$45+1),0)-IF(AND(Projects!$G$45="Yes",AM$3&gt;=Projects!$C$45,AM$3&lt;Projects!$C$45+Projects!$D$45),Projects!$B$45*(Assumptions!$B$10+Assumptions!$B$11+Assumptions!$B$12)/Projects!$D$45*0.95,0)-IF(AND(Projects!$G$45="Yes",AM$3=Projects!$C$45+Projects!$D$45-1),Projects!$B$45*(Assumptions!$B$10+Assumptions!$B$11+Assumptions!$B$12)*0.05,0)</f>
        <v>0</v>
      </c>
      <c r="AN54" s="30" t="n">
        <f aca="false">IF(AND(Projects!$G$45="Yes",AN$3&gt;=Projects!$C$45,AN$3&lt;Projects!$C$45+Projects!$D$45),Projects!$B$45*INDEX(Curves!$B$4:$AR$4,1,AN$3-Projects!$C$45+1),0)-IF(AND(Projects!$G$45="Yes",AN$3&gt;=Projects!$C$45,AN$3&lt;Projects!$C$45+Projects!$D$45),Projects!$B$45*(Assumptions!$B$10+Assumptions!$B$11+Assumptions!$B$12)/Projects!$D$45*0.95,0)-IF(AND(Projects!$G$45="Yes",AN$3=Projects!$C$45+Projects!$D$45-1),Projects!$B$45*(Assumptions!$B$10+Assumptions!$B$11+Assumptions!$B$12)*0.05,0)</f>
        <v>0</v>
      </c>
      <c r="AO54" s="30" t="n">
        <f aca="false">IF(AND(Projects!$G$45="Yes",AO$3&gt;=Projects!$C$45,AO$3&lt;Projects!$C$45+Projects!$D$45),Projects!$B$45*INDEX(Curves!$B$4:$AR$4,1,AO$3-Projects!$C$45+1),0)-IF(AND(Projects!$G$45="Yes",AO$3&gt;=Projects!$C$45,AO$3&lt;Projects!$C$45+Projects!$D$45),Projects!$B$45*(Assumptions!$B$10+Assumptions!$B$11+Assumptions!$B$12)/Projects!$D$45*0.95,0)-IF(AND(Projects!$G$45="Yes",AO$3=Projects!$C$45+Projects!$D$45-1),Projects!$B$45*(Assumptions!$B$10+Assumptions!$B$11+Assumptions!$B$12)*0.05,0)</f>
        <v>0</v>
      </c>
      <c r="AP54" s="30" t="n">
        <f aca="false">IF(AND(Projects!$G$45="Yes",AP$3&gt;=Projects!$C$45,AP$3&lt;Projects!$C$45+Projects!$D$45),Projects!$B$45*INDEX(Curves!$B$4:$AR$4,1,AP$3-Projects!$C$45+1),0)-IF(AND(Projects!$G$45="Yes",AP$3&gt;=Projects!$C$45,AP$3&lt;Projects!$C$45+Projects!$D$45),Projects!$B$45*(Assumptions!$B$10+Assumptions!$B$11+Assumptions!$B$12)/Projects!$D$45*0.95,0)-IF(AND(Projects!$G$45="Yes",AP$3=Projects!$C$45+Projects!$D$45-1),Projects!$B$45*(Assumptions!$B$10+Assumptions!$B$11+Assumptions!$B$12)*0.05,0)</f>
        <v>0</v>
      </c>
      <c r="AQ54" s="30" t="n">
        <f aca="false">IF(AND(Projects!$G$45="Yes",AQ$3&gt;=Projects!$C$45,AQ$3&lt;Projects!$C$45+Projects!$D$45),Projects!$B$45*INDEX(Curves!$B$4:$AR$4,1,AQ$3-Projects!$C$45+1),0)-IF(AND(Projects!$G$45="Yes",AQ$3&gt;=Projects!$C$45,AQ$3&lt;Projects!$C$45+Projects!$D$45),Projects!$B$45*(Assumptions!$B$10+Assumptions!$B$11+Assumptions!$B$12)/Projects!$D$45*0.95,0)-IF(AND(Projects!$G$45="Yes",AQ$3=Projects!$C$45+Projects!$D$45-1),Projects!$B$45*(Assumptions!$B$10+Assumptions!$B$11+Assumptions!$B$12)*0.05,0)</f>
        <v>0</v>
      </c>
      <c r="AR54" s="30" t="n">
        <f aca="false">IF(AND(Projects!$G$45="Yes",AR$3&gt;=Projects!$C$45,AR$3&lt;Projects!$C$45+Projects!$D$45),Projects!$B$45*INDEX(Curves!$B$4:$AR$4,1,AR$3-Projects!$C$45+1),0)-IF(AND(Projects!$G$45="Yes",AR$3&gt;=Projects!$C$45,AR$3&lt;Projects!$C$45+Projects!$D$45),Projects!$B$45*(Assumptions!$B$10+Assumptions!$B$11+Assumptions!$B$12)/Projects!$D$45*0.95,0)-IF(AND(Projects!$G$45="Yes",AR$3=Projects!$C$45+Projects!$D$45-1),Projects!$B$45*(Assumptions!$B$10+Assumptions!$B$11+Assumptions!$B$12)*0.05,0)</f>
        <v>0</v>
      </c>
      <c r="AS54" s="30" t="n">
        <f aca="false">IF(AND(Projects!$G$45="Yes",AS$3&gt;=Projects!$C$45,AS$3&lt;Projects!$C$45+Projects!$D$45),Projects!$B$45*INDEX(Curves!$B$4:$AR$4,1,AS$3-Projects!$C$45+1),0)-IF(AND(Projects!$G$45="Yes",AS$3&gt;=Projects!$C$45,AS$3&lt;Projects!$C$45+Projects!$D$45),Projects!$B$45*(Assumptions!$B$10+Assumptions!$B$11+Assumptions!$B$12)/Projects!$D$45*0.95,0)-IF(AND(Projects!$G$45="Yes",AS$3=Projects!$C$45+Projects!$D$45-1),Projects!$B$45*(Assumptions!$B$10+Assumptions!$B$11+Assumptions!$B$12)*0.05,0)</f>
        <v>0</v>
      </c>
      <c r="AT54" s="30" t="n">
        <f aca="false">IF(AND(Projects!$G$45="Yes",AT$3&gt;=Projects!$C$45,AT$3&lt;Projects!$C$45+Projects!$D$45),Projects!$B$45*INDEX(Curves!$B$4:$AR$4,1,AT$3-Projects!$C$45+1),0)-IF(AND(Projects!$G$45="Yes",AT$3&gt;=Projects!$C$45,AT$3&lt;Projects!$C$45+Projects!$D$45),Projects!$B$45*(Assumptions!$B$10+Assumptions!$B$11+Assumptions!$B$12)/Projects!$D$45*0.95,0)-IF(AND(Projects!$G$45="Yes",AT$3=Projects!$C$45+Projects!$D$45-1),Projects!$B$45*(Assumptions!$B$10+Assumptions!$B$11+Assumptions!$B$12)*0.05,0)</f>
        <v>0</v>
      </c>
      <c r="AU54" s="30" t="n">
        <f aca="false">IF(AND(Projects!$G$45="Yes",AU$3&gt;=Projects!$C$45,AU$3&lt;Projects!$C$45+Projects!$D$45),Projects!$B$45*INDEX(Curves!$B$4:$AR$4,1,AU$3-Projects!$C$45+1),0)-IF(AND(Projects!$G$45="Yes",AU$3&gt;=Projects!$C$45,AU$3&lt;Projects!$C$45+Projects!$D$45),Projects!$B$45*(Assumptions!$B$10+Assumptions!$B$11+Assumptions!$B$12)/Projects!$D$45*0.95,0)-IF(AND(Projects!$G$45="Yes",AU$3=Projects!$C$45+Projects!$D$45-1),Projects!$B$45*(Assumptions!$B$10+Assumptions!$B$11+Assumptions!$B$12)*0.05,0)</f>
        <v>0</v>
      </c>
      <c r="AV54" s="30" t="n">
        <f aca="false">IF(AND(Projects!$G$45="Yes",AV$3&gt;=Projects!$C$45,AV$3&lt;Projects!$C$45+Projects!$D$45),Projects!$B$45*INDEX(Curves!$B$4:$AR$4,1,AV$3-Projects!$C$45+1),0)-IF(AND(Projects!$G$45="Yes",AV$3&gt;=Projects!$C$45,AV$3&lt;Projects!$C$45+Projects!$D$45),Projects!$B$45*(Assumptions!$B$10+Assumptions!$B$11+Assumptions!$B$12)/Projects!$D$45*0.95,0)-IF(AND(Projects!$G$45="Yes",AV$3=Projects!$C$45+Projects!$D$45-1),Projects!$B$45*(Assumptions!$B$10+Assumptions!$B$11+Assumptions!$B$12)*0.05,0)</f>
        <v>0</v>
      </c>
      <c r="AW54" s="30" t="n">
        <f aca="false">IF(AND(Projects!$G$45="Yes",AW$3&gt;=Projects!$C$45,AW$3&lt;Projects!$C$45+Projects!$D$45),Projects!$B$45*INDEX(Curves!$B$4:$AR$4,1,AW$3-Projects!$C$45+1),0)-IF(AND(Projects!$G$45="Yes",AW$3&gt;=Projects!$C$45,AW$3&lt;Projects!$C$45+Projects!$D$45),Projects!$B$45*(Assumptions!$B$10+Assumptions!$B$11+Assumptions!$B$12)/Projects!$D$45*0.95,0)-IF(AND(Projects!$G$45="Yes",AW$3=Projects!$C$45+Projects!$D$45-1),Projects!$B$45*(Assumptions!$B$10+Assumptions!$B$11+Assumptions!$B$12)*0.05,0)</f>
        <v>0</v>
      </c>
      <c r="AX54" s="30" t="n">
        <f aca="false">IF(AND(Projects!$G$45="Yes",AX$3&gt;=Projects!$C$45,AX$3&lt;Projects!$C$45+Projects!$D$45),Projects!$B$45*INDEX(Curves!$B$4:$AR$4,1,AX$3-Projects!$C$45+1),0)-IF(AND(Projects!$G$45="Yes",AX$3&gt;=Projects!$C$45,AX$3&lt;Projects!$C$45+Projects!$D$45),Projects!$B$45*(Assumptions!$B$10+Assumptions!$B$11+Assumptions!$B$12)/Projects!$D$45*0.95,0)-IF(AND(Projects!$G$45="Yes",AX$3=Projects!$C$45+Projects!$D$45-1),Projects!$B$45*(Assumptions!$B$10+Assumptions!$B$11+Assumptions!$B$12)*0.05,0)</f>
        <v>0</v>
      </c>
      <c r="AY54" s="30" t="n">
        <f aca="false">IF(AND(Projects!$G$45="Yes",AY$3&gt;=Projects!$C$45,AY$3&lt;Projects!$C$45+Projects!$D$45),Projects!$B$45*INDEX(Curves!$B$4:$AR$4,1,AY$3-Projects!$C$45+1),0)-IF(AND(Projects!$G$45="Yes",AY$3&gt;=Projects!$C$45,AY$3&lt;Projects!$C$45+Projects!$D$45),Projects!$B$45*(Assumptions!$B$10+Assumptions!$B$11+Assumptions!$B$12)/Projects!$D$45*0.95,0)-IF(AND(Projects!$G$45="Yes",AY$3=Projects!$C$45+Projects!$D$45-1),Projects!$B$45*(Assumptions!$B$10+Assumptions!$B$11+Assumptions!$B$12)*0.05,0)</f>
        <v>0</v>
      </c>
      <c r="AZ54" s="30" t="n">
        <f aca="false">IF(AND(Projects!$G$45="Yes",AZ$3&gt;=Projects!$C$45,AZ$3&lt;Projects!$C$45+Projects!$D$45),Projects!$B$45*INDEX(Curves!$B$4:$AR$4,1,AZ$3-Projects!$C$45+1),0)-IF(AND(Projects!$G$45="Yes",AZ$3&gt;=Projects!$C$45,AZ$3&lt;Projects!$C$45+Projects!$D$45),Projects!$B$45*(Assumptions!$B$10+Assumptions!$B$11+Assumptions!$B$12)/Projects!$D$45*0.95,0)-IF(AND(Projects!$G$45="Yes",AZ$3=Projects!$C$45+Projects!$D$45-1),Projects!$B$45*(Assumptions!$B$10+Assumptions!$B$11+Assumptions!$B$12)*0.05,0)</f>
        <v>0</v>
      </c>
      <c r="BA54" s="30" t="n">
        <f aca="false">IF(AND(Projects!$G$45="Yes",BA$3&gt;=Projects!$C$45,BA$3&lt;Projects!$C$45+Projects!$D$45),Projects!$B$45*INDEX(Curves!$B$4:$AR$4,1,BA$3-Projects!$C$45+1),0)-IF(AND(Projects!$G$45="Yes",BA$3&gt;=Projects!$C$45,BA$3&lt;Projects!$C$45+Projects!$D$45),Projects!$B$45*(Assumptions!$B$10+Assumptions!$B$11+Assumptions!$B$12)/Projects!$D$45*0.95,0)-IF(AND(Projects!$G$45="Yes",BA$3=Projects!$C$45+Projects!$D$45-1),Projects!$B$45*(Assumptions!$B$10+Assumptions!$B$11+Assumptions!$B$12)*0.05,0)</f>
        <v>0</v>
      </c>
      <c r="BB54" s="30" t="n">
        <f aca="false">IF(AND(Projects!$G$45="Yes",BB$3&gt;=Projects!$C$45,BB$3&lt;Projects!$C$45+Projects!$D$45),Projects!$B$45*INDEX(Curves!$B$4:$AR$4,1,BB$3-Projects!$C$45+1),0)-IF(AND(Projects!$G$45="Yes",BB$3&gt;=Projects!$C$45,BB$3&lt;Projects!$C$45+Projects!$D$45),Projects!$B$45*(Assumptions!$B$10+Assumptions!$B$11+Assumptions!$B$12)/Projects!$D$45*0.95,0)-IF(AND(Projects!$G$45="Yes",BB$3=Projects!$C$45+Projects!$D$45-1),Projects!$B$45*(Assumptions!$B$10+Assumptions!$B$11+Assumptions!$B$12)*0.05,0)</f>
        <v>0</v>
      </c>
      <c r="BC54" s="30" t="n">
        <f aca="false">IF(AND(Projects!$G$45="Yes",BC$3&gt;=Projects!$C$45,BC$3&lt;Projects!$C$45+Projects!$D$45),Projects!$B$45*INDEX(Curves!$B$4:$AR$4,1,BC$3-Projects!$C$45+1),0)-IF(AND(Projects!$G$45="Yes",BC$3&gt;=Projects!$C$45,BC$3&lt;Projects!$C$45+Projects!$D$45),Projects!$B$45*(Assumptions!$B$10+Assumptions!$B$11+Assumptions!$B$12)/Projects!$D$45*0.95,0)-IF(AND(Projects!$G$45="Yes",BC$3=Projects!$C$45+Projects!$D$45-1),Projects!$B$45*(Assumptions!$B$10+Assumptions!$B$11+Assumptions!$B$12)*0.05,0)</f>
        <v>0</v>
      </c>
      <c r="BD54" s="30" t="n">
        <f aca="false">IF(AND(Projects!$G$45="Yes",BD$3&gt;=Projects!$C$45,BD$3&lt;Projects!$C$45+Projects!$D$45),Projects!$B$45*INDEX(Curves!$B$4:$AR$4,1,BD$3-Projects!$C$45+1),0)-IF(AND(Projects!$G$45="Yes",BD$3&gt;=Projects!$C$45,BD$3&lt;Projects!$C$45+Projects!$D$45),Projects!$B$45*(Assumptions!$B$10+Assumptions!$B$11+Assumptions!$B$12)/Projects!$D$45*0.95,0)-IF(AND(Projects!$G$45="Yes",BD$3=Projects!$C$45+Projects!$D$45-1),Projects!$B$45*(Assumptions!$B$10+Assumptions!$B$11+Assumptions!$B$12)*0.05,0)</f>
        <v>0</v>
      </c>
      <c r="BE54" s="30" t="n">
        <f aca="false">IF(AND(Projects!$G$45="Yes",BE$3&gt;=Projects!$C$45,BE$3&lt;Projects!$C$45+Projects!$D$45),Projects!$B$45*INDEX(Curves!$B$4:$AR$4,1,BE$3-Projects!$C$45+1),0)-IF(AND(Projects!$G$45="Yes",BE$3&gt;=Projects!$C$45,BE$3&lt;Projects!$C$45+Projects!$D$45),Projects!$B$45*(Assumptions!$B$10+Assumptions!$B$11+Assumptions!$B$12)/Projects!$D$45*0.95,0)-IF(AND(Projects!$G$45="Yes",BE$3=Projects!$C$45+Projects!$D$45-1),Projects!$B$45*(Assumptions!$B$10+Assumptions!$B$11+Assumptions!$B$12)*0.05,0)</f>
        <v>0</v>
      </c>
      <c r="BF54" s="30" t="n">
        <f aca="false">IF(AND(Projects!$G$45="Yes",BF$3&gt;=Projects!$C$45,BF$3&lt;Projects!$C$45+Projects!$D$45),Projects!$B$45*INDEX(Curves!$B$4:$AR$4,1,BF$3-Projects!$C$45+1),0)-IF(AND(Projects!$G$45="Yes",BF$3&gt;=Projects!$C$45,BF$3&lt;Projects!$C$45+Projects!$D$45),Projects!$B$45*(Assumptions!$B$10+Assumptions!$B$11+Assumptions!$B$12)/Projects!$D$45*0.95,0)-IF(AND(Projects!$G$45="Yes",BF$3=Projects!$C$45+Projects!$D$45-1),Projects!$B$45*(Assumptions!$B$10+Assumptions!$B$11+Assumptions!$B$12)*0.05,0)</f>
        <v>0</v>
      </c>
      <c r="BG54" s="30" t="n">
        <f aca="false">IF(AND(Projects!$G$45="Yes",BG$3&gt;=Projects!$C$45,BG$3&lt;Projects!$C$45+Projects!$D$45),Projects!$B$45*INDEX(Curves!$B$4:$AR$4,1,BG$3-Projects!$C$45+1),0)-IF(AND(Projects!$G$45="Yes",BG$3&gt;=Projects!$C$45,BG$3&lt;Projects!$C$45+Projects!$D$45),Projects!$B$45*(Assumptions!$B$10+Assumptions!$B$11+Assumptions!$B$12)/Projects!$D$45*0.95,0)-IF(AND(Projects!$G$45="Yes",BG$3=Projects!$C$45+Projects!$D$45-1),Projects!$B$45*(Assumptions!$B$10+Assumptions!$B$11+Assumptions!$B$12)*0.05,0)</f>
        <v>0</v>
      </c>
      <c r="BH54" s="30" t="n">
        <f aca="false">IF(AND(Projects!$G$45="Yes",BH$3&gt;=Projects!$C$45,BH$3&lt;Projects!$C$45+Projects!$D$45),Projects!$B$45*INDEX(Curves!$B$4:$AR$4,1,BH$3-Projects!$C$45+1),0)-IF(AND(Projects!$G$45="Yes",BH$3&gt;=Projects!$C$45,BH$3&lt;Projects!$C$45+Projects!$D$45),Projects!$B$45*(Assumptions!$B$10+Assumptions!$B$11+Assumptions!$B$12)/Projects!$D$45*0.95,0)-IF(AND(Projects!$G$45="Yes",BH$3=Projects!$C$45+Projects!$D$45-1),Projects!$B$45*(Assumptions!$B$10+Assumptions!$B$11+Assumptions!$B$12)*0.05,0)</f>
        <v>0</v>
      </c>
      <c r="BI54" s="30" t="n">
        <f aca="false">IF(AND(Projects!$G$45="Yes",BI$3&gt;=Projects!$C$45,BI$3&lt;Projects!$C$45+Projects!$D$45),Projects!$B$45*INDEX(Curves!$B$4:$AR$4,1,BI$3-Projects!$C$45+1),0)-IF(AND(Projects!$G$45="Yes",BI$3&gt;=Projects!$C$45,BI$3&lt;Projects!$C$45+Projects!$D$45),Projects!$B$45*(Assumptions!$B$10+Assumptions!$B$11+Assumptions!$B$12)/Projects!$D$45*0.95,0)-IF(AND(Projects!$G$45="Yes",BI$3=Projects!$C$45+Projects!$D$45-1),Projects!$B$45*(Assumptions!$B$10+Assumptions!$B$11+Assumptions!$B$12)*0.05,0)</f>
        <v>0</v>
      </c>
      <c r="BJ54" s="30" t="n">
        <f aca="false">IF(AND(Projects!$G$45="Yes",BJ$3&gt;=Projects!$C$45,BJ$3&lt;Projects!$C$45+Projects!$D$45),Projects!$B$45*INDEX(Curves!$B$4:$AR$4,1,BJ$3-Projects!$C$45+1),0)-IF(AND(Projects!$G$45="Yes",BJ$3&gt;=Projects!$C$45,BJ$3&lt;Projects!$C$45+Projects!$D$45),Projects!$B$45*(Assumptions!$B$10+Assumptions!$B$11+Assumptions!$B$12)/Projects!$D$45*0.95,0)-IF(AND(Projects!$G$45="Yes",BJ$3=Projects!$C$45+Projects!$D$45-1),Projects!$B$45*(Assumptions!$B$10+Assumptions!$B$11+Assumptions!$B$12)*0.05,0)</f>
        <v>0</v>
      </c>
      <c r="BK54" s="30" t="n">
        <f aca="false">IF(AND(Projects!$G$45="Yes",BK$3&gt;=Projects!$C$45,BK$3&lt;Projects!$C$45+Projects!$D$45),Projects!$B$45*INDEX(Curves!$B$4:$AR$4,1,BK$3-Projects!$C$45+1),0)-IF(AND(Projects!$G$45="Yes",BK$3&gt;=Projects!$C$45,BK$3&lt;Projects!$C$45+Projects!$D$45),Projects!$B$45*(Assumptions!$B$10+Assumptions!$B$11+Assumptions!$B$12)/Projects!$D$45*0.95,0)-IF(AND(Projects!$G$45="Yes",BK$3=Projects!$C$45+Projects!$D$45-1),Projects!$B$45*(Assumptions!$B$10+Assumptions!$B$11+Assumptions!$B$12)*0.05,0)</f>
        <v>0</v>
      </c>
      <c r="BL54" s="30" t="n">
        <f aca="false">IF(AND(Projects!$G$45="Yes",BL$3&gt;=Projects!$C$45,BL$3&lt;Projects!$C$45+Projects!$D$45),Projects!$B$45*INDEX(Curves!$B$4:$AR$4,1,BL$3-Projects!$C$45+1),0)-IF(AND(Projects!$G$45="Yes",BL$3&gt;=Projects!$C$45,BL$3&lt;Projects!$C$45+Projects!$D$45),Projects!$B$45*(Assumptions!$B$10+Assumptions!$B$11+Assumptions!$B$12)/Projects!$D$45*0.95,0)-IF(AND(Projects!$G$45="Yes",BL$3=Projects!$C$45+Projects!$D$45-1),Projects!$B$45*(Assumptions!$B$10+Assumptions!$B$11+Assumptions!$B$12)*0.05,0)</f>
        <v>0</v>
      </c>
      <c r="BM54" s="30" t="n">
        <f aca="false">IF(AND(Projects!$G$45="Yes",BM$3&gt;=Projects!$C$45,BM$3&lt;Projects!$C$45+Projects!$D$45),Projects!$B$45*INDEX(Curves!$B$4:$AR$4,1,BM$3-Projects!$C$45+1),0)-IF(AND(Projects!$G$45="Yes",BM$3&gt;=Projects!$C$45,BM$3&lt;Projects!$C$45+Projects!$D$45),Projects!$B$45*(Assumptions!$B$10+Assumptions!$B$11+Assumptions!$B$12)/Projects!$D$45*0.95,0)-IF(AND(Projects!$G$45="Yes",BM$3=Projects!$C$45+Projects!$D$45-1),Projects!$B$45*(Assumptions!$B$10+Assumptions!$B$11+Assumptions!$B$12)*0.05,0)</f>
        <v>0</v>
      </c>
      <c r="BN54" s="30" t="n">
        <f aca="false">IF(AND(Projects!$G$45="Yes",BN$3&gt;=Projects!$C$45,BN$3&lt;Projects!$C$45+Projects!$D$45),Projects!$B$45*INDEX(Curves!$B$4:$AR$4,1,BN$3-Projects!$C$45+1),0)-IF(AND(Projects!$G$45="Yes",BN$3&gt;=Projects!$C$45,BN$3&lt;Projects!$C$45+Projects!$D$45),Projects!$B$45*(Assumptions!$B$10+Assumptions!$B$11+Assumptions!$B$12)/Projects!$D$45*0.95,0)-IF(AND(Projects!$G$45="Yes",BN$3=Projects!$C$45+Projects!$D$45-1),Projects!$B$45*(Assumptions!$B$10+Assumptions!$B$11+Assumptions!$B$12)*0.05,0)</f>
        <v>0</v>
      </c>
      <c r="BO54" s="30" t="n">
        <f aca="false">IF(AND(Projects!$G$45="Yes",BO$3&gt;=Projects!$C$45,BO$3&lt;Projects!$C$45+Projects!$D$45),Projects!$B$45*INDEX(Curves!$B$4:$AR$4,1,BO$3-Projects!$C$45+1),0)-IF(AND(Projects!$G$45="Yes",BO$3&gt;=Projects!$C$45,BO$3&lt;Projects!$C$45+Projects!$D$45),Projects!$B$45*(Assumptions!$B$10+Assumptions!$B$11+Assumptions!$B$12)/Projects!$D$45*0.95,0)-IF(AND(Projects!$G$45="Yes",BO$3=Projects!$C$45+Projects!$D$45-1),Projects!$B$45*(Assumptions!$B$10+Assumptions!$B$11+Assumptions!$B$12)*0.05,0)</f>
        <v>0</v>
      </c>
      <c r="BP54" s="30" t="n">
        <f aca="false">IF(AND(Projects!$G$45="Yes",BP$3&gt;=Projects!$C$45,BP$3&lt;Projects!$C$45+Projects!$D$45),Projects!$B$45*INDEX(Curves!$B$4:$AR$4,1,BP$3-Projects!$C$45+1),0)-IF(AND(Projects!$G$45="Yes",BP$3&gt;=Projects!$C$45,BP$3&lt;Projects!$C$45+Projects!$D$45),Projects!$B$45*(Assumptions!$B$10+Assumptions!$B$11+Assumptions!$B$12)/Projects!$D$45*0.95,0)-IF(AND(Projects!$G$45="Yes",BP$3=Projects!$C$45+Projects!$D$45-1),Projects!$B$45*(Assumptions!$B$10+Assumptions!$B$11+Assumptions!$B$12)*0.05,0)</f>
        <v>0</v>
      </c>
      <c r="BQ54" s="30" t="n">
        <f aca="false">IF(AND(Projects!$G$45="Yes",BQ$3&gt;=Projects!$C$45,BQ$3&lt;Projects!$C$45+Projects!$D$45),Projects!$B$45*INDEX(Curves!$B$4:$AR$4,1,BQ$3-Projects!$C$45+1),0)-IF(AND(Projects!$G$45="Yes",BQ$3&gt;=Projects!$C$45,BQ$3&lt;Projects!$C$45+Projects!$D$45),Projects!$B$45*(Assumptions!$B$10+Assumptions!$B$11+Assumptions!$B$12)/Projects!$D$45*0.95,0)-IF(AND(Projects!$G$45="Yes",BQ$3=Projects!$C$45+Projects!$D$45-1),Projects!$B$45*(Assumptions!$B$10+Assumptions!$B$11+Assumptions!$B$12)*0.05,0)</f>
        <v>0</v>
      </c>
      <c r="BR54" s="30" t="n">
        <f aca="false">IF(AND(Projects!$G$45="Yes",BR$3&gt;=Projects!$C$45,BR$3&lt;Projects!$C$45+Projects!$D$45),Projects!$B$45*INDEX(Curves!$B$4:$AR$4,1,BR$3-Projects!$C$45+1),0)-IF(AND(Projects!$G$45="Yes",BR$3&gt;=Projects!$C$45,BR$3&lt;Projects!$C$45+Projects!$D$45),Projects!$B$45*(Assumptions!$B$10+Assumptions!$B$11+Assumptions!$B$12)/Projects!$D$45*0.95,0)-IF(AND(Projects!$G$45="Yes",BR$3=Projects!$C$45+Projects!$D$45-1),Projects!$B$45*(Assumptions!$B$10+Assumptions!$B$11+Assumptions!$B$12)*0.05,0)</f>
        <v>0</v>
      </c>
      <c r="BS54" s="30" t="n">
        <f aca="false">IF(AND(Projects!$G$45="Yes",BS$3&gt;=Projects!$C$45,BS$3&lt;Projects!$C$45+Projects!$D$45),Projects!$B$45*INDEX(Curves!$B$4:$AR$4,1,BS$3-Projects!$C$45+1),0)-IF(AND(Projects!$G$45="Yes",BS$3&gt;=Projects!$C$45,BS$3&lt;Projects!$C$45+Projects!$D$45),Projects!$B$45*(Assumptions!$B$10+Assumptions!$B$11+Assumptions!$B$12)/Projects!$D$45*0.95,0)-IF(AND(Projects!$G$45="Yes",BS$3=Projects!$C$45+Projects!$D$45-1),Projects!$B$45*(Assumptions!$B$10+Assumptions!$B$11+Assumptions!$B$12)*0.05,0)</f>
        <v>0</v>
      </c>
      <c r="BT54" s="30" t="n">
        <f aca="false">IF(AND(Projects!$G$45="Yes",BT$3&gt;=Projects!$C$45,BT$3&lt;Projects!$C$45+Projects!$D$45),Projects!$B$45*INDEX(Curves!$B$4:$AR$4,1,BT$3-Projects!$C$45+1),0)-IF(AND(Projects!$G$45="Yes",BT$3&gt;=Projects!$C$45,BT$3&lt;Projects!$C$45+Projects!$D$45),Projects!$B$45*(Assumptions!$B$10+Assumptions!$B$11+Assumptions!$B$12)/Projects!$D$45*0.95,0)-IF(AND(Projects!$G$45="Yes",BT$3=Projects!$C$45+Projects!$D$45-1),Projects!$B$45*(Assumptions!$B$10+Assumptions!$B$11+Assumptions!$B$12)*0.05,0)</f>
        <v>0</v>
      </c>
      <c r="BU54" s="30" t="n">
        <f aca="false">IF(AND(Projects!$G$45="Yes",BU$3&gt;=Projects!$C$45,BU$3&lt;Projects!$C$45+Projects!$D$45),Projects!$B$45*INDEX(Curves!$B$4:$AR$4,1,BU$3-Projects!$C$45+1),0)-IF(AND(Projects!$G$45="Yes",BU$3&gt;=Projects!$C$45,BU$3&lt;Projects!$C$45+Projects!$D$45),Projects!$B$45*(Assumptions!$B$10+Assumptions!$B$11+Assumptions!$B$12)/Projects!$D$45*0.95,0)-IF(AND(Projects!$G$45="Yes",BU$3=Projects!$C$45+Projects!$D$45-1),Projects!$B$45*(Assumptions!$B$10+Assumptions!$B$11+Assumptions!$B$12)*0.05,0)</f>
        <v>0</v>
      </c>
      <c r="BV54" s="30" t="n">
        <f aca="false">IF(AND(Projects!$G$45="Yes",BV$3&gt;=Projects!$C$45,BV$3&lt;Projects!$C$45+Projects!$D$45),Projects!$B$45*INDEX(Curves!$B$4:$AR$4,1,BV$3-Projects!$C$45+1),0)-IF(AND(Projects!$G$45="Yes",BV$3&gt;=Projects!$C$45,BV$3&lt;Projects!$C$45+Projects!$D$45),Projects!$B$45*(Assumptions!$B$10+Assumptions!$B$11+Assumptions!$B$12)/Projects!$D$45*0.95,0)-IF(AND(Projects!$G$45="Yes",BV$3=Projects!$C$45+Projects!$D$45-1),Projects!$B$45*(Assumptions!$B$10+Assumptions!$B$11+Assumptions!$B$12)*0.05,0)</f>
        <v>0</v>
      </c>
      <c r="BW54" s="30" t="n">
        <f aca="false">IF(AND(Projects!$G$45="Yes",BW$3&gt;=Projects!$C$45,BW$3&lt;Projects!$C$45+Projects!$D$45),Projects!$B$45*INDEX(Curves!$B$4:$AR$4,1,BW$3-Projects!$C$45+1),0)-IF(AND(Projects!$G$45="Yes",BW$3&gt;=Projects!$C$45,BW$3&lt;Projects!$C$45+Projects!$D$45),Projects!$B$45*(Assumptions!$B$10+Assumptions!$B$11+Assumptions!$B$12)/Projects!$D$45*0.95,0)-IF(AND(Projects!$G$45="Yes",BW$3=Projects!$C$45+Projects!$D$45-1),Projects!$B$45*(Assumptions!$B$10+Assumptions!$B$11+Assumptions!$B$12)*0.05,0)</f>
        <v>0</v>
      </c>
      <c r="BX54" s="30" t="n">
        <f aca="false">IF(AND(Projects!$G$45="Yes",BX$3&gt;=Projects!$C$45,BX$3&lt;Projects!$C$45+Projects!$D$45),Projects!$B$45*INDEX(Curves!$B$4:$AR$4,1,BX$3-Projects!$C$45+1),0)-IF(AND(Projects!$G$45="Yes",BX$3&gt;=Projects!$C$45,BX$3&lt;Projects!$C$45+Projects!$D$45),Projects!$B$45*(Assumptions!$B$10+Assumptions!$B$11+Assumptions!$B$12)/Projects!$D$45*0.95,0)-IF(AND(Projects!$G$45="Yes",BX$3=Projects!$C$45+Projects!$D$45-1),Projects!$B$45*(Assumptions!$B$10+Assumptions!$B$11+Assumptions!$B$12)*0.05,0)</f>
        <v>0</v>
      </c>
      <c r="BY54" s="30" t="n">
        <f aca="false">IF(AND(Projects!$G$45="Yes",BY$3&gt;=Projects!$C$45,BY$3&lt;Projects!$C$45+Projects!$D$45),Projects!$B$45*INDEX(Curves!$B$4:$AR$4,1,BY$3-Projects!$C$45+1),0)-IF(AND(Projects!$G$45="Yes",BY$3&gt;=Projects!$C$45,BY$3&lt;Projects!$C$45+Projects!$D$45),Projects!$B$45*(Assumptions!$B$10+Assumptions!$B$11+Assumptions!$B$12)/Projects!$D$45*0.95,0)-IF(AND(Projects!$G$45="Yes",BY$3=Projects!$C$45+Projects!$D$45-1),Projects!$B$45*(Assumptions!$B$10+Assumptions!$B$11+Assumptions!$B$12)*0.05,0)</f>
        <v>0</v>
      </c>
      <c r="BZ54" s="30" t="n">
        <f aca="false">IF(AND(Projects!$G$45="Yes",BZ$3&gt;=Projects!$C$45,BZ$3&lt;Projects!$C$45+Projects!$D$45),Projects!$B$45*INDEX(Curves!$B$4:$AR$4,1,BZ$3-Projects!$C$45+1),0)-IF(AND(Projects!$G$45="Yes",BZ$3&gt;=Projects!$C$45,BZ$3&lt;Projects!$C$45+Projects!$D$45),Projects!$B$45*(Assumptions!$B$10+Assumptions!$B$11+Assumptions!$B$12)/Projects!$D$45*0.95,0)-IF(AND(Projects!$G$45="Yes",BZ$3=Projects!$C$45+Projects!$D$45-1),Projects!$B$45*(Assumptions!$B$10+Assumptions!$B$11+Assumptions!$B$12)*0.05,0)</f>
        <v>0</v>
      </c>
      <c r="CA54" s="30" t="n">
        <f aca="false">IF(AND(Projects!$G$45="Yes",CA$3&gt;=Projects!$C$45,CA$3&lt;Projects!$C$45+Projects!$D$45),Projects!$B$45*INDEX(Curves!$B$4:$AR$4,1,CA$3-Projects!$C$45+1),0)-IF(AND(Projects!$G$45="Yes",CA$3&gt;=Projects!$C$45,CA$3&lt;Projects!$C$45+Projects!$D$45),Projects!$B$45*(Assumptions!$B$10+Assumptions!$B$11+Assumptions!$B$12)/Projects!$D$45*0.95,0)-IF(AND(Projects!$G$45="Yes",CA$3=Projects!$C$45+Projects!$D$45-1),Projects!$B$45*(Assumptions!$B$10+Assumptions!$B$11+Assumptions!$B$12)*0.05,0)</f>
        <v>0</v>
      </c>
      <c r="CB54" s="30" t="n">
        <f aca="false">IF(AND(Projects!$G$45="Yes",CB$3&gt;=Projects!$C$45,CB$3&lt;Projects!$C$45+Projects!$D$45),Projects!$B$45*INDEX(Curves!$B$4:$AR$4,1,CB$3-Projects!$C$45+1),0)-IF(AND(Projects!$G$45="Yes",CB$3&gt;=Projects!$C$45,CB$3&lt;Projects!$C$45+Projects!$D$45),Projects!$B$45*(Assumptions!$B$10+Assumptions!$B$11+Assumptions!$B$12)/Projects!$D$45*0.95,0)-IF(AND(Projects!$G$45="Yes",CB$3=Projects!$C$45+Projects!$D$45-1),Projects!$B$45*(Assumptions!$B$10+Assumptions!$B$11+Assumptions!$B$12)*0.05,0)</f>
        <v>0</v>
      </c>
      <c r="CC54" s="30" t="n">
        <f aca="false">IF(AND(Projects!$G$45="Yes",CC$3&gt;=Projects!$C$45,CC$3&lt;Projects!$C$45+Projects!$D$45),Projects!$B$45*INDEX(Curves!$B$4:$AR$4,1,CC$3-Projects!$C$45+1),0)-IF(AND(Projects!$G$45="Yes",CC$3&gt;=Projects!$C$45,CC$3&lt;Projects!$C$45+Projects!$D$45),Projects!$B$45*(Assumptions!$B$10+Assumptions!$B$11+Assumptions!$B$12)/Projects!$D$45*0.95,0)-IF(AND(Projects!$G$45="Yes",CC$3=Projects!$C$45+Projects!$D$45-1),Projects!$B$45*(Assumptions!$B$10+Assumptions!$B$11+Assumptions!$B$12)*0.05,0)</f>
        <v>0</v>
      </c>
      <c r="CD54" s="30" t="n">
        <f aca="false">IF(AND(Projects!$G$45="Yes",CD$3&gt;=Projects!$C$45,CD$3&lt;Projects!$C$45+Projects!$D$45),Projects!$B$45*INDEX(Curves!$B$4:$AR$4,1,CD$3-Projects!$C$45+1),0)-IF(AND(Projects!$G$45="Yes",CD$3&gt;=Projects!$C$45,CD$3&lt;Projects!$C$45+Projects!$D$45),Projects!$B$45*(Assumptions!$B$10+Assumptions!$B$11+Assumptions!$B$12)/Projects!$D$45*0.95,0)-IF(AND(Projects!$G$45="Yes",CD$3=Projects!$C$45+Projects!$D$45-1),Projects!$B$45*(Assumptions!$B$10+Assumptions!$B$11+Assumptions!$B$12)*0.05,0)</f>
        <v>0</v>
      </c>
      <c r="CE54" s="30" t="n">
        <f aca="false">IF(AND(Projects!$G$45="Yes",CE$3&gt;=Projects!$C$45,CE$3&lt;Projects!$C$45+Projects!$D$45),Projects!$B$45*INDEX(Curves!$B$4:$AR$4,1,CE$3-Projects!$C$45+1),0)-IF(AND(Projects!$G$45="Yes",CE$3&gt;=Projects!$C$45,CE$3&lt;Projects!$C$45+Projects!$D$45),Projects!$B$45*(Assumptions!$B$10+Assumptions!$B$11+Assumptions!$B$12)/Projects!$D$45*0.95,0)-IF(AND(Projects!$G$45="Yes",CE$3=Projects!$C$45+Projects!$D$45-1),Projects!$B$45*(Assumptions!$B$10+Assumptions!$B$11+Assumptions!$B$12)*0.05,0)</f>
        <v>0</v>
      </c>
      <c r="CF54" s="30" t="n">
        <f aca="false">IF(AND(Projects!$G$45="Yes",CF$3&gt;=Projects!$C$45,CF$3&lt;Projects!$C$45+Projects!$D$45),Projects!$B$45*INDEX(Curves!$B$4:$AR$4,1,CF$3-Projects!$C$45+1),0)-IF(AND(Projects!$G$45="Yes",CF$3&gt;=Projects!$C$45,CF$3&lt;Projects!$C$45+Projects!$D$45),Projects!$B$45*(Assumptions!$B$10+Assumptions!$B$11+Assumptions!$B$12)/Projects!$D$45*0.95,0)-IF(AND(Projects!$G$45="Yes",CF$3=Projects!$C$45+Projects!$D$45-1),Projects!$B$45*(Assumptions!$B$10+Assumptions!$B$11+Assumptions!$B$12)*0.05,0)</f>
        <v>0</v>
      </c>
      <c r="CG54" s="30" t="n">
        <f aca="false">IF(AND(Projects!$G$45="Yes",CG$3&gt;=Projects!$C$45,CG$3&lt;Projects!$C$45+Projects!$D$45),Projects!$B$45*INDEX(Curves!$B$4:$AR$4,1,CG$3-Projects!$C$45+1),0)-IF(AND(Projects!$G$45="Yes",CG$3&gt;=Projects!$C$45,CG$3&lt;Projects!$C$45+Projects!$D$45),Projects!$B$45*(Assumptions!$B$10+Assumptions!$B$11+Assumptions!$B$12)/Projects!$D$45*0.95,0)-IF(AND(Projects!$G$45="Yes",CG$3=Projects!$C$45+Projects!$D$45-1),Projects!$B$45*(Assumptions!$B$10+Assumptions!$B$11+Assumptions!$B$12)*0.05,0)</f>
        <v>0</v>
      </c>
      <c r="CH54" s="30" t="n">
        <f aca="false">IF(AND(Projects!$G$45="Yes",CH$3&gt;=Projects!$C$45,CH$3&lt;Projects!$C$45+Projects!$D$45),Projects!$B$45*INDEX(Curves!$B$4:$AR$4,1,CH$3-Projects!$C$45+1),0)-IF(AND(Projects!$G$45="Yes",CH$3&gt;=Projects!$C$45,CH$3&lt;Projects!$C$45+Projects!$D$45),Projects!$B$45*(Assumptions!$B$10+Assumptions!$B$11+Assumptions!$B$12)/Projects!$D$45*0.95,0)-IF(AND(Projects!$G$45="Yes",CH$3=Projects!$C$45+Projects!$D$45-1),Projects!$B$45*(Assumptions!$B$10+Assumptions!$B$11+Assumptions!$B$12)*0.05,0)</f>
        <v>0</v>
      </c>
      <c r="CI54" s="30" t="n">
        <f aca="false">IF(AND(Projects!$G$45="Yes",CI$3&gt;=Projects!$C$45,CI$3&lt;Projects!$C$45+Projects!$D$45),Projects!$B$45*INDEX(Curves!$B$4:$AR$4,1,CI$3-Projects!$C$45+1),0)-IF(AND(Projects!$G$45="Yes",CI$3&gt;=Projects!$C$45,CI$3&lt;Projects!$C$45+Projects!$D$45),Projects!$B$45*(Assumptions!$B$10+Assumptions!$B$11+Assumptions!$B$12)/Projects!$D$45*0.95,0)-IF(AND(Projects!$G$45="Yes",CI$3=Projects!$C$45+Projects!$D$45-1),Projects!$B$45*(Assumptions!$B$10+Assumptions!$B$11+Assumptions!$B$12)*0.05,0)</f>
        <v>0</v>
      </c>
      <c r="CJ54" s="30" t="n">
        <f aca="false">IF(AND(Projects!$G$45="Yes",CJ$3&gt;=Projects!$C$45,CJ$3&lt;Projects!$C$45+Projects!$D$45),Projects!$B$45*INDEX(Curves!$B$4:$AR$4,1,CJ$3-Projects!$C$45+1),0)-IF(AND(Projects!$G$45="Yes",CJ$3&gt;=Projects!$C$45,CJ$3&lt;Projects!$C$45+Projects!$D$45),Projects!$B$45*(Assumptions!$B$10+Assumptions!$B$11+Assumptions!$B$12)/Projects!$D$45*0.95,0)-IF(AND(Projects!$G$45="Yes",CJ$3=Projects!$C$45+Projects!$D$45-1),Projects!$B$45*(Assumptions!$B$10+Assumptions!$B$11+Assumptions!$B$12)*0.05,0)</f>
        <v>0</v>
      </c>
      <c r="CK54" s="30" t="n">
        <f aca="false">IF(AND(Projects!$G$45="Yes",CK$3&gt;=Projects!$C$45,CK$3&lt;Projects!$C$45+Projects!$D$45),Projects!$B$45*INDEX(Curves!$B$4:$AR$4,1,CK$3-Projects!$C$45+1),0)-IF(AND(Projects!$G$45="Yes",CK$3&gt;=Projects!$C$45,CK$3&lt;Projects!$C$45+Projects!$D$45),Projects!$B$45*(Assumptions!$B$10+Assumptions!$B$11+Assumptions!$B$12)/Projects!$D$45*0.95,0)-IF(AND(Projects!$G$45="Yes",CK$3=Projects!$C$45+Projects!$D$45-1),Projects!$B$45*(Assumptions!$B$10+Assumptions!$B$11+Assumptions!$B$12)*0.05,0)</f>
        <v>0</v>
      </c>
      <c r="CL54" s="30" t="n">
        <f aca="false">IF(AND(Projects!$G$45="Yes",CL$3&gt;=Projects!$C$45,CL$3&lt;Projects!$C$45+Projects!$D$45),Projects!$B$45*INDEX(Curves!$B$4:$AR$4,1,CL$3-Projects!$C$45+1),0)-IF(AND(Projects!$G$45="Yes",CL$3&gt;=Projects!$C$45,CL$3&lt;Projects!$C$45+Projects!$D$45),Projects!$B$45*(Assumptions!$B$10+Assumptions!$B$11+Assumptions!$B$12)/Projects!$D$45*0.95,0)-IF(AND(Projects!$G$45="Yes",CL$3=Projects!$C$45+Projects!$D$45-1),Projects!$B$45*(Assumptions!$B$10+Assumptions!$B$11+Assumptions!$B$12)*0.05,0)</f>
        <v>0</v>
      </c>
      <c r="CM54" s="30" t="n">
        <f aca="false">IF(AND(Projects!$G$45="Yes",CM$3&gt;=Projects!$C$45,CM$3&lt;Projects!$C$45+Projects!$D$45),Projects!$B$45*INDEX(Curves!$B$4:$AR$4,1,CM$3-Projects!$C$45+1),0)-IF(AND(Projects!$G$45="Yes",CM$3&gt;=Projects!$C$45,CM$3&lt;Projects!$C$45+Projects!$D$45),Projects!$B$45*(Assumptions!$B$10+Assumptions!$B$11+Assumptions!$B$12)/Projects!$D$45*0.95,0)-IF(AND(Projects!$G$45="Yes",CM$3=Projects!$C$45+Projects!$D$45-1),Projects!$B$45*(Assumptions!$B$10+Assumptions!$B$11+Assumptions!$B$12)*0.05,0)</f>
        <v>0</v>
      </c>
      <c r="CN54" s="30" t="n">
        <f aca="false">IF(AND(Projects!$G$45="Yes",CN$3&gt;=Projects!$C$45,CN$3&lt;Projects!$C$45+Projects!$D$45),Projects!$B$45*INDEX(Curves!$B$4:$AR$4,1,CN$3-Projects!$C$45+1),0)-IF(AND(Projects!$G$45="Yes",CN$3&gt;=Projects!$C$45,CN$3&lt;Projects!$C$45+Projects!$D$45),Projects!$B$45*(Assumptions!$B$10+Assumptions!$B$11+Assumptions!$B$12)/Projects!$D$45*0.95,0)-IF(AND(Projects!$G$45="Yes",CN$3=Projects!$C$45+Projects!$D$45-1),Projects!$B$45*(Assumptions!$B$10+Assumptions!$B$11+Assumptions!$B$12)*0.05,0)</f>
        <v>0</v>
      </c>
      <c r="CO54" s="30" t="n">
        <f aca="false">IF(AND(Projects!$G$45="Yes",CO$3&gt;=Projects!$C$45,CO$3&lt;Projects!$C$45+Projects!$D$45),Projects!$B$45*INDEX(Curves!$B$4:$AR$4,1,CO$3-Projects!$C$45+1),0)-IF(AND(Projects!$G$45="Yes",CO$3&gt;=Projects!$C$45,CO$3&lt;Projects!$C$45+Projects!$D$45),Projects!$B$45*(Assumptions!$B$10+Assumptions!$B$11+Assumptions!$B$12)/Projects!$D$45*0.95,0)-IF(AND(Projects!$G$45="Yes",CO$3=Projects!$C$45+Projects!$D$45-1),Projects!$B$45*(Assumptions!$B$10+Assumptions!$B$11+Assumptions!$B$12)*0.05,0)</f>
        <v>0</v>
      </c>
      <c r="CP54" s="30" t="n">
        <f aca="false">IF(AND(Projects!$G$45="Yes",CP$3&gt;=Projects!$C$45,CP$3&lt;Projects!$C$45+Projects!$D$45),Projects!$B$45*INDEX(Curves!$B$4:$AR$4,1,CP$3-Projects!$C$45+1),0)-IF(AND(Projects!$G$45="Yes",CP$3&gt;=Projects!$C$45,CP$3&lt;Projects!$C$45+Projects!$D$45),Projects!$B$45*(Assumptions!$B$10+Assumptions!$B$11+Assumptions!$B$12)/Projects!$D$45*0.95,0)-IF(AND(Projects!$G$45="Yes",CP$3=Projects!$C$45+Projects!$D$45-1),Projects!$B$45*(Assumptions!$B$10+Assumptions!$B$11+Assumptions!$B$12)*0.05,0)</f>
        <v>0</v>
      </c>
      <c r="CQ54" s="30" t="n">
        <f aca="false">IF(AND(Projects!$G$45="Yes",CQ$3&gt;=Projects!$C$45,CQ$3&lt;Projects!$C$45+Projects!$D$45),Projects!$B$45*INDEX(Curves!$B$4:$AR$4,1,CQ$3-Projects!$C$45+1),0)-IF(AND(Projects!$G$45="Yes",CQ$3&gt;=Projects!$C$45,CQ$3&lt;Projects!$C$45+Projects!$D$45),Projects!$B$45*(Assumptions!$B$10+Assumptions!$B$11+Assumptions!$B$12)/Projects!$D$45*0.95,0)-IF(AND(Projects!$G$45="Yes",CQ$3=Projects!$C$45+Projects!$D$45-1),Projects!$B$45*(Assumptions!$B$10+Assumptions!$B$11+Assumptions!$B$12)*0.05,0)</f>
        <v>0</v>
      </c>
      <c r="CR54" s="30" t="n">
        <f aca="false">IF(AND(Projects!$G$45="Yes",CR$3&gt;=Projects!$C$45,CR$3&lt;Projects!$C$45+Projects!$D$45),Projects!$B$45*INDEX(Curves!$B$4:$AR$4,1,CR$3-Projects!$C$45+1),0)-IF(AND(Projects!$G$45="Yes",CR$3&gt;=Projects!$C$45,CR$3&lt;Projects!$C$45+Projects!$D$45),Projects!$B$45*(Assumptions!$B$10+Assumptions!$B$11+Assumptions!$B$12)/Projects!$D$45*0.95,0)-IF(AND(Projects!$G$45="Yes",CR$3=Projects!$C$45+Projects!$D$45-1),Projects!$B$45*(Assumptions!$B$10+Assumptions!$B$11+Assumptions!$B$12)*0.05,0)</f>
        <v>0</v>
      </c>
      <c r="CS54" s="30" t="n">
        <f aca="false">IF(AND(Projects!$G$45="Yes",CS$3&gt;=Projects!$C$45,CS$3&lt;Projects!$C$45+Projects!$D$45),Projects!$B$45*INDEX(Curves!$B$4:$AR$4,1,CS$3-Projects!$C$45+1),0)-IF(AND(Projects!$G$45="Yes",CS$3&gt;=Projects!$C$45,CS$3&lt;Projects!$C$45+Projects!$D$45),Projects!$B$45*(Assumptions!$B$10+Assumptions!$B$11+Assumptions!$B$12)/Projects!$D$45*0.95,0)-IF(AND(Projects!$G$45="Yes",CS$3=Projects!$C$45+Projects!$D$45-1),Projects!$B$45*(Assumptions!$B$10+Assumptions!$B$11+Assumptions!$B$12)*0.05,0)</f>
        <v>0</v>
      </c>
      <c r="CT54" s="30" t="n">
        <f aca="false">IF(AND(Projects!$G$45="Yes",CT$3&gt;=Projects!$C$45,CT$3&lt;Projects!$C$45+Projects!$D$45),Projects!$B$45*INDEX(Curves!$B$4:$AR$4,1,CT$3-Projects!$C$45+1),0)-IF(AND(Projects!$G$45="Yes",CT$3&gt;=Projects!$C$45,CT$3&lt;Projects!$C$45+Projects!$D$45),Projects!$B$45*(Assumptions!$B$10+Assumptions!$B$11+Assumptions!$B$12)/Projects!$D$45*0.95,0)-IF(AND(Projects!$G$45="Yes",CT$3=Projects!$C$45+Projects!$D$45-1),Projects!$B$45*(Assumptions!$B$10+Assumptions!$B$11+Assumptions!$B$12)*0.05,0)</f>
        <v>0</v>
      </c>
      <c r="CU54" s="30" t="n">
        <f aca="false">IF(AND(Projects!$G$45="Yes",CU$3&gt;=Projects!$C$45,CU$3&lt;Projects!$C$45+Projects!$D$45),Projects!$B$45*INDEX(Curves!$B$4:$AR$4,1,CU$3-Projects!$C$45+1),0)-IF(AND(Projects!$G$45="Yes",CU$3&gt;=Projects!$C$45,CU$3&lt;Projects!$C$45+Projects!$D$45),Projects!$B$45*(Assumptions!$B$10+Assumptions!$B$11+Assumptions!$B$12)/Projects!$D$45*0.95,0)-IF(AND(Projects!$G$45="Yes",CU$3=Projects!$C$45+Projects!$D$45-1),Projects!$B$45*(Assumptions!$B$10+Assumptions!$B$11+Assumptions!$B$12)*0.05,0)</f>
        <v>0</v>
      </c>
      <c r="CV54" s="30" t="n">
        <f aca="false">IF(AND(Projects!$G$45="Yes",CV$3&gt;=Projects!$C$45,CV$3&lt;Projects!$C$45+Projects!$D$45),Projects!$B$45*INDEX(Curves!$B$4:$AR$4,1,CV$3-Projects!$C$45+1),0)-IF(AND(Projects!$G$45="Yes",CV$3&gt;=Projects!$C$45,CV$3&lt;Projects!$C$45+Projects!$D$45),Projects!$B$45*(Assumptions!$B$10+Assumptions!$B$11+Assumptions!$B$12)/Projects!$D$45*0.95,0)-IF(AND(Projects!$G$45="Yes",CV$3=Projects!$C$45+Projects!$D$45-1),Projects!$B$45*(Assumptions!$B$10+Assumptions!$B$11+Assumptions!$B$12)*0.05,0)</f>
        <v>0</v>
      </c>
      <c r="CW54" s="30" t="n">
        <f aca="false">IF(AND(Projects!$G$45="Yes",CW$3&gt;=Projects!$C$45,CW$3&lt;Projects!$C$45+Projects!$D$45),Projects!$B$45*INDEX(Curves!$B$4:$AR$4,1,CW$3-Projects!$C$45+1),0)-IF(AND(Projects!$G$45="Yes",CW$3&gt;=Projects!$C$45,CW$3&lt;Projects!$C$45+Projects!$D$45),Projects!$B$45*(Assumptions!$B$10+Assumptions!$B$11+Assumptions!$B$12)/Projects!$D$45*0.95,0)-IF(AND(Projects!$G$45="Yes",CW$3=Projects!$C$45+Projects!$D$45-1),Projects!$B$45*(Assumptions!$B$10+Assumptions!$B$11+Assumptions!$B$12)*0.05,0)</f>
        <v>0</v>
      </c>
      <c r="CX54" s="30" t="n">
        <f aca="false">IF(AND(Projects!$G$45="Yes",CX$3&gt;=Projects!$C$45,CX$3&lt;Projects!$C$45+Projects!$D$45),Projects!$B$45*INDEX(Curves!$B$4:$AR$4,1,CX$3-Projects!$C$45+1),0)-IF(AND(Projects!$G$45="Yes",CX$3&gt;=Projects!$C$45,CX$3&lt;Projects!$C$45+Projects!$D$45),Projects!$B$45*(Assumptions!$B$10+Assumptions!$B$11+Assumptions!$B$12)/Projects!$D$45*0.95,0)-IF(AND(Projects!$G$45="Yes",CX$3=Projects!$C$45+Projects!$D$45-1),Projects!$B$45*(Assumptions!$B$10+Assumptions!$B$11+Assumptions!$B$12)*0.05,0)</f>
        <v>0</v>
      </c>
      <c r="CY54" s="30" t="n">
        <f aca="false">IF(AND(Projects!$G$45="Yes",CY$3&gt;=Projects!$C$45,CY$3&lt;Projects!$C$45+Projects!$D$45),Projects!$B$45*INDEX(Curves!$B$4:$AR$4,1,CY$3-Projects!$C$45+1),0)-IF(AND(Projects!$G$45="Yes",CY$3&gt;=Projects!$C$45,CY$3&lt;Projects!$C$45+Projects!$D$45),Projects!$B$45*(Assumptions!$B$10+Assumptions!$B$11+Assumptions!$B$12)/Projects!$D$45*0.95,0)-IF(AND(Projects!$G$45="Yes",CY$3=Projects!$C$45+Projects!$D$45-1),Projects!$B$45*(Assumptions!$B$10+Assumptions!$B$11+Assumptions!$B$12)*0.05,0)</f>
        <v>0</v>
      </c>
      <c r="CZ54" s="30" t="n">
        <f aca="false">IF(AND(Projects!$G$45="Yes",CZ$3&gt;=Projects!$C$45,CZ$3&lt;Projects!$C$45+Projects!$D$45),Projects!$B$45*INDEX(Curves!$B$4:$AR$4,1,CZ$3-Projects!$C$45+1),0)-IF(AND(Projects!$G$45="Yes",CZ$3&gt;=Projects!$C$45,CZ$3&lt;Projects!$C$45+Projects!$D$45),Projects!$B$45*(Assumptions!$B$10+Assumptions!$B$11+Assumptions!$B$12)/Projects!$D$45*0.95,0)-IF(AND(Projects!$G$45="Yes",CZ$3=Projects!$C$45+Projects!$D$45-1),Projects!$B$45*(Assumptions!$B$10+Assumptions!$B$11+Assumptions!$B$12)*0.05,0)</f>
        <v>0</v>
      </c>
      <c r="DA54" s="30" t="n">
        <f aca="false">IF(AND(Projects!$G$45="Yes",DA$3&gt;=Projects!$C$45,DA$3&lt;Projects!$C$45+Projects!$D$45),Projects!$B$45*INDEX(Curves!$B$4:$AR$4,1,DA$3-Projects!$C$45+1),0)-IF(AND(Projects!$G$45="Yes",DA$3&gt;=Projects!$C$45,DA$3&lt;Projects!$C$45+Projects!$D$45),Projects!$B$45*(Assumptions!$B$10+Assumptions!$B$11+Assumptions!$B$12)/Projects!$D$45*0.95,0)-IF(AND(Projects!$G$45="Yes",DA$3=Projects!$C$45+Projects!$D$45-1),Projects!$B$45*(Assumptions!$B$10+Assumptions!$B$11+Assumptions!$B$12)*0.05,0)</f>
        <v>0</v>
      </c>
      <c r="DB54" s="30" t="n">
        <f aca="false">IF(AND(Projects!$G$45="Yes",DB$3&gt;=Projects!$C$45,DB$3&lt;Projects!$C$45+Projects!$D$45),Projects!$B$45*INDEX(Curves!$B$4:$AR$4,1,DB$3-Projects!$C$45+1),0)-IF(AND(Projects!$G$45="Yes",DB$3&gt;=Projects!$C$45,DB$3&lt;Projects!$C$45+Projects!$D$45),Projects!$B$45*(Assumptions!$B$10+Assumptions!$B$11+Assumptions!$B$12)/Projects!$D$45*0.95,0)-IF(AND(Projects!$G$45="Yes",DB$3=Projects!$C$45+Projects!$D$45-1),Projects!$B$45*(Assumptions!$B$10+Assumptions!$B$11+Assumptions!$B$12)*0.05,0)</f>
        <v>0</v>
      </c>
      <c r="DC54" s="30" t="n">
        <f aca="false">IF(AND(Projects!$G$45="Yes",DC$3&gt;=Projects!$C$45,DC$3&lt;Projects!$C$45+Projects!$D$45),Projects!$B$45*INDEX(Curves!$B$4:$AR$4,1,DC$3-Projects!$C$45+1),0)-IF(AND(Projects!$G$45="Yes",DC$3&gt;=Projects!$C$45,DC$3&lt;Projects!$C$45+Projects!$D$45),Projects!$B$45*(Assumptions!$B$10+Assumptions!$B$11+Assumptions!$B$12)/Projects!$D$45*0.95,0)-IF(AND(Projects!$G$45="Yes",DC$3=Projects!$C$45+Projects!$D$45-1),Projects!$B$45*(Assumptions!$B$10+Assumptions!$B$11+Assumptions!$B$12)*0.05,0)</f>
        <v>0</v>
      </c>
      <c r="DD54" s="30" t="n">
        <f aca="false">IF(AND(Projects!$G$45="Yes",DD$3&gt;=Projects!$C$45,DD$3&lt;Projects!$C$45+Projects!$D$45),Projects!$B$45*INDEX(Curves!$B$4:$AR$4,1,DD$3-Projects!$C$45+1),0)-IF(AND(Projects!$G$45="Yes",DD$3&gt;=Projects!$C$45,DD$3&lt;Projects!$C$45+Projects!$D$45),Projects!$B$45*(Assumptions!$B$10+Assumptions!$B$11+Assumptions!$B$12)/Projects!$D$45*0.95,0)-IF(AND(Projects!$G$45="Yes",DD$3=Projects!$C$45+Projects!$D$45-1),Projects!$B$45*(Assumptions!$B$10+Assumptions!$B$11+Assumptions!$B$12)*0.05,0)</f>
        <v>0</v>
      </c>
      <c r="DE54" s="30" t="n">
        <f aca="false">IF(AND(Projects!$G$45="Yes",DE$3&gt;=Projects!$C$45,DE$3&lt;Projects!$C$45+Projects!$D$45),Projects!$B$45*INDEX(Curves!$B$4:$AR$4,1,DE$3-Projects!$C$45+1),0)-IF(AND(Projects!$G$45="Yes",DE$3&gt;=Projects!$C$45,DE$3&lt;Projects!$C$45+Projects!$D$45),Projects!$B$45*(Assumptions!$B$10+Assumptions!$B$11+Assumptions!$B$12)/Projects!$D$45*0.95,0)-IF(AND(Projects!$G$45="Yes",DE$3=Projects!$C$45+Projects!$D$45-1),Projects!$B$45*(Assumptions!$B$10+Assumptions!$B$11+Assumptions!$B$12)*0.05,0)</f>
        <v>0</v>
      </c>
    </row>
    <row r="55" customFormat="false" ht="15" hidden="true" customHeight="true" outlineLevel="1" collapsed="false">
      <c r="A55" s="32" t="s">
        <v>49</v>
      </c>
      <c r="B55" s="30" t="n">
        <v>0</v>
      </c>
      <c r="C55" s="30" t="n">
        <v>0</v>
      </c>
      <c r="D55" s="30" t="n">
        <v>0</v>
      </c>
      <c r="E55" s="30" t="n">
        <v>0</v>
      </c>
      <c r="F55" s="30" t="n">
        <f aca="false">IF(AND(Projects!$G$46="Yes",F$3&gt;=Projects!$C$46,F$3&lt;Projects!$C$46+Projects!$D$46),Projects!$B$46*INDEX(Curves!$B$4:$AR$4,1,F$3-Projects!$C$46+1),0)-IF(AND(Projects!$G$46="Yes",F$3&gt;=Projects!$C$46,F$3&lt;Projects!$C$46+Projects!$D$46),Projects!$B$46*(Assumptions!$B$10+Assumptions!$B$11+Assumptions!$B$12)/Projects!$D$46*0.95,0)-IF(AND(Projects!$G$46="Yes",F$3=Projects!$C$46+Projects!$D$46-1),Projects!$B$46*(Assumptions!$B$10+Assumptions!$B$11+Assumptions!$B$12)*0.05,0)</f>
        <v>0</v>
      </c>
      <c r="G55" s="30" t="n">
        <f aca="false">IF(AND(Projects!$G$46="Yes",G$3&gt;=Projects!$C$46,G$3&lt;Projects!$C$46+Projects!$D$46),Projects!$B$46*INDEX(Curves!$B$4:$AR$4,1,G$3-Projects!$C$46+1),0)-IF(AND(Projects!$G$46="Yes",G$3&gt;=Projects!$C$46,G$3&lt;Projects!$C$46+Projects!$D$46),Projects!$B$46*(Assumptions!$B$10+Assumptions!$B$11+Assumptions!$B$12)/Projects!$D$46*0.95,0)-IF(AND(Projects!$G$46="Yes",G$3=Projects!$C$46+Projects!$D$46-1),Projects!$B$46*(Assumptions!$B$10+Assumptions!$B$11+Assumptions!$B$12)*0.05,0)</f>
        <v>0</v>
      </c>
      <c r="H55" s="30" t="n">
        <f aca="false">IF(AND(Projects!$G$46="Yes",H$3&gt;=Projects!$C$46,H$3&lt;Projects!$C$46+Projects!$D$46),Projects!$B$46*INDEX(Curves!$B$4:$AR$4,1,H$3-Projects!$C$46+1),0)-IF(AND(Projects!$G$46="Yes",H$3&gt;=Projects!$C$46,H$3&lt;Projects!$C$46+Projects!$D$46),Projects!$B$46*(Assumptions!$B$10+Assumptions!$B$11+Assumptions!$B$12)/Projects!$D$46*0.95,0)-IF(AND(Projects!$G$46="Yes",H$3=Projects!$C$46+Projects!$D$46-1),Projects!$B$46*(Assumptions!$B$10+Assumptions!$B$11+Assumptions!$B$12)*0.05,0)</f>
        <v>0</v>
      </c>
      <c r="I55" s="30" t="n">
        <f aca="false">IF(AND(Projects!$G$46="Yes",I$3&gt;=Projects!$C$46,I$3&lt;Projects!$C$46+Projects!$D$46),Projects!$B$46*INDEX(Curves!$B$4:$AR$4,1,I$3-Projects!$C$46+1),0)-IF(AND(Projects!$G$46="Yes",I$3&gt;=Projects!$C$46,I$3&lt;Projects!$C$46+Projects!$D$46),Projects!$B$46*(Assumptions!$B$10+Assumptions!$B$11+Assumptions!$B$12)/Projects!$D$46*0.95,0)-IF(AND(Projects!$G$46="Yes",I$3=Projects!$C$46+Projects!$D$46-1),Projects!$B$46*(Assumptions!$B$10+Assumptions!$B$11+Assumptions!$B$12)*0.05,0)</f>
        <v>0</v>
      </c>
      <c r="J55" s="30" t="n">
        <f aca="false">IF(AND(Projects!$G$46="Yes",J$3&gt;=Projects!$C$46,J$3&lt;Projects!$C$46+Projects!$D$46),Projects!$B$46*INDEX(Curves!$B$4:$AR$4,1,J$3-Projects!$C$46+1),0)-IF(AND(Projects!$G$46="Yes",J$3&gt;=Projects!$C$46,J$3&lt;Projects!$C$46+Projects!$D$46),Projects!$B$46*(Assumptions!$B$10+Assumptions!$B$11+Assumptions!$B$12)/Projects!$D$46*0.95,0)-IF(AND(Projects!$G$46="Yes",J$3=Projects!$C$46+Projects!$D$46-1),Projects!$B$46*(Assumptions!$B$10+Assumptions!$B$11+Assumptions!$B$12)*0.05,0)</f>
        <v>0</v>
      </c>
      <c r="K55" s="30" t="n">
        <f aca="false">IF(AND(Projects!$G$46="Yes",K$3&gt;=Projects!$C$46,K$3&lt;Projects!$C$46+Projects!$D$46),Projects!$B$46*INDEX(Curves!$B$4:$AR$4,1,K$3-Projects!$C$46+1),0)-IF(AND(Projects!$G$46="Yes",K$3&gt;=Projects!$C$46,K$3&lt;Projects!$C$46+Projects!$D$46),Projects!$B$46*(Assumptions!$B$10+Assumptions!$B$11+Assumptions!$B$12)/Projects!$D$46*0.95,0)-IF(AND(Projects!$G$46="Yes",K$3=Projects!$C$46+Projects!$D$46-1),Projects!$B$46*(Assumptions!$B$10+Assumptions!$B$11+Assumptions!$B$12)*0.05,0)</f>
        <v>0</v>
      </c>
      <c r="L55" s="30" t="n">
        <f aca="false">IF(AND(Projects!$G$46="Yes",L$3&gt;=Projects!$C$46,L$3&lt;Projects!$C$46+Projects!$D$46),Projects!$B$46*INDEX(Curves!$B$4:$AR$4,1,L$3-Projects!$C$46+1),0)-IF(AND(Projects!$G$46="Yes",L$3&gt;=Projects!$C$46,L$3&lt;Projects!$C$46+Projects!$D$46),Projects!$B$46*(Assumptions!$B$10+Assumptions!$B$11+Assumptions!$B$12)/Projects!$D$46*0.95,0)-IF(AND(Projects!$G$46="Yes",L$3=Projects!$C$46+Projects!$D$46-1),Projects!$B$46*(Assumptions!$B$10+Assumptions!$B$11+Assumptions!$B$12)*0.05,0)</f>
        <v>0</v>
      </c>
      <c r="M55" s="30" t="n">
        <f aca="false">IF(AND(Projects!$G$46="Yes",M$3&gt;=Projects!$C$46,M$3&lt;Projects!$C$46+Projects!$D$46),Projects!$B$46*INDEX(Curves!$B$4:$AR$4,1,M$3-Projects!$C$46+1),0)-IF(AND(Projects!$G$46="Yes",M$3&gt;=Projects!$C$46,M$3&lt;Projects!$C$46+Projects!$D$46),Projects!$B$46*(Assumptions!$B$10+Assumptions!$B$11+Assumptions!$B$12)/Projects!$D$46*0.95,0)-IF(AND(Projects!$G$46="Yes",M$3=Projects!$C$46+Projects!$D$46-1),Projects!$B$46*(Assumptions!$B$10+Assumptions!$B$11+Assumptions!$B$12)*0.05,0)</f>
        <v>0</v>
      </c>
      <c r="N55" s="30" t="n">
        <f aca="false">IF(AND(Projects!$G$46="Yes",N$3&gt;=Projects!$C$46,N$3&lt;Projects!$C$46+Projects!$D$46),Projects!$B$46*INDEX(Curves!$B$4:$AR$4,1,N$3-Projects!$C$46+1),0)-IF(AND(Projects!$G$46="Yes",N$3&gt;=Projects!$C$46,N$3&lt;Projects!$C$46+Projects!$D$46),Projects!$B$46*(Assumptions!$B$10+Assumptions!$B$11+Assumptions!$B$12)/Projects!$D$46*0.95,0)-IF(AND(Projects!$G$46="Yes",N$3=Projects!$C$46+Projects!$D$46-1),Projects!$B$46*(Assumptions!$B$10+Assumptions!$B$11+Assumptions!$B$12)*0.05,0)</f>
        <v>0</v>
      </c>
      <c r="O55" s="30" t="n">
        <f aca="false">IF(AND(Projects!$G$46="Yes",O$3&gt;=Projects!$C$46,O$3&lt;Projects!$C$46+Projects!$D$46),Projects!$B$46*INDEX(Curves!$B$4:$AR$4,1,O$3-Projects!$C$46+1),0)-IF(AND(Projects!$G$46="Yes",O$3&gt;=Projects!$C$46,O$3&lt;Projects!$C$46+Projects!$D$46),Projects!$B$46*(Assumptions!$B$10+Assumptions!$B$11+Assumptions!$B$12)/Projects!$D$46*0.95,0)-IF(AND(Projects!$G$46="Yes",O$3=Projects!$C$46+Projects!$D$46-1),Projects!$B$46*(Assumptions!$B$10+Assumptions!$B$11+Assumptions!$B$12)*0.05,0)</f>
        <v>0</v>
      </c>
      <c r="P55" s="30" t="n">
        <f aca="false">IF(AND(Projects!$G$46="Yes",P$3&gt;=Projects!$C$46,P$3&lt;Projects!$C$46+Projects!$D$46),Projects!$B$46*INDEX(Curves!$B$4:$AR$4,1,P$3-Projects!$C$46+1),0)-IF(AND(Projects!$G$46="Yes",P$3&gt;=Projects!$C$46,P$3&lt;Projects!$C$46+Projects!$D$46),Projects!$B$46*(Assumptions!$B$10+Assumptions!$B$11+Assumptions!$B$12)/Projects!$D$46*0.95,0)-IF(AND(Projects!$G$46="Yes",P$3=Projects!$C$46+Projects!$D$46-1),Projects!$B$46*(Assumptions!$B$10+Assumptions!$B$11+Assumptions!$B$12)*0.05,0)</f>
        <v>0</v>
      </c>
      <c r="Q55" s="30" t="n">
        <f aca="false">IF(AND(Projects!$G$46="Yes",Q$3&gt;=Projects!$C$46,Q$3&lt;Projects!$C$46+Projects!$D$46),Projects!$B$46*INDEX(Curves!$B$4:$AR$4,1,Q$3-Projects!$C$46+1),0)-IF(AND(Projects!$G$46="Yes",Q$3&gt;=Projects!$C$46,Q$3&lt;Projects!$C$46+Projects!$D$46),Projects!$B$46*(Assumptions!$B$10+Assumptions!$B$11+Assumptions!$B$12)/Projects!$D$46*0.95,0)-IF(AND(Projects!$G$46="Yes",Q$3=Projects!$C$46+Projects!$D$46-1),Projects!$B$46*(Assumptions!$B$10+Assumptions!$B$11+Assumptions!$B$12)*0.05,0)</f>
        <v>0</v>
      </c>
      <c r="R55" s="30" t="n">
        <f aca="false">IF(AND(Projects!$G$46="Yes",R$3&gt;=Projects!$C$46,R$3&lt;Projects!$C$46+Projects!$D$46),Projects!$B$46*INDEX(Curves!$B$4:$AR$4,1,R$3-Projects!$C$46+1),0)-IF(AND(Projects!$G$46="Yes",R$3&gt;=Projects!$C$46,R$3&lt;Projects!$C$46+Projects!$D$46),Projects!$B$46*(Assumptions!$B$10+Assumptions!$B$11+Assumptions!$B$12)/Projects!$D$46*0.95,0)-IF(AND(Projects!$G$46="Yes",R$3=Projects!$C$46+Projects!$D$46-1),Projects!$B$46*(Assumptions!$B$10+Assumptions!$B$11+Assumptions!$B$12)*0.05,0)</f>
        <v>0</v>
      </c>
      <c r="S55" s="30" t="n">
        <f aca="false">IF(AND(Projects!$G$46="Yes",S$3&gt;=Projects!$C$46,S$3&lt;Projects!$C$46+Projects!$D$46),Projects!$B$46*INDEX(Curves!$B$4:$AR$4,1,S$3-Projects!$C$46+1),0)-IF(AND(Projects!$G$46="Yes",S$3&gt;=Projects!$C$46,S$3&lt;Projects!$C$46+Projects!$D$46),Projects!$B$46*(Assumptions!$B$10+Assumptions!$B$11+Assumptions!$B$12)/Projects!$D$46*0.95,0)-IF(AND(Projects!$G$46="Yes",S$3=Projects!$C$46+Projects!$D$46-1),Projects!$B$46*(Assumptions!$B$10+Assumptions!$B$11+Assumptions!$B$12)*0.05,0)</f>
        <v>0</v>
      </c>
      <c r="T55" s="30" t="n">
        <f aca="false">IF(AND(Projects!$G$46="Yes",T$3&gt;=Projects!$C$46,T$3&lt;Projects!$C$46+Projects!$D$46),Projects!$B$46*INDEX(Curves!$B$4:$AR$4,1,T$3-Projects!$C$46+1),0)-IF(AND(Projects!$G$46="Yes",T$3&gt;=Projects!$C$46,T$3&lt;Projects!$C$46+Projects!$D$46),Projects!$B$46*(Assumptions!$B$10+Assumptions!$B$11+Assumptions!$B$12)/Projects!$D$46*0.95,0)-IF(AND(Projects!$G$46="Yes",T$3=Projects!$C$46+Projects!$D$46-1),Projects!$B$46*(Assumptions!$B$10+Assumptions!$B$11+Assumptions!$B$12)*0.05,0)</f>
        <v>0</v>
      </c>
      <c r="U55" s="30" t="n">
        <f aca="false">IF(AND(Projects!$G$46="Yes",U$3&gt;=Projects!$C$46,U$3&lt;Projects!$C$46+Projects!$D$46),Projects!$B$46*INDEX(Curves!$B$4:$AR$4,1,U$3-Projects!$C$46+1),0)-IF(AND(Projects!$G$46="Yes",U$3&gt;=Projects!$C$46,U$3&lt;Projects!$C$46+Projects!$D$46),Projects!$B$46*(Assumptions!$B$10+Assumptions!$B$11+Assumptions!$B$12)/Projects!$D$46*0.95,0)-IF(AND(Projects!$G$46="Yes",U$3=Projects!$C$46+Projects!$D$46-1),Projects!$B$46*(Assumptions!$B$10+Assumptions!$B$11+Assumptions!$B$12)*0.05,0)</f>
        <v>0</v>
      </c>
      <c r="V55" s="30" t="n">
        <f aca="false">IF(AND(Projects!$G$46="Yes",V$3&gt;=Projects!$C$46,V$3&lt;Projects!$C$46+Projects!$D$46),Projects!$B$46*INDEX(Curves!$B$4:$AR$4,1,V$3-Projects!$C$46+1),0)-IF(AND(Projects!$G$46="Yes",V$3&gt;=Projects!$C$46,V$3&lt;Projects!$C$46+Projects!$D$46),Projects!$B$46*(Assumptions!$B$10+Assumptions!$B$11+Assumptions!$B$12)/Projects!$D$46*0.95,0)-IF(AND(Projects!$G$46="Yes",V$3=Projects!$C$46+Projects!$D$46-1),Projects!$B$46*(Assumptions!$B$10+Assumptions!$B$11+Assumptions!$B$12)*0.05,0)</f>
        <v>0</v>
      </c>
      <c r="W55" s="30" t="n">
        <f aca="false">IF(AND(Projects!$G$46="Yes",W$3&gt;=Projects!$C$46,W$3&lt;Projects!$C$46+Projects!$D$46),Projects!$B$46*INDEX(Curves!$B$4:$AR$4,1,W$3-Projects!$C$46+1),0)-IF(AND(Projects!$G$46="Yes",W$3&gt;=Projects!$C$46,W$3&lt;Projects!$C$46+Projects!$D$46),Projects!$B$46*(Assumptions!$B$10+Assumptions!$B$11+Assumptions!$B$12)/Projects!$D$46*0.95,0)-IF(AND(Projects!$G$46="Yes",W$3=Projects!$C$46+Projects!$D$46-1),Projects!$B$46*(Assumptions!$B$10+Assumptions!$B$11+Assumptions!$B$12)*0.05,0)</f>
        <v>0</v>
      </c>
      <c r="X55" s="30" t="n">
        <f aca="false">IF(AND(Projects!$G$46="Yes",X$3&gt;=Projects!$C$46,X$3&lt;Projects!$C$46+Projects!$D$46),Projects!$B$46*INDEX(Curves!$B$4:$AR$4,1,X$3-Projects!$C$46+1),0)-IF(AND(Projects!$G$46="Yes",X$3&gt;=Projects!$C$46,X$3&lt;Projects!$C$46+Projects!$D$46),Projects!$B$46*(Assumptions!$B$10+Assumptions!$B$11+Assumptions!$B$12)/Projects!$D$46*0.95,0)-IF(AND(Projects!$G$46="Yes",X$3=Projects!$C$46+Projects!$D$46-1),Projects!$B$46*(Assumptions!$B$10+Assumptions!$B$11+Assumptions!$B$12)*0.05,0)</f>
        <v>0</v>
      </c>
      <c r="Y55" s="30" t="n">
        <f aca="false">IF(AND(Projects!$G$46="Yes",Y$3&gt;=Projects!$C$46,Y$3&lt;Projects!$C$46+Projects!$D$46),Projects!$B$46*INDEX(Curves!$B$4:$AR$4,1,Y$3-Projects!$C$46+1),0)-IF(AND(Projects!$G$46="Yes",Y$3&gt;=Projects!$C$46,Y$3&lt;Projects!$C$46+Projects!$D$46),Projects!$B$46*(Assumptions!$B$10+Assumptions!$B$11+Assumptions!$B$12)/Projects!$D$46*0.95,0)-IF(AND(Projects!$G$46="Yes",Y$3=Projects!$C$46+Projects!$D$46-1),Projects!$B$46*(Assumptions!$B$10+Assumptions!$B$11+Assumptions!$B$12)*0.05,0)</f>
        <v>0</v>
      </c>
      <c r="Z55" s="30" t="n">
        <f aca="false">IF(AND(Projects!$G$46="Yes",Z$3&gt;=Projects!$C$46,Z$3&lt;Projects!$C$46+Projects!$D$46),Projects!$B$46*INDEX(Curves!$B$4:$AR$4,1,Z$3-Projects!$C$46+1),0)-IF(AND(Projects!$G$46="Yes",Z$3&gt;=Projects!$C$46,Z$3&lt;Projects!$C$46+Projects!$D$46),Projects!$B$46*(Assumptions!$B$10+Assumptions!$B$11+Assumptions!$B$12)/Projects!$D$46*0.95,0)-IF(AND(Projects!$G$46="Yes",Z$3=Projects!$C$46+Projects!$D$46-1),Projects!$B$46*(Assumptions!$B$10+Assumptions!$B$11+Assumptions!$B$12)*0.05,0)</f>
        <v>0</v>
      </c>
      <c r="AA55" s="30" t="n">
        <f aca="false">IF(AND(Projects!$G$46="Yes",AA$3&gt;=Projects!$C$46,AA$3&lt;Projects!$C$46+Projects!$D$46),Projects!$B$46*INDEX(Curves!$B$4:$AR$4,1,AA$3-Projects!$C$46+1),0)-IF(AND(Projects!$G$46="Yes",AA$3&gt;=Projects!$C$46,AA$3&lt;Projects!$C$46+Projects!$D$46),Projects!$B$46*(Assumptions!$B$10+Assumptions!$B$11+Assumptions!$B$12)/Projects!$D$46*0.95,0)-IF(AND(Projects!$G$46="Yes",AA$3=Projects!$C$46+Projects!$D$46-1),Projects!$B$46*(Assumptions!$B$10+Assumptions!$B$11+Assumptions!$B$12)*0.05,0)</f>
        <v>0</v>
      </c>
      <c r="AB55" s="30" t="n">
        <f aca="false">IF(AND(Projects!$G$46="Yes",AB$3&gt;=Projects!$C$46,AB$3&lt;Projects!$C$46+Projects!$D$46),Projects!$B$46*INDEX(Curves!$B$4:$AR$4,1,AB$3-Projects!$C$46+1),0)-IF(AND(Projects!$G$46="Yes",AB$3&gt;=Projects!$C$46,AB$3&lt;Projects!$C$46+Projects!$D$46),Projects!$B$46*(Assumptions!$B$10+Assumptions!$B$11+Assumptions!$B$12)/Projects!$D$46*0.95,0)-IF(AND(Projects!$G$46="Yes",AB$3=Projects!$C$46+Projects!$D$46-1),Projects!$B$46*(Assumptions!$B$10+Assumptions!$B$11+Assumptions!$B$12)*0.05,0)</f>
        <v>0</v>
      </c>
      <c r="AC55" s="30" t="n">
        <f aca="false">IF(AND(Projects!$G$46="Yes",AC$3&gt;=Projects!$C$46,AC$3&lt;Projects!$C$46+Projects!$D$46),Projects!$B$46*INDEX(Curves!$B$4:$AR$4,1,AC$3-Projects!$C$46+1),0)-IF(AND(Projects!$G$46="Yes",AC$3&gt;=Projects!$C$46,AC$3&lt;Projects!$C$46+Projects!$D$46),Projects!$B$46*(Assumptions!$B$10+Assumptions!$B$11+Assumptions!$B$12)/Projects!$D$46*0.95,0)-IF(AND(Projects!$G$46="Yes",AC$3=Projects!$C$46+Projects!$D$46-1),Projects!$B$46*(Assumptions!$B$10+Assumptions!$B$11+Assumptions!$B$12)*0.05,0)</f>
        <v>0</v>
      </c>
      <c r="AD55" s="30" t="n">
        <f aca="false">IF(AND(Projects!$G$46="Yes",AD$3&gt;=Projects!$C$46,AD$3&lt;Projects!$C$46+Projects!$D$46),Projects!$B$46*INDEX(Curves!$B$4:$AR$4,1,AD$3-Projects!$C$46+1),0)-IF(AND(Projects!$G$46="Yes",AD$3&gt;=Projects!$C$46,AD$3&lt;Projects!$C$46+Projects!$D$46),Projects!$B$46*(Assumptions!$B$10+Assumptions!$B$11+Assumptions!$B$12)/Projects!$D$46*0.95,0)-IF(AND(Projects!$G$46="Yes",AD$3=Projects!$C$46+Projects!$D$46-1),Projects!$B$46*(Assumptions!$B$10+Assumptions!$B$11+Assumptions!$B$12)*0.05,0)</f>
        <v>0</v>
      </c>
      <c r="AE55" s="30" t="n">
        <f aca="false">IF(AND(Projects!$G$46="Yes",AE$3&gt;=Projects!$C$46,AE$3&lt;Projects!$C$46+Projects!$D$46),Projects!$B$46*INDEX(Curves!$B$4:$AR$4,1,AE$3-Projects!$C$46+1),0)-IF(AND(Projects!$G$46="Yes",AE$3&gt;=Projects!$C$46,AE$3&lt;Projects!$C$46+Projects!$D$46),Projects!$B$46*(Assumptions!$B$10+Assumptions!$B$11+Assumptions!$B$12)/Projects!$D$46*0.95,0)-IF(AND(Projects!$G$46="Yes",AE$3=Projects!$C$46+Projects!$D$46-1),Projects!$B$46*(Assumptions!$B$10+Assumptions!$B$11+Assumptions!$B$12)*0.05,0)</f>
        <v>0</v>
      </c>
      <c r="AF55" s="30" t="n">
        <f aca="false">IF(AND(Projects!$G$46="Yes",AF$3&gt;=Projects!$C$46,AF$3&lt;Projects!$C$46+Projects!$D$46),Projects!$B$46*INDEX(Curves!$B$4:$AR$4,1,AF$3-Projects!$C$46+1),0)-IF(AND(Projects!$G$46="Yes",AF$3&gt;=Projects!$C$46,AF$3&lt;Projects!$C$46+Projects!$D$46),Projects!$B$46*(Assumptions!$B$10+Assumptions!$B$11+Assumptions!$B$12)/Projects!$D$46*0.95,0)-IF(AND(Projects!$G$46="Yes",AF$3=Projects!$C$46+Projects!$D$46-1),Projects!$B$46*(Assumptions!$B$10+Assumptions!$B$11+Assumptions!$B$12)*0.05,0)</f>
        <v>0</v>
      </c>
      <c r="AG55" s="30" t="n">
        <f aca="false">IF(AND(Projects!$G$46="Yes",AG$3&gt;=Projects!$C$46,AG$3&lt;Projects!$C$46+Projects!$D$46),Projects!$B$46*INDEX(Curves!$B$4:$AR$4,1,AG$3-Projects!$C$46+1),0)-IF(AND(Projects!$G$46="Yes",AG$3&gt;=Projects!$C$46,AG$3&lt;Projects!$C$46+Projects!$D$46),Projects!$B$46*(Assumptions!$B$10+Assumptions!$B$11+Assumptions!$B$12)/Projects!$D$46*0.95,0)-IF(AND(Projects!$G$46="Yes",AG$3=Projects!$C$46+Projects!$D$46-1),Projects!$B$46*(Assumptions!$B$10+Assumptions!$B$11+Assumptions!$B$12)*0.05,0)</f>
        <v>0</v>
      </c>
      <c r="AH55" s="30" t="n">
        <f aca="false">IF(AND(Projects!$G$46="Yes",AH$3&gt;=Projects!$C$46,AH$3&lt;Projects!$C$46+Projects!$D$46),Projects!$B$46*INDEX(Curves!$B$4:$AR$4,1,AH$3-Projects!$C$46+1),0)-IF(AND(Projects!$G$46="Yes",AH$3&gt;=Projects!$C$46,AH$3&lt;Projects!$C$46+Projects!$D$46),Projects!$B$46*(Assumptions!$B$10+Assumptions!$B$11+Assumptions!$B$12)/Projects!$D$46*0.95,0)-IF(AND(Projects!$G$46="Yes",AH$3=Projects!$C$46+Projects!$D$46-1),Projects!$B$46*(Assumptions!$B$10+Assumptions!$B$11+Assumptions!$B$12)*0.05,0)</f>
        <v>0</v>
      </c>
      <c r="AI55" s="30" t="n">
        <f aca="false">IF(AND(Projects!$G$46="Yes",AI$3&gt;=Projects!$C$46,AI$3&lt;Projects!$C$46+Projects!$D$46),Projects!$B$46*INDEX(Curves!$B$4:$AR$4,1,AI$3-Projects!$C$46+1),0)-IF(AND(Projects!$G$46="Yes",AI$3&gt;=Projects!$C$46,AI$3&lt;Projects!$C$46+Projects!$D$46),Projects!$B$46*(Assumptions!$B$10+Assumptions!$B$11+Assumptions!$B$12)/Projects!$D$46*0.95,0)-IF(AND(Projects!$G$46="Yes",AI$3=Projects!$C$46+Projects!$D$46-1),Projects!$B$46*(Assumptions!$B$10+Assumptions!$B$11+Assumptions!$B$12)*0.05,0)</f>
        <v>0</v>
      </c>
      <c r="AJ55" s="30" t="n">
        <f aca="false">IF(AND(Projects!$G$46="Yes",AJ$3&gt;=Projects!$C$46,AJ$3&lt;Projects!$C$46+Projects!$D$46),Projects!$B$46*INDEX(Curves!$B$4:$AR$4,1,AJ$3-Projects!$C$46+1),0)-IF(AND(Projects!$G$46="Yes",AJ$3&gt;=Projects!$C$46,AJ$3&lt;Projects!$C$46+Projects!$D$46),Projects!$B$46*(Assumptions!$B$10+Assumptions!$B$11+Assumptions!$B$12)/Projects!$D$46*0.95,0)-IF(AND(Projects!$G$46="Yes",AJ$3=Projects!$C$46+Projects!$D$46-1),Projects!$B$46*(Assumptions!$B$10+Assumptions!$B$11+Assumptions!$B$12)*0.05,0)</f>
        <v>0</v>
      </c>
      <c r="AK55" s="30" t="n">
        <f aca="false">IF(AND(Projects!$G$46="Yes",AK$3&gt;=Projects!$C$46,AK$3&lt;Projects!$C$46+Projects!$D$46),Projects!$B$46*INDEX(Curves!$B$4:$AR$4,1,AK$3-Projects!$C$46+1),0)-IF(AND(Projects!$G$46="Yes",AK$3&gt;=Projects!$C$46,AK$3&lt;Projects!$C$46+Projects!$D$46),Projects!$B$46*(Assumptions!$B$10+Assumptions!$B$11+Assumptions!$B$12)/Projects!$D$46*0.95,0)-IF(AND(Projects!$G$46="Yes",AK$3=Projects!$C$46+Projects!$D$46-1),Projects!$B$46*(Assumptions!$B$10+Assumptions!$B$11+Assumptions!$B$12)*0.05,0)</f>
        <v>0</v>
      </c>
      <c r="AL55" s="30" t="n">
        <f aca="false">IF(AND(Projects!$G$46="Yes",AL$3&gt;=Projects!$C$46,AL$3&lt;Projects!$C$46+Projects!$D$46),Projects!$B$46*INDEX(Curves!$B$4:$AR$4,1,AL$3-Projects!$C$46+1),0)-IF(AND(Projects!$G$46="Yes",AL$3&gt;=Projects!$C$46,AL$3&lt;Projects!$C$46+Projects!$D$46),Projects!$B$46*(Assumptions!$B$10+Assumptions!$B$11+Assumptions!$B$12)/Projects!$D$46*0.95,0)-IF(AND(Projects!$G$46="Yes",AL$3=Projects!$C$46+Projects!$D$46-1),Projects!$B$46*(Assumptions!$B$10+Assumptions!$B$11+Assumptions!$B$12)*0.05,0)</f>
        <v>0</v>
      </c>
      <c r="AM55" s="30" t="n">
        <f aca="false">IF(AND(Projects!$G$46="Yes",AM$3&gt;=Projects!$C$46,AM$3&lt;Projects!$C$46+Projects!$D$46),Projects!$B$46*INDEX(Curves!$B$4:$AR$4,1,AM$3-Projects!$C$46+1),0)-IF(AND(Projects!$G$46="Yes",AM$3&gt;=Projects!$C$46,AM$3&lt;Projects!$C$46+Projects!$D$46),Projects!$B$46*(Assumptions!$B$10+Assumptions!$B$11+Assumptions!$B$12)/Projects!$D$46*0.95,0)-IF(AND(Projects!$G$46="Yes",AM$3=Projects!$C$46+Projects!$D$46-1),Projects!$B$46*(Assumptions!$B$10+Assumptions!$B$11+Assumptions!$B$12)*0.05,0)</f>
        <v>0</v>
      </c>
      <c r="AN55" s="30" t="n">
        <f aca="false">IF(AND(Projects!$G$46="Yes",AN$3&gt;=Projects!$C$46,AN$3&lt;Projects!$C$46+Projects!$D$46),Projects!$B$46*INDEX(Curves!$B$4:$AR$4,1,AN$3-Projects!$C$46+1),0)-IF(AND(Projects!$G$46="Yes",AN$3&gt;=Projects!$C$46,AN$3&lt;Projects!$C$46+Projects!$D$46),Projects!$B$46*(Assumptions!$B$10+Assumptions!$B$11+Assumptions!$B$12)/Projects!$D$46*0.95,0)-IF(AND(Projects!$G$46="Yes",AN$3=Projects!$C$46+Projects!$D$46-1),Projects!$B$46*(Assumptions!$B$10+Assumptions!$B$11+Assumptions!$B$12)*0.05,0)</f>
        <v>0</v>
      </c>
      <c r="AO55" s="30" t="n">
        <f aca="false">IF(AND(Projects!$G$46="Yes",AO$3&gt;=Projects!$C$46,AO$3&lt;Projects!$C$46+Projects!$D$46),Projects!$B$46*INDEX(Curves!$B$4:$AR$4,1,AO$3-Projects!$C$46+1),0)-IF(AND(Projects!$G$46="Yes",AO$3&gt;=Projects!$C$46,AO$3&lt;Projects!$C$46+Projects!$D$46),Projects!$B$46*(Assumptions!$B$10+Assumptions!$B$11+Assumptions!$B$12)/Projects!$D$46*0.95,0)-IF(AND(Projects!$G$46="Yes",AO$3=Projects!$C$46+Projects!$D$46-1),Projects!$B$46*(Assumptions!$B$10+Assumptions!$B$11+Assumptions!$B$12)*0.05,0)</f>
        <v>0</v>
      </c>
      <c r="AP55" s="30" t="n">
        <f aca="false">IF(AND(Projects!$G$46="Yes",AP$3&gt;=Projects!$C$46,AP$3&lt;Projects!$C$46+Projects!$D$46),Projects!$B$46*INDEX(Curves!$B$4:$AR$4,1,AP$3-Projects!$C$46+1),0)-IF(AND(Projects!$G$46="Yes",AP$3&gt;=Projects!$C$46,AP$3&lt;Projects!$C$46+Projects!$D$46),Projects!$B$46*(Assumptions!$B$10+Assumptions!$B$11+Assumptions!$B$12)/Projects!$D$46*0.95,0)-IF(AND(Projects!$G$46="Yes",AP$3=Projects!$C$46+Projects!$D$46-1),Projects!$B$46*(Assumptions!$B$10+Assumptions!$B$11+Assumptions!$B$12)*0.05,0)</f>
        <v>0</v>
      </c>
      <c r="AQ55" s="30" t="n">
        <f aca="false">IF(AND(Projects!$G$46="Yes",AQ$3&gt;=Projects!$C$46,AQ$3&lt;Projects!$C$46+Projects!$D$46),Projects!$B$46*INDEX(Curves!$B$4:$AR$4,1,AQ$3-Projects!$C$46+1),0)-IF(AND(Projects!$G$46="Yes",AQ$3&gt;=Projects!$C$46,AQ$3&lt;Projects!$C$46+Projects!$D$46),Projects!$B$46*(Assumptions!$B$10+Assumptions!$B$11+Assumptions!$B$12)/Projects!$D$46*0.95,0)-IF(AND(Projects!$G$46="Yes",AQ$3=Projects!$C$46+Projects!$D$46-1),Projects!$B$46*(Assumptions!$B$10+Assumptions!$B$11+Assumptions!$B$12)*0.05,0)</f>
        <v>0</v>
      </c>
      <c r="AR55" s="30" t="n">
        <f aca="false">IF(AND(Projects!$G$46="Yes",AR$3&gt;=Projects!$C$46,AR$3&lt;Projects!$C$46+Projects!$D$46),Projects!$B$46*INDEX(Curves!$B$4:$AR$4,1,AR$3-Projects!$C$46+1),0)-IF(AND(Projects!$G$46="Yes",AR$3&gt;=Projects!$C$46,AR$3&lt;Projects!$C$46+Projects!$D$46),Projects!$B$46*(Assumptions!$B$10+Assumptions!$B$11+Assumptions!$B$12)/Projects!$D$46*0.95,0)-IF(AND(Projects!$G$46="Yes",AR$3=Projects!$C$46+Projects!$D$46-1),Projects!$B$46*(Assumptions!$B$10+Assumptions!$B$11+Assumptions!$B$12)*0.05,0)</f>
        <v>0</v>
      </c>
      <c r="AS55" s="30" t="n">
        <f aca="false">IF(AND(Projects!$G$46="Yes",AS$3&gt;=Projects!$C$46,AS$3&lt;Projects!$C$46+Projects!$D$46),Projects!$B$46*INDEX(Curves!$B$4:$AR$4,1,AS$3-Projects!$C$46+1),0)-IF(AND(Projects!$G$46="Yes",AS$3&gt;=Projects!$C$46,AS$3&lt;Projects!$C$46+Projects!$D$46),Projects!$B$46*(Assumptions!$B$10+Assumptions!$B$11+Assumptions!$B$12)/Projects!$D$46*0.95,0)-IF(AND(Projects!$G$46="Yes",AS$3=Projects!$C$46+Projects!$D$46-1),Projects!$B$46*(Assumptions!$B$10+Assumptions!$B$11+Assumptions!$B$12)*0.05,0)</f>
        <v>0</v>
      </c>
      <c r="AT55" s="30" t="n">
        <f aca="false">IF(AND(Projects!$G$46="Yes",AT$3&gt;=Projects!$C$46,AT$3&lt;Projects!$C$46+Projects!$D$46),Projects!$B$46*INDEX(Curves!$B$4:$AR$4,1,AT$3-Projects!$C$46+1),0)-IF(AND(Projects!$G$46="Yes",AT$3&gt;=Projects!$C$46,AT$3&lt;Projects!$C$46+Projects!$D$46),Projects!$B$46*(Assumptions!$B$10+Assumptions!$B$11+Assumptions!$B$12)/Projects!$D$46*0.95,0)-IF(AND(Projects!$G$46="Yes",AT$3=Projects!$C$46+Projects!$D$46-1),Projects!$B$46*(Assumptions!$B$10+Assumptions!$B$11+Assumptions!$B$12)*0.05,0)</f>
        <v>0</v>
      </c>
      <c r="AU55" s="30" t="n">
        <f aca="false">IF(AND(Projects!$G$46="Yes",AU$3&gt;=Projects!$C$46,AU$3&lt;Projects!$C$46+Projects!$D$46),Projects!$B$46*INDEX(Curves!$B$4:$AR$4,1,AU$3-Projects!$C$46+1),0)-IF(AND(Projects!$G$46="Yes",AU$3&gt;=Projects!$C$46,AU$3&lt;Projects!$C$46+Projects!$D$46),Projects!$B$46*(Assumptions!$B$10+Assumptions!$B$11+Assumptions!$B$12)/Projects!$D$46*0.95,0)-IF(AND(Projects!$G$46="Yes",AU$3=Projects!$C$46+Projects!$D$46-1),Projects!$B$46*(Assumptions!$B$10+Assumptions!$B$11+Assumptions!$B$12)*0.05,0)</f>
        <v>0</v>
      </c>
      <c r="AV55" s="30" t="n">
        <f aca="false">IF(AND(Projects!$G$46="Yes",AV$3&gt;=Projects!$C$46,AV$3&lt;Projects!$C$46+Projects!$D$46),Projects!$B$46*INDEX(Curves!$B$4:$AR$4,1,AV$3-Projects!$C$46+1),0)-IF(AND(Projects!$G$46="Yes",AV$3&gt;=Projects!$C$46,AV$3&lt;Projects!$C$46+Projects!$D$46),Projects!$B$46*(Assumptions!$B$10+Assumptions!$B$11+Assumptions!$B$12)/Projects!$D$46*0.95,0)-IF(AND(Projects!$G$46="Yes",AV$3=Projects!$C$46+Projects!$D$46-1),Projects!$B$46*(Assumptions!$B$10+Assumptions!$B$11+Assumptions!$B$12)*0.05,0)</f>
        <v>0</v>
      </c>
      <c r="AW55" s="30" t="n">
        <f aca="false">IF(AND(Projects!$G$46="Yes",AW$3&gt;=Projects!$C$46,AW$3&lt;Projects!$C$46+Projects!$D$46),Projects!$B$46*INDEX(Curves!$B$4:$AR$4,1,AW$3-Projects!$C$46+1),0)-IF(AND(Projects!$G$46="Yes",AW$3&gt;=Projects!$C$46,AW$3&lt;Projects!$C$46+Projects!$D$46),Projects!$B$46*(Assumptions!$B$10+Assumptions!$B$11+Assumptions!$B$12)/Projects!$D$46*0.95,0)-IF(AND(Projects!$G$46="Yes",AW$3=Projects!$C$46+Projects!$D$46-1),Projects!$B$46*(Assumptions!$B$10+Assumptions!$B$11+Assumptions!$B$12)*0.05,0)</f>
        <v>0</v>
      </c>
      <c r="AX55" s="30" t="n">
        <f aca="false">IF(AND(Projects!$G$46="Yes",AX$3&gt;=Projects!$C$46,AX$3&lt;Projects!$C$46+Projects!$D$46),Projects!$B$46*INDEX(Curves!$B$4:$AR$4,1,AX$3-Projects!$C$46+1),0)-IF(AND(Projects!$G$46="Yes",AX$3&gt;=Projects!$C$46,AX$3&lt;Projects!$C$46+Projects!$D$46),Projects!$B$46*(Assumptions!$B$10+Assumptions!$B$11+Assumptions!$B$12)/Projects!$D$46*0.95,0)-IF(AND(Projects!$G$46="Yes",AX$3=Projects!$C$46+Projects!$D$46-1),Projects!$B$46*(Assumptions!$B$10+Assumptions!$B$11+Assumptions!$B$12)*0.05,0)</f>
        <v>0</v>
      </c>
      <c r="AY55" s="30" t="n">
        <f aca="false">IF(AND(Projects!$G$46="Yes",AY$3&gt;=Projects!$C$46,AY$3&lt;Projects!$C$46+Projects!$D$46),Projects!$B$46*INDEX(Curves!$B$4:$AR$4,1,AY$3-Projects!$C$46+1),0)-IF(AND(Projects!$G$46="Yes",AY$3&gt;=Projects!$C$46,AY$3&lt;Projects!$C$46+Projects!$D$46),Projects!$B$46*(Assumptions!$B$10+Assumptions!$B$11+Assumptions!$B$12)/Projects!$D$46*0.95,0)-IF(AND(Projects!$G$46="Yes",AY$3=Projects!$C$46+Projects!$D$46-1),Projects!$B$46*(Assumptions!$B$10+Assumptions!$B$11+Assumptions!$B$12)*0.05,0)</f>
        <v>0</v>
      </c>
      <c r="AZ55" s="30" t="n">
        <f aca="false">IF(AND(Projects!$G$46="Yes",AZ$3&gt;=Projects!$C$46,AZ$3&lt;Projects!$C$46+Projects!$D$46),Projects!$B$46*INDEX(Curves!$B$4:$AR$4,1,AZ$3-Projects!$C$46+1),0)-IF(AND(Projects!$G$46="Yes",AZ$3&gt;=Projects!$C$46,AZ$3&lt;Projects!$C$46+Projects!$D$46),Projects!$B$46*(Assumptions!$B$10+Assumptions!$B$11+Assumptions!$B$12)/Projects!$D$46*0.95,0)-IF(AND(Projects!$G$46="Yes",AZ$3=Projects!$C$46+Projects!$D$46-1),Projects!$B$46*(Assumptions!$B$10+Assumptions!$B$11+Assumptions!$B$12)*0.05,0)</f>
        <v>0</v>
      </c>
      <c r="BA55" s="30" t="n">
        <f aca="false">IF(AND(Projects!$G$46="Yes",BA$3&gt;=Projects!$C$46,BA$3&lt;Projects!$C$46+Projects!$D$46),Projects!$B$46*INDEX(Curves!$B$4:$AR$4,1,BA$3-Projects!$C$46+1),0)-IF(AND(Projects!$G$46="Yes",BA$3&gt;=Projects!$C$46,BA$3&lt;Projects!$C$46+Projects!$D$46),Projects!$B$46*(Assumptions!$B$10+Assumptions!$B$11+Assumptions!$B$12)/Projects!$D$46*0.95,0)-IF(AND(Projects!$G$46="Yes",BA$3=Projects!$C$46+Projects!$D$46-1),Projects!$B$46*(Assumptions!$B$10+Assumptions!$B$11+Assumptions!$B$12)*0.05,0)</f>
        <v>0</v>
      </c>
      <c r="BB55" s="30" t="n">
        <f aca="false">IF(AND(Projects!$G$46="Yes",BB$3&gt;=Projects!$C$46,BB$3&lt;Projects!$C$46+Projects!$D$46),Projects!$B$46*INDEX(Curves!$B$4:$AR$4,1,BB$3-Projects!$C$46+1),0)-IF(AND(Projects!$G$46="Yes",BB$3&gt;=Projects!$C$46,BB$3&lt;Projects!$C$46+Projects!$D$46),Projects!$B$46*(Assumptions!$B$10+Assumptions!$B$11+Assumptions!$B$12)/Projects!$D$46*0.95,0)-IF(AND(Projects!$G$46="Yes",BB$3=Projects!$C$46+Projects!$D$46-1),Projects!$B$46*(Assumptions!$B$10+Assumptions!$B$11+Assumptions!$B$12)*0.05,0)</f>
        <v>0</v>
      </c>
      <c r="BC55" s="30" t="n">
        <f aca="false">IF(AND(Projects!$G$46="Yes",BC$3&gt;=Projects!$C$46,BC$3&lt;Projects!$C$46+Projects!$D$46),Projects!$B$46*INDEX(Curves!$B$4:$AR$4,1,BC$3-Projects!$C$46+1),0)-IF(AND(Projects!$G$46="Yes",BC$3&gt;=Projects!$C$46,BC$3&lt;Projects!$C$46+Projects!$D$46),Projects!$B$46*(Assumptions!$B$10+Assumptions!$B$11+Assumptions!$B$12)/Projects!$D$46*0.95,0)-IF(AND(Projects!$G$46="Yes",BC$3=Projects!$C$46+Projects!$D$46-1),Projects!$B$46*(Assumptions!$B$10+Assumptions!$B$11+Assumptions!$B$12)*0.05,0)</f>
        <v>0</v>
      </c>
      <c r="BD55" s="30" t="n">
        <f aca="false">IF(AND(Projects!$G$46="Yes",BD$3&gt;=Projects!$C$46,BD$3&lt;Projects!$C$46+Projects!$D$46),Projects!$B$46*INDEX(Curves!$B$4:$AR$4,1,BD$3-Projects!$C$46+1),0)-IF(AND(Projects!$G$46="Yes",BD$3&gt;=Projects!$C$46,BD$3&lt;Projects!$C$46+Projects!$D$46),Projects!$B$46*(Assumptions!$B$10+Assumptions!$B$11+Assumptions!$B$12)/Projects!$D$46*0.95,0)-IF(AND(Projects!$G$46="Yes",BD$3=Projects!$C$46+Projects!$D$46-1),Projects!$B$46*(Assumptions!$B$10+Assumptions!$B$11+Assumptions!$B$12)*0.05,0)</f>
        <v>0</v>
      </c>
      <c r="BE55" s="30" t="n">
        <f aca="false">IF(AND(Projects!$G$46="Yes",BE$3&gt;=Projects!$C$46,BE$3&lt;Projects!$C$46+Projects!$D$46),Projects!$B$46*INDEX(Curves!$B$4:$AR$4,1,BE$3-Projects!$C$46+1),0)-IF(AND(Projects!$G$46="Yes",BE$3&gt;=Projects!$C$46,BE$3&lt;Projects!$C$46+Projects!$D$46),Projects!$B$46*(Assumptions!$B$10+Assumptions!$B$11+Assumptions!$B$12)/Projects!$D$46*0.95,0)-IF(AND(Projects!$G$46="Yes",BE$3=Projects!$C$46+Projects!$D$46-1),Projects!$B$46*(Assumptions!$B$10+Assumptions!$B$11+Assumptions!$B$12)*0.05,0)</f>
        <v>0</v>
      </c>
      <c r="BF55" s="30" t="n">
        <f aca="false">IF(AND(Projects!$G$46="Yes",BF$3&gt;=Projects!$C$46,BF$3&lt;Projects!$C$46+Projects!$D$46),Projects!$B$46*INDEX(Curves!$B$4:$AR$4,1,BF$3-Projects!$C$46+1),0)-IF(AND(Projects!$G$46="Yes",BF$3&gt;=Projects!$C$46,BF$3&lt;Projects!$C$46+Projects!$D$46),Projects!$B$46*(Assumptions!$B$10+Assumptions!$B$11+Assumptions!$B$12)/Projects!$D$46*0.95,0)-IF(AND(Projects!$G$46="Yes",BF$3=Projects!$C$46+Projects!$D$46-1),Projects!$B$46*(Assumptions!$B$10+Assumptions!$B$11+Assumptions!$B$12)*0.05,0)</f>
        <v>0</v>
      </c>
      <c r="BG55" s="30" t="n">
        <f aca="false">IF(AND(Projects!$G$46="Yes",BG$3&gt;=Projects!$C$46,BG$3&lt;Projects!$C$46+Projects!$D$46),Projects!$B$46*INDEX(Curves!$B$4:$AR$4,1,BG$3-Projects!$C$46+1),0)-IF(AND(Projects!$G$46="Yes",BG$3&gt;=Projects!$C$46,BG$3&lt;Projects!$C$46+Projects!$D$46),Projects!$B$46*(Assumptions!$B$10+Assumptions!$B$11+Assumptions!$B$12)/Projects!$D$46*0.95,0)-IF(AND(Projects!$G$46="Yes",BG$3=Projects!$C$46+Projects!$D$46-1),Projects!$B$46*(Assumptions!$B$10+Assumptions!$B$11+Assumptions!$B$12)*0.05,0)</f>
        <v>0</v>
      </c>
      <c r="BH55" s="30" t="n">
        <f aca="false">IF(AND(Projects!$G$46="Yes",BH$3&gt;=Projects!$C$46,BH$3&lt;Projects!$C$46+Projects!$D$46),Projects!$B$46*INDEX(Curves!$B$4:$AR$4,1,BH$3-Projects!$C$46+1),0)-IF(AND(Projects!$G$46="Yes",BH$3&gt;=Projects!$C$46,BH$3&lt;Projects!$C$46+Projects!$D$46),Projects!$B$46*(Assumptions!$B$10+Assumptions!$B$11+Assumptions!$B$12)/Projects!$D$46*0.95,0)-IF(AND(Projects!$G$46="Yes",BH$3=Projects!$C$46+Projects!$D$46-1),Projects!$B$46*(Assumptions!$B$10+Assumptions!$B$11+Assumptions!$B$12)*0.05,0)</f>
        <v>0</v>
      </c>
      <c r="BI55" s="30" t="n">
        <f aca="false">IF(AND(Projects!$G$46="Yes",BI$3&gt;=Projects!$C$46,BI$3&lt;Projects!$C$46+Projects!$D$46),Projects!$B$46*INDEX(Curves!$B$4:$AR$4,1,BI$3-Projects!$C$46+1),0)-IF(AND(Projects!$G$46="Yes",BI$3&gt;=Projects!$C$46,BI$3&lt;Projects!$C$46+Projects!$D$46),Projects!$B$46*(Assumptions!$B$10+Assumptions!$B$11+Assumptions!$B$12)/Projects!$D$46*0.95,0)-IF(AND(Projects!$G$46="Yes",BI$3=Projects!$C$46+Projects!$D$46-1),Projects!$B$46*(Assumptions!$B$10+Assumptions!$B$11+Assumptions!$B$12)*0.05,0)</f>
        <v>0</v>
      </c>
      <c r="BJ55" s="30" t="n">
        <f aca="false">IF(AND(Projects!$G$46="Yes",BJ$3&gt;=Projects!$C$46,BJ$3&lt;Projects!$C$46+Projects!$D$46),Projects!$B$46*INDEX(Curves!$B$4:$AR$4,1,BJ$3-Projects!$C$46+1),0)-IF(AND(Projects!$G$46="Yes",BJ$3&gt;=Projects!$C$46,BJ$3&lt;Projects!$C$46+Projects!$D$46),Projects!$B$46*(Assumptions!$B$10+Assumptions!$B$11+Assumptions!$B$12)/Projects!$D$46*0.95,0)-IF(AND(Projects!$G$46="Yes",BJ$3=Projects!$C$46+Projects!$D$46-1),Projects!$B$46*(Assumptions!$B$10+Assumptions!$B$11+Assumptions!$B$12)*0.05,0)</f>
        <v>0</v>
      </c>
      <c r="BK55" s="30" t="n">
        <f aca="false">IF(AND(Projects!$G$46="Yes",BK$3&gt;=Projects!$C$46,BK$3&lt;Projects!$C$46+Projects!$D$46),Projects!$B$46*INDEX(Curves!$B$4:$AR$4,1,BK$3-Projects!$C$46+1),0)-IF(AND(Projects!$G$46="Yes",BK$3&gt;=Projects!$C$46,BK$3&lt;Projects!$C$46+Projects!$D$46),Projects!$B$46*(Assumptions!$B$10+Assumptions!$B$11+Assumptions!$B$12)/Projects!$D$46*0.95,0)-IF(AND(Projects!$G$46="Yes",BK$3=Projects!$C$46+Projects!$D$46-1),Projects!$B$46*(Assumptions!$B$10+Assumptions!$B$11+Assumptions!$B$12)*0.05,0)</f>
        <v>0</v>
      </c>
      <c r="BL55" s="30" t="n">
        <f aca="false">IF(AND(Projects!$G$46="Yes",BL$3&gt;=Projects!$C$46,BL$3&lt;Projects!$C$46+Projects!$D$46),Projects!$B$46*INDEX(Curves!$B$4:$AR$4,1,BL$3-Projects!$C$46+1),0)-IF(AND(Projects!$G$46="Yes",BL$3&gt;=Projects!$C$46,BL$3&lt;Projects!$C$46+Projects!$D$46),Projects!$B$46*(Assumptions!$B$10+Assumptions!$B$11+Assumptions!$B$12)/Projects!$D$46*0.95,0)-IF(AND(Projects!$G$46="Yes",BL$3=Projects!$C$46+Projects!$D$46-1),Projects!$B$46*(Assumptions!$B$10+Assumptions!$B$11+Assumptions!$B$12)*0.05,0)</f>
        <v>0</v>
      </c>
      <c r="BM55" s="30" t="n">
        <f aca="false">IF(AND(Projects!$G$46="Yes",BM$3&gt;=Projects!$C$46,BM$3&lt;Projects!$C$46+Projects!$D$46),Projects!$B$46*INDEX(Curves!$B$4:$AR$4,1,BM$3-Projects!$C$46+1),0)-IF(AND(Projects!$G$46="Yes",BM$3&gt;=Projects!$C$46,BM$3&lt;Projects!$C$46+Projects!$D$46),Projects!$B$46*(Assumptions!$B$10+Assumptions!$B$11+Assumptions!$B$12)/Projects!$D$46*0.95,0)-IF(AND(Projects!$G$46="Yes",BM$3=Projects!$C$46+Projects!$D$46-1),Projects!$B$46*(Assumptions!$B$10+Assumptions!$B$11+Assumptions!$B$12)*0.05,0)</f>
        <v>0</v>
      </c>
      <c r="BN55" s="30" t="n">
        <f aca="false">IF(AND(Projects!$G$46="Yes",BN$3&gt;=Projects!$C$46,BN$3&lt;Projects!$C$46+Projects!$D$46),Projects!$B$46*INDEX(Curves!$B$4:$AR$4,1,BN$3-Projects!$C$46+1),0)-IF(AND(Projects!$G$46="Yes",BN$3&gt;=Projects!$C$46,BN$3&lt;Projects!$C$46+Projects!$D$46),Projects!$B$46*(Assumptions!$B$10+Assumptions!$B$11+Assumptions!$B$12)/Projects!$D$46*0.95,0)-IF(AND(Projects!$G$46="Yes",BN$3=Projects!$C$46+Projects!$D$46-1),Projects!$B$46*(Assumptions!$B$10+Assumptions!$B$11+Assumptions!$B$12)*0.05,0)</f>
        <v>0</v>
      </c>
      <c r="BO55" s="30" t="n">
        <f aca="false">IF(AND(Projects!$G$46="Yes",BO$3&gt;=Projects!$C$46,BO$3&lt;Projects!$C$46+Projects!$D$46),Projects!$B$46*INDEX(Curves!$B$4:$AR$4,1,BO$3-Projects!$C$46+1),0)-IF(AND(Projects!$G$46="Yes",BO$3&gt;=Projects!$C$46,BO$3&lt;Projects!$C$46+Projects!$D$46),Projects!$B$46*(Assumptions!$B$10+Assumptions!$B$11+Assumptions!$B$12)/Projects!$D$46*0.95,0)-IF(AND(Projects!$G$46="Yes",BO$3=Projects!$C$46+Projects!$D$46-1),Projects!$B$46*(Assumptions!$B$10+Assumptions!$B$11+Assumptions!$B$12)*0.05,0)</f>
        <v>0</v>
      </c>
      <c r="BP55" s="30" t="n">
        <f aca="false">IF(AND(Projects!$G$46="Yes",BP$3&gt;=Projects!$C$46,BP$3&lt;Projects!$C$46+Projects!$D$46),Projects!$B$46*INDEX(Curves!$B$4:$AR$4,1,BP$3-Projects!$C$46+1),0)-IF(AND(Projects!$G$46="Yes",BP$3&gt;=Projects!$C$46,BP$3&lt;Projects!$C$46+Projects!$D$46),Projects!$B$46*(Assumptions!$B$10+Assumptions!$B$11+Assumptions!$B$12)/Projects!$D$46*0.95,0)-IF(AND(Projects!$G$46="Yes",BP$3=Projects!$C$46+Projects!$D$46-1),Projects!$B$46*(Assumptions!$B$10+Assumptions!$B$11+Assumptions!$B$12)*0.05,0)</f>
        <v>0</v>
      </c>
      <c r="BQ55" s="30" t="n">
        <f aca="false">IF(AND(Projects!$G$46="Yes",BQ$3&gt;=Projects!$C$46,BQ$3&lt;Projects!$C$46+Projects!$D$46),Projects!$B$46*INDEX(Curves!$B$4:$AR$4,1,BQ$3-Projects!$C$46+1),0)-IF(AND(Projects!$G$46="Yes",BQ$3&gt;=Projects!$C$46,BQ$3&lt;Projects!$C$46+Projects!$D$46),Projects!$B$46*(Assumptions!$B$10+Assumptions!$B$11+Assumptions!$B$12)/Projects!$D$46*0.95,0)-IF(AND(Projects!$G$46="Yes",BQ$3=Projects!$C$46+Projects!$D$46-1),Projects!$B$46*(Assumptions!$B$10+Assumptions!$B$11+Assumptions!$B$12)*0.05,0)</f>
        <v>0</v>
      </c>
      <c r="BR55" s="30" t="n">
        <f aca="false">IF(AND(Projects!$G$46="Yes",BR$3&gt;=Projects!$C$46,BR$3&lt;Projects!$C$46+Projects!$D$46),Projects!$B$46*INDEX(Curves!$B$4:$AR$4,1,BR$3-Projects!$C$46+1),0)-IF(AND(Projects!$G$46="Yes",BR$3&gt;=Projects!$C$46,BR$3&lt;Projects!$C$46+Projects!$D$46),Projects!$B$46*(Assumptions!$B$10+Assumptions!$B$11+Assumptions!$B$12)/Projects!$D$46*0.95,0)-IF(AND(Projects!$G$46="Yes",BR$3=Projects!$C$46+Projects!$D$46-1),Projects!$B$46*(Assumptions!$B$10+Assumptions!$B$11+Assumptions!$B$12)*0.05,0)</f>
        <v>0</v>
      </c>
      <c r="BS55" s="30" t="n">
        <f aca="false">IF(AND(Projects!$G$46="Yes",BS$3&gt;=Projects!$C$46,BS$3&lt;Projects!$C$46+Projects!$D$46),Projects!$B$46*INDEX(Curves!$B$4:$AR$4,1,BS$3-Projects!$C$46+1),0)-IF(AND(Projects!$G$46="Yes",BS$3&gt;=Projects!$C$46,BS$3&lt;Projects!$C$46+Projects!$D$46),Projects!$B$46*(Assumptions!$B$10+Assumptions!$B$11+Assumptions!$B$12)/Projects!$D$46*0.95,0)-IF(AND(Projects!$G$46="Yes",BS$3=Projects!$C$46+Projects!$D$46-1),Projects!$B$46*(Assumptions!$B$10+Assumptions!$B$11+Assumptions!$B$12)*0.05,0)</f>
        <v>0</v>
      </c>
      <c r="BT55" s="30" t="n">
        <f aca="false">IF(AND(Projects!$G$46="Yes",BT$3&gt;=Projects!$C$46,BT$3&lt;Projects!$C$46+Projects!$D$46),Projects!$B$46*INDEX(Curves!$B$4:$AR$4,1,BT$3-Projects!$C$46+1),0)-IF(AND(Projects!$G$46="Yes",BT$3&gt;=Projects!$C$46,BT$3&lt;Projects!$C$46+Projects!$D$46),Projects!$B$46*(Assumptions!$B$10+Assumptions!$B$11+Assumptions!$B$12)/Projects!$D$46*0.95,0)-IF(AND(Projects!$G$46="Yes",BT$3=Projects!$C$46+Projects!$D$46-1),Projects!$B$46*(Assumptions!$B$10+Assumptions!$B$11+Assumptions!$B$12)*0.05,0)</f>
        <v>0</v>
      </c>
      <c r="BU55" s="30" t="n">
        <f aca="false">IF(AND(Projects!$G$46="Yes",BU$3&gt;=Projects!$C$46,BU$3&lt;Projects!$C$46+Projects!$D$46),Projects!$B$46*INDEX(Curves!$B$4:$AR$4,1,BU$3-Projects!$C$46+1),0)-IF(AND(Projects!$G$46="Yes",BU$3&gt;=Projects!$C$46,BU$3&lt;Projects!$C$46+Projects!$D$46),Projects!$B$46*(Assumptions!$B$10+Assumptions!$B$11+Assumptions!$B$12)/Projects!$D$46*0.95,0)-IF(AND(Projects!$G$46="Yes",BU$3=Projects!$C$46+Projects!$D$46-1),Projects!$B$46*(Assumptions!$B$10+Assumptions!$B$11+Assumptions!$B$12)*0.05,0)</f>
        <v>0</v>
      </c>
      <c r="BV55" s="30" t="n">
        <f aca="false">IF(AND(Projects!$G$46="Yes",BV$3&gt;=Projects!$C$46,BV$3&lt;Projects!$C$46+Projects!$D$46),Projects!$B$46*INDEX(Curves!$B$4:$AR$4,1,BV$3-Projects!$C$46+1),0)-IF(AND(Projects!$G$46="Yes",BV$3&gt;=Projects!$C$46,BV$3&lt;Projects!$C$46+Projects!$D$46),Projects!$B$46*(Assumptions!$B$10+Assumptions!$B$11+Assumptions!$B$12)/Projects!$D$46*0.95,0)-IF(AND(Projects!$G$46="Yes",BV$3=Projects!$C$46+Projects!$D$46-1),Projects!$B$46*(Assumptions!$B$10+Assumptions!$B$11+Assumptions!$B$12)*0.05,0)</f>
        <v>0</v>
      </c>
      <c r="BW55" s="30" t="n">
        <f aca="false">IF(AND(Projects!$G$46="Yes",BW$3&gt;=Projects!$C$46,BW$3&lt;Projects!$C$46+Projects!$D$46),Projects!$B$46*INDEX(Curves!$B$4:$AR$4,1,BW$3-Projects!$C$46+1),0)-IF(AND(Projects!$G$46="Yes",BW$3&gt;=Projects!$C$46,BW$3&lt;Projects!$C$46+Projects!$D$46),Projects!$B$46*(Assumptions!$B$10+Assumptions!$B$11+Assumptions!$B$12)/Projects!$D$46*0.95,0)-IF(AND(Projects!$G$46="Yes",BW$3=Projects!$C$46+Projects!$D$46-1),Projects!$B$46*(Assumptions!$B$10+Assumptions!$B$11+Assumptions!$B$12)*0.05,0)</f>
        <v>0</v>
      </c>
      <c r="BX55" s="30" t="n">
        <f aca="false">IF(AND(Projects!$G$46="Yes",BX$3&gt;=Projects!$C$46,BX$3&lt;Projects!$C$46+Projects!$D$46),Projects!$B$46*INDEX(Curves!$B$4:$AR$4,1,BX$3-Projects!$C$46+1),0)-IF(AND(Projects!$G$46="Yes",BX$3&gt;=Projects!$C$46,BX$3&lt;Projects!$C$46+Projects!$D$46),Projects!$B$46*(Assumptions!$B$10+Assumptions!$B$11+Assumptions!$B$12)/Projects!$D$46*0.95,0)-IF(AND(Projects!$G$46="Yes",BX$3=Projects!$C$46+Projects!$D$46-1),Projects!$B$46*(Assumptions!$B$10+Assumptions!$B$11+Assumptions!$B$12)*0.05,0)</f>
        <v>0</v>
      </c>
      <c r="BY55" s="30" t="n">
        <f aca="false">IF(AND(Projects!$G$46="Yes",BY$3&gt;=Projects!$C$46,BY$3&lt;Projects!$C$46+Projects!$D$46),Projects!$B$46*INDEX(Curves!$B$4:$AR$4,1,BY$3-Projects!$C$46+1),0)-IF(AND(Projects!$G$46="Yes",BY$3&gt;=Projects!$C$46,BY$3&lt;Projects!$C$46+Projects!$D$46),Projects!$B$46*(Assumptions!$B$10+Assumptions!$B$11+Assumptions!$B$12)/Projects!$D$46*0.95,0)-IF(AND(Projects!$G$46="Yes",BY$3=Projects!$C$46+Projects!$D$46-1),Projects!$B$46*(Assumptions!$B$10+Assumptions!$B$11+Assumptions!$B$12)*0.05,0)</f>
        <v>0</v>
      </c>
      <c r="BZ55" s="30" t="n">
        <f aca="false">IF(AND(Projects!$G$46="Yes",BZ$3&gt;=Projects!$C$46,BZ$3&lt;Projects!$C$46+Projects!$D$46),Projects!$B$46*INDEX(Curves!$B$4:$AR$4,1,BZ$3-Projects!$C$46+1),0)-IF(AND(Projects!$G$46="Yes",BZ$3&gt;=Projects!$C$46,BZ$3&lt;Projects!$C$46+Projects!$D$46),Projects!$B$46*(Assumptions!$B$10+Assumptions!$B$11+Assumptions!$B$12)/Projects!$D$46*0.95,0)-IF(AND(Projects!$G$46="Yes",BZ$3=Projects!$C$46+Projects!$D$46-1),Projects!$B$46*(Assumptions!$B$10+Assumptions!$B$11+Assumptions!$B$12)*0.05,0)</f>
        <v>0</v>
      </c>
      <c r="CA55" s="30" t="n">
        <f aca="false">IF(AND(Projects!$G$46="Yes",CA$3&gt;=Projects!$C$46,CA$3&lt;Projects!$C$46+Projects!$D$46),Projects!$B$46*INDEX(Curves!$B$4:$AR$4,1,CA$3-Projects!$C$46+1),0)-IF(AND(Projects!$G$46="Yes",CA$3&gt;=Projects!$C$46,CA$3&lt;Projects!$C$46+Projects!$D$46),Projects!$B$46*(Assumptions!$B$10+Assumptions!$B$11+Assumptions!$B$12)/Projects!$D$46*0.95,0)-IF(AND(Projects!$G$46="Yes",CA$3=Projects!$C$46+Projects!$D$46-1),Projects!$B$46*(Assumptions!$B$10+Assumptions!$B$11+Assumptions!$B$12)*0.05,0)</f>
        <v>0</v>
      </c>
      <c r="CB55" s="30" t="n">
        <f aca="false">IF(AND(Projects!$G$46="Yes",CB$3&gt;=Projects!$C$46,CB$3&lt;Projects!$C$46+Projects!$D$46),Projects!$B$46*INDEX(Curves!$B$4:$AR$4,1,CB$3-Projects!$C$46+1),0)-IF(AND(Projects!$G$46="Yes",CB$3&gt;=Projects!$C$46,CB$3&lt;Projects!$C$46+Projects!$D$46),Projects!$B$46*(Assumptions!$B$10+Assumptions!$B$11+Assumptions!$B$12)/Projects!$D$46*0.95,0)-IF(AND(Projects!$G$46="Yes",CB$3=Projects!$C$46+Projects!$D$46-1),Projects!$B$46*(Assumptions!$B$10+Assumptions!$B$11+Assumptions!$B$12)*0.05,0)</f>
        <v>0</v>
      </c>
      <c r="CC55" s="30" t="n">
        <f aca="false">IF(AND(Projects!$G$46="Yes",CC$3&gt;=Projects!$C$46,CC$3&lt;Projects!$C$46+Projects!$D$46),Projects!$B$46*INDEX(Curves!$B$4:$AR$4,1,CC$3-Projects!$C$46+1),0)-IF(AND(Projects!$G$46="Yes",CC$3&gt;=Projects!$C$46,CC$3&lt;Projects!$C$46+Projects!$D$46),Projects!$B$46*(Assumptions!$B$10+Assumptions!$B$11+Assumptions!$B$12)/Projects!$D$46*0.95,0)-IF(AND(Projects!$G$46="Yes",CC$3=Projects!$C$46+Projects!$D$46-1),Projects!$B$46*(Assumptions!$B$10+Assumptions!$B$11+Assumptions!$B$12)*0.05,0)</f>
        <v>0</v>
      </c>
      <c r="CD55" s="30" t="n">
        <f aca="false">IF(AND(Projects!$G$46="Yes",CD$3&gt;=Projects!$C$46,CD$3&lt;Projects!$C$46+Projects!$D$46),Projects!$B$46*INDEX(Curves!$B$4:$AR$4,1,CD$3-Projects!$C$46+1),0)-IF(AND(Projects!$G$46="Yes",CD$3&gt;=Projects!$C$46,CD$3&lt;Projects!$C$46+Projects!$D$46),Projects!$B$46*(Assumptions!$B$10+Assumptions!$B$11+Assumptions!$B$12)/Projects!$D$46*0.95,0)-IF(AND(Projects!$G$46="Yes",CD$3=Projects!$C$46+Projects!$D$46-1),Projects!$B$46*(Assumptions!$B$10+Assumptions!$B$11+Assumptions!$B$12)*0.05,0)</f>
        <v>0</v>
      </c>
      <c r="CE55" s="30" t="n">
        <f aca="false">IF(AND(Projects!$G$46="Yes",CE$3&gt;=Projects!$C$46,CE$3&lt;Projects!$C$46+Projects!$D$46),Projects!$B$46*INDEX(Curves!$B$4:$AR$4,1,CE$3-Projects!$C$46+1),0)-IF(AND(Projects!$G$46="Yes",CE$3&gt;=Projects!$C$46,CE$3&lt;Projects!$C$46+Projects!$D$46),Projects!$B$46*(Assumptions!$B$10+Assumptions!$B$11+Assumptions!$B$12)/Projects!$D$46*0.95,0)-IF(AND(Projects!$G$46="Yes",CE$3=Projects!$C$46+Projects!$D$46-1),Projects!$B$46*(Assumptions!$B$10+Assumptions!$B$11+Assumptions!$B$12)*0.05,0)</f>
        <v>0</v>
      </c>
      <c r="CF55" s="30" t="n">
        <f aca="false">IF(AND(Projects!$G$46="Yes",CF$3&gt;=Projects!$C$46,CF$3&lt;Projects!$C$46+Projects!$D$46),Projects!$B$46*INDEX(Curves!$B$4:$AR$4,1,CF$3-Projects!$C$46+1),0)-IF(AND(Projects!$G$46="Yes",CF$3&gt;=Projects!$C$46,CF$3&lt;Projects!$C$46+Projects!$D$46),Projects!$B$46*(Assumptions!$B$10+Assumptions!$B$11+Assumptions!$B$12)/Projects!$D$46*0.95,0)-IF(AND(Projects!$G$46="Yes",CF$3=Projects!$C$46+Projects!$D$46-1),Projects!$B$46*(Assumptions!$B$10+Assumptions!$B$11+Assumptions!$B$12)*0.05,0)</f>
        <v>0</v>
      </c>
      <c r="CG55" s="30" t="n">
        <f aca="false">IF(AND(Projects!$G$46="Yes",CG$3&gt;=Projects!$C$46,CG$3&lt;Projects!$C$46+Projects!$D$46),Projects!$B$46*INDEX(Curves!$B$4:$AR$4,1,CG$3-Projects!$C$46+1),0)-IF(AND(Projects!$G$46="Yes",CG$3&gt;=Projects!$C$46,CG$3&lt;Projects!$C$46+Projects!$D$46),Projects!$B$46*(Assumptions!$B$10+Assumptions!$B$11+Assumptions!$B$12)/Projects!$D$46*0.95,0)-IF(AND(Projects!$G$46="Yes",CG$3=Projects!$C$46+Projects!$D$46-1),Projects!$B$46*(Assumptions!$B$10+Assumptions!$B$11+Assumptions!$B$12)*0.05,0)</f>
        <v>0</v>
      </c>
      <c r="CH55" s="30" t="n">
        <f aca="false">IF(AND(Projects!$G$46="Yes",CH$3&gt;=Projects!$C$46,CH$3&lt;Projects!$C$46+Projects!$D$46),Projects!$B$46*INDEX(Curves!$B$4:$AR$4,1,CH$3-Projects!$C$46+1),0)-IF(AND(Projects!$G$46="Yes",CH$3&gt;=Projects!$C$46,CH$3&lt;Projects!$C$46+Projects!$D$46),Projects!$B$46*(Assumptions!$B$10+Assumptions!$B$11+Assumptions!$B$12)/Projects!$D$46*0.95,0)-IF(AND(Projects!$G$46="Yes",CH$3=Projects!$C$46+Projects!$D$46-1),Projects!$B$46*(Assumptions!$B$10+Assumptions!$B$11+Assumptions!$B$12)*0.05,0)</f>
        <v>0</v>
      </c>
      <c r="CI55" s="30" t="n">
        <f aca="false">IF(AND(Projects!$G$46="Yes",CI$3&gt;=Projects!$C$46,CI$3&lt;Projects!$C$46+Projects!$D$46),Projects!$B$46*INDEX(Curves!$B$4:$AR$4,1,CI$3-Projects!$C$46+1),0)-IF(AND(Projects!$G$46="Yes",CI$3&gt;=Projects!$C$46,CI$3&lt;Projects!$C$46+Projects!$D$46),Projects!$B$46*(Assumptions!$B$10+Assumptions!$B$11+Assumptions!$B$12)/Projects!$D$46*0.95,0)-IF(AND(Projects!$G$46="Yes",CI$3=Projects!$C$46+Projects!$D$46-1),Projects!$B$46*(Assumptions!$B$10+Assumptions!$B$11+Assumptions!$B$12)*0.05,0)</f>
        <v>0</v>
      </c>
      <c r="CJ55" s="30" t="n">
        <f aca="false">IF(AND(Projects!$G$46="Yes",CJ$3&gt;=Projects!$C$46,CJ$3&lt;Projects!$C$46+Projects!$D$46),Projects!$B$46*INDEX(Curves!$B$4:$AR$4,1,CJ$3-Projects!$C$46+1),0)-IF(AND(Projects!$G$46="Yes",CJ$3&gt;=Projects!$C$46,CJ$3&lt;Projects!$C$46+Projects!$D$46),Projects!$B$46*(Assumptions!$B$10+Assumptions!$B$11+Assumptions!$B$12)/Projects!$D$46*0.95,0)-IF(AND(Projects!$G$46="Yes",CJ$3=Projects!$C$46+Projects!$D$46-1),Projects!$B$46*(Assumptions!$B$10+Assumptions!$B$11+Assumptions!$B$12)*0.05,0)</f>
        <v>0</v>
      </c>
      <c r="CK55" s="30" t="n">
        <f aca="false">IF(AND(Projects!$G$46="Yes",CK$3&gt;=Projects!$C$46,CK$3&lt;Projects!$C$46+Projects!$D$46),Projects!$B$46*INDEX(Curves!$B$4:$AR$4,1,CK$3-Projects!$C$46+1),0)-IF(AND(Projects!$G$46="Yes",CK$3&gt;=Projects!$C$46,CK$3&lt;Projects!$C$46+Projects!$D$46),Projects!$B$46*(Assumptions!$B$10+Assumptions!$B$11+Assumptions!$B$12)/Projects!$D$46*0.95,0)-IF(AND(Projects!$G$46="Yes",CK$3=Projects!$C$46+Projects!$D$46-1),Projects!$B$46*(Assumptions!$B$10+Assumptions!$B$11+Assumptions!$B$12)*0.05,0)</f>
        <v>0</v>
      </c>
      <c r="CL55" s="30" t="n">
        <f aca="false">IF(AND(Projects!$G$46="Yes",CL$3&gt;=Projects!$C$46,CL$3&lt;Projects!$C$46+Projects!$D$46),Projects!$B$46*INDEX(Curves!$B$4:$AR$4,1,CL$3-Projects!$C$46+1),0)-IF(AND(Projects!$G$46="Yes",CL$3&gt;=Projects!$C$46,CL$3&lt;Projects!$C$46+Projects!$D$46),Projects!$B$46*(Assumptions!$B$10+Assumptions!$B$11+Assumptions!$B$12)/Projects!$D$46*0.95,0)-IF(AND(Projects!$G$46="Yes",CL$3=Projects!$C$46+Projects!$D$46-1),Projects!$B$46*(Assumptions!$B$10+Assumptions!$B$11+Assumptions!$B$12)*0.05,0)</f>
        <v>0</v>
      </c>
      <c r="CM55" s="30" t="n">
        <f aca="false">IF(AND(Projects!$G$46="Yes",CM$3&gt;=Projects!$C$46,CM$3&lt;Projects!$C$46+Projects!$D$46),Projects!$B$46*INDEX(Curves!$B$4:$AR$4,1,CM$3-Projects!$C$46+1),0)-IF(AND(Projects!$G$46="Yes",CM$3&gt;=Projects!$C$46,CM$3&lt;Projects!$C$46+Projects!$D$46),Projects!$B$46*(Assumptions!$B$10+Assumptions!$B$11+Assumptions!$B$12)/Projects!$D$46*0.95,0)-IF(AND(Projects!$G$46="Yes",CM$3=Projects!$C$46+Projects!$D$46-1),Projects!$B$46*(Assumptions!$B$10+Assumptions!$B$11+Assumptions!$B$12)*0.05,0)</f>
        <v>0</v>
      </c>
      <c r="CN55" s="30" t="n">
        <f aca="false">IF(AND(Projects!$G$46="Yes",CN$3&gt;=Projects!$C$46,CN$3&lt;Projects!$C$46+Projects!$D$46),Projects!$B$46*INDEX(Curves!$B$4:$AR$4,1,CN$3-Projects!$C$46+1),0)-IF(AND(Projects!$G$46="Yes",CN$3&gt;=Projects!$C$46,CN$3&lt;Projects!$C$46+Projects!$D$46),Projects!$B$46*(Assumptions!$B$10+Assumptions!$B$11+Assumptions!$B$12)/Projects!$D$46*0.95,0)-IF(AND(Projects!$G$46="Yes",CN$3=Projects!$C$46+Projects!$D$46-1),Projects!$B$46*(Assumptions!$B$10+Assumptions!$B$11+Assumptions!$B$12)*0.05,0)</f>
        <v>0</v>
      </c>
      <c r="CO55" s="30" t="n">
        <f aca="false">IF(AND(Projects!$G$46="Yes",CO$3&gt;=Projects!$C$46,CO$3&lt;Projects!$C$46+Projects!$D$46),Projects!$B$46*INDEX(Curves!$B$4:$AR$4,1,CO$3-Projects!$C$46+1),0)-IF(AND(Projects!$G$46="Yes",CO$3&gt;=Projects!$C$46,CO$3&lt;Projects!$C$46+Projects!$D$46),Projects!$B$46*(Assumptions!$B$10+Assumptions!$B$11+Assumptions!$B$12)/Projects!$D$46*0.95,0)-IF(AND(Projects!$G$46="Yes",CO$3=Projects!$C$46+Projects!$D$46-1),Projects!$B$46*(Assumptions!$B$10+Assumptions!$B$11+Assumptions!$B$12)*0.05,0)</f>
        <v>0</v>
      </c>
      <c r="CP55" s="30" t="n">
        <f aca="false">IF(AND(Projects!$G$46="Yes",CP$3&gt;=Projects!$C$46,CP$3&lt;Projects!$C$46+Projects!$D$46),Projects!$B$46*INDEX(Curves!$B$4:$AR$4,1,CP$3-Projects!$C$46+1),0)-IF(AND(Projects!$G$46="Yes",CP$3&gt;=Projects!$C$46,CP$3&lt;Projects!$C$46+Projects!$D$46),Projects!$B$46*(Assumptions!$B$10+Assumptions!$B$11+Assumptions!$B$12)/Projects!$D$46*0.95,0)-IF(AND(Projects!$G$46="Yes",CP$3=Projects!$C$46+Projects!$D$46-1),Projects!$B$46*(Assumptions!$B$10+Assumptions!$B$11+Assumptions!$B$12)*0.05,0)</f>
        <v>0</v>
      </c>
      <c r="CQ55" s="30" t="n">
        <f aca="false">IF(AND(Projects!$G$46="Yes",CQ$3&gt;=Projects!$C$46,CQ$3&lt;Projects!$C$46+Projects!$D$46),Projects!$B$46*INDEX(Curves!$B$4:$AR$4,1,CQ$3-Projects!$C$46+1),0)-IF(AND(Projects!$G$46="Yes",CQ$3&gt;=Projects!$C$46,CQ$3&lt;Projects!$C$46+Projects!$D$46),Projects!$B$46*(Assumptions!$B$10+Assumptions!$B$11+Assumptions!$B$12)/Projects!$D$46*0.95,0)-IF(AND(Projects!$G$46="Yes",CQ$3=Projects!$C$46+Projects!$D$46-1),Projects!$B$46*(Assumptions!$B$10+Assumptions!$B$11+Assumptions!$B$12)*0.05,0)</f>
        <v>0</v>
      </c>
      <c r="CR55" s="30" t="n">
        <f aca="false">IF(AND(Projects!$G$46="Yes",CR$3&gt;=Projects!$C$46,CR$3&lt;Projects!$C$46+Projects!$D$46),Projects!$B$46*INDEX(Curves!$B$4:$AR$4,1,CR$3-Projects!$C$46+1),0)-IF(AND(Projects!$G$46="Yes",CR$3&gt;=Projects!$C$46,CR$3&lt;Projects!$C$46+Projects!$D$46),Projects!$B$46*(Assumptions!$B$10+Assumptions!$B$11+Assumptions!$B$12)/Projects!$D$46*0.95,0)-IF(AND(Projects!$G$46="Yes",CR$3=Projects!$C$46+Projects!$D$46-1),Projects!$B$46*(Assumptions!$B$10+Assumptions!$B$11+Assumptions!$B$12)*0.05,0)</f>
        <v>0</v>
      </c>
      <c r="CS55" s="30" t="n">
        <f aca="false">IF(AND(Projects!$G$46="Yes",CS$3&gt;=Projects!$C$46,CS$3&lt;Projects!$C$46+Projects!$D$46),Projects!$B$46*INDEX(Curves!$B$4:$AR$4,1,CS$3-Projects!$C$46+1),0)-IF(AND(Projects!$G$46="Yes",CS$3&gt;=Projects!$C$46,CS$3&lt;Projects!$C$46+Projects!$D$46),Projects!$B$46*(Assumptions!$B$10+Assumptions!$B$11+Assumptions!$B$12)/Projects!$D$46*0.95,0)-IF(AND(Projects!$G$46="Yes",CS$3=Projects!$C$46+Projects!$D$46-1),Projects!$B$46*(Assumptions!$B$10+Assumptions!$B$11+Assumptions!$B$12)*0.05,0)</f>
        <v>0</v>
      </c>
      <c r="CT55" s="30" t="n">
        <f aca="false">IF(AND(Projects!$G$46="Yes",CT$3&gt;=Projects!$C$46,CT$3&lt;Projects!$C$46+Projects!$D$46),Projects!$B$46*INDEX(Curves!$B$4:$AR$4,1,CT$3-Projects!$C$46+1),0)-IF(AND(Projects!$G$46="Yes",CT$3&gt;=Projects!$C$46,CT$3&lt;Projects!$C$46+Projects!$D$46),Projects!$B$46*(Assumptions!$B$10+Assumptions!$B$11+Assumptions!$B$12)/Projects!$D$46*0.95,0)-IF(AND(Projects!$G$46="Yes",CT$3=Projects!$C$46+Projects!$D$46-1),Projects!$B$46*(Assumptions!$B$10+Assumptions!$B$11+Assumptions!$B$12)*0.05,0)</f>
        <v>0</v>
      </c>
      <c r="CU55" s="30" t="n">
        <f aca="false">IF(AND(Projects!$G$46="Yes",CU$3&gt;=Projects!$C$46,CU$3&lt;Projects!$C$46+Projects!$D$46),Projects!$B$46*INDEX(Curves!$B$4:$AR$4,1,CU$3-Projects!$C$46+1),0)-IF(AND(Projects!$G$46="Yes",CU$3&gt;=Projects!$C$46,CU$3&lt;Projects!$C$46+Projects!$D$46),Projects!$B$46*(Assumptions!$B$10+Assumptions!$B$11+Assumptions!$B$12)/Projects!$D$46*0.95,0)-IF(AND(Projects!$G$46="Yes",CU$3=Projects!$C$46+Projects!$D$46-1),Projects!$B$46*(Assumptions!$B$10+Assumptions!$B$11+Assumptions!$B$12)*0.05,0)</f>
        <v>0</v>
      </c>
      <c r="CV55" s="30" t="n">
        <f aca="false">IF(AND(Projects!$G$46="Yes",CV$3&gt;=Projects!$C$46,CV$3&lt;Projects!$C$46+Projects!$D$46),Projects!$B$46*INDEX(Curves!$B$4:$AR$4,1,CV$3-Projects!$C$46+1),0)-IF(AND(Projects!$G$46="Yes",CV$3&gt;=Projects!$C$46,CV$3&lt;Projects!$C$46+Projects!$D$46),Projects!$B$46*(Assumptions!$B$10+Assumptions!$B$11+Assumptions!$B$12)/Projects!$D$46*0.95,0)-IF(AND(Projects!$G$46="Yes",CV$3=Projects!$C$46+Projects!$D$46-1),Projects!$B$46*(Assumptions!$B$10+Assumptions!$B$11+Assumptions!$B$12)*0.05,0)</f>
        <v>0</v>
      </c>
      <c r="CW55" s="30" t="n">
        <f aca="false">IF(AND(Projects!$G$46="Yes",CW$3&gt;=Projects!$C$46,CW$3&lt;Projects!$C$46+Projects!$D$46),Projects!$B$46*INDEX(Curves!$B$4:$AR$4,1,CW$3-Projects!$C$46+1),0)-IF(AND(Projects!$G$46="Yes",CW$3&gt;=Projects!$C$46,CW$3&lt;Projects!$C$46+Projects!$D$46),Projects!$B$46*(Assumptions!$B$10+Assumptions!$B$11+Assumptions!$B$12)/Projects!$D$46*0.95,0)-IF(AND(Projects!$G$46="Yes",CW$3=Projects!$C$46+Projects!$D$46-1),Projects!$B$46*(Assumptions!$B$10+Assumptions!$B$11+Assumptions!$B$12)*0.05,0)</f>
        <v>0</v>
      </c>
      <c r="CX55" s="30" t="n">
        <f aca="false">IF(AND(Projects!$G$46="Yes",CX$3&gt;=Projects!$C$46,CX$3&lt;Projects!$C$46+Projects!$D$46),Projects!$B$46*INDEX(Curves!$B$4:$AR$4,1,CX$3-Projects!$C$46+1),0)-IF(AND(Projects!$G$46="Yes",CX$3&gt;=Projects!$C$46,CX$3&lt;Projects!$C$46+Projects!$D$46),Projects!$B$46*(Assumptions!$B$10+Assumptions!$B$11+Assumptions!$B$12)/Projects!$D$46*0.95,0)-IF(AND(Projects!$G$46="Yes",CX$3=Projects!$C$46+Projects!$D$46-1),Projects!$B$46*(Assumptions!$B$10+Assumptions!$B$11+Assumptions!$B$12)*0.05,0)</f>
        <v>0</v>
      </c>
      <c r="CY55" s="30" t="n">
        <f aca="false">IF(AND(Projects!$G$46="Yes",CY$3&gt;=Projects!$C$46,CY$3&lt;Projects!$C$46+Projects!$D$46),Projects!$B$46*INDEX(Curves!$B$4:$AR$4,1,CY$3-Projects!$C$46+1),0)-IF(AND(Projects!$G$46="Yes",CY$3&gt;=Projects!$C$46,CY$3&lt;Projects!$C$46+Projects!$D$46),Projects!$B$46*(Assumptions!$B$10+Assumptions!$B$11+Assumptions!$B$12)/Projects!$D$46*0.95,0)-IF(AND(Projects!$G$46="Yes",CY$3=Projects!$C$46+Projects!$D$46-1),Projects!$B$46*(Assumptions!$B$10+Assumptions!$B$11+Assumptions!$B$12)*0.05,0)</f>
        <v>0</v>
      </c>
      <c r="CZ55" s="30" t="n">
        <f aca="false">IF(AND(Projects!$G$46="Yes",CZ$3&gt;=Projects!$C$46,CZ$3&lt;Projects!$C$46+Projects!$D$46),Projects!$B$46*INDEX(Curves!$B$4:$AR$4,1,CZ$3-Projects!$C$46+1),0)-IF(AND(Projects!$G$46="Yes",CZ$3&gt;=Projects!$C$46,CZ$3&lt;Projects!$C$46+Projects!$D$46),Projects!$B$46*(Assumptions!$B$10+Assumptions!$B$11+Assumptions!$B$12)/Projects!$D$46*0.95,0)-IF(AND(Projects!$G$46="Yes",CZ$3=Projects!$C$46+Projects!$D$46-1),Projects!$B$46*(Assumptions!$B$10+Assumptions!$B$11+Assumptions!$B$12)*0.05,0)</f>
        <v>0</v>
      </c>
      <c r="DA55" s="30" t="n">
        <f aca="false">IF(AND(Projects!$G$46="Yes",DA$3&gt;=Projects!$C$46,DA$3&lt;Projects!$C$46+Projects!$D$46),Projects!$B$46*INDEX(Curves!$B$4:$AR$4,1,DA$3-Projects!$C$46+1),0)-IF(AND(Projects!$G$46="Yes",DA$3&gt;=Projects!$C$46,DA$3&lt;Projects!$C$46+Projects!$D$46),Projects!$B$46*(Assumptions!$B$10+Assumptions!$B$11+Assumptions!$B$12)/Projects!$D$46*0.95,0)-IF(AND(Projects!$G$46="Yes",DA$3=Projects!$C$46+Projects!$D$46-1),Projects!$B$46*(Assumptions!$B$10+Assumptions!$B$11+Assumptions!$B$12)*0.05,0)</f>
        <v>0</v>
      </c>
      <c r="DB55" s="30" t="n">
        <f aca="false">IF(AND(Projects!$G$46="Yes",DB$3&gt;=Projects!$C$46,DB$3&lt;Projects!$C$46+Projects!$D$46),Projects!$B$46*INDEX(Curves!$B$4:$AR$4,1,DB$3-Projects!$C$46+1),0)-IF(AND(Projects!$G$46="Yes",DB$3&gt;=Projects!$C$46,DB$3&lt;Projects!$C$46+Projects!$D$46),Projects!$B$46*(Assumptions!$B$10+Assumptions!$B$11+Assumptions!$B$12)/Projects!$D$46*0.95,0)-IF(AND(Projects!$G$46="Yes",DB$3=Projects!$C$46+Projects!$D$46-1),Projects!$B$46*(Assumptions!$B$10+Assumptions!$B$11+Assumptions!$B$12)*0.05,0)</f>
        <v>0</v>
      </c>
      <c r="DC55" s="30" t="n">
        <f aca="false">IF(AND(Projects!$G$46="Yes",DC$3&gt;=Projects!$C$46,DC$3&lt;Projects!$C$46+Projects!$D$46),Projects!$B$46*INDEX(Curves!$B$4:$AR$4,1,DC$3-Projects!$C$46+1),0)-IF(AND(Projects!$G$46="Yes",DC$3&gt;=Projects!$C$46,DC$3&lt;Projects!$C$46+Projects!$D$46),Projects!$B$46*(Assumptions!$B$10+Assumptions!$B$11+Assumptions!$B$12)/Projects!$D$46*0.95,0)-IF(AND(Projects!$G$46="Yes",DC$3=Projects!$C$46+Projects!$D$46-1),Projects!$B$46*(Assumptions!$B$10+Assumptions!$B$11+Assumptions!$B$12)*0.05,0)</f>
        <v>0</v>
      </c>
      <c r="DD55" s="30" t="n">
        <f aca="false">IF(AND(Projects!$G$46="Yes",DD$3&gt;=Projects!$C$46,DD$3&lt;Projects!$C$46+Projects!$D$46),Projects!$B$46*INDEX(Curves!$B$4:$AR$4,1,DD$3-Projects!$C$46+1),0)-IF(AND(Projects!$G$46="Yes",DD$3&gt;=Projects!$C$46,DD$3&lt;Projects!$C$46+Projects!$D$46),Projects!$B$46*(Assumptions!$B$10+Assumptions!$B$11+Assumptions!$B$12)/Projects!$D$46*0.95,0)-IF(AND(Projects!$G$46="Yes",DD$3=Projects!$C$46+Projects!$D$46-1),Projects!$B$46*(Assumptions!$B$10+Assumptions!$B$11+Assumptions!$B$12)*0.05,0)</f>
        <v>0</v>
      </c>
      <c r="DE55" s="30" t="n">
        <f aca="false">IF(AND(Projects!$G$46="Yes",DE$3&gt;=Projects!$C$46,DE$3&lt;Projects!$C$46+Projects!$D$46),Projects!$B$46*INDEX(Curves!$B$4:$AR$4,1,DE$3-Projects!$C$46+1),0)-IF(AND(Projects!$G$46="Yes",DE$3&gt;=Projects!$C$46,DE$3&lt;Projects!$C$46+Projects!$D$46),Projects!$B$46*(Assumptions!$B$10+Assumptions!$B$11+Assumptions!$B$12)/Projects!$D$46*0.95,0)-IF(AND(Projects!$G$46="Yes",DE$3=Projects!$C$46+Projects!$D$46-1),Projects!$B$46*(Assumptions!$B$10+Assumptions!$B$11+Assumptions!$B$12)*0.05,0)</f>
        <v>0</v>
      </c>
    </row>
    <row r="56" customFormat="false" ht="15" hidden="true" customHeight="true" outlineLevel="1" collapsed="false">
      <c r="A56" s="32" t="s">
        <v>50</v>
      </c>
      <c r="B56" s="30" t="n">
        <v>0</v>
      </c>
      <c r="C56" s="30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  <c r="AH56" s="30" t="n">
        <v>0</v>
      </c>
      <c r="AI56" s="30" t="n">
        <v>0</v>
      </c>
      <c r="AJ56" s="30" t="n">
        <v>0</v>
      </c>
      <c r="AK56" s="30" t="n">
        <v>0</v>
      </c>
      <c r="AL56" s="30" t="n">
        <v>0</v>
      </c>
      <c r="AM56" s="30" t="n">
        <v>0</v>
      </c>
      <c r="AN56" s="30" t="n">
        <v>0</v>
      </c>
      <c r="AO56" s="30" t="n">
        <v>0</v>
      </c>
      <c r="AP56" s="30" t="n">
        <v>0</v>
      </c>
      <c r="AQ56" s="30" t="n">
        <v>0</v>
      </c>
      <c r="AR56" s="30" t="n">
        <v>0</v>
      </c>
      <c r="AS56" s="30" t="n">
        <v>0</v>
      </c>
      <c r="AT56" s="30" t="n">
        <v>0</v>
      </c>
      <c r="AU56" s="30" t="n">
        <v>0</v>
      </c>
      <c r="AV56" s="30" t="n">
        <v>0</v>
      </c>
      <c r="AW56" s="30" t="n">
        <v>0</v>
      </c>
      <c r="AX56" s="30" t="n">
        <v>0</v>
      </c>
      <c r="AY56" s="30" t="n">
        <v>0</v>
      </c>
      <c r="AZ56" s="30" t="n">
        <v>0</v>
      </c>
      <c r="BA56" s="30" t="n">
        <v>0</v>
      </c>
      <c r="BB56" s="30" t="n">
        <v>0</v>
      </c>
      <c r="BC56" s="30" t="n">
        <v>0</v>
      </c>
      <c r="BD56" s="30" t="n">
        <v>0</v>
      </c>
      <c r="BE56" s="30" t="n">
        <v>0</v>
      </c>
      <c r="BF56" s="30" t="n">
        <v>0</v>
      </c>
      <c r="BG56" s="30" t="n">
        <v>0</v>
      </c>
      <c r="BH56" s="30" t="n">
        <v>0</v>
      </c>
      <c r="BI56" s="30" t="n">
        <v>0</v>
      </c>
      <c r="BJ56" s="30" t="n">
        <v>0</v>
      </c>
      <c r="BK56" s="30" t="n">
        <v>0</v>
      </c>
      <c r="BL56" s="30" t="n">
        <v>0</v>
      </c>
      <c r="BM56" s="30" t="n">
        <v>0</v>
      </c>
      <c r="BN56" s="30" t="n">
        <v>0</v>
      </c>
      <c r="BO56" s="30" t="n">
        <v>0</v>
      </c>
      <c r="BP56" s="30" t="n">
        <v>0</v>
      </c>
      <c r="BQ56" s="30" t="n">
        <v>0</v>
      </c>
      <c r="BR56" s="30" t="n">
        <v>0</v>
      </c>
      <c r="BS56" s="30" t="n">
        <v>0</v>
      </c>
      <c r="BT56" s="30" t="n">
        <v>0</v>
      </c>
      <c r="BU56" s="30" t="n">
        <v>0</v>
      </c>
      <c r="BV56" s="30" t="n">
        <v>0</v>
      </c>
      <c r="BW56" s="30" t="n">
        <v>0</v>
      </c>
      <c r="BX56" s="30" t="n">
        <v>0</v>
      </c>
      <c r="BY56" s="30" t="n">
        <v>0</v>
      </c>
      <c r="BZ56" s="30" t="n">
        <v>0</v>
      </c>
      <c r="CA56" s="30" t="n">
        <v>0</v>
      </c>
      <c r="CB56" s="30" t="n">
        <v>0</v>
      </c>
      <c r="CC56" s="30" t="n">
        <v>0</v>
      </c>
      <c r="CD56" s="30" t="n">
        <v>0</v>
      </c>
      <c r="CE56" s="30" t="n">
        <v>0</v>
      </c>
      <c r="CF56" s="30" t="n">
        <v>0</v>
      </c>
      <c r="CG56" s="30" t="n">
        <v>0</v>
      </c>
      <c r="CH56" s="30" t="n">
        <v>0</v>
      </c>
      <c r="CI56" s="30" t="n">
        <v>0</v>
      </c>
      <c r="CJ56" s="30" t="n">
        <v>0</v>
      </c>
      <c r="CK56" s="30" t="n">
        <v>0</v>
      </c>
      <c r="CL56" s="30" t="n">
        <v>0</v>
      </c>
      <c r="CM56" s="30" t="n">
        <v>0</v>
      </c>
      <c r="CN56" s="30" t="n">
        <v>0</v>
      </c>
      <c r="CO56" s="30" t="n">
        <v>0</v>
      </c>
      <c r="CP56" s="30" t="n">
        <v>0</v>
      </c>
      <c r="CQ56" s="30" t="n">
        <v>0</v>
      </c>
      <c r="CR56" s="30" t="n">
        <v>0</v>
      </c>
      <c r="CS56" s="30" t="n">
        <v>0</v>
      </c>
      <c r="CT56" s="30" t="n">
        <v>0</v>
      </c>
      <c r="CU56" s="30" t="n">
        <v>0</v>
      </c>
      <c r="CV56" s="30" t="n">
        <v>0</v>
      </c>
      <c r="CW56" s="30" t="n">
        <v>0</v>
      </c>
      <c r="CX56" s="30" t="n">
        <v>0</v>
      </c>
      <c r="CY56" s="30" t="n">
        <v>0</v>
      </c>
      <c r="CZ56" s="30" t="n">
        <v>0</v>
      </c>
      <c r="DA56" s="30" t="n">
        <v>0</v>
      </c>
      <c r="DB56" s="30" t="n">
        <v>0</v>
      </c>
      <c r="DC56" s="30" t="n">
        <v>0</v>
      </c>
      <c r="DD56" s="30" t="n">
        <v>0</v>
      </c>
      <c r="DE56" s="30" t="n">
        <v>0</v>
      </c>
    </row>
    <row r="57" customFormat="false" ht="15" hidden="false" customHeight="true" outlineLevel="0" collapsed="false">
      <c r="A57" s="33" t="s">
        <v>51</v>
      </c>
      <c r="B57" s="34" t="n">
        <f aca="false">SUM(B13:B56)</f>
        <v>1242053.19</v>
      </c>
      <c r="C57" s="34" t="n">
        <f aca="false">SUM(C13:C56)</f>
        <v>2710434.48</v>
      </c>
      <c r="D57" s="34" t="n">
        <f aca="false">SUM(D13:D56)</f>
        <v>2402410.43</v>
      </c>
      <c r="E57" s="34" t="n">
        <f aca="false">SUM(E13:E56)</f>
        <v>3312759.91</v>
      </c>
      <c r="F57" s="34" t="n">
        <f aca="false">SUM(F13:F56)</f>
        <v>3939278.23</v>
      </c>
      <c r="G57" s="34" t="n">
        <f aca="false">SUM(G13:G56)</f>
        <v>5584522.73</v>
      </c>
      <c r="H57" s="34" t="n">
        <f aca="false">SUM(H13:H56)</f>
        <v>4383577.44107703</v>
      </c>
      <c r="I57" s="34" t="n">
        <f aca="false">SUM(I13:I56)</f>
        <v>5309098.69845507</v>
      </c>
      <c r="J57" s="34" t="n">
        <f aca="false">SUM(J13:J56)</f>
        <v>5754587.19294553</v>
      </c>
      <c r="K57" s="34" t="n">
        <f aca="false">SUM(K13:K56)</f>
        <v>6249501.44367405</v>
      </c>
      <c r="L57" s="34" t="n">
        <f aca="false">SUM(L13:L56)</f>
        <v>6457267.17934532</v>
      </c>
      <c r="M57" s="34" t="n">
        <f aca="false">SUM(M13:M56)</f>
        <v>6132567.01344785</v>
      </c>
      <c r="N57" s="34" t="n">
        <f aca="false">SUM(N13:N56)</f>
        <v>6358850.98863762</v>
      </c>
      <c r="O57" s="34" t="n">
        <f aca="false">SUM(O13:O56)</f>
        <v>6531740.64777118</v>
      </c>
      <c r="P57" s="34" t="n">
        <f aca="false">SUM(P13:P56)</f>
        <v>6647242.71232226</v>
      </c>
      <c r="Q57" s="34" t="n">
        <f aca="false">SUM(Q13:Q56)</f>
        <v>7258098.12153725</v>
      </c>
      <c r="R57" s="34" t="n">
        <f aca="false">SUM(R13:R56)</f>
        <v>7358422.35454009</v>
      </c>
      <c r="S57" s="34" t="n">
        <f aca="false">SUM(S13:S56)</f>
        <v>7400345.57277349</v>
      </c>
      <c r="T57" s="34" t="n">
        <f aca="false">SUM(T13:T56)</f>
        <v>6853177.36113327</v>
      </c>
      <c r="U57" s="34" t="n">
        <f aca="false">SUM(U13:U56)</f>
        <v>6474880.48337697</v>
      </c>
      <c r="V57" s="34" t="n">
        <f aca="false">SUM(V13:V56)</f>
        <v>6519236.06550402</v>
      </c>
      <c r="W57" s="34" t="n">
        <f aca="false">SUM(W13:W56)</f>
        <v>6481434.62425267</v>
      </c>
      <c r="X57" s="34" t="n">
        <f aca="false">SUM(X13:X56)</f>
        <v>6313555.12381384</v>
      </c>
      <c r="Y57" s="34" t="n">
        <f aca="false">SUM(Y13:Y56)</f>
        <v>6150131.60996374</v>
      </c>
      <c r="Z57" s="34" t="n">
        <f aca="false">SUM(Z13:Z56)</f>
        <v>5931819.34532969</v>
      </c>
      <c r="AA57" s="34" t="n">
        <f aca="false">SUM(AA13:AA56)</f>
        <v>5591891.05234731</v>
      </c>
      <c r="AB57" s="34" t="n">
        <f aca="false">SUM(AB13:AB56)</f>
        <v>5182236.92898422</v>
      </c>
      <c r="AC57" s="34" t="n">
        <f aca="false">SUM(AC13:AC56)</f>
        <v>4825083.45616502</v>
      </c>
      <c r="AD57" s="34" t="n">
        <f aca="false">SUM(AD13:AD56)</f>
        <v>4393815.61003282</v>
      </c>
      <c r="AE57" s="34" t="n">
        <f aca="false">SUM(AE13:AE56)</f>
        <v>4687673.12574767</v>
      </c>
      <c r="AF57" s="34" t="n">
        <f aca="false">SUM(AF13:AF56)</f>
        <v>4547714.09876067</v>
      </c>
      <c r="AG57" s="34" t="n">
        <f aca="false">SUM(AG13:AG56)</f>
        <v>4266014.32368372</v>
      </c>
      <c r="AH57" s="34" t="n">
        <f aca="false">SUM(AH13:AH56)</f>
        <v>3970559.76782921</v>
      </c>
      <c r="AI57" s="34" t="n">
        <f aca="false">SUM(AI13:AI56)</f>
        <v>3867321.69379361</v>
      </c>
      <c r="AJ57" s="34" t="n">
        <f aca="false">SUM(AJ13:AJ56)</f>
        <v>3752390.01609081</v>
      </c>
      <c r="AK57" s="34" t="n">
        <f aca="false">SUM(AK13:AK56)</f>
        <v>3627960.17095861</v>
      </c>
      <c r="AL57" s="34" t="n">
        <f aca="false">SUM(AL13:AL56)</f>
        <v>3152132.58396312</v>
      </c>
      <c r="AM57" s="34" t="n">
        <f aca="false">SUM(AM13:AM56)</f>
        <v>2784122.72612224</v>
      </c>
      <c r="AN57" s="34" t="n">
        <f aca="false">SUM(AN13:AN56)</f>
        <v>2758500.16771824</v>
      </c>
      <c r="AO57" s="34" t="n">
        <f aca="false">SUM(AO13:AO56)</f>
        <v>2717434.98835224</v>
      </c>
      <c r="AP57" s="34" t="n">
        <f aca="false">SUM(AP13:AP56)</f>
        <v>2661368.68946424</v>
      </c>
      <c r="AQ57" s="34" t="n">
        <f aca="false">SUM(AQ13:AQ56)</f>
        <v>2590847.27570024</v>
      </c>
      <c r="AR57" s="34" t="n">
        <f aca="false">SUM(AR13:AR56)</f>
        <v>2506479.90028024</v>
      </c>
      <c r="AS57" s="34" t="n">
        <f aca="false">SUM(AS13:AS56)</f>
        <v>2409088.63497424</v>
      </c>
      <c r="AT57" s="34" t="n">
        <f aca="false">SUM(AT13:AT56)</f>
        <v>2027193.26653074</v>
      </c>
      <c r="AU57" s="34" t="n">
        <f aca="false">SUM(AU13:AU56)</f>
        <v>1724513.72534745</v>
      </c>
      <c r="AV57" s="34" t="n">
        <f aca="false">SUM(AV13:AV56)</f>
        <v>1687294.55654745</v>
      </c>
      <c r="AW57" s="34" t="n">
        <f aca="false">SUM(AW13:AW56)</f>
        <v>1632789.15157145</v>
      </c>
      <c r="AX57" s="34" t="n">
        <f aca="false">SUM(AX13:AX56)</f>
        <v>1562651.69569945</v>
      </c>
      <c r="AY57" s="34" t="n">
        <f aca="false">SUM(AY13:AY56)</f>
        <v>1478825.85663545</v>
      </c>
      <c r="AZ57" s="34" t="n">
        <f aca="false">SUM(AZ13:AZ56)</f>
        <v>1383586.13913945</v>
      </c>
      <c r="BA57" s="34" t="n">
        <f aca="false">SUM(BA13:BA56)</f>
        <v>1279496.53039545</v>
      </c>
      <c r="BB57" s="34" t="n">
        <f aca="false">SUM(BB13:BB56)</f>
        <v>1169079.66295545</v>
      </c>
      <c r="BC57" s="34" t="n">
        <f aca="false">SUM(BC13:BC56)</f>
        <v>1054982.23326745</v>
      </c>
      <c r="BD57" s="34" t="n">
        <f aca="false">SUM(BD13:BD56)</f>
        <v>939685.519251453</v>
      </c>
      <c r="BE57" s="34" t="n">
        <f aca="false">SUM(BE13:BE56)</f>
        <v>825464.025667453</v>
      </c>
      <c r="BF57" s="34" t="n">
        <f aca="false">SUM(BF13:BF56)</f>
        <v>714385.484115453</v>
      </c>
      <c r="BG57" s="34" t="n">
        <f aca="false">SUM(BG13:BG56)</f>
        <v>608145.434507453</v>
      </c>
      <c r="BH57" s="34" t="n">
        <f aca="false">SUM(BH13:BH56)</f>
        <v>259255.013907853</v>
      </c>
      <c r="BI57" s="34" t="n">
        <f aca="false">SUM(BI13:BI56)</f>
        <v>0</v>
      </c>
      <c r="BJ57" s="34" t="n">
        <f aca="false">SUM(BJ13:BJ56)</f>
        <v>0</v>
      </c>
      <c r="BK57" s="34" t="n">
        <f aca="false">SUM(BK13:BK56)</f>
        <v>0</v>
      </c>
      <c r="BL57" s="34" t="n">
        <f aca="false">SUM(BL13:BL56)</f>
        <v>0</v>
      </c>
      <c r="BM57" s="34" t="n">
        <f aca="false">SUM(BM13:BM56)</f>
        <v>0</v>
      </c>
      <c r="BN57" s="34" t="n">
        <f aca="false">SUM(BN13:BN56)</f>
        <v>0</v>
      </c>
      <c r="BO57" s="34" t="n">
        <f aca="false">SUM(BO13:BO56)</f>
        <v>0</v>
      </c>
      <c r="BP57" s="34" t="n">
        <f aca="false">SUM(BP13:BP56)</f>
        <v>0</v>
      </c>
      <c r="BQ57" s="34" t="n">
        <f aca="false">SUM(BQ13:BQ56)</f>
        <v>0</v>
      </c>
      <c r="BR57" s="34" t="n">
        <f aca="false">SUM(BR13:BR56)</f>
        <v>0</v>
      </c>
      <c r="BS57" s="34" t="n">
        <f aca="false">SUM(BS13:BS56)</f>
        <v>0</v>
      </c>
      <c r="BT57" s="34" t="n">
        <f aca="false">SUM(BT13:BT56)</f>
        <v>0</v>
      </c>
      <c r="BU57" s="34" t="n">
        <f aca="false">SUM(BU13:BU56)</f>
        <v>0</v>
      </c>
      <c r="BV57" s="34" t="n">
        <f aca="false">SUM(BV13:BV56)</f>
        <v>0</v>
      </c>
      <c r="BW57" s="34" t="n">
        <f aca="false">SUM(BW13:BW56)</f>
        <v>0</v>
      </c>
      <c r="BX57" s="34" t="n">
        <f aca="false">SUM(BX13:BX56)</f>
        <v>0</v>
      </c>
      <c r="BY57" s="34" t="n">
        <f aca="false">SUM(BY13:BY56)</f>
        <v>0</v>
      </c>
      <c r="BZ57" s="34" t="n">
        <f aca="false">SUM(BZ13:BZ56)</f>
        <v>0</v>
      </c>
      <c r="CA57" s="34" t="n">
        <f aca="false">SUM(CA13:CA56)</f>
        <v>0</v>
      </c>
      <c r="CB57" s="34" t="n">
        <f aca="false">SUM(CB13:CB56)</f>
        <v>0</v>
      </c>
      <c r="CC57" s="34" t="n">
        <f aca="false">SUM(CC13:CC56)</f>
        <v>0</v>
      </c>
      <c r="CD57" s="34" t="n">
        <f aca="false">SUM(CD13:CD56)</f>
        <v>0</v>
      </c>
      <c r="CE57" s="34" t="n">
        <f aca="false">SUM(CE13:CE56)</f>
        <v>0</v>
      </c>
      <c r="CF57" s="34" t="n">
        <f aca="false">SUM(CF13:CF56)</f>
        <v>0</v>
      </c>
      <c r="CG57" s="34" t="n">
        <f aca="false">SUM(CG13:CG56)</f>
        <v>0</v>
      </c>
      <c r="CH57" s="34" t="n">
        <f aca="false">SUM(CH13:CH56)</f>
        <v>0</v>
      </c>
      <c r="CI57" s="34" t="n">
        <f aca="false">SUM(CI13:CI56)</f>
        <v>0</v>
      </c>
      <c r="CJ57" s="34" t="n">
        <f aca="false">SUM(CJ13:CJ56)</f>
        <v>0</v>
      </c>
      <c r="CK57" s="34" t="n">
        <f aca="false">SUM(CK13:CK56)</f>
        <v>0</v>
      </c>
      <c r="CL57" s="34" t="n">
        <f aca="false">SUM(CL13:CL56)</f>
        <v>0</v>
      </c>
      <c r="CM57" s="34" t="n">
        <f aca="false">SUM(CM13:CM56)</f>
        <v>0</v>
      </c>
      <c r="CN57" s="34" t="n">
        <f aca="false">SUM(CN13:CN56)</f>
        <v>0</v>
      </c>
      <c r="CO57" s="34" t="n">
        <f aca="false">SUM(CO13:CO56)</f>
        <v>0</v>
      </c>
      <c r="CP57" s="34" t="n">
        <f aca="false">SUM(CP13:CP56)</f>
        <v>0</v>
      </c>
      <c r="CQ57" s="34" t="n">
        <f aca="false">SUM(CQ13:CQ56)</f>
        <v>0</v>
      </c>
      <c r="CR57" s="34" t="n">
        <f aca="false">SUM(CR13:CR56)</f>
        <v>0</v>
      </c>
      <c r="CS57" s="34" t="n">
        <f aca="false">SUM(CS13:CS56)</f>
        <v>0</v>
      </c>
      <c r="CT57" s="34" t="n">
        <f aca="false">SUM(CT13:CT56)</f>
        <v>0</v>
      </c>
      <c r="CU57" s="34" t="n">
        <f aca="false">SUM(CU13:CU56)</f>
        <v>0</v>
      </c>
      <c r="CV57" s="34" t="n">
        <f aca="false">SUM(CV13:CV56)</f>
        <v>0</v>
      </c>
      <c r="CW57" s="34" t="n">
        <f aca="false">SUM(CW13:CW56)</f>
        <v>0</v>
      </c>
      <c r="CX57" s="34" t="n">
        <f aca="false">SUM(CX13:CX56)</f>
        <v>0</v>
      </c>
      <c r="CY57" s="34" t="n">
        <f aca="false">SUM(CY13:CY56)</f>
        <v>0</v>
      </c>
      <c r="CZ57" s="34" t="n">
        <f aca="false">SUM(CZ13:CZ56)</f>
        <v>0</v>
      </c>
      <c r="DA57" s="34" t="n">
        <f aca="false">SUM(DA13:DA56)</f>
        <v>0</v>
      </c>
      <c r="DB57" s="34" t="n">
        <f aca="false">SUM(DB13:DB56)</f>
        <v>0</v>
      </c>
      <c r="DC57" s="34" t="n">
        <f aca="false">SUM(DC13:DC56)</f>
        <v>0</v>
      </c>
      <c r="DD57" s="34" t="n">
        <f aca="false">SUM(DD13:DD56)</f>
        <v>0</v>
      </c>
      <c r="DE57" s="34" t="n">
        <f aca="false">SUM(DE13:DE56)</f>
        <v>0</v>
      </c>
    </row>
    <row r="58" customFormat="false" ht="15" hidden="false" customHeight="true" outlineLevel="0" collapsed="false">
      <c r="A58" s="33" t="s">
        <v>52</v>
      </c>
      <c r="B58" s="34" t="n">
        <f aca="false">B10+B11+B57</f>
        <v>1453790.79</v>
      </c>
      <c r="C58" s="34" t="n">
        <f aca="false">C10+C11+C57</f>
        <v>3022521.59</v>
      </c>
      <c r="D58" s="34" t="n">
        <f aca="false">D10+D11+D57</f>
        <v>2672216.16</v>
      </c>
      <c r="E58" s="34" t="n">
        <f aca="false">E10+E11+E57</f>
        <v>3692357.9</v>
      </c>
      <c r="F58" s="34" t="n">
        <f aca="false">F10+F11+F57</f>
        <v>4416061.63</v>
      </c>
      <c r="G58" s="34" t="n">
        <f aca="false">G10+G11+G57</f>
        <v>6252262.98</v>
      </c>
      <c r="H58" s="34" t="n">
        <f aca="false">H10+H11+H57</f>
        <v>4933024.14408467</v>
      </c>
      <c r="I58" s="34" t="n">
        <f aca="false">I10+I11+I57</f>
        <v>6151790.74294258</v>
      </c>
      <c r="J58" s="34" t="n">
        <f aca="false">J10+J11+J57</f>
        <v>6687303.96475217</v>
      </c>
      <c r="K58" s="34" t="n">
        <f aca="false">K10+K11+K57</f>
        <v>7265583.77176619</v>
      </c>
      <c r="L58" s="34" t="n">
        <f aca="false">L10+L11+L57</f>
        <v>7445854.34210416</v>
      </c>
      <c r="M58" s="34" t="n">
        <f aca="false">M10+M11+M57</f>
        <v>7028721.96977005</v>
      </c>
      <c r="N58" s="34" t="n">
        <f aca="false">N10+N11+N57</f>
        <v>7225647.46174524</v>
      </c>
      <c r="O58" s="34" t="n">
        <f aca="false">O10+O11+O57</f>
        <v>7364401.63904378</v>
      </c>
      <c r="P58" s="34" t="n">
        <f aca="false">P10+P11+P57</f>
        <v>7442793.23689395</v>
      </c>
      <c r="Q58" s="34" t="n">
        <f aca="false">Q10+Q11+Q57</f>
        <v>8187942.92699826</v>
      </c>
      <c r="R58" s="34" t="n">
        <f aca="false">R10+R11+R57</f>
        <v>8250453.39932275</v>
      </c>
      <c r="S58" s="34" t="n">
        <f aca="false">S10+S11+S57</f>
        <v>8256425.42170667</v>
      </c>
      <c r="T58" s="34" t="n">
        <f aca="false">T10+T11+T57</f>
        <v>7603541.32227147</v>
      </c>
      <c r="U58" s="34" t="n">
        <f aca="false">U10+U11+U57</f>
        <v>7164378.76043018</v>
      </c>
      <c r="V58" s="34" t="n">
        <f aca="false">V10+V11+V57</f>
        <v>7205925.49307047</v>
      </c>
      <c r="W58" s="34" t="n">
        <f aca="false">W10+W11+W57</f>
        <v>7165514.55082293</v>
      </c>
      <c r="X58" s="34" t="n">
        <f aca="false">X10+X11+X57</f>
        <v>6986553.0295776</v>
      </c>
      <c r="Y58" s="34" t="n">
        <f aca="false">Y10+Y11+Y57</f>
        <v>6823129.5157275</v>
      </c>
      <c r="Z58" s="34" t="n">
        <f aca="false">Z10+Z11+Z57</f>
        <v>6604817.25109345</v>
      </c>
      <c r="AA58" s="34" t="n">
        <f aca="false">AA10+AA11+AA57</f>
        <v>6343105.64273285</v>
      </c>
      <c r="AB58" s="34" t="n">
        <f aca="false">AB10+AB11+AB57</f>
        <v>5777018.1501262</v>
      </c>
      <c r="AC58" s="34" t="n">
        <f aca="false">AC10+AC11+AC57</f>
        <v>5522933.2905066</v>
      </c>
      <c r="AD58" s="34" t="n">
        <f aca="false">AD10+AD11+AD57</f>
        <v>4885528.2179752</v>
      </c>
      <c r="AE58" s="34" t="n">
        <f aca="false">AE10+AE11+AE57</f>
        <v>5337045.3745586</v>
      </c>
      <c r="AF58" s="34" t="n">
        <f aca="false">AF10+AF11+AF57</f>
        <v>5197086.3475716</v>
      </c>
      <c r="AG58" s="34" t="n">
        <f aca="false">AG10+AG11+AG57</f>
        <v>5043382.7020624</v>
      </c>
      <c r="AH58" s="34" t="n">
        <f aca="false">AH10+AH11+AH57</f>
        <v>4518601.747399</v>
      </c>
      <c r="AI58" s="34" t="n">
        <f aca="false">AI10+AI11+AI57</f>
        <v>4415363.6733634</v>
      </c>
      <c r="AJ58" s="34" t="n">
        <f aca="false">AJ10+AJ11+AJ57</f>
        <v>4300431.9956606</v>
      </c>
      <c r="AK58" s="34" t="n">
        <f aca="false">AK10+AK11+AK57</f>
        <v>4176002.1505284</v>
      </c>
      <c r="AL58" s="34" t="n">
        <f aca="false">AL10+AL11+AL57</f>
        <v>4044082.1445498</v>
      </c>
      <c r="AM58" s="34" t="n">
        <f aca="false">AM10+AM11+AM57</f>
        <v>3114356.571048</v>
      </c>
      <c r="AN58" s="34" t="n">
        <f aca="false">AN10+AN11+AN57</f>
        <v>3088734.012644</v>
      </c>
      <c r="AO58" s="34" t="n">
        <f aca="false">AO10+AO11+AO57</f>
        <v>3047668.833278</v>
      </c>
      <c r="AP58" s="34" t="n">
        <f aca="false">AP10+AP11+AP57</f>
        <v>2991602.53439</v>
      </c>
      <c r="AQ58" s="34" t="n">
        <f aca="false">AQ10+AQ11+AQ57</f>
        <v>2921081.120626</v>
      </c>
      <c r="AR58" s="34" t="n">
        <f aca="false">AR10+AR11+AR57</f>
        <v>2836713.745206</v>
      </c>
      <c r="AS58" s="34" t="n">
        <f aca="false">AS10+AS11+AS57</f>
        <v>2739322.4799</v>
      </c>
      <c r="AT58" s="34" t="n">
        <f aca="false">AT10+AT11+AT57</f>
        <v>2629912.69681</v>
      </c>
      <c r="AU58" s="34" t="n">
        <f aca="false">AU10+AU11+AU57</f>
        <v>1882173.366216</v>
      </c>
      <c r="AV58" s="34" t="n">
        <f aca="false">AV10+AV11+AV57</f>
        <v>1844954.197416</v>
      </c>
      <c r="AW58" s="34" t="n">
        <f aca="false">AW10+AW11+AW57</f>
        <v>1790448.79244</v>
      </c>
      <c r="AX58" s="34" t="n">
        <f aca="false">AX10+AX11+AX57</f>
        <v>1720311.336568</v>
      </c>
      <c r="AY58" s="34" t="n">
        <f aca="false">AY10+AY11+AY57</f>
        <v>1636485.497504</v>
      </c>
      <c r="AZ58" s="34" t="n">
        <f aca="false">AZ10+AZ11+AZ57</f>
        <v>1541245.780008</v>
      </c>
      <c r="BA58" s="34" t="n">
        <f aca="false">BA10+BA11+BA57</f>
        <v>1437156.171264</v>
      </c>
      <c r="BB58" s="34" t="n">
        <f aca="false">BB10+BB11+BB57</f>
        <v>1326739.303824</v>
      </c>
      <c r="BC58" s="34" t="n">
        <f aca="false">BC10+BC11+BC57</f>
        <v>1212641.874136</v>
      </c>
      <c r="BD58" s="34" t="n">
        <f aca="false">BD10+BD11+BD57</f>
        <v>1097345.16012</v>
      </c>
      <c r="BE58" s="34" t="n">
        <f aca="false">BE10+BE11+BE57</f>
        <v>983123.666536</v>
      </c>
      <c r="BF58" s="34" t="n">
        <f aca="false">BF10+BF11+BF57</f>
        <v>872045.124984</v>
      </c>
      <c r="BG58" s="34" t="n">
        <f aca="false">BG10+BG11+BG57</f>
        <v>765805.075376</v>
      </c>
      <c r="BH58" s="34" t="n">
        <f aca="false">BH10+BH11+BH57</f>
        <v>665850.929832</v>
      </c>
      <c r="BI58" s="34" t="n">
        <f aca="false">BI10+BI11+BI57</f>
        <v>0</v>
      </c>
      <c r="BJ58" s="34" t="n">
        <f aca="false">BJ10+BJ11+BJ57</f>
        <v>0</v>
      </c>
      <c r="BK58" s="34" t="n">
        <f aca="false">BK10+BK11+BK57</f>
        <v>0</v>
      </c>
      <c r="BL58" s="34" t="n">
        <f aca="false">BL10+BL11+BL57</f>
        <v>0</v>
      </c>
      <c r="BM58" s="34" t="n">
        <f aca="false">BM10+BM11+BM57</f>
        <v>0</v>
      </c>
      <c r="BN58" s="34" t="n">
        <f aca="false">BN10+BN11+BN57</f>
        <v>0</v>
      </c>
      <c r="BO58" s="34" t="n">
        <f aca="false">BO10+BO11+BO57</f>
        <v>0</v>
      </c>
      <c r="BP58" s="34" t="n">
        <f aca="false">BP10+BP11+BP57</f>
        <v>0</v>
      </c>
      <c r="BQ58" s="34" t="n">
        <f aca="false">BQ10+BQ11+BQ57</f>
        <v>0</v>
      </c>
      <c r="BR58" s="34" t="n">
        <f aca="false">BR10+BR11+BR57</f>
        <v>0</v>
      </c>
      <c r="BS58" s="34" t="n">
        <f aca="false">BS10+BS11+BS57</f>
        <v>0</v>
      </c>
      <c r="BT58" s="34" t="n">
        <f aca="false">BT10+BT11+BT57</f>
        <v>0</v>
      </c>
      <c r="BU58" s="34" t="n">
        <f aca="false">BU10+BU11+BU57</f>
        <v>0</v>
      </c>
      <c r="BV58" s="34" t="n">
        <f aca="false">BV10+BV11+BV57</f>
        <v>0</v>
      </c>
      <c r="BW58" s="34" t="n">
        <f aca="false">BW10+BW11+BW57</f>
        <v>0</v>
      </c>
      <c r="BX58" s="34" t="n">
        <f aca="false">BX10+BX11+BX57</f>
        <v>0</v>
      </c>
      <c r="BY58" s="34" t="n">
        <f aca="false">BY10+BY11+BY57</f>
        <v>0</v>
      </c>
      <c r="BZ58" s="34" t="n">
        <f aca="false">BZ10+BZ11+BZ57</f>
        <v>0</v>
      </c>
      <c r="CA58" s="34" t="n">
        <f aca="false">CA10+CA11+CA57</f>
        <v>0</v>
      </c>
      <c r="CB58" s="34" t="n">
        <f aca="false">CB10+CB11+CB57</f>
        <v>0</v>
      </c>
      <c r="CC58" s="34" t="n">
        <f aca="false">CC10+CC11+CC57</f>
        <v>0</v>
      </c>
      <c r="CD58" s="34" t="n">
        <f aca="false">CD10+CD11+CD57</f>
        <v>0</v>
      </c>
      <c r="CE58" s="34" t="n">
        <f aca="false">CE10+CE11+CE57</f>
        <v>0</v>
      </c>
      <c r="CF58" s="34" t="n">
        <f aca="false">CF10+CF11+CF57</f>
        <v>0</v>
      </c>
      <c r="CG58" s="34" t="n">
        <f aca="false">CG10+CG11+CG57</f>
        <v>0</v>
      </c>
      <c r="CH58" s="34" t="n">
        <f aca="false">CH10+CH11+CH57</f>
        <v>0</v>
      </c>
      <c r="CI58" s="34" t="n">
        <f aca="false">CI10+CI11+CI57</f>
        <v>0</v>
      </c>
      <c r="CJ58" s="34" t="n">
        <f aca="false">CJ10+CJ11+CJ57</f>
        <v>0</v>
      </c>
      <c r="CK58" s="34" t="n">
        <f aca="false">CK10+CK11+CK57</f>
        <v>0</v>
      </c>
      <c r="CL58" s="34" t="n">
        <f aca="false">CL10+CL11+CL57</f>
        <v>0</v>
      </c>
      <c r="CM58" s="34" t="n">
        <f aca="false">CM10+CM11+CM57</f>
        <v>0</v>
      </c>
      <c r="CN58" s="34" t="n">
        <f aca="false">CN10+CN11+CN57</f>
        <v>0</v>
      </c>
      <c r="CO58" s="34" t="n">
        <f aca="false">CO10+CO11+CO57</f>
        <v>0</v>
      </c>
      <c r="CP58" s="34" t="n">
        <f aca="false">CP10+CP11+CP57</f>
        <v>0</v>
      </c>
      <c r="CQ58" s="34" t="n">
        <f aca="false">CQ10+CQ11+CQ57</f>
        <v>0</v>
      </c>
      <c r="CR58" s="34" t="n">
        <f aca="false">CR10+CR11+CR57</f>
        <v>0</v>
      </c>
      <c r="CS58" s="34" t="n">
        <f aca="false">CS10+CS11+CS57</f>
        <v>0</v>
      </c>
      <c r="CT58" s="34" t="n">
        <f aca="false">CT10+CT11+CT57</f>
        <v>0</v>
      </c>
      <c r="CU58" s="34" t="n">
        <f aca="false">CU10+CU11+CU57</f>
        <v>0</v>
      </c>
      <c r="CV58" s="34" t="n">
        <f aca="false">CV10+CV11+CV57</f>
        <v>0</v>
      </c>
      <c r="CW58" s="34" t="n">
        <f aca="false">CW10+CW11+CW57</f>
        <v>0</v>
      </c>
      <c r="CX58" s="34" t="n">
        <f aca="false">CX10+CX11+CX57</f>
        <v>0</v>
      </c>
      <c r="CY58" s="34" t="n">
        <f aca="false">CY10+CY11+CY57</f>
        <v>0</v>
      </c>
      <c r="CZ58" s="34" t="n">
        <f aca="false">CZ10+CZ11+CZ57</f>
        <v>0</v>
      </c>
      <c r="DA58" s="34" t="n">
        <f aca="false">DA10+DA11+DA57</f>
        <v>0</v>
      </c>
      <c r="DB58" s="34" t="n">
        <f aca="false">DB10+DB11+DB57</f>
        <v>0</v>
      </c>
      <c r="DC58" s="34" t="n">
        <f aca="false">DC10+DC11+DC57</f>
        <v>0</v>
      </c>
      <c r="DD58" s="34" t="n">
        <f aca="false">DD10+DD11+DD57</f>
        <v>0</v>
      </c>
      <c r="DE58" s="34" t="n">
        <f aca="false">DE10+DE11+DE57</f>
        <v>0</v>
      </c>
    </row>
    <row r="59" customFormat="false" ht="15" hidden="false" customHeight="true" outlineLevel="0" collapsed="false">
      <c r="A59" s="31" t="s">
        <v>53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</row>
    <row r="60" customFormat="false" ht="15" hidden="true" customHeight="true" outlineLevel="1" collapsed="false">
      <c r="A60" s="32" t="s">
        <v>7</v>
      </c>
      <c r="B60" s="30" t="n">
        <v>-392121.92</v>
      </c>
      <c r="C60" s="30" t="n">
        <v>-637382.47</v>
      </c>
      <c r="D60" s="30" t="n">
        <v>-648049.66</v>
      </c>
      <c r="E60" s="30" t="n">
        <v>-703827.85</v>
      </c>
      <c r="F60" s="30" t="n">
        <v>-721750.22</v>
      </c>
      <c r="G60" s="30" t="n">
        <v>-887674.09</v>
      </c>
      <c r="H60" s="30" t="n">
        <f aca="false">-4180193.67*Curves!E$6/SUM(Curves!$E$6:$I$6)</f>
        <v>-1083374.16239895</v>
      </c>
      <c r="I60" s="30" t="n">
        <f aca="false">-4180193.67*Curves!F$6/SUM(Curves!$E$6:$I$6)</f>
        <v>-956244.862246331</v>
      </c>
      <c r="J60" s="30" t="n">
        <f aca="false">-4180193.67*Curves!G$6/SUM(Curves!$E$6:$I$6)</f>
        <v>-830926.687233755</v>
      </c>
      <c r="K60" s="30" t="n">
        <f aca="false">-4180193.67*Curves!H$6/SUM(Curves!$E$6:$I$6)</f>
        <v>-710895.829162263</v>
      </c>
      <c r="L60" s="30" t="n">
        <f aca="false">-4180193.67*Curves!I$6/SUM(Curves!$E$6:$I$6)</f>
        <v>-598752.128958699</v>
      </c>
      <c r="M60" s="30" t="n">
        <f aca="false">-M13</f>
        <v>-0</v>
      </c>
      <c r="N60" s="30" t="n">
        <f aca="false">-N13</f>
        <v>-0</v>
      </c>
      <c r="O60" s="30" t="n">
        <f aca="false">-O13</f>
        <v>-0</v>
      </c>
      <c r="P60" s="30" t="n">
        <f aca="false">-P13</f>
        <v>-0</v>
      </c>
      <c r="Q60" s="30" t="n">
        <f aca="false">-Q13</f>
        <v>-0</v>
      </c>
      <c r="R60" s="30" t="n">
        <f aca="false">-R13</f>
        <v>-0</v>
      </c>
      <c r="S60" s="30" t="n">
        <f aca="false">-S13</f>
        <v>-0</v>
      </c>
      <c r="T60" s="30" t="n">
        <f aca="false">-T13</f>
        <v>-0</v>
      </c>
      <c r="U60" s="30" t="n">
        <f aca="false">-U13</f>
        <v>-0</v>
      </c>
      <c r="V60" s="30" t="n">
        <f aca="false">-V13</f>
        <v>-0</v>
      </c>
      <c r="W60" s="30" t="n">
        <f aca="false">-W13</f>
        <v>-0</v>
      </c>
      <c r="X60" s="30" t="n">
        <f aca="false">-X13</f>
        <v>-0</v>
      </c>
      <c r="Y60" s="30" t="n">
        <f aca="false">-Y13</f>
        <v>-0</v>
      </c>
      <c r="Z60" s="30" t="n">
        <f aca="false">-Z13</f>
        <v>-0</v>
      </c>
      <c r="AA60" s="30" t="n">
        <f aca="false">-AA13</f>
        <v>-0</v>
      </c>
      <c r="AB60" s="30" t="n">
        <f aca="false">-AB13</f>
        <v>-0</v>
      </c>
      <c r="AC60" s="30" t="n">
        <f aca="false">-AC13</f>
        <v>-0</v>
      </c>
      <c r="AD60" s="30" t="n">
        <f aca="false">-AD13</f>
        <v>-0</v>
      </c>
      <c r="AE60" s="30" t="n">
        <f aca="false">-AE13</f>
        <v>-0</v>
      </c>
      <c r="AF60" s="30" t="n">
        <f aca="false">-AF13</f>
        <v>-0</v>
      </c>
      <c r="AG60" s="30" t="n">
        <f aca="false">-AG13</f>
        <v>-0</v>
      </c>
      <c r="AH60" s="30" t="n">
        <f aca="false">-AH13</f>
        <v>-0</v>
      </c>
      <c r="AI60" s="30" t="n">
        <f aca="false">-AI13</f>
        <v>-0</v>
      </c>
      <c r="AJ60" s="30" t="n">
        <f aca="false">-AJ13</f>
        <v>-0</v>
      </c>
      <c r="AK60" s="30" t="n">
        <f aca="false">-AK13</f>
        <v>-0</v>
      </c>
      <c r="AL60" s="30" t="n">
        <f aca="false">-AL13</f>
        <v>-0</v>
      </c>
      <c r="AM60" s="30" t="n">
        <f aca="false">-AM13</f>
        <v>-0</v>
      </c>
      <c r="AN60" s="30" t="n">
        <f aca="false">-AN13</f>
        <v>-0</v>
      </c>
      <c r="AO60" s="30" t="n">
        <f aca="false">-AO13</f>
        <v>-0</v>
      </c>
      <c r="AP60" s="30" t="n">
        <f aca="false">-AP13</f>
        <v>-0</v>
      </c>
      <c r="AQ60" s="30" t="n">
        <f aca="false">-AQ13</f>
        <v>-0</v>
      </c>
      <c r="AR60" s="30" t="n">
        <f aca="false">-AR13</f>
        <v>-0</v>
      </c>
      <c r="AS60" s="30" t="n">
        <f aca="false">-AS13</f>
        <v>-0</v>
      </c>
      <c r="AT60" s="30" t="n">
        <f aca="false">-AT13</f>
        <v>-0</v>
      </c>
      <c r="AU60" s="30" t="n">
        <f aca="false">-AU13</f>
        <v>-0</v>
      </c>
      <c r="AV60" s="30" t="n">
        <f aca="false">-AV13</f>
        <v>-0</v>
      </c>
      <c r="AW60" s="30" t="n">
        <f aca="false">-AW13</f>
        <v>-0</v>
      </c>
      <c r="AX60" s="30" t="n">
        <f aca="false">-AX13</f>
        <v>-0</v>
      </c>
      <c r="AY60" s="30" t="n">
        <f aca="false">-AY13</f>
        <v>-0</v>
      </c>
      <c r="AZ60" s="30" t="n">
        <f aca="false">-AZ13</f>
        <v>-0</v>
      </c>
      <c r="BA60" s="30" t="n">
        <f aca="false">-BA13</f>
        <v>-0</v>
      </c>
      <c r="BB60" s="30" t="n">
        <f aca="false">-BB13</f>
        <v>-0</v>
      </c>
      <c r="BC60" s="30" t="n">
        <f aca="false">-BC13</f>
        <v>-0</v>
      </c>
      <c r="BD60" s="30" t="n">
        <f aca="false">-BD13</f>
        <v>-0</v>
      </c>
      <c r="BE60" s="30" t="n">
        <f aca="false">-BE13</f>
        <v>-0</v>
      </c>
      <c r="BF60" s="30" t="n">
        <f aca="false">-BF13</f>
        <v>-0</v>
      </c>
      <c r="BG60" s="30" t="n">
        <f aca="false">-BG13</f>
        <v>-0</v>
      </c>
      <c r="BH60" s="30" t="n">
        <f aca="false">-BH13</f>
        <v>-0</v>
      </c>
      <c r="BI60" s="30" t="n">
        <f aca="false">-BI13</f>
        <v>-0</v>
      </c>
      <c r="BJ60" s="30" t="n">
        <f aca="false">-BJ13</f>
        <v>-0</v>
      </c>
      <c r="BK60" s="30" t="n">
        <f aca="false">-BK13</f>
        <v>-0</v>
      </c>
      <c r="BL60" s="30" t="n">
        <f aca="false">-BL13</f>
        <v>-0</v>
      </c>
      <c r="BM60" s="30" t="n">
        <f aca="false">-BM13</f>
        <v>-0</v>
      </c>
      <c r="BN60" s="30" t="n">
        <f aca="false">-BN13</f>
        <v>-0</v>
      </c>
      <c r="BO60" s="30" t="n">
        <f aca="false">-BO13</f>
        <v>-0</v>
      </c>
      <c r="BP60" s="30" t="n">
        <f aca="false">-BP13</f>
        <v>-0</v>
      </c>
      <c r="BQ60" s="30" t="n">
        <f aca="false">-BQ13</f>
        <v>-0</v>
      </c>
      <c r="BR60" s="30" t="n">
        <f aca="false">-BR13</f>
        <v>-0</v>
      </c>
      <c r="BS60" s="30" t="n">
        <f aca="false">-BS13</f>
        <v>-0</v>
      </c>
      <c r="BT60" s="30" t="n">
        <f aca="false">-BT13</f>
        <v>-0</v>
      </c>
      <c r="BU60" s="30" t="n">
        <f aca="false">-BU13</f>
        <v>-0</v>
      </c>
      <c r="BV60" s="30" t="n">
        <f aca="false">-BV13</f>
        <v>-0</v>
      </c>
      <c r="BW60" s="30" t="n">
        <f aca="false">-BW13</f>
        <v>-0</v>
      </c>
      <c r="BX60" s="30" t="n">
        <f aca="false">-BX13</f>
        <v>-0</v>
      </c>
      <c r="BY60" s="30" t="n">
        <f aca="false">-BY13</f>
        <v>-0</v>
      </c>
      <c r="BZ60" s="30" t="n">
        <f aca="false">-BZ13</f>
        <v>-0</v>
      </c>
      <c r="CA60" s="30" t="n">
        <f aca="false">-CA13</f>
        <v>-0</v>
      </c>
      <c r="CB60" s="30" t="n">
        <f aca="false">-CB13</f>
        <v>-0</v>
      </c>
      <c r="CC60" s="30" t="n">
        <f aca="false">-CC13</f>
        <v>-0</v>
      </c>
      <c r="CD60" s="30" t="n">
        <f aca="false">-CD13</f>
        <v>-0</v>
      </c>
      <c r="CE60" s="30" t="n">
        <f aca="false">-CE13</f>
        <v>-0</v>
      </c>
      <c r="CF60" s="30" t="n">
        <f aca="false">-CF13</f>
        <v>-0</v>
      </c>
      <c r="CG60" s="30" t="n">
        <f aca="false">-CG13</f>
        <v>-0</v>
      </c>
      <c r="CH60" s="30" t="n">
        <f aca="false">-CH13</f>
        <v>-0</v>
      </c>
      <c r="CI60" s="30" t="n">
        <f aca="false">-CI13</f>
        <v>-0</v>
      </c>
      <c r="CJ60" s="30" t="n">
        <f aca="false">-CJ13</f>
        <v>-0</v>
      </c>
      <c r="CK60" s="30" t="n">
        <f aca="false">-CK13</f>
        <v>-0</v>
      </c>
      <c r="CL60" s="30" t="n">
        <f aca="false">-CL13</f>
        <v>-0</v>
      </c>
      <c r="CM60" s="30" t="n">
        <f aca="false">-CM13</f>
        <v>-0</v>
      </c>
      <c r="CN60" s="30" t="n">
        <f aca="false">-CN13</f>
        <v>-0</v>
      </c>
      <c r="CO60" s="30" t="n">
        <f aca="false">-CO13</f>
        <v>-0</v>
      </c>
      <c r="CP60" s="30" t="n">
        <f aca="false">-CP13</f>
        <v>-0</v>
      </c>
      <c r="CQ60" s="30" t="n">
        <f aca="false">-CQ13</f>
        <v>-0</v>
      </c>
      <c r="CR60" s="30" t="n">
        <f aca="false">-CR13</f>
        <v>-0</v>
      </c>
      <c r="CS60" s="30" t="n">
        <f aca="false">-CS13</f>
        <v>-0</v>
      </c>
      <c r="CT60" s="30" t="n">
        <f aca="false">-CT13</f>
        <v>-0</v>
      </c>
      <c r="CU60" s="30" t="n">
        <f aca="false">-CU13</f>
        <v>-0</v>
      </c>
      <c r="CV60" s="30" t="n">
        <f aca="false">-CV13</f>
        <v>-0</v>
      </c>
      <c r="CW60" s="30" t="n">
        <f aca="false">-CW13</f>
        <v>-0</v>
      </c>
      <c r="CX60" s="30" t="n">
        <f aca="false">-CX13</f>
        <v>-0</v>
      </c>
      <c r="CY60" s="30" t="n">
        <f aca="false">-CY13</f>
        <v>-0</v>
      </c>
      <c r="CZ60" s="30" t="n">
        <f aca="false">-CZ13</f>
        <v>-0</v>
      </c>
      <c r="DA60" s="30" t="n">
        <f aca="false">-DA13</f>
        <v>-0</v>
      </c>
      <c r="DB60" s="30" t="n">
        <f aca="false">-DB13</f>
        <v>-0</v>
      </c>
      <c r="DC60" s="30" t="n">
        <f aca="false">-DC13</f>
        <v>-0</v>
      </c>
      <c r="DD60" s="30" t="n">
        <f aca="false">-DD13</f>
        <v>-0</v>
      </c>
      <c r="DE60" s="30" t="n">
        <f aca="false">-DE13</f>
        <v>-0</v>
      </c>
    </row>
    <row r="61" customFormat="false" ht="15" hidden="true" customHeight="true" outlineLevel="1" collapsed="false">
      <c r="A61" s="32" t="s">
        <v>8</v>
      </c>
      <c r="B61" s="30" t="n">
        <v>-595869.4</v>
      </c>
      <c r="C61" s="30" t="n">
        <v>-1621243.4</v>
      </c>
      <c r="D61" s="30" t="n">
        <v>-632087.3</v>
      </c>
      <c r="E61" s="30" t="n">
        <v>-1167810.54</v>
      </c>
      <c r="F61" s="30" t="n">
        <v>-1117245.99</v>
      </c>
      <c r="G61" s="30" t="n">
        <v>-1865720.31</v>
      </c>
      <c r="H61" s="30" t="n">
        <f aca="false">-14081976.11*Curves!E$7/SUM(Curves!$E$7:$Q$7)</f>
        <v>-1450339.27779959</v>
      </c>
      <c r="I61" s="30" t="n">
        <f aca="false">-14081976.11*Curves!F$7/SUM(Curves!$E$7:$Q$7)</f>
        <v>-1450339.27779959</v>
      </c>
      <c r="J61" s="30" t="n">
        <f aca="false">-14081976.11*Curves!G$7/SUM(Curves!$E$7:$Q$7)</f>
        <v>-1427880.22751193</v>
      </c>
      <c r="K61" s="30" t="n">
        <f aca="false">-14081976.11*Curves!H$7/SUM(Curves!$E$7:$Q$7)</f>
        <v>-1383997.92115687</v>
      </c>
      <c r="L61" s="30" t="n">
        <f aca="false">-14081976.11*Curves!I$7/SUM(Curves!$E$7:$Q$7)</f>
        <v>-1320713.42062755</v>
      </c>
      <c r="M61" s="30" t="n">
        <f aca="false">-14081976.11*Curves!J$7/SUM(Curves!$E$7:$Q$7)</f>
        <v>-1240780.42275338</v>
      </c>
      <c r="N61" s="30" t="n">
        <f aca="false">-14081976.11*Curves!K$7/SUM(Curves!$E$7:$Q$7)</f>
        <v>-1147659.9960264</v>
      </c>
      <c r="O61" s="30" t="n">
        <f aca="false">-14081976.11*Curves!L$7/SUM(Curves!$E$7:$Q$7)</f>
        <v>-1045091.10494893</v>
      </c>
      <c r="P61" s="30" t="n">
        <f aca="false">-14081976.11*Curves!M$7/SUM(Curves!$E$7:$Q$7)</f>
        <v>-936939.030391634</v>
      </c>
      <c r="Q61" s="30" t="n">
        <f aca="false">-14081976.11*Curves!N$7/SUM(Curves!$E$7:$Q$7)</f>
        <v>-826993.263404161</v>
      </c>
      <c r="R61" s="30" t="n">
        <f aca="false">-14081976.11*Curves!O$7/SUM(Curves!$E$7:$Q$7)</f>
        <v>-718613.819383882</v>
      </c>
      <c r="S61" s="30" t="n">
        <f aca="false">-14081976.11*Curves!P$7/SUM(Curves!$E$7:$Q$7)</f>
        <v>-614807.027896859</v>
      </c>
      <c r="T61" s="30" t="n">
        <f aca="false">-14081976.11*Curves!Q$7/SUM(Curves!$E$7:$Q$7)</f>
        <v>-517821.320299224</v>
      </c>
      <c r="U61" s="30" t="n">
        <f aca="false">-U14</f>
        <v>-0</v>
      </c>
      <c r="V61" s="30" t="n">
        <f aca="false">-V14</f>
        <v>-0</v>
      </c>
      <c r="W61" s="30" t="n">
        <f aca="false">-W14</f>
        <v>-0</v>
      </c>
      <c r="X61" s="30" t="n">
        <f aca="false">-X14</f>
        <v>-0</v>
      </c>
      <c r="Y61" s="30" t="n">
        <f aca="false">-Y14</f>
        <v>-0</v>
      </c>
      <c r="Z61" s="30" t="n">
        <f aca="false">-Z14</f>
        <v>-0</v>
      </c>
      <c r="AA61" s="30" t="n">
        <f aca="false">-AA14</f>
        <v>-0</v>
      </c>
      <c r="AB61" s="30" t="n">
        <f aca="false">-AB14</f>
        <v>-0</v>
      </c>
      <c r="AC61" s="30" t="n">
        <f aca="false">-AC14</f>
        <v>-0</v>
      </c>
      <c r="AD61" s="30" t="n">
        <f aca="false">-AD14</f>
        <v>-0</v>
      </c>
      <c r="AE61" s="30" t="n">
        <f aca="false">-AE14</f>
        <v>-0</v>
      </c>
      <c r="AF61" s="30" t="n">
        <f aca="false">-AF14</f>
        <v>-0</v>
      </c>
      <c r="AG61" s="30" t="n">
        <f aca="false">-AG14</f>
        <v>-0</v>
      </c>
      <c r="AH61" s="30" t="n">
        <f aca="false">-AH14</f>
        <v>-0</v>
      </c>
      <c r="AI61" s="30" t="n">
        <f aca="false">-AI14</f>
        <v>-0</v>
      </c>
      <c r="AJ61" s="30" t="n">
        <f aca="false">-AJ14</f>
        <v>-0</v>
      </c>
      <c r="AK61" s="30" t="n">
        <f aca="false">-AK14</f>
        <v>-0</v>
      </c>
      <c r="AL61" s="30" t="n">
        <f aca="false">-AL14</f>
        <v>-0</v>
      </c>
      <c r="AM61" s="30" t="n">
        <f aca="false">-AM14</f>
        <v>-0</v>
      </c>
      <c r="AN61" s="30" t="n">
        <f aca="false">-AN14</f>
        <v>-0</v>
      </c>
      <c r="AO61" s="30" t="n">
        <f aca="false">-AO14</f>
        <v>-0</v>
      </c>
      <c r="AP61" s="30" t="n">
        <f aca="false">-AP14</f>
        <v>-0</v>
      </c>
      <c r="AQ61" s="30" t="n">
        <f aca="false">-AQ14</f>
        <v>-0</v>
      </c>
      <c r="AR61" s="30" t="n">
        <f aca="false">-AR14</f>
        <v>-0</v>
      </c>
      <c r="AS61" s="30" t="n">
        <f aca="false">-AS14</f>
        <v>-0</v>
      </c>
      <c r="AT61" s="30" t="n">
        <f aca="false">-AT14</f>
        <v>-0</v>
      </c>
      <c r="AU61" s="30" t="n">
        <f aca="false">-AU14</f>
        <v>-0</v>
      </c>
      <c r="AV61" s="30" t="n">
        <f aca="false">-AV14</f>
        <v>-0</v>
      </c>
      <c r="AW61" s="30" t="n">
        <f aca="false">-AW14</f>
        <v>-0</v>
      </c>
      <c r="AX61" s="30" t="n">
        <f aca="false">-AX14</f>
        <v>-0</v>
      </c>
      <c r="AY61" s="30" t="n">
        <f aca="false">-AY14</f>
        <v>-0</v>
      </c>
      <c r="AZ61" s="30" t="n">
        <f aca="false">-AZ14</f>
        <v>-0</v>
      </c>
      <c r="BA61" s="30" t="n">
        <f aca="false">-BA14</f>
        <v>-0</v>
      </c>
      <c r="BB61" s="30" t="n">
        <f aca="false">-BB14</f>
        <v>-0</v>
      </c>
      <c r="BC61" s="30" t="n">
        <f aca="false">-BC14</f>
        <v>-0</v>
      </c>
      <c r="BD61" s="30" t="n">
        <f aca="false">-BD14</f>
        <v>-0</v>
      </c>
      <c r="BE61" s="30" t="n">
        <f aca="false">-BE14</f>
        <v>-0</v>
      </c>
      <c r="BF61" s="30" t="n">
        <f aca="false">-BF14</f>
        <v>-0</v>
      </c>
      <c r="BG61" s="30" t="n">
        <f aca="false">-BG14</f>
        <v>-0</v>
      </c>
      <c r="BH61" s="30" t="n">
        <f aca="false">-BH14</f>
        <v>-0</v>
      </c>
      <c r="BI61" s="30" t="n">
        <f aca="false">-BI14</f>
        <v>-0</v>
      </c>
      <c r="BJ61" s="30" t="n">
        <f aca="false">-BJ14</f>
        <v>-0</v>
      </c>
      <c r="BK61" s="30" t="n">
        <f aca="false">-BK14</f>
        <v>-0</v>
      </c>
      <c r="BL61" s="30" t="n">
        <f aca="false">-BL14</f>
        <v>-0</v>
      </c>
      <c r="BM61" s="30" t="n">
        <f aca="false">-BM14</f>
        <v>-0</v>
      </c>
      <c r="BN61" s="30" t="n">
        <f aca="false">-BN14</f>
        <v>-0</v>
      </c>
      <c r="BO61" s="30" t="n">
        <f aca="false">-BO14</f>
        <v>-0</v>
      </c>
      <c r="BP61" s="30" t="n">
        <f aca="false">-BP14</f>
        <v>-0</v>
      </c>
      <c r="BQ61" s="30" t="n">
        <f aca="false">-BQ14</f>
        <v>-0</v>
      </c>
      <c r="BR61" s="30" t="n">
        <f aca="false">-BR14</f>
        <v>-0</v>
      </c>
      <c r="BS61" s="30" t="n">
        <f aca="false">-BS14</f>
        <v>-0</v>
      </c>
      <c r="BT61" s="30" t="n">
        <f aca="false">-BT14</f>
        <v>-0</v>
      </c>
      <c r="BU61" s="30" t="n">
        <f aca="false">-BU14</f>
        <v>-0</v>
      </c>
      <c r="BV61" s="30" t="n">
        <f aca="false">-BV14</f>
        <v>-0</v>
      </c>
      <c r="BW61" s="30" t="n">
        <f aca="false">-BW14</f>
        <v>-0</v>
      </c>
      <c r="BX61" s="30" t="n">
        <f aca="false">-BX14</f>
        <v>-0</v>
      </c>
      <c r="BY61" s="30" t="n">
        <f aca="false">-BY14</f>
        <v>-0</v>
      </c>
      <c r="BZ61" s="30" t="n">
        <f aca="false">-BZ14</f>
        <v>-0</v>
      </c>
      <c r="CA61" s="30" t="n">
        <f aca="false">-CA14</f>
        <v>-0</v>
      </c>
      <c r="CB61" s="30" t="n">
        <f aca="false">-CB14</f>
        <v>-0</v>
      </c>
      <c r="CC61" s="30" t="n">
        <f aca="false">-CC14</f>
        <v>-0</v>
      </c>
      <c r="CD61" s="30" t="n">
        <f aca="false">-CD14</f>
        <v>-0</v>
      </c>
      <c r="CE61" s="30" t="n">
        <f aca="false">-CE14</f>
        <v>-0</v>
      </c>
      <c r="CF61" s="30" t="n">
        <f aca="false">-CF14</f>
        <v>-0</v>
      </c>
      <c r="CG61" s="30" t="n">
        <f aca="false">-CG14</f>
        <v>-0</v>
      </c>
      <c r="CH61" s="30" t="n">
        <f aca="false">-CH14</f>
        <v>-0</v>
      </c>
      <c r="CI61" s="30" t="n">
        <f aca="false">-CI14</f>
        <v>-0</v>
      </c>
      <c r="CJ61" s="30" t="n">
        <f aca="false">-CJ14</f>
        <v>-0</v>
      </c>
      <c r="CK61" s="30" t="n">
        <f aca="false">-CK14</f>
        <v>-0</v>
      </c>
      <c r="CL61" s="30" t="n">
        <f aca="false">-CL14</f>
        <v>-0</v>
      </c>
      <c r="CM61" s="30" t="n">
        <f aca="false">-CM14</f>
        <v>-0</v>
      </c>
      <c r="CN61" s="30" t="n">
        <f aca="false">-CN14</f>
        <v>-0</v>
      </c>
      <c r="CO61" s="30" t="n">
        <f aca="false">-CO14</f>
        <v>-0</v>
      </c>
      <c r="CP61" s="30" t="n">
        <f aca="false">-CP14</f>
        <v>-0</v>
      </c>
      <c r="CQ61" s="30" t="n">
        <f aca="false">-CQ14</f>
        <v>-0</v>
      </c>
      <c r="CR61" s="30" t="n">
        <f aca="false">-CR14</f>
        <v>-0</v>
      </c>
      <c r="CS61" s="30" t="n">
        <f aca="false">-CS14</f>
        <v>-0</v>
      </c>
      <c r="CT61" s="30" t="n">
        <f aca="false">-CT14</f>
        <v>-0</v>
      </c>
      <c r="CU61" s="30" t="n">
        <f aca="false">-CU14</f>
        <v>-0</v>
      </c>
      <c r="CV61" s="30" t="n">
        <f aca="false">-CV14</f>
        <v>-0</v>
      </c>
      <c r="CW61" s="30" t="n">
        <f aca="false">-CW14</f>
        <v>-0</v>
      </c>
      <c r="CX61" s="30" t="n">
        <f aca="false">-CX14</f>
        <v>-0</v>
      </c>
      <c r="CY61" s="30" t="n">
        <f aca="false">-CY14</f>
        <v>-0</v>
      </c>
      <c r="CZ61" s="30" t="n">
        <f aca="false">-CZ14</f>
        <v>-0</v>
      </c>
      <c r="DA61" s="30" t="n">
        <f aca="false">-DA14</f>
        <v>-0</v>
      </c>
      <c r="DB61" s="30" t="n">
        <f aca="false">-DB14</f>
        <v>-0</v>
      </c>
      <c r="DC61" s="30" t="n">
        <f aca="false">-DC14</f>
        <v>-0</v>
      </c>
      <c r="DD61" s="30" t="n">
        <f aca="false">-DD14</f>
        <v>-0</v>
      </c>
      <c r="DE61" s="30" t="n">
        <f aca="false">-DE14</f>
        <v>-0</v>
      </c>
    </row>
    <row r="62" customFormat="false" ht="15" hidden="true" customHeight="true" outlineLevel="1" collapsed="false">
      <c r="A62" s="32" t="s">
        <v>9</v>
      </c>
      <c r="B62" s="30" t="n">
        <v>-145589.08</v>
      </c>
      <c r="C62" s="30" t="n">
        <v>-548956.42</v>
      </c>
      <c r="D62" s="30" t="n">
        <v>-286493.58</v>
      </c>
      <c r="E62" s="30" t="n">
        <v>-571051.7</v>
      </c>
      <c r="F62" s="30" t="n">
        <v>-1099379.66</v>
      </c>
      <c r="G62" s="30" t="n">
        <v>-1322858.63</v>
      </c>
      <c r="H62" s="30" t="n">
        <f aca="false">-7578597.87*Curves!E$8/SUM(Curves!$E$8:$P$8)</f>
        <v>-773404.199666662</v>
      </c>
      <c r="I62" s="30" t="n">
        <f aca="false">-7578597.87*Curves!F$8/SUM(Curves!$E$8:$P$8)</f>
        <v>-802816.480239769</v>
      </c>
      <c r="J62" s="30" t="n">
        <f aca="false">-7578597.87*Curves!G$8/SUM(Curves!$E$8:$P$8)</f>
        <v>-812866.795291006</v>
      </c>
      <c r="K62" s="30" t="n">
        <f aca="false">-7578597.87*Curves!H$8/SUM(Curves!$E$8:$P$8)</f>
        <v>-802816.480239769</v>
      </c>
      <c r="L62" s="30" t="n">
        <f aca="false">-7578597.87*Curves!I$8/SUM(Curves!$E$8:$P$8)</f>
        <v>-773404.199666662</v>
      </c>
      <c r="M62" s="30" t="n">
        <f aca="false">-7578597.87*Curves!J$8/SUM(Curves!$E$8:$P$8)</f>
        <v>-726767.6041004</v>
      </c>
      <c r="N62" s="30" t="n">
        <f aca="false">-7578597.87*Curves!K$8/SUM(Curves!$E$8:$P$8)</f>
        <v>-666163.532828188</v>
      </c>
      <c r="O62" s="30" t="n">
        <f aca="false">-7578597.87*Curves!L$8/SUM(Curves!$E$8:$P$8)</f>
        <v>-595609.873493002</v>
      </c>
      <c r="P62" s="30" t="n">
        <f aca="false">-7578597.87*Curves!M$8/SUM(Curves!$E$8:$P$8)</f>
        <v>-519437.886590199</v>
      </c>
      <c r="Q62" s="30" t="n">
        <f aca="false">-7578597.87*Curves!N$8/SUM(Curves!$E$8:$P$8)</f>
        <v>-441878.105626869</v>
      </c>
      <c r="R62" s="30" t="n">
        <f aca="false">-7578597.87*Curves!O$8/SUM(Curves!$E$8:$P$8)</f>
        <v>-366657.429168782</v>
      </c>
      <c r="S62" s="30" t="n">
        <f aca="false">-7578597.87*Curves!P$8/SUM(Curves!$E$8:$P$8)</f>
        <v>-296775.283088691</v>
      </c>
      <c r="T62" s="30" t="n">
        <f aca="false">-T15</f>
        <v>-0</v>
      </c>
      <c r="U62" s="30" t="n">
        <f aca="false">-U15</f>
        <v>-0</v>
      </c>
      <c r="V62" s="30" t="n">
        <f aca="false">-V15</f>
        <v>-0</v>
      </c>
      <c r="W62" s="30" t="n">
        <f aca="false">-W15</f>
        <v>-0</v>
      </c>
      <c r="X62" s="30" t="n">
        <f aca="false">-X15</f>
        <v>-0</v>
      </c>
      <c r="Y62" s="30" t="n">
        <f aca="false">-Y15</f>
        <v>-0</v>
      </c>
      <c r="Z62" s="30" t="n">
        <f aca="false">-Z15</f>
        <v>-0</v>
      </c>
      <c r="AA62" s="30" t="n">
        <f aca="false">-AA15</f>
        <v>-0</v>
      </c>
      <c r="AB62" s="30" t="n">
        <f aca="false">-AB15</f>
        <v>-0</v>
      </c>
      <c r="AC62" s="30" t="n">
        <f aca="false">-AC15</f>
        <v>-0</v>
      </c>
      <c r="AD62" s="30" t="n">
        <f aca="false">-AD15</f>
        <v>-0</v>
      </c>
      <c r="AE62" s="30" t="n">
        <f aca="false">-AE15</f>
        <v>-0</v>
      </c>
      <c r="AF62" s="30" t="n">
        <f aca="false">-AF15</f>
        <v>-0</v>
      </c>
      <c r="AG62" s="30" t="n">
        <f aca="false">-AG15</f>
        <v>-0</v>
      </c>
      <c r="AH62" s="30" t="n">
        <f aca="false">-AH15</f>
        <v>-0</v>
      </c>
      <c r="AI62" s="30" t="n">
        <f aca="false">-AI15</f>
        <v>-0</v>
      </c>
      <c r="AJ62" s="30" t="n">
        <f aca="false">-AJ15</f>
        <v>-0</v>
      </c>
      <c r="AK62" s="30" t="n">
        <f aca="false">-AK15</f>
        <v>-0</v>
      </c>
      <c r="AL62" s="30" t="n">
        <f aca="false">-AL15</f>
        <v>-0</v>
      </c>
      <c r="AM62" s="30" t="n">
        <f aca="false">-AM15</f>
        <v>-0</v>
      </c>
      <c r="AN62" s="30" t="n">
        <f aca="false">-AN15</f>
        <v>-0</v>
      </c>
      <c r="AO62" s="30" t="n">
        <f aca="false">-AO15</f>
        <v>-0</v>
      </c>
      <c r="AP62" s="30" t="n">
        <f aca="false">-AP15</f>
        <v>-0</v>
      </c>
      <c r="AQ62" s="30" t="n">
        <f aca="false">-AQ15</f>
        <v>-0</v>
      </c>
      <c r="AR62" s="30" t="n">
        <f aca="false">-AR15</f>
        <v>-0</v>
      </c>
      <c r="AS62" s="30" t="n">
        <f aca="false">-AS15</f>
        <v>-0</v>
      </c>
      <c r="AT62" s="30" t="n">
        <f aca="false">-AT15</f>
        <v>-0</v>
      </c>
      <c r="AU62" s="30" t="n">
        <f aca="false">-AU15</f>
        <v>-0</v>
      </c>
      <c r="AV62" s="30" t="n">
        <f aca="false">-AV15</f>
        <v>-0</v>
      </c>
      <c r="AW62" s="30" t="n">
        <f aca="false">-AW15</f>
        <v>-0</v>
      </c>
      <c r="AX62" s="30" t="n">
        <f aca="false">-AX15</f>
        <v>-0</v>
      </c>
      <c r="AY62" s="30" t="n">
        <f aca="false">-AY15</f>
        <v>-0</v>
      </c>
      <c r="AZ62" s="30" t="n">
        <f aca="false">-AZ15</f>
        <v>-0</v>
      </c>
      <c r="BA62" s="30" t="n">
        <f aca="false">-BA15</f>
        <v>-0</v>
      </c>
      <c r="BB62" s="30" t="n">
        <f aca="false">-BB15</f>
        <v>-0</v>
      </c>
      <c r="BC62" s="30" t="n">
        <f aca="false">-BC15</f>
        <v>-0</v>
      </c>
      <c r="BD62" s="30" t="n">
        <f aca="false">-BD15</f>
        <v>-0</v>
      </c>
      <c r="BE62" s="30" t="n">
        <f aca="false">-BE15</f>
        <v>-0</v>
      </c>
      <c r="BF62" s="30" t="n">
        <f aca="false">-BF15</f>
        <v>-0</v>
      </c>
      <c r="BG62" s="30" t="n">
        <f aca="false">-BG15</f>
        <v>-0</v>
      </c>
      <c r="BH62" s="30" t="n">
        <f aca="false">-BH15</f>
        <v>-0</v>
      </c>
      <c r="BI62" s="30" t="n">
        <f aca="false">-BI15</f>
        <v>-0</v>
      </c>
      <c r="BJ62" s="30" t="n">
        <f aca="false">-BJ15</f>
        <v>-0</v>
      </c>
      <c r="BK62" s="30" t="n">
        <f aca="false">-BK15</f>
        <v>-0</v>
      </c>
      <c r="BL62" s="30" t="n">
        <f aca="false">-BL15</f>
        <v>-0</v>
      </c>
      <c r="BM62" s="30" t="n">
        <f aca="false">-BM15</f>
        <v>-0</v>
      </c>
      <c r="BN62" s="30" t="n">
        <f aca="false">-BN15</f>
        <v>-0</v>
      </c>
      <c r="BO62" s="30" t="n">
        <f aca="false">-BO15</f>
        <v>-0</v>
      </c>
      <c r="BP62" s="30" t="n">
        <f aca="false">-BP15</f>
        <v>-0</v>
      </c>
      <c r="BQ62" s="30" t="n">
        <f aca="false">-BQ15</f>
        <v>-0</v>
      </c>
      <c r="BR62" s="30" t="n">
        <f aca="false">-BR15</f>
        <v>-0</v>
      </c>
      <c r="BS62" s="30" t="n">
        <f aca="false">-BS15</f>
        <v>-0</v>
      </c>
      <c r="BT62" s="30" t="n">
        <f aca="false">-BT15</f>
        <v>-0</v>
      </c>
      <c r="BU62" s="30" t="n">
        <f aca="false">-BU15</f>
        <v>-0</v>
      </c>
      <c r="BV62" s="30" t="n">
        <f aca="false">-BV15</f>
        <v>-0</v>
      </c>
      <c r="BW62" s="30" t="n">
        <f aca="false">-BW15</f>
        <v>-0</v>
      </c>
      <c r="BX62" s="30" t="n">
        <f aca="false">-BX15</f>
        <v>-0</v>
      </c>
      <c r="BY62" s="30" t="n">
        <f aca="false">-BY15</f>
        <v>-0</v>
      </c>
      <c r="BZ62" s="30" t="n">
        <f aca="false">-BZ15</f>
        <v>-0</v>
      </c>
      <c r="CA62" s="30" t="n">
        <f aca="false">-CA15</f>
        <v>-0</v>
      </c>
      <c r="CB62" s="30" t="n">
        <f aca="false">-CB15</f>
        <v>-0</v>
      </c>
      <c r="CC62" s="30" t="n">
        <f aca="false">-CC15</f>
        <v>-0</v>
      </c>
      <c r="CD62" s="30" t="n">
        <f aca="false">-CD15</f>
        <v>-0</v>
      </c>
      <c r="CE62" s="30" t="n">
        <f aca="false">-CE15</f>
        <v>-0</v>
      </c>
      <c r="CF62" s="30" t="n">
        <f aca="false">-CF15</f>
        <v>-0</v>
      </c>
      <c r="CG62" s="30" t="n">
        <f aca="false">-CG15</f>
        <v>-0</v>
      </c>
      <c r="CH62" s="30" t="n">
        <f aca="false">-CH15</f>
        <v>-0</v>
      </c>
      <c r="CI62" s="30" t="n">
        <f aca="false">-CI15</f>
        <v>-0</v>
      </c>
      <c r="CJ62" s="30" t="n">
        <f aca="false">-CJ15</f>
        <v>-0</v>
      </c>
      <c r="CK62" s="30" t="n">
        <f aca="false">-CK15</f>
        <v>-0</v>
      </c>
      <c r="CL62" s="30" t="n">
        <f aca="false">-CL15</f>
        <v>-0</v>
      </c>
      <c r="CM62" s="30" t="n">
        <f aca="false">-CM15</f>
        <v>-0</v>
      </c>
      <c r="CN62" s="30" t="n">
        <f aca="false">-CN15</f>
        <v>-0</v>
      </c>
      <c r="CO62" s="30" t="n">
        <f aca="false">-CO15</f>
        <v>-0</v>
      </c>
      <c r="CP62" s="30" t="n">
        <f aca="false">-CP15</f>
        <v>-0</v>
      </c>
      <c r="CQ62" s="30" t="n">
        <f aca="false">-CQ15</f>
        <v>-0</v>
      </c>
      <c r="CR62" s="30" t="n">
        <f aca="false">-CR15</f>
        <v>-0</v>
      </c>
      <c r="CS62" s="30" t="n">
        <f aca="false">-CS15</f>
        <v>-0</v>
      </c>
      <c r="CT62" s="30" t="n">
        <f aca="false">-CT15</f>
        <v>-0</v>
      </c>
      <c r="CU62" s="30" t="n">
        <f aca="false">-CU15</f>
        <v>-0</v>
      </c>
      <c r="CV62" s="30" t="n">
        <f aca="false">-CV15</f>
        <v>-0</v>
      </c>
      <c r="CW62" s="30" t="n">
        <f aca="false">-CW15</f>
        <v>-0</v>
      </c>
      <c r="CX62" s="30" t="n">
        <f aca="false">-CX15</f>
        <v>-0</v>
      </c>
      <c r="CY62" s="30" t="n">
        <f aca="false">-CY15</f>
        <v>-0</v>
      </c>
      <c r="CZ62" s="30" t="n">
        <f aca="false">-CZ15</f>
        <v>-0</v>
      </c>
      <c r="DA62" s="30" t="n">
        <f aca="false">-DA15</f>
        <v>-0</v>
      </c>
      <c r="DB62" s="30" t="n">
        <f aca="false">-DB15</f>
        <v>-0</v>
      </c>
      <c r="DC62" s="30" t="n">
        <f aca="false">-DC15</f>
        <v>-0</v>
      </c>
      <c r="DD62" s="30" t="n">
        <f aca="false">-DD15</f>
        <v>-0</v>
      </c>
      <c r="DE62" s="30" t="n">
        <f aca="false">-DE15</f>
        <v>-0</v>
      </c>
    </row>
    <row r="63" customFormat="false" ht="15" hidden="true" customHeight="true" outlineLevel="1" collapsed="false">
      <c r="A63" s="32" t="s">
        <v>10</v>
      </c>
      <c r="B63" s="30" t="n">
        <v>-97487.03</v>
      </c>
      <c r="C63" s="30" t="n">
        <v>-107086.64</v>
      </c>
      <c r="D63" s="30" t="n">
        <v>-228526.73</v>
      </c>
      <c r="E63" s="30" t="n">
        <v>-578098.32</v>
      </c>
      <c r="F63" s="30" t="n">
        <v>-786162.51</v>
      </c>
      <c r="G63" s="30" t="n">
        <v>-1199341.45</v>
      </c>
      <c r="H63" s="30" t="n">
        <f aca="false">-10277719*Curves!E$9/SUM(Curves!$E$9:$P$9)</f>
        <v>-1048852.46241385</v>
      </c>
      <c r="I63" s="30" t="n">
        <f aca="false">-10277719*Curves!F$9/SUM(Curves!$E$9:$P$9)</f>
        <v>-1088739.94029101</v>
      </c>
      <c r="J63" s="30" t="n">
        <f aca="false">-10277719*Curves!G$9/SUM(Curves!$E$9:$P$9)</f>
        <v>-1102369.6796874</v>
      </c>
      <c r="K63" s="30" t="n">
        <f aca="false">-10277719*Curves!H$9/SUM(Curves!$E$9:$P$9)</f>
        <v>-1088739.94029101</v>
      </c>
      <c r="L63" s="30" t="n">
        <f aca="false">-10277719*Curves!I$9/SUM(Curves!$E$9:$P$9)</f>
        <v>-1048852.46241385</v>
      </c>
      <c r="M63" s="30" t="n">
        <f aca="false">-10277719*Curves!J$9/SUM(Curves!$E$9:$P$9)</f>
        <v>-985606.221807248</v>
      </c>
      <c r="N63" s="30" t="n">
        <f aca="false">-10277719*Curves!K$9/SUM(Curves!$E$9:$P$9)</f>
        <v>-903417.98257405</v>
      </c>
      <c r="O63" s="30" t="n">
        <f aca="false">-10277719*Curves!L$9/SUM(Curves!$E$9:$P$9)</f>
        <v>-807736.604896101</v>
      </c>
      <c r="P63" s="30" t="n">
        <f aca="false">-10277719*Curves!M$9/SUM(Curves!$E$9:$P$9)</f>
        <v>-704435.929693672</v>
      </c>
      <c r="Q63" s="30" t="n">
        <f aca="false">-10277719*Curves!N$9/SUM(Curves!$E$9:$P$9)</f>
        <v>-599253.196935396</v>
      </c>
      <c r="R63" s="30" t="n">
        <f aca="false">-10277719*Curves!O$9/SUM(Curves!$E$9:$P$9)</f>
        <v>-497242.641831733</v>
      </c>
      <c r="S63" s="30" t="n">
        <f aca="false">-10277719*Curves!P$9/SUM(Curves!$E$9:$P$9)</f>
        <v>-402471.93716468</v>
      </c>
      <c r="T63" s="30" t="n">
        <f aca="false">-T16</f>
        <v>-0</v>
      </c>
      <c r="U63" s="30" t="n">
        <f aca="false">-U16</f>
        <v>-0</v>
      </c>
      <c r="V63" s="30" t="n">
        <f aca="false">-V16</f>
        <v>-0</v>
      </c>
      <c r="W63" s="30" t="n">
        <f aca="false">-W16</f>
        <v>-0</v>
      </c>
      <c r="X63" s="30" t="n">
        <f aca="false">-X16</f>
        <v>-0</v>
      </c>
      <c r="Y63" s="30" t="n">
        <f aca="false">-Y16</f>
        <v>-0</v>
      </c>
      <c r="Z63" s="30" t="n">
        <f aca="false">-Z16</f>
        <v>-0</v>
      </c>
      <c r="AA63" s="30" t="n">
        <f aca="false">-AA16</f>
        <v>-0</v>
      </c>
      <c r="AB63" s="30" t="n">
        <f aca="false">-AB16</f>
        <v>-0</v>
      </c>
      <c r="AC63" s="30" t="n">
        <f aca="false">-AC16</f>
        <v>-0</v>
      </c>
      <c r="AD63" s="30" t="n">
        <f aca="false">-AD16</f>
        <v>-0</v>
      </c>
      <c r="AE63" s="30" t="n">
        <f aca="false">-AE16</f>
        <v>-0</v>
      </c>
      <c r="AF63" s="30" t="n">
        <f aca="false">-AF16</f>
        <v>-0</v>
      </c>
      <c r="AG63" s="30" t="n">
        <f aca="false">-AG16</f>
        <v>-0</v>
      </c>
      <c r="AH63" s="30" t="n">
        <f aca="false">-AH16</f>
        <v>-0</v>
      </c>
      <c r="AI63" s="30" t="n">
        <f aca="false">-AI16</f>
        <v>-0</v>
      </c>
      <c r="AJ63" s="30" t="n">
        <f aca="false">-AJ16</f>
        <v>-0</v>
      </c>
      <c r="AK63" s="30" t="n">
        <f aca="false">-AK16</f>
        <v>-0</v>
      </c>
      <c r="AL63" s="30" t="n">
        <f aca="false">-AL16</f>
        <v>-0</v>
      </c>
      <c r="AM63" s="30" t="n">
        <f aca="false">-AM16</f>
        <v>-0</v>
      </c>
      <c r="AN63" s="30" t="n">
        <f aca="false">-AN16</f>
        <v>-0</v>
      </c>
      <c r="AO63" s="30" t="n">
        <f aca="false">-AO16</f>
        <v>-0</v>
      </c>
      <c r="AP63" s="30" t="n">
        <f aca="false">-AP16</f>
        <v>-0</v>
      </c>
      <c r="AQ63" s="30" t="n">
        <f aca="false">-AQ16</f>
        <v>-0</v>
      </c>
      <c r="AR63" s="30" t="n">
        <f aca="false">-AR16</f>
        <v>-0</v>
      </c>
      <c r="AS63" s="30" t="n">
        <f aca="false">-AS16</f>
        <v>-0</v>
      </c>
      <c r="AT63" s="30" t="n">
        <f aca="false">-AT16</f>
        <v>-0</v>
      </c>
      <c r="AU63" s="30" t="n">
        <f aca="false">-AU16</f>
        <v>-0</v>
      </c>
      <c r="AV63" s="30" t="n">
        <f aca="false">-AV16</f>
        <v>-0</v>
      </c>
      <c r="AW63" s="30" t="n">
        <f aca="false">-AW16</f>
        <v>-0</v>
      </c>
      <c r="AX63" s="30" t="n">
        <f aca="false">-AX16</f>
        <v>-0</v>
      </c>
      <c r="AY63" s="30" t="n">
        <f aca="false">-AY16</f>
        <v>-0</v>
      </c>
      <c r="AZ63" s="30" t="n">
        <f aca="false">-AZ16</f>
        <v>-0</v>
      </c>
      <c r="BA63" s="30" t="n">
        <f aca="false">-BA16</f>
        <v>-0</v>
      </c>
      <c r="BB63" s="30" t="n">
        <f aca="false">-BB16</f>
        <v>-0</v>
      </c>
      <c r="BC63" s="30" t="n">
        <f aca="false">-BC16</f>
        <v>-0</v>
      </c>
      <c r="BD63" s="30" t="n">
        <f aca="false">-BD16</f>
        <v>-0</v>
      </c>
      <c r="BE63" s="30" t="n">
        <f aca="false">-BE16</f>
        <v>-0</v>
      </c>
      <c r="BF63" s="30" t="n">
        <f aca="false">-BF16</f>
        <v>-0</v>
      </c>
      <c r="BG63" s="30" t="n">
        <f aca="false">-BG16</f>
        <v>-0</v>
      </c>
      <c r="BH63" s="30" t="n">
        <f aca="false">-BH16</f>
        <v>-0</v>
      </c>
      <c r="BI63" s="30" t="n">
        <f aca="false">-BI16</f>
        <v>-0</v>
      </c>
      <c r="BJ63" s="30" t="n">
        <f aca="false">-BJ16</f>
        <v>-0</v>
      </c>
      <c r="BK63" s="30" t="n">
        <f aca="false">-BK16</f>
        <v>-0</v>
      </c>
      <c r="BL63" s="30" t="n">
        <f aca="false">-BL16</f>
        <v>-0</v>
      </c>
      <c r="BM63" s="30" t="n">
        <f aca="false">-BM16</f>
        <v>-0</v>
      </c>
      <c r="BN63" s="30" t="n">
        <f aca="false">-BN16</f>
        <v>-0</v>
      </c>
      <c r="BO63" s="30" t="n">
        <f aca="false">-BO16</f>
        <v>-0</v>
      </c>
      <c r="BP63" s="30" t="n">
        <f aca="false">-BP16</f>
        <v>-0</v>
      </c>
      <c r="BQ63" s="30" t="n">
        <f aca="false">-BQ16</f>
        <v>-0</v>
      </c>
      <c r="BR63" s="30" t="n">
        <f aca="false">-BR16</f>
        <v>-0</v>
      </c>
      <c r="BS63" s="30" t="n">
        <f aca="false">-BS16</f>
        <v>-0</v>
      </c>
      <c r="BT63" s="30" t="n">
        <f aca="false">-BT16</f>
        <v>-0</v>
      </c>
      <c r="BU63" s="30" t="n">
        <f aca="false">-BU16</f>
        <v>-0</v>
      </c>
      <c r="BV63" s="30" t="n">
        <f aca="false">-BV16</f>
        <v>-0</v>
      </c>
      <c r="BW63" s="30" t="n">
        <f aca="false">-BW16</f>
        <v>-0</v>
      </c>
      <c r="BX63" s="30" t="n">
        <f aca="false">-BX16</f>
        <v>-0</v>
      </c>
      <c r="BY63" s="30" t="n">
        <f aca="false">-BY16</f>
        <v>-0</v>
      </c>
      <c r="BZ63" s="30" t="n">
        <f aca="false">-BZ16</f>
        <v>-0</v>
      </c>
      <c r="CA63" s="30" t="n">
        <f aca="false">-CA16</f>
        <v>-0</v>
      </c>
      <c r="CB63" s="30" t="n">
        <f aca="false">-CB16</f>
        <v>-0</v>
      </c>
      <c r="CC63" s="30" t="n">
        <f aca="false">-CC16</f>
        <v>-0</v>
      </c>
      <c r="CD63" s="30" t="n">
        <f aca="false">-CD16</f>
        <v>-0</v>
      </c>
      <c r="CE63" s="30" t="n">
        <f aca="false">-CE16</f>
        <v>-0</v>
      </c>
      <c r="CF63" s="30" t="n">
        <f aca="false">-CF16</f>
        <v>-0</v>
      </c>
      <c r="CG63" s="30" t="n">
        <f aca="false">-CG16</f>
        <v>-0</v>
      </c>
      <c r="CH63" s="30" t="n">
        <f aca="false">-CH16</f>
        <v>-0</v>
      </c>
      <c r="CI63" s="30" t="n">
        <f aca="false">-CI16</f>
        <v>-0</v>
      </c>
      <c r="CJ63" s="30" t="n">
        <f aca="false">-CJ16</f>
        <v>-0</v>
      </c>
      <c r="CK63" s="30" t="n">
        <f aca="false">-CK16</f>
        <v>-0</v>
      </c>
      <c r="CL63" s="30" t="n">
        <f aca="false">-CL16</f>
        <v>-0</v>
      </c>
      <c r="CM63" s="30" t="n">
        <f aca="false">-CM16</f>
        <v>-0</v>
      </c>
      <c r="CN63" s="30" t="n">
        <f aca="false">-CN16</f>
        <v>-0</v>
      </c>
      <c r="CO63" s="30" t="n">
        <f aca="false">-CO16</f>
        <v>-0</v>
      </c>
      <c r="CP63" s="30" t="n">
        <f aca="false">-CP16</f>
        <v>-0</v>
      </c>
      <c r="CQ63" s="30" t="n">
        <f aca="false">-CQ16</f>
        <v>-0</v>
      </c>
      <c r="CR63" s="30" t="n">
        <f aca="false">-CR16</f>
        <v>-0</v>
      </c>
      <c r="CS63" s="30" t="n">
        <f aca="false">-CS16</f>
        <v>-0</v>
      </c>
      <c r="CT63" s="30" t="n">
        <f aca="false">-CT16</f>
        <v>-0</v>
      </c>
      <c r="CU63" s="30" t="n">
        <f aca="false">-CU16</f>
        <v>-0</v>
      </c>
      <c r="CV63" s="30" t="n">
        <f aca="false">-CV16</f>
        <v>-0</v>
      </c>
      <c r="CW63" s="30" t="n">
        <f aca="false">-CW16</f>
        <v>-0</v>
      </c>
      <c r="CX63" s="30" t="n">
        <f aca="false">-CX16</f>
        <v>-0</v>
      </c>
      <c r="CY63" s="30" t="n">
        <f aca="false">-CY16</f>
        <v>-0</v>
      </c>
      <c r="CZ63" s="30" t="n">
        <f aca="false">-CZ16</f>
        <v>-0</v>
      </c>
      <c r="DA63" s="30" t="n">
        <f aca="false">-DA16</f>
        <v>-0</v>
      </c>
      <c r="DB63" s="30" t="n">
        <f aca="false">-DB16</f>
        <v>-0</v>
      </c>
      <c r="DC63" s="30" t="n">
        <f aca="false">-DC16</f>
        <v>-0</v>
      </c>
      <c r="DD63" s="30" t="n">
        <f aca="false">-DD16</f>
        <v>-0</v>
      </c>
      <c r="DE63" s="30" t="n">
        <f aca="false">-DE16</f>
        <v>-0</v>
      </c>
    </row>
    <row r="64" customFormat="false" ht="15" hidden="true" customHeight="true" outlineLevel="1" collapsed="false">
      <c r="A64" s="32" t="s">
        <v>11</v>
      </c>
      <c r="B64" s="30" t="n">
        <v>0</v>
      </c>
      <c r="C64" s="30" t="n">
        <v>-158853.43</v>
      </c>
      <c r="D64" s="30" t="n">
        <v>-282874.37</v>
      </c>
      <c r="E64" s="30" t="n">
        <v>-223950.71</v>
      </c>
      <c r="F64" s="30" t="n">
        <v>-217736.55</v>
      </c>
      <c r="G64" s="30" t="n">
        <v>-325023.37</v>
      </c>
      <c r="H64" s="30" t="n">
        <f aca="false">-2404824.57*Curves!E$4/SUM(Curves!$E$4:$T$4)</f>
        <v>-123843.502222316</v>
      </c>
      <c r="I64" s="30" t="n">
        <f aca="false">-2404824.57*Curves!F$4/SUM(Curves!$E$4:$T$4)</f>
        <v>-142004.298484599</v>
      </c>
      <c r="J64" s="30" t="n">
        <f aca="false">-2404824.57*Curves!G$4/SUM(Curves!$E$4:$T$4)</f>
        <v>-158825.582592362</v>
      </c>
      <c r="K64" s="30" t="n">
        <f aca="false">-2404824.57*Curves!H$4/SUM(Curves!$E$4:$T$4)</f>
        <v>-173274.702745207</v>
      </c>
      <c r="L64" s="30" t="n">
        <f aca="false">-2404824.57*Curves!I$4/SUM(Curves!$E$4:$T$4)</f>
        <v>-184393.720968088</v>
      </c>
      <c r="M64" s="30" t="n">
        <f aca="false">-2404824.57*Curves!J$4/SUM(Curves!$E$4:$T$4)</f>
        <v>-191406.14714753</v>
      </c>
      <c r="N64" s="30" t="n">
        <f aca="false">-2404824.57*Curves!K$4/SUM(Curves!$E$4:$T$4)</f>
        <v>-193802.326260596</v>
      </c>
      <c r="O64" s="30" t="n">
        <f aca="false">-2404824.57*Curves!L$4/SUM(Curves!$E$4:$T$4)</f>
        <v>-191406.14714753</v>
      </c>
      <c r="P64" s="30" t="n">
        <f aca="false">-2404824.57*Curves!M$4/SUM(Curves!$E$4:$T$4)</f>
        <v>-184393.720968088</v>
      </c>
      <c r="Q64" s="30" t="n">
        <f aca="false">-2404824.57*Curves!N$4/SUM(Curves!$E$4:$T$4)</f>
        <v>-173274.702745207</v>
      </c>
      <c r="R64" s="30" t="n">
        <f aca="false">-2404824.57*Curves!O$4/SUM(Curves!$E$4:$T$4)</f>
        <v>-158825.582592362</v>
      </c>
      <c r="S64" s="30" t="n">
        <f aca="false">-2404824.57*Curves!P$4/SUM(Curves!$E$4:$T$4)</f>
        <v>-142004.298484599</v>
      </c>
      <c r="T64" s="30" t="n">
        <f aca="false">-2404824.57*Curves!Q$4/SUM(Curves!$E$4:$T$4)</f>
        <v>-123843.502222316</v>
      </c>
      <c r="U64" s="30" t="n">
        <f aca="false">-2404824.57*Curves!R$4/SUM(Curves!$E$4:$T$4)</f>
        <v>-105351.830447761</v>
      </c>
      <c r="V64" s="30" t="n">
        <f aca="false">-2404824.57*Curves!S$4/SUM(Curves!$E$4:$T$4)</f>
        <v>-87417.8440124384</v>
      </c>
      <c r="W64" s="30" t="n">
        <f aca="false">-2404824.57*Curves!T$4/SUM(Curves!$E$4:$T$4)</f>
        <v>-70756.6609590009</v>
      </c>
      <c r="X64" s="30" t="n">
        <f aca="false">-X17</f>
        <v>-0</v>
      </c>
      <c r="Y64" s="30" t="n">
        <f aca="false">-Y17</f>
        <v>-0</v>
      </c>
      <c r="Z64" s="30" t="n">
        <f aca="false">-Z17</f>
        <v>-0</v>
      </c>
      <c r="AA64" s="30" t="n">
        <f aca="false">-AA17</f>
        <v>-0</v>
      </c>
      <c r="AB64" s="30" t="n">
        <f aca="false">-AB17</f>
        <v>-0</v>
      </c>
      <c r="AC64" s="30" t="n">
        <f aca="false">-AC17</f>
        <v>-0</v>
      </c>
      <c r="AD64" s="30" t="n">
        <f aca="false">-AD17</f>
        <v>-0</v>
      </c>
      <c r="AE64" s="30" t="n">
        <f aca="false">-AE17</f>
        <v>-0</v>
      </c>
      <c r="AF64" s="30" t="n">
        <f aca="false">-AF17</f>
        <v>-0</v>
      </c>
      <c r="AG64" s="30" t="n">
        <f aca="false">-AG17</f>
        <v>-0</v>
      </c>
      <c r="AH64" s="30" t="n">
        <f aca="false">-AH17</f>
        <v>-0</v>
      </c>
      <c r="AI64" s="30" t="n">
        <f aca="false">-AI17</f>
        <v>-0</v>
      </c>
      <c r="AJ64" s="30" t="n">
        <f aca="false">-AJ17</f>
        <v>-0</v>
      </c>
      <c r="AK64" s="30" t="n">
        <f aca="false">-AK17</f>
        <v>-0</v>
      </c>
      <c r="AL64" s="30" t="n">
        <f aca="false">-AL17</f>
        <v>-0</v>
      </c>
      <c r="AM64" s="30" t="n">
        <f aca="false">-AM17</f>
        <v>-0</v>
      </c>
      <c r="AN64" s="30" t="n">
        <f aca="false">-AN17</f>
        <v>-0</v>
      </c>
      <c r="AO64" s="30" t="n">
        <f aca="false">-AO17</f>
        <v>-0</v>
      </c>
      <c r="AP64" s="30" t="n">
        <f aca="false">-AP17</f>
        <v>-0</v>
      </c>
      <c r="AQ64" s="30" t="n">
        <f aca="false">-AQ17</f>
        <v>-0</v>
      </c>
      <c r="AR64" s="30" t="n">
        <f aca="false">-AR17</f>
        <v>-0</v>
      </c>
      <c r="AS64" s="30" t="n">
        <f aca="false">-AS17</f>
        <v>-0</v>
      </c>
      <c r="AT64" s="30" t="n">
        <f aca="false">-AT17</f>
        <v>-0</v>
      </c>
      <c r="AU64" s="30" t="n">
        <f aca="false">-AU17</f>
        <v>-0</v>
      </c>
      <c r="AV64" s="30" t="n">
        <f aca="false">-AV17</f>
        <v>-0</v>
      </c>
      <c r="AW64" s="30" t="n">
        <f aca="false">-AW17</f>
        <v>-0</v>
      </c>
      <c r="AX64" s="30" t="n">
        <f aca="false">-AX17</f>
        <v>-0</v>
      </c>
      <c r="AY64" s="30" t="n">
        <f aca="false">-AY17</f>
        <v>-0</v>
      </c>
      <c r="AZ64" s="30" t="n">
        <f aca="false">-AZ17</f>
        <v>-0</v>
      </c>
      <c r="BA64" s="30" t="n">
        <f aca="false">-BA17</f>
        <v>-0</v>
      </c>
      <c r="BB64" s="30" t="n">
        <f aca="false">-BB17</f>
        <v>-0</v>
      </c>
      <c r="BC64" s="30" t="n">
        <f aca="false">-BC17</f>
        <v>-0</v>
      </c>
      <c r="BD64" s="30" t="n">
        <f aca="false">-BD17</f>
        <v>-0</v>
      </c>
      <c r="BE64" s="30" t="n">
        <f aca="false">-BE17</f>
        <v>-0</v>
      </c>
      <c r="BF64" s="30" t="n">
        <f aca="false">-BF17</f>
        <v>-0</v>
      </c>
      <c r="BG64" s="30" t="n">
        <f aca="false">-BG17</f>
        <v>-0</v>
      </c>
      <c r="BH64" s="30" t="n">
        <f aca="false">-BH17</f>
        <v>-0</v>
      </c>
      <c r="BI64" s="30" t="n">
        <f aca="false">-BI17</f>
        <v>-0</v>
      </c>
      <c r="BJ64" s="30" t="n">
        <f aca="false">-BJ17</f>
        <v>-0</v>
      </c>
      <c r="BK64" s="30" t="n">
        <f aca="false">-BK17</f>
        <v>-0</v>
      </c>
      <c r="BL64" s="30" t="n">
        <f aca="false">-BL17</f>
        <v>-0</v>
      </c>
      <c r="BM64" s="30" t="n">
        <f aca="false">-BM17</f>
        <v>-0</v>
      </c>
      <c r="BN64" s="30" t="n">
        <f aca="false">-BN17</f>
        <v>-0</v>
      </c>
      <c r="BO64" s="30" t="n">
        <f aca="false">-BO17</f>
        <v>-0</v>
      </c>
      <c r="BP64" s="30" t="n">
        <f aca="false">-BP17</f>
        <v>-0</v>
      </c>
      <c r="BQ64" s="30" t="n">
        <f aca="false">-BQ17</f>
        <v>-0</v>
      </c>
      <c r="BR64" s="30" t="n">
        <f aca="false">-BR17</f>
        <v>-0</v>
      </c>
      <c r="BS64" s="30" t="n">
        <f aca="false">-BS17</f>
        <v>-0</v>
      </c>
      <c r="BT64" s="30" t="n">
        <f aca="false">-BT17</f>
        <v>-0</v>
      </c>
      <c r="BU64" s="30" t="n">
        <f aca="false">-BU17</f>
        <v>-0</v>
      </c>
      <c r="BV64" s="30" t="n">
        <f aca="false">-BV17</f>
        <v>-0</v>
      </c>
      <c r="BW64" s="30" t="n">
        <f aca="false">-BW17</f>
        <v>-0</v>
      </c>
      <c r="BX64" s="30" t="n">
        <f aca="false">-BX17</f>
        <v>-0</v>
      </c>
      <c r="BY64" s="30" t="n">
        <f aca="false">-BY17</f>
        <v>-0</v>
      </c>
      <c r="BZ64" s="30" t="n">
        <f aca="false">-BZ17</f>
        <v>-0</v>
      </c>
      <c r="CA64" s="30" t="n">
        <f aca="false">-CA17</f>
        <v>-0</v>
      </c>
      <c r="CB64" s="30" t="n">
        <f aca="false">-CB17</f>
        <v>-0</v>
      </c>
      <c r="CC64" s="30" t="n">
        <f aca="false">-CC17</f>
        <v>-0</v>
      </c>
      <c r="CD64" s="30" t="n">
        <f aca="false">-CD17</f>
        <v>-0</v>
      </c>
      <c r="CE64" s="30" t="n">
        <f aca="false">-CE17</f>
        <v>-0</v>
      </c>
      <c r="CF64" s="30" t="n">
        <f aca="false">-CF17</f>
        <v>-0</v>
      </c>
      <c r="CG64" s="30" t="n">
        <f aca="false">-CG17</f>
        <v>-0</v>
      </c>
      <c r="CH64" s="30" t="n">
        <f aca="false">-CH17</f>
        <v>-0</v>
      </c>
      <c r="CI64" s="30" t="n">
        <f aca="false">-CI17</f>
        <v>-0</v>
      </c>
      <c r="CJ64" s="30" t="n">
        <f aca="false">-CJ17</f>
        <v>-0</v>
      </c>
      <c r="CK64" s="30" t="n">
        <f aca="false">-CK17</f>
        <v>-0</v>
      </c>
      <c r="CL64" s="30" t="n">
        <f aca="false">-CL17</f>
        <v>-0</v>
      </c>
      <c r="CM64" s="30" t="n">
        <f aca="false">-CM17</f>
        <v>-0</v>
      </c>
      <c r="CN64" s="30" t="n">
        <f aca="false">-CN17</f>
        <v>-0</v>
      </c>
      <c r="CO64" s="30" t="n">
        <f aca="false">-CO17</f>
        <v>-0</v>
      </c>
      <c r="CP64" s="30" t="n">
        <f aca="false">-CP17</f>
        <v>-0</v>
      </c>
      <c r="CQ64" s="30" t="n">
        <f aca="false">-CQ17</f>
        <v>-0</v>
      </c>
      <c r="CR64" s="30" t="n">
        <f aca="false">-CR17</f>
        <v>-0</v>
      </c>
      <c r="CS64" s="30" t="n">
        <f aca="false">-CS17</f>
        <v>-0</v>
      </c>
      <c r="CT64" s="30" t="n">
        <f aca="false">-CT17</f>
        <v>-0</v>
      </c>
      <c r="CU64" s="30" t="n">
        <f aca="false">-CU17</f>
        <v>-0</v>
      </c>
      <c r="CV64" s="30" t="n">
        <f aca="false">-CV17</f>
        <v>-0</v>
      </c>
      <c r="CW64" s="30" t="n">
        <f aca="false">-CW17</f>
        <v>-0</v>
      </c>
      <c r="CX64" s="30" t="n">
        <f aca="false">-CX17</f>
        <v>-0</v>
      </c>
      <c r="CY64" s="30" t="n">
        <f aca="false">-CY17</f>
        <v>-0</v>
      </c>
      <c r="CZ64" s="30" t="n">
        <f aca="false">-CZ17</f>
        <v>-0</v>
      </c>
      <c r="DA64" s="30" t="n">
        <f aca="false">-DA17</f>
        <v>-0</v>
      </c>
      <c r="DB64" s="30" t="n">
        <f aca="false">-DB17</f>
        <v>-0</v>
      </c>
      <c r="DC64" s="30" t="n">
        <f aca="false">-DC17</f>
        <v>-0</v>
      </c>
      <c r="DD64" s="30" t="n">
        <f aca="false">-DD17</f>
        <v>-0</v>
      </c>
      <c r="DE64" s="30" t="n">
        <f aca="false">-DE17</f>
        <v>-0</v>
      </c>
    </row>
    <row r="65" customFormat="false" ht="15" hidden="true" customHeight="true" outlineLevel="1" collapsed="false">
      <c r="A65" s="32" t="s">
        <v>12</v>
      </c>
      <c r="B65" s="30" t="n">
        <v>-2000</v>
      </c>
      <c r="C65" s="30" t="n">
        <v>0</v>
      </c>
      <c r="D65" s="30" t="n">
        <v>0</v>
      </c>
      <c r="E65" s="30" t="n">
        <v>0</v>
      </c>
      <c r="F65" s="30" t="n">
        <f aca="false">-F18</f>
        <v>-0</v>
      </c>
      <c r="G65" s="30" t="n">
        <f aca="false">-G18</f>
        <v>-0</v>
      </c>
      <c r="H65" s="30" t="n">
        <f aca="false">-H18</f>
        <v>-0</v>
      </c>
      <c r="I65" s="30" t="n">
        <f aca="false">-I18</f>
        <v>-525888.533749692</v>
      </c>
      <c r="J65" s="30" t="n">
        <f aca="false">-J18</f>
        <v>-629323.480754692</v>
      </c>
      <c r="K65" s="30" t="n">
        <f aca="false">-K18</f>
        <v>-739263.232039692</v>
      </c>
      <c r="L65" s="30" t="n">
        <f aca="false">-L18</f>
        <v>-854209.970829692</v>
      </c>
      <c r="M65" s="30" t="n">
        <f aca="false">-M18</f>
        <v>-972409.111759692</v>
      </c>
      <c r="N65" s="30" t="n">
        <f aca="false">-N18</f>
        <v>-1091720.91657969</v>
      </c>
      <c r="O65" s="30" t="n">
        <f aca="false">-O18</f>
        <v>-1209791.67321469</v>
      </c>
      <c r="P65" s="30" t="n">
        <f aca="false">-P18</f>
        <v>-1324053.69576469</v>
      </c>
      <c r="Q65" s="30" t="n">
        <f aca="false">-Q18</f>
        <v>-1431768.11926969</v>
      </c>
      <c r="R65" s="30" t="n">
        <f aca="false">-R18</f>
        <v>-1530324.46306469</v>
      </c>
      <c r="S65" s="30" t="n">
        <f aca="false">-S18</f>
        <v>-1617069.45171969</v>
      </c>
      <c r="T65" s="30" t="n">
        <f aca="false">-T18</f>
        <v>-1689649.37315969</v>
      </c>
      <c r="U65" s="30" t="n">
        <f aca="false">-U18</f>
        <v>-1746052.87342969</v>
      </c>
      <c r="V65" s="30" t="n">
        <f aca="false">-V18</f>
        <v>-1784568.16192969</v>
      </c>
      <c r="W65" s="30" t="n">
        <f aca="false">-W18</f>
        <v>-1804125.36953469</v>
      </c>
      <c r="X65" s="30" t="n">
        <f aca="false">-X18</f>
        <v>-1804125.36953469</v>
      </c>
      <c r="Y65" s="30" t="n">
        <f aca="false">-Y18</f>
        <v>-1784568.16192969</v>
      </c>
      <c r="Z65" s="30" t="n">
        <f aca="false">-Z18</f>
        <v>-1746052.87342969</v>
      </c>
      <c r="AA65" s="30" t="n">
        <f aca="false">-AA18</f>
        <v>-1689649.37315969</v>
      </c>
      <c r="AB65" s="30" t="n">
        <f aca="false">-AB18</f>
        <v>-1617069.45171969</v>
      </c>
      <c r="AC65" s="30" t="n">
        <f aca="false">-AC18</f>
        <v>-1530324.46306469</v>
      </c>
      <c r="AD65" s="30" t="n">
        <f aca="false">-AD18</f>
        <v>-1431768.11926969</v>
      </c>
      <c r="AE65" s="30" t="n">
        <f aca="false">-AE18</f>
        <v>-1324053.69576469</v>
      </c>
      <c r="AF65" s="30" t="n">
        <f aca="false">-AF18</f>
        <v>-1209791.67321469</v>
      </c>
      <c r="AG65" s="30" t="n">
        <f aca="false">-AG18</f>
        <v>-1091720.91657969</v>
      </c>
      <c r="AH65" s="30" t="n">
        <f aca="false">-AH18</f>
        <v>-972409.111759692</v>
      </c>
      <c r="AI65" s="30" t="n">
        <f aca="false">-AI18</f>
        <v>-854209.970829692</v>
      </c>
      <c r="AJ65" s="30" t="n">
        <f aca="false">-AJ18</f>
        <v>-739263.232039692</v>
      </c>
      <c r="AK65" s="30" t="n">
        <f aca="false">-AK18</f>
        <v>-629323.480754692</v>
      </c>
      <c r="AL65" s="30" t="n">
        <f aca="false">-AL18</f>
        <v>-268283.306093942</v>
      </c>
      <c r="AM65" s="30" t="n">
        <f aca="false">-AM18</f>
        <v>-0</v>
      </c>
      <c r="AN65" s="30" t="n">
        <f aca="false">-AN18</f>
        <v>-0</v>
      </c>
      <c r="AO65" s="30" t="n">
        <f aca="false">-AO18</f>
        <v>-0</v>
      </c>
      <c r="AP65" s="30" t="n">
        <f aca="false">-AP18</f>
        <v>-0</v>
      </c>
      <c r="AQ65" s="30" t="n">
        <f aca="false">-AQ18</f>
        <v>-0</v>
      </c>
      <c r="AR65" s="30" t="n">
        <f aca="false">-AR18</f>
        <v>-0</v>
      </c>
      <c r="AS65" s="30" t="n">
        <f aca="false">-AS18</f>
        <v>-0</v>
      </c>
      <c r="AT65" s="30" t="n">
        <f aca="false">-AT18</f>
        <v>-0</v>
      </c>
      <c r="AU65" s="30" t="n">
        <f aca="false">-AU18</f>
        <v>-0</v>
      </c>
      <c r="AV65" s="30" t="n">
        <f aca="false">-AV18</f>
        <v>-0</v>
      </c>
      <c r="AW65" s="30" t="n">
        <f aca="false">-AW18</f>
        <v>-0</v>
      </c>
      <c r="AX65" s="30" t="n">
        <f aca="false">-AX18</f>
        <v>-0</v>
      </c>
      <c r="AY65" s="30" t="n">
        <f aca="false">-AY18</f>
        <v>-0</v>
      </c>
      <c r="AZ65" s="30" t="n">
        <f aca="false">-AZ18</f>
        <v>-0</v>
      </c>
      <c r="BA65" s="30" t="n">
        <f aca="false">-BA18</f>
        <v>-0</v>
      </c>
      <c r="BB65" s="30" t="n">
        <f aca="false">-BB18</f>
        <v>-0</v>
      </c>
      <c r="BC65" s="30" t="n">
        <f aca="false">-BC18</f>
        <v>-0</v>
      </c>
      <c r="BD65" s="30" t="n">
        <f aca="false">-BD18</f>
        <v>-0</v>
      </c>
      <c r="BE65" s="30" t="n">
        <f aca="false">-BE18</f>
        <v>-0</v>
      </c>
      <c r="BF65" s="30" t="n">
        <f aca="false">-BF18</f>
        <v>-0</v>
      </c>
      <c r="BG65" s="30" t="n">
        <f aca="false">-BG18</f>
        <v>-0</v>
      </c>
      <c r="BH65" s="30" t="n">
        <f aca="false">-BH18</f>
        <v>-0</v>
      </c>
      <c r="BI65" s="30" t="n">
        <f aca="false">-BI18</f>
        <v>-0</v>
      </c>
      <c r="BJ65" s="30" t="n">
        <f aca="false">-BJ18</f>
        <v>-0</v>
      </c>
      <c r="BK65" s="30" t="n">
        <f aca="false">-BK18</f>
        <v>-0</v>
      </c>
      <c r="BL65" s="30" t="n">
        <f aca="false">-BL18</f>
        <v>-0</v>
      </c>
      <c r="BM65" s="30" t="n">
        <f aca="false">-BM18</f>
        <v>-0</v>
      </c>
      <c r="BN65" s="30" t="n">
        <f aca="false">-BN18</f>
        <v>-0</v>
      </c>
      <c r="BO65" s="30" t="n">
        <f aca="false">-BO18</f>
        <v>-0</v>
      </c>
      <c r="BP65" s="30" t="n">
        <f aca="false">-BP18</f>
        <v>-0</v>
      </c>
      <c r="BQ65" s="30" t="n">
        <f aca="false">-BQ18</f>
        <v>-0</v>
      </c>
      <c r="BR65" s="30" t="n">
        <f aca="false">-BR18</f>
        <v>-0</v>
      </c>
      <c r="BS65" s="30" t="n">
        <f aca="false">-BS18</f>
        <v>-0</v>
      </c>
      <c r="BT65" s="30" t="n">
        <f aca="false">-BT18</f>
        <v>-0</v>
      </c>
      <c r="BU65" s="30" t="n">
        <f aca="false">-BU18</f>
        <v>-0</v>
      </c>
      <c r="BV65" s="30" t="n">
        <f aca="false">-BV18</f>
        <v>-0</v>
      </c>
      <c r="BW65" s="30" t="n">
        <f aca="false">-BW18</f>
        <v>-0</v>
      </c>
      <c r="BX65" s="30" t="n">
        <f aca="false">-BX18</f>
        <v>-0</v>
      </c>
      <c r="BY65" s="30" t="n">
        <f aca="false">-BY18</f>
        <v>-0</v>
      </c>
      <c r="BZ65" s="30" t="n">
        <f aca="false">-BZ18</f>
        <v>-0</v>
      </c>
      <c r="CA65" s="30" t="n">
        <f aca="false">-CA18</f>
        <v>-0</v>
      </c>
      <c r="CB65" s="30" t="n">
        <f aca="false">-CB18</f>
        <v>-0</v>
      </c>
      <c r="CC65" s="30" t="n">
        <f aca="false">-CC18</f>
        <v>-0</v>
      </c>
      <c r="CD65" s="30" t="n">
        <f aca="false">-CD18</f>
        <v>-0</v>
      </c>
      <c r="CE65" s="30" t="n">
        <f aca="false">-CE18</f>
        <v>-0</v>
      </c>
      <c r="CF65" s="30" t="n">
        <f aca="false">-CF18</f>
        <v>-0</v>
      </c>
      <c r="CG65" s="30" t="n">
        <f aca="false">-CG18</f>
        <v>-0</v>
      </c>
      <c r="CH65" s="30" t="n">
        <f aca="false">-CH18</f>
        <v>-0</v>
      </c>
      <c r="CI65" s="30" t="n">
        <f aca="false">-CI18</f>
        <v>-0</v>
      </c>
      <c r="CJ65" s="30" t="n">
        <f aca="false">-CJ18</f>
        <v>-0</v>
      </c>
      <c r="CK65" s="30" t="n">
        <f aca="false">-CK18</f>
        <v>-0</v>
      </c>
      <c r="CL65" s="30" t="n">
        <f aca="false">-CL18</f>
        <v>-0</v>
      </c>
      <c r="CM65" s="30" t="n">
        <f aca="false">-CM18</f>
        <v>-0</v>
      </c>
      <c r="CN65" s="30" t="n">
        <f aca="false">-CN18</f>
        <v>-0</v>
      </c>
      <c r="CO65" s="30" t="n">
        <f aca="false">-CO18</f>
        <v>-0</v>
      </c>
      <c r="CP65" s="30" t="n">
        <f aca="false">-CP18</f>
        <v>-0</v>
      </c>
      <c r="CQ65" s="30" t="n">
        <f aca="false">-CQ18</f>
        <v>-0</v>
      </c>
      <c r="CR65" s="30" t="n">
        <f aca="false">-CR18</f>
        <v>-0</v>
      </c>
      <c r="CS65" s="30" t="n">
        <f aca="false">-CS18</f>
        <v>-0</v>
      </c>
      <c r="CT65" s="30" t="n">
        <f aca="false">-CT18</f>
        <v>-0</v>
      </c>
      <c r="CU65" s="30" t="n">
        <f aca="false">-CU18</f>
        <v>-0</v>
      </c>
      <c r="CV65" s="30" t="n">
        <f aca="false">-CV18</f>
        <v>-0</v>
      </c>
      <c r="CW65" s="30" t="n">
        <f aca="false">-CW18</f>
        <v>-0</v>
      </c>
      <c r="CX65" s="30" t="n">
        <f aca="false">-CX18</f>
        <v>-0</v>
      </c>
      <c r="CY65" s="30" t="n">
        <f aca="false">-CY18</f>
        <v>-0</v>
      </c>
      <c r="CZ65" s="30" t="n">
        <f aca="false">-CZ18</f>
        <v>-0</v>
      </c>
      <c r="DA65" s="30" t="n">
        <f aca="false">-DA18</f>
        <v>-0</v>
      </c>
      <c r="DB65" s="30" t="n">
        <f aca="false">-DB18</f>
        <v>-0</v>
      </c>
      <c r="DC65" s="30" t="n">
        <f aca="false">-DC18</f>
        <v>-0</v>
      </c>
      <c r="DD65" s="30" t="n">
        <f aca="false">-DD18</f>
        <v>-0</v>
      </c>
      <c r="DE65" s="30" t="n">
        <f aca="false">-DE18</f>
        <v>-0</v>
      </c>
    </row>
    <row r="66" customFormat="false" ht="15" hidden="true" customHeight="true" outlineLevel="1" collapsed="false">
      <c r="A66" s="32" t="s">
        <v>13</v>
      </c>
      <c r="B66" s="30" t="n">
        <v>0</v>
      </c>
      <c r="C66" s="30" t="n">
        <v>0</v>
      </c>
      <c r="D66" s="30" t="n">
        <v>0</v>
      </c>
      <c r="E66" s="30" t="n">
        <v>0</v>
      </c>
      <c r="F66" s="30" t="n">
        <f aca="false">-F19</f>
        <v>-0</v>
      </c>
      <c r="G66" s="30" t="n">
        <f aca="false">-G19</f>
        <v>-0</v>
      </c>
      <c r="H66" s="30" t="n">
        <f aca="false">-H19</f>
        <v>-0</v>
      </c>
      <c r="I66" s="30" t="n">
        <f aca="false">-I19</f>
        <v>-266339.274896073</v>
      </c>
      <c r="J66" s="30" t="n">
        <f aca="false">-J19</f>
        <v>-347472.412552273</v>
      </c>
      <c r="K66" s="30" t="n">
        <f aca="false">-K19</f>
        <v>-434803.581384323</v>
      </c>
      <c r="L66" s="30" t="n">
        <f aca="false">-L19</f>
        <v>-524850.449410823</v>
      </c>
      <c r="M66" s="30" t="n">
        <f aca="false">-M19</f>
        <v>-613286.089207123</v>
      </c>
      <c r="N66" s="30" t="n">
        <f aca="false">-N19</f>
        <v>-695198.853426323</v>
      </c>
      <c r="O66" s="30" t="n">
        <f aca="false">-O19</f>
        <v>-765560.150737073</v>
      </c>
      <c r="P66" s="30" t="n">
        <f aca="false">-P19</f>
        <v>-819705.215537423</v>
      </c>
      <c r="Q66" s="30" t="n">
        <f aca="false">-Q19</f>
        <v>-853852.858996823</v>
      </c>
      <c r="R66" s="30" t="n">
        <f aca="false">-R19</f>
        <v>-865521.269889723</v>
      </c>
      <c r="S66" s="30" t="n">
        <f aca="false">-S19</f>
        <v>-853852.858996823</v>
      </c>
      <c r="T66" s="30" t="n">
        <f aca="false">-T19</f>
        <v>-819705.215537423</v>
      </c>
      <c r="U66" s="30" t="n">
        <f aca="false">-U19</f>
        <v>-765560.150737073</v>
      </c>
      <c r="V66" s="30" t="n">
        <f aca="false">-V19</f>
        <v>-695198.853426323</v>
      </c>
      <c r="W66" s="30" t="n">
        <f aca="false">-W19</f>
        <v>-613286.089207123</v>
      </c>
      <c r="X66" s="30" t="n">
        <f aca="false">-X19</f>
        <v>-524850.449410823</v>
      </c>
      <c r="Y66" s="30" t="n">
        <f aca="false">-Y19</f>
        <v>-434803.581384323</v>
      </c>
      <c r="Z66" s="30" t="n">
        <f aca="false">-Z19</f>
        <v>-347472.412552273</v>
      </c>
      <c r="AA66" s="30" t="n">
        <f aca="false">-AA19</f>
        <v>-188122.590274295</v>
      </c>
      <c r="AB66" s="30" t="n">
        <f aca="false">-AB19</f>
        <v>-0</v>
      </c>
      <c r="AC66" s="30" t="n">
        <f aca="false">-AC19</f>
        <v>-0</v>
      </c>
      <c r="AD66" s="30" t="n">
        <f aca="false">-AD19</f>
        <v>-0</v>
      </c>
      <c r="AE66" s="30" t="n">
        <f aca="false">-AE19</f>
        <v>-0</v>
      </c>
      <c r="AF66" s="30" t="n">
        <f aca="false">-AF19</f>
        <v>-0</v>
      </c>
      <c r="AG66" s="30" t="n">
        <f aca="false">-AG19</f>
        <v>-0</v>
      </c>
      <c r="AH66" s="30" t="n">
        <f aca="false">-AH19</f>
        <v>-0</v>
      </c>
      <c r="AI66" s="30" t="n">
        <f aca="false">-AI19</f>
        <v>-0</v>
      </c>
      <c r="AJ66" s="30" t="n">
        <f aca="false">-AJ19</f>
        <v>-0</v>
      </c>
      <c r="AK66" s="30" t="n">
        <f aca="false">-AK19</f>
        <v>-0</v>
      </c>
      <c r="AL66" s="30" t="n">
        <f aca="false">-AL19</f>
        <v>-0</v>
      </c>
      <c r="AM66" s="30" t="n">
        <f aca="false">-AM19</f>
        <v>-0</v>
      </c>
      <c r="AN66" s="30" t="n">
        <f aca="false">-AN19</f>
        <v>-0</v>
      </c>
      <c r="AO66" s="30" t="n">
        <f aca="false">-AO19</f>
        <v>-0</v>
      </c>
      <c r="AP66" s="30" t="n">
        <f aca="false">-AP19</f>
        <v>-0</v>
      </c>
      <c r="AQ66" s="30" t="n">
        <f aca="false">-AQ19</f>
        <v>-0</v>
      </c>
      <c r="AR66" s="30" t="n">
        <f aca="false">-AR19</f>
        <v>-0</v>
      </c>
      <c r="AS66" s="30" t="n">
        <f aca="false">-AS19</f>
        <v>-0</v>
      </c>
      <c r="AT66" s="30" t="n">
        <f aca="false">-AT19</f>
        <v>-0</v>
      </c>
      <c r="AU66" s="30" t="n">
        <f aca="false">-AU19</f>
        <v>-0</v>
      </c>
      <c r="AV66" s="30" t="n">
        <f aca="false">-AV19</f>
        <v>-0</v>
      </c>
      <c r="AW66" s="30" t="n">
        <f aca="false">-AW19</f>
        <v>-0</v>
      </c>
      <c r="AX66" s="30" t="n">
        <f aca="false">-AX19</f>
        <v>-0</v>
      </c>
      <c r="AY66" s="30" t="n">
        <f aca="false">-AY19</f>
        <v>-0</v>
      </c>
      <c r="AZ66" s="30" t="n">
        <f aca="false">-AZ19</f>
        <v>-0</v>
      </c>
      <c r="BA66" s="30" t="n">
        <f aca="false">-BA19</f>
        <v>-0</v>
      </c>
      <c r="BB66" s="30" t="n">
        <f aca="false">-BB19</f>
        <v>-0</v>
      </c>
      <c r="BC66" s="30" t="n">
        <f aca="false">-BC19</f>
        <v>-0</v>
      </c>
      <c r="BD66" s="30" t="n">
        <f aca="false">-BD19</f>
        <v>-0</v>
      </c>
      <c r="BE66" s="30" t="n">
        <f aca="false">-BE19</f>
        <v>-0</v>
      </c>
      <c r="BF66" s="30" t="n">
        <f aca="false">-BF19</f>
        <v>-0</v>
      </c>
      <c r="BG66" s="30" t="n">
        <f aca="false">-BG19</f>
        <v>-0</v>
      </c>
      <c r="BH66" s="30" t="n">
        <f aca="false">-BH19</f>
        <v>-0</v>
      </c>
      <c r="BI66" s="30" t="n">
        <f aca="false">-BI19</f>
        <v>-0</v>
      </c>
      <c r="BJ66" s="30" t="n">
        <f aca="false">-BJ19</f>
        <v>-0</v>
      </c>
      <c r="BK66" s="30" t="n">
        <f aca="false">-BK19</f>
        <v>-0</v>
      </c>
      <c r="BL66" s="30" t="n">
        <f aca="false">-BL19</f>
        <v>-0</v>
      </c>
      <c r="BM66" s="30" t="n">
        <f aca="false">-BM19</f>
        <v>-0</v>
      </c>
      <c r="BN66" s="30" t="n">
        <f aca="false">-BN19</f>
        <v>-0</v>
      </c>
      <c r="BO66" s="30" t="n">
        <f aca="false">-BO19</f>
        <v>-0</v>
      </c>
      <c r="BP66" s="30" t="n">
        <f aca="false">-BP19</f>
        <v>-0</v>
      </c>
      <c r="BQ66" s="30" t="n">
        <f aca="false">-BQ19</f>
        <v>-0</v>
      </c>
      <c r="BR66" s="30" t="n">
        <f aca="false">-BR19</f>
        <v>-0</v>
      </c>
      <c r="BS66" s="30" t="n">
        <f aca="false">-BS19</f>
        <v>-0</v>
      </c>
      <c r="BT66" s="30" t="n">
        <f aca="false">-BT19</f>
        <v>-0</v>
      </c>
      <c r="BU66" s="30" t="n">
        <f aca="false">-BU19</f>
        <v>-0</v>
      </c>
      <c r="BV66" s="30" t="n">
        <f aca="false">-BV19</f>
        <v>-0</v>
      </c>
      <c r="BW66" s="30" t="n">
        <f aca="false">-BW19</f>
        <v>-0</v>
      </c>
      <c r="BX66" s="30" t="n">
        <f aca="false">-BX19</f>
        <v>-0</v>
      </c>
      <c r="BY66" s="30" t="n">
        <f aca="false">-BY19</f>
        <v>-0</v>
      </c>
      <c r="BZ66" s="30" t="n">
        <f aca="false">-BZ19</f>
        <v>-0</v>
      </c>
      <c r="CA66" s="30" t="n">
        <f aca="false">-CA19</f>
        <v>-0</v>
      </c>
      <c r="CB66" s="30" t="n">
        <f aca="false">-CB19</f>
        <v>-0</v>
      </c>
      <c r="CC66" s="30" t="n">
        <f aca="false">-CC19</f>
        <v>-0</v>
      </c>
      <c r="CD66" s="30" t="n">
        <f aca="false">-CD19</f>
        <v>-0</v>
      </c>
      <c r="CE66" s="30" t="n">
        <f aca="false">-CE19</f>
        <v>-0</v>
      </c>
      <c r="CF66" s="30" t="n">
        <f aca="false">-CF19</f>
        <v>-0</v>
      </c>
      <c r="CG66" s="30" t="n">
        <f aca="false">-CG19</f>
        <v>-0</v>
      </c>
      <c r="CH66" s="30" t="n">
        <f aca="false">-CH19</f>
        <v>-0</v>
      </c>
      <c r="CI66" s="30" t="n">
        <f aca="false">-CI19</f>
        <v>-0</v>
      </c>
      <c r="CJ66" s="30" t="n">
        <f aca="false">-CJ19</f>
        <v>-0</v>
      </c>
      <c r="CK66" s="30" t="n">
        <f aca="false">-CK19</f>
        <v>-0</v>
      </c>
      <c r="CL66" s="30" t="n">
        <f aca="false">-CL19</f>
        <v>-0</v>
      </c>
      <c r="CM66" s="30" t="n">
        <f aca="false">-CM19</f>
        <v>-0</v>
      </c>
      <c r="CN66" s="30" t="n">
        <f aca="false">-CN19</f>
        <v>-0</v>
      </c>
      <c r="CO66" s="30" t="n">
        <f aca="false">-CO19</f>
        <v>-0</v>
      </c>
      <c r="CP66" s="30" t="n">
        <f aca="false">-CP19</f>
        <v>-0</v>
      </c>
      <c r="CQ66" s="30" t="n">
        <f aca="false">-CQ19</f>
        <v>-0</v>
      </c>
      <c r="CR66" s="30" t="n">
        <f aca="false">-CR19</f>
        <v>-0</v>
      </c>
      <c r="CS66" s="30" t="n">
        <f aca="false">-CS19</f>
        <v>-0</v>
      </c>
      <c r="CT66" s="30" t="n">
        <f aca="false">-CT19</f>
        <v>-0</v>
      </c>
      <c r="CU66" s="30" t="n">
        <f aca="false">-CU19</f>
        <v>-0</v>
      </c>
      <c r="CV66" s="30" t="n">
        <f aca="false">-CV19</f>
        <v>-0</v>
      </c>
      <c r="CW66" s="30" t="n">
        <f aca="false">-CW19</f>
        <v>-0</v>
      </c>
      <c r="CX66" s="30" t="n">
        <f aca="false">-CX19</f>
        <v>-0</v>
      </c>
      <c r="CY66" s="30" t="n">
        <f aca="false">-CY19</f>
        <v>-0</v>
      </c>
      <c r="CZ66" s="30" t="n">
        <f aca="false">-CZ19</f>
        <v>-0</v>
      </c>
      <c r="DA66" s="30" t="n">
        <f aca="false">-DA19</f>
        <v>-0</v>
      </c>
      <c r="DB66" s="30" t="n">
        <f aca="false">-DB19</f>
        <v>-0</v>
      </c>
      <c r="DC66" s="30" t="n">
        <f aca="false">-DC19</f>
        <v>-0</v>
      </c>
      <c r="DD66" s="30" t="n">
        <f aca="false">-DD19</f>
        <v>-0</v>
      </c>
      <c r="DE66" s="30" t="n">
        <f aca="false">-DE19</f>
        <v>-0</v>
      </c>
    </row>
    <row r="67" customFormat="false" ht="15" hidden="true" customHeight="true" outlineLevel="1" collapsed="false">
      <c r="A67" s="32" t="s">
        <v>14</v>
      </c>
      <c r="B67" s="30" t="n">
        <v>0</v>
      </c>
      <c r="C67" s="30" t="n">
        <v>0</v>
      </c>
      <c r="D67" s="30" t="n">
        <v>0</v>
      </c>
      <c r="E67" s="30" t="n">
        <v>0</v>
      </c>
      <c r="F67" s="30" t="n">
        <f aca="false">-F20</f>
        <v>-0</v>
      </c>
      <c r="G67" s="30" t="n">
        <f aca="false">-G20</f>
        <v>-0</v>
      </c>
      <c r="H67" s="30" t="n">
        <f aca="false">-H20</f>
        <v>-0</v>
      </c>
      <c r="I67" s="30" t="n">
        <f aca="false">-I20</f>
        <v>-176182.053762078</v>
      </c>
      <c r="J67" s="30" t="n">
        <f aca="false">-J20</f>
        <v>-210834.608865678</v>
      </c>
      <c r="K67" s="30" t="n">
        <f aca="false">-K20</f>
        <v>-247666.389610878</v>
      </c>
      <c r="L67" s="30" t="n">
        <f aca="false">-L20</f>
        <v>-286175.600619678</v>
      </c>
      <c r="M67" s="30" t="n">
        <f aca="false">-M20</f>
        <v>-325774.424449278</v>
      </c>
      <c r="N67" s="30" t="n">
        <f aca="false">-N20</f>
        <v>-365746.010559678</v>
      </c>
      <c r="O67" s="30" t="n">
        <f aca="false">-O20</f>
        <v>-405301.823356878</v>
      </c>
      <c r="P67" s="30" t="n">
        <f aca="false">-P20</f>
        <v>-443581.642192878</v>
      </c>
      <c r="Q67" s="30" t="n">
        <f aca="false">-Q20</f>
        <v>-479667.898376478</v>
      </c>
      <c r="R67" s="30" t="n">
        <f aca="false">-R20</f>
        <v>-512686.034248878</v>
      </c>
      <c r="S67" s="30" t="n">
        <f aca="false">-S20</f>
        <v>-541747.155140478</v>
      </c>
      <c r="T67" s="30" t="n">
        <f aca="false">-T20</f>
        <v>-566062.725457278</v>
      </c>
      <c r="U67" s="30" t="n">
        <f aca="false">-U20</f>
        <v>-584958.905691678</v>
      </c>
      <c r="V67" s="30" t="n">
        <f aca="false">-V20</f>
        <v>-597862.215411678</v>
      </c>
      <c r="W67" s="30" t="n">
        <f aca="false">-W20</f>
        <v>-604414.229347278</v>
      </c>
      <c r="X67" s="30" t="n">
        <f aca="false">-X20</f>
        <v>-604414.229347278</v>
      </c>
      <c r="Y67" s="30" t="n">
        <f aca="false">-Y20</f>
        <v>-597862.215411678</v>
      </c>
      <c r="Z67" s="30" t="n">
        <f aca="false">-Z20</f>
        <v>-584958.905691678</v>
      </c>
      <c r="AA67" s="30" t="n">
        <f aca="false">-AA20</f>
        <v>-566062.725457278</v>
      </c>
      <c r="AB67" s="30" t="n">
        <f aca="false">-AB20</f>
        <v>-541747.155140478</v>
      </c>
      <c r="AC67" s="30" t="n">
        <f aca="false">-AC20</f>
        <v>-512686.034248878</v>
      </c>
      <c r="AD67" s="30" t="n">
        <f aca="false">-AD20</f>
        <v>-479667.898376478</v>
      </c>
      <c r="AE67" s="30" t="n">
        <f aca="false">-AE20</f>
        <v>-443581.642192878</v>
      </c>
      <c r="AF67" s="30" t="n">
        <f aca="false">-AF20</f>
        <v>-405301.823356878</v>
      </c>
      <c r="AG67" s="30" t="n">
        <f aca="false">-AG20</f>
        <v>-365746.010559678</v>
      </c>
      <c r="AH67" s="30" t="n">
        <f aca="false">-AH20</f>
        <v>-325774.424449278</v>
      </c>
      <c r="AI67" s="30" t="n">
        <f aca="false">-AI20</f>
        <v>-286175.600619678</v>
      </c>
      <c r="AJ67" s="30" t="n">
        <f aca="false">-AJ20</f>
        <v>-247666.389610878</v>
      </c>
      <c r="AK67" s="30" t="n">
        <f aca="false">-AK20</f>
        <v>-210834.608865678</v>
      </c>
      <c r="AL67" s="30" t="n">
        <f aca="false">-AL20</f>
        <v>-89879.700400938</v>
      </c>
      <c r="AM67" s="30" t="n">
        <f aca="false">-AM20</f>
        <v>-0</v>
      </c>
      <c r="AN67" s="30" t="n">
        <f aca="false">-AN20</f>
        <v>-0</v>
      </c>
      <c r="AO67" s="30" t="n">
        <f aca="false">-AO20</f>
        <v>-0</v>
      </c>
      <c r="AP67" s="30" t="n">
        <f aca="false">-AP20</f>
        <v>-0</v>
      </c>
      <c r="AQ67" s="30" t="n">
        <f aca="false">-AQ20</f>
        <v>-0</v>
      </c>
      <c r="AR67" s="30" t="n">
        <f aca="false">-AR20</f>
        <v>-0</v>
      </c>
      <c r="AS67" s="30" t="n">
        <f aca="false">-AS20</f>
        <v>-0</v>
      </c>
      <c r="AT67" s="30" t="n">
        <f aca="false">-AT20</f>
        <v>-0</v>
      </c>
      <c r="AU67" s="30" t="n">
        <f aca="false">-AU20</f>
        <v>-0</v>
      </c>
      <c r="AV67" s="30" t="n">
        <f aca="false">-AV20</f>
        <v>-0</v>
      </c>
      <c r="AW67" s="30" t="n">
        <f aca="false">-AW20</f>
        <v>-0</v>
      </c>
      <c r="AX67" s="30" t="n">
        <f aca="false">-AX20</f>
        <v>-0</v>
      </c>
      <c r="AY67" s="30" t="n">
        <f aca="false">-AY20</f>
        <v>-0</v>
      </c>
      <c r="AZ67" s="30" t="n">
        <f aca="false">-AZ20</f>
        <v>-0</v>
      </c>
      <c r="BA67" s="30" t="n">
        <f aca="false">-BA20</f>
        <v>-0</v>
      </c>
      <c r="BB67" s="30" t="n">
        <f aca="false">-BB20</f>
        <v>-0</v>
      </c>
      <c r="BC67" s="30" t="n">
        <f aca="false">-BC20</f>
        <v>-0</v>
      </c>
      <c r="BD67" s="30" t="n">
        <f aca="false">-BD20</f>
        <v>-0</v>
      </c>
      <c r="BE67" s="30" t="n">
        <f aca="false">-BE20</f>
        <v>-0</v>
      </c>
      <c r="BF67" s="30" t="n">
        <f aca="false">-BF20</f>
        <v>-0</v>
      </c>
      <c r="BG67" s="30" t="n">
        <f aca="false">-BG20</f>
        <v>-0</v>
      </c>
      <c r="BH67" s="30" t="n">
        <f aca="false">-BH20</f>
        <v>-0</v>
      </c>
      <c r="BI67" s="30" t="n">
        <f aca="false">-BI20</f>
        <v>-0</v>
      </c>
      <c r="BJ67" s="30" t="n">
        <f aca="false">-BJ20</f>
        <v>-0</v>
      </c>
      <c r="BK67" s="30" t="n">
        <f aca="false">-BK20</f>
        <v>-0</v>
      </c>
      <c r="BL67" s="30" t="n">
        <f aca="false">-BL20</f>
        <v>-0</v>
      </c>
      <c r="BM67" s="30" t="n">
        <f aca="false">-BM20</f>
        <v>-0</v>
      </c>
      <c r="BN67" s="30" t="n">
        <f aca="false">-BN20</f>
        <v>-0</v>
      </c>
      <c r="BO67" s="30" t="n">
        <f aca="false">-BO20</f>
        <v>-0</v>
      </c>
      <c r="BP67" s="30" t="n">
        <f aca="false">-BP20</f>
        <v>-0</v>
      </c>
      <c r="BQ67" s="30" t="n">
        <f aca="false">-BQ20</f>
        <v>-0</v>
      </c>
      <c r="BR67" s="30" t="n">
        <f aca="false">-BR20</f>
        <v>-0</v>
      </c>
      <c r="BS67" s="30" t="n">
        <f aca="false">-BS20</f>
        <v>-0</v>
      </c>
      <c r="BT67" s="30" t="n">
        <f aca="false">-BT20</f>
        <v>-0</v>
      </c>
      <c r="BU67" s="30" t="n">
        <f aca="false">-BU20</f>
        <v>-0</v>
      </c>
      <c r="BV67" s="30" t="n">
        <f aca="false">-BV20</f>
        <v>-0</v>
      </c>
      <c r="BW67" s="30" t="n">
        <f aca="false">-BW20</f>
        <v>-0</v>
      </c>
      <c r="BX67" s="30" t="n">
        <f aca="false">-BX20</f>
        <v>-0</v>
      </c>
      <c r="BY67" s="30" t="n">
        <f aca="false">-BY20</f>
        <v>-0</v>
      </c>
      <c r="BZ67" s="30" t="n">
        <f aca="false">-BZ20</f>
        <v>-0</v>
      </c>
      <c r="CA67" s="30" t="n">
        <f aca="false">-CA20</f>
        <v>-0</v>
      </c>
      <c r="CB67" s="30" t="n">
        <f aca="false">-CB20</f>
        <v>-0</v>
      </c>
      <c r="CC67" s="30" t="n">
        <f aca="false">-CC20</f>
        <v>-0</v>
      </c>
      <c r="CD67" s="30" t="n">
        <f aca="false">-CD20</f>
        <v>-0</v>
      </c>
      <c r="CE67" s="30" t="n">
        <f aca="false">-CE20</f>
        <v>-0</v>
      </c>
      <c r="CF67" s="30" t="n">
        <f aca="false">-CF20</f>
        <v>-0</v>
      </c>
      <c r="CG67" s="30" t="n">
        <f aca="false">-CG20</f>
        <v>-0</v>
      </c>
      <c r="CH67" s="30" t="n">
        <f aca="false">-CH20</f>
        <v>-0</v>
      </c>
      <c r="CI67" s="30" t="n">
        <f aca="false">-CI20</f>
        <v>-0</v>
      </c>
      <c r="CJ67" s="30" t="n">
        <f aca="false">-CJ20</f>
        <v>-0</v>
      </c>
      <c r="CK67" s="30" t="n">
        <f aca="false">-CK20</f>
        <v>-0</v>
      </c>
      <c r="CL67" s="30" t="n">
        <f aca="false">-CL20</f>
        <v>-0</v>
      </c>
      <c r="CM67" s="30" t="n">
        <f aca="false">-CM20</f>
        <v>-0</v>
      </c>
      <c r="CN67" s="30" t="n">
        <f aca="false">-CN20</f>
        <v>-0</v>
      </c>
      <c r="CO67" s="30" t="n">
        <f aca="false">-CO20</f>
        <v>-0</v>
      </c>
      <c r="CP67" s="30" t="n">
        <f aca="false">-CP20</f>
        <v>-0</v>
      </c>
      <c r="CQ67" s="30" t="n">
        <f aca="false">-CQ20</f>
        <v>-0</v>
      </c>
      <c r="CR67" s="30" t="n">
        <f aca="false">-CR20</f>
        <v>-0</v>
      </c>
      <c r="CS67" s="30" t="n">
        <f aca="false">-CS20</f>
        <v>-0</v>
      </c>
      <c r="CT67" s="30" t="n">
        <f aca="false">-CT20</f>
        <v>-0</v>
      </c>
      <c r="CU67" s="30" t="n">
        <f aca="false">-CU20</f>
        <v>-0</v>
      </c>
      <c r="CV67" s="30" t="n">
        <f aca="false">-CV20</f>
        <v>-0</v>
      </c>
      <c r="CW67" s="30" t="n">
        <f aca="false">-CW20</f>
        <v>-0</v>
      </c>
      <c r="CX67" s="30" t="n">
        <f aca="false">-CX20</f>
        <v>-0</v>
      </c>
      <c r="CY67" s="30" t="n">
        <f aca="false">-CY20</f>
        <v>-0</v>
      </c>
      <c r="CZ67" s="30" t="n">
        <f aca="false">-CZ20</f>
        <v>-0</v>
      </c>
      <c r="DA67" s="30" t="n">
        <f aca="false">-DA20</f>
        <v>-0</v>
      </c>
      <c r="DB67" s="30" t="n">
        <f aca="false">-DB20</f>
        <v>-0</v>
      </c>
      <c r="DC67" s="30" t="n">
        <f aca="false">-DC20</f>
        <v>-0</v>
      </c>
      <c r="DD67" s="30" t="n">
        <f aca="false">-DD20</f>
        <v>-0</v>
      </c>
      <c r="DE67" s="30" t="n">
        <f aca="false">-DE20</f>
        <v>-0</v>
      </c>
    </row>
    <row r="68" customFormat="false" ht="15" hidden="true" customHeight="true" outlineLevel="1" collapsed="false">
      <c r="A68" s="32" t="s">
        <v>15</v>
      </c>
      <c r="B68" s="30" t="n">
        <v>0</v>
      </c>
      <c r="C68" s="30" t="n">
        <v>0</v>
      </c>
      <c r="D68" s="30" t="n">
        <v>0</v>
      </c>
      <c r="E68" s="30" t="n">
        <v>0</v>
      </c>
      <c r="F68" s="30" t="n">
        <f aca="false">-F21</f>
        <v>-0</v>
      </c>
      <c r="G68" s="30" t="n">
        <f aca="false">-G21</f>
        <v>-0</v>
      </c>
      <c r="H68" s="30" t="n">
        <f aca="false">-H21</f>
        <v>-0</v>
      </c>
      <c r="I68" s="30" t="n">
        <f aca="false">-I21</f>
        <v>-0</v>
      </c>
      <c r="J68" s="30" t="n">
        <f aca="false">-J21</f>
        <v>-334505.743043865</v>
      </c>
      <c r="K68" s="30" t="n">
        <f aca="false">-K21</f>
        <v>-416135.954838865</v>
      </c>
      <c r="L68" s="30" t="n">
        <f aca="false">-L21</f>
        <v>-503507.285983865</v>
      </c>
      <c r="M68" s="30" t="n">
        <f aca="false">-M21</f>
        <v>-594727.293433865</v>
      </c>
      <c r="N68" s="30" t="n">
        <f aca="false">-N21</f>
        <v>-687265.631993865</v>
      </c>
      <c r="O68" s="30" t="n">
        <f aca="false">-O21</f>
        <v>-778294.268798865</v>
      </c>
      <c r="P68" s="30" t="n">
        <f aca="false">-P21</f>
        <v>-864623.693098865</v>
      </c>
      <c r="Q68" s="30" t="n">
        <f aca="false">-Q21</f>
        <v>-943000.603928865</v>
      </c>
      <c r="R68" s="30" t="n">
        <f aca="false">-R21</f>
        <v>-1010278.01734886</v>
      </c>
      <c r="S68" s="30" t="n">
        <f aca="false">-S21</f>
        <v>-1063542.84687386</v>
      </c>
      <c r="T68" s="30" t="n">
        <f aca="false">-T21</f>
        <v>-1100477.38135886</v>
      </c>
      <c r="U68" s="30" t="n">
        <f aca="false">-U21</f>
        <v>-1119380.54840386</v>
      </c>
      <c r="V68" s="30" t="n">
        <f aca="false">-V21</f>
        <v>-1119380.54840386</v>
      </c>
      <c r="W68" s="30" t="n">
        <f aca="false">-W21</f>
        <v>-1100477.38135886</v>
      </c>
      <c r="X68" s="30" t="n">
        <f aca="false">-X21</f>
        <v>-1063542.84687386</v>
      </c>
      <c r="Y68" s="30" t="n">
        <f aca="false">-Y21</f>
        <v>-1010278.01734886</v>
      </c>
      <c r="Z68" s="30" t="n">
        <f aca="false">-Z21</f>
        <v>-943000.603928865</v>
      </c>
      <c r="AA68" s="30" t="n">
        <f aca="false">-AA21</f>
        <v>-864623.693098865</v>
      </c>
      <c r="AB68" s="30" t="n">
        <f aca="false">-AB21</f>
        <v>-778294.268798865</v>
      </c>
      <c r="AC68" s="30" t="n">
        <f aca="false">-AC21</f>
        <v>-687265.631993865</v>
      </c>
      <c r="AD68" s="30" t="n">
        <f aca="false">-AD21</f>
        <v>-594727.293433865</v>
      </c>
      <c r="AE68" s="30" t="n">
        <f aca="false">-AE21</f>
        <v>-503507.285983865</v>
      </c>
      <c r="AF68" s="30" t="n">
        <f aca="false">-AF21</f>
        <v>-416135.954838865</v>
      </c>
      <c r="AG68" s="30" t="n">
        <f aca="false">-AG21</f>
        <v>-206509.613476115</v>
      </c>
      <c r="AH68" s="30" t="n">
        <f aca="false">-AH21</f>
        <v>-0</v>
      </c>
      <c r="AI68" s="30" t="n">
        <f aca="false">-AI21</f>
        <v>-0</v>
      </c>
      <c r="AJ68" s="30" t="n">
        <f aca="false">-AJ21</f>
        <v>-0</v>
      </c>
      <c r="AK68" s="30" t="n">
        <f aca="false">-AK21</f>
        <v>-0</v>
      </c>
      <c r="AL68" s="30" t="n">
        <f aca="false">-AL21</f>
        <v>-0</v>
      </c>
      <c r="AM68" s="30" t="n">
        <f aca="false">-AM21</f>
        <v>-0</v>
      </c>
      <c r="AN68" s="30" t="n">
        <f aca="false">-AN21</f>
        <v>-0</v>
      </c>
      <c r="AO68" s="30" t="n">
        <f aca="false">-AO21</f>
        <v>-0</v>
      </c>
      <c r="AP68" s="30" t="n">
        <f aca="false">-AP21</f>
        <v>-0</v>
      </c>
      <c r="AQ68" s="30" t="n">
        <f aca="false">-AQ21</f>
        <v>-0</v>
      </c>
      <c r="AR68" s="30" t="n">
        <f aca="false">-AR21</f>
        <v>-0</v>
      </c>
      <c r="AS68" s="30" t="n">
        <f aca="false">-AS21</f>
        <v>-0</v>
      </c>
      <c r="AT68" s="30" t="n">
        <f aca="false">-AT21</f>
        <v>-0</v>
      </c>
      <c r="AU68" s="30" t="n">
        <f aca="false">-AU21</f>
        <v>-0</v>
      </c>
      <c r="AV68" s="30" t="n">
        <f aca="false">-AV21</f>
        <v>-0</v>
      </c>
      <c r="AW68" s="30" t="n">
        <f aca="false">-AW21</f>
        <v>-0</v>
      </c>
      <c r="AX68" s="30" t="n">
        <f aca="false">-AX21</f>
        <v>-0</v>
      </c>
      <c r="AY68" s="30" t="n">
        <f aca="false">-AY21</f>
        <v>-0</v>
      </c>
      <c r="AZ68" s="30" t="n">
        <f aca="false">-AZ21</f>
        <v>-0</v>
      </c>
      <c r="BA68" s="30" t="n">
        <f aca="false">-BA21</f>
        <v>-0</v>
      </c>
      <c r="BB68" s="30" t="n">
        <f aca="false">-BB21</f>
        <v>-0</v>
      </c>
      <c r="BC68" s="30" t="n">
        <f aca="false">-BC21</f>
        <v>-0</v>
      </c>
      <c r="BD68" s="30" t="n">
        <f aca="false">-BD21</f>
        <v>-0</v>
      </c>
      <c r="BE68" s="30" t="n">
        <f aca="false">-BE21</f>
        <v>-0</v>
      </c>
      <c r="BF68" s="30" t="n">
        <f aca="false">-BF21</f>
        <v>-0</v>
      </c>
      <c r="BG68" s="30" t="n">
        <f aca="false">-BG21</f>
        <v>-0</v>
      </c>
      <c r="BH68" s="30" t="n">
        <f aca="false">-BH21</f>
        <v>-0</v>
      </c>
      <c r="BI68" s="30" t="n">
        <f aca="false">-BI21</f>
        <v>-0</v>
      </c>
      <c r="BJ68" s="30" t="n">
        <f aca="false">-BJ21</f>
        <v>-0</v>
      </c>
      <c r="BK68" s="30" t="n">
        <f aca="false">-BK21</f>
        <v>-0</v>
      </c>
      <c r="BL68" s="30" t="n">
        <f aca="false">-BL21</f>
        <v>-0</v>
      </c>
      <c r="BM68" s="30" t="n">
        <f aca="false">-BM21</f>
        <v>-0</v>
      </c>
      <c r="BN68" s="30" t="n">
        <f aca="false">-BN21</f>
        <v>-0</v>
      </c>
      <c r="BO68" s="30" t="n">
        <f aca="false">-BO21</f>
        <v>-0</v>
      </c>
      <c r="BP68" s="30" t="n">
        <f aca="false">-BP21</f>
        <v>-0</v>
      </c>
      <c r="BQ68" s="30" t="n">
        <f aca="false">-BQ21</f>
        <v>-0</v>
      </c>
      <c r="BR68" s="30" t="n">
        <f aca="false">-BR21</f>
        <v>-0</v>
      </c>
      <c r="BS68" s="30" t="n">
        <f aca="false">-BS21</f>
        <v>-0</v>
      </c>
      <c r="BT68" s="30" t="n">
        <f aca="false">-BT21</f>
        <v>-0</v>
      </c>
      <c r="BU68" s="30" t="n">
        <f aca="false">-BU21</f>
        <v>-0</v>
      </c>
      <c r="BV68" s="30" t="n">
        <f aca="false">-BV21</f>
        <v>-0</v>
      </c>
      <c r="BW68" s="30" t="n">
        <f aca="false">-BW21</f>
        <v>-0</v>
      </c>
      <c r="BX68" s="30" t="n">
        <f aca="false">-BX21</f>
        <v>-0</v>
      </c>
      <c r="BY68" s="30" t="n">
        <f aca="false">-BY21</f>
        <v>-0</v>
      </c>
      <c r="BZ68" s="30" t="n">
        <f aca="false">-BZ21</f>
        <v>-0</v>
      </c>
      <c r="CA68" s="30" t="n">
        <f aca="false">-CA21</f>
        <v>-0</v>
      </c>
      <c r="CB68" s="30" t="n">
        <f aca="false">-CB21</f>
        <v>-0</v>
      </c>
      <c r="CC68" s="30" t="n">
        <f aca="false">-CC21</f>
        <v>-0</v>
      </c>
      <c r="CD68" s="30" t="n">
        <f aca="false">-CD21</f>
        <v>-0</v>
      </c>
      <c r="CE68" s="30" t="n">
        <f aca="false">-CE21</f>
        <v>-0</v>
      </c>
      <c r="CF68" s="30" t="n">
        <f aca="false">-CF21</f>
        <v>-0</v>
      </c>
      <c r="CG68" s="30" t="n">
        <f aca="false">-CG21</f>
        <v>-0</v>
      </c>
      <c r="CH68" s="30" t="n">
        <f aca="false">-CH21</f>
        <v>-0</v>
      </c>
      <c r="CI68" s="30" t="n">
        <f aca="false">-CI21</f>
        <v>-0</v>
      </c>
      <c r="CJ68" s="30" t="n">
        <f aca="false">-CJ21</f>
        <v>-0</v>
      </c>
      <c r="CK68" s="30" t="n">
        <f aca="false">-CK21</f>
        <v>-0</v>
      </c>
      <c r="CL68" s="30" t="n">
        <f aca="false">-CL21</f>
        <v>-0</v>
      </c>
      <c r="CM68" s="30" t="n">
        <f aca="false">-CM21</f>
        <v>-0</v>
      </c>
      <c r="CN68" s="30" t="n">
        <f aca="false">-CN21</f>
        <v>-0</v>
      </c>
      <c r="CO68" s="30" t="n">
        <f aca="false">-CO21</f>
        <v>-0</v>
      </c>
      <c r="CP68" s="30" t="n">
        <f aca="false">-CP21</f>
        <v>-0</v>
      </c>
      <c r="CQ68" s="30" t="n">
        <f aca="false">-CQ21</f>
        <v>-0</v>
      </c>
      <c r="CR68" s="30" t="n">
        <f aca="false">-CR21</f>
        <v>-0</v>
      </c>
      <c r="CS68" s="30" t="n">
        <f aca="false">-CS21</f>
        <v>-0</v>
      </c>
      <c r="CT68" s="30" t="n">
        <f aca="false">-CT21</f>
        <v>-0</v>
      </c>
      <c r="CU68" s="30" t="n">
        <f aca="false">-CU21</f>
        <v>-0</v>
      </c>
      <c r="CV68" s="30" t="n">
        <f aca="false">-CV21</f>
        <v>-0</v>
      </c>
      <c r="CW68" s="30" t="n">
        <f aca="false">-CW21</f>
        <v>-0</v>
      </c>
      <c r="CX68" s="30" t="n">
        <f aca="false">-CX21</f>
        <v>-0</v>
      </c>
      <c r="CY68" s="30" t="n">
        <f aca="false">-CY21</f>
        <v>-0</v>
      </c>
      <c r="CZ68" s="30" t="n">
        <f aca="false">-CZ21</f>
        <v>-0</v>
      </c>
      <c r="DA68" s="30" t="n">
        <f aca="false">-DA21</f>
        <v>-0</v>
      </c>
      <c r="DB68" s="30" t="n">
        <f aca="false">-DB21</f>
        <v>-0</v>
      </c>
      <c r="DC68" s="30" t="n">
        <f aca="false">-DC21</f>
        <v>-0</v>
      </c>
      <c r="DD68" s="30" t="n">
        <f aca="false">-DD21</f>
        <v>-0</v>
      </c>
      <c r="DE68" s="30" t="n">
        <f aca="false">-DE21</f>
        <v>-0</v>
      </c>
    </row>
    <row r="69" customFormat="false" ht="15" hidden="true" customHeight="true" outlineLevel="1" collapsed="false">
      <c r="A69" s="32" t="s">
        <v>16</v>
      </c>
      <c r="B69" s="30" t="n">
        <v>0</v>
      </c>
      <c r="C69" s="30" t="n">
        <v>0</v>
      </c>
      <c r="D69" s="30" t="n">
        <v>0</v>
      </c>
      <c r="E69" s="30" t="n">
        <v>0</v>
      </c>
      <c r="F69" s="30" t="n">
        <f aca="false">-F22</f>
        <v>-0</v>
      </c>
      <c r="G69" s="30" t="n">
        <f aca="false">-G22</f>
        <v>-0</v>
      </c>
      <c r="H69" s="30" t="n">
        <f aca="false">-H22</f>
        <v>-0</v>
      </c>
      <c r="I69" s="30" t="n">
        <f aca="false">-I22</f>
        <v>-0</v>
      </c>
      <c r="J69" s="30" t="n">
        <f aca="false">-J22</f>
        <v>-0</v>
      </c>
      <c r="K69" s="30" t="n">
        <f aca="false">-K22</f>
        <v>-196306.31287205</v>
      </c>
      <c r="L69" s="30" t="n">
        <f aca="false">-L22</f>
        <v>-256105.78146805</v>
      </c>
      <c r="M69" s="30" t="n">
        <f aca="false">-M22</f>
        <v>-320473.53105705</v>
      </c>
      <c r="N69" s="30" t="n">
        <f aca="false">-N22</f>
        <v>-386842.89642705</v>
      </c>
      <c r="O69" s="30" t="n">
        <f aca="false">-O22</f>
        <v>-452024.70028105</v>
      </c>
      <c r="P69" s="30" t="n">
        <f aca="false">-P22</f>
        <v>-512398.79541705</v>
      </c>
      <c r="Q69" s="30" t="n">
        <f aca="false">-Q22</f>
        <v>-564258.84065205</v>
      </c>
      <c r="R69" s="30" t="n">
        <f aca="false">-R22</f>
        <v>-604166.65385505</v>
      </c>
      <c r="S69" s="30" t="n">
        <f aca="false">-S22</f>
        <v>-629335.29630705</v>
      </c>
      <c r="T69" s="30" t="n">
        <f aca="false">-T22</f>
        <v>-637935.54018905</v>
      </c>
      <c r="U69" s="30" t="n">
        <f aca="false">-U22</f>
        <v>-629335.29630705</v>
      </c>
      <c r="V69" s="30" t="n">
        <f aca="false">-V22</f>
        <v>-604166.65385505</v>
      </c>
      <c r="W69" s="30" t="n">
        <f aca="false">-W22</f>
        <v>-564258.84065205</v>
      </c>
      <c r="X69" s="30" t="n">
        <f aca="false">-X22</f>
        <v>-512398.79541705</v>
      </c>
      <c r="Y69" s="30" t="n">
        <f aca="false">-Y22</f>
        <v>-452024.70028105</v>
      </c>
      <c r="Z69" s="30" t="n">
        <f aca="false">-Z22</f>
        <v>-386842.89642705</v>
      </c>
      <c r="AA69" s="30" t="n">
        <f aca="false">-AA22</f>
        <v>-320473.53105705</v>
      </c>
      <c r="AB69" s="30" t="n">
        <f aca="false">-AB22</f>
        <v>-256105.78146805</v>
      </c>
      <c r="AC69" s="30" t="n">
        <f aca="false">-AC22</f>
        <v>-138656.4263911</v>
      </c>
      <c r="AD69" s="30" t="n">
        <f aca="false">-AD22</f>
        <v>-0</v>
      </c>
      <c r="AE69" s="30" t="n">
        <f aca="false">-AE22</f>
        <v>-0</v>
      </c>
      <c r="AF69" s="30" t="n">
        <f aca="false">-AF22</f>
        <v>-0</v>
      </c>
      <c r="AG69" s="30" t="n">
        <f aca="false">-AG22</f>
        <v>-0</v>
      </c>
      <c r="AH69" s="30" t="n">
        <f aca="false">-AH22</f>
        <v>-0</v>
      </c>
      <c r="AI69" s="30" t="n">
        <f aca="false">-AI22</f>
        <v>-0</v>
      </c>
      <c r="AJ69" s="30" t="n">
        <f aca="false">-AJ22</f>
        <v>-0</v>
      </c>
      <c r="AK69" s="30" t="n">
        <f aca="false">-AK22</f>
        <v>-0</v>
      </c>
      <c r="AL69" s="30" t="n">
        <f aca="false">-AL22</f>
        <v>-0</v>
      </c>
      <c r="AM69" s="30" t="n">
        <f aca="false">-AM22</f>
        <v>-0</v>
      </c>
      <c r="AN69" s="30" t="n">
        <f aca="false">-AN22</f>
        <v>-0</v>
      </c>
      <c r="AO69" s="30" t="n">
        <f aca="false">-AO22</f>
        <v>-0</v>
      </c>
      <c r="AP69" s="30" t="n">
        <f aca="false">-AP22</f>
        <v>-0</v>
      </c>
      <c r="AQ69" s="30" t="n">
        <f aca="false">-AQ22</f>
        <v>-0</v>
      </c>
      <c r="AR69" s="30" t="n">
        <f aca="false">-AR22</f>
        <v>-0</v>
      </c>
      <c r="AS69" s="30" t="n">
        <f aca="false">-AS22</f>
        <v>-0</v>
      </c>
      <c r="AT69" s="30" t="n">
        <f aca="false">-AT22</f>
        <v>-0</v>
      </c>
      <c r="AU69" s="30" t="n">
        <f aca="false">-AU22</f>
        <v>-0</v>
      </c>
      <c r="AV69" s="30" t="n">
        <f aca="false">-AV22</f>
        <v>-0</v>
      </c>
      <c r="AW69" s="30" t="n">
        <f aca="false">-AW22</f>
        <v>-0</v>
      </c>
      <c r="AX69" s="30" t="n">
        <f aca="false">-AX22</f>
        <v>-0</v>
      </c>
      <c r="AY69" s="30" t="n">
        <f aca="false">-AY22</f>
        <v>-0</v>
      </c>
      <c r="AZ69" s="30" t="n">
        <f aca="false">-AZ22</f>
        <v>-0</v>
      </c>
      <c r="BA69" s="30" t="n">
        <f aca="false">-BA22</f>
        <v>-0</v>
      </c>
      <c r="BB69" s="30" t="n">
        <f aca="false">-BB22</f>
        <v>-0</v>
      </c>
      <c r="BC69" s="30" t="n">
        <f aca="false">-BC22</f>
        <v>-0</v>
      </c>
      <c r="BD69" s="30" t="n">
        <f aca="false">-BD22</f>
        <v>-0</v>
      </c>
      <c r="BE69" s="30" t="n">
        <f aca="false">-BE22</f>
        <v>-0</v>
      </c>
      <c r="BF69" s="30" t="n">
        <f aca="false">-BF22</f>
        <v>-0</v>
      </c>
      <c r="BG69" s="30" t="n">
        <f aca="false">-BG22</f>
        <v>-0</v>
      </c>
      <c r="BH69" s="30" t="n">
        <f aca="false">-BH22</f>
        <v>-0</v>
      </c>
      <c r="BI69" s="30" t="n">
        <f aca="false">-BI22</f>
        <v>-0</v>
      </c>
      <c r="BJ69" s="30" t="n">
        <f aca="false">-BJ22</f>
        <v>-0</v>
      </c>
      <c r="BK69" s="30" t="n">
        <f aca="false">-BK22</f>
        <v>-0</v>
      </c>
      <c r="BL69" s="30" t="n">
        <f aca="false">-BL22</f>
        <v>-0</v>
      </c>
      <c r="BM69" s="30" t="n">
        <f aca="false">-BM22</f>
        <v>-0</v>
      </c>
      <c r="BN69" s="30" t="n">
        <f aca="false">-BN22</f>
        <v>-0</v>
      </c>
      <c r="BO69" s="30" t="n">
        <f aca="false">-BO22</f>
        <v>-0</v>
      </c>
      <c r="BP69" s="30" t="n">
        <f aca="false">-BP22</f>
        <v>-0</v>
      </c>
      <c r="BQ69" s="30" t="n">
        <f aca="false">-BQ22</f>
        <v>-0</v>
      </c>
      <c r="BR69" s="30" t="n">
        <f aca="false">-BR22</f>
        <v>-0</v>
      </c>
      <c r="BS69" s="30" t="n">
        <f aca="false">-BS22</f>
        <v>-0</v>
      </c>
      <c r="BT69" s="30" t="n">
        <f aca="false">-BT22</f>
        <v>-0</v>
      </c>
      <c r="BU69" s="30" t="n">
        <f aca="false">-BU22</f>
        <v>-0</v>
      </c>
      <c r="BV69" s="30" t="n">
        <f aca="false">-BV22</f>
        <v>-0</v>
      </c>
      <c r="BW69" s="30" t="n">
        <f aca="false">-BW22</f>
        <v>-0</v>
      </c>
      <c r="BX69" s="30" t="n">
        <f aca="false">-BX22</f>
        <v>-0</v>
      </c>
      <c r="BY69" s="30" t="n">
        <f aca="false">-BY22</f>
        <v>-0</v>
      </c>
      <c r="BZ69" s="30" t="n">
        <f aca="false">-BZ22</f>
        <v>-0</v>
      </c>
      <c r="CA69" s="30" t="n">
        <f aca="false">-CA22</f>
        <v>-0</v>
      </c>
      <c r="CB69" s="30" t="n">
        <f aca="false">-CB22</f>
        <v>-0</v>
      </c>
      <c r="CC69" s="30" t="n">
        <f aca="false">-CC22</f>
        <v>-0</v>
      </c>
      <c r="CD69" s="30" t="n">
        <f aca="false">-CD22</f>
        <v>-0</v>
      </c>
      <c r="CE69" s="30" t="n">
        <f aca="false">-CE22</f>
        <v>-0</v>
      </c>
      <c r="CF69" s="30" t="n">
        <f aca="false">-CF22</f>
        <v>-0</v>
      </c>
      <c r="CG69" s="30" t="n">
        <f aca="false">-CG22</f>
        <v>-0</v>
      </c>
      <c r="CH69" s="30" t="n">
        <f aca="false">-CH22</f>
        <v>-0</v>
      </c>
      <c r="CI69" s="30" t="n">
        <f aca="false">-CI22</f>
        <v>-0</v>
      </c>
      <c r="CJ69" s="30" t="n">
        <f aca="false">-CJ22</f>
        <v>-0</v>
      </c>
      <c r="CK69" s="30" t="n">
        <f aca="false">-CK22</f>
        <v>-0</v>
      </c>
      <c r="CL69" s="30" t="n">
        <f aca="false">-CL22</f>
        <v>-0</v>
      </c>
      <c r="CM69" s="30" t="n">
        <f aca="false">-CM22</f>
        <v>-0</v>
      </c>
      <c r="CN69" s="30" t="n">
        <f aca="false">-CN22</f>
        <v>-0</v>
      </c>
      <c r="CO69" s="30" t="n">
        <f aca="false">-CO22</f>
        <v>-0</v>
      </c>
      <c r="CP69" s="30" t="n">
        <f aca="false">-CP22</f>
        <v>-0</v>
      </c>
      <c r="CQ69" s="30" t="n">
        <f aca="false">-CQ22</f>
        <v>-0</v>
      </c>
      <c r="CR69" s="30" t="n">
        <f aca="false">-CR22</f>
        <v>-0</v>
      </c>
      <c r="CS69" s="30" t="n">
        <f aca="false">-CS22</f>
        <v>-0</v>
      </c>
      <c r="CT69" s="30" t="n">
        <f aca="false">-CT22</f>
        <v>-0</v>
      </c>
      <c r="CU69" s="30" t="n">
        <f aca="false">-CU22</f>
        <v>-0</v>
      </c>
      <c r="CV69" s="30" t="n">
        <f aca="false">-CV22</f>
        <v>-0</v>
      </c>
      <c r="CW69" s="30" t="n">
        <f aca="false">-CW22</f>
        <v>-0</v>
      </c>
      <c r="CX69" s="30" t="n">
        <f aca="false">-CX22</f>
        <v>-0</v>
      </c>
      <c r="CY69" s="30" t="n">
        <f aca="false">-CY22</f>
        <v>-0</v>
      </c>
      <c r="CZ69" s="30" t="n">
        <f aca="false">-CZ22</f>
        <v>-0</v>
      </c>
      <c r="DA69" s="30" t="n">
        <f aca="false">-DA22</f>
        <v>-0</v>
      </c>
      <c r="DB69" s="30" t="n">
        <f aca="false">-DB22</f>
        <v>-0</v>
      </c>
      <c r="DC69" s="30" t="n">
        <f aca="false">-DC22</f>
        <v>-0</v>
      </c>
      <c r="DD69" s="30" t="n">
        <f aca="false">-DD22</f>
        <v>-0</v>
      </c>
      <c r="DE69" s="30" t="n">
        <f aca="false">-DE22</f>
        <v>-0</v>
      </c>
    </row>
    <row r="70" customFormat="false" ht="15" hidden="true" customHeight="true" outlineLevel="1" collapsed="false">
      <c r="A70" s="32" t="s">
        <v>17</v>
      </c>
      <c r="B70" s="30" t="n">
        <v>0</v>
      </c>
      <c r="C70" s="30" t="n">
        <v>0</v>
      </c>
      <c r="D70" s="30" t="n">
        <v>0</v>
      </c>
      <c r="E70" s="30" t="n">
        <v>0</v>
      </c>
      <c r="F70" s="30" t="n">
        <f aca="false">-F23</f>
        <v>-0</v>
      </c>
      <c r="G70" s="30" t="n">
        <f aca="false">-G23</f>
        <v>-0</v>
      </c>
      <c r="H70" s="30" t="n">
        <f aca="false">-H23</f>
        <v>-0</v>
      </c>
      <c r="I70" s="30" t="n">
        <f aca="false">-I23</f>
        <v>-0</v>
      </c>
      <c r="J70" s="30" t="n">
        <f aca="false">-J23</f>
        <v>-0</v>
      </c>
      <c r="K70" s="30" t="n">
        <f aca="false">-K23</f>
        <v>-154657.42123235</v>
      </c>
      <c r="L70" s="30" t="n">
        <f aca="false">-L23</f>
        <v>-201769.66876435</v>
      </c>
      <c r="M70" s="30" t="n">
        <f aca="false">-M23</f>
        <v>-252480.97812735</v>
      </c>
      <c r="N70" s="30" t="n">
        <f aca="false">-N23</f>
        <v>-304769.23491735</v>
      </c>
      <c r="O70" s="30" t="n">
        <f aca="false">-O23</f>
        <v>-356121.88653535</v>
      </c>
      <c r="P70" s="30" t="n">
        <f aca="false">-P23</f>
        <v>-403686.84624735</v>
      </c>
      <c r="Q70" s="30" t="n">
        <f aca="false">-Q23</f>
        <v>-444544.12049235</v>
      </c>
      <c r="R70" s="30" t="n">
        <f aca="false">-R23</f>
        <v>-475984.98139335</v>
      </c>
      <c r="S70" s="30" t="n">
        <f aca="false">-S23</f>
        <v>-495813.77487735</v>
      </c>
      <c r="T70" s="30" t="n">
        <f aca="false">-T23</f>
        <v>-502589.36717135</v>
      </c>
      <c r="U70" s="30" t="n">
        <f aca="false">-U23</f>
        <v>-495813.77487735</v>
      </c>
      <c r="V70" s="30" t="n">
        <f aca="false">-V23</f>
        <v>-475984.98139335</v>
      </c>
      <c r="W70" s="30" t="n">
        <f aca="false">-W23</f>
        <v>-444544.12049235</v>
      </c>
      <c r="X70" s="30" t="n">
        <f aca="false">-X23</f>
        <v>-403686.84624735</v>
      </c>
      <c r="Y70" s="30" t="n">
        <f aca="false">-Y23</f>
        <v>-356121.88653535</v>
      </c>
      <c r="Z70" s="30" t="n">
        <f aca="false">-Z23</f>
        <v>-304769.23491735</v>
      </c>
      <c r="AA70" s="30" t="n">
        <f aca="false">-AA23</f>
        <v>-252480.97812735</v>
      </c>
      <c r="AB70" s="30" t="n">
        <f aca="false">-AB23</f>
        <v>-201769.66876435</v>
      </c>
      <c r="AC70" s="30" t="n">
        <f aca="false">-AC23</f>
        <v>-109238.6945137</v>
      </c>
      <c r="AD70" s="30" t="n">
        <f aca="false">-AD23</f>
        <v>-0</v>
      </c>
      <c r="AE70" s="30" t="n">
        <f aca="false">-AE23</f>
        <v>-0</v>
      </c>
      <c r="AF70" s="30" t="n">
        <f aca="false">-AF23</f>
        <v>-0</v>
      </c>
      <c r="AG70" s="30" t="n">
        <f aca="false">-AG23</f>
        <v>-0</v>
      </c>
      <c r="AH70" s="30" t="n">
        <f aca="false">-AH23</f>
        <v>-0</v>
      </c>
      <c r="AI70" s="30" t="n">
        <f aca="false">-AI23</f>
        <v>-0</v>
      </c>
      <c r="AJ70" s="30" t="n">
        <f aca="false">-AJ23</f>
        <v>-0</v>
      </c>
      <c r="AK70" s="30" t="n">
        <f aca="false">-AK23</f>
        <v>-0</v>
      </c>
      <c r="AL70" s="30" t="n">
        <f aca="false">-AL23</f>
        <v>-0</v>
      </c>
      <c r="AM70" s="30" t="n">
        <f aca="false">-AM23</f>
        <v>-0</v>
      </c>
      <c r="AN70" s="30" t="n">
        <f aca="false">-AN23</f>
        <v>-0</v>
      </c>
      <c r="AO70" s="30" t="n">
        <f aca="false">-AO23</f>
        <v>-0</v>
      </c>
      <c r="AP70" s="30" t="n">
        <f aca="false">-AP23</f>
        <v>-0</v>
      </c>
      <c r="AQ70" s="30" t="n">
        <f aca="false">-AQ23</f>
        <v>-0</v>
      </c>
      <c r="AR70" s="30" t="n">
        <f aca="false">-AR23</f>
        <v>-0</v>
      </c>
      <c r="AS70" s="30" t="n">
        <f aca="false">-AS23</f>
        <v>-0</v>
      </c>
      <c r="AT70" s="30" t="n">
        <f aca="false">-AT23</f>
        <v>-0</v>
      </c>
      <c r="AU70" s="30" t="n">
        <f aca="false">-AU23</f>
        <v>-0</v>
      </c>
      <c r="AV70" s="30" t="n">
        <f aca="false">-AV23</f>
        <v>-0</v>
      </c>
      <c r="AW70" s="30" t="n">
        <f aca="false">-AW23</f>
        <v>-0</v>
      </c>
      <c r="AX70" s="30" t="n">
        <f aca="false">-AX23</f>
        <v>-0</v>
      </c>
      <c r="AY70" s="30" t="n">
        <f aca="false">-AY23</f>
        <v>-0</v>
      </c>
      <c r="AZ70" s="30" t="n">
        <f aca="false">-AZ23</f>
        <v>-0</v>
      </c>
      <c r="BA70" s="30" t="n">
        <f aca="false">-BA23</f>
        <v>-0</v>
      </c>
      <c r="BB70" s="30" t="n">
        <f aca="false">-BB23</f>
        <v>-0</v>
      </c>
      <c r="BC70" s="30" t="n">
        <f aca="false">-BC23</f>
        <v>-0</v>
      </c>
      <c r="BD70" s="30" t="n">
        <f aca="false">-BD23</f>
        <v>-0</v>
      </c>
      <c r="BE70" s="30" t="n">
        <f aca="false">-BE23</f>
        <v>-0</v>
      </c>
      <c r="BF70" s="30" t="n">
        <f aca="false">-BF23</f>
        <v>-0</v>
      </c>
      <c r="BG70" s="30" t="n">
        <f aca="false">-BG23</f>
        <v>-0</v>
      </c>
      <c r="BH70" s="30" t="n">
        <f aca="false">-BH23</f>
        <v>-0</v>
      </c>
      <c r="BI70" s="30" t="n">
        <f aca="false">-BI23</f>
        <v>-0</v>
      </c>
      <c r="BJ70" s="30" t="n">
        <f aca="false">-BJ23</f>
        <v>-0</v>
      </c>
      <c r="BK70" s="30" t="n">
        <f aca="false">-BK23</f>
        <v>-0</v>
      </c>
      <c r="BL70" s="30" t="n">
        <f aca="false">-BL23</f>
        <v>-0</v>
      </c>
      <c r="BM70" s="30" t="n">
        <f aca="false">-BM23</f>
        <v>-0</v>
      </c>
      <c r="BN70" s="30" t="n">
        <f aca="false">-BN23</f>
        <v>-0</v>
      </c>
      <c r="BO70" s="30" t="n">
        <f aca="false">-BO23</f>
        <v>-0</v>
      </c>
      <c r="BP70" s="30" t="n">
        <f aca="false">-BP23</f>
        <v>-0</v>
      </c>
      <c r="BQ70" s="30" t="n">
        <f aca="false">-BQ23</f>
        <v>-0</v>
      </c>
      <c r="BR70" s="30" t="n">
        <f aca="false">-BR23</f>
        <v>-0</v>
      </c>
      <c r="BS70" s="30" t="n">
        <f aca="false">-BS23</f>
        <v>-0</v>
      </c>
      <c r="BT70" s="30" t="n">
        <f aca="false">-BT23</f>
        <v>-0</v>
      </c>
      <c r="BU70" s="30" t="n">
        <f aca="false">-BU23</f>
        <v>-0</v>
      </c>
      <c r="BV70" s="30" t="n">
        <f aca="false">-BV23</f>
        <v>-0</v>
      </c>
      <c r="BW70" s="30" t="n">
        <f aca="false">-BW23</f>
        <v>-0</v>
      </c>
      <c r="BX70" s="30" t="n">
        <f aca="false">-BX23</f>
        <v>-0</v>
      </c>
      <c r="BY70" s="30" t="n">
        <f aca="false">-BY23</f>
        <v>-0</v>
      </c>
      <c r="BZ70" s="30" t="n">
        <f aca="false">-BZ23</f>
        <v>-0</v>
      </c>
      <c r="CA70" s="30" t="n">
        <f aca="false">-CA23</f>
        <v>-0</v>
      </c>
      <c r="CB70" s="30" t="n">
        <f aca="false">-CB23</f>
        <v>-0</v>
      </c>
      <c r="CC70" s="30" t="n">
        <f aca="false">-CC23</f>
        <v>-0</v>
      </c>
      <c r="CD70" s="30" t="n">
        <f aca="false">-CD23</f>
        <v>-0</v>
      </c>
      <c r="CE70" s="30" t="n">
        <f aca="false">-CE23</f>
        <v>-0</v>
      </c>
      <c r="CF70" s="30" t="n">
        <f aca="false">-CF23</f>
        <v>-0</v>
      </c>
      <c r="CG70" s="30" t="n">
        <f aca="false">-CG23</f>
        <v>-0</v>
      </c>
      <c r="CH70" s="30" t="n">
        <f aca="false">-CH23</f>
        <v>-0</v>
      </c>
      <c r="CI70" s="30" t="n">
        <f aca="false">-CI23</f>
        <v>-0</v>
      </c>
      <c r="CJ70" s="30" t="n">
        <f aca="false">-CJ23</f>
        <v>-0</v>
      </c>
      <c r="CK70" s="30" t="n">
        <f aca="false">-CK23</f>
        <v>-0</v>
      </c>
      <c r="CL70" s="30" t="n">
        <f aca="false">-CL23</f>
        <v>-0</v>
      </c>
      <c r="CM70" s="30" t="n">
        <f aca="false">-CM23</f>
        <v>-0</v>
      </c>
      <c r="CN70" s="30" t="n">
        <f aca="false">-CN23</f>
        <v>-0</v>
      </c>
      <c r="CO70" s="30" t="n">
        <f aca="false">-CO23</f>
        <v>-0</v>
      </c>
      <c r="CP70" s="30" t="n">
        <f aca="false">-CP23</f>
        <v>-0</v>
      </c>
      <c r="CQ70" s="30" t="n">
        <f aca="false">-CQ23</f>
        <v>-0</v>
      </c>
      <c r="CR70" s="30" t="n">
        <f aca="false">-CR23</f>
        <v>-0</v>
      </c>
      <c r="CS70" s="30" t="n">
        <f aca="false">-CS23</f>
        <v>-0</v>
      </c>
      <c r="CT70" s="30" t="n">
        <f aca="false">-CT23</f>
        <v>-0</v>
      </c>
      <c r="CU70" s="30" t="n">
        <f aca="false">-CU23</f>
        <v>-0</v>
      </c>
      <c r="CV70" s="30" t="n">
        <f aca="false">-CV23</f>
        <v>-0</v>
      </c>
      <c r="CW70" s="30" t="n">
        <f aca="false">-CW23</f>
        <v>-0</v>
      </c>
      <c r="CX70" s="30" t="n">
        <f aca="false">-CX23</f>
        <v>-0</v>
      </c>
      <c r="CY70" s="30" t="n">
        <f aca="false">-CY23</f>
        <v>-0</v>
      </c>
      <c r="CZ70" s="30" t="n">
        <f aca="false">-CZ23</f>
        <v>-0</v>
      </c>
      <c r="DA70" s="30" t="n">
        <f aca="false">-DA23</f>
        <v>-0</v>
      </c>
      <c r="DB70" s="30" t="n">
        <f aca="false">-DB23</f>
        <v>-0</v>
      </c>
      <c r="DC70" s="30" t="n">
        <f aca="false">-DC23</f>
        <v>-0</v>
      </c>
      <c r="DD70" s="30" t="n">
        <f aca="false">-DD23</f>
        <v>-0</v>
      </c>
      <c r="DE70" s="30" t="n">
        <f aca="false">-DE23</f>
        <v>-0</v>
      </c>
    </row>
    <row r="71" customFormat="false" ht="15" hidden="true" customHeight="true" outlineLevel="1" collapsed="false">
      <c r="A71" s="32" t="s">
        <v>18</v>
      </c>
      <c r="B71" s="30" t="n">
        <v>0</v>
      </c>
      <c r="C71" s="30" t="n">
        <v>0</v>
      </c>
      <c r="D71" s="30" t="n">
        <v>0</v>
      </c>
      <c r="E71" s="30" t="n">
        <v>0</v>
      </c>
      <c r="F71" s="30" t="n">
        <f aca="false">-F24</f>
        <v>-0</v>
      </c>
      <c r="G71" s="30" t="n">
        <f aca="false">-G24</f>
        <v>-0</v>
      </c>
      <c r="H71" s="30" t="n">
        <f aca="false">-H24</f>
        <v>-0</v>
      </c>
      <c r="I71" s="30" t="n">
        <f aca="false">-I24</f>
        <v>-0</v>
      </c>
      <c r="J71" s="30" t="n">
        <f aca="false">-J24</f>
        <v>-0</v>
      </c>
      <c r="K71" s="30" t="n">
        <f aca="false">-K24</f>
        <v>-0</v>
      </c>
      <c r="L71" s="30" t="n">
        <f aca="false">-L24</f>
        <v>-0</v>
      </c>
      <c r="M71" s="30" t="n">
        <f aca="false">-M24</f>
        <v>-0</v>
      </c>
      <c r="N71" s="30" t="n">
        <f aca="false">-N24</f>
        <v>-0</v>
      </c>
      <c r="O71" s="30" t="n">
        <f aca="false">-O24</f>
        <v>-0</v>
      </c>
      <c r="P71" s="30" t="n">
        <f aca="false">-P24</f>
        <v>-0</v>
      </c>
      <c r="Q71" s="30" t="n">
        <f aca="false">-Q24</f>
        <v>-556266.059712783</v>
      </c>
      <c r="R71" s="30" t="n">
        <f aca="false">-R24</f>
        <v>-665675.842802783</v>
      </c>
      <c r="S71" s="30" t="n">
        <f aca="false">-S24</f>
        <v>-781966.174932784</v>
      </c>
      <c r="T71" s="30" t="n">
        <f aca="false">-T24</f>
        <v>-903552.719152783</v>
      </c>
      <c r="U71" s="30" t="n">
        <f aca="false">-U24</f>
        <v>-1028579.53789278</v>
      </c>
      <c r="V71" s="30" t="n">
        <f aca="false">-V24</f>
        <v>-1154783.29265278</v>
      </c>
      <c r="W71" s="30" t="n">
        <f aca="false">-W24</f>
        <v>-1279674.31108278</v>
      </c>
      <c r="X71" s="30" t="n">
        <f aca="false">-X24</f>
        <v>-1400536.58698278</v>
      </c>
      <c r="Y71" s="30" t="n">
        <f aca="false">-Y24</f>
        <v>-1514473.04707278</v>
      </c>
      <c r="Z71" s="30" t="n">
        <f aca="false">-Z24</f>
        <v>-1618722.41838278</v>
      </c>
      <c r="AA71" s="30" t="n">
        <f aca="false">-AA24</f>
        <v>-1710478.16117278</v>
      </c>
      <c r="AB71" s="30" t="n">
        <f aca="false">-AB24</f>
        <v>-1787250.60309278</v>
      </c>
      <c r="AC71" s="30" t="n">
        <f aca="false">-AC24</f>
        <v>-1846912.20595278</v>
      </c>
      <c r="AD71" s="30" t="n">
        <f aca="false">-AD24</f>
        <v>-1887652.29895278</v>
      </c>
      <c r="AE71" s="30" t="n">
        <f aca="false">-AE24</f>
        <v>-1908339.21284278</v>
      </c>
      <c r="AF71" s="30" t="n">
        <f aca="false">-AF24</f>
        <v>-1908339.21284278</v>
      </c>
      <c r="AG71" s="30" t="n">
        <f aca="false">-AG24</f>
        <v>-1887652.29895278</v>
      </c>
      <c r="AH71" s="30" t="n">
        <f aca="false">-AH24</f>
        <v>-1846912.20595278</v>
      </c>
      <c r="AI71" s="30" t="n">
        <f aca="false">-AI24</f>
        <v>-1787250.60309278</v>
      </c>
      <c r="AJ71" s="30" t="n">
        <f aca="false">-AJ24</f>
        <v>-1710478.16117278</v>
      </c>
      <c r="AK71" s="30" t="n">
        <f aca="false">-AK24</f>
        <v>-1618722.41838278</v>
      </c>
      <c r="AL71" s="30" t="n">
        <f aca="false">-AL24</f>
        <v>-1514473.04707278</v>
      </c>
      <c r="AM71" s="30" t="n">
        <f aca="false">-AM24</f>
        <v>-1400536.58698278</v>
      </c>
      <c r="AN71" s="30" t="n">
        <f aca="false">-AN24</f>
        <v>-1279674.31108278</v>
      </c>
      <c r="AO71" s="30" t="n">
        <f aca="false">-AO24</f>
        <v>-1154783.29265278</v>
      </c>
      <c r="AP71" s="30" t="n">
        <f aca="false">-AP24</f>
        <v>-1028579.53789278</v>
      </c>
      <c r="AQ71" s="30" t="n">
        <f aca="false">-AQ24</f>
        <v>-903552.719152783</v>
      </c>
      <c r="AR71" s="30" t="n">
        <f aca="false">-AR24</f>
        <v>-781966.174932784</v>
      </c>
      <c r="AS71" s="30" t="n">
        <f aca="false">-AS24</f>
        <v>-665675.842802783</v>
      </c>
      <c r="AT71" s="30" t="n">
        <f aca="false">-AT24</f>
        <v>-283780.474359283</v>
      </c>
      <c r="AU71" s="30" t="n">
        <f aca="false">-AU24</f>
        <v>-0</v>
      </c>
      <c r="AV71" s="30" t="n">
        <f aca="false">-AV24</f>
        <v>-0</v>
      </c>
      <c r="AW71" s="30" t="n">
        <f aca="false">-AW24</f>
        <v>-0</v>
      </c>
      <c r="AX71" s="30" t="n">
        <f aca="false">-AX24</f>
        <v>-0</v>
      </c>
      <c r="AY71" s="30" t="n">
        <f aca="false">-AY24</f>
        <v>-0</v>
      </c>
      <c r="AZ71" s="30" t="n">
        <f aca="false">-AZ24</f>
        <v>-0</v>
      </c>
      <c r="BA71" s="30" t="n">
        <f aca="false">-BA24</f>
        <v>-0</v>
      </c>
      <c r="BB71" s="30" t="n">
        <f aca="false">-BB24</f>
        <v>-0</v>
      </c>
      <c r="BC71" s="30" t="n">
        <f aca="false">-BC24</f>
        <v>-0</v>
      </c>
      <c r="BD71" s="30" t="n">
        <f aca="false">-BD24</f>
        <v>-0</v>
      </c>
      <c r="BE71" s="30" t="n">
        <f aca="false">-BE24</f>
        <v>-0</v>
      </c>
      <c r="BF71" s="30" t="n">
        <f aca="false">-BF24</f>
        <v>-0</v>
      </c>
      <c r="BG71" s="30" t="n">
        <f aca="false">-BG24</f>
        <v>-0</v>
      </c>
      <c r="BH71" s="30" t="n">
        <f aca="false">-BH24</f>
        <v>-0</v>
      </c>
      <c r="BI71" s="30" t="n">
        <f aca="false">-BI24</f>
        <v>-0</v>
      </c>
      <c r="BJ71" s="30" t="n">
        <f aca="false">-BJ24</f>
        <v>-0</v>
      </c>
      <c r="BK71" s="30" t="n">
        <f aca="false">-BK24</f>
        <v>-0</v>
      </c>
      <c r="BL71" s="30" t="n">
        <f aca="false">-BL24</f>
        <v>-0</v>
      </c>
      <c r="BM71" s="30" t="n">
        <f aca="false">-BM24</f>
        <v>-0</v>
      </c>
      <c r="BN71" s="30" t="n">
        <f aca="false">-BN24</f>
        <v>-0</v>
      </c>
      <c r="BO71" s="30" t="n">
        <f aca="false">-BO24</f>
        <v>-0</v>
      </c>
      <c r="BP71" s="30" t="n">
        <f aca="false">-BP24</f>
        <v>-0</v>
      </c>
      <c r="BQ71" s="30" t="n">
        <f aca="false">-BQ24</f>
        <v>-0</v>
      </c>
      <c r="BR71" s="30" t="n">
        <f aca="false">-BR24</f>
        <v>-0</v>
      </c>
      <c r="BS71" s="30" t="n">
        <f aca="false">-BS24</f>
        <v>-0</v>
      </c>
      <c r="BT71" s="30" t="n">
        <f aca="false">-BT24</f>
        <v>-0</v>
      </c>
      <c r="BU71" s="30" t="n">
        <f aca="false">-BU24</f>
        <v>-0</v>
      </c>
      <c r="BV71" s="30" t="n">
        <f aca="false">-BV24</f>
        <v>-0</v>
      </c>
      <c r="BW71" s="30" t="n">
        <f aca="false">-BW24</f>
        <v>-0</v>
      </c>
      <c r="BX71" s="30" t="n">
        <f aca="false">-BX24</f>
        <v>-0</v>
      </c>
      <c r="BY71" s="30" t="n">
        <f aca="false">-BY24</f>
        <v>-0</v>
      </c>
      <c r="BZ71" s="30" t="n">
        <f aca="false">-BZ24</f>
        <v>-0</v>
      </c>
      <c r="CA71" s="30" t="n">
        <f aca="false">-CA24</f>
        <v>-0</v>
      </c>
      <c r="CB71" s="30" t="n">
        <f aca="false">-CB24</f>
        <v>-0</v>
      </c>
      <c r="CC71" s="30" t="n">
        <f aca="false">-CC24</f>
        <v>-0</v>
      </c>
      <c r="CD71" s="30" t="n">
        <f aca="false">-CD24</f>
        <v>-0</v>
      </c>
      <c r="CE71" s="30" t="n">
        <f aca="false">-CE24</f>
        <v>-0</v>
      </c>
      <c r="CF71" s="30" t="n">
        <f aca="false">-CF24</f>
        <v>-0</v>
      </c>
      <c r="CG71" s="30" t="n">
        <f aca="false">-CG24</f>
        <v>-0</v>
      </c>
      <c r="CH71" s="30" t="n">
        <f aca="false">-CH24</f>
        <v>-0</v>
      </c>
      <c r="CI71" s="30" t="n">
        <f aca="false">-CI24</f>
        <v>-0</v>
      </c>
      <c r="CJ71" s="30" t="n">
        <f aca="false">-CJ24</f>
        <v>-0</v>
      </c>
      <c r="CK71" s="30" t="n">
        <f aca="false">-CK24</f>
        <v>-0</v>
      </c>
      <c r="CL71" s="30" t="n">
        <f aca="false">-CL24</f>
        <v>-0</v>
      </c>
      <c r="CM71" s="30" t="n">
        <f aca="false">-CM24</f>
        <v>-0</v>
      </c>
      <c r="CN71" s="30" t="n">
        <f aca="false">-CN24</f>
        <v>-0</v>
      </c>
      <c r="CO71" s="30" t="n">
        <f aca="false">-CO24</f>
        <v>-0</v>
      </c>
      <c r="CP71" s="30" t="n">
        <f aca="false">-CP24</f>
        <v>-0</v>
      </c>
      <c r="CQ71" s="30" t="n">
        <f aca="false">-CQ24</f>
        <v>-0</v>
      </c>
      <c r="CR71" s="30" t="n">
        <f aca="false">-CR24</f>
        <v>-0</v>
      </c>
      <c r="CS71" s="30" t="n">
        <f aca="false">-CS24</f>
        <v>-0</v>
      </c>
      <c r="CT71" s="30" t="n">
        <f aca="false">-CT24</f>
        <v>-0</v>
      </c>
      <c r="CU71" s="30" t="n">
        <f aca="false">-CU24</f>
        <v>-0</v>
      </c>
      <c r="CV71" s="30" t="n">
        <f aca="false">-CV24</f>
        <v>-0</v>
      </c>
      <c r="CW71" s="30" t="n">
        <f aca="false">-CW24</f>
        <v>-0</v>
      </c>
      <c r="CX71" s="30" t="n">
        <f aca="false">-CX24</f>
        <v>-0</v>
      </c>
      <c r="CY71" s="30" t="n">
        <f aca="false">-CY24</f>
        <v>-0</v>
      </c>
      <c r="CZ71" s="30" t="n">
        <f aca="false">-CZ24</f>
        <v>-0</v>
      </c>
      <c r="DA71" s="30" t="n">
        <f aca="false">-DA24</f>
        <v>-0</v>
      </c>
      <c r="DB71" s="30" t="n">
        <f aca="false">-DB24</f>
        <v>-0</v>
      </c>
      <c r="DC71" s="30" t="n">
        <f aca="false">-DC24</f>
        <v>-0</v>
      </c>
      <c r="DD71" s="30" t="n">
        <f aca="false">-DD24</f>
        <v>-0</v>
      </c>
      <c r="DE71" s="30" t="n">
        <f aca="false">-DE24</f>
        <v>-0</v>
      </c>
    </row>
    <row r="72" customFormat="false" ht="15" hidden="true" customHeight="true" outlineLevel="1" collapsed="false">
      <c r="A72" s="32" t="s">
        <v>19</v>
      </c>
      <c r="B72" s="30" t="n">
        <v>0</v>
      </c>
      <c r="C72" s="30" t="n">
        <v>0</v>
      </c>
      <c r="D72" s="30" t="n">
        <v>0</v>
      </c>
      <c r="E72" s="30" t="n">
        <v>0</v>
      </c>
      <c r="F72" s="30" t="n">
        <f aca="false">-F25</f>
        <v>-0</v>
      </c>
      <c r="G72" s="30" t="n">
        <f aca="false">-G25</f>
        <v>-0</v>
      </c>
      <c r="H72" s="30" t="n">
        <f aca="false">-H25</f>
        <v>-0</v>
      </c>
      <c r="I72" s="30" t="n">
        <f aca="false">-I25</f>
        <v>-0</v>
      </c>
      <c r="J72" s="30" t="n">
        <f aca="false">-J25</f>
        <v>-0</v>
      </c>
      <c r="K72" s="30" t="n">
        <f aca="false">-K25</f>
        <v>-0</v>
      </c>
      <c r="L72" s="30" t="n">
        <f aca="false">-L25</f>
        <v>-0</v>
      </c>
      <c r="M72" s="30" t="n">
        <f aca="false">-M25</f>
        <v>-0</v>
      </c>
      <c r="N72" s="30" t="n">
        <f aca="false">-N25</f>
        <v>-0</v>
      </c>
      <c r="O72" s="30" t="n">
        <f aca="false">-O25</f>
        <v>-0</v>
      </c>
      <c r="P72" s="30" t="n">
        <f aca="false">-P25</f>
        <v>-0</v>
      </c>
      <c r="Q72" s="30" t="n">
        <f aca="false">-Q25</f>
        <v>-0</v>
      </c>
      <c r="R72" s="30" t="n">
        <f aca="false">-R25</f>
        <v>-0</v>
      </c>
      <c r="S72" s="30" t="n">
        <f aca="false">-S25</f>
        <v>-0</v>
      </c>
      <c r="T72" s="30" t="n">
        <f aca="false">-T25</f>
        <v>-0</v>
      </c>
      <c r="U72" s="30" t="n">
        <f aca="false">-U25</f>
        <v>-0</v>
      </c>
      <c r="V72" s="30" t="n">
        <f aca="false">-V25</f>
        <v>-0</v>
      </c>
      <c r="W72" s="30" t="n">
        <f aca="false">-W25</f>
        <v>-0</v>
      </c>
      <c r="X72" s="30" t="n">
        <f aca="false">-X25</f>
        <v>-0</v>
      </c>
      <c r="Y72" s="30" t="n">
        <f aca="false">-Y25</f>
        <v>-0</v>
      </c>
      <c r="Z72" s="30" t="n">
        <f aca="false">-Z25</f>
        <v>-0</v>
      </c>
      <c r="AA72" s="30" t="n">
        <f aca="false">-AA25</f>
        <v>-0</v>
      </c>
      <c r="AB72" s="30" t="n">
        <f aca="false">-AB25</f>
        <v>-0</v>
      </c>
      <c r="AC72" s="30" t="n">
        <f aca="false">-AC25</f>
        <v>-0</v>
      </c>
      <c r="AD72" s="30" t="n">
        <f aca="false">-AD25</f>
        <v>-0</v>
      </c>
      <c r="AE72" s="30" t="n">
        <f aca="false">-AE25</f>
        <v>-508191.288963453</v>
      </c>
      <c r="AF72" s="30" t="n">
        <f aca="false">-AF25</f>
        <v>-608145.434507453</v>
      </c>
      <c r="AG72" s="30" t="n">
        <f aca="false">-AG25</f>
        <v>-714385.484115453</v>
      </c>
      <c r="AH72" s="30" t="n">
        <f aca="false">-AH25</f>
        <v>-825464.025667453</v>
      </c>
      <c r="AI72" s="30" t="n">
        <f aca="false">-AI25</f>
        <v>-939685.519251453</v>
      </c>
      <c r="AJ72" s="30" t="n">
        <f aca="false">-AJ25</f>
        <v>-1054982.23326745</v>
      </c>
      <c r="AK72" s="30" t="n">
        <f aca="false">-AK25</f>
        <v>-1169079.66295545</v>
      </c>
      <c r="AL72" s="30" t="n">
        <f aca="false">-AL25</f>
        <v>-1279496.53039545</v>
      </c>
      <c r="AM72" s="30" t="n">
        <f aca="false">-AM25</f>
        <v>-1383586.13913945</v>
      </c>
      <c r="AN72" s="30" t="n">
        <f aca="false">-AN25</f>
        <v>-1478825.85663545</v>
      </c>
      <c r="AO72" s="30" t="n">
        <f aca="false">-AO25</f>
        <v>-1562651.69569945</v>
      </c>
      <c r="AP72" s="30" t="n">
        <f aca="false">-AP25</f>
        <v>-1632789.15157145</v>
      </c>
      <c r="AQ72" s="30" t="n">
        <f aca="false">-AQ25</f>
        <v>-1687294.55654745</v>
      </c>
      <c r="AR72" s="30" t="n">
        <f aca="false">-AR25</f>
        <v>-1724513.72534745</v>
      </c>
      <c r="AS72" s="30" t="n">
        <f aca="false">-AS25</f>
        <v>-1743412.79217145</v>
      </c>
      <c r="AT72" s="30" t="n">
        <f aca="false">-AT25</f>
        <v>-1743412.79217145</v>
      </c>
      <c r="AU72" s="30" t="n">
        <f aca="false">-AU25</f>
        <v>-1724513.72534745</v>
      </c>
      <c r="AV72" s="30" t="n">
        <f aca="false">-AV25</f>
        <v>-1687294.55654745</v>
      </c>
      <c r="AW72" s="30" t="n">
        <f aca="false">-AW25</f>
        <v>-1632789.15157145</v>
      </c>
      <c r="AX72" s="30" t="n">
        <f aca="false">-AX25</f>
        <v>-1562651.69569945</v>
      </c>
      <c r="AY72" s="30" t="n">
        <f aca="false">-AY25</f>
        <v>-1478825.85663545</v>
      </c>
      <c r="AZ72" s="30" t="n">
        <f aca="false">-AZ25</f>
        <v>-1383586.13913945</v>
      </c>
      <c r="BA72" s="30" t="n">
        <f aca="false">-BA25</f>
        <v>-1279496.53039545</v>
      </c>
      <c r="BB72" s="30" t="n">
        <f aca="false">-BB25</f>
        <v>-1169079.66295545</v>
      </c>
      <c r="BC72" s="30" t="n">
        <f aca="false">-BC25</f>
        <v>-1054982.23326745</v>
      </c>
      <c r="BD72" s="30" t="n">
        <f aca="false">-BD25</f>
        <v>-939685.519251453</v>
      </c>
      <c r="BE72" s="30" t="n">
        <f aca="false">-BE25</f>
        <v>-825464.025667453</v>
      </c>
      <c r="BF72" s="30" t="n">
        <f aca="false">-BF25</f>
        <v>-714385.484115453</v>
      </c>
      <c r="BG72" s="30" t="n">
        <f aca="false">-BG25</f>
        <v>-608145.434507453</v>
      </c>
      <c r="BH72" s="30" t="n">
        <f aca="false">-BH25</f>
        <v>-259255.013907853</v>
      </c>
      <c r="BI72" s="30" t="n">
        <f aca="false">-BI25</f>
        <v>-0</v>
      </c>
      <c r="BJ72" s="30" t="n">
        <f aca="false">-BJ25</f>
        <v>-0</v>
      </c>
      <c r="BK72" s="30" t="n">
        <f aca="false">-BK25</f>
        <v>-0</v>
      </c>
      <c r="BL72" s="30" t="n">
        <f aca="false">-BL25</f>
        <v>-0</v>
      </c>
      <c r="BM72" s="30" t="n">
        <f aca="false">-BM25</f>
        <v>-0</v>
      </c>
      <c r="BN72" s="30" t="n">
        <f aca="false">-BN25</f>
        <v>-0</v>
      </c>
      <c r="BO72" s="30" t="n">
        <f aca="false">-BO25</f>
        <v>-0</v>
      </c>
      <c r="BP72" s="30" t="n">
        <f aca="false">-BP25</f>
        <v>-0</v>
      </c>
      <c r="BQ72" s="30" t="n">
        <f aca="false">-BQ25</f>
        <v>-0</v>
      </c>
      <c r="BR72" s="30" t="n">
        <f aca="false">-BR25</f>
        <v>-0</v>
      </c>
      <c r="BS72" s="30" t="n">
        <f aca="false">-BS25</f>
        <v>-0</v>
      </c>
      <c r="BT72" s="30" t="n">
        <f aca="false">-BT25</f>
        <v>-0</v>
      </c>
      <c r="BU72" s="30" t="n">
        <f aca="false">-BU25</f>
        <v>-0</v>
      </c>
      <c r="BV72" s="30" t="n">
        <f aca="false">-BV25</f>
        <v>-0</v>
      </c>
      <c r="BW72" s="30" t="n">
        <f aca="false">-BW25</f>
        <v>-0</v>
      </c>
      <c r="BX72" s="30" t="n">
        <f aca="false">-BX25</f>
        <v>-0</v>
      </c>
      <c r="BY72" s="30" t="n">
        <f aca="false">-BY25</f>
        <v>-0</v>
      </c>
      <c r="BZ72" s="30" t="n">
        <f aca="false">-BZ25</f>
        <v>-0</v>
      </c>
      <c r="CA72" s="30" t="n">
        <f aca="false">-CA25</f>
        <v>-0</v>
      </c>
      <c r="CB72" s="30" t="n">
        <f aca="false">-CB25</f>
        <v>-0</v>
      </c>
      <c r="CC72" s="30" t="n">
        <f aca="false">-CC25</f>
        <v>-0</v>
      </c>
      <c r="CD72" s="30" t="n">
        <f aca="false">-CD25</f>
        <v>-0</v>
      </c>
      <c r="CE72" s="30" t="n">
        <f aca="false">-CE25</f>
        <v>-0</v>
      </c>
      <c r="CF72" s="30" t="n">
        <f aca="false">-CF25</f>
        <v>-0</v>
      </c>
      <c r="CG72" s="30" t="n">
        <f aca="false">-CG25</f>
        <v>-0</v>
      </c>
      <c r="CH72" s="30" t="n">
        <f aca="false">-CH25</f>
        <v>-0</v>
      </c>
      <c r="CI72" s="30" t="n">
        <f aca="false">-CI25</f>
        <v>-0</v>
      </c>
      <c r="CJ72" s="30" t="n">
        <f aca="false">-CJ25</f>
        <v>-0</v>
      </c>
      <c r="CK72" s="30" t="n">
        <f aca="false">-CK25</f>
        <v>-0</v>
      </c>
      <c r="CL72" s="30" t="n">
        <f aca="false">-CL25</f>
        <v>-0</v>
      </c>
      <c r="CM72" s="30" t="n">
        <f aca="false">-CM25</f>
        <v>-0</v>
      </c>
      <c r="CN72" s="30" t="n">
        <f aca="false">-CN25</f>
        <v>-0</v>
      </c>
      <c r="CO72" s="30" t="n">
        <f aca="false">-CO25</f>
        <v>-0</v>
      </c>
      <c r="CP72" s="30" t="n">
        <f aca="false">-CP25</f>
        <v>-0</v>
      </c>
      <c r="CQ72" s="30" t="n">
        <f aca="false">-CQ25</f>
        <v>-0</v>
      </c>
      <c r="CR72" s="30" t="n">
        <f aca="false">-CR25</f>
        <v>-0</v>
      </c>
      <c r="CS72" s="30" t="n">
        <f aca="false">-CS25</f>
        <v>-0</v>
      </c>
      <c r="CT72" s="30" t="n">
        <f aca="false">-CT25</f>
        <v>-0</v>
      </c>
      <c r="CU72" s="30" t="n">
        <f aca="false">-CU25</f>
        <v>-0</v>
      </c>
      <c r="CV72" s="30" t="n">
        <f aca="false">-CV25</f>
        <v>-0</v>
      </c>
      <c r="CW72" s="30" t="n">
        <f aca="false">-CW25</f>
        <v>-0</v>
      </c>
      <c r="CX72" s="30" t="n">
        <f aca="false">-CX25</f>
        <v>-0</v>
      </c>
      <c r="CY72" s="30" t="n">
        <f aca="false">-CY25</f>
        <v>-0</v>
      </c>
      <c r="CZ72" s="30" t="n">
        <f aca="false">-CZ25</f>
        <v>-0</v>
      </c>
      <c r="DA72" s="30" t="n">
        <f aca="false">-DA25</f>
        <v>-0</v>
      </c>
      <c r="DB72" s="30" t="n">
        <f aca="false">-DB25</f>
        <v>-0</v>
      </c>
      <c r="DC72" s="30" t="n">
        <f aca="false">-DC25</f>
        <v>-0</v>
      </c>
      <c r="DD72" s="30" t="n">
        <f aca="false">-DD25</f>
        <v>-0</v>
      </c>
      <c r="DE72" s="30" t="n">
        <f aca="false">-DE25</f>
        <v>-0</v>
      </c>
    </row>
    <row r="73" customFormat="false" ht="15" hidden="true" customHeight="true" outlineLevel="1" collapsed="false">
      <c r="A73" s="32" t="s">
        <v>20</v>
      </c>
      <c r="B73" s="30" t="n">
        <v>0</v>
      </c>
      <c r="C73" s="30" t="n">
        <v>0</v>
      </c>
      <c r="D73" s="30" t="n">
        <v>0</v>
      </c>
      <c r="E73" s="30" t="n">
        <v>0</v>
      </c>
      <c r="F73" s="30" t="n">
        <f aca="false">-F26</f>
        <v>-0</v>
      </c>
      <c r="G73" s="30" t="n">
        <f aca="false">-G26</f>
        <v>-0</v>
      </c>
      <c r="H73" s="30" t="n">
        <f aca="false">-H26</f>
        <v>-0</v>
      </c>
      <c r="I73" s="30" t="n">
        <f aca="false">-I26</f>
        <v>-0</v>
      </c>
      <c r="J73" s="30" t="n">
        <f aca="false">-J26</f>
        <v>-0</v>
      </c>
      <c r="K73" s="30" t="n">
        <f aca="false">-K26</f>
        <v>-0</v>
      </c>
      <c r="L73" s="30" t="n">
        <f aca="false">-L26</f>
        <v>-0</v>
      </c>
      <c r="M73" s="30" t="n">
        <f aca="false">-M26</f>
        <v>-0</v>
      </c>
      <c r="N73" s="30" t="n">
        <f aca="false">-N26</f>
        <v>-0</v>
      </c>
      <c r="O73" s="30" t="n">
        <f aca="false">-O26</f>
        <v>-0</v>
      </c>
      <c r="P73" s="30" t="n">
        <f aca="false">-P26</f>
        <v>-0</v>
      </c>
      <c r="Q73" s="30" t="n">
        <f aca="false">-Q26</f>
        <v>-0</v>
      </c>
      <c r="R73" s="30" t="n">
        <f aca="false">-R26</f>
        <v>-0</v>
      </c>
      <c r="S73" s="30" t="n">
        <f aca="false">-S26</f>
        <v>-0</v>
      </c>
      <c r="T73" s="30" t="n">
        <f aca="false">-T26</f>
        <v>-0</v>
      </c>
      <c r="U73" s="30" t="n">
        <f aca="false">-U26</f>
        <v>-0</v>
      </c>
      <c r="V73" s="30" t="n">
        <f aca="false">-V26</f>
        <v>-0</v>
      </c>
      <c r="W73" s="30" t="n">
        <f aca="false">-W26</f>
        <v>-0</v>
      </c>
      <c r="X73" s="30" t="n">
        <f aca="false">-X26</f>
        <v>-0</v>
      </c>
      <c r="Y73" s="30" t="n">
        <f aca="false">-Y26</f>
        <v>-0</v>
      </c>
      <c r="Z73" s="30" t="n">
        <f aca="false">-Z26</f>
        <v>-0</v>
      </c>
      <c r="AA73" s="30" t="n">
        <f aca="false">-AA26</f>
        <v>-0</v>
      </c>
      <c r="AB73" s="30" t="n">
        <f aca="false">-AB26</f>
        <v>-0</v>
      </c>
      <c r="AC73" s="30" t="n">
        <f aca="false">-AC26</f>
        <v>-0</v>
      </c>
      <c r="AD73" s="30" t="n">
        <f aca="false">-AD26</f>
        <v>-0</v>
      </c>
      <c r="AE73" s="30" t="n">
        <f aca="false">-AE26</f>
        <v>-0</v>
      </c>
      <c r="AF73" s="30" t="n">
        <f aca="false">-AF26</f>
        <v>-0</v>
      </c>
      <c r="AG73" s="30" t="n">
        <f aca="false">-AG26</f>
        <v>-0</v>
      </c>
      <c r="AH73" s="30" t="n">
        <f aca="false">-AH26</f>
        <v>-0</v>
      </c>
      <c r="AI73" s="30" t="n">
        <f aca="false">-AI26</f>
        <v>-0</v>
      </c>
      <c r="AJ73" s="30" t="n">
        <f aca="false">-AJ26</f>
        <v>-0</v>
      </c>
      <c r="AK73" s="30" t="n">
        <f aca="false">-AK26</f>
        <v>-0</v>
      </c>
      <c r="AL73" s="30" t="n">
        <f aca="false">-AL26</f>
        <v>-0</v>
      </c>
      <c r="AM73" s="30" t="n">
        <f aca="false">-AM26</f>
        <v>-0</v>
      </c>
      <c r="AN73" s="30" t="n">
        <f aca="false">-AN26</f>
        <v>-0</v>
      </c>
      <c r="AO73" s="30" t="n">
        <f aca="false">-AO26</f>
        <v>-0</v>
      </c>
      <c r="AP73" s="30" t="n">
        <f aca="false">-AP26</f>
        <v>-0</v>
      </c>
      <c r="AQ73" s="30" t="n">
        <f aca="false">-AQ26</f>
        <v>-0</v>
      </c>
      <c r="AR73" s="30" t="n">
        <f aca="false">-AR26</f>
        <v>-0</v>
      </c>
      <c r="AS73" s="30" t="n">
        <f aca="false">-AS26</f>
        <v>-0</v>
      </c>
      <c r="AT73" s="30" t="n">
        <f aca="false">-AT26</f>
        <v>-0</v>
      </c>
      <c r="AU73" s="30" t="n">
        <f aca="false">-AU26</f>
        <v>-0</v>
      </c>
      <c r="AV73" s="30" t="n">
        <f aca="false">-AV26</f>
        <v>-0</v>
      </c>
      <c r="AW73" s="30" t="n">
        <f aca="false">-AW26</f>
        <v>-0</v>
      </c>
      <c r="AX73" s="30" t="n">
        <f aca="false">-AX26</f>
        <v>-0</v>
      </c>
      <c r="AY73" s="30" t="n">
        <f aca="false">-AY26</f>
        <v>-0</v>
      </c>
      <c r="AZ73" s="30" t="n">
        <f aca="false">-AZ26</f>
        <v>-0</v>
      </c>
      <c r="BA73" s="30" t="n">
        <f aca="false">-BA26</f>
        <v>-0</v>
      </c>
      <c r="BB73" s="30" t="n">
        <f aca="false">-BB26</f>
        <v>-0</v>
      </c>
      <c r="BC73" s="30" t="n">
        <f aca="false">-BC26</f>
        <v>-0</v>
      </c>
      <c r="BD73" s="30" t="n">
        <f aca="false">-BD26</f>
        <v>-0</v>
      </c>
      <c r="BE73" s="30" t="n">
        <f aca="false">-BE26</f>
        <v>-0</v>
      </c>
      <c r="BF73" s="30" t="n">
        <f aca="false">-BF26</f>
        <v>-0</v>
      </c>
      <c r="BG73" s="30" t="n">
        <f aca="false">-BG26</f>
        <v>-0</v>
      </c>
      <c r="BH73" s="30" t="n">
        <f aca="false">-BH26</f>
        <v>-0</v>
      </c>
      <c r="BI73" s="30" t="n">
        <f aca="false">-BI26</f>
        <v>-0</v>
      </c>
      <c r="BJ73" s="30" t="n">
        <f aca="false">-BJ26</f>
        <v>-0</v>
      </c>
      <c r="BK73" s="30" t="n">
        <f aca="false">-BK26</f>
        <v>-0</v>
      </c>
      <c r="BL73" s="30" t="n">
        <f aca="false">-BL26</f>
        <v>-0</v>
      </c>
      <c r="BM73" s="30" t="n">
        <f aca="false">-BM26</f>
        <v>-0</v>
      </c>
      <c r="BN73" s="30" t="n">
        <f aca="false">-BN26</f>
        <v>-0</v>
      </c>
      <c r="BO73" s="30" t="n">
        <f aca="false">-BO26</f>
        <v>-0</v>
      </c>
      <c r="BP73" s="30" t="n">
        <f aca="false">-BP26</f>
        <v>-0</v>
      </c>
      <c r="BQ73" s="30" t="n">
        <f aca="false">-BQ26</f>
        <v>-0</v>
      </c>
      <c r="BR73" s="30" t="n">
        <f aca="false">-BR26</f>
        <v>-0</v>
      </c>
      <c r="BS73" s="30" t="n">
        <f aca="false">-BS26</f>
        <v>-0</v>
      </c>
      <c r="BT73" s="30" t="n">
        <f aca="false">-BT26</f>
        <v>-0</v>
      </c>
      <c r="BU73" s="30" t="n">
        <f aca="false">-BU26</f>
        <v>-0</v>
      </c>
      <c r="BV73" s="30" t="n">
        <f aca="false">-BV26</f>
        <v>-0</v>
      </c>
      <c r="BW73" s="30" t="n">
        <f aca="false">-BW26</f>
        <v>-0</v>
      </c>
      <c r="BX73" s="30" t="n">
        <f aca="false">-BX26</f>
        <v>-0</v>
      </c>
      <c r="BY73" s="30" t="n">
        <f aca="false">-BY26</f>
        <v>-0</v>
      </c>
      <c r="BZ73" s="30" t="n">
        <f aca="false">-BZ26</f>
        <v>-0</v>
      </c>
      <c r="CA73" s="30" t="n">
        <f aca="false">-CA26</f>
        <v>-0</v>
      </c>
      <c r="CB73" s="30" t="n">
        <f aca="false">-CB26</f>
        <v>-0</v>
      </c>
      <c r="CC73" s="30" t="n">
        <f aca="false">-CC26</f>
        <v>-0</v>
      </c>
      <c r="CD73" s="30" t="n">
        <f aca="false">-CD26</f>
        <v>-0</v>
      </c>
      <c r="CE73" s="30" t="n">
        <f aca="false">-CE26</f>
        <v>-0</v>
      </c>
      <c r="CF73" s="30" t="n">
        <f aca="false">-CF26</f>
        <v>-0</v>
      </c>
      <c r="CG73" s="30" t="n">
        <f aca="false">-CG26</f>
        <v>-0</v>
      </c>
      <c r="CH73" s="30" t="n">
        <f aca="false">-CH26</f>
        <v>-0</v>
      </c>
      <c r="CI73" s="30" t="n">
        <f aca="false">-CI26</f>
        <v>-0</v>
      </c>
      <c r="CJ73" s="30" t="n">
        <f aca="false">-CJ26</f>
        <v>-0</v>
      </c>
      <c r="CK73" s="30" t="n">
        <f aca="false">-CK26</f>
        <v>-0</v>
      </c>
      <c r="CL73" s="30" t="n">
        <f aca="false">-CL26</f>
        <v>-0</v>
      </c>
      <c r="CM73" s="30" t="n">
        <f aca="false">-CM26</f>
        <v>-0</v>
      </c>
      <c r="CN73" s="30" t="n">
        <f aca="false">-CN26</f>
        <v>-0</v>
      </c>
      <c r="CO73" s="30" t="n">
        <f aca="false">-CO26</f>
        <v>-0</v>
      </c>
      <c r="CP73" s="30" t="n">
        <f aca="false">-CP26</f>
        <v>-0</v>
      </c>
      <c r="CQ73" s="30" t="n">
        <f aca="false">-CQ26</f>
        <v>-0</v>
      </c>
      <c r="CR73" s="30" t="n">
        <f aca="false">-CR26</f>
        <v>-0</v>
      </c>
      <c r="CS73" s="30" t="n">
        <f aca="false">-CS26</f>
        <v>-0</v>
      </c>
      <c r="CT73" s="30" t="n">
        <f aca="false">-CT26</f>
        <v>-0</v>
      </c>
      <c r="CU73" s="30" t="n">
        <f aca="false">-CU26</f>
        <v>-0</v>
      </c>
      <c r="CV73" s="30" t="n">
        <f aca="false">-CV26</f>
        <v>-0</v>
      </c>
      <c r="CW73" s="30" t="n">
        <f aca="false">-CW26</f>
        <v>-0</v>
      </c>
      <c r="CX73" s="30" t="n">
        <f aca="false">-CX26</f>
        <v>-0</v>
      </c>
      <c r="CY73" s="30" t="n">
        <f aca="false">-CY26</f>
        <v>-0</v>
      </c>
      <c r="CZ73" s="30" t="n">
        <f aca="false">-CZ26</f>
        <v>-0</v>
      </c>
      <c r="DA73" s="30" t="n">
        <f aca="false">-DA26</f>
        <v>-0</v>
      </c>
      <c r="DB73" s="30" t="n">
        <f aca="false">-DB26</f>
        <v>-0</v>
      </c>
      <c r="DC73" s="30" t="n">
        <f aca="false">-DC26</f>
        <v>-0</v>
      </c>
      <c r="DD73" s="30" t="n">
        <f aca="false">-DD26</f>
        <v>-0</v>
      </c>
      <c r="DE73" s="30" t="n">
        <f aca="false">-DE26</f>
        <v>-0</v>
      </c>
    </row>
    <row r="74" customFormat="false" ht="15" hidden="true" customHeight="true" outlineLevel="1" collapsed="false">
      <c r="A74" s="32" t="s">
        <v>21</v>
      </c>
      <c r="B74" s="30" t="n">
        <v>0</v>
      </c>
      <c r="C74" s="30" t="n">
        <v>0</v>
      </c>
      <c r="D74" s="30" t="n">
        <v>0</v>
      </c>
      <c r="E74" s="30" t="n">
        <v>0</v>
      </c>
      <c r="F74" s="30" t="n">
        <f aca="false">-F27</f>
        <v>-0</v>
      </c>
      <c r="G74" s="30" t="n">
        <f aca="false">-G27</f>
        <v>-0</v>
      </c>
      <c r="H74" s="30" t="n">
        <f aca="false">-H27</f>
        <v>-0</v>
      </c>
      <c r="I74" s="30" t="n">
        <f aca="false">-I27</f>
        <v>-0</v>
      </c>
      <c r="J74" s="30" t="n">
        <f aca="false">-J27</f>
        <v>-0</v>
      </c>
      <c r="K74" s="30" t="n">
        <f aca="false">-K27</f>
        <v>-0</v>
      </c>
      <c r="L74" s="30" t="n">
        <f aca="false">-L27</f>
        <v>-0</v>
      </c>
      <c r="M74" s="30" t="n">
        <f aca="false">-M27</f>
        <v>-0</v>
      </c>
      <c r="N74" s="30" t="n">
        <f aca="false">-N27</f>
        <v>-0</v>
      </c>
      <c r="O74" s="30" t="n">
        <f aca="false">-O27</f>
        <v>-0</v>
      </c>
      <c r="P74" s="30" t="n">
        <f aca="false">-P27</f>
        <v>-0</v>
      </c>
      <c r="Q74" s="30" t="n">
        <f aca="false">-Q27</f>
        <v>-0</v>
      </c>
      <c r="R74" s="30" t="n">
        <f aca="false">-R27</f>
        <v>-0</v>
      </c>
      <c r="S74" s="30" t="n">
        <f aca="false">-S27</f>
        <v>-0</v>
      </c>
      <c r="T74" s="30" t="n">
        <f aca="false">-T27</f>
        <v>-0</v>
      </c>
      <c r="U74" s="30" t="n">
        <f aca="false">-U27</f>
        <v>-0</v>
      </c>
      <c r="V74" s="30" t="n">
        <f aca="false">-V27</f>
        <v>-0</v>
      </c>
      <c r="W74" s="30" t="n">
        <f aca="false">-W27</f>
        <v>-0</v>
      </c>
      <c r="X74" s="30" t="n">
        <f aca="false">-X27</f>
        <v>-0</v>
      </c>
      <c r="Y74" s="30" t="n">
        <f aca="false">-Y27</f>
        <v>-0</v>
      </c>
      <c r="Z74" s="30" t="n">
        <f aca="false">-Z27</f>
        <v>-0</v>
      </c>
      <c r="AA74" s="30" t="n">
        <f aca="false">-AA27</f>
        <v>-0</v>
      </c>
      <c r="AB74" s="30" t="n">
        <f aca="false">-AB27</f>
        <v>-0</v>
      </c>
      <c r="AC74" s="30" t="n">
        <f aca="false">-AC27</f>
        <v>-0</v>
      </c>
      <c r="AD74" s="30" t="n">
        <f aca="false">-AD27</f>
        <v>-0</v>
      </c>
      <c r="AE74" s="30" t="n">
        <f aca="false">-AE27</f>
        <v>-0</v>
      </c>
      <c r="AF74" s="30" t="n">
        <f aca="false">-AF27</f>
        <v>-0</v>
      </c>
      <c r="AG74" s="30" t="n">
        <f aca="false">-AG27</f>
        <v>-0</v>
      </c>
      <c r="AH74" s="30" t="n">
        <f aca="false">-AH27</f>
        <v>-0</v>
      </c>
      <c r="AI74" s="30" t="n">
        <f aca="false">-AI27</f>
        <v>-0</v>
      </c>
      <c r="AJ74" s="30" t="n">
        <f aca="false">-AJ27</f>
        <v>-0</v>
      </c>
      <c r="AK74" s="30" t="n">
        <f aca="false">-AK27</f>
        <v>-0</v>
      </c>
      <c r="AL74" s="30" t="n">
        <f aca="false">-AL27</f>
        <v>-0</v>
      </c>
      <c r="AM74" s="30" t="n">
        <f aca="false">-AM27</f>
        <v>-0</v>
      </c>
      <c r="AN74" s="30" t="n">
        <f aca="false">-AN27</f>
        <v>-0</v>
      </c>
      <c r="AO74" s="30" t="n">
        <f aca="false">-AO27</f>
        <v>-0</v>
      </c>
      <c r="AP74" s="30" t="n">
        <f aca="false">-AP27</f>
        <v>-0</v>
      </c>
      <c r="AQ74" s="30" t="n">
        <f aca="false">-AQ27</f>
        <v>-0</v>
      </c>
      <c r="AR74" s="30" t="n">
        <f aca="false">-AR27</f>
        <v>-0</v>
      </c>
      <c r="AS74" s="30" t="n">
        <f aca="false">-AS27</f>
        <v>-0</v>
      </c>
      <c r="AT74" s="30" t="n">
        <f aca="false">-AT27</f>
        <v>-0</v>
      </c>
      <c r="AU74" s="30" t="n">
        <f aca="false">-AU27</f>
        <v>-0</v>
      </c>
      <c r="AV74" s="30" t="n">
        <f aca="false">-AV27</f>
        <v>-0</v>
      </c>
      <c r="AW74" s="30" t="n">
        <f aca="false">-AW27</f>
        <v>-0</v>
      </c>
      <c r="AX74" s="30" t="n">
        <f aca="false">-AX27</f>
        <v>-0</v>
      </c>
      <c r="AY74" s="30" t="n">
        <f aca="false">-AY27</f>
        <v>-0</v>
      </c>
      <c r="AZ74" s="30" t="n">
        <f aca="false">-AZ27</f>
        <v>-0</v>
      </c>
      <c r="BA74" s="30" t="n">
        <f aca="false">-BA27</f>
        <v>-0</v>
      </c>
      <c r="BB74" s="30" t="n">
        <f aca="false">-BB27</f>
        <v>-0</v>
      </c>
      <c r="BC74" s="30" t="n">
        <f aca="false">-BC27</f>
        <v>-0</v>
      </c>
      <c r="BD74" s="30" t="n">
        <f aca="false">-BD27</f>
        <v>-0</v>
      </c>
      <c r="BE74" s="30" t="n">
        <f aca="false">-BE27</f>
        <v>-0</v>
      </c>
      <c r="BF74" s="30" t="n">
        <f aca="false">-BF27</f>
        <v>-0</v>
      </c>
      <c r="BG74" s="30" t="n">
        <f aca="false">-BG27</f>
        <v>-0</v>
      </c>
      <c r="BH74" s="30" t="n">
        <f aca="false">-BH27</f>
        <v>-0</v>
      </c>
      <c r="BI74" s="30" t="n">
        <f aca="false">-BI27</f>
        <v>-0</v>
      </c>
      <c r="BJ74" s="30" t="n">
        <f aca="false">-BJ27</f>
        <v>-0</v>
      </c>
      <c r="BK74" s="30" t="n">
        <f aca="false">-BK27</f>
        <v>-0</v>
      </c>
      <c r="BL74" s="30" t="n">
        <f aca="false">-BL27</f>
        <v>-0</v>
      </c>
      <c r="BM74" s="30" t="n">
        <f aca="false">-BM27</f>
        <v>-0</v>
      </c>
      <c r="BN74" s="30" t="n">
        <f aca="false">-BN27</f>
        <v>-0</v>
      </c>
      <c r="BO74" s="30" t="n">
        <f aca="false">-BO27</f>
        <v>-0</v>
      </c>
      <c r="BP74" s="30" t="n">
        <f aca="false">-BP27</f>
        <v>-0</v>
      </c>
      <c r="BQ74" s="30" t="n">
        <f aca="false">-BQ27</f>
        <v>-0</v>
      </c>
      <c r="BR74" s="30" t="n">
        <f aca="false">-BR27</f>
        <v>-0</v>
      </c>
      <c r="BS74" s="30" t="n">
        <f aca="false">-BS27</f>
        <v>-0</v>
      </c>
      <c r="BT74" s="30" t="n">
        <f aca="false">-BT27</f>
        <v>-0</v>
      </c>
      <c r="BU74" s="30" t="n">
        <f aca="false">-BU27</f>
        <v>-0</v>
      </c>
      <c r="BV74" s="30" t="n">
        <f aca="false">-BV27</f>
        <v>-0</v>
      </c>
      <c r="BW74" s="30" t="n">
        <f aca="false">-BW27</f>
        <v>-0</v>
      </c>
      <c r="BX74" s="30" t="n">
        <f aca="false">-BX27</f>
        <v>-0</v>
      </c>
      <c r="BY74" s="30" t="n">
        <f aca="false">-BY27</f>
        <v>-0</v>
      </c>
      <c r="BZ74" s="30" t="n">
        <f aca="false">-BZ27</f>
        <v>-0</v>
      </c>
      <c r="CA74" s="30" t="n">
        <f aca="false">-CA27</f>
        <v>-0</v>
      </c>
      <c r="CB74" s="30" t="n">
        <f aca="false">-CB27</f>
        <v>-0</v>
      </c>
      <c r="CC74" s="30" t="n">
        <f aca="false">-CC27</f>
        <v>-0</v>
      </c>
      <c r="CD74" s="30" t="n">
        <f aca="false">-CD27</f>
        <v>-0</v>
      </c>
      <c r="CE74" s="30" t="n">
        <f aca="false">-CE27</f>
        <v>-0</v>
      </c>
      <c r="CF74" s="30" t="n">
        <f aca="false">-CF27</f>
        <v>-0</v>
      </c>
      <c r="CG74" s="30" t="n">
        <f aca="false">-CG27</f>
        <v>-0</v>
      </c>
      <c r="CH74" s="30" t="n">
        <f aca="false">-CH27</f>
        <v>-0</v>
      </c>
      <c r="CI74" s="30" t="n">
        <f aca="false">-CI27</f>
        <v>-0</v>
      </c>
      <c r="CJ74" s="30" t="n">
        <f aca="false">-CJ27</f>
        <v>-0</v>
      </c>
      <c r="CK74" s="30" t="n">
        <f aca="false">-CK27</f>
        <v>-0</v>
      </c>
      <c r="CL74" s="30" t="n">
        <f aca="false">-CL27</f>
        <v>-0</v>
      </c>
      <c r="CM74" s="30" t="n">
        <f aca="false">-CM27</f>
        <v>-0</v>
      </c>
      <c r="CN74" s="30" t="n">
        <f aca="false">-CN27</f>
        <v>-0</v>
      </c>
      <c r="CO74" s="30" t="n">
        <f aca="false">-CO27</f>
        <v>-0</v>
      </c>
      <c r="CP74" s="30" t="n">
        <f aca="false">-CP27</f>
        <v>-0</v>
      </c>
      <c r="CQ74" s="30" t="n">
        <f aca="false">-CQ27</f>
        <v>-0</v>
      </c>
      <c r="CR74" s="30" t="n">
        <f aca="false">-CR27</f>
        <v>-0</v>
      </c>
      <c r="CS74" s="30" t="n">
        <f aca="false">-CS27</f>
        <v>-0</v>
      </c>
      <c r="CT74" s="30" t="n">
        <f aca="false">-CT27</f>
        <v>-0</v>
      </c>
      <c r="CU74" s="30" t="n">
        <f aca="false">-CU27</f>
        <v>-0</v>
      </c>
      <c r="CV74" s="30" t="n">
        <f aca="false">-CV27</f>
        <v>-0</v>
      </c>
      <c r="CW74" s="30" t="n">
        <f aca="false">-CW27</f>
        <v>-0</v>
      </c>
      <c r="CX74" s="30" t="n">
        <f aca="false">-CX27</f>
        <v>-0</v>
      </c>
      <c r="CY74" s="30" t="n">
        <f aca="false">-CY27</f>
        <v>-0</v>
      </c>
      <c r="CZ74" s="30" t="n">
        <f aca="false">-CZ27</f>
        <v>-0</v>
      </c>
      <c r="DA74" s="30" t="n">
        <f aca="false">-DA27</f>
        <v>-0</v>
      </c>
      <c r="DB74" s="30" t="n">
        <f aca="false">-DB27</f>
        <v>-0</v>
      </c>
      <c r="DC74" s="30" t="n">
        <f aca="false">-DC27</f>
        <v>-0</v>
      </c>
      <c r="DD74" s="30" t="n">
        <f aca="false">-DD27</f>
        <v>-0</v>
      </c>
      <c r="DE74" s="30" t="n">
        <f aca="false">-DE27</f>
        <v>-0</v>
      </c>
    </row>
    <row r="75" customFormat="false" ht="15" hidden="true" customHeight="true" outlineLevel="1" collapsed="false">
      <c r="A75" s="32" t="s">
        <v>22</v>
      </c>
      <c r="B75" s="30" t="n">
        <v>0</v>
      </c>
      <c r="C75" s="30" t="n">
        <v>0</v>
      </c>
      <c r="D75" s="30" t="n">
        <v>0</v>
      </c>
      <c r="E75" s="30" t="n">
        <v>0</v>
      </c>
      <c r="F75" s="30" t="n">
        <f aca="false">-F28</f>
        <v>-0</v>
      </c>
      <c r="G75" s="30" t="n">
        <f aca="false">-G28</f>
        <v>-0</v>
      </c>
      <c r="H75" s="30" t="n">
        <f aca="false">-H28</f>
        <v>-0</v>
      </c>
      <c r="I75" s="30" t="n">
        <f aca="false">-I28</f>
        <v>-0</v>
      </c>
      <c r="J75" s="30" t="n">
        <f aca="false">-J28</f>
        <v>-0</v>
      </c>
      <c r="K75" s="30" t="n">
        <f aca="false">-K28</f>
        <v>-0</v>
      </c>
      <c r="L75" s="30" t="n">
        <f aca="false">-L28</f>
        <v>-0</v>
      </c>
      <c r="M75" s="30" t="n">
        <f aca="false">-M28</f>
        <v>-0</v>
      </c>
      <c r="N75" s="30" t="n">
        <f aca="false">-N28</f>
        <v>-0</v>
      </c>
      <c r="O75" s="30" t="n">
        <f aca="false">-O28</f>
        <v>-0</v>
      </c>
      <c r="P75" s="30" t="n">
        <f aca="false">-P28</f>
        <v>-0</v>
      </c>
      <c r="Q75" s="30" t="n">
        <f aca="false">-Q28</f>
        <v>-0</v>
      </c>
      <c r="R75" s="30" t="n">
        <f aca="false">-R28</f>
        <v>-0</v>
      </c>
      <c r="S75" s="30" t="n">
        <f aca="false">-S28</f>
        <v>-0</v>
      </c>
      <c r="T75" s="30" t="n">
        <f aca="false">-T28</f>
        <v>-0</v>
      </c>
      <c r="U75" s="30" t="n">
        <f aca="false">-U28</f>
        <v>-0</v>
      </c>
      <c r="V75" s="30" t="n">
        <f aca="false">-V28</f>
        <v>-0</v>
      </c>
      <c r="W75" s="30" t="n">
        <f aca="false">-W28</f>
        <v>-0</v>
      </c>
      <c r="X75" s="30" t="n">
        <f aca="false">-X28</f>
        <v>-0</v>
      </c>
      <c r="Y75" s="30" t="n">
        <f aca="false">-Y28</f>
        <v>-0</v>
      </c>
      <c r="Z75" s="30" t="n">
        <f aca="false">-Z28</f>
        <v>-0</v>
      </c>
      <c r="AA75" s="30" t="n">
        <f aca="false">-AA28</f>
        <v>-0</v>
      </c>
      <c r="AB75" s="30" t="n">
        <f aca="false">-AB28</f>
        <v>-0</v>
      </c>
      <c r="AC75" s="30" t="n">
        <f aca="false">-AC28</f>
        <v>-0</v>
      </c>
      <c r="AD75" s="30" t="n">
        <f aca="false">-AD28</f>
        <v>-0</v>
      </c>
      <c r="AE75" s="30" t="n">
        <f aca="false">-AE28</f>
        <v>-0</v>
      </c>
      <c r="AF75" s="30" t="n">
        <f aca="false">-AF28</f>
        <v>-0</v>
      </c>
      <c r="AG75" s="30" t="n">
        <f aca="false">-AG28</f>
        <v>-0</v>
      </c>
      <c r="AH75" s="30" t="n">
        <f aca="false">-AH28</f>
        <v>-0</v>
      </c>
      <c r="AI75" s="30" t="n">
        <f aca="false">-AI28</f>
        <v>-0</v>
      </c>
      <c r="AJ75" s="30" t="n">
        <f aca="false">-AJ28</f>
        <v>-0</v>
      </c>
      <c r="AK75" s="30" t="n">
        <f aca="false">-AK28</f>
        <v>-0</v>
      </c>
      <c r="AL75" s="30" t="n">
        <f aca="false">-AL28</f>
        <v>-0</v>
      </c>
      <c r="AM75" s="30" t="n">
        <f aca="false">-AM28</f>
        <v>-0</v>
      </c>
      <c r="AN75" s="30" t="n">
        <f aca="false">-AN28</f>
        <v>-0</v>
      </c>
      <c r="AO75" s="30" t="n">
        <f aca="false">-AO28</f>
        <v>-0</v>
      </c>
      <c r="AP75" s="30" t="n">
        <f aca="false">-AP28</f>
        <v>-0</v>
      </c>
      <c r="AQ75" s="30" t="n">
        <f aca="false">-AQ28</f>
        <v>-0</v>
      </c>
      <c r="AR75" s="30" t="n">
        <f aca="false">-AR28</f>
        <v>-0</v>
      </c>
      <c r="AS75" s="30" t="n">
        <f aca="false">-AS28</f>
        <v>-0</v>
      </c>
      <c r="AT75" s="30" t="n">
        <f aca="false">-AT28</f>
        <v>-0</v>
      </c>
      <c r="AU75" s="30" t="n">
        <f aca="false">-AU28</f>
        <v>-0</v>
      </c>
      <c r="AV75" s="30" t="n">
        <f aca="false">-AV28</f>
        <v>-0</v>
      </c>
      <c r="AW75" s="30" t="n">
        <f aca="false">-AW28</f>
        <v>-0</v>
      </c>
      <c r="AX75" s="30" t="n">
        <f aca="false">-AX28</f>
        <v>-0</v>
      </c>
      <c r="AY75" s="30" t="n">
        <f aca="false">-AY28</f>
        <v>-0</v>
      </c>
      <c r="AZ75" s="30" t="n">
        <f aca="false">-AZ28</f>
        <v>-0</v>
      </c>
      <c r="BA75" s="30" t="n">
        <f aca="false">-BA28</f>
        <v>-0</v>
      </c>
      <c r="BB75" s="30" t="n">
        <f aca="false">-BB28</f>
        <v>-0</v>
      </c>
      <c r="BC75" s="30" t="n">
        <f aca="false">-BC28</f>
        <v>-0</v>
      </c>
      <c r="BD75" s="30" t="n">
        <f aca="false">-BD28</f>
        <v>-0</v>
      </c>
      <c r="BE75" s="30" t="n">
        <f aca="false">-BE28</f>
        <v>-0</v>
      </c>
      <c r="BF75" s="30" t="n">
        <f aca="false">-BF28</f>
        <v>-0</v>
      </c>
      <c r="BG75" s="30" t="n">
        <f aca="false">-BG28</f>
        <v>-0</v>
      </c>
      <c r="BH75" s="30" t="n">
        <f aca="false">-BH28</f>
        <v>-0</v>
      </c>
      <c r="BI75" s="30" t="n">
        <f aca="false">-BI28</f>
        <v>-0</v>
      </c>
      <c r="BJ75" s="30" t="n">
        <f aca="false">-BJ28</f>
        <v>-0</v>
      </c>
      <c r="BK75" s="30" t="n">
        <f aca="false">-BK28</f>
        <v>-0</v>
      </c>
      <c r="BL75" s="30" t="n">
        <f aca="false">-BL28</f>
        <v>-0</v>
      </c>
      <c r="BM75" s="30" t="n">
        <f aca="false">-BM28</f>
        <v>-0</v>
      </c>
      <c r="BN75" s="30" t="n">
        <f aca="false">-BN28</f>
        <v>-0</v>
      </c>
      <c r="BO75" s="30" t="n">
        <f aca="false">-BO28</f>
        <v>-0</v>
      </c>
      <c r="BP75" s="30" t="n">
        <f aca="false">-BP28</f>
        <v>-0</v>
      </c>
      <c r="BQ75" s="30" t="n">
        <f aca="false">-BQ28</f>
        <v>-0</v>
      </c>
      <c r="BR75" s="30" t="n">
        <f aca="false">-BR28</f>
        <v>-0</v>
      </c>
      <c r="BS75" s="30" t="n">
        <f aca="false">-BS28</f>
        <v>-0</v>
      </c>
      <c r="BT75" s="30" t="n">
        <f aca="false">-BT28</f>
        <v>-0</v>
      </c>
      <c r="BU75" s="30" t="n">
        <f aca="false">-BU28</f>
        <v>-0</v>
      </c>
      <c r="BV75" s="30" t="n">
        <f aca="false">-BV28</f>
        <v>-0</v>
      </c>
      <c r="BW75" s="30" t="n">
        <f aca="false">-BW28</f>
        <v>-0</v>
      </c>
      <c r="BX75" s="30" t="n">
        <f aca="false">-BX28</f>
        <v>-0</v>
      </c>
      <c r="BY75" s="30" t="n">
        <f aca="false">-BY28</f>
        <v>-0</v>
      </c>
      <c r="BZ75" s="30" t="n">
        <f aca="false">-BZ28</f>
        <v>-0</v>
      </c>
      <c r="CA75" s="30" t="n">
        <f aca="false">-CA28</f>
        <v>-0</v>
      </c>
      <c r="CB75" s="30" t="n">
        <f aca="false">-CB28</f>
        <v>-0</v>
      </c>
      <c r="CC75" s="30" t="n">
        <f aca="false">-CC28</f>
        <v>-0</v>
      </c>
      <c r="CD75" s="30" t="n">
        <f aca="false">-CD28</f>
        <v>-0</v>
      </c>
      <c r="CE75" s="30" t="n">
        <f aca="false">-CE28</f>
        <v>-0</v>
      </c>
      <c r="CF75" s="30" t="n">
        <f aca="false">-CF28</f>
        <v>-0</v>
      </c>
      <c r="CG75" s="30" t="n">
        <f aca="false">-CG28</f>
        <v>-0</v>
      </c>
      <c r="CH75" s="30" t="n">
        <f aca="false">-CH28</f>
        <v>-0</v>
      </c>
      <c r="CI75" s="30" t="n">
        <f aca="false">-CI28</f>
        <v>-0</v>
      </c>
      <c r="CJ75" s="30" t="n">
        <f aca="false">-CJ28</f>
        <v>-0</v>
      </c>
      <c r="CK75" s="30" t="n">
        <f aca="false">-CK28</f>
        <v>-0</v>
      </c>
      <c r="CL75" s="30" t="n">
        <f aca="false">-CL28</f>
        <v>-0</v>
      </c>
      <c r="CM75" s="30" t="n">
        <f aca="false">-CM28</f>
        <v>-0</v>
      </c>
      <c r="CN75" s="30" t="n">
        <f aca="false">-CN28</f>
        <v>-0</v>
      </c>
      <c r="CO75" s="30" t="n">
        <f aca="false">-CO28</f>
        <v>-0</v>
      </c>
      <c r="CP75" s="30" t="n">
        <f aca="false">-CP28</f>
        <v>-0</v>
      </c>
      <c r="CQ75" s="30" t="n">
        <f aca="false">-CQ28</f>
        <v>-0</v>
      </c>
      <c r="CR75" s="30" t="n">
        <f aca="false">-CR28</f>
        <v>-0</v>
      </c>
      <c r="CS75" s="30" t="n">
        <f aca="false">-CS28</f>
        <v>-0</v>
      </c>
      <c r="CT75" s="30" t="n">
        <f aca="false">-CT28</f>
        <v>-0</v>
      </c>
      <c r="CU75" s="30" t="n">
        <f aca="false">-CU28</f>
        <v>-0</v>
      </c>
      <c r="CV75" s="30" t="n">
        <f aca="false">-CV28</f>
        <v>-0</v>
      </c>
      <c r="CW75" s="30" t="n">
        <f aca="false">-CW28</f>
        <v>-0</v>
      </c>
      <c r="CX75" s="30" t="n">
        <f aca="false">-CX28</f>
        <v>-0</v>
      </c>
      <c r="CY75" s="30" t="n">
        <f aca="false">-CY28</f>
        <v>-0</v>
      </c>
      <c r="CZ75" s="30" t="n">
        <f aca="false">-CZ28</f>
        <v>-0</v>
      </c>
      <c r="DA75" s="30" t="n">
        <f aca="false">-DA28</f>
        <v>-0</v>
      </c>
      <c r="DB75" s="30" t="n">
        <f aca="false">-DB28</f>
        <v>-0</v>
      </c>
      <c r="DC75" s="30" t="n">
        <f aca="false">-DC28</f>
        <v>-0</v>
      </c>
      <c r="DD75" s="30" t="n">
        <f aca="false">-DD28</f>
        <v>-0</v>
      </c>
      <c r="DE75" s="30" t="n">
        <f aca="false">-DE28</f>
        <v>-0</v>
      </c>
    </row>
    <row r="76" customFormat="false" ht="15" hidden="true" customHeight="true" outlineLevel="1" collapsed="false">
      <c r="A76" s="32" t="s">
        <v>23</v>
      </c>
      <c r="B76" s="30" t="n">
        <v>0</v>
      </c>
      <c r="C76" s="30" t="n">
        <v>0</v>
      </c>
      <c r="D76" s="30" t="n">
        <v>0</v>
      </c>
      <c r="E76" s="30" t="n">
        <v>0</v>
      </c>
      <c r="F76" s="30" t="n">
        <f aca="false">-F29</f>
        <v>-0</v>
      </c>
      <c r="G76" s="30" t="n">
        <f aca="false">-G29</f>
        <v>-0</v>
      </c>
      <c r="H76" s="30" t="n">
        <f aca="false">-H29</f>
        <v>-0</v>
      </c>
      <c r="I76" s="30" t="n">
        <f aca="false">-I29</f>
        <v>-0</v>
      </c>
      <c r="J76" s="30" t="n">
        <f aca="false">-J29</f>
        <v>-0</v>
      </c>
      <c r="K76" s="30" t="n">
        <f aca="false">-K29</f>
        <v>-0</v>
      </c>
      <c r="L76" s="30" t="n">
        <f aca="false">-L29</f>
        <v>-0</v>
      </c>
      <c r="M76" s="30" t="n">
        <f aca="false">-M29</f>
        <v>-0</v>
      </c>
      <c r="N76" s="30" t="n">
        <f aca="false">-N29</f>
        <v>-0</v>
      </c>
      <c r="O76" s="30" t="n">
        <f aca="false">-O29</f>
        <v>-0</v>
      </c>
      <c r="P76" s="30" t="n">
        <f aca="false">-P29</f>
        <v>-0</v>
      </c>
      <c r="Q76" s="30" t="n">
        <f aca="false">-Q29</f>
        <v>-0</v>
      </c>
      <c r="R76" s="30" t="n">
        <f aca="false">-R29</f>
        <v>-0</v>
      </c>
      <c r="S76" s="30" t="n">
        <f aca="false">-S29</f>
        <v>-0</v>
      </c>
      <c r="T76" s="30" t="n">
        <f aca="false">-T29</f>
        <v>-0</v>
      </c>
      <c r="U76" s="30" t="n">
        <f aca="false">-U29</f>
        <v>-0</v>
      </c>
      <c r="V76" s="30" t="n">
        <f aca="false">-V29</f>
        <v>-0</v>
      </c>
      <c r="W76" s="30" t="n">
        <f aca="false">-W29</f>
        <v>-0</v>
      </c>
      <c r="X76" s="30" t="n">
        <f aca="false">-X29</f>
        <v>-0</v>
      </c>
      <c r="Y76" s="30" t="n">
        <f aca="false">-Y29</f>
        <v>-0</v>
      </c>
      <c r="Z76" s="30" t="n">
        <f aca="false">-Z29</f>
        <v>-0</v>
      </c>
      <c r="AA76" s="30" t="n">
        <f aca="false">-AA29</f>
        <v>-0</v>
      </c>
      <c r="AB76" s="30" t="n">
        <f aca="false">-AB29</f>
        <v>-0</v>
      </c>
      <c r="AC76" s="30" t="n">
        <f aca="false">-AC29</f>
        <v>-0</v>
      </c>
      <c r="AD76" s="30" t="n">
        <f aca="false">-AD29</f>
        <v>-0</v>
      </c>
      <c r="AE76" s="30" t="n">
        <f aca="false">-AE29</f>
        <v>-0</v>
      </c>
      <c r="AF76" s="30" t="n">
        <f aca="false">-AF29</f>
        <v>-0</v>
      </c>
      <c r="AG76" s="30" t="n">
        <f aca="false">-AG29</f>
        <v>-0</v>
      </c>
      <c r="AH76" s="30" t="n">
        <f aca="false">-AH29</f>
        <v>-0</v>
      </c>
      <c r="AI76" s="30" t="n">
        <f aca="false">-AI29</f>
        <v>-0</v>
      </c>
      <c r="AJ76" s="30" t="n">
        <f aca="false">-AJ29</f>
        <v>-0</v>
      </c>
      <c r="AK76" s="30" t="n">
        <f aca="false">-AK29</f>
        <v>-0</v>
      </c>
      <c r="AL76" s="30" t="n">
        <f aca="false">-AL29</f>
        <v>-0</v>
      </c>
      <c r="AM76" s="30" t="n">
        <f aca="false">-AM29</f>
        <v>-0</v>
      </c>
      <c r="AN76" s="30" t="n">
        <f aca="false">-AN29</f>
        <v>-0</v>
      </c>
      <c r="AO76" s="30" t="n">
        <f aca="false">-AO29</f>
        <v>-0</v>
      </c>
      <c r="AP76" s="30" t="n">
        <f aca="false">-AP29</f>
        <v>-0</v>
      </c>
      <c r="AQ76" s="30" t="n">
        <f aca="false">-AQ29</f>
        <v>-0</v>
      </c>
      <c r="AR76" s="30" t="n">
        <f aca="false">-AR29</f>
        <v>-0</v>
      </c>
      <c r="AS76" s="30" t="n">
        <f aca="false">-AS29</f>
        <v>-0</v>
      </c>
      <c r="AT76" s="30" t="n">
        <f aca="false">-AT29</f>
        <v>-0</v>
      </c>
      <c r="AU76" s="30" t="n">
        <f aca="false">-AU29</f>
        <v>-0</v>
      </c>
      <c r="AV76" s="30" t="n">
        <f aca="false">-AV29</f>
        <v>-0</v>
      </c>
      <c r="AW76" s="30" t="n">
        <f aca="false">-AW29</f>
        <v>-0</v>
      </c>
      <c r="AX76" s="30" t="n">
        <f aca="false">-AX29</f>
        <v>-0</v>
      </c>
      <c r="AY76" s="30" t="n">
        <f aca="false">-AY29</f>
        <v>-0</v>
      </c>
      <c r="AZ76" s="30" t="n">
        <f aca="false">-AZ29</f>
        <v>-0</v>
      </c>
      <c r="BA76" s="30" t="n">
        <f aca="false">-BA29</f>
        <v>-0</v>
      </c>
      <c r="BB76" s="30" t="n">
        <f aca="false">-BB29</f>
        <v>-0</v>
      </c>
      <c r="BC76" s="30" t="n">
        <f aca="false">-BC29</f>
        <v>-0</v>
      </c>
      <c r="BD76" s="30" t="n">
        <f aca="false">-BD29</f>
        <v>-0</v>
      </c>
      <c r="BE76" s="30" t="n">
        <f aca="false">-BE29</f>
        <v>-0</v>
      </c>
      <c r="BF76" s="30" t="n">
        <f aca="false">-BF29</f>
        <v>-0</v>
      </c>
      <c r="BG76" s="30" t="n">
        <f aca="false">-BG29</f>
        <v>-0</v>
      </c>
      <c r="BH76" s="30" t="n">
        <f aca="false">-BH29</f>
        <v>-0</v>
      </c>
      <c r="BI76" s="30" t="n">
        <f aca="false">-BI29</f>
        <v>-0</v>
      </c>
      <c r="BJ76" s="30" t="n">
        <f aca="false">-BJ29</f>
        <v>-0</v>
      </c>
      <c r="BK76" s="30" t="n">
        <f aca="false">-BK29</f>
        <v>-0</v>
      </c>
      <c r="BL76" s="30" t="n">
        <f aca="false">-BL29</f>
        <v>-0</v>
      </c>
      <c r="BM76" s="30" t="n">
        <f aca="false">-BM29</f>
        <v>-0</v>
      </c>
      <c r="BN76" s="30" t="n">
        <f aca="false">-BN29</f>
        <v>-0</v>
      </c>
      <c r="BO76" s="30" t="n">
        <f aca="false">-BO29</f>
        <v>-0</v>
      </c>
      <c r="BP76" s="30" t="n">
        <f aca="false">-BP29</f>
        <v>-0</v>
      </c>
      <c r="BQ76" s="30" t="n">
        <f aca="false">-BQ29</f>
        <v>-0</v>
      </c>
      <c r="BR76" s="30" t="n">
        <f aca="false">-BR29</f>
        <v>-0</v>
      </c>
      <c r="BS76" s="30" t="n">
        <f aca="false">-BS29</f>
        <v>-0</v>
      </c>
      <c r="BT76" s="30" t="n">
        <f aca="false">-BT29</f>
        <v>-0</v>
      </c>
      <c r="BU76" s="30" t="n">
        <f aca="false">-BU29</f>
        <v>-0</v>
      </c>
      <c r="BV76" s="30" t="n">
        <f aca="false">-BV29</f>
        <v>-0</v>
      </c>
      <c r="BW76" s="30" t="n">
        <f aca="false">-BW29</f>
        <v>-0</v>
      </c>
      <c r="BX76" s="30" t="n">
        <f aca="false">-BX29</f>
        <v>-0</v>
      </c>
      <c r="BY76" s="30" t="n">
        <f aca="false">-BY29</f>
        <v>-0</v>
      </c>
      <c r="BZ76" s="30" t="n">
        <f aca="false">-BZ29</f>
        <v>-0</v>
      </c>
      <c r="CA76" s="30" t="n">
        <f aca="false">-CA29</f>
        <v>-0</v>
      </c>
      <c r="CB76" s="30" t="n">
        <f aca="false">-CB29</f>
        <v>-0</v>
      </c>
      <c r="CC76" s="30" t="n">
        <f aca="false">-CC29</f>
        <v>-0</v>
      </c>
      <c r="CD76" s="30" t="n">
        <f aca="false">-CD29</f>
        <v>-0</v>
      </c>
      <c r="CE76" s="30" t="n">
        <f aca="false">-CE29</f>
        <v>-0</v>
      </c>
      <c r="CF76" s="30" t="n">
        <f aca="false">-CF29</f>
        <v>-0</v>
      </c>
      <c r="CG76" s="30" t="n">
        <f aca="false">-CG29</f>
        <v>-0</v>
      </c>
      <c r="CH76" s="30" t="n">
        <f aca="false">-CH29</f>
        <v>-0</v>
      </c>
      <c r="CI76" s="30" t="n">
        <f aca="false">-CI29</f>
        <v>-0</v>
      </c>
      <c r="CJ76" s="30" t="n">
        <f aca="false">-CJ29</f>
        <v>-0</v>
      </c>
      <c r="CK76" s="30" t="n">
        <f aca="false">-CK29</f>
        <v>-0</v>
      </c>
      <c r="CL76" s="30" t="n">
        <f aca="false">-CL29</f>
        <v>-0</v>
      </c>
      <c r="CM76" s="30" t="n">
        <f aca="false">-CM29</f>
        <v>-0</v>
      </c>
      <c r="CN76" s="30" t="n">
        <f aca="false">-CN29</f>
        <v>-0</v>
      </c>
      <c r="CO76" s="30" t="n">
        <f aca="false">-CO29</f>
        <v>-0</v>
      </c>
      <c r="CP76" s="30" t="n">
        <f aca="false">-CP29</f>
        <v>-0</v>
      </c>
      <c r="CQ76" s="30" t="n">
        <f aca="false">-CQ29</f>
        <v>-0</v>
      </c>
      <c r="CR76" s="30" t="n">
        <f aca="false">-CR29</f>
        <v>-0</v>
      </c>
      <c r="CS76" s="30" t="n">
        <f aca="false">-CS29</f>
        <v>-0</v>
      </c>
      <c r="CT76" s="30" t="n">
        <f aca="false">-CT29</f>
        <v>-0</v>
      </c>
      <c r="CU76" s="30" t="n">
        <f aca="false">-CU29</f>
        <v>-0</v>
      </c>
      <c r="CV76" s="30" t="n">
        <f aca="false">-CV29</f>
        <v>-0</v>
      </c>
      <c r="CW76" s="30" t="n">
        <f aca="false">-CW29</f>
        <v>-0</v>
      </c>
      <c r="CX76" s="30" t="n">
        <f aca="false">-CX29</f>
        <v>-0</v>
      </c>
      <c r="CY76" s="30" t="n">
        <f aca="false">-CY29</f>
        <v>-0</v>
      </c>
      <c r="CZ76" s="30" t="n">
        <f aca="false">-CZ29</f>
        <v>-0</v>
      </c>
      <c r="DA76" s="30" t="n">
        <f aca="false">-DA29</f>
        <v>-0</v>
      </c>
      <c r="DB76" s="30" t="n">
        <f aca="false">-DB29</f>
        <v>-0</v>
      </c>
      <c r="DC76" s="30" t="n">
        <f aca="false">-DC29</f>
        <v>-0</v>
      </c>
      <c r="DD76" s="30" t="n">
        <f aca="false">-DD29</f>
        <v>-0</v>
      </c>
      <c r="DE76" s="30" t="n">
        <f aca="false">-DE29</f>
        <v>-0</v>
      </c>
    </row>
    <row r="77" customFormat="false" ht="15" hidden="true" customHeight="true" outlineLevel="1" collapsed="false">
      <c r="A77" s="32" t="s">
        <v>24</v>
      </c>
      <c r="B77" s="30" t="n">
        <v>0</v>
      </c>
      <c r="C77" s="30" t="n">
        <v>0</v>
      </c>
      <c r="D77" s="30" t="n">
        <v>0</v>
      </c>
      <c r="E77" s="30" t="n">
        <v>0</v>
      </c>
      <c r="F77" s="30" t="n">
        <f aca="false">-F30</f>
        <v>-0</v>
      </c>
      <c r="G77" s="30" t="n">
        <f aca="false">-G30</f>
        <v>-0</v>
      </c>
      <c r="H77" s="30" t="n">
        <f aca="false">-H30</f>
        <v>-0</v>
      </c>
      <c r="I77" s="30" t="n">
        <f aca="false">-I30</f>
        <v>-0</v>
      </c>
      <c r="J77" s="30" t="n">
        <f aca="false">-J30</f>
        <v>-0</v>
      </c>
      <c r="K77" s="30" t="n">
        <f aca="false">-K30</f>
        <v>-0</v>
      </c>
      <c r="L77" s="30" t="n">
        <f aca="false">-L30</f>
        <v>-0</v>
      </c>
      <c r="M77" s="30" t="n">
        <f aca="false">-M30</f>
        <v>-0</v>
      </c>
      <c r="N77" s="30" t="n">
        <f aca="false">-N30</f>
        <v>-0</v>
      </c>
      <c r="O77" s="30" t="n">
        <f aca="false">-O30</f>
        <v>-0</v>
      </c>
      <c r="P77" s="30" t="n">
        <f aca="false">-P30</f>
        <v>-0</v>
      </c>
      <c r="Q77" s="30" t="n">
        <f aca="false">-Q30</f>
        <v>-0</v>
      </c>
      <c r="R77" s="30" t="n">
        <f aca="false">-R30</f>
        <v>-0</v>
      </c>
      <c r="S77" s="30" t="n">
        <f aca="false">-S30</f>
        <v>-0</v>
      </c>
      <c r="T77" s="30" t="n">
        <f aca="false">-T30</f>
        <v>-0</v>
      </c>
      <c r="U77" s="30" t="n">
        <f aca="false">-U30</f>
        <v>-0</v>
      </c>
      <c r="V77" s="30" t="n">
        <f aca="false">-V30</f>
        <v>-0</v>
      </c>
      <c r="W77" s="30" t="n">
        <f aca="false">-W30</f>
        <v>-0</v>
      </c>
      <c r="X77" s="30" t="n">
        <f aca="false">-X30</f>
        <v>-0</v>
      </c>
      <c r="Y77" s="30" t="n">
        <f aca="false">-Y30</f>
        <v>-0</v>
      </c>
      <c r="Z77" s="30" t="n">
        <f aca="false">-Z30</f>
        <v>-0</v>
      </c>
      <c r="AA77" s="30" t="n">
        <f aca="false">-AA30</f>
        <v>-0</v>
      </c>
      <c r="AB77" s="30" t="n">
        <f aca="false">-AB30</f>
        <v>-0</v>
      </c>
      <c r="AC77" s="30" t="n">
        <f aca="false">-AC30</f>
        <v>-0</v>
      </c>
      <c r="AD77" s="30" t="n">
        <f aca="false">-AD30</f>
        <v>-0</v>
      </c>
      <c r="AE77" s="30" t="n">
        <f aca="false">-AE30</f>
        <v>-0</v>
      </c>
      <c r="AF77" s="30" t="n">
        <f aca="false">-AF30</f>
        <v>-0</v>
      </c>
      <c r="AG77" s="30" t="n">
        <f aca="false">-AG30</f>
        <v>-0</v>
      </c>
      <c r="AH77" s="30" t="n">
        <f aca="false">-AH30</f>
        <v>-0</v>
      </c>
      <c r="AI77" s="30" t="n">
        <f aca="false">-AI30</f>
        <v>-0</v>
      </c>
      <c r="AJ77" s="30" t="n">
        <f aca="false">-AJ30</f>
        <v>-0</v>
      </c>
      <c r="AK77" s="30" t="n">
        <f aca="false">-AK30</f>
        <v>-0</v>
      </c>
      <c r="AL77" s="30" t="n">
        <f aca="false">-AL30</f>
        <v>-0</v>
      </c>
      <c r="AM77" s="30" t="n">
        <f aca="false">-AM30</f>
        <v>-0</v>
      </c>
      <c r="AN77" s="30" t="n">
        <f aca="false">-AN30</f>
        <v>-0</v>
      </c>
      <c r="AO77" s="30" t="n">
        <f aca="false">-AO30</f>
        <v>-0</v>
      </c>
      <c r="AP77" s="30" t="n">
        <f aca="false">-AP30</f>
        <v>-0</v>
      </c>
      <c r="AQ77" s="30" t="n">
        <f aca="false">-AQ30</f>
        <v>-0</v>
      </c>
      <c r="AR77" s="30" t="n">
        <f aca="false">-AR30</f>
        <v>-0</v>
      </c>
      <c r="AS77" s="30" t="n">
        <f aca="false">-AS30</f>
        <v>-0</v>
      </c>
      <c r="AT77" s="30" t="n">
        <f aca="false">-AT30</f>
        <v>-0</v>
      </c>
      <c r="AU77" s="30" t="n">
        <f aca="false">-AU30</f>
        <v>-0</v>
      </c>
      <c r="AV77" s="30" t="n">
        <f aca="false">-AV30</f>
        <v>-0</v>
      </c>
      <c r="AW77" s="30" t="n">
        <f aca="false">-AW30</f>
        <v>-0</v>
      </c>
      <c r="AX77" s="30" t="n">
        <f aca="false">-AX30</f>
        <v>-0</v>
      </c>
      <c r="AY77" s="30" t="n">
        <f aca="false">-AY30</f>
        <v>-0</v>
      </c>
      <c r="AZ77" s="30" t="n">
        <f aca="false">-AZ30</f>
        <v>-0</v>
      </c>
      <c r="BA77" s="30" t="n">
        <f aca="false">-BA30</f>
        <v>-0</v>
      </c>
      <c r="BB77" s="30" t="n">
        <f aca="false">-BB30</f>
        <v>-0</v>
      </c>
      <c r="BC77" s="30" t="n">
        <f aca="false">-BC30</f>
        <v>-0</v>
      </c>
      <c r="BD77" s="30" t="n">
        <f aca="false">-BD30</f>
        <v>-0</v>
      </c>
      <c r="BE77" s="30" t="n">
        <f aca="false">-BE30</f>
        <v>-0</v>
      </c>
      <c r="BF77" s="30" t="n">
        <f aca="false">-BF30</f>
        <v>-0</v>
      </c>
      <c r="BG77" s="30" t="n">
        <f aca="false">-BG30</f>
        <v>-0</v>
      </c>
      <c r="BH77" s="30" t="n">
        <f aca="false">-BH30</f>
        <v>-0</v>
      </c>
      <c r="BI77" s="30" t="n">
        <f aca="false">-BI30</f>
        <v>-0</v>
      </c>
      <c r="BJ77" s="30" t="n">
        <f aca="false">-BJ30</f>
        <v>-0</v>
      </c>
      <c r="BK77" s="30" t="n">
        <f aca="false">-BK30</f>
        <v>-0</v>
      </c>
      <c r="BL77" s="30" t="n">
        <f aca="false">-BL30</f>
        <v>-0</v>
      </c>
      <c r="BM77" s="30" t="n">
        <f aca="false">-BM30</f>
        <v>-0</v>
      </c>
      <c r="BN77" s="30" t="n">
        <f aca="false">-BN30</f>
        <v>-0</v>
      </c>
      <c r="BO77" s="30" t="n">
        <f aca="false">-BO30</f>
        <v>-0</v>
      </c>
      <c r="BP77" s="30" t="n">
        <f aca="false">-BP30</f>
        <v>-0</v>
      </c>
      <c r="BQ77" s="30" t="n">
        <f aca="false">-BQ30</f>
        <v>-0</v>
      </c>
      <c r="BR77" s="30" t="n">
        <f aca="false">-BR30</f>
        <v>-0</v>
      </c>
      <c r="BS77" s="30" t="n">
        <f aca="false">-BS30</f>
        <v>-0</v>
      </c>
      <c r="BT77" s="30" t="n">
        <f aca="false">-BT30</f>
        <v>-0</v>
      </c>
      <c r="BU77" s="30" t="n">
        <f aca="false">-BU30</f>
        <v>-0</v>
      </c>
      <c r="BV77" s="30" t="n">
        <f aca="false">-BV30</f>
        <v>-0</v>
      </c>
      <c r="BW77" s="30" t="n">
        <f aca="false">-BW30</f>
        <v>-0</v>
      </c>
      <c r="BX77" s="30" t="n">
        <f aca="false">-BX30</f>
        <v>-0</v>
      </c>
      <c r="BY77" s="30" t="n">
        <f aca="false">-BY30</f>
        <v>-0</v>
      </c>
      <c r="BZ77" s="30" t="n">
        <f aca="false">-BZ30</f>
        <v>-0</v>
      </c>
      <c r="CA77" s="30" t="n">
        <f aca="false">-CA30</f>
        <v>-0</v>
      </c>
      <c r="CB77" s="30" t="n">
        <f aca="false">-CB30</f>
        <v>-0</v>
      </c>
      <c r="CC77" s="30" t="n">
        <f aca="false">-CC30</f>
        <v>-0</v>
      </c>
      <c r="CD77" s="30" t="n">
        <f aca="false">-CD30</f>
        <v>-0</v>
      </c>
      <c r="CE77" s="30" t="n">
        <f aca="false">-CE30</f>
        <v>-0</v>
      </c>
      <c r="CF77" s="30" t="n">
        <f aca="false">-CF30</f>
        <v>-0</v>
      </c>
      <c r="CG77" s="30" t="n">
        <f aca="false">-CG30</f>
        <v>-0</v>
      </c>
      <c r="CH77" s="30" t="n">
        <f aca="false">-CH30</f>
        <v>-0</v>
      </c>
      <c r="CI77" s="30" t="n">
        <f aca="false">-CI30</f>
        <v>-0</v>
      </c>
      <c r="CJ77" s="30" t="n">
        <f aca="false">-CJ30</f>
        <v>-0</v>
      </c>
      <c r="CK77" s="30" t="n">
        <f aca="false">-CK30</f>
        <v>-0</v>
      </c>
      <c r="CL77" s="30" t="n">
        <f aca="false">-CL30</f>
        <v>-0</v>
      </c>
      <c r="CM77" s="30" t="n">
        <f aca="false">-CM30</f>
        <v>-0</v>
      </c>
      <c r="CN77" s="30" t="n">
        <f aca="false">-CN30</f>
        <v>-0</v>
      </c>
      <c r="CO77" s="30" t="n">
        <f aca="false">-CO30</f>
        <v>-0</v>
      </c>
      <c r="CP77" s="30" t="n">
        <f aca="false">-CP30</f>
        <v>-0</v>
      </c>
      <c r="CQ77" s="30" t="n">
        <f aca="false">-CQ30</f>
        <v>-0</v>
      </c>
      <c r="CR77" s="30" t="n">
        <f aca="false">-CR30</f>
        <v>-0</v>
      </c>
      <c r="CS77" s="30" t="n">
        <f aca="false">-CS30</f>
        <v>-0</v>
      </c>
      <c r="CT77" s="30" t="n">
        <f aca="false">-CT30</f>
        <v>-0</v>
      </c>
      <c r="CU77" s="30" t="n">
        <f aca="false">-CU30</f>
        <v>-0</v>
      </c>
      <c r="CV77" s="30" t="n">
        <f aca="false">-CV30</f>
        <v>-0</v>
      </c>
      <c r="CW77" s="30" t="n">
        <f aca="false">-CW30</f>
        <v>-0</v>
      </c>
      <c r="CX77" s="30" t="n">
        <f aca="false">-CX30</f>
        <v>-0</v>
      </c>
      <c r="CY77" s="30" t="n">
        <f aca="false">-CY30</f>
        <v>-0</v>
      </c>
      <c r="CZ77" s="30" t="n">
        <f aca="false">-CZ30</f>
        <v>-0</v>
      </c>
      <c r="DA77" s="30" t="n">
        <f aca="false">-DA30</f>
        <v>-0</v>
      </c>
      <c r="DB77" s="30" t="n">
        <f aca="false">-DB30</f>
        <v>-0</v>
      </c>
      <c r="DC77" s="30" t="n">
        <f aca="false">-DC30</f>
        <v>-0</v>
      </c>
      <c r="DD77" s="30" t="n">
        <f aca="false">-DD30</f>
        <v>-0</v>
      </c>
      <c r="DE77" s="30" t="n">
        <f aca="false">-DE30</f>
        <v>-0</v>
      </c>
    </row>
    <row r="78" customFormat="false" ht="15" hidden="true" customHeight="true" outlineLevel="1" collapsed="false">
      <c r="A78" s="32" t="s">
        <v>25</v>
      </c>
      <c r="B78" s="30" t="n">
        <v>0</v>
      </c>
      <c r="C78" s="30" t="n">
        <v>0</v>
      </c>
      <c r="D78" s="30" t="n">
        <v>0</v>
      </c>
      <c r="E78" s="30" t="n">
        <v>0</v>
      </c>
      <c r="F78" s="30" t="n">
        <f aca="false">-F31</f>
        <v>-0</v>
      </c>
      <c r="G78" s="30" t="n">
        <f aca="false">-G31</f>
        <v>-0</v>
      </c>
      <c r="H78" s="30" t="n">
        <f aca="false">-H31</f>
        <v>-0</v>
      </c>
      <c r="I78" s="30" t="n">
        <f aca="false">-I31</f>
        <v>-0</v>
      </c>
      <c r="J78" s="30" t="n">
        <f aca="false">-J31</f>
        <v>-0</v>
      </c>
      <c r="K78" s="30" t="n">
        <f aca="false">-K31</f>
        <v>-0</v>
      </c>
      <c r="L78" s="30" t="n">
        <f aca="false">-L31</f>
        <v>-0</v>
      </c>
      <c r="M78" s="30" t="n">
        <f aca="false">-M31</f>
        <v>-0</v>
      </c>
      <c r="N78" s="30" t="n">
        <f aca="false">-N31</f>
        <v>-0</v>
      </c>
      <c r="O78" s="30" t="n">
        <f aca="false">-O31</f>
        <v>-0</v>
      </c>
      <c r="P78" s="30" t="n">
        <f aca="false">-P31</f>
        <v>-0</v>
      </c>
      <c r="Q78" s="30" t="n">
        <f aca="false">-Q31</f>
        <v>-0</v>
      </c>
      <c r="R78" s="30" t="n">
        <f aca="false">-R31</f>
        <v>-0</v>
      </c>
      <c r="S78" s="30" t="n">
        <f aca="false">-S31</f>
        <v>-0</v>
      </c>
      <c r="T78" s="30" t="n">
        <f aca="false">-T31</f>
        <v>-0</v>
      </c>
      <c r="U78" s="30" t="n">
        <f aca="false">-U31</f>
        <v>-0</v>
      </c>
      <c r="V78" s="30" t="n">
        <f aca="false">-V31</f>
        <v>-0</v>
      </c>
      <c r="W78" s="30" t="n">
        <f aca="false">-W31</f>
        <v>-0</v>
      </c>
      <c r="X78" s="30" t="n">
        <f aca="false">-X31</f>
        <v>-0</v>
      </c>
      <c r="Y78" s="30" t="n">
        <f aca="false">-Y31</f>
        <v>-0</v>
      </c>
      <c r="Z78" s="30" t="n">
        <f aca="false">-Z31</f>
        <v>-0</v>
      </c>
      <c r="AA78" s="30" t="n">
        <f aca="false">-AA31</f>
        <v>-0</v>
      </c>
      <c r="AB78" s="30" t="n">
        <f aca="false">-AB31</f>
        <v>-0</v>
      </c>
      <c r="AC78" s="30" t="n">
        <f aca="false">-AC31</f>
        <v>-0</v>
      </c>
      <c r="AD78" s="30" t="n">
        <f aca="false">-AD31</f>
        <v>-0</v>
      </c>
      <c r="AE78" s="30" t="n">
        <f aca="false">-AE31</f>
        <v>-0</v>
      </c>
      <c r="AF78" s="30" t="n">
        <f aca="false">-AF31</f>
        <v>-0</v>
      </c>
      <c r="AG78" s="30" t="n">
        <f aca="false">-AG31</f>
        <v>-0</v>
      </c>
      <c r="AH78" s="30" t="n">
        <f aca="false">-AH31</f>
        <v>-0</v>
      </c>
      <c r="AI78" s="30" t="n">
        <f aca="false">-AI31</f>
        <v>-0</v>
      </c>
      <c r="AJ78" s="30" t="n">
        <f aca="false">-AJ31</f>
        <v>-0</v>
      </c>
      <c r="AK78" s="30" t="n">
        <f aca="false">-AK31</f>
        <v>-0</v>
      </c>
      <c r="AL78" s="30" t="n">
        <f aca="false">-AL31</f>
        <v>-0</v>
      </c>
      <c r="AM78" s="30" t="n">
        <f aca="false">-AM31</f>
        <v>-0</v>
      </c>
      <c r="AN78" s="30" t="n">
        <f aca="false">-AN31</f>
        <v>-0</v>
      </c>
      <c r="AO78" s="30" t="n">
        <f aca="false">-AO31</f>
        <v>-0</v>
      </c>
      <c r="AP78" s="30" t="n">
        <f aca="false">-AP31</f>
        <v>-0</v>
      </c>
      <c r="AQ78" s="30" t="n">
        <f aca="false">-AQ31</f>
        <v>-0</v>
      </c>
      <c r="AR78" s="30" t="n">
        <f aca="false">-AR31</f>
        <v>-0</v>
      </c>
      <c r="AS78" s="30" t="n">
        <f aca="false">-AS31</f>
        <v>-0</v>
      </c>
      <c r="AT78" s="30" t="n">
        <f aca="false">-AT31</f>
        <v>-0</v>
      </c>
      <c r="AU78" s="30" t="n">
        <f aca="false">-AU31</f>
        <v>-0</v>
      </c>
      <c r="AV78" s="30" t="n">
        <f aca="false">-AV31</f>
        <v>-0</v>
      </c>
      <c r="AW78" s="30" t="n">
        <f aca="false">-AW31</f>
        <v>-0</v>
      </c>
      <c r="AX78" s="30" t="n">
        <f aca="false">-AX31</f>
        <v>-0</v>
      </c>
      <c r="AY78" s="30" t="n">
        <f aca="false">-AY31</f>
        <v>-0</v>
      </c>
      <c r="AZ78" s="30" t="n">
        <f aca="false">-AZ31</f>
        <v>-0</v>
      </c>
      <c r="BA78" s="30" t="n">
        <f aca="false">-BA31</f>
        <v>-0</v>
      </c>
      <c r="BB78" s="30" t="n">
        <f aca="false">-BB31</f>
        <v>-0</v>
      </c>
      <c r="BC78" s="30" t="n">
        <f aca="false">-BC31</f>
        <v>-0</v>
      </c>
      <c r="BD78" s="30" t="n">
        <f aca="false">-BD31</f>
        <v>-0</v>
      </c>
      <c r="BE78" s="30" t="n">
        <f aca="false">-BE31</f>
        <v>-0</v>
      </c>
      <c r="BF78" s="30" t="n">
        <f aca="false">-BF31</f>
        <v>-0</v>
      </c>
      <c r="BG78" s="30" t="n">
        <f aca="false">-BG31</f>
        <v>-0</v>
      </c>
      <c r="BH78" s="30" t="n">
        <f aca="false">-BH31</f>
        <v>-0</v>
      </c>
      <c r="BI78" s="30" t="n">
        <f aca="false">-BI31</f>
        <v>-0</v>
      </c>
      <c r="BJ78" s="30" t="n">
        <f aca="false">-BJ31</f>
        <v>-0</v>
      </c>
      <c r="BK78" s="30" t="n">
        <f aca="false">-BK31</f>
        <v>-0</v>
      </c>
      <c r="BL78" s="30" t="n">
        <f aca="false">-BL31</f>
        <v>-0</v>
      </c>
      <c r="BM78" s="30" t="n">
        <f aca="false">-BM31</f>
        <v>-0</v>
      </c>
      <c r="BN78" s="30" t="n">
        <f aca="false">-BN31</f>
        <v>-0</v>
      </c>
      <c r="BO78" s="30" t="n">
        <f aca="false">-BO31</f>
        <v>-0</v>
      </c>
      <c r="BP78" s="30" t="n">
        <f aca="false">-BP31</f>
        <v>-0</v>
      </c>
      <c r="BQ78" s="30" t="n">
        <f aca="false">-BQ31</f>
        <v>-0</v>
      </c>
      <c r="BR78" s="30" t="n">
        <f aca="false">-BR31</f>
        <v>-0</v>
      </c>
      <c r="BS78" s="30" t="n">
        <f aca="false">-BS31</f>
        <v>-0</v>
      </c>
      <c r="BT78" s="30" t="n">
        <f aca="false">-BT31</f>
        <v>-0</v>
      </c>
      <c r="BU78" s="30" t="n">
        <f aca="false">-BU31</f>
        <v>-0</v>
      </c>
      <c r="BV78" s="30" t="n">
        <f aca="false">-BV31</f>
        <v>-0</v>
      </c>
      <c r="BW78" s="30" t="n">
        <f aca="false">-BW31</f>
        <v>-0</v>
      </c>
      <c r="BX78" s="30" t="n">
        <f aca="false">-BX31</f>
        <v>-0</v>
      </c>
      <c r="BY78" s="30" t="n">
        <f aca="false">-BY31</f>
        <v>-0</v>
      </c>
      <c r="BZ78" s="30" t="n">
        <f aca="false">-BZ31</f>
        <v>-0</v>
      </c>
      <c r="CA78" s="30" t="n">
        <f aca="false">-CA31</f>
        <v>-0</v>
      </c>
      <c r="CB78" s="30" t="n">
        <f aca="false">-CB31</f>
        <v>-0</v>
      </c>
      <c r="CC78" s="30" t="n">
        <f aca="false">-CC31</f>
        <v>-0</v>
      </c>
      <c r="CD78" s="30" t="n">
        <f aca="false">-CD31</f>
        <v>-0</v>
      </c>
      <c r="CE78" s="30" t="n">
        <f aca="false">-CE31</f>
        <v>-0</v>
      </c>
      <c r="CF78" s="30" t="n">
        <f aca="false">-CF31</f>
        <v>-0</v>
      </c>
      <c r="CG78" s="30" t="n">
        <f aca="false">-CG31</f>
        <v>-0</v>
      </c>
      <c r="CH78" s="30" t="n">
        <f aca="false">-CH31</f>
        <v>-0</v>
      </c>
      <c r="CI78" s="30" t="n">
        <f aca="false">-CI31</f>
        <v>-0</v>
      </c>
      <c r="CJ78" s="30" t="n">
        <f aca="false">-CJ31</f>
        <v>-0</v>
      </c>
      <c r="CK78" s="30" t="n">
        <f aca="false">-CK31</f>
        <v>-0</v>
      </c>
      <c r="CL78" s="30" t="n">
        <f aca="false">-CL31</f>
        <v>-0</v>
      </c>
      <c r="CM78" s="30" t="n">
        <f aca="false">-CM31</f>
        <v>-0</v>
      </c>
      <c r="CN78" s="30" t="n">
        <f aca="false">-CN31</f>
        <v>-0</v>
      </c>
      <c r="CO78" s="30" t="n">
        <f aca="false">-CO31</f>
        <v>-0</v>
      </c>
      <c r="CP78" s="30" t="n">
        <f aca="false">-CP31</f>
        <v>-0</v>
      </c>
      <c r="CQ78" s="30" t="n">
        <f aca="false">-CQ31</f>
        <v>-0</v>
      </c>
      <c r="CR78" s="30" t="n">
        <f aca="false">-CR31</f>
        <v>-0</v>
      </c>
      <c r="CS78" s="30" t="n">
        <f aca="false">-CS31</f>
        <v>-0</v>
      </c>
      <c r="CT78" s="30" t="n">
        <f aca="false">-CT31</f>
        <v>-0</v>
      </c>
      <c r="CU78" s="30" t="n">
        <f aca="false">-CU31</f>
        <v>-0</v>
      </c>
      <c r="CV78" s="30" t="n">
        <f aca="false">-CV31</f>
        <v>-0</v>
      </c>
      <c r="CW78" s="30" t="n">
        <f aca="false">-CW31</f>
        <v>-0</v>
      </c>
      <c r="CX78" s="30" t="n">
        <f aca="false">-CX31</f>
        <v>-0</v>
      </c>
      <c r="CY78" s="30" t="n">
        <f aca="false">-CY31</f>
        <v>-0</v>
      </c>
      <c r="CZ78" s="30" t="n">
        <f aca="false">-CZ31</f>
        <v>-0</v>
      </c>
      <c r="DA78" s="30" t="n">
        <f aca="false">-DA31</f>
        <v>-0</v>
      </c>
      <c r="DB78" s="30" t="n">
        <f aca="false">-DB31</f>
        <v>-0</v>
      </c>
      <c r="DC78" s="30" t="n">
        <f aca="false">-DC31</f>
        <v>-0</v>
      </c>
      <c r="DD78" s="30" t="n">
        <f aca="false">-DD31</f>
        <v>-0</v>
      </c>
      <c r="DE78" s="30" t="n">
        <f aca="false">-DE31</f>
        <v>-0</v>
      </c>
    </row>
    <row r="79" customFormat="false" ht="15" hidden="true" customHeight="true" outlineLevel="1" collapsed="false">
      <c r="A79" s="32" t="s">
        <v>26</v>
      </c>
      <c r="B79" s="30" t="n">
        <v>0</v>
      </c>
      <c r="C79" s="30" t="n">
        <v>0</v>
      </c>
      <c r="D79" s="30" t="n">
        <v>0</v>
      </c>
      <c r="E79" s="30" t="n">
        <v>0</v>
      </c>
      <c r="F79" s="30" t="n">
        <f aca="false">-F32</f>
        <v>-0</v>
      </c>
      <c r="G79" s="30" t="n">
        <f aca="false">-G32</f>
        <v>-0</v>
      </c>
      <c r="H79" s="30" t="n">
        <f aca="false">-H32</f>
        <v>-0</v>
      </c>
      <c r="I79" s="30" t="n">
        <f aca="false">-I32</f>
        <v>-0</v>
      </c>
      <c r="J79" s="30" t="n">
        <f aca="false">-J32</f>
        <v>-0</v>
      </c>
      <c r="K79" s="30" t="n">
        <f aca="false">-K32</f>
        <v>-0</v>
      </c>
      <c r="L79" s="30" t="n">
        <f aca="false">-L32</f>
        <v>-0</v>
      </c>
      <c r="M79" s="30" t="n">
        <f aca="false">-M32</f>
        <v>-0</v>
      </c>
      <c r="N79" s="30" t="n">
        <f aca="false">-N32</f>
        <v>-0</v>
      </c>
      <c r="O79" s="30" t="n">
        <f aca="false">-O32</f>
        <v>-0</v>
      </c>
      <c r="P79" s="30" t="n">
        <f aca="false">-P32</f>
        <v>-0</v>
      </c>
      <c r="Q79" s="30" t="n">
        <f aca="false">-Q32</f>
        <v>-0</v>
      </c>
      <c r="R79" s="30" t="n">
        <f aca="false">-R32</f>
        <v>-0</v>
      </c>
      <c r="S79" s="30" t="n">
        <f aca="false">-S32</f>
        <v>-0</v>
      </c>
      <c r="T79" s="30" t="n">
        <f aca="false">-T32</f>
        <v>-0</v>
      </c>
      <c r="U79" s="30" t="n">
        <f aca="false">-U32</f>
        <v>-0</v>
      </c>
      <c r="V79" s="30" t="n">
        <f aca="false">-V32</f>
        <v>-0</v>
      </c>
      <c r="W79" s="30" t="n">
        <f aca="false">-W32</f>
        <v>-0</v>
      </c>
      <c r="X79" s="30" t="n">
        <f aca="false">-X32</f>
        <v>-0</v>
      </c>
      <c r="Y79" s="30" t="n">
        <f aca="false">-Y32</f>
        <v>-0</v>
      </c>
      <c r="Z79" s="30" t="n">
        <f aca="false">-Z32</f>
        <v>-0</v>
      </c>
      <c r="AA79" s="30" t="n">
        <f aca="false">-AA32</f>
        <v>-0</v>
      </c>
      <c r="AB79" s="30" t="n">
        <f aca="false">-AB32</f>
        <v>-0</v>
      </c>
      <c r="AC79" s="30" t="n">
        <f aca="false">-AC32</f>
        <v>-0</v>
      </c>
      <c r="AD79" s="30" t="n">
        <f aca="false">-AD32</f>
        <v>-0</v>
      </c>
      <c r="AE79" s="30" t="n">
        <f aca="false">-AE32</f>
        <v>-0</v>
      </c>
      <c r="AF79" s="30" t="n">
        <f aca="false">-AF32</f>
        <v>-0</v>
      </c>
      <c r="AG79" s="30" t="n">
        <f aca="false">-AG32</f>
        <v>-0</v>
      </c>
      <c r="AH79" s="30" t="n">
        <f aca="false">-AH32</f>
        <v>-0</v>
      </c>
      <c r="AI79" s="30" t="n">
        <f aca="false">-AI32</f>
        <v>-0</v>
      </c>
      <c r="AJ79" s="30" t="n">
        <f aca="false">-AJ32</f>
        <v>-0</v>
      </c>
      <c r="AK79" s="30" t="n">
        <f aca="false">-AK32</f>
        <v>-0</v>
      </c>
      <c r="AL79" s="30" t="n">
        <f aca="false">-AL32</f>
        <v>-0</v>
      </c>
      <c r="AM79" s="30" t="n">
        <f aca="false">-AM32</f>
        <v>-0</v>
      </c>
      <c r="AN79" s="30" t="n">
        <f aca="false">-AN32</f>
        <v>-0</v>
      </c>
      <c r="AO79" s="30" t="n">
        <f aca="false">-AO32</f>
        <v>-0</v>
      </c>
      <c r="AP79" s="30" t="n">
        <f aca="false">-AP32</f>
        <v>-0</v>
      </c>
      <c r="AQ79" s="30" t="n">
        <f aca="false">-AQ32</f>
        <v>-0</v>
      </c>
      <c r="AR79" s="30" t="n">
        <f aca="false">-AR32</f>
        <v>-0</v>
      </c>
      <c r="AS79" s="30" t="n">
        <f aca="false">-AS32</f>
        <v>-0</v>
      </c>
      <c r="AT79" s="30" t="n">
        <f aca="false">-AT32</f>
        <v>-0</v>
      </c>
      <c r="AU79" s="30" t="n">
        <f aca="false">-AU32</f>
        <v>-0</v>
      </c>
      <c r="AV79" s="30" t="n">
        <f aca="false">-AV32</f>
        <v>-0</v>
      </c>
      <c r="AW79" s="30" t="n">
        <f aca="false">-AW32</f>
        <v>-0</v>
      </c>
      <c r="AX79" s="30" t="n">
        <f aca="false">-AX32</f>
        <v>-0</v>
      </c>
      <c r="AY79" s="30" t="n">
        <f aca="false">-AY32</f>
        <v>-0</v>
      </c>
      <c r="AZ79" s="30" t="n">
        <f aca="false">-AZ32</f>
        <v>-0</v>
      </c>
      <c r="BA79" s="30" t="n">
        <f aca="false">-BA32</f>
        <v>-0</v>
      </c>
      <c r="BB79" s="30" t="n">
        <f aca="false">-BB32</f>
        <v>-0</v>
      </c>
      <c r="BC79" s="30" t="n">
        <f aca="false">-BC32</f>
        <v>-0</v>
      </c>
      <c r="BD79" s="30" t="n">
        <f aca="false">-BD32</f>
        <v>-0</v>
      </c>
      <c r="BE79" s="30" t="n">
        <f aca="false">-BE32</f>
        <v>-0</v>
      </c>
      <c r="BF79" s="30" t="n">
        <f aca="false">-BF32</f>
        <v>-0</v>
      </c>
      <c r="BG79" s="30" t="n">
        <f aca="false">-BG32</f>
        <v>-0</v>
      </c>
      <c r="BH79" s="30" t="n">
        <f aca="false">-BH32</f>
        <v>-0</v>
      </c>
      <c r="BI79" s="30" t="n">
        <f aca="false">-BI32</f>
        <v>-0</v>
      </c>
      <c r="BJ79" s="30" t="n">
        <f aca="false">-BJ32</f>
        <v>-0</v>
      </c>
      <c r="BK79" s="30" t="n">
        <f aca="false">-BK32</f>
        <v>-0</v>
      </c>
      <c r="BL79" s="30" t="n">
        <f aca="false">-BL32</f>
        <v>-0</v>
      </c>
      <c r="BM79" s="30" t="n">
        <f aca="false">-BM32</f>
        <v>-0</v>
      </c>
      <c r="BN79" s="30" t="n">
        <f aca="false">-BN32</f>
        <v>-0</v>
      </c>
      <c r="BO79" s="30" t="n">
        <f aca="false">-BO32</f>
        <v>-0</v>
      </c>
      <c r="BP79" s="30" t="n">
        <f aca="false">-BP32</f>
        <v>-0</v>
      </c>
      <c r="BQ79" s="30" t="n">
        <f aca="false">-BQ32</f>
        <v>-0</v>
      </c>
      <c r="BR79" s="30" t="n">
        <f aca="false">-BR32</f>
        <v>-0</v>
      </c>
      <c r="BS79" s="30" t="n">
        <f aca="false">-BS32</f>
        <v>-0</v>
      </c>
      <c r="BT79" s="30" t="n">
        <f aca="false">-BT32</f>
        <v>-0</v>
      </c>
      <c r="BU79" s="30" t="n">
        <f aca="false">-BU32</f>
        <v>-0</v>
      </c>
      <c r="BV79" s="30" t="n">
        <f aca="false">-BV32</f>
        <v>-0</v>
      </c>
      <c r="BW79" s="30" t="n">
        <f aca="false">-BW32</f>
        <v>-0</v>
      </c>
      <c r="BX79" s="30" t="n">
        <f aca="false">-BX32</f>
        <v>-0</v>
      </c>
      <c r="BY79" s="30" t="n">
        <f aca="false">-BY32</f>
        <v>-0</v>
      </c>
      <c r="BZ79" s="30" t="n">
        <f aca="false">-BZ32</f>
        <v>-0</v>
      </c>
      <c r="CA79" s="30" t="n">
        <f aca="false">-CA32</f>
        <v>-0</v>
      </c>
      <c r="CB79" s="30" t="n">
        <f aca="false">-CB32</f>
        <v>-0</v>
      </c>
      <c r="CC79" s="30" t="n">
        <f aca="false">-CC32</f>
        <v>-0</v>
      </c>
      <c r="CD79" s="30" t="n">
        <f aca="false">-CD32</f>
        <v>-0</v>
      </c>
      <c r="CE79" s="30" t="n">
        <f aca="false">-CE32</f>
        <v>-0</v>
      </c>
      <c r="CF79" s="30" t="n">
        <f aca="false">-CF32</f>
        <v>-0</v>
      </c>
      <c r="CG79" s="30" t="n">
        <f aca="false">-CG32</f>
        <v>-0</v>
      </c>
      <c r="CH79" s="30" t="n">
        <f aca="false">-CH32</f>
        <v>-0</v>
      </c>
      <c r="CI79" s="30" t="n">
        <f aca="false">-CI32</f>
        <v>-0</v>
      </c>
      <c r="CJ79" s="30" t="n">
        <f aca="false">-CJ32</f>
        <v>-0</v>
      </c>
      <c r="CK79" s="30" t="n">
        <f aca="false">-CK32</f>
        <v>-0</v>
      </c>
      <c r="CL79" s="30" t="n">
        <f aca="false">-CL32</f>
        <v>-0</v>
      </c>
      <c r="CM79" s="30" t="n">
        <f aca="false">-CM32</f>
        <v>-0</v>
      </c>
      <c r="CN79" s="30" t="n">
        <f aca="false">-CN32</f>
        <v>-0</v>
      </c>
      <c r="CO79" s="30" t="n">
        <f aca="false">-CO32</f>
        <v>-0</v>
      </c>
      <c r="CP79" s="30" t="n">
        <f aca="false">-CP32</f>
        <v>-0</v>
      </c>
      <c r="CQ79" s="30" t="n">
        <f aca="false">-CQ32</f>
        <v>-0</v>
      </c>
      <c r="CR79" s="30" t="n">
        <f aca="false">-CR32</f>
        <v>-0</v>
      </c>
      <c r="CS79" s="30" t="n">
        <f aca="false">-CS32</f>
        <v>-0</v>
      </c>
      <c r="CT79" s="30" t="n">
        <f aca="false">-CT32</f>
        <v>-0</v>
      </c>
      <c r="CU79" s="30" t="n">
        <f aca="false">-CU32</f>
        <v>-0</v>
      </c>
      <c r="CV79" s="30" t="n">
        <f aca="false">-CV32</f>
        <v>-0</v>
      </c>
      <c r="CW79" s="30" t="n">
        <f aca="false">-CW32</f>
        <v>-0</v>
      </c>
      <c r="CX79" s="30" t="n">
        <f aca="false">-CX32</f>
        <v>-0</v>
      </c>
      <c r="CY79" s="30" t="n">
        <f aca="false">-CY32</f>
        <v>-0</v>
      </c>
      <c r="CZ79" s="30" t="n">
        <f aca="false">-CZ32</f>
        <v>-0</v>
      </c>
      <c r="DA79" s="30" t="n">
        <f aca="false">-DA32</f>
        <v>-0</v>
      </c>
      <c r="DB79" s="30" t="n">
        <f aca="false">-DB32</f>
        <v>-0</v>
      </c>
      <c r="DC79" s="30" t="n">
        <f aca="false">-DC32</f>
        <v>-0</v>
      </c>
      <c r="DD79" s="30" t="n">
        <f aca="false">-DD32</f>
        <v>-0</v>
      </c>
      <c r="DE79" s="30" t="n">
        <f aca="false">-DE32</f>
        <v>-0</v>
      </c>
    </row>
    <row r="80" customFormat="false" ht="15" hidden="true" customHeight="true" outlineLevel="1" collapsed="false">
      <c r="A80" s="32" t="s">
        <v>27</v>
      </c>
      <c r="B80" s="30" t="n">
        <v>0</v>
      </c>
      <c r="C80" s="30" t="n">
        <v>0</v>
      </c>
      <c r="D80" s="30" t="n">
        <v>0</v>
      </c>
      <c r="E80" s="30" t="n">
        <v>0</v>
      </c>
      <c r="F80" s="30" t="n">
        <f aca="false">-F33</f>
        <v>-0</v>
      </c>
      <c r="G80" s="30" t="n">
        <f aca="false">-G33</f>
        <v>-0</v>
      </c>
      <c r="H80" s="30" t="n">
        <f aca="false">-H33</f>
        <v>-0</v>
      </c>
      <c r="I80" s="30" t="n">
        <f aca="false">-I33</f>
        <v>-0</v>
      </c>
      <c r="J80" s="30" t="n">
        <f aca="false">-J33</f>
        <v>-0</v>
      </c>
      <c r="K80" s="30" t="n">
        <f aca="false">-K33</f>
        <v>-0</v>
      </c>
      <c r="L80" s="30" t="n">
        <f aca="false">-L33</f>
        <v>-0</v>
      </c>
      <c r="M80" s="30" t="n">
        <f aca="false">-M33</f>
        <v>-0</v>
      </c>
      <c r="N80" s="30" t="n">
        <f aca="false">-N33</f>
        <v>-0</v>
      </c>
      <c r="O80" s="30" t="n">
        <f aca="false">-O33</f>
        <v>-0</v>
      </c>
      <c r="P80" s="30" t="n">
        <f aca="false">-P33</f>
        <v>-0</v>
      </c>
      <c r="Q80" s="30" t="n">
        <f aca="false">-Q33</f>
        <v>-0</v>
      </c>
      <c r="R80" s="30" t="n">
        <f aca="false">-R33</f>
        <v>-0</v>
      </c>
      <c r="S80" s="30" t="n">
        <f aca="false">-S33</f>
        <v>-0</v>
      </c>
      <c r="T80" s="30" t="n">
        <f aca="false">-T33</f>
        <v>-0</v>
      </c>
      <c r="U80" s="30" t="n">
        <f aca="false">-U33</f>
        <v>-0</v>
      </c>
      <c r="V80" s="30" t="n">
        <f aca="false">-V33</f>
        <v>-0</v>
      </c>
      <c r="W80" s="30" t="n">
        <f aca="false">-W33</f>
        <v>-0</v>
      </c>
      <c r="X80" s="30" t="n">
        <f aca="false">-X33</f>
        <v>-0</v>
      </c>
      <c r="Y80" s="30" t="n">
        <f aca="false">-Y33</f>
        <v>-0</v>
      </c>
      <c r="Z80" s="30" t="n">
        <f aca="false">-Z33</f>
        <v>-0</v>
      </c>
      <c r="AA80" s="30" t="n">
        <f aca="false">-AA33</f>
        <v>-0</v>
      </c>
      <c r="AB80" s="30" t="n">
        <f aca="false">-AB33</f>
        <v>-0</v>
      </c>
      <c r="AC80" s="30" t="n">
        <f aca="false">-AC33</f>
        <v>-0</v>
      </c>
      <c r="AD80" s="30" t="n">
        <f aca="false">-AD33</f>
        <v>-0</v>
      </c>
      <c r="AE80" s="30" t="n">
        <f aca="false">-AE33</f>
        <v>-0</v>
      </c>
      <c r="AF80" s="30" t="n">
        <f aca="false">-AF33</f>
        <v>-0</v>
      </c>
      <c r="AG80" s="30" t="n">
        <f aca="false">-AG33</f>
        <v>-0</v>
      </c>
      <c r="AH80" s="30" t="n">
        <f aca="false">-AH33</f>
        <v>-0</v>
      </c>
      <c r="AI80" s="30" t="n">
        <f aca="false">-AI33</f>
        <v>-0</v>
      </c>
      <c r="AJ80" s="30" t="n">
        <f aca="false">-AJ33</f>
        <v>-0</v>
      </c>
      <c r="AK80" s="30" t="n">
        <f aca="false">-AK33</f>
        <v>-0</v>
      </c>
      <c r="AL80" s="30" t="n">
        <f aca="false">-AL33</f>
        <v>-0</v>
      </c>
      <c r="AM80" s="30" t="n">
        <f aca="false">-AM33</f>
        <v>-0</v>
      </c>
      <c r="AN80" s="30" t="n">
        <f aca="false">-AN33</f>
        <v>-0</v>
      </c>
      <c r="AO80" s="30" t="n">
        <f aca="false">-AO33</f>
        <v>-0</v>
      </c>
      <c r="AP80" s="30" t="n">
        <f aca="false">-AP33</f>
        <v>-0</v>
      </c>
      <c r="AQ80" s="30" t="n">
        <f aca="false">-AQ33</f>
        <v>-0</v>
      </c>
      <c r="AR80" s="30" t="n">
        <f aca="false">-AR33</f>
        <v>-0</v>
      </c>
      <c r="AS80" s="30" t="n">
        <f aca="false">-AS33</f>
        <v>-0</v>
      </c>
      <c r="AT80" s="30" t="n">
        <f aca="false">-AT33</f>
        <v>-0</v>
      </c>
      <c r="AU80" s="30" t="n">
        <f aca="false">-AU33</f>
        <v>-0</v>
      </c>
      <c r="AV80" s="30" t="n">
        <f aca="false">-AV33</f>
        <v>-0</v>
      </c>
      <c r="AW80" s="30" t="n">
        <f aca="false">-AW33</f>
        <v>-0</v>
      </c>
      <c r="AX80" s="30" t="n">
        <f aca="false">-AX33</f>
        <v>-0</v>
      </c>
      <c r="AY80" s="30" t="n">
        <f aca="false">-AY33</f>
        <v>-0</v>
      </c>
      <c r="AZ80" s="30" t="n">
        <f aca="false">-AZ33</f>
        <v>-0</v>
      </c>
      <c r="BA80" s="30" t="n">
        <f aca="false">-BA33</f>
        <v>-0</v>
      </c>
      <c r="BB80" s="30" t="n">
        <f aca="false">-BB33</f>
        <v>-0</v>
      </c>
      <c r="BC80" s="30" t="n">
        <f aca="false">-BC33</f>
        <v>-0</v>
      </c>
      <c r="BD80" s="30" t="n">
        <f aca="false">-BD33</f>
        <v>-0</v>
      </c>
      <c r="BE80" s="30" t="n">
        <f aca="false">-BE33</f>
        <v>-0</v>
      </c>
      <c r="BF80" s="30" t="n">
        <f aca="false">-BF33</f>
        <v>-0</v>
      </c>
      <c r="BG80" s="30" t="n">
        <f aca="false">-BG33</f>
        <v>-0</v>
      </c>
      <c r="BH80" s="30" t="n">
        <f aca="false">-BH33</f>
        <v>-0</v>
      </c>
      <c r="BI80" s="30" t="n">
        <f aca="false">-BI33</f>
        <v>-0</v>
      </c>
      <c r="BJ80" s="30" t="n">
        <f aca="false">-BJ33</f>
        <v>-0</v>
      </c>
      <c r="BK80" s="30" t="n">
        <f aca="false">-BK33</f>
        <v>-0</v>
      </c>
      <c r="BL80" s="30" t="n">
        <f aca="false">-BL33</f>
        <v>-0</v>
      </c>
      <c r="BM80" s="30" t="n">
        <f aca="false">-BM33</f>
        <v>-0</v>
      </c>
      <c r="BN80" s="30" t="n">
        <f aca="false">-BN33</f>
        <v>-0</v>
      </c>
      <c r="BO80" s="30" t="n">
        <f aca="false">-BO33</f>
        <v>-0</v>
      </c>
      <c r="BP80" s="30" t="n">
        <f aca="false">-BP33</f>
        <v>-0</v>
      </c>
      <c r="BQ80" s="30" t="n">
        <f aca="false">-BQ33</f>
        <v>-0</v>
      </c>
      <c r="BR80" s="30" t="n">
        <f aca="false">-BR33</f>
        <v>-0</v>
      </c>
      <c r="BS80" s="30" t="n">
        <f aca="false">-BS33</f>
        <v>-0</v>
      </c>
      <c r="BT80" s="30" t="n">
        <f aca="false">-BT33</f>
        <v>-0</v>
      </c>
      <c r="BU80" s="30" t="n">
        <f aca="false">-BU33</f>
        <v>-0</v>
      </c>
      <c r="BV80" s="30" t="n">
        <f aca="false">-BV33</f>
        <v>-0</v>
      </c>
      <c r="BW80" s="30" t="n">
        <f aca="false">-BW33</f>
        <v>-0</v>
      </c>
      <c r="BX80" s="30" t="n">
        <f aca="false">-BX33</f>
        <v>-0</v>
      </c>
      <c r="BY80" s="30" t="n">
        <f aca="false">-BY33</f>
        <v>-0</v>
      </c>
      <c r="BZ80" s="30" t="n">
        <f aca="false">-BZ33</f>
        <v>-0</v>
      </c>
      <c r="CA80" s="30" t="n">
        <f aca="false">-CA33</f>
        <v>-0</v>
      </c>
      <c r="CB80" s="30" t="n">
        <f aca="false">-CB33</f>
        <v>-0</v>
      </c>
      <c r="CC80" s="30" t="n">
        <f aca="false">-CC33</f>
        <v>-0</v>
      </c>
      <c r="CD80" s="30" t="n">
        <f aca="false">-CD33</f>
        <v>-0</v>
      </c>
      <c r="CE80" s="30" t="n">
        <f aca="false">-CE33</f>
        <v>-0</v>
      </c>
      <c r="CF80" s="30" t="n">
        <f aca="false">-CF33</f>
        <v>-0</v>
      </c>
      <c r="CG80" s="30" t="n">
        <f aca="false">-CG33</f>
        <v>-0</v>
      </c>
      <c r="CH80" s="30" t="n">
        <f aca="false">-CH33</f>
        <v>-0</v>
      </c>
      <c r="CI80" s="30" t="n">
        <f aca="false">-CI33</f>
        <v>-0</v>
      </c>
      <c r="CJ80" s="30" t="n">
        <f aca="false">-CJ33</f>
        <v>-0</v>
      </c>
      <c r="CK80" s="30" t="n">
        <f aca="false">-CK33</f>
        <v>-0</v>
      </c>
      <c r="CL80" s="30" t="n">
        <f aca="false">-CL33</f>
        <v>-0</v>
      </c>
      <c r="CM80" s="30" t="n">
        <f aca="false">-CM33</f>
        <v>-0</v>
      </c>
      <c r="CN80" s="30" t="n">
        <f aca="false">-CN33</f>
        <v>-0</v>
      </c>
      <c r="CO80" s="30" t="n">
        <f aca="false">-CO33</f>
        <v>-0</v>
      </c>
      <c r="CP80" s="30" t="n">
        <f aca="false">-CP33</f>
        <v>-0</v>
      </c>
      <c r="CQ80" s="30" t="n">
        <f aca="false">-CQ33</f>
        <v>-0</v>
      </c>
      <c r="CR80" s="30" t="n">
        <f aca="false">-CR33</f>
        <v>-0</v>
      </c>
      <c r="CS80" s="30" t="n">
        <f aca="false">-CS33</f>
        <v>-0</v>
      </c>
      <c r="CT80" s="30" t="n">
        <f aca="false">-CT33</f>
        <v>-0</v>
      </c>
      <c r="CU80" s="30" t="n">
        <f aca="false">-CU33</f>
        <v>-0</v>
      </c>
      <c r="CV80" s="30" t="n">
        <f aca="false">-CV33</f>
        <v>-0</v>
      </c>
      <c r="CW80" s="30" t="n">
        <f aca="false">-CW33</f>
        <v>-0</v>
      </c>
      <c r="CX80" s="30" t="n">
        <f aca="false">-CX33</f>
        <v>-0</v>
      </c>
      <c r="CY80" s="30" t="n">
        <f aca="false">-CY33</f>
        <v>-0</v>
      </c>
      <c r="CZ80" s="30" t="n">
        <f aca="false">-CZ33</f>
        <v>-0</v>
      </c>
      <c r="DA80" s="30" t="n">
        <f aca="false">-DA33</f>
        <v>-0</v>
      </c>
      <c r="DB80" s="30" t="n">
        <f aca="false">-DB33</f>
        <v>-0</v>
      </c>
      <c r="DC80" s="30" t="n">
        <f aca="false">-DC33</f>
        <v>-0</v>
      </c>
      <c r="DD80" s="30" t="n">
        <f aca="false">-DD33</f>
        <v>-0</v>
      </c>
      <c r="DE80" s="30" t="n">
        <f aca="false">-DE33</f>
        <v>-0</v>
      </c>
    </row>
    <row r="81" customFormat="false" ht="15" hidden="true" customHeight="true" outlineLevel="1" collapsed="false">
      <c r="A81" s="32" t="s">
        <v>28</v>
      </c>
      <c r="B81" s="30" t="n">
        <v>0</v>
      </c>
      <c r="C81" s="30" t="n">
        <v>0</v>
      </c>
      <c r="D81" s="30" t="n">
        <v>0</v>
      </c>
      <c r="E81" s="30" t="n">
        <v>0</v>
      </c>
      <c r="F81" s="30" t="n">
        <f aca="false">-F34</f>
        <v>-0</v>
      </c>
      <c r="G81" s="30" t="n">
        <f aca="false">-G34</f>
        <v>-0</v>
      </c>
      <c r="H81" s="30" t="n">
        <f aca="false">-H34</f>
        <v>-0</v>
      </c>
      <c r="I81" s="30" t="n">
        <f aca="false">-I34</f>
        <v>-0</v>
      </c>
      <c r="J81" s="30" t="n">
        <f aca="false">-J34</f>
        <v>-0</v>
      </c>
      <c r="K81" s="30" t="n">
        <f aca="false">-K34</f>
        <v>-0</v>
      </c>
      <c r="L81" s="30" t="n">
        <f aca="false">-L34</f>
        <v>-0</v>
      </c>
      <c r="M81" s="30" t="n">
        <f aca="false">-M34</f>
        <v>-0</v>
      </c>
      <c r="N81" s="30" t="n">
        <f aca="false">-N34</f>
        <v>-0</v>
      </c>
      <c r="O81" s="30" t="n">
        <f aca="false">-O34</f>
        <v>-0</v>
      </c>
      <c r="P81" s="30" t="n">
        <f aca="false">-P34</f>
        <v>-0</v>
      </c>
      <c r="Q81" s="30" t="n">
        <f aca="false">-Q34</f>
        <v>-0</v>
      </c>
      <c r="R81" s="30" t="n">
        <f aca="false">-R34</f>
        <v>-0</v>
      </c>
      <c r="S81" s="30" t="n">
        <f aca="false">-S34</f>
        <v>-0</v>
      </c>
      <c r="T81" s="30" t="n">
        <f aca="false">-T34</f>
        <v>-0</v>
      </c>
      <c r="U81" s="30" t="n">
        <f aca="false">-U34</f>
        <v>-0</v>
      </c>
      <c r="V81" s="30" t="n">
        <f aca="false">-V34</f>
        <v>-0</v>
      </c>
      <c r="W81" s="30" t="n">
        <f aca="false">-W34</f>
        <v>-0</v>
      </c>
      <c r="X81" s="30" t="n">
        <f aca="false">-X34</f>
        <v>-0</v>
      </c>
      <c r="Y81" s="30" t="n">
        <f aca="false">-Y34</f>
        <v>-0</v>
      </c>
      <c r="Z81" s="30" t="n">
        <f aca="false">-Z34</f>
        <v>-0</v>
      </c>
      <c r="AA81" s="30" t="n">
        <f aca="false">-AA34</f>
        <v>-0</v>
      </c>
      <c r="AB81" s="30" t="n">
        <f aca="false">-AB34</f>
        <v>-0</v>
      </c>
      <c r="AC81" s="30" t="n">
        <f aca="false">-AC34</f>
        <v>-0</v>
      </c>
      <c r="AD81" s="30" t="n">
        <f aca="false">-AD34</f>
        <v>-0</v>
      </c>
      <c r="AE81" s="30" t="n">
        <f aca="false">-AE34</f>
        <v>-0</v>
      </c>
      <c r="AF81" s="30" t="n">
        <f aca="false">-AF34</f>
        <v>-0</v>
      </c>
      <c r="AG81" s="30" t="n">
        <f aca="false">-AG34</f>
        <v>-0</v>
      </c>
      <c r="AH81" s="30" t="n">
        <f aca="false">-AH34</f>
        <v>-0</v>
      </c>
      <c r="AI81" s="30" t="n">
        <f aca="false">-AI34</f>
        <v>-0</v>
      </c>
      <c r="AJ81" s="30" t="n">
        <f aca="false">-AJ34</f>
        <v>-0</v>
      </c>
      <c r="AK81" s="30" t="n">
        <f aca="false">-AK34</f>
        <v>-0</v>
      </c>
      <c r="AL81" s="30" t="n">
        <f aca="false">-AL34</f>
        <v>-0</v>
      </c>
      <c r="AM81" s="30" t="n">
        <f aca="false">-AM34</f>
        <v>-0</v>
      </c>
      <c r="AN81" s="30" t="n">
        <f aca="false">-AN34</f>
        <v>-0</v>
      </c>
      <c r="AO81" s="30" t="n">
        <f aca="false">-AO34</f>
        <v>-0</v>
      </c>
      <c r="AP81" s="30" t="n">
        <f aca="false">-AP34</f>
        <v>-0</v>
      </c>
      <c r="AQ81" s="30" t="n">
        <f aca="false">-AQ34</f>
        <v>-0</v>
      </c>
      <c r="AR81" s="30" t="n">
        <f aca="false">-AR34</f>
        <v>-0</v>
      </c>
      <c r="AS81" s="30" t="n">
        <f aca="false">-AS34</f>
        <v>-0</v>
      </c>
      <c r="AT81" s="30" t="n">
        <f aca="false">-AT34</f>
        <v>-0</v>
      </c>
      <c r="AU81" s="30" t="n">
        <f aca="false">-AU34</f>
        <v>-0</v>
      </c>
      <c r="AV81" s="30" t="n">
        <f aca="false">-AV34</f>
        <v>-0</v>
      </c>
      <c r="AW81" s="30" t="n">
        <f aca="false">-AW34</f>
        <v>-0</v>
      </c>
      <c r="AX81" s="30" t="n">
        <f aca="false">-AX34</f>
        <v>-0</v>
      </c>
      <c r="AY81" s="30" t="n">
        <f aca="false">-AY34</f>
        <v>-0</v>
      </c>
      <c r="AZ81" s="30" t="n">
        <f aca="false">-AZ34</f>
        <v>-0</v>
      </c>
      <c r="BA81" s="30" t="n">
        <f aca="false">-BA34</f>
        <v>-0</v>
      </c>
      <c r="BB81" s="30" t="n">
        <f aca="false">-BB34</f>
        <v>-0</v>
      </c>
      <c r="BC81" s="30" t="n">
        <f aca="false">-BC34</f>
        <v>-0</v>
      </c>
      <c r="BD81" s="30" t="n">
        <f aca="false">-BD34</f>
        <v>-0</v>
      </c>
      <c r="BE81" s="30" t="n">
        <f aca="false">-BE34</f>
        <v>-0</v>
      </c>
      <c r="BF81" s="30" t="n">
        <f aca="false">-BF34</f>
        <v>-0</v>
      </c>
      <c r="BG81" s="30" t="n">
        <f aca="false">-BG34</f>
        <v>-0</v>
      </c>
      <c r="BH81" s="30" t="n">
        <f aca="false">-BH34</f>
        <v>-0</v>
      </c>
      <c r="BI81" s="30" t="n">
        <f aca="false">-BI34</f>
        <v>-0</v>
      </c>
      <c r="BJ81" s="30" t="n">
        <f aca="false">-BJ34</f>
        <v>-0</v>
      </c>
      <c r="BK81" s="30" t="n">
        <f aca="false">-BK34</f>
        <v>-0</v>
      </c>
      <c r="BL81" s="30" t="n">
        <f aca="false">-BL34</f>
        <v>-0</v>
      </c>
      <c r="BM81" s="30" t="n">
        <f aca="false">-BM34</f>
        <v>-0</v>
      </c>
      <c r="BN81" s="30" t="n">
        <f aca="false">-BN34</f>
        <v>-0</v>
      </c>
      <c r="BO81" s="30" t="n">
        <f aca="false">-BO34</f>
        <v>-0</v>
      </c>
      <c r="BP81" s="30" t="n">
        <f aca="false">-BP34</f>
        <v>-0</v>
      </c>
      <c r="BQ81" s="30" t="n">
        <f aca="false">-BQ34</f>
        <v>-0</v>
      </c>
      <c r="BR81" s="30" t="n">
        <f aca="false">-BR34</f>
        <v>-0</v>
      </c>
      <c r="BS81" s="30" t="n">
        <f aca="false">-BS34</f>
        <v>-0</v>
      </c>
      <c r="BT81" s="30" t="n">
        <f aca="false">-BT34</f>
        <v>-0</v>
      </c>
      <c r="BU81" s="30" t="n">
        <f aca="false">-BU34</f>
        <v>-0</v>
      </c>
      <c r="BV81" s="30" t="n">
        <f aca="false">-BV34</f>
        <v>-0</v>
      </c>
      <c r="BW81" s="30" t="n">
        <f aca="false">-BW34</f>
        <v>-0</v>
      </c>
      <c r="BX81" s="30" t="n">
        <f aca="false">-BX34</f>
        <v>-0</v>
      </c>
      <c r="BY81" s="30" t="n">
        <f aca="false">-BY34</f>
        <v>-0</v>
      </c>
      <c r="BZ81" s="30" t="n">
        <f aca="false">-BZ34</f>
        <v>-0</v>
      </c>
      <c r="CA81" s="30" t="n">
        <f aca="false">-CA34</f>
        <v>-0</v>
      </c>
      <c r="CB81" s="30" t="n">
        <f aca="false">-CB34</f>
        <v>-0</v>
      </c>
      <c r="CC81" s="30" t="n">
        <f aca="false">-CC34</f>
        <v>-0</v>
      </c>
      <c r="CD81" s="30" t="n">
        <f aca="false">-CD34</f>
        <v>-0</v>
      </c>
      <c r="CE81" s="30" t="n">
        <f aca="false">-CE34</f>
        <v>-0</v>
      </c>
      <c r="CF81" s="30" t="n">
        <f aca="false">-CF34</f>
        <v>-0</v>
      </c>
      <c r="CG81" s="30" t="n">
        <f aca="false">-CG34</f>
        <v>-0</v>
      </c>
      <c r="CH81" s="30" t="n">
        <f aca="false">-CH34</f>
        <v>-0</v>
      </c>
      <c r="CI81" s="30" t="n">
        <f aca="false">-CI34</f>
        <v>-0</v>
      </c>
      <c r="CJ81" s="30" t="n">
        <f aca="false">-CJ34</f>
        <v>-0</v>
      </c>
      <c r="CK81" s="30" t="n">
        <f aca="false">-CK34</f>
        <v>-0</v>
      </c>
      <c r="CL81" s="30" t="n">
        <f aca="false">-CL34</f>
        <v>-0</v>
      </c>
      <c r="CM81" s="30" t="n">
        <f aca="false">-CM34</f>
        <v>-0</v>
      </c>
      <c r="CN81" s="30" t="n">
        <f aca="false">-CN34</f>
        <v>-0</v>
      </c>
      <c r="CO81" s="30" t="n">
        <f aca="false">-CO34</f>
        <v>-0</v>
      </c>
      <c r="CP81" s="30" t="n">
        <f aca="false">-CP34</f>
        <v>-0</v>
      </c>
      <c r="CQ81" s="30" t="n">
        <f aca="false">-CQ34</f>
        <v>-0</v>
      </c>
      <c r="CR81" s="30" t="n">
        <f aca="false">-CR34</f>
        <v>-0</v>
      </c>
      <c r="CS81" s="30" t="n">
        <f aca="false">-CS34</f>
        <v>-0</v>
      </c>
      <c r="CT81" s="30" t="n">
        <f aca="false">-CT34</f>
        <v>-0</v>
      </c>
      <c r="CU81" s="30" t="n">
        <f aca="false">-CU34</f>
        <v>-0</v>
      </c>
      <c r="CV81" s="30" t="n">
        <f aca="false">-CV34</f>
        <v>-0</v>
      </c>
      <c r="CW81" s="30" t="n">
        <f aca="false">-CW34</f>
        <v>-0</v>
      </c>
      <c r="CX81" s="30" t="n">
        <f aca="false">-CX34</f>
        <v>-0</v>
      </c>
      <c r="CY81" s="30" t="n">
        <f aca="false">-CY34</f>
        <v>-0</v>
      </c>
      <c r="CZ81" s="30" t="n">
        <f aca="false">-CZ34</f>
        <v>-0</v>
      </c>
      <c r="DA81" s="30" t="n">
        <f aca="false">-DA34</f>
        <v>-0</v>
      </c>
      <c r="DB81" s="30" t="n">
        <f aca="false">-DB34</f>
        <v>-0</v>
      </c>
      <c r="DC81" s="30" t="n">
        <f aca="false">-DC34</f>
        <v>-0</v>
      </c>
      <c r="DD81" s="30" t="n">
        <f aca="false">-DD34</f>
        <v>-0</v>
      </c>
      <c r="DE81" s="30" t="n">
        <f aca="false">-DE34</f>
        <v>-0</v>
      </c>
    </row>
    <row r="82" customFormat="false" ht="15" hidden="true" customHeight="true" outlineLevel="1" collapsed="false">
      <c r="A82" s="32" t="s">
        <v>29</v>
      </c>
      <c r="B82" s="30" t="n">
        <v>0</v>
      </c>
      <c r="C82" s="30" t="n">
        <v>0</v>
      </c>
      <c r="D82" s="30" t="n">
        <v>0</v>
      </c>
      <c r="E82" s="30" t="n">
        <v>0</v>
      </c>
      <c r="F82" s="30" t="n">
        <f aca="false">-F35</f>
        <v>-0</v>
      </c>
      <c r="G82" s="30" t="n">
        <f aca="false">-G35</f>
        <v>-0</v>
      </c>
      <c r="H82" s="30" t="n">
        <f aca="false">-H35</f>
        <v>-0</v>
      </c>
      <c r="I82" s="30" t="n">
        <f aca="false">-I35</f>
        <v>-0</v>
      </c>
      <c r="J82" s="30" t="n">
        <f aca="false">-J35</f>
        <v>-0</v>
      </c>
      <c r="K82" s="30" t="n">
        <f aca="false">-K35</f>
        <v>-0</v>
      </c>
      <c r="L82" s="30" t="n">
        <f aca="false">-L35</f>
        <v>-0</v>
      </c>
      <c r="M82" s="30" t="n">
        <f aca="false">-M35</f>
        <v>-0</v>
      </c>
      <c r="N82" s="30" t="n">
        <f aca="false">-N35</f>
        <v>-0</v>
      </c>
      <c r="O82" s="30" t="n">
        <f aca="false">-O35</f>
        <v>-0</v>
      </c>
      <c r="P82" s="30" t="n">
        <f aca="false">-P35</f>
        <v>-0</v>
      </c>
      <c r="Q82" s="30" t="n">
        <f aca="false">-Q35</f>
        <v>-0</v>
      </c>
      <c r="R82" s="30" t="n">
        <f aca="false">-R35</f>
        <v>-0</v>
      </c>
      <c r="S82" s="30" t="n">
        <f aca="false">-S35</f>
        <v>-0</v>
      </c>
      <c r="T82" s="30" t="n">
        <f aca="false">-T35</f>
        <v>-0</v>
      </c>
      <c r="U82" s="30" t="n">
        <f aca="false">-U35</f>
        <v>-0</v>
      </c>
      <c r="V82" s="30" t="n">
        <f aca="false">-V35</f>
        <v>-0</v>
      </c>
      <c r="W82" s="30" t="n">
        <f aca="false">-W35</f>
        <v>-0</v>
      </c>
      <c r="X82" s="30" t="n">
        <f aca="false">-X35</f>
        <v>-0</v>
      </c>
      <c r="Y82" s="30" t="n">
        <f aca="false">-Y35</f>
        <v>-0</v>
      </c>
      <c r="Z82" s="30" t="n">
        <f aca="false">-Z35</f>
        <v>-0</v>
      </c>
      <c r="AA82" s="30" t="n">
        <f aca="false">-AA35</f>
        <v>-0</v>
      </c>
      <c r="AB82" s="30" t="n">
        <f aca="false">-AB35</f>
        <v>-0</v>
      </c>
      <c r="AC82" s="30" t="n">
        <f aca="false">-AC35</f>
        <v>-0</v>
      </c>
      <c r="AD82" s="30" t="n">
        <f aca="false">-AD35</f>
        <v>-0</v>
      </c>
      <c r="AE82" s="30" t="n">
        <f aca="false">-AE35</f>
        <v>-0</v>
      </c>
      <c r="AF82" s="30" t="n">
        <f aca="false">-AF35</f>
        <v>-0</v>
      </c>
      <c r="AG82" s="30" t="n">
        <f aca="false">-AG35</f>
        <v>-0</v>
      </c>
      <c r="AH82" s="30" t="n">
        <f aca="false">-AH35</f>
        <v>-0</v>
      </c>
      <c r="AI82" s="30" t="n">
        <f aca="false">-AI35</f>
        <v>-0</v>
      </c>
      <c r="AJ82" s="30" t="n">
        <f aca="false">-AJ35</f>
        <v>-0</v>
      </c>
      <c r="AK82" s="30" t="n">
        <f aca="false">-AK35</f>
        <v>-0</v>
      </c>
      <c r="AL82" s="30" t="n">
        <f aca="false">-AL35</f>
        <v>-0</v>
      </c>
      <c r="AM82" s="30" t="n">
        <f aca="false">-AM35</f>
        <v>-0</v>
      </c>
      <c r="AN82" s="30" t="n">
        <f aca="false">-AN35</f>
        <v>-0</v>
      </c>
      <c r="AO82" s="30" t="n">
        <f aca="false">-AO35</f>
        <v>-0</v>
      </c>
      <c r="AP82" s="30" t="n">
        <f aca="false">-AP35</f>
        <v>-0</v>
      </c>
      <c r="AQ82" s="30" t="n">
        <f aca="false">-AQ35</f>
        <v>-0</v>
      </c>
      <c r="AR82" s="30" t="n">
        <f aca="false">-AR35</f>
        <v>-0</v>
      </c>
      <c r="AS82" s="30" t="n">
        <f aca="false">-AS35</f>
        <v>-0</v>
      </c>
      <c r="AT82" s="30" t="n">
        <f aca="false">-AT35</f>
        <v>-0</v>
      </c>
      <c r="AU82" s="30" t="n">
        <f aca="false">-AU35</f>
        <v>-0</v>
      </c>
      <c r="AV82" s="30" t="n">
        <f aca="false">-AV35</f>
        <v>-0</v>
      </c>
      <c r="AW82" s="30" t="n">
        <f aca="false">-AW35</f>
        <v>-0</v>
      </c>
      <c r="AX82" s="30" t="n">
        <f aca="false">-AX35</f>
        <v>-0</v>
      </c>
      <c r="AY82" s="30" t="n">
        <f aca="false">-AY35</f>
        <v>-0</v>
      </c>
      <c r="AZ82" s="30" t="n">
        <f aca="false">-AZ35</f>
        <v>-0</v>
      </c>
      <c r="BA82" s="30" t="n">
        <f aca="false">-BA35</f>
        <v>-0</v>
      </c>
      <c r="BB82" s="30" t="n">
        <f aca="false">-BB35</f>
        <v>-0</v>
      </c>
      <c r="BC82" s="30" t="n">
        <f aca="false">-BC35</f>
        <v>-0</v>
      </c>
      <c r="BD82" s="30" t="n">
        <f aca="false">-BD35</f>
        <v>-0</v>
      </c>
      <c r="BE82" s="30" t="n">
        <f aca="false">-BE35</f>
        <v>-0</v>
      </c>
      <c r="BF82" s="30" t="n">
        <f aca="false">-BF35</f>
        <v>-0</v>
      </c>
      <c r="BG82" s="30" t="n">
        <f aca="false">-BG35</f>
        <v>-0</v>
      </c>
      <c r="BH82" s="30" t="n">
        <f aca="false">-BH35</f>
        <v>-0</v>
      </c>
      <c r="BI82" s="30" t="n">
        <f aca="false">-BI35</f>
        <v>-0</v>
      </c>
      <c r="BJ82" s="30" t="n">
        <f aca="false">-BJ35</f>
        <v>-0</v>
      </c>
      <c r="BK82" s="30" t="n">
        <f aca="false">-BK35</f>
        <v>-0</v>
      </c>
      <c r="BL82" s="30" t="n">
        <f aca="false">-BL35</f>
        <v>-0</v>
      </c>
      <c r="BM82" s="30" t="n">
        <f aca="false">-BM35</f>
        <v>-0</v>
      </c>
      <c r="BN82" s="30" t="n">
        <f aca="false">-BN35</f>
        <v>-0</v>
      </c>
      <c r="BO82" s="30" t="n">
        <f aca="false">-BO35</f>
        <v>-0</v>
      </c>
      <c r="BP82" s="30" t="n">
        <f aca="false">-BP35</f>
        <v>-0</v>
      </c>
      <c r="BQ82" s="30" t="n">
        <f aca="false">-BQ35</f>
        <v>-0</v>
      </c>
      <c r="BR82" s="30" t="n">
        <f aca="false">-BR35</f>
        <v>-0</v>
      </c>
      <c r="BS82" s="30" t="n">
        <f aca="false">-BS35</f>
        <v>-0</v>
      </c>
      <c r="BT82" s="30" t="n">
        <f aca="false">-BT35</f>
        <v>-0</v>
      </c>
      <c r="BU82" s="30" t="n">
        <f aca="false">-BU35</f>
        <v>-0</v>
      </c>
      <c r="BV82" s="30" t="n">
        <f aca="false">-BV35</f>
        <v>-0</v>
      </c>
      <c r="BW82" s="30" t="n">
        <f aca="false">-BW35</f>
        <v>-0</v>
      </c>
      <c r="BX82" s="30" t="n">
        <f aca="false">-BX35</f>
        <v>-0</v>
      </c>
      <c r="BY82" s="30" t="n">
        <f aca="false">-BY35</f>
        <v>-0</v>
      </c>
      <c r="BZ82" s="30" t="n">
        <f aca="false">-BZ35</f>
        <v>-0</v>
      </c>
      <c r="CA82" s="30" t="n">
        <f aca="false">-CA35</f>
        <v>-0</v>
      </c>
      <c r="CB82" s="30" t="n">
        <f aca="false">-CB35</f>
        <v>-0</v>
      </c>
      <c r="CC82" s="30" t="n">
        <f aca="false">-CC35</f>
        <v>-0</v>
      </c>
      <c r="CD82" s="30" t="n">
        <f aca="false">-CD35</f>
        <v>-0</v>
      </c>
      <c r="CE82" s="30" t="n">
        <f aca="false">-CE35</f>
        <v>-0</v>
      </c>
      <c r="CF82" s="30" t="n">
        <f aca="false">-CF35</f>
        <v>-0</v>
      </c>
      <c r="CG82" s="30" t="n">
        <f aca="false">-CG35</f>
        <v>-0</v>
      </c>
      <c r="CH82" s="30" t="n">
        <f aca="false">-CH35</f>
        <v>-0</v>
      </c>
      <c r="CI82" s="30" t="n">
        <f aca="false">-CI35</f>
        <v>-0</v>
      </c>
      <c r="CJ82" s="30" t="n">
        <f aca="false">-CJ35</f>
        <v>-0</v>
      </c>
      <c r="CK82" s="30" t="n">
        <f aca="false">-CK35</f>
        <v>-0</v>
      </c>
      <c r="CL82" s="30" t="n">
        <f aca="false">-CL35</f>
        <v>-0</v>
      </c>
      <c r="CM82" s="30" t="n">
        <f aca="false">-CM35</f>
        <v>-0</v>
      </c>
      <c r="CN82" s="30" t="n">
        <f aca="false">-CN35</f>
        <v>-0</v>
      </c>
      <c r="CO82" s="30" t="n">
        <f aca="false">-CO35</f>
        <v>-0</v>
      </c>
      <c r="CP82" s="30" t="n">
        <f aca="false">-CP35</f>
        <v>-0</v>
      </c>
      <c r="CQ82" s="30" t="n">
        <f aca="false">-CQ35</f>
        <v>-0</v>
      </c>
      <c r="CR82" s="30" t="n">
        <f aca="false">-CR35</f>
        <v>-0</v>
      </c>
      <c r="CS82" s="30" t="n">
        <f aca="false">-CS35</f>
        <v>-0</v>
      </c>
      <c r="CT82" s="30" t="n">
        <f aca="false">-CT35</f>
        <v>-0</v>
      </c>
      <c r="CU82" s="30" t="n">
        <f aca="false">-CU35</f>
        <v>-0</v>
      </c>
      <c r="CV82" s="30" t="n">
        <f aca="false">-CV35</f>
        <v>-0</v>
      </c>
      <c r="CW82" s="30" t="n">
        <f aca="false">-CW35</f>
        <v>-0</v>
      </c>
      <c r="CX82" s="30" t="n">
        <f aca="false">-CX35</f>
        <v>-0</v>
      </c>
      <c r="CY82" s="30" t="n">
        <f aca="false">-CY35</f>
        <v>-0</v>
      </c>
      <c r="CZ82" s="30" t="n">
        <f aca="false">-CZ35</f>
        <v>-0</v>
      </c>
      <c r="DA82" s="30" t="n">
        <f aca="false">-DA35</f>
        <v>-0</v>
      </c>
      <c r="DB82" s="30" t="n">
        <f aca="false">-DB35</f>
        <v>-0</v>
      </c>
      <c r="DC82" s="30" t="n">
        <f aca="false">-DC35</f>
        <v>-0</v>
      </c>
      <c r="DD82" s="30" t="n">
        <f aca="false">-DD35</f>
        <v>-0</v>
      </c>
      <c r="DE82" s="30" t="n">
        <f aca="false">-DE35</f>
        <v>-0</v>
      </c>
    </row>
    <row r="83" customFormat="false" ht="15" hidden="true" customHeight="true" outlineLevel="1" collapsed="false">
      <c r="A83" s="32" t="s">
        <v>30</v>
      </c>
      <c r="B83" s="30" t="n">
        <v>0</v>
      </c>
      <c r="C83" s="30" t="n">
        <v>0</v>
      </c>
      <c r="D83" s="30" t="n">
        <v>0</v>
      </c>
      <c r="E83" s="30" t="n">
        <v>0</v>
      </c>
      <c r="F83" s="30" t="n">
        <f aca="false">-F36</f>
        <v>-0</v>
      </c>
      <c r="G83" s="30" t="n">
        <f aca="false">-G36</f>
        <v>-0</v>
      </c>
      <c r="H83" s="30" t="n">
        <f aca="false">-H36</f>
        <v>-0</v>
      </c>
      <c r="I83" s="30" t="n">
        <f aca="false">-I36</f>
        <v>-0</v>
      </c>
      <c r="J83" s="30" t="n">
        <f aca="false">-J36</f>
        <v>-0</v>
      </c>
      <c r="K83" s="30" t="n">
        <f aca="false">-K36</f>
        <v>-0</v>
      </c>
      <c r="L83" s="30" t="n">
        <f aca="false">-L36</f>
        <v>-0</v>
      </c>
      <c r="M83" s="30" t="n">
        <f aca="false">-M36</f>
        <v>-0</v>
      </c>
      <c r="N83" s="30" t="n">
        <f aca="false">-N36</f>
        <v>-0</v>
      </c>
      <c r="O83" s="30" t="n">
        <f aca="false">-O36</f>
        <v>-0</v>
      </c>
      <c r="P83" s="30" t="n">
        <f aca="false">-P36</f>
        <v>-0</v>
      </c>
      <c r="Q83" s="30" t="n">
        <f aca="false">-Q36</f>
        <v>-0</v>
      </c>
      <c r="R83" s="30" t="n">
        <f aca="false">-R36</f>
        <v>-0</v>
      </c>
      <c r="S83" s="30" t="n">
        <f aca="false">-S36</f>
        <v>-0</v>
      </c>
      <c r="T83" s="30" t="n">
        <f aca="false">-T36</f>
        <v>-0</v>
      </c>
      <c r="U83" s="30" t="n">
        <f aca="false">-U36</f>
        <v>-0</v>
      </c>
      <c r="V83" s="30" t="n">
        <f aca="false">-V36</f>
        <v>-0</v>
      </c>
      <c r="W83" s="30" t="n">
        <f aca="false">-W36</f>
        <v>-0</v>
      </c>
      <c r="X83" s="30" t="n">
        <f aca="false">-X36</f>
        <v>-0</v>
      </c>
      <c r="Y83" s="30" t="n">
        <f aca="false">-Y36</f>
        <v>-0</v>
      </c>
      <c r="Z83" s="30" t="n">
        <f aca="false">-Z36</f>
        <v>-0</v>
      </c>
      <c r="AA83" s="30" t="n">
        <f aca="false">-AA36</f>
        <v>-0</v>
      </c>
      <c r="AB83" s="30" t="n">
        <f aca="false">-AB36</f>
        <v>-0</v>
      </c>
      <c r="AC83" s="30" t="n">
        <f aca="false">-AC36</f>
        <v>-0</v>
      </c>
      <c r="AD83" s="30" t="n">
        <f aca="false">-AD36</f>
        <v>-0</v>
      </c>
      <c r="AE83" s="30" t="n">
        <f aca="false">-AE36</f>
        <v>-0</v>
      </c>
      <c r="AF83" s="30" t="n">
        <f aca="false">-AF36</f>
        <v>-0</v>
      </c>
      <c r="AG83" s="30" t="n">
        <f aca="false">-AG36</f>
        <v>-0</v>
      </c>
      <c r="AH83" s="30" t="n">
        <f aca="false">-AH36</f>
        <v>-0</v>
      </c>
      <c r="AI83" s="30" t="n">
        <f aca="false">-AI36</f>
        <v>-0</v>
      </c>
      <c r="AJ83" s="30" t="n">
        <f aca="false">-AJ36</f>
        <v>-0</v>
      </c>
      <c r="AK83" s="30" t="n">
        <f aca="false">-AK36</f>
        <v>-0</v>
      </c>
      <c r="AL83" s="30" t="n">
        <f aca="false">-AL36</f>
        <v>-0</v>
      </c>
      <c r="AM83" s="30" t="n">
        <f aca="false">-AM36</f>
        <v>-0</v>
      </c>
      <c r="AN83" s="30" t="n">
        <f aca="false">-AN36</f>
        <v>-0</v>
      </c>
      <c r="AO83" s="30" t="n">
        <f aca="false">-AO36</f>
        <v>-0</v>
      </c>
      <c r="AP83" s="30" t="n">
        <f aca="false">-AP36</f>
        <v>-0</v>
      </c>
      <c r="AQ83" s="30" t="n">
        <f aca="false">-AQ36</f>
        <v>-0</v>
      </c>
      <c r="AR83" s="30" t="n">
        <f aca="false">-AR36</f>
        <v>-0</v>
      </c>
      <c r="AS83" s="30" t="n">
        <f aca="false">-AS36</f>
        <v>-0</v>
      </c>
      <c r="AT83" s="30" t="n">
        <f aca="false">-AT36</f>
        <v>-0</v>
      </c>
      <c r="AU83" s="30" t="n">
        <f aca="false">-AU36</f>
        <v>-0</v>
      </c>
      <c r="AV83" s="30" t="n">
        <f aca="false">-AV36</f>
        <v>-0</v>
      </c>
      <c r="AW83" s="30" t="n">
        <f aca="false">-AW36</f>
        <v>-0</v>
      </c>
      <c r="AX83" s="30" t="n">
        <f aca="false">-AX36</f>
        <v>-0</v>
      </c>
      <c r="AY83" s="30" t="n">
        <f aca="false">-AY36</f>
        <v>-0</v>
      </c>
      <c r="AZ83" s="30" t="n">
        <f aca="false">-AZ36</f>
        <v>-0</v>
      </c>
      <c r="BA83" s="30" t="n">
        <f aca="false">-BA36</f>
        <v>-0</v>
      </c>
      <c r="BB83" s="30" t="n">
        <f aca="false">-BB36</f>
        <v>-0</v>
      </c>
      <c r="BC83" s="30" t="n">
        <f aca="false">-BC36</f>
        <v>-0</v>
      </c>
      <c r="BD83" s="30" t="n">
        <f aca="false">-BD36</f>
        <v>-0</v>
      </c>
      <c r="BE83" s="30" t="n">
        <f aca="false">-BE36</f>
        <v>-0</v>
      </c>
      <c r="BF83" s="30" t="n">
        <f aca="false">-BF36</f>
        <v>-0</v>
      </c>
      <c r="BG83" s="30" t="n">
        <f aca="false">-BG36</f>
        <v>-0</v>
      </c>
      <c r="BH83" s="30" t="n">
        <f aca="false">-BH36</f>
        <v>-0</v>
      </c>
      <c r="BI83" s="30" t="n">
        <f aca="false">-BI36</f>
        <v>-0</v>
      </c>
      <c r="BJ83" s="30" t="n">
        <f aca="false">-BJ36</f>
        <v>-0</v>
      </c>
      <c r="BK83" s="30" t="n">
        <f aca="false">-BK36</f>
        <v>-0</v>
      </c>
      <c r="BL83" s="30" t="n">
        <f aca="false">-BL36</f>
        <v>-0</v>
      </c>
      <c r="BM83" s="30" t="n">
        <f aca="false">-BM36</f>
        <v>-0</v>
      </c>
      <c r="BN83" s="30" t="n">
        <f aca="false">-BN36</f>
        <v>-0</v>
      </c>
      <c r="BO83" s="30" t="n">
        <f aca="false">-BO36</f>
        <v>-0</v>
      </c>
      <c r="BP83" s="30" t="n">
        <f aca="false">-BP36</f>
        <v>-0</v>
      </c>
      <c r="BQ83" s="30" t="n">
        <f aca="false">-BQ36</f>
        <v>-0</v>
      </c>
      <c r="BR83" s="30" t="n">
        <f aca="false">-BR36</f>
        <v>-0</v>
      </c>
      <c r="BS83" s="30" t="n">
        <f aca="false">-BS36</f>
        <v>-0</v>
      </c>
      <c r="BT83" s="30" t="n">
        <f aca="false">-BT36</f>
        <v>-0</v>
      </c>
      <c r="BU83" s="30" t="n">
        <f aca="false">-BU36</f>
        <v>-0</v>
      </c>
      <c r="BV83" s="30" t="n">
        <f aca="false">-BV36</f>
        <v>-0</v>
      </c>
      <c r="BW83" s="30" t="n">
        <f aca="false">-BW36</f>
        <v>-0</v>
      </c>
      <c r="BX83" s="30" t="n">
        <f aca="false">-BX36</f>
        <v>-0</v>
      </c>
      <c r="BY83" s="30" t="n">
        <f aca="false">-BY36</f>
        <v>-0</v>
      </c>
      <c r="BZ83" s="30" t="n">
        <f aca="false">-BZ36</f>
        <v>-0</v>
      </c>
      <c r="CA83" s="30" t="n">
        <f aca="false">-CA36</f>
        <v>-0</v>
      </c>
      <c r="CB83" s="30" t="n">
        <f aca="false">-CB36</f>
        <v>-0</v>
      </c>
      <c r="CC83" s="30" t="n">
        <f aca="false">-CC36</f>
        <v>-0</v>
      </c>
      <c r="CD83" s="30" t="n">
        <f aca="false">-CD36</f>
        <v>-0</v>
      </c>
      <c r="CE83" s="30" t="n">
        <f aca="false">-CE36</f>
        <v>-0</v>
      </c>
      <c r="CF83" s="30" t="n">
        <f aca="false">-CF36</f>
        <v>-0</v>
      </c>
      <c r="CG83" s="30" t="n">
        <f aca="false">-CG36</f>
        <v>-0</v>
      </c>
      <c r="CH83" s="30" t="n">
        <f aca="false">-CH36</f>
        <v>-0</v>
      </c>
      <c r="CI83" s="30" t="n">
        <f aca="false">-CI36</f>
        <v>-0</v>
      </c>
      <c r="CJ83" s="30" t="n">
        <f aca="false">-CJ36</f>
        <v>-0</v>
      </c>
      <c r="CK83" s="30" t="n">
        <f aca="false">-CK36</f>
        <v>-0</v>
      </c>
      <c r="CL83" s="30" t="n">
        <f aca="false">-CL36</f>
        <v>-0</v>
      </c>
      <c r="CM83" s="30" t="n">
        <f aca="false">-CM36</f>
        <v>-0</v>
      </c>
      <c r="CN83" s="30" t="n">
        <f aca="false">-CN36</f>
        <v>-0</v>
      </c>
      <c r="CO83" s="30" t="n">
        <f aca="false">-CO36</f>
        <v>-0</v>
      </c>
      <c r="CP83" s="30" t="n">
        <f aca="false">-CP36</f>
        <v>-0</v>
      </c>
      <c r="CQ83" s="30" t="n">
        <f aca="false">-CQ36</f>
        <v>-0</v>
      </c>
      <c r="CR83" s="30" t="n">
        <f aca="false">-CR36</f>
        <v>-0</v>
      </c>
      <c r="CS83" s="30" t="n">
        <f aca="false">-CS36</f>
        <v>-0</v>
      </c>
      <c r="CT83" s="30" t="n">
        <f aca="false">-CT36</f>
        <v>-0</v>
      </c>
      <c r="CU83" s="30" t="n">
        <f aca="false">-CU36</f>
        <v>-0</v>
      </c>
      <c r="CV83" s="30" t="n">
        <f aca="false">-CV36</f>
        <v>-0</v>
      </c>
      <c r="CW83" s="30" t="n">
        <f aca="false">-CW36</f>
        <v>-0</v>
      </c>
      <c r="CX83" s="30" t="n">
        <f aca="false">-CX36</f>
        <v>-0</v>
      </c>
      <c r="CY83" s="30" t="n">
        <f aca="false">-CY36</f>
        <v>-0</v>
      </c>
      <c r="CZ83" s="30" t="n">
        <f aca="false">-CZ36</f>
        <v>-0</v>
      </c>
      <c r="DA83" s="30" t="n">
        <f aca="false">-DA36</f>
        <v>-0</v>
      </c>
      <c r="DB83" s="30" t="n">
        <f aca="false">-DB36</f>
        <v>-0</v>
      </c>
      <c r="DC83" s="30" t="n">
        <f aca="false">-DC36</f>
        <v>-0</v>
      </c>
      <c r="DD83" s="30" t="n">
        <f aca="false">-DD36</f>
        <v>-0</v>
      </c>
      <c r="DE83" s="30" t="n">
        <f aca="false">-DE36</f>
        <v>-0</v>
      </c>
    </row>
    <row r="84" customFormat="false" ht="15" hidden="true" customHeight="true" outlineLevel="1" collapsed="false">
      <c r="A84" s="32" t="s">
        <v>31</v>
      </c>
      <c r="B84" s="30" t="n">
        <v>0</v>
      </c>
      <c r="C84" s="30" t="n">
        <v>0</v>
      </c>
      <c r="D84" s="30" t="n">
        <v>0</v>
      </c>
      <c r="E84" s="30" t="n">
        <v>0</v>
      </c>
      <c r="F84" s="30" t="n">
        <f aca="false">-F37</f>
        <v>-0</v>
      </c>
      <c r="G84" s="30" t="n">
        <f aca="false">-G37</f>
        <v>-0</v>
      </c>
      <c r="H84" s="30" t="n">
        <f aca="false">-H37</f>
        <v>-0</v>
      </c>
      <c r="I84" s="30" t="n">
        <f aca="false">-I37</f>
        <v>-0</v>
      </c>
      <c r="J84" s="30" t="n">
        <f aca="false">-J37</f>
        <v>-0</v>
      </c>
      <c r="K84" s="30" t="n">
        <f aca="false">-K37</f>
        <v>-0</v>
      </c>
      <c r="L84" s="30" t="n">
        <f aca="false">-L37</f>
        <v>-0</v>
      </c>
      <c r="M84" s="30" t="n">
        <f aca="false">-M37</f>
        <v>-0</v>
      </c>
      <c r="N84" s="30" t="n">
        <f aca="false">-N37</f>
        <v>-0</v>
      </c>
      <c r="O84" s="30" t="n">
        <f aca="false">-O37</f>
        <v>-0</v>
      </c>
      <c r="P84" s="30" t="n">
        <f aca="false">-P37</f>
        <v>-0</v>
      </c>
      <c r="Q84" s="30" t="n">
        <f aca="false">-Q37</f>
        <v>-0</v>
      </c>
      <c r="R84" s="30" t="n">
        <f aca="false">-R37</f>
        <v>-0</v>
      </c>
      <c r="S84" s="30" t="n">
        <f aca="false">-S37</f>
        <v>-0</v>
      </c>
      <c r="T84" s="30" t="n">
        <f aca="false">-T37</f>
        <v>-0</v>
      </c>
      <c r="U84" s="30" t="n">
        <f aca="false">-U37</f>
        <v>-0</v>
      </c>
      <c r="V84" s="30" t="n">
        <f aca="false">-V37</f>
        <v>-0</v>
      </c>
      <c r="W84" s="30" t="n">
        <f aca="false">-W37</f>
        <v>-0</v>
      </c>
      <c r="X84" s="30" t="n">
        <f aca="false">-X37</f>
        <v>-0</v>
      </c>
      <c r="Y84" s="30" t="n">
        <f aca="false">-Y37</f>
        <v>-0</v>
      </c>
      <c r="Z84" s="30" t="n">
        <f aca="false">-Z37</f>
        <v>-0</v>
      </c>
      <c r="AA84" s="30" t="n">
        <f aca="false">-AA37</f>
        <v>-0</v>
      </c>
      <c r="AB84" s="30" t="n">
        <f aca="false">-AB37</f>
        <v>-0</v>
      </c>
      <c r="AC84" s="30" t="n">
        <f aca="false">-AC37</f>
        <v>-0</v>
      </c>
      <c r="AD84" s="30" t="n">
        <f aca="false">-AD37</f>
        <v>-0</v>
      </c>
      <c r="AE84" s="30" t="n">
        <f aca="false">-AE37</f>
        <v>-0</v>
      </c>
      <c r="AF84" s="30" t="n">
        <f aca="false">-AF37</f>
        <v>-0</v>
      </c>
      <c r="AG84" s="30" t="n">
        <f aca="false">-AG37</f>
        <v>-0</v>
      </c>
      <c r="AH84" s="30" t="n">
        <f aca="false">-AH37</f>
        <v>-0</v>
      </c>
      <c r="AI84" s="30" t="n">
        <f aca="false">-AI37</f>
        <v>-0</v>
      </c>
      <c r="AJ84" s="30" t="n">
        <f aca="false">-AJ37</f>
        <v>-0</v>
      </c>
      <c r="AK84" s="30" t="n">
        <f aca="false">-AK37</f>
        <v>-0</v>
      </c>
      <c r="AL84" s="30" t="n">
        <f aca="false">-AL37</f>
        <v>-0</v>
      </c>
      <c r="AM84" s="30" t="n">
        <f aca="false">-AM37</f>
        <v>-0</v>
      </c>
      <c r="AN84" s="30" t="n">
        <f aca="false">-AN37</f>
        <v>-0</v>
      </c>
      <c r="AO84" s="30" t="n">
        <f aca="false">-AO37</f>
        <v>-0</v>
      </c>
      <c r="AP84" s="30" t="n">
        <f aca="false">-AP37</f>
        <v>-0</v>
      </c>
      <c r="AQ84" s="30" t="n">
        <f aca="false">-AQ37</f>
        <v>-0</v>
      </c>
      <c r="AR84" s="30" t="n">
        <f aca="false">-AR37</f>
        <v>-0</v>
      </c>
      <c r="AS84" s="30" t="n">
        <f aca="false">-AS37</f>
        <v>-0</v>
      </c>
      <c r="AT84" s="30" t="n">
        <f aca="false">-AT37</f>
        <v>-0</v>
      </c>
      <c r="AU84" s="30" t="n">
        <f aca="false">-AU37</f>
        <v>-0</v>
      </c>
      <c r="AV84" s="30" t="n">
        <f aca="false">-AV37</f>
        <v>-0</v>
      </c>
      <c r="AW84" s="30" t="n">
        <f aca="false">-AW37</f>
        <v>-0</v>
      </c>
      <c r="AX84" s="30" t="n">
        <f aca="false">-AX37</f>
        <v>-0</v>
      </c>
      <c r="AY84" s="30" t="n">
        <f aca="false">-AY37</f>
        <v>-0</v>
      </c>
      <c r="AZ84" s="30" t="n">
        <f aca="false">-AZ37</f>
        <v>-0</v>
      </c>
      <c r="BA84" s="30" t="n">
        <f aca="false">-BA37</f>
        <v>-0</v>
      </c>
      <c r="BB84" s="30" t="n">
        <f aca="false">-BB37</f>
        <v>-0</v>
      </c>
      <c r="BC84" s="30" t="n">
        <f aca="false">-BC37</f>
        <v>-0</v>
      </c>
      <c r="BD84" s="30" t="n">
        <f aca="false">-BD37</f>
        <v>-0</v>
      </c>
      <c r="BE84" s="30" t="n">
        <f aca="false">-BE37</f>
        <v>-0</v>
      </c>
      <c r="BF84" s="30" t="n">
        <f aca="false">-BF37</f>
        <v>-0</v>
      </c>
      <c r="BG84" s="30" t="n">
        <f aca="false">-BG37</f>
        <v>-0</v>
      </c>
      <c r="BH84" s="30" t="n">
        <f aca="false">-BH37</f>
        <v>-0</v>
      </c>
      <c r="BI84" s="30" t="n">
        <f aca="false">-BI37</f>
        <v>-0</v>
      </c>
      <c r="BJ84" s="30" t="n">
        <f aca="false">-BJ37</f>
        <v>-0</v>
      </c>
      <c r="BK84" s="30" t="n">
        <f aca="false">-BK37</f>
        <v>-0</v>
      </c>
      <c r="BL84" s="30" t="n">
        <f aca="false">-BL37</f>
        <v>-0</v>
      </c>
      <c r="BM84" s="30" t="n">
        <f aca="false">-BM37</f>
        <v>-0</v>
      </c>
      <c r="BN84" s="30" t="n">
        <f aca="false">-BN37</f>
        <v>-0</v>
      </c>
      <c r="BO84" s="30" t="n">
        <f aca="false">-BO37</f>
        <v>-0</v>
      </c>
      <c r="BP84" s="30" t="n">
        <f aca="false">-BP37</f>
        <v>-0</v>
      </c>
      <c r="BQ84" s="30" t="n">
        <f aca="false">-BQ37</f>
        <v>-0</v>
      </c>
      <c r="BR84" s="30" t="n">
        <f aca="false">-BR37</f>
        <v>-0</v>
      </c>
      <c r="BS84" s="30" t="n">
        <f aca="false">-BS37</f>
        <v>-0</v>
      </c>
      <c r="BT84" s="30" t="n">
        <f aca="false">-BT37</f>
        <v>-0</v>
      </c>
      <c r="BU84" s="30" t="n">
        <f aca="false">-BU37</f>
        <v>-0</v>
      </c>
      <c r="BV84" s="30" t="n">
        <f aca="false">-BV37</f>
        <v>-0</v>
      </c>
      <c r="BW84" s="30" t="n">
        <f aca="false">-BW37</f>
        <v>-0</v>
      </c>
      <c r="BX84" s="30" t="n">
        <f aca="false">-BX37</f>
        <v>-0</v>
      </c>
      <c r="BY84" s="30" t="n">
        <f aca="false">-BY37</f>
        <v>-0</v>
      </c>
      <c r="BZ84" s="30" t="n">
        <f aca="false">-BZ37</f>
        <v>-0</v>
      </c>
      <c r="CA84" s="30" t="n">
        <f aca="false">-CA37</f>
        <v>-0</v>
      </c>
      <c r="CB84" s="30" t="n">
        <f aca="false">-CB37</f>
        <v>-0</v>
      </c>
      <c r="CC84" s="30" t="n">
        <f aca="false">-CC37</f>
        <v>-0</v>
      </c>
      <c r="CD84" s="30" t="n">
        <f aca="false">-CD37</f>
        <v>-0</v>
      </c>
      <c r="CE84" s="30" t="n">
        <f aca="false">-CE37</f>
        <v>-0</v>
      </c>
      <c r="CF84" s="30" t="n">
        <f aca="false">-CF37</f>
        <v>-0</v>
      </c>
      <c r="CG84" s="30" t="n">
        <f aca="false">-CG37</f>
        <v>-0</v>
      </c>
      <c r="CH84" s="30" t="n">
        <f aca="false">-CH37</f>
        <v>-0</v>
      </c>
      <c r="CI84" s="30" t="n">
        <f aca="false">-CI37</f>
        <v>-0</v>
      </c>
      <c r="CJ84" s="30" t="n">
        <f aca="false">-CJ37</f>
        <v>-0</v>
      </c>
      <c r="CK84" s="30" t="n">
        <f aca="false">-CK37</f>
        <v>-0</v>
      </c>
      <c r="CL84" s="30" t="n">
        <f aca="false">-CL37</f>
        <v>-0</v>
      </c>
      <c r="CM84" s="30" t="n">
        <f aca="false">-CM37</f>
        <v>-0</v>
      </c>
      <c r="CN84" s="30" t="n">
        <f aca="false">-CN37</f>
        <v>-0</v>
      </c>
      <c r="CO84" s="30" t="n">
        <f aca="false">-CO37</f>
        <v>-0</v>
      </c>
      <c r="CP84" s="30" t="n">
        <f aca="false">-CP37</f>
        <v>-0</v>
      </c>
      <c r="CQ84" s="30" t="n">
        <f aca="false">-CQ37</f>
        <v>-0</v>
      </c>
      <c r="CR84" s="30" t="n">
        <f aca="false">-CR37</f>
        <v>-0</v>
      </c>
      <c r="CS84" s="30" t="n">
        <f aca="false">-CS37</f>
        <v>-0</v>
      </c>
      <c r="CT84" s="30" t="n">
        <f aca="false">-CT37</f>
        <v>-0</v>
      </c>
      <c r="CU84" s="30" t="n">
        <f aca="false">-CU37</f>
        <v>-0</v>
      </c>
      <c r="CV84" s="30" t="n">
        <f aca="false">-CV37</f>
        <v>-0</v>
      </c>
      <c r="CW84" s="30" t="n">
        <f aca="false">-CW37</f>
        <v>-0</v>
      </c>
      <c r="CX84" s="30" t="n">
        <f aca="false">-CX37</f>
        <v>-0</v>
      </c>
      <c r="CY84" s="30" t="n">
        <f aca="false">-CY37</f>
        <v>-0</v>
      </c>
      <c r="CZ84" s="30" t="n">
        <f aca="false">-CZ37</f>
        <v>-0</v>
      </c>
      <c r="DA84" s="30" t="n">
        <f aca="false">-DA37</f>
        <v>-0</v>
      </c>
      <c r="DB84" s="30" t="n">
        <f aca="false">-DB37</f>
        <v>-0</v>
      </c>
      <c r="DC84" s="30" t="n">
        <f aca="false">-DC37</f>
        <v>-0</v>
      </c>
      <c r="DD84" s="30" t="n">
        <f aca="false">-DD37</f>
        <v>-0</v>
      </c>
      <c r="DE84" s="30" t="n">
        <f aca="false">-DE37</f>
        <v>-0</v>
      </c>
    </row>
    <row r="85" customFormat="false" ht="15" hidden="true" customHeight="true" outlineLevel="1" collapsed="false">
      <c r="A85" s="32" t="s">
        <v>32</v>
      </c>
      <c r="B85" s="30" t="n">
        <v>0</v>
      </c>
      <c r="C85" s="30" t="n">
        <v>0</v>
      </c>
      <c r="D85" s="30" t="n">
        <v>0</v>
      </c>
      <c r="E85" s="30" t="n">
        <v>0</v>
      </c>
      <c r="F85" s="30" t="n">
        <f aca="false">-F38</f>
        <v>-0</v>
      </c>
      <c r="G85" s="30" t="n">
        <f aca="false">-G38</f>
        <v>-0</v>
      </c>
      <c r="H85" s="30" t="n">
        <f aca="false">-H38</f>
        <v>-0</v>
      </c>
      <c r="I85" s="30" t="n">
        <f aca="false">-I38</f>
        <v>-0</v>
      </c>
      <c r="J85" s="30" t="n">
        <f aca="false">-J38</f>
        <v>-0</v>
      </c>
      <c r="K85" s="30" t="n">
        <f aca="false">-K38</f>
        <v>-0</v>
      </c>
      <c r="L85" s="30" t="n">
        <f aca="false">-L38</f>
        <v>-0</v>
      </c>
      <c r="M85" s="30" t="n">
        <f aca="false">-M38</f>
        <v>-0</v>
      </c>
      <c r="N85" s="30" t="n">
        <f aca="false">-N38</f>
        <v>-0</v>
      </c>
      <c r="O85" s="30" t="n">
        <f aca="false">-O38</f>
        <v>-0</v>
      </c>
      <c r="P85" s="30" t="n">
        <f aca="false">-P38</f>
        <v>-0</v>
      </c>
      <c r="Q85" s="30" t="n">
        <f aca="false">-Q38</f>
        <v>-0</v>
      </c>
      <c r="R85" s="30" t="n">
        <f aca="false">-R38</f>
        <v>-0</v>
      </c>
      <c r="S85" s="30" t="n">
        <f aca="false">-S38</f>
        <v>-0</v>
      </c>
      <c r="T85" s="30" t="n">
        <f aca="false">-T38</f>
        <v>-0</v>
      </c>
      <c r="U85" s="30" t="n">
        <f aca="false">-U38</f>
        <v>-0</v>
      </c>
      <c r="V85" s="30" t="n">
        <f aca="false">-V38</f>
        <v>-0</v>
      </c>
      <c r="W85" s="30" t="n">
        <f aca="false">-W38</f>
        <v>-0</v>
      </c>
      <c r="X85" s="30" t="n">
        <f aca="false">-X38</f>
        <v>-0</v>
      </c>
      <c r="Y85" s="30" t="n">
        <f aca="false">-Y38</f>
        <v>-0</v>
      </c>
      <c r="Z85" s="30" t="n">
        <f aca="false">-Z38</f>
        <v>-0</v>
      </c>
      <c r="AA85" s="30" t="n">
        <f aca="false">-AA38</f>
        <v>-0</v>
      </c>
      <c r="AB85" s="30" t="n">
        <f aca="false">-AB38</f>
        <v>-0</v>
      </c>
      <c r="AC85" s="30" t="n">
        <f aca="false">-AC38</f>
        <v>-0</v>
      </c>
      <c r="AD85" s="30" t="n">
        <f aca="false">-AD38</f>
        <v>-0</v>
      </c>
      <c r="AE85" s="30" t="n">
        <f aca="false">-AE38</f>
        <v>-0</v>
      </c>
      <c r="AF85" s="30" t="n">
        <f aca="false">-AF38</f>
        <v>-0</v>
      </c>
      <c r="AG85" s="30" t="n">
        <f aca="false">-AG38</f>
        <v>-0</v>
      </c>
      <c r="AH85" s="30" t="n">
        <f aca="false">-AH38</f>
        <v>-0</v>
      </c>
      <c r="AI85" s="30" t="n">
        <f aca="false">-AI38</f>
        <v>-0</v>
      </c>
      <c r="AJ85" s="30" t="n">
        <f aca="false">-AJ38</f>
        <v>-0</v>
      </c>
      <c r="AK85" s="30" t="n">
        <f aca="false">-AK38</f>
        <v>-0</v>
      </c>
      <c r="AL85" s="30" t="n">
        <f aca="false">-AL38</f>
        <v>-0</v>
      </c>
      <c r="AM85" s="30" t="n">
        <f aca="false">-AM38</f>
        <v>-0</v>
      </c>
      <c r="AN85" s="30" t="n">
        <f aca="false">-AN38</f>
        <v>-0</v>
      </c>
      <c r="AO85" s="30" t="n">
        <f aca="false">-AO38</f>
        <v>-0</v>
      </c>
      <c r="AP85" s="30" t="n">
        <f aca="false">-AP38</f>
        <v>-0</v>
      </c>
      <c r="AQ85" s="30" t="n">
        <f aca="false">-AQ38</f>
        <v>-0</v>
      </c>
      <c r="AR85" s="30" t="n">
        <f aca="false">-AR38</f>
        <v>-0</v>
      </c>
      <c r="AS85" s="30" t="n">
        <f aca="false">-AS38</f>
        <v>-0</v>
      </c>
      <c r="AT85" s="30" t="n">
        <f aca="false">-AT38</f>
        <v>-0</v>
      </c>
      <c r="AU85" s="30" t="n">
        <f aca="false">-AU38</f>
        <v>-0</v>
      </c>
      <c r="AV85" s="30" t="n">
        <f aca="false">-AV38</f>
        <v>-0</v>
      </c>
      <c r="AW85" s="30" t="n">
        <f aca="false">-AW38</f>
        <v>-0</v>
      </c>
      <c r="AX85" s="30" t="n">
        <f aca="false">-AX38</f>
        <v>-0</v>
      </c>
      <c r="AY85" s="30" t="n">
        <f aca="false">-AY38</f>
        <v>-0</v>
      </c>
      <c r="AZ85" s="30" t="n">
        <f aca="false">-AZ38</f>
        <v>-0</v>
      </c>
      <c r="BA85" s="30" t="n">
        <f aca="false">-BA38</f>
        <v>-0</v>
      </c>
      <c r="BB85" s="30" t="n">
        <f aca="false">-BB38</f>
        <v>-0</v>
      </c>
      <c r="BC85" s="30" t="n">
        <f aca="false">-BC38</f>
        <v>-0</v>
      </c>
      <c r="BD85" s="30" t="n">
        <f aca="false">-BD38</f>
        <v>-0</v>
      </c>
      <c r="BE85" s="30" t="n">
        <f aca="false">-BE38</f>
        <v>-0</v>
      </c>
      <c r="BF85" s="30" t="n">
        <f aca="false">-BF38</f>
        <v>-0</v>
      </c>
      <c r="BG85" s="30" t="n">
        <f aca="false">-BG38</f>
        <v>-0</v>
      </c>
      <c r="BH85" s="30" t="n">
        <f aca="false">-BH38</f>
        <v>-0</v>
      </c>
      <c r="BI85" s="30" t="n">
        <f aca="false">-BI38</f>
        <v>-0</v>
      </c>
      <c r="BJ85" s="30" t="n">
        <f aca="false">-BJ38</f>
        <v>-0</v>
      </c>
      <c r="BK85" s="30" t="n">
        <f aca="false">-BK38</f>
        <v>-0</v>
      </c>
      <c r="BL85" s="30" t="n">
        <f aca="false">-BL38</f>
        <v>-0</v>
      </c>
      <c r="BM85" s="30" t="n">
        <f aca="false">-BM38</f>
        <v>-0</v>
      </c>
      <c r="BN85" s="30" t="n">
        <f aca="false">-BN38</f>
        <v>-0</v>
      </c>
      <c r="BO85" s="30" t="n">
        <f aca="false">-BO38</f>
        <v>-0</v>
      </c>
      <c r="BP85" s="30" t="n">
        <f aca="false">-BP38</f>
        <v>-0</v>
      </c>
      <c r="BQ85" s="30" t="n">
        <f aca="false">-BQ38</f>
        <v>-0</v>
      </c>
      <c r="BR85" s="30" t="n">
        <f aca="false">-BR38</f>
        <v>-0</v>
      </c>
      <c r="BS85" s="30" t="n">
        <f aca="false">-BS38</f>
        <v>-0</v>
      </c>
      <c r="BT85" s="30" t="n">
        <f aca="false">-BT38</f>
        <v>-0</v>
      </c>
      <c r="BU85" s="30" t="n">
        <f aca="false">-BU38</f>
        <v>-0</v>
      </c>
      <c r="BV85" s="30" t="n">
        <f aca="false">-BV38</f>
        <v>-0</v>
      </c>
      <c r="BW85" s="30" t="n">
        <f aca="false">-BW38</f>
        <v>-0</v>
      </c>
      <c r="BX85" s="30" t="n">
        <f aca="false">-BX38</f>
        <v>-0</v>
      </c>
      <c r="BY85" s="30" t="n">
        <f aca="false">-BY38</f>
        <v>-0</v>
      </c>
      <c r="BZ85" s="30" t="n">
        <f aca="false">-BZ38</f>
        <v>-0</v>
      </c>
      <c r="CA85" s="30" t="n">
        <f aca="false">-CA38</f>
        <v>-0</v>
      </c>
      <c r="CB85" s="30" t="n">
        <f aca="false">-CB38</f>
        <v>-0</v>
      </c>
      <c r="CC85" s="30" t="n">
        <f aca="false">-CC38</f>
        <v>-0</v>
      </c>
      <c r="CD85" s="30" t="n">
        <f aca="false">-CD38</f>
        <v>-0</v>
      </c>
      <c r="CE85" s="30" t="n">
        <f aca="false">-CE38</f>
        <v>-0</v>
      </c>
      <c r="CF85" s="30" t="n">
        <f aca="false">-CF38</f>
        <v>-0</v>
      </c>
      <c r="CG85" s="30" t="n">
        <f aca="false">-CG38</f>
        <v>-0</v>
      </c>
      <c r="CH85" s="30" t="n">
        <f aca="false">-CH38</f>
        <v>-0</v>
      </c>
      <c r="CI85" s="30" t="n">
        <f aca="false">-CI38</f>
        <v>-0</v>
      </c>
      <c r="CJ85" s="30" t="n">
        <f aca="false">-CJ38</f>
        <v>-0</v>
      </c>
      <c r="CK85" s="30" t="n">
        <f aca="false">-CK38</f>
        <v>-0</v>
      </c>
      <c r="CL85" s="30" t="n">
        <f aca="false">-CL38</f>
        <v>-0</v>
      </c>
      <c r="CM85" s="30" t="n">
        <f aca="false">-CM38</f>
        <v>-0</v>
      </c>
      <c r="CN85" s="30" t="n">
        <f aca="false">-CN38</f>
        <v>-0</v>
      </c>
      <c r="CO85" s="30" t="n">
        <f aca="false">-CO38</f>
        <v>-0</v>
      </c>
      <c r="CP85" s="30" t="n">
        <f aca="false">-CP38</f>
        <v>-0</v>
      </c>
      <c r="CQ85" s="30" t="n">
        <f aca="false">-CQ38</f>
        <v>-0</v>
      </c>
      <c r="CR85" s="30" t="n">
        <f aca="false">-CR38</f>
        <v>-0</v>
      </c>
      <c r="CS85" s="30" t="n">
        <f aca="false">-CS38</f>
        <v>-0</v>
      </c>
      <c r="CT85" s="30" t="n">
        <f aca="false">-CT38</f>
        <v>-0</v>
      </c>
      <c r="CU85" s="30" t="n">
        <f aca="false">-CU38</f>
        <v>-0</v>
      </c>
      <c r="CV85" s="30" t="n">
        <f aca="false">-CV38</f>
        <v>-0</v>
      </c>
      <c r="CW85" s="30" t="n">
        <f aca="false">-CW38</f>
        <v>-0</v>
      </c>
      <c r="CX85" s="30" t="n">
        <f aca="false">-CX38</f>
        <v>-0</v>
      </c>
      <c r="CY85" s="30" t="n">
        <f aca="false">-CY38</f>
        <v>-0</v>
      </c>
      <c r="CZ85" s="30" t="n">
        <f aca="false">-CZ38</f>
        <v>-0</v>
      </c>
      <c r="DA85" s="30" t="n">
        <f aca="false">-DA38</f>
        <v>-0</v>
      </c>
      <c r="DB85" s="30" t="n">
        <f aca="false">-DB38</f>
        <v>-0</v>
      </c>
      <c r="DC85" s="30" t="n">
        <f aca="false">-DC38</f>
        <v>-0</v>
      </c>
      <c r="DD85" s="30" t="n">
        <f aca="false">-DD38</f>
        <v>-0</v>
      </c>
      <c r="DE85" s="30" t="n">
        <f aca="false">-DE38</f>
        <v>-0</v>
      </c>
    </row>
    <row r="86" customFormat="false" ht="15" hidden="true" customHeight="true" outlineLevel="1" collapsed="false">
      <c r="A86" s="32" t="s">
        <v>33</v>
      </c>
      <c r="B86" s="30" t="n">
        <v>0</v>
      </c>
      <c r="C86" s="30" t="n">
        <v>0</v>
      </c>
      <c r="D86" s="30" t="n">
        <v>0</v>
      </c>
      <c r="E86" s="30" t="n">
        <v>0</v>
      </c>
      <c r="F86" s="30" t="n">
        <f aca="false">-F39</f>
        <v>-0</v>
      </c>
      <c r="G86" s="30" t="n">
        <f aca="false">-G39</f>
        <v>-0</v>
      </c>
      <c r="H86" s="30" t="n">
        <f aca="false">-H39</f>
        <v>-0</v>
      </c>
      <c r="I86" s="30" t="n">
        <f aca="false">-I39</f>
        <v>-0</v>
      </c>
      <c r="J86" s="30" t="n">
        <f aca="false">-J39</f>
        <v>-0</v>
      </c>
      <c r="K86" s="30" t="n">
        <f aca="false">-K39</f>
        <v>-0</v>
      </c>
      <c r="L86" s="30" t="n">
        <f aca="false">-L39</f>
        <v>-0</v>
      </c>
      <c r="M86" s="30" t="n">
        <f aca="false">-M39</f>
        <v>-0</v>
      </c>
      <c r="N86" s="30" t="n">
        <f aca="false">-N39</f>
        <v>-0</v>
      </c>
      <c r="O86" s="30" t="n">
        <f aca="false">-O39</f>
        <v>-0</v>
      </c>
      <c r="P86" s="30" t="n">
        <f aca="false">-P39</f>
        <v>-0</v>
      </c>
      <c r="Q86" s="30" t="n">
        <f aca="false">-Q39</f>
        <v>-0</v>
      </c>
      <c r="R86" s="30" t="n">
        <f aca="false">-R39</f>
        <v>-0</v>
      </c>
      <c r="S86" s="30" t="n">
        <f aca="false">-S39</f>
        <v>-0</v>
      </c>
      <c r="T86" s="30" t="n">
        <f aca="false">-T39</f>
        <v>-0</v>
      </c>
      <c r="U86" s="30" t="n">
        <f aca="false">-U39</f>
        <v>-0</v>
      </c>
      <c r="V86" s="30" t="n">
        <f aca="false">-V39</f>
        <v>-0</v>
      </c>
      <c r="W86" s="30" t="n">
        <f aca="false">-W39</f>
        <v>-0</v>
      </c>
      <c r="X86" s="30" t="n">
        <f aca="false">-X39</f>
        <v>-0</v>
      </c>
      <c r="Y86" s="30" t="n">
        <f aca="false">-Y39</f>
        <v>-0</v>
      </c>
      <c r="Z86" s="30" t="n">
        <f aca="false">-Z39</f>
        <v>-0</v>
      </c>
      <c r="AA86" s="30" t="n">
        <f aca="false">-AA39</f>
        <v>-0</v>
      </c>
      <c r="AB86" s="30" t="n">
        <f aca="false">-AB39</f>
        <v>-0</v>
      </c>
      <c r="AC86" s="30" t="n">
        <f aca="false">-AC39</f>
        <v>-0</v>
      </c>
      <c r="AD86" s="30" t="n">
        <f aca="false">-AD39</f>
        <v>-0</v>
      </c>
      <c r="AE86" s="30" t="n">
        <f aca="false">-AE39</f>
        <v>-0</v>
      </c>
      <c r="AF86" s="30" t="n">
        <f aca="false">-AF39</f>
        <v>-0</v>
      </c>
      <c r="AG86" s="30" t="n">
        <f aca="false">-AG39</f>
        <v>-0</v>
      </c>
      <c r="AH86" s="30" t="n">
        <f aca="false">-AH39</f>
        <v>-0</v>
      </c>
      <c r="AI86" s="30" t="n">
        <f aca="false">-AI39</f>
        <v>-0</v>
      </c>
      <c r="AJ86" s="30" t="n">
        <f aca="false">-AJ39</f>
        <v>-0</v>
      </c>
      <c r="AK86" s="30" t="n">
        <f aca="false">-AK39</f>
        <v>-0</v>
      </c>
      <c r="AL86" s="30" t="n">
        <f aca="false">-AL39</f>
        <v>-0</v>
      </c>
      <c r="AM86" s="30" t="n">
        <f aca="false">-AM39</f>
        <v>-0</v>
      </c>
      <c r="AN86" s="30" t="n">
        <f aca="false">-AN39</f>
        <v>-0</v>
      </c>
      <c r="AO86" s="30" t="n">
        <f aca="false">-AO39</f>
        <v>-0</v>
      </c>
      <c r="AP86" s="30" t="n">
        <f aca="false">-AP39</f>
        <v>-0</v>
      </c>
      <c r="AQ86" s="30" t="n">
        <f aca="false">-AQ39</f>
        <v>-0</v>
      </c>
      <c r="AR86" s="30" t="n">
        <f aca="false">-AR39</f>
        <v>-0</v>
      </c>
      <c r="AS86" s="30" t="n">
        <f aca="false">-AS39</f>
        <v>-0</v>
      </c>
      <c r="AT86" s="30" t="n">
        <f aca="false">-AT39</f>
        <v>-0</v>
      </c>
      <c r="AU86" s="30" t="n">
        <f aca="false">-AU39</f>
        <v>-0</v>
      </c>
      <c r="AV86" s="30" t="n">
        <f aca="false">-AV39</f>
        <v>-0</v>
      </c>
      <c r="AW86" s="30" t="n">
        <f aca="false">-AW39</f>
        <v>-0</v>
      </c>
      <c r="AX86" s="30" t="n">
        <f aca="false">-AX39</f>
        <v>-0</v>
      </c>
      <c r="AY86" s="30" t="n">
        <f aca="false">-AY39</f>
        <v>-0</v>
      </c>
      <c r="AZ86" s="30" t="n">
        <f aca="false">-AZ39</f>
        <v>-0</v>
      </c>
      <c r="BA86" s="30" t="n">
        <f aca="false">-BA39</f>
        <v>-0</v>
      </c>
      <c r="BB86" s="30" t="n">
        <f aca="false">-BB39</f>
        <v>-0</v>
      </c>
      <c r="BC86" s="30" t="n">
        <f aca="false">-BC39</f>
        <v>-0</v>
      </c>
      <c r="BD86" s="30" t="n">
        <f aca="false">-BD39</f>
        <v>-0</v>
      </c>
      <c r="BE86" s="30" t="n">
        <f aca="false">-BE39</f>
        <v>-0</v>
      </c>
      <c r="BF86" s="30" t="n">
        <f aca="false">-BF39</f>
        <v>-0</v>
      </c>
      <c r="BG86" s="30" t="n">
        <f aca="false">-BG39</f>
        <v>-0</v>
      </c>
      <c r="BH86" s="30" t="n">
        <f aca="false">-BH39</f>
        <v>-0</v>
      </c>
      <c r="BI86" s="30" t="n">
        <f aca="false">-BI39</f>
        <v>-0</v>
      </c>
      <c r="BJ86" s="30" t="n">
        <f aca="false">-BJ39</f>
        <v>-0</v>
      </c>
      <c r="BK86" s="30" t="n">
        <f aca="false">-BK39</f>
        <v>-0</v>
      </c>
      <c r="BL86" s="30" t="n">
        <f aca="false">-BL39</f>
        <v>-0</v>
      </c>
      <c r="BM86" s="30" t="n">
        <f aca="false">-BM39</f>
        <v>-0</v>
      </c>
      <c r="BN86" s="30" t="n">
        <f aca="false">-BN39</f>
        <v>-0</v>
      </c>
      <c r="BO86" s="30" t="n">
        <f aca="false">-BO39</f>
        <v>-0</v>
      </c>
      <c r="BP86" s="30" t="n">
        <f aca="false">-BP39</f>
        <v>-0</v>
      </c>
      <c r="BQ86" s="30" t="n">
        <f aca="false">-BQ39</f>
        <v>-0</v>
      </c>
      <c r="BR86" s="30" t="n">
        <f aca="false">-BR39</f>
        <v>-0</v>
      </c>
      <c r="BS86" s="30" t="n">
        <f aca="false">-BS39</f>
        <v>-0</v>
      </c>
      <c r="BT86" s="30" t="n">
        <f aca="false">-BT39</f>
        <v>-0</v>
      </c>
      <c r="BU86" s="30" t="n">
        <f aca="false">-BU39</f>
        <v>-0</v>
      </c>
      <c r="BV86" s="30" t="n">
        <f aca="false">-BV39</f>
        <v>-0</v>
      </c>
      <c r="BW86" s="30" t="n">
        <f aca="false">-BW39</f>
        <v>-0</v>
      </c>
      <c r="BX86" s="30" t="n">
        <f aca="false">-BX39</f>
        <v>-0</v>
      </c>
      <c r="BY86" s="30" t="n">
        <f aca="false">-BY39</f>
        <v>-0</v>
      </c>
      <c r="BZ86" s="30" t="n">
        <f aca="false">-BZ39</f>
        <v>-0</v>
      </c>
      <c r="CA86" s="30" t="n">
        <f aca="false">-CA39</f>
        <v>-0</v>
      </c>
      <c r="CB86" s="30" t="n">
        <f aca="false">-CB39</f>
        <v>-0</v>
      </c>
      <c r="CC86" s="30" t="n">
        <f aca="false">-CC39</f>
        <v>-0</v>
      </c>
      <c r="CD86" s="30" t="n">
        <f aca="false">-CD39</f>
        <v>-0</v>
      </c>
      <c r="CE86" s="30" t="n">
        <f aca="false">-CE39</f>
        <v>-0</v>
      </c>
      <c r="CF86" s="30" t="n">
        <f aca="false">-CF39</f>
        <v>-0</v>
      </c>
      <c r="CG86" s="30" t="n">
        <f aca="false">-CG39</f>
        <v>-0</v>
      </c>
      <c r="CH86" s="30" t="n">
        <f aca="false">-CH39</f>
        <v>-0</v>
      </c>
      <c r="CI86" s="30" t="n">
        <f aca="false">-CI39</f>
        <v>-0</v>
      </c>
      <c r="CJ86" s="30" t="n">
        <f aca="false">-CJ39</f>
        <v>-0</v>
      </c>
      <c r="CK86" s="30" t="n">
        <f aca="false">-CK39</f>
        <v>-0</v>
      </c>
      <c r="CL86" s="30" t="n">
        <f aca="false">-CL39</f>
        <v>-0</v>
      </c>
      <c r="CM86" s="30" t="n">
        <f aca="false">-CM39</f>
        <v>-0</v>
      </c>
      <c r="CN86" s="30" t="n">
        <f aca="false">-CN39</f>
        <v>-0</v>
      </c>
      <c r="CO86" s="30" t="n">
        <f aca="false">-CO39</f>
        <v>-0</v>
      </c>
      <c r="CP86" s="30" t="n">
        <f aca="false">-CP39</f>
        <v>-0</v>
      </c>
      <c r="CQ86" s="30" t="n">
        <f aca="false">-CQ39</f>
        <v>-0</v>
      </c>
      <c r="CR86" s="30" t="n">
        <f aca="false">-CR39</f>
        <v>-0</v>
      </c>
      <c r="CS86" s="30" t="n">
        <f aca="false">-CS39</f>
        <v>-0</v>
      </c>
      <c r="CT86" s="30" t="n">
        <f aca="false">-CT39</f>
        <v>-0</v>
      </c>
      <c r="CU86" s="30" t="n">
        <f aca="false">-CU39</f>
        <v>-0</v>
      </c>
      <c r="CV86" s="30" t="n">
        <f aca="false">-CV39</f>
        <v>-0</v>
      </c>
      <c r="CW86" s="30" t="n">
        <f aca="false">-CW39</f>
        <v>-0</v>
      </c>
      <c r="CX86" s="30" t="n">
        <f aca="false">-CX39</f>
        <v>-0</v>
      </c>
      <c r="CY86" s="30" t="n">
        <f aca="false">-CY39</f>
        <v>-0</v>
      </c>
      <c r="CZ86" s="30" t="n">
        <f aca="false">-CZ39</f>
        <v>-0</v>
      </c>
      <c r="DA86" s="30" t="n">
        <f aca="false">-DA39</f>
        <v>-0</v>
      </c>
      <c r="DB86" s="30" t="n">
        <f aca="false">-DB39</f>
        <v>-0</v>
      </c>
      <c r="DC86" s="30" t="n">
        <f aca="false">-DC39</f>
        <v>-0</v>
      </c>
      <c r="DD86" s="30" t="n">
        <f aca="false">-DD39</f>
        <v>-0</v>
      </c>
      <c r="DE86" s="30" t="n">
        <f aca="false">-DE39</f>
        <v>-0</v>
      </c>
    </row>
    <row r="87" customFormat="false" ht="15" hidden="true" customHeight="true" outlineLevel="1" collapsed="false">
      <c r="A87" s="32" t="s">
        <v>34</v>
      </c>
      <c r="B87" s="30" t="n">
        <v>0</v>
      </c>
      <c r="C87" s="30" t="n">
        <v>0</v>
      </c>
      <c r="D87" s="30" t="n">
        <v>0</v>
      </c>
      <c r="E87" s="30" t="n">
        <v>0</v>
      </c>
      <c r="F87" s="30" t="n">
        <f aca="false">-F40</f>
        <v>-0</v>
      </c>
      <c r="G87" s="30" t="n">
        <f aca="false">-G40</f>
        <v>-0</v>
      </c>
      <c r="H87" s="30" t="n">
        <f aca="false">-H40</f>
        <v>-0</v>
      </c>
      <c r="I87" s="30" t="n">
        <f aca="false">-I40</f>
        <v>-0</v>
      </c>
      <c r="J87" s="30" t="n">
        <f aca="false">-J40</f>
        <v>-0</v>
      </c>
      <c r="K87" s="30" t="n">
        <f aca="false">-K40</f>
        <v>-0</v>
      </c>
      <c r="L87" s="30" t="n">
        <f aca="false">-L40</f>
        <v>-0</v>
      </c>
      <c r="M87" s="30" t="n">
        <f aca="false">-M40</f>
        <v>-0</v>
      </c>
      <c r="N87" s="30" t="n">
        <f aca="false">-N40</f>
        <v>-0</v>
      </c>
      <c r="O87" s="30" t="n">
        <f aca="false">-O40</f>
        <v>-0</v>
      </c>
      <c r="P87" s="30" t="n">
        <f aca="false">-P40</f>
        <v>-0</v>
      </c>
      <c r="Q87" s="30" t="n">
        <f aca="false">-Q40</f>
        <v>-0</v>
      </c>
      <c r="R87" s="30" t="n">
        <f aca="false">-R40</f>
        <v>-0</v>
      </c>
      <c r="S87" s="30" t="n">
        <f aca="false">-S40</f>
        <v>-0</v>
      </c>
      <c r="T87" s="30" t="n">
        <f aca="false">-T40</f>
        <v>-0</v>
      </c>
      <c r="U87" s="30" t="n">
        <f aca="false">-U40</f>
        <v>-0</v>
      </c>
      <c r="V87" s="30" t="n">
        <f aca="false">-V40</f>
        <v>-0</v>
      </c>
      <c r="W87" s="30" t="n">
        <f aca="false">-W40</f>
        <v>-0</v>
      </c>
      <c r="X87" s="30" t="n">
        <f aca="false">-X40</f>
        <v>-0</v>
      </c>
      <c r="Y87" s="30" t="n">
        <f aca="false">-Y40</f>
        <v>-0</v>
      </c>
      <c r="Z87" s="30" t="n">
        <f aca="false">-Z40</f>
        <v>-0</v>
      </c>
      <c r="AA87" s="30" t="n">
        <f aca="false">-AA40</f>
        <v>-0</v>
      </c>
      <c r="AB87" s="30" t="n">
        <f aca="false">-AB40</f>
        <v>-0</v>
      </c>
      <c r="AC87" s="30" t="n">
        <f aca="false">-AC40</f>
        <v>-0</v>
      </c>
      <c r="AD87" s="30" t="n">
        <f aca="false">-AD40</f>
        <v>-0</v>
      </c>
      <c r="AE87" s="30" t="n">
        <f aca="false">-AE40</f>
        <v>-0</v>
      </c>
      <c r="AF87" s="30" t="n">
        <f aca="false">-AF40</f>
        <v>-0</v>
      </c>
      <c r="AG87" s="30" t="n">
        <f aca="false">-AG40</f>
        <v>-0</v>
      </c>
      <c r="AH87" s="30" t="n">
        <f aca="false">-AH40</f>
        <v>-0</v>
      </c>
      <c r="AI87" s="30" t="n">
        <f aca="false">-AI40</f>
        <v>-0</v>
      </c>
      <c r="AJ87" s="30" t="n">
        <f aca="false">-AJ40</f>
        <v>-0</v>
      </c>
      <c r="AK87" s="30" t="n">
        <f aca="false">-AK40</f>
        <v>-0</v>
      </c>
      <c r="AL87" s="30" t="n">
        <f aca="false">-AL40</f>
        <v>-0</v>
      </c>
      <c r="AM87" s="30" t="n">
        <f aca="false">-AM40</f>
        <v>-0</v>
      </c>
      <c r="AN87" s="30" t="n">
        <f aca="false">-AN40</f>
        <v>-0</v>
      </c>
      <c r="AO87" s="30" t="n">
        <f aca="false">-AO40</f>
        <v>-0</v>
      </c>
      <c r="AP87" s="30" t="n">
        <f aca="false">-AP40</f>
        <v>-0</v>
      </c>
      <c r="AQ87" s="30" t="n">
        <f aca="false">-AQ40</f>
        <v>-0</v>
      </c>
      <c r="AR87" s="30" t="n">
        <f aca="false">-AR40</f>
        <v>-0</v>
      </c>
      <c r="AS87" s="30" t="n">
        <f aca="false">-AS40</f>
        <v>-0</v>
      </c>
      <c r="AT87" s="30" t="n">
        <f aca="false">-AT40</f>
        <v>-0</v>
      </c>
      <c r="AU87" s="30" t="n">
        <f aca="false">-AU40</f>
        <v>-0</v>
      </c>
      <c r="AV87" s="30" t="n">
        <f aca="false">-AV40</f>
        <v>-0</v>
      </c>
      <c r="AW87" s="30" t="n">
        <f aca="false">-AW40</f>
        <v>-0</v>
      </c>
      <c r="AX87" s="30" t="n">
        <f aca="false">-AX40</f>
        <v>-0</v>
      </c>
      <c r="AY87" s="30" t="n">
        <f aca="false">-AY40</f>
        <v>-0</v>
      </c>
      <c r="AZ87" s="30" t="n">
        <f aca="false">-AZ40</f>
        <v>-0</v>
      </c>
      <c r="BA87" s="30" t="n">
        <f aca="false">-BA40</f>
        <v>-0</v>
      </c>
      <c r="BB87" s="30" t="n">
        <f aca="false">-BB40</f>
        <v>-0</v>
      </c>
      <c r="BC87" s="30" t="n">
        <f aca="false">-BC40</f>
        <v>-0</v>
      </c>
      <c r="BD87" s="30" t="n">
        <f aca="false">-BD40</f>
        <v>-0</v>
      </c>
      <c r="BE87" s="30" t="n">
        <f aca="false">-BE40</f>
        <v>-0</v>
      </c>
      <c r="BF87" s="30" t="n">
        <f aca="false">-BF40</f>
        <v>-0</v>
      </c>
      <c r="BG87" s="30" t="n">
        <f aca="false">-BG40</f>
        <v>-0</v>
      </c>
      <c r="BH87" s="30" t="n">
        <f aca="false">-BH40</f>
        <v>-0</v>
      </c>
      <c r="BI87" s="30" t="n">
        <f aca="false">-BI40</f>
        <v>-0</v>
      </c>
      <c r="BJ87" s="30" t="n">
        <f aca="false">-BJ40</f>
        <v>-0</v>
      </c>
      <c r="BK87" s="30" t="n">
        <f aca="false">-BK40</f>
        <v>-0</v>
      </c>
      <c r="BL87" s="30" t="n">
        <f aca="false">-BL40</f>
        <v>-0</v>
      </c>
      <c r="BM87" s="30" t="n">
        <f aca="false">-BM40</f>
        <v>-0</v>
      </c>
      <c r="BN87" s="30" t="n">
        <f aca="false">-BN40</f>
        <v>-0</v>
      </c>
      <c r="BO87" s="30" t="n">
        <f aca="false">-BO40</f>
        <v>-0</v>
      </c>
      <c r="BP87" s="30" t="n">
        <f aca="false">-BP40</f>
        <v>-0</v>
      </c>
      <c r="BQ87" s="30" t="n">
        <f aca="false">-BQ40</f>
        <v>-0</v>
      </c>
      <c r="BR87" s="30" t="n">
        <f aca="false">-BR40</f>
        <v>-0</v>
      </c>
      <c r="BS87" s="30" t="n">
        <f aca="false">-BS40</f>
        <v>-0</v>
      </c>
      <c r="BT87" s="30" t="n">
        <f aca="false">-BT40</f>
        <v>-0</v>
      </c>
      <c r="BU87" s="30" t="n">
        <f aca="false">-BU40</f>
        <v>-0</v>
      </c>
      <c r="BV87" s="30" t="n">
        <f aca="false">-BV40</f>
        <v>-0</v>
      </c>
      <c r="BW87" s="30" t="n">
        <f aca="false">-BW40</f>
        <v>-0</v>
      </c>
      <c r="BX87" s="30" t="n">
        <f aca="false">-BX40</f>
        <v>-0</v>
      </c>
      <c r="BY87" s="30" t="n">
        <f aca="false">-BY40</f>
        <v>-0</v>
      </c>
      <c r="BZ87" s="30" t="n">
        <f aca="false">-BZ40</f>
        <v>-0</v>
      </c>
      <c r="CA87" s="30" t="n">
        <f aca="false">-CA40</f>
        <v>-0</v>
      </c>
      <c r="CB87" s="30" t="n">
        <f aca="false">-CB40</f>
        <v>-0</v>
      </c>
      <c r="CC87" s="30" t="n">
        <f aca="false">-CC40</f>
        <v>-0</v>
      </c>
      <c r="CD87" s="30" t="n">
        <f aca="false">-CD40</f>
        <v>-0</v>
      </c>
      <c r="CE87" s="30" t="n">
        <f aca="false">-CE40</f>
        <v>-0</v>
      </c>
      <c r="CF87" s="30" t="n">
        <f aca="false">-CF40</f>
        <v>-0</v>
      </c>
      <c r="CG87" s="30" t="n">
        <f aca="false">-CG40</f>
        <v>-0</v>
      </c>
      <c r="CH87" s="30" t="n">
        <f aca="false">-CH40</f>
        <v>-0</v>
      </c>
      <c r="CI87" s="30" t="n">
        <f aca="false">-CI40</f>
        <v>-0</v>
      </c>
      <c r="CJ87" s="30" t="n">
        <f aca="false">-CJ40</f>
        <v>-0</v>
      </c>
      <c r="CK87" s="30" t="n">
        <f aca="false">-CK40</f>
        <v>-0</v>
      </c>
      <c r="CL87" s="30" t="n">
        <f aca="false">-CL40</f>
        <v>-0</v>
      </c>
      <c r="CM87" s="30" t="n">
        <f aca="false">-CM40</f>
        <v>-0</v>
      </c>
      <c r="CN87" s="30" t="n">
        <f aca="false">-CN40</f>
        <v>-0</v>
      </c>
      <c r="CO87" s="30" t="n">
        <f aca="false">-CO40</f>
        <v>-0</v>
      </c>
      <c r="CP87" s="30" t="n">
        <f aca="false">-CP40</f>
        <v>-0</v>
      </c>
      <c r="CQ87" s="30" t="n">
        <f aca="false">-CQ40</f>
        <v>-0</v>
      </c>
      <c r="CR87" s="30" t="n">
        <f aca="false">-CR40</f>
        <v>-0</v>
      </c>
      <c r="CS87" s="30" t="n">
        <f aca="false">-CS40</f>
        <v>-0</v>
      </c>
      <c r="CT87" s="30" t="n">
        <f aca="false">-CT40</f>
        <v>-0</v>
      </c>
      <c r="CU87" s="30" t="n">
        <f aca="false">-CU40</f>
        <v>-0</v>
      </c>
      <c r="CV87" s="30" t="n">
        <f aca="false">-CV40</f>
        <v>-0</v>
      </c>
      <c r="CW87" s="30" t="n">
        <f aca="false">-CW40</f>
        <v>-0</v>
      </c>
      <c r="CX87" s="30" t="n">
        <f aca="false">-CX40</f>
        <v>-0</v>
      </c>
      <c r="CY87" s="30" t="n">
        <f aca="false">-CY40</f>
        <v>-0</v>
      </c>
      <c r="CZ87" s="30" t="n">
        <f aca="false">-CZ40</f>
        <v>-0</v>
      </c>
      <c r="DA87" s="30" t="n">
        <f aca="false">-DA40</f>
        <v>-0</v>
      </c>
      <c r="DB87" s="30" t="n">
        <f aca="false">-DB40</f>
        <v>-0</v>
      </c>
      <c r="DC87" s="30" t="n">
        <f aca="false">-DC40</f>
        <v>-0</v>
      </c>
      <c r="DD87" s="30" t="n">
        <f aca="false">-DD40</f>
        <v>-0</v>
      </c>
      <c r="DE87" s="30" t="n">
        <f aca="false">-DE40</f>
        <v>-0</v>
      </c>
    </row>
    <row r="88" customFormat="false" ht="15" hidden="true" customHeight="true" outlineLevel="1" collapsed="false">
      <c r="A88" s="32" t="s">
        <v>35</v>
      </c>
      <c r="B88" s="30" t="n">
        <v>0</v>
      </c>
      <c r="C88" s="30" t="n">
        <v>0</v>
      </c>
      <c r="D88" s="30" t="n">
        <v>0</v>
      </c>
      <c r="E88" s="30" t="n">
        <v>0</v>
      </c>
      <c r="F88" s="30" t="n">
        <f aca="false">-F41</f>
        <v>-0</v>
      </c>
      <c r="G88" s="30" t="n">
        <f aca="false">-G41</f>
        <v>-0</v>
      </c>
      <c r="H88" s="30" t="n">
        <f aca="false">-H41</f>
        <v>-0</v>
      </c>
      <c r="I88" s="30" t="n">
        <f aca="false">-I41</f>
        <v>-0</v>
      </c>
      <c r="J88" s="30" t="n">
        <f aca="false">-J41</f>
        <v>-0</v>
      </c>
      <c r="K88" s="30" t="n">
        <f aca="false">-K41</f>
        <v>-0</v>
      </c>
      <c r="L88" s="30" t="n">
        <f aca="false">-L41</f>
        <v>-0</v>
      </c>
      <c r="M88" s="30" t="n">
        <f aca="false">-M41</f>
        <v>-0</v>
      </c>
      <c r="N88" s="30" t="n">
        <f aca="false">-N41</f>
        <v>-0</v>
      </c>
      <c r="O88" s="30" t="n">
        <f aca="false">-O41</f>
        <v>-0</v>
      </c>
      <c r="P88" s="30" t="n">
        <f aca="false">-P41</f>
        <v>-0</v>
      </c>
      <c r="Q88" s="30" t="n">
        <f aca="false">-Q41</f>
        <v>-0</v>
      </c>
      <c r="R88" s="30" t="n">
        <f aca="false">-R41</f>
        <v>-0</v>
      </c>
      <c r="S88" s="30" t="n">
        <f aca="false">-S41</f>
        <v>-0</v>
      </c>
      <c r="T88" s="30" t="n">
        <f aca="false">-T41</f>
        <v>-0</v>
      </c>
      <c r="U88" s="30" t="n">
        <f aca="false">-U41</f>
        <v>-0</v>
      </c>
      <c r="V88" s="30" t="n">
        <f aca="false">-V41</f>
        <v>-0</v>
      </c>
      <c r="W88" s="30" t="n">
        <f aca="false">-W41</f>
        <v>-0</v>
      </c>
      <c r="X88" s="30" t="n">
        <f aca="false">-X41</f>
        <v>-0</v>
      </c>
      <c r="Y88" s="30" t="n">
        <f aca="false">-Y41</f>
        <v>-0</v>
      </c>
      <c r="Z88" s="30" t="n">
        <f aca="false">-Z41</f>
        <v>-0</v>
      </c>
      <c r="AA88" s="30" t="n">
        <f aca="false">-AA41</f>
        <v>-0</v>
      </c>
      <c r="AB88" s="30" t="n">
        <f aca="false">-AB41</f>
        <v>-0</v>
      </c>
      <c r="AC88" s="30" t="n">
        <f aca="false">-AC41</f>
        <v>-0</v>
      </c>
      <c r="AD88" s="30" t="n">
        <f aca="false">-AD41</f>
        <v>-0</v>
      </c>
      <c r="AE88" s="30" t="n">
        <f aca="false">-AE41</f>
        <v>-0</v>
      </c>
      <c r="AF88" s="30" t="n">
        <f aca="false">-AF41</f>
        <v>-0</v>
      </c>
      <c r="AG88" s="30" t="n">
        <f aca="false">-AG41</f>
        <v>-0</v>
      </c>
      <c r="AH88" s="30" t="n">
        <f aca="false">-AH41</f>
        <v>-0</v>
      </c>
      <c r="AI88" s="30" t="n">
        <f aca="false">-AI41</f>
        <v>-0</v>
      </c>
      <c r="AJ88" s="30" t="n">
        <f aca="false">-AJ41</f>
        <v>-0</v>
      </c>
      <c r="AK88" s="30" t="n">
        <f aca="false">-AK41</f>
        <v>-0</v>
      </c>
      <c r="AL88" s="30" t="n">
        <f aca="false">-AL41</f>
        <v>-0</v>
      </c>
      <c r="AM88" s="30" t="n">
        <f aca="false">-AM41</f>
        <v>-0</v>
      </c>
      <c r="AN88" s="30" t="n">
        <f aca="false">-AN41</f>
        <v>-0</v>
      </c>
      <c r="AO88" s="30" t="n">
        <f aca="false">-AO41</f>
        <v>-0</v>
      </c>
      <c r="AP88" s="30" t="n">
        <f aca="false">-AP41</f>
        <v>-0</v>
      </c>
      <c r="AQ88" s="30" t="n">
        <f aca="false">-AQ41</f>
        <v>-0</v>
      </c>
      <c r="AR88" s="30" t="n">
        <f aca="false">-AR41</f>
        <v>-0</v>
      </c>
      <c r="AS88" s="30" t="n">
        <f aca="false">-AS41</f>
        <v>-0</v>
      </c>
      <c r="AT88" s="30" t="n">
        <f aca="false">-AT41</f>
        <v>-0</v>
      </c>
      <c r="AU88" s="30" t="n">
        <f aca="false">-AU41</f>
        <v>-0</v>
      </c>
      <c r="AV88" s="30" t="n">
        <f aca="false">-AV41</f>
        <v>-0</v>
      </c>
      <c r="AW88" s="30" t="n">
        <f aca="false">-AW41</f>
        <v>-0</v>
      </c>
      <c r="AX88" s="30" t="n">
        <f aca="false">-AX41</f>
        <v>-0</v>
      </c>
      <c r="AY88" s="30" t="n">
        <f aca="false">-AY41</f>
        <v>-0</v>
      </c>
      <c r="AZ88" s="30" t="n">
        <f aca="false">-AZ41</f>
        <v>-0</v>
      </c>
      <c r="BA88" s="30" t="n">
        <f aca="false">-BA41</f>
        <v>-0</v>
      </c>
      <c r="BB88" s="30" t="n">
        <f aca="false">-BB41</f>
        <v>-0</v>
      </c>
      <c r="BC88" s="30" t="n">
        <f aca="false">-BC41</f>
        <v>-0</v>
      </c>
      <c r="BD88" s="30" t="n">
        <f aca="false">-BD41</f>
        <v>-0</v>
      </c>
      <c r="BE88" s="30" t="n">
        <f aca="false">-BE41</f>
        <v>-0</v>
      </c>
      <c r="BF88" s="30" t="n">
        <f aca="false">-BF41</f>
        <v>-0</v>
      </c>
      <c r="BG88" s="30" t="n">
        <f aca="false">-BG41</f>
        <v>-0</v>
      </c>
      <c r="BH88" s="30" t="n">
        <f aca="false">-BH41</f>
        <v>-0</v>
      </c>
      <c r="BI88" s="30" t="n">
        <f aca="false">-BI41</f>
        <v>-0</v>
      </c>
      <c r="BJ88" s="30" t="n">
        <f aca="false">-BJ41</f>
        <v>-0</v>
      </c>
      <c r="BK88" s="30" t="n">
        <f aca="false">-BK41</f>
        <v>-0</v>
      </c>
      <c r="BL88" s="30" t="n">
        <f aca="false">-BL41</f>
        <v>-0</v>
      </c>
      <c r="BM88" s="30" t="n">
        <f aca="false">-BM41</f>
        <v>-0</v>
      </c>
      <c r="BN88" s="30" t="n">
        <f aca="false">-BN41</f>
        <v>-0</v>
      </c>
      <c r="BO88" s="30" t="n">
        <f aca="false">-BO41</f>
        <v>-0</v>
      </c>
      <c r="BP88" s="30" t="n">
        <f aca="false">-BP41</f>
        <v>-0</v>
      </c>
      <c r="BQ88" s="30" t="n">
        <f aca="false">-BQ41</f>
        <v>-0</v>
      </c>
      <c r="BR88" s="30" t="n">
        <f aca="false">-BR41</f>
        <v>-0</v>
      </c>
      <c r="BS88" s="30" t="n">
        <f aca="false">-BS41</f>
        <v>-0</v>
      </c>
      <c r="BT88" s="30" t="n">
        <f aca="false">-BT41</f>
        <v>-0</v>
      </c>
      <c r="BU88" s="30" t="n">
        <f aca="false">-BU41</f>
        <v>-0</v>
      </c>
      <c r="BV88" s="30" t="n">
        <f aca="false">-BV41</f>
        <v>-0</v>
      </c>
      <c r="BW88" s="30" t="n">
        <f aca="false">-BW41</f>
        <v>-0</v>
      </c>
      <c r="BX88" s="30" t="n">
        <f aca="false">-BX41</f>
        <v>-0</v>
      </c>
      <c r="BY88" s="30" t="n">
        <f aca="false">-BY41</f>
        <v>-0</v>
      </c>
      <c r="BZ88" s="30" t="n">
        <f aca="false">-BZ41</f>
        <v>-0</v>
      </c>
      <c r="CA88" s="30" t="n">
        <f aca="false">-CA41</f>
        <v>-0</v>
      </c>
      <c r="CB88" s="30" t="n">
        <f aca="false">-CB41</f>
        <v>-0</v>
      </c>
      <c r="CC88" s="30" t="n">
        <f aca="false">-CC41</f>
        <v>-0</v>
      </c>
      <c r="CD88" s="30" t="n">
        <f aca="false">-CD41</f>
        <v>-0</v>
      </c>
      <c r="CE88" s="30" t="n">
        <f aca="false">-CE41</f>
        <v>-0</v>
      </c>
      <c r="CF88" s="30" t="n">
        <f aca="false">-CF41</f>
        <v>-0</v>
      </c>
      <c r="CG88" s="30" t="n">
        <f aca="false">-CG41</f>
        <v>-0</v>
      </c>
      <c r="CH88" s="30" t="n">
        <f aca="false">-CH41</f>
        <v>-0</v>
      </c>
      <c r="CI88" s="30" t="n">
        <f aca="false">-CI41</f>
        <v>-0</v>
      </c>
      <c r="CJ88" s="30" t="n">
        <f aca="false">-CJ41</f>
        <v>-0</v>
      </c>
      <c r="CK88" s="30" t="n">
        <f aca="false">-CK41</f>
        <v>-0</v>
      </c>
      <c r="CL88" s="30" t="n">
        <f aca="false">-CL41</f>
        <v>-0</v>
      </c>
      <c r="CM88" s="30" t="n">
        <f aca="false">-CM41</f>
        <v>-0</v>
      </c>
      <c r="CN88" s="30" t="n">
        <f aca="false">-CN41</f>
        <v>-0</v>
      </c>
      <c r="CO88" s="30" t="n">
        <f aca="false">-CO41</f>
        <v>-0</v>
      </c>
      <c r="CP88" s="30" t="n">
        <f aca="false">-CP41</f>
        <v>-0</v>
      </c>
      <c r="CQ88" s="30" t="n">
        <f aca="false">-CQ41</f>
        <v>-0</v>
      </c>
      <c r="CR88" s="30" t="n">
        <f aca="false">-CR41</f>
        <v>-0</v>
      </c>
      <c r="CS88" s="30" t="n">
        <f aca="false">-CS41</f>
        <v>-0</v>
      </c>
      <c r="CT88" s="30" t="n">
        <f aca="false">-CT41</f>
        <v>-0</v>
      </c>
      <c r="CU88" s="30" t="n">
        <f aca="false">-CU41</f>
        <v>-0</v>
      </c>
      <c r="CV88" s="30" t="n">
        <f aca="false">-CV41</f>
        <v>-0</v>
      </c>
      <c r="CW88" s="30" t="n">
        <f aca="false">-CW41</f>
        <v>-0</v>
      </c>
      <c r="CX88" s="30" t="n">
        <f aca="false">-CX41</f>
        <v>-0</v>
      </c>
      <c r="CY88" s="30" t="n">
        <f aca="false">-CY41</f>
        <v>-0</v>
      </c>
      <c r="CZ88" s="30" t="n">
        <f aca="false">-CZ41</f>
        <v>-0</v>
      </c>
      <c r="DA88" s="30" t="n">
        <f aca="false">-DA41</f>
        <v>-0</v>
      </c>
      <c r="DB88" s="30" t="n">
        <f aca="false">-DB41</f>
        <v>-0</v>
      </c>
      <c r="DC88" s="30" t="n">
        <f aca="false">-DC41</f>
        <v>-0</v>
      </c>
      <c r="DD88" s="30" t="n">
        <f aca="false">-DD41</f>
        <v>-0</v>
      </c>
      <c r="DE88" s="30" t="n">
        <f aca="false">-DE41</f>
        <v>-0</v>
      </c>
    </row>
    <row r="89" customFormat="false" ht="15" hidden="true" customHeight="true" outlineLevel="1" collapsed="false">
      <c r="A89" s="32" t="s">
        <v>36</v>
      </c>
      <c r="B89" s="30" t="n">
        <v>0</v>
      </c>
      <c r="C89" s="30" t="n">
        <v>0</v>
      </c>
      <c r="D89" s="30" t="n">
        <v>0</v>
      </c>
      <c r="E89" s="30" t="n">
        <v>0</v>
      </c>
      <c r="F89" s="30" t="n">
        <f aca="false">-F42</f>
        <v>-0</v>
      </c>
      <c r="G89" s="30" t="n">
        <f aca="false">-G42</f>
        <v>-0</v>
      </c>
      <c r="H89" s="30" t="n">
        <f aca="false">-H42</f>
        <v>-0</v>
      </c>
      <c r="I89" s="30" t="n">
        <f aca="false">-I42</f>
        <v>-0</v>
      </c>
      <c r="J89" s="30" t="n">
        <f aca="false">-J42</f>
        <v>-0</v>
      </c>
      <c r="K89" s="30" t="n">
        <f aca="false">-K42</f>
        <v>-0</v>
      </c>
      <c r="L89" s="30" t="n">
        <f aca="false">-L42</f>
        <v>-0</v>
      </c>
      <c r="M89" s="30" t="n">
        <f aca="false">-M42</f>
        <v>-0</v>
      </c>
      <c r="N89" s="30" t="n">
        <f aca="false">-N42</f>
        <v>-0</v>
      </c>
      <c r="O89" s="30" t="n">
        <f aca="false">-O42</f>
        <v>-0</v>
      </c>
      <c r="P89" s="30" t="n">
        <f aca="false">-P42</f>
        <v>-0</v>
      </c>
      <c r="Q89" s="30" t="n">
        <f aca="false">-Q42</f>
        <v>-0</v>
      </c>
      <c r="R89" s="30" t="n">
        <f aca="false">-R42</f>
        <v>-0</v>
      </c>
      <c r="S89" s="30" t="n">
        <f aca="false">-S42</f>
        <v>-0</v>
      </c>
      <c r="T89" s="30" t="n">
        <f aca="false">-T42</f>
        <v>-0</v>
      </c>
      <c r="U89" s="30" t="n">
        <f aca="false">-U42</f>
        <v>-0</v>
      </c>
      <c r="V89" s="30" t="n">
        <f aca="false">-V42</f>
        <v>-0</v>
      </c>
      <c r="W89" s="30" t="n">
        <f aca="false">-W42</f>
        <v>-0</v>
      </c>
      <c r="X89" s="30" t="n">
        <f aca="false">-X42</f>
        <v>-0</v>
      </c>
      <c r="Y89" s="30" t="n">
        <f aca="false">-Y42</f>
        <v>-0</v>
      </c>
      <c r="Z89" s="30" t="n">
        <f aca="false">-Z42</f>
        <v>-0</v>
      </c>
      <c r="AA89" s="30" t="n">
        <f aca="false">-AA42</f>
        <v>-0</v>
      </c>
      <c r="AB89" s="30" t="n">
        <f aca="false">-AB42</f>
        <v>-0</v>
      </c>
      <c r="AC89" s="30" t="n">
        <f aca="false">-AC42</f>
        <v>-0</v>
      </c>
      <c r="AD89" s="30" t="n">
        <f aca="false">-AD42</f>
        <v>-0</v>
      </c>
      <c r="AE89" s="30" t="n">
        <f aca="false">-AE42</f>
        <v>-0</v>
      </c>
      <c r="AF89" s="30" t="n">
        <f aca="false">-AF42</f>
        <v>-0</v>
      </c>
      <c r="AG89" s="30" t="n">
        <f aca="false">-AG42</f>
        <v>-0</v>
      </c>
      <c r="AH89" s="30" t="n">
        <f aca="false">-AH42</f>
        <v>-0</v>
      </c>
      <c r="AI89" s="30" t="n">
        <f aca="false">-AI42</f>
        <v>-0</v>
      </c>
      <c r="AJ89" s="30" t="n">
        <f aca="false">-AJ42</f>
        <v>-0</v>
      </c>
      <c r="AK89" s="30" t="n">
        <f aca="false">-AK42</f>
        <v>-0</v>
      </c>
      <c r="AL89" s="30" t="n">
        <f aca="false">-AL42</f>
        <v>-0</v>
      </c>
      <c r="AM89" s="30" t="n">
        <f aca="false">-AM42</f>
        <v>-0</v>
      </c>
      <c r="AN89" s="30" t="n">
        <f aca="false">-AN42</f>
        <v>-0</v>
      </c>
      <c r="AO89" s="30" t="n">
        <f aca="false">-AO42</f>
        <v>-0</v>
      </c>
      <c r="AP89" s="30" t="n">
        <f aca="false">-AP42</f>
        <v>-0</v>
      </c>
      <c r="AQ89" s="30" t="n">
        <f aca="false">-AQ42</f>
        <v>-0</v>
      </c>
      <c r="AR89" s="30" t="n">
        <f aca="false">-AR42</f>
        <v>-0</v>
      </c>
      <c r="AS89" s="30" t="n">
        <f aca="false">-AS42</f>
        <v>-0</v>
      </c>
      <c r="AT89" s="30" t="n">
        <f aca="false">-AT42</f>
        <v>-0</v>
      </c>
      <c r="AU89" s="30" t="n">
        <f aca="false">-AU42</f>
        <v>-0</v>
      </c>
      <c r="AV89" s="30" t="n">
        <f aca="false">-AV42</f>
        <v>-0</v>
      </c>
      <c r="AW89" s="30" t="n">
        <f aca="false">-AW42</f>
        <v>-0</v>
      </c>
      <c r="AX89" s="30" t="n">
        <f aca="false">-AX42</f>
        <v>-0</v>
      </c>
      <c r="AY89" s="30" t="n">
        <f aca="false">-AY42</f>
        <v>-0</v>
      </c>
      <c r="AZ89" s="30" t="n">
        <f aca="false">-AZ42</f>
        <v>-0</v>
      </c>
      <c r="BA89" s="30" t="n">
        <f aca="false">-BA42</f>
        <v>-0</v>
      </c>
      <c r="BB89" s="30" t="n">
        <f aca="false">-BB42</f>
        <v>-0</v>
      </c>
      <c r="BC89" s="30" t="n">
        <f aca="false">-BC42</f>
        <v>-0</v>
      </c>
      <c r="BD89" s="30" t="n">
        <f aca="false">-BD42</f>
        <v>-0</v>
      </c>
      <c r="BE89" s="30" t="n">
        <f aca="false">-BE42</f>
        <v>-0</v>
      </c>
      <c r="BF89" s="30" t="n">
        <f aca="false">-BF42</f>
        <v>-0</v>
      </c>
      <c r="BG89" s="30" t="n">
        <f aca="false">-BG42</f>
        <v>-0</v>
      </c>
      <c r="BH89" s="30" t="n">
        <f aca="false">-BH42</f>
        <v>-0</v>
      </c>
      <c r="BI89" s="30" t="n">
        <f aca="false">-BI42</f>
        <v>-0</v>
      </c>
      <c r="BJ89" s="30" t="n">
        <f aca="false">-BJ42</f>
        <v>-0</v>
      </c>
      <c r="BK89" s="30" t="n">
        <f aca="false">-BK42</f>
        <v>-0</v>
      </c>
      <c r="BL89" s="30" t="n">
        <f aca="false">-BL42</f>
        <v>-0</v>
      </c>
      <c r="BM89" s="30" t="n">
        <f aca="false">-BM42</f>
        <v>-0</v>
      </c>
      <c r="BN89" s="30" t="n">
        <f aca="false">-BN42</f>
        <v>-0</v>
      </c>
      <c r="BO89" s="30" t="n">
        <f aca="false">-BO42</f>
        <v>-0</v>
      </c>
      <c r="BP89" s="30" t="n">
        <f aca="false">-BP42</f>
        <v>-0</v>
      </c>
      <c r="BQ89" s="30" t="n">
        <f aca="false">-BQ42</f>
        <v>-0</v>
      </c>
      <c r="BR89" s="30" t="n">
        <f aca="false">-BR42</f>
        <v>-0</v>
      </c>
      <c r="BS89" s="30" t="n">
        <f aca="false">-BS42</f>
        <v>-0</v>
      </c>
      <c r="BT89" s="30" t="n">
        <f aca="false">-BT42</f>
        <v>-0</v>
      </c>
      <c r="BU89" s="30" t="n">
        <f aca="false">-BU42</f>
        <v>-0</v>
      </c>
      <c r="BV89" s="30" t="n">
        <f aca="false">-BV42</f>
        <v>-0</v>
      </c>
      <c r="BW89" s="30" t="n">
        <f aca="false">-BW42</f>
        <v>-0</v>
      </c>
      <c r="BX89" s="30" t="n">
        <f aca="false">-BX42</f>
        <v>-0</v>
      </c>
      <c r="BY89" s="30" t="n">
        <f aca="false">-BY42</f>
        <v>-0</v>
      </c>
      <c r="BZ89" s="30" t="n">
        <f aca="false">-BZ42</f>
        <v>-0</v>
      </c>
      <c r="CA89" s="30" t="n">
        <f aca="false">-CA42</f>
        <v>-0</v>
      </c>
      <c r="CB89" s="30" t="n">
        <f aca="false">-CB42</f>
        <v>-0</v>
      </c>
      <c r="CC89" s="30" t="n">
        <f aca="false">-CC42</f>
        <v>-0</v>
      </c>
      <c r="CD89" s="30" t="n">
        <f aca="false">-CD42</f>
        <v>-0</v>
      </c>
      <c r="CE89" s="30" t="n">
        <f aca="false">-CE42</f>
        <v>-0</v>
      </c>
      <c r="CF89" s="30" t="n">
        <f aca="false">-CF42</f>
        <v>-0</v>
      </c>
      <c r="CG89" s="30" t="n">
        <f aca="false">-CG42</f>
        <v>-0</v>
      </c>
      <c r="CH89" s="30" t="n">
        <f aca="false">-CH42</f>
        <v>-0</v>
      </c>
      <c r="CI89" s="30" t="n">
        <f aca="false">-CI42</f>
        <v>-0</v>
      </c>
      <c r="CJ89" s="30" t="n">
        <f aca="false">-CJ42</f>
        <v>-0</v>
      </c>
      <c r="CK89" s="30" t="n">
        <f aca="false">-CK42</f>
        <v>-0</v>
      </c>
      <c r="CL89" s="30" t="n">
        <f aca="false">-CL42</f>
        <v>-0</v>
      </c>
      <c r="CM89" s="30" t="n">
        <f aca="false">-CM42</f>
        <v>-0</v>
      </c>
      <c r="CN89" s="30" t="n">
        <f aca="false">-CN42</f>
        <v>-0</v>
      </c>
      <c r="CO89" s="30" t="n">
        <f aca="false">-CO42</f>
        <v>-0</v>
      </c>
      <c r="CP89" s="30" t="n">
        <f aca="false">-CP42</f>
        <v>-0</v>
      </c>
      <c r="CQ89" s="30" t="n">
        <f aca="false">-CQ42</f>
        <v>-0</v>
      </c>
      <c r="CR89" s="30" t="n">
        <f aca="false">-CR42</f>
        <v>-0</v>
      </c>
      <c r="CS89" s="30" t="n">
        <f aca="false">-CS42</f>
        <v>-0</v>
      </c>
      <c r="CT89" s="30" t="n">
        <f aca="false">-CT42</f>
        <v>-0</v>
      </c>
      <c r="CU89" s="30" t="n">
        <f aca="false">-CU42</f>
        <v>-0</v>
      </c>
      <c r="CV89" s="30" t="n">
        <f aca="false">-CV42</f>
        <v>-0</v>
      </c>
      <c r="CW89" s="30" t="n">
        <f aca="false">-CW42</f>
        <v>-0</v>
      </c>
      <c r="CX89" s="30" t="n">
        <f aca="false">-CX42</f>
        <v>-0</v>
      </c>
      <c r="CY89" s="30" t="n">
        <f aca="false">-CY42</f>
        <v>-0</v>
      </c>
      <c r="CZ89" s="30" t="n">
        <f aca="false">-CZ42</f>
        <v>-0</v>
      </c>
      <c r="DA89" s="30" t="n">
        <f aca="false">-DA42</f>
        <v>-0</v>
      </c>
      <c r="DB89" s="30" t="n">
        <f aca="false">-DB42</f>
        <v>-0</v>
      </c>
      <c r="DC89" s="30" t="n">
        <f aca="false">-DC42</f>
        <v>-0</v>
      </c>
      <c r="DD89" s="30" t="n">
        <f aca="false">-DD42</f>
        <v>-0</v>
      </c>
      <c r="DE89" s="30" t="n">
        <f aca="false">-DE42</f>
        <v>-0</v>
      </c>
    </row>
    <row r="90" customFormat="false" ht="15" hidden="true" customHeight="true" outlineLevel="1" collapsed="false">
      <c r="A90" s="32" t="s">
        <v>37</v>
      </c>
      <c r="B90" s="30" t="n">
        <v>0</v>
      </c>
      <c r="C90" s="30" t="n">
        <v>0</v>
      </c>
      <c r="D90" s="30" t="n">
        <v>0</v>
      </c>
      <c r="E90" s="30" t="n">
        <v>0</v>
      </c>
      <c r="F90" s="30" t="n">
        <f aca="false">-F43</f>
        <v>-0</v>
      </c>
      <c r="G90" s="30" t="n">
        <f aca="false">-G43</f>
        <v>-0</v>
      </c>
      <c r="H90" s="30" t="n">
        <f aca="false">-H43</f>
        <v>-0</v>
      </c>
      <c r="I90" s="30" t="n">
        <f aca="false">-I43</f>
        <v>-0</v>
      </c>
      <c r="J90" s="30" t="n">
        <f aca="false">-J43</f>
        <v>-0</v>
      </c>
      <c r="K90" s="30" t="n">
        <f aca="false">-K43</f>
        <v>-0</v>
      </c>
      <c r="L90" s="30" t="n">
        <f aca="false">-L43</f>
        <v>-0</v>
      </c>
      <c r="M90" s="30" t="n">
        <f aca="false">-M43</f>
        <v>-0</v>
      </c>
      <c r="N90" s="30" t="n">
        <f aca="false">-N43</f>
        <v>-0</v>
      </c>
      <c r="O90" s="30" t="n">
        <f aca="false">-O43</f>
        <v>-0</v>
      </c>
      <c r="P90" s="30" t="n">
        <f aca="false">-P43</f>
        <v>-0</v>
      </c>
      <c r="Q90" s="30" t="n">
        <f aca="false">-Q43</f>
        <v>-0</v>
      </c>
      <c r="R90" s="30" t="n">
        <f aca="false">-R43</f>
        <v>-0</v>
      </c>
      <c r="S90" s="30" t="n">
        <f aca="false">-S43</f>
        <v>-0</v>
      </c>
      <c r="T90" s="30" t="n">
        <f aca="false">-T43</f>
        <v>-0</v>
      </c>
      <c r="U90" s="30" t="n">
        <f aca="false">-U43</f>
        <v>-0</v>
      </c>
      <c r="V90" s="30" t="n">
        <f aca="false">-V43</f>
        <v>-0</v>
      </c>
      <c r="W90" s="30" t="n">
        <f aca="false">-W43</f>
        <v>-0</v>
      </c>
      <c r="X90" s="30" t="n">
        <f aca="false">-X43</f>
        <v>-0</v>
      </c>
      <c r="Y90" s="30" t="n">
        <f aca="false">-Y43</f>
        <v>-0</v>
      </c>
      <c r="Z90" s="30" t="n">
        <f aca="false">-Z43</f>
        <v>-0</v>
      </c>
      <c r="AA90" s="30" t="n">
        <f aca="false">-AA43</f>
        <v>-0</v>
      </c>
      <c r="AB90" s="30" t="n">
        <f aca="false">-AB43</f>
        <v>-0</v>
      </c>
      <c r="AC90" s="30" t="n">
        <f aca="false">-AC43</f>
        <v>-0</v>
      </c>
      <c r="AD90" s="30" t="n">
        <f aca="false">-AD43</f>
        <v>-0</v>
      </c>
      <c r="AE90" s="30" t="n">
        <f aca="false">-AE43</f>
        <v>-0</v>
      </c>
      <c r="AF90" s="30" t="n">
        <f aca="false">-AF43</f>
        <v>-0</v>
      </c>
      <c r="AG90" s="30" t="n">
        <f aca="false">-AG43</f>
        <v>-0</v>
      </c>
      <c r="AH90" s="30" t="n">
        <f aca="false">-AH43</f>
        <v>-0</v>
      </c>
      <c r="AI90" s="30" t="n">
        <f aca="false">-AI43</f>
        <v>-0</v>
      </c>
      <c r="AJ90" s="30" t="n">
        <f aca="false">-AJ43</f>
        <v>-0</v>
      </c>
      <c r="AK90" s="30" t="n">
        <f aca="false">-AK43</f>
        <v>-0</v>
      </c>
      <c r="AL90" s="30" t="n">
        <f aca="false">-AL43</f>
        <v>-0</v>
      </c>
      <c r="AM90" s="30" t="n">
        <f aca="false">-AM43</f>
        <v>-0</v>
      </c>
      <c r="AN90" s="30" t="n">
        <f aca="false">-AN43</f>
        <v>-0</v>
      </c>
      <c r="AO90" s="30" t="n">
        <f aca="false">-AO43</f>
        <v>-0</v>
      </c>
      <c r="AP90" s="30" t="n">
        <f aca="false">-AP43</f>
        <v>-0</v>
      </c>
      <c r="AQ90" s="30" t="n">
        <f aca="false">-AQ43</f>
        <v>-0</v>
      </c>
      <c r="AR90" s="30" t="n">
        <f aca="false">-AR43</f>
        <v>-0</v>
      </c>
      <c r="AS90" s="30" t="n">
        <f aca="false">-AS43</f>
        <v>-0</v>
      </c>
      <c r="AT90" s="30" t="n">
        <f aca="false">-AT43</f>
        <v>-0</v>
      </c>
      <c r="AU90" s="30" t="n">
        <f aca="false">-AU43</f>
        <v>-0</v>
      </c>
      <c r="AV90" s="30" t="n">
        <f aca="false">-AV43</f>
        <v>-0</v>
      </c>
      <c r="AW90" s="30" t="n">
        <f aca="false">-AW43</f>
        <v>-0</v>
      </c>
      <c r="AX90" s="30" t="n">
        <f aca="false">-AX43</f>
        <v>-0</v>
      </c>
      <c r="AY90" s="30" t="n">
        <f aca="false">-AY43</f>
        <v>-0</v>
      </c>
      <c r="AZ90" s="30" t="n">
        <f aca="false">-AZ43</f>
        <v>-0</v>
      </c>
      <c r="BA90" s="30" t="n">
        <f aca="false">-BA43</f>
        <v>-0</v>
      </c>
      <c r="BB90" s="30" t="n">
        <f aca="false">-BB43</f>
        <v>-0</v>
      </c>
      <c r="BC90" s="30" t="n">
        <f aca="false">-BC43</f>
        <v>-0</v>
      </c>
      <c r="BD90" s="30" t="n">
        <f aca="false">-BD43</f>
        <v>-0</v>
      </c>
      <c r="BE90" s="30" t="n">
        <f aca="false">-BE43</f>
        <v>-0</v>
      </c>
      <c r="BF90" s="30" t="n">
        <f aca="false">-BF43</f>
        <v>-0</v>
      </c>
      <c r="BG90" s="30" t="n">
        <f aca="false">-BG43</f>
        <v>-0</v>
      </c>
      <c r="BH90" s="30" t="n">
        <f aca="false">-BH43</f>
        <v>-0</v>
      </c>
      <c r="BI90" s="30" t="n">
        <f aca="false">-BI43</f>
        <v>-0</v>
      </c>
      <c r="BJ90" s="30" t="n">
        <f aca="false">-BJ43</f>
        <v>-0</v>
      </c>
      <c r="BK90" s="30" t="n">
        <f aca="false">-BK43</f>
        <v>-0</v>
      </c>
      <c r="BL90" s="30" t="n">
        <f aca="false">-BL43</f>
        <v>-0</v>
      </c>
      <c r="BM90" s="30" t="n">
        <f aca="false">-BM43</f>
        <v>-0</v>
      </c>
      <c r="BN90" s="30" t="n">
        <f aca="false">-BN43</f>
        <v>-0</v>
      </c>
      <c r="BO90" s="30" t="n">
        <f aca="false">-BO43</f>
        <v>-0</v>
      </c>
      <c r="BP90" s="30" t="n">
        <f aca="false">-BP43</f>
        <v>-0</v>
      </c>
      <c r="BQ90" s="30" t="n">
        <f aca="false">-BQ43</f>
        <v>-0</v>
      </c>
      <c r="BR90" s="30" t="n">
        <f aca="false">-BR43</f>
        <v>-0</v>
      </c>
      <c r="BS90" s="30" t="n">
        <f aca="false">-BS43</f>
        <v>-0</v>
      </c>
      <c r="BT90" s="30" t="n">
        <f aca="false">-BT43</f>
        <v>-0</v>
      </c>
      <c r="BU90" s="30" t="n">
        <f aca="false">-BU43</f>
        <v>-0</v>
      </c>
      <c r="BV90" s="30" t="n">
        <f aca="false">-BV43</f>
        <v>-0</v>
      </c>
      <c r="BW90" s="30" t="n">
        <f aca="false">-BW43</f>
        <v>-0</v>
      </c>
      <c r="BX90" s="30" t="n">
        <f aca="false">-BX43</f>
        <v>-0</v>
      </c>
      <c r="BY90" s="30" t="n">
        <f aca="false">-BY43</f>
        <v>-0</v>
      </c>
      <c r="BZ90" s="30" t="n">
        <f aca="false">-BZ43</f>
        <v>-0</v>
      </c>
      <c r="CA90" s="30" t="n">
        <f aca="false">-CA43</f>
        <v>-0</v>
      </c>
      <c r="CB90" s="30" t="n">
        <f aca="false">-CB43</f>
        <v>-0</v>
      </c>
      <c r="CC90" s="30" t="n">
        <f aca="false">-CC43</f>
        <v>-0</v>
      </c>
      <c r="CD90" s="30" t="n">
        <f aca="false">-CD43</f>
        <v>-0</v>
      </c>
      <c r="CE90" s="30" t="n">
        <f aca="false">-CE43</f>
        <v>-0</v>
      </c>
      <c r="CF90" s="30" t="n">
        <f aca="false">-CF43</f>
        <v>-0</v>
      </c>
      <c r="CG90" s="30" t="n">
        <f aca="false">-CG43</f>
        <v>-0</v>
      </c>
      <c r="CH90" s="30" t="n">
        <f aca="false">-CH43</f>
        <v>-0</v>
      </c>
      <c r="CI90" s="30" t="n">
        <f aca="false">-CI43</f>
        <v>-0</v>
      </c>
      <c r="CJ90" s="30" t="n">
        <f aca="false">-CJ43</f>
        <v>-0</v>
      </c>
      <c r="CK90" s="30" t="n">
        <f aca="false">-CK43</f>
        <v>-0</v>
      </c>
      <c r="CL90" s="30" t="n">
        <f aca="false">-CL43</f>
        <v>-0</v>
      </c>
      <c r="CM90" s="30" t="n">
        <f aca="false">-CM43</f>
        <v>-0</v>
      </c>
      <c r="CN90" s="30" t="n">
        <f aca="false">-CN43</f>
        <v>-0</v>
      </c>
      <c r="CO90" s="30" t="n">
        <f aca="false">-CO43</f>
        <v>-0</v>
      </c>
      <c r="CP90" s="30" t="n">
        <f aca="false">-CP43</f>
        <v>-0</v>
      </c>
      <c r="CQ90" s="30" t="n">
        <f aca="false">-CQ43</f>
        <v>-0</v>
      </c>
      <c r="CR90" s="30" t="n">
        <f aca="false">-CR43</f>
        <v>-0</v>
      </c>
      <c r="CS90" s="30" t="n">
        <f aca="false">-CS43</f>
        <v>-0</v>
      </c>
      <c r="CT90" s="30" t="n">
        <f aca="false">-CT43</f>
        <v>-0</v>
      </c>
      <c r="CU90" s="30" t="n">
        <f aca="false">-CU43</f>
        <v>-0</v>
      </c>
      <c r="CV90" s="30" t="n">
        <f aca="false">-CV43</f>
        <v>-0</v>
      </c>
      <c r="CW90" s="30" t="n">
        <f aca="false">-CW43</f>
        <v>-0</v>
      </c>
      <c r="CX90" s="30" t="n">
        <f aca="false">-CX43</f>
        <v>-0</v>
      </c>
      <c r="CY90" s="30" t="n">
        <f aca="false">-CY43</f>
        <v>-0</v>
      </c>
      <c r="CZ90" s="30" t="n">
        <f aca="false">-CZ43</f>
        <v>-0</v>
      </c>
      <c r="DA90" s="30" t="n">
        <f aca="false">-DA43</f>
        <v>-0</v>
      </c>
      <c r="DB90" s="30" t="n">
        <f aca="false">-DB43</f>
        <v>-0</v>
      </c>
      <c r="DC90" s="30" t="n">
        <f aca="false">-DC43</f>
        <v>-0</v>
      </c>
      <c r="DD90" s="30" t="n">
        <f aca="false">-DD43</f>
        <v>-0</v>
      </c>
      <c r="DE90" s="30" t="n">
        <f aca="false">-DE43</f>
        <v>-0</v>
      </c>
    </row>
    <row r="91" customFormat="false" ht="15" hidden="true" customHeight="true" outlineLevel="1" collapsed="false">
      <c r="A91" s="32" t="s">
        <v>38</v>
      </c>
      <c r="B91" s="30" t="n">
        <v>0</v>
      </c>
      <c r="C91" s="30" t="n">
        <v>0</v>
      </c>
      <c r="D91" s="30" t="n">
        <v>0</v>
      </c>
      <c r="E91" s="30" t="n">
        <v>0</v>
      </c>
      <c r="F91" s="30" t="n">
        <f aca="false">-F44</f>
        <v>-0</v>
      </c>
      <c r="G91" s="30" t="n">
        <f aca="false">-G44</f>
        <v>-0</v>
      </c>
      <c r="H91" s="30" t="n">
        <f aca="false">-H44</f>
        <v>-0</v>
      </c>
      <c r="I91" s="30" t="n">
        <f aca="false">-I44</f>
        <v>-0</v>
      </c>
      <c r="J91" s="30" t="n">
        <f aca="false">-J44</f>
        <v>-0</v>
      </c>
      <c r="K91" s="30" t="n">
        <f aca="false">-K44</f>
        <v>-0</v>
      </c>
      <c r="L91" s="30" t="n">
        <f aca="false">-L44</f>
        <v>-0</v>
      </c>
      <c r="M91" s="30" t="n">
        <f aca="false">-M44</f>
        <v>-0</v>
      </c>
      <c r="N91" s="30" t="n">
        <f aca="false">-N44</f>
        <v>-0</v>
      </c>
      <c r="O91" s="30" t="n">
        <f aca="false">-O44</f>
        <v>-0</v>
      </c>
      <c r="P91" s="30" t="n">
        <f aca="false">-P44</f>
        <v>-0</v>
      </c>
      <c r="Q91" s="30" t="n">
        <f aca="false">-Q44</f>
        <v>-0</v>
      </c>
      <c r="R91" s="30" t="n">
        <f aca="false">-R44</f>
        <v>-0</v>
      </c>
      <c r="S91" s="30" t="n">
        <f aca="false">-S44</f>
        <v>-0</v>
      </c>
      <c r="T91" s="30" t="n">
        <f aca="false">-T44</f>
        <v>-0</v>
      </c>
      <c r="U91" s="30" t="n">
        <f aca="false">-U44</f>
        <v>-0</v>
      </c>
      <c r="V91" s="30" t="n">
        <f aca="false">-V44</f>
        <v>-0</v>
      </c>
      <c r="W91" s="30" t="n">
        <f aca="false">-W44</f>
        <v>-0</v>
      </c>
      <c r="X91" s="30" t="n">
        <f aca="false">-X44</f>
        <v>-0</v>
      </c>
      <c r="Y91" s="30" t="n">
        <f aca="false">-Y44</f>
        <v>-0</v>
      </c>
      <c r="Z91" s="30" t="n">
        <f aca="false">-Z44</f>
        <v>-0</v>
      </c>
      <c r="AA91" s="30" t="n">
        <f aca="false">-AA44</f>
        <v>-0</v>
      </c>
      <c r="AB91" s="30" t="n">
        <f aca="false">-AB44</f>
        <v>-0</v>
      </c>
      <c r="AC91" s="30" t="n">
        <f aca="false">-AC44</f>
        <v>-0</v>
      </c>
      <c r="AD91" s="30" t="n">
        <f aca="false">-AD44</f>
        <v>-0</v>
      </c>
      <c r="AE91" s="30" t="n">
        <f aca="false">-AE44</f>
        <v>-0</v>
      </c>
      <c r="AF91" s="30" t="n">
        <f aca="false">-AF44</f>
        <v>-0</v>
      </c>
      <c r="AG91" s="30" t="n">
        <f aca="false">-AG44</f>
        <v>-0</v>
      </c>
      <c r="AH91" s="30" t="n">
        <f aca="false">-AH44</f>
        <v>-0</v>
      </c>
      <c r="AI91" s="30" t="n">
        <f aca="false">-AI44</f>
        <v>-0</v>
      </c>
      <c r="AJ91" s="30" t="n">
        <f aca="false">-AJ44</f>
        <v>-0</v>
      </c>
      <c r="AK91" s="30" t="n">
        <f aca="false">-AK44</f>
        <v>-0</v>
      </c>
      <c r="AL91" s="30" t="n">
        <f aca="false">-AL44</f>
        <v>-0</v>
      </c>
      <c r="AM91" s="30" t="n">
        <f aca="false">-AM44</f>
        <v>-0</v>
      </c>
      <c r="AN91" s="30" t="n">
        <f aca="false">-AN44</f>
        <v>-0</v>
      </c>
      <c r="AO91" s="30" t="n">
        <f aca="false">-AO44</f>
        <v>-0</v>
      </c>
      <c r="AP91" s="30" t="n">
        <f aca="false">-AP44</f>
        <v>-0</v>
      </c>
      <c r="AQ91" s="30" t="n">
        <f aca="false">-AQ44</f>
        <v>-0</v>
      </c>
      <c r="AR91" s="30" t="n">
        <f aca="false">-AR44</f>
        <v>-0</v>
      </c>
      <c r="AS91" s="30" t="n">
        <f aca="false">-AS44</f>
        <v>-0</v>
      </c>
      <c r="AT91" s="30" t="n">
        <f aca="false">-AT44</f>
        <v>-0</v>
      </c>
      <c r="AU91" s="30" t="n">
        <f aca="false">-AU44</f>
        <v>-0</v>
      </c>
      <c r="AV91" s="30" t="n">
        <f aca="false">-AV44</f>
        <v>-0</v>
      </c>
      <c r="AW91" s="30" t="n">
        <f aca="false">-AW44</f>
        <v>-0</v>
      </c>
      <c r="AX91" s="30" t="n">
        <f aca="false">-AX44</f>
        <v>-0</v>
      </c>
      <c r="AY91" s="30" t="n">
        <f aca="false">-AY44</f>
        <v>-0</v>
      </c>
      <c r="AZ91" s="30" t="n">
        <f aca="false">-AZ44</f>
        <v>-0</v>
      </c>
      <c r="BA91" s="30" t="n">
        <f aca="false">-BA44</f>
        <v>-0</v>
      </c>
      <c r="BB91" s="30" t="n">
        <f aca="false">-BB44</f>
        <v>-0</v>
      </c>
      <c r="BC91" s="30" t="n">
        <f aca="false">-BC44</f>
        <v>-0</v>
      </c>
      <c r="BD91" s="30" t="n">
        <f aca="false">-BD44</f>
        <v>-0</v>
      </c>
      <c r="BE91" s="30" t="n">
        <f aca="false">-BE44</f>
        <v>-0</v>
      </c>
      <c r="BF91" s="30" t="n">
        <f aca="false">-BF44</f>
        <v>-0</v>
      </c>
      <c r="BG91" s="30" t="n">
        <f aca="false">-BG44</f>
        <v>-0</v>
      </c>
      <c r="BH91" s="30" t="n">
        <f aca="false">-BH44</f>
        <v>-0</v>
      </c>
      <c r="BI91" s="30" t="n">
        <f aca="false">-BI44</f>
        <v>-0</v>
      </c>
      <c r="BJ91" s="30" t="n">
        <f aca="false">-BJ44</f>
        <v>-0</v>
      </c>
      <c r="BK91" s="30" t="n">
        <f aca="false">-BK44</f>
        <v>-0</v>
      </c>
      <c r="BL91" s="30" t="n">
        <f aca="false">-BL44</f>
        <v>-0</v>
      </c>
      <c r="BM91" s="30" t="n">
        <f aca="false">-BM44</f>
        <v>-0</v>
      </c>
      <c r="BN91" s="30" t="n">
        <f aca="false">-BN44</f>
        <v>-0</v>
      </c>
      <c r="BO91" s="30" t="n">
        <f aca="false">-BO44</f>
        <v>-0</v>
      </c>
      <c r="BP91" s="30" t="n">
        <f aca="false">-BP44</f>
        <v>-0</v>
      </c>
      <c r="BQ91" s="30" t="n">
        <f aca="false">-BQ44</f>
        <v>-0</v>
      </c>
      <c r="BR91" s="30" t="n">
        <f aca="false">-BR44</f>
        <v>-0</v>
      </c>
      <c r="BS91" s="30" t="n">
        <f aca="false">-BS44</f>
        <v>-0</v>
      </c>
      <c r="BT91" s="30" t="n">
        <f aca="false">-BT44</f>
        <v>-0</v>
      </c>
      <c r="BU91" s="30" t="n">
        <f aca="false">-BU44</f>
        <v>-0</v>
      </c>
      <c r="BV91" s="30" t="n">
        <f aca="false">-BV44</f>
        <v>-0</v>
      </c>
      <c r="BW91" s="30" t="n">
        <f aca="false">-BW44</f>
        <v>-0</v>
      </c>
      <c r="BX91" s="30" t="n">
        <f aca="false">-BX44</f>
        <v>-0</v>
      </c>
      <c r="BY91" s="30" t="n">
        <f aca="false">-BY44</f>
        <v>-0</v>
      </c>
      <c r="BZ91" s="30" t="n">
        <f aca="false">-BZ44</f>
        <v>-0</v>
      </c>
      <c r="CA91" s="30" t="n">
        <f aca="false">-CA44</f>
        <v>-0</v>
      </c>
      <c r="CB91" s="30" t="n">
        <f aca="false">-CB44</f>
        <v>-0</v>
      </c>
      <c r="CC91" s="30" t="n">
        <f aca="false">-CC44</f>
        <v>-0</v>
      </c>
      <c r="CD91" s="30" t="n">
        <f aca="false">-CD44</f>
        <v>-0</v>
      </c>
      <c r="CE91" s="30" t="n">
        <f aca="false">-CE44</f>
        <v>-0</v>
      </c>
      <c r="CF91" s="30" t="n">
        <f aca="false">-CF44</f>
        <v>-0</v>
      </c>
      <c r="CG91" s="30" t="n">
        <f aca="false">-CG44</f>
        <v>-0</v>
      </c>
      <c r="CH91" s="30" t="n">
        <f aca="false">-CH44</f>
        <v>-0</v>
      </c>
      <c r="CI91" s="30" t="n">
        <f aca="false">-CI44</f>
        <v>-0</v>
      </c>
      <c r="CJ91" s="30" t="n">
        <f aca="false">-CJ44</f>
        <v>-0</v>
      </c>
      <c r="CK91" s="30" t="n">
        <f aca="false">-CK44</f>
        <v>-0</v>
      </c>
      <c r="CL91" s="30" t="n">
        <f aca="false">-CL44</f>
        <v>-0</v>
      </c>
      <c r="CM91" s="30" t="n">
        <f aca="false">-CM44</f>
        <v>-0</v>
      </c>
      <c r="CN91" s="30" t="n">
        <f aca="false">-CN44</f>
        <v>-0</v>
      </c>
      <c r="CO91" s="30" t="n">
        <f aca="false">-CO44</f>
        <v>-0</v>
      </c>
      <c r="CP91" s="30" t="n">
        <f aca="false">-CP44</f>
        <v>-0</v>
      </c>
      <c r="CQ91" s="30" t="n">
        <f aca="false">-CQ44</f>
        <v>-0</v>
      </c>
      <c r="CR91" s="30" t="n">
        <f aca="false">-CR44</f>
        <v>-0</v>
      </c>
      <c r="CS91" s="30" t="n">
        <f aca="false">-CS44</f>
        <v>-0</v>
      </c>
      <c r="CT91" s="30" t="n">
        <f aca="false">-CT44</f>
        <v>-0</v>
      </c>
      <c r="CU91" s="30" t="n">
        <f aca="false">-CU44</f>
        <v>-0</v>
      </c>
      <c r="CV91" s="30" t="n">
        <f aca="false">-CV44</f>
        <v>-0</v>
      </c>
      <c r="CW91" s="30" t="n">
        <f aca="false">-CW44</f>
        <v>-0</v>
      </c>
      <c r="CX91" s="30" t="n">
        <f aca="false">-CX44</f>
        <v>-0</v>
      </c>
      <c r="CY91" s="30" t="n">
        <f aca="false">-CY44</f>
        <v>-0</v>
      </c>
      <c r="CZ91" s="30" t="n">
        <f aca="false">-CZ44</f>
        <v>-0</v>
      </c>
      <c r="DA91" s="30" t="n">
        <f aca="false">-DA44</f>
        <v>-0</v>
      </c>
      <c r="DB91" s="30" t="n">
        <f aca="false">-DB44</f>
        <v>-0</v>
      </c>
      <c r="DC91" s="30" t="n">
        <f aca="false">-DC44</f>
        <v>-0</v>
      </c>
      <c r="DD91" s="30" t="n">
        <f aca="false">-DD44</f>
        <v>-0</v>
      </c>
      <c r="DE91" s="30" t="n">
        <f aca="false">-DE44</f>
        <v>-0</v>
      </c>
    </row>
    <row r="92" customFormat="false" ht="15" hidden="true" customHeight="true" outlineLevel="1" collapsed="false">
      <c r="A92" s="32" t="s">
        <v>39</v>
      </c>
      <c r="B92" s="30" t="n">
        <v>0</v>
      </c>
      <c r="C92" s="30" t="n">
        <v>0</v>
      </c>
      <c r="D92" s="30" t="n">
        <v>0</v>
      </c>
      <c r="E92" s="30" t="n">
        <v>0</v>
      </c>
      <c r="F92" s="30" t="n">
        <f aca="false">-F45</f>
        <v>-0</v>
      </c>
      <c r="G92" s="30" t="n">
        <f aca="false">-G45</f>
        <v>-0</v>
      </c>
      <c r="H92" s="30" t="n">
        <f aca="false">-H45</f>
        <v>-0</v>
      </c>
      <c r="I92" s="30" t="n">
        <f aca="false">-I45</f>
        <v>-0</v>
      </c>
      <c r="J92" s="30" t="n">
        <f aca="false">-J45</f>
        <v>-0</v>
      </c>
      <c r="K92" s="30" t="n">
        <f aca="false">-K45</f>
        <v>-0</v>
      </c>
      <c r="L92" s="30" t="n">
        <f aca="false">-L45</f>
        <v>-0</v>
      </c>
      <c r="M92" s="30" t="n">
        <f aca="false">-M45</f>
        <v>-0</v>
      </c>
      <c r="N92" s="30" t="n">
        <f aca="false">-N45</f>
        <v>-0</v>
      </c>
      <c r="O92" s="30" t="n">
        <f aca="false">-O45</f>
        <v>-0</v>
      </c>
      <c r="P92" s="30" t="n">
        <f aca="false">-P45</f>
        <v>-0</v>
      </c>
      <c r="Q92" s="30" t="n">
        <f aca="false">-Q45</f>
        <v>-0</v>
      </c>
      <c r="R92" s="30" t="n">
        <f aca="false">-R45</f>
        <v>-0</v>
      </c>
      <c r="S92" s="30" t="n">
        <f aca="false">-S45</f>
        <v>-0</v>
      </c>
      <c r="T92" s="30" t="n">
        <f aca="false">-T45</f>
        <v>-0</v>
      </c>
      <c r="U92" s="30" t="n">
        <f aca="false">-U45</f>
        <v>-0</v>
      </c>
      <c r="V92" s="30" t="n">
        <f aca="false">-V45</f>
        <v>-0</v>
      </c>
      <c r="W92" s="30" t="n">
        <f aca="false">-W45</f>
        <v>-0</v>
      </c>
      <c r="X92" s="30" t="n">
        <f aca="false">-X45</f>
        <v>-0</v>
      </c>
      <c r="Y92" s="30" t="n">
        <f aca="false">-Y45</f>
        <v>-0</v>
      </c>
      <c r="Z92" s="30" t="n">
        <f aca="false">-Z45</f>
        <v>-0</v>
      </c>
      <c r="AA92" s="30" t="n">
        <f aca="false">-AA45</f>
        <v>-0</v>
      </c>
      <c r="AB92" s="30" t="n">
        <f aca="false">-AB45</f>
        <v>-0</v>
      </c>
      <c r="AC92" s="30" t="n">
        <f aca="false">-AC45</f>
        <v>-0</v>
      </c>
      <c r="AD92" s="30" t="n">
        <f aca="false">-AD45</f>
        <v>-0</v>
      </c>
      <c r="AE92" s="30" t="n">
        <f aca="false">-AE45</f>
        <v>-0</v>
      </c>
      <c r="AF92" s="30" t="n">
        <f aca="false">-AF45</f>
        <v>-0</v>
      </c>
      <c r="AG92" s="30" t="n">
        <f aca="false">-AG45</f>
        <v>-0</v>
      </c>
      <c r="AH92" s="30" t="n">
        <f aca="false">-AH45</f>
        <v>-0</v>
      </c>
      <c r="AI92" s="30" t="n">
        <f aca="false">-AI45</f>
        <v>-0</v>
      </c>
      <c r="AJ92" s="30" t="n">
        <f aca="false">-AJ45</f>
        <v>-0</v>
      </c>
      <c r="AK92" s="30" t="n">
        <f aca="false">-AK45</f>
        <v>-0</v>
      </c>
      <c r="AL92" s="30" t="n">
        <f aca="false">-AL45</f>
        <v>-0</v>
      </c>
      <c r="AM92" s="30" t="n">
        <f aca="false">-AM45</f>
        <v>-0</v>
      </c>
      <c r="AN92" s="30" t="n">
        <f aca="false">-AN45</f>
        <v>-0</v>
      </c>
      <c r="AO92" s="30" t="n">
        <f aca="false">-AO45</f>
        <v>-0</v>
      </c>
      <c r="AP92" s="30" t="n">
        <f aca="false">-AP45</f>
        <v>-0</v>
      </c>
      <c r="AQ92" s="30" t="n">
        <f aca="false">-AQ45</f>
        <v>-0</v>
      </c>
      <c r="AR92" s="30" t="n">
        <f aca="false">-AR45</f>
        <v>-0</v>
      </c>
      <c r="AS92" s="30" t="n">
        <f aca="false">-AS45</f>
        <v>-0</v>
      </c>
      <c r="AT92" s="30" t="n">
        <f aca="false">-AT45</f>
        <v>-0</v>
      </c>
      <c r="AU92" s="30" t="n">
        <f aca="false">-AU45</f>
        <v>-0</v>
      </c>
      <c r="AV92" s="30" t="n">
        <f aca="false">-AV45</f>
        <v>-0</v>
      </c>
      <c r="AW92" s="30" t="n">
        <f aca="false">-AW45</f>
        <v>-0</v>
      </c>
      <c r="AX92" s="30" t="n">
        <f aca="false">-AX45</f>
        <v>-0</v>
      </c>
      <c r="AY92" s="30" t="n">
        <f aca="false">-AY45</f>
        <v>-0</v>
      </c>
      <c r="AZ92" s="30" t="n">
        <f aca="false">-AZ45</f>
        <v>-0</v>
      </c>
      <c r="BA92" s="30" t="n">
        <f aca="false">-BA45</f>
        <v>-0</v>
      </c>
      <c r="BB92" s="30" t="n">
        <f aca="false">-BB45</f>
        <v>-0</v>
      </c>
      <c r="BC92" s="30" t="n">
        <f aca="false">-BC45</f>
        <v>-0</v>
      </c>
      <c r="BD92" s="30" t="n">
        <f aca="false">-BD45</f>
        <v>-0</v>
      </c>
      <c r="BE92" s="30" t="n">
        <f aca="false">-BE45</f>
        <v>-0</v>
      </c>
      <c r="BF92" s="30" t="n">
        <f aca="false">-BF45</f>
        <v>-0</v>
      </c>
      <c r="BG92" s="30" t="n">
        <f aca="false">-BG45</f>
        <v>-0</v>
      </c>
      <c r="BH92" s="30" t="n">
        <f aca="false">-BH45</f>
        <v>-0</v>
      </c>
      <c r="BI92" s="30" t="n">
        <f aca="false">-BI45</f>
        <v>-0</v>
      </c>
      <c r="BJ92" s="30" t="n">
        <f aca="false">-BJ45</f>
        <v>-0</v>
      </c>
      <c r="BK92" s="30" t="n">
        <f aca="false">-BK45</f>
        <v>-0</v>
      </c>
      <c r="BL92" s="30" t="n">
        <f aca="false">-BL45</f>
        <v>-0</v>
      </c>
      <c r="BM92" s="30" t="n">
        <f aca="false">-BM45</f>
        <v>-0</v>
      </c>
      <c r="BN92" s="30" t="n">
        <f aca="false">-BN45</f>
        <v>-0</v>
      </c>
      <c r="BO92" s="30" t="n">
        <f aca="false">-BO45</f>
        <v>-0</v>
      </c>
      <c r="BP92" s="30" t="n">
        <f aca="false">-BP45</f>
        <v>-0</v>
      </c>
      <c r="BQ92" s="30" t="n">
        <f aca="false">-BQ45</f>
        <v>-0</v>
      </c>
      <c r="BR92" s="30" t="n">
        <f aca="false">-BR45</f>
        <v>-0</v>
      </c>
      <c r="BS92" s="30" t="n">
        <f aca="false">-BS45</f>
        <v>-0</v>
      </c>
      <c r="BT92" s="30" t="n">
        <f aca="false">-BT45</f>
        <v>-0</v>
      </c>
      <c r="BU92" s="30" t="n">
        <f aca="false">-BU45</f>
        <v>-0</v>
      </c>
      <c r="BV92" s="30" t="n">
        <f aca="false">-BV45</f>
        <v>-0</v>
      </c>
      <c r="BW92" s="30" t="n">
        <f aca="false">-BW45</f>
        <v>-0</v>
      </c>
      <c r="BX92" s="30" t="n">
        <f aca="false">-BX45</f>
        <v>-0</v>
      </c>
      <c r="BY92" s="30" t="n">
        <f aca="false">-BY45</f>
        <v>-0</v>
      </c>
      <c r="BZ92" s="30" t="n">
        <f aca="false">-BZ45</f>
        <v>-0</v>
      </c>
      <c r="CA92" s="30" t="n">
        <f aca="false">-CA45</f>
        <v>-0</v>
      </c>
      <c r="CB92" s="30" t="n">
        <f aca="false">-CB45</f>
        <v>-0</v>
      </c>
      <c r="CC92" s="30" t="n">
        <f aca="false">-CC45</f>
        <v>-0</v>
      </c>
      <c r="CD92" s="30" t="n">
        <f aca="false">-CD45</f>
        <v>-0</v>
      </c>
      <c r="CE92" s="30" t="n">
        <f aca="false">-CE45</f>
        <v>-0</v>
      </c>
      <c r="CF92" s="30" t="n">
        <f aca="false">-CF45</f>
        <v>-0</v>
      </c>
      <c r="CG92" s="30" t="n">
        <f aca="false">-CG45</f>
        <v>-0</v>
      </c>
      <c r="CH92" s="30" t="n">
        <f aca="false">-CH45</f>
        <v>-0</v>
      </c>
      <c r="CI92" s="30" t="n">
        <f aca="false">-CI45</f>
        <v>-0</v>
      </c>
      <c r="CJ92" s="30" t="n">
        <f aca="false">-CJ45</f>
        <v>-0</v>
      </c>
      <c r="CK92" s="30" t="n">
        <f aca="false">-CK45</f>
        <v>-0</v>
      </c>
      <c r="CL92" s="30" t="n">
        <f aca="false">-CL45</f>
        <v>-0</v>
      </c>
      <c r="CM92" s="30" t="n">
        <f aca="false">-CM45</f>
        <v>-0</v>
      </c>
      <c r="CN92" s="30" t="n">
        <f aca="false">-CN45</f>
        <v>-0</v>
      </c>
      <c r="CO92" s="30" t="n">
        <f aca="false">-CO45</f>
        <v>-0</v>
      </c>
      <c r="CP92" s="30" t="n">
        <f aca="false">-CP45</f>
        <v>-0</v>
      </c>
      <c r="CQ92" s="30" t="n">
        <f aca="false">-CQ45</f>
        <v>-0</v>
      </c>
      <c r="CR92" s="30" t="n">
        <f aca="false">-CR45</f>
        <v>-0</v>
      </c>
      <c r="CS92" s="30" t="n">
        <f aca="false">-CS45</f>
        <v>-0</v>
      </c>
      <c r="CT92" s="30" t="n">
        <f aca="false">-CT45</f>
        <v>-0</v>
      </c>
      <c r="CU92" s="30" t="n">
        <f aca="false">-CU45</f>
        <v>-0</v>
      </c>
      <c r="CV92" s="30" t="n">
        <f aca="false">-CV45</f>
        <v>-0</v>
      </c>
      <c r="CW92" s="30" t="n">
        <f aca="false">-CW45</f>
        <v>-0</v>
      </c>
      <c r="CX92" s="30" t="n">
        <f aca="false">-CX45</f>
        <v>-0</v>
      </c>
      <c r="CY92" s="30" t="n">
        <f aca="false">-CY45</f>
        <v>-0</v>
      </c>
      <c r="CZ92" s="30" t="n">
        <f aca="false">-CZ45</f>
        <v>-0</v>
      </c>
      <c r="DA92" s="30" t="n">
        <f aca="false">-DA45</f>
        <v>-0</v>
      </c>
      <c r="DB92" s="30" t="n">
        <f aca="false">-DB45</f>
        <v>-0</v>
      </c>
      <c r="DC92" s="30" t="n">
        <f aca="false">-DC45</f>
        <v>-0</v>
      </c>
      <c r="DD92" s="30" t="n">
        <f aca="false">-DD45</f>
        <v>-0</v>
      </c>
      <c r="DE92" s="30" t="n">
        <f aca="false">-DE45</f>
        <v>-0</v>
      </c>
    </row>
    <row r="93" customFormat="false" ht="15" hidden="true" customHeight="true" outlineLevel="1" collapsed="false">
      <c r="A93" s="32" t="s">
        <v>40</v>
      </c>
      <c r="B93" s="30" t="n">
        <v>0</v>
      </c>
      <c r="C93" s="30" t="n">
        <v>0</v>
      </c>
      <c r="D93" s="30" t="n">
        <v>0</v>
      </c>
      <c r="E93" s="30" t="n">
        <v>0</v>
      </c>
      <c r="F93" s="30" t="n">
        <f aca="false">-F46</f>
        <v>-0</v>
      </c>
      <c r="G93" s="30" t="n">
        <f aca="false">-G46</f>
        <v>-0</v>
      </c>
      <c r="H93" s="30" t="n">
        <f aca="false">-H46</f>
        <v>-0</v>
      </c>
      <c r="I93" s="30" t="n">
        <f aca="false">-I46</f>
        <v>-0</v>
      </c>
      <c r="J93" s="30" t="n">
        <f aca="false">-J46</f>
        <v>-0</v>
      </c>
      <c r="K93" s="30" t="n">
        <f aca="false">-K46</f>
        <v>-0</v>
      </c>
      <c r="L93" s="30" t="n">
        <f aca="false">-L46</f>
        <v>-0</v>
      </c>
      <c r="M93" s="30" t="n">
        <f aca="false">-M46</f>
        <v>-0</v>
      </c>
      <c r="N93" s="30" t="n">
        <f aca="false">-N46</f>
        <v>-0</v>
      </c>
      <c r="O93" s="30" t="n">
        <f aca="false">-O46</f>
        <v>-0</v>
      </c>
      <c r="P93" s="30" t="n">
        <f aca="false">-P46</f>
        <v>-0</v>
      </c>
      <c r="Q93" s="30" t="n">
        <f aca="false">-Q46</f>
        <v>-0</v>
      </c>
      <c r="R93" s="30" t="n">
        <f aca="false">-R46</f>
        <v>-0</v>
      </c>
      <c r="S93" s="30" t="n">
        <f aca="false">-S46</f>
        <v>-0</v>
      </c>
      <c r="T93" s="30" t="n">
        <f aca="false">-T46</f>
        <v>-0</v>
      </c>
      <c r="U93" s="30" t="n">
        <f aca="false">-U46</f>
        <v>-0</v>
      </c>
      <c r="V93" s="30" t="n">
        <f aca="false">-V46</f>
        <v>-0</v>
      </c>
      <c r="W93" s="30" t="n">
        <f aca="false">-W46</f>
        <v>-0</v>
      </c>
      <c r="X93" s="30" t="n">
        <f aca="false">-X46</f>
        <v>-0</v>
      </c>
      <c r="Y93" s="30" t="n">
        <f aca="false">-Y46</f>
        <v>-0</v>
      </c>
      <c r="Z93" s="30" t="n">
        <f aca="false">-Z46</f>
        <v>-0</v>
      </c>
      <c r="AA93" s="30" t="n">
        <f aca="false">-AA46</f>
        <v>-0</v>
      </c>
      <c r="AB93" s="30" t="n">
        <f aca="false">-AB46</f>
        <v>-0</v>
      </c>
      <c r="AC93" s="30" t="n">
        <f aca="false">-AC46</f>
        <v>-0</v>
      </c>
      <c r="AD93" s="30" t="n">
        <f aca="false">-AD46</f>
        <v>-0</v>
      </c>
      <c r="AE93" s="30" t="n">
        <f aca="false">-AE46</f>
        <v>-0</v>
      </c>
      <c r="AF93" s="30" t="n">
        <f aca="false">-AF46</f>
        <v>-0</v>
      </c>
      <c r="AG93" s="30" t="n">
        <f aca="false">-AG46</f>
        <v>-0</v>
      </c>
      <c r="AH93" s="30" t="n">
        <f aca="false">-AH46</f>
        <v>-0</v>
      </c>
      <c r="AI93" s="30" t="n">
        <f aca="false">-AI46</f>
        <v>-0</v>
      </c>
      <c r="AJ93" s="30" t="n">
        <f aca="false">-AJ46</f>
        <v>-0</v>
      </c>
      <c r="AK93" s="30" t="n">
        <f aca="false">-AK46</f>
        <v>-0</v>
      </c>
      <c r="AL93" s="30" t="n">
        <f aca="false">-AL46</f>
        <v>-0</v>
      </c>
      <c r="AM93" s="30" t="n">
        <f aca="false">-AM46</f>
        <v>-0</v>
      </c>
      <c r="AN93" s="30" t="n">
        <f aca="false">-AN46</f>
        <v>-0</v>
      </c>
      <c r="AO93" s="30" t="n">
        <f aca="false">-AO46</f>
        <v>-0</v>
      </c>
      <c r="AP93" s="30" t="n">
        <f aca="false">-AP46</f>
        <v>-0</v>
      </c>
      <c r="AQ93" s="30" t="n">
        <f aca="false">-AQ46</f>
        <v>-0</v>
      </c>
      <c r="AR93" s="30" t="n">
        <f aca="false">-AR46</f>
        <v>-0</v>
      </c>
      <c r="AS93" s="30" t="n">
        <f aca="false">-AS46</f>
        <v>-0</v>
      </c>
      <c r="AT93" s="30" t="n">
        <f aca="false">-AT46</f>
        <v>-0</v>
      </c>
      <c r="AU93" s="30" t="n">
        <f aca="false">-AU46</f>
        <v>-0</v>
      </c>
      <c r="AV93" s="30" t="n">
        <f aca="false">-AV46</f>
        <v>-0</v>
      </c>
      <c r="AW93" s="30" t="n">
        <f aca="false">-AW46</f>
        <v>-0</v>
      </c>
      <c r="AX93" s="30" t="n">
        <f aca="false">-AX46</f>
        <v>-0</v>
      </c>
      <c r="AY93" s="30" t="n">
        <f aca="false">-AY46</f>
        <v>-0</v>
      </c>
      <c r="AZ93" s="30" t="n">
        <f aca="false">-AZ46</f>
        <v>-0</v>
      </c>
      <c r="BA93" s="30" t="n">
        <f aca="false">-BA46</f>
        <v>-0</v>
      </c>
      <c r="BB93" s="30" t="n">
        <f aca="false">-BB46</f>
        <v>-0</v>
      </c>
      <c r="BC93" s="30" t="n">
        <f aca="false">-BC46</f>
        <v>-0</v>
      </c>
      <c r="BD93" s="30" t="n">
        <f aca="false">-BD46</f>
        <v>-0</v>
      </c>
      <c r="BE93" s="30" t="n">
        <f aca="false">-BE46</f>
        <v>-0</v>
      </c>
      <c r="BF93" s="30" t="n">
        <f aca="false">-BF46</f>
        <v>-0</v>
      </c>
      <c r="BG93" s="30" t="n">
        <f aca="false">-BG46</f>
        <v>-0</v>
      </c>
      <c r="BH93" s="30" t="n">
        <f aca="false">-BH46</f>
        <v>-0</v>
      </c>
      <c r="BI93" s="30" t="n">
        <f aca="false">-BI46</f>
        <v>-0</v>
      </c>
      <c r="BJ93" s="30" t="n">
        <f aca="false">-BJ46</f>
        <v>-0</v>
      </c>
      <c r="BK93" s="30" t="n">
        <f aca="false">-BK46</f>
        <v>-0</v>
      </c>
      <c r="BL93" s="30" t="n">
        <f aca="false">-BL46</f>
        <v>-0</v>
      </c>
      <c r="BM93" s="30" t="n">
        <f aca="false">-BM46</f>
        <v>-0</v>
      </c>
      <c r="BN93" s="30" t="n">
        <f aca="false">-BN46</f>
        <v>-0</v>
      </c>
      <c r="BO93" s="30" t="n">
        <f aca="false">-BO46</f>
        <v>-0</v>
      </c>
      <c r="BP93" s="30" t="n">
        <f aca="false">-BP46</f>
        <v>-0</v>
      </c>
      <c r="BQ93" s="30" t="n">
        <f aca="false">-BQ46</f>
        <v>-0</v>
      </c>
      <c r="BR93" s="30" t="n">
        <f aca="false">-BR46</f>
        <v>-0</v>
      </c>
      <c r="BS93" s="30" t="n">
        <f aca="false">-BS46</f>
        <v>-0</v>
      </c>
      <c r="BT93" s="30" t="n">
        <f aca="false">-BT46</f>
        <v>-0</v>
      </c>
      <c r="BU93" s="30" t="n">
        <f aca="false">-BU46</f>
        <v>-0</v>
      </c>
      <c r="BV93" s="30" t="n">
        <f aca="false">-BV46</f>
        <v>-0</v>
      </c>
      <c r="BW93" s="30" t="n">
        <f aca="false">-BW46</f>
        <v>-0</v>
      </c>
      <c r="BX93" s="30" t="n">
        <f aca="false">-BX46</f>
        <v>-0</v>
      </c>
      <c r="BY93" s="30" t="n">
        <f aca="false">-BY46</f>
        <v>-0</v>
      </c>
      <c r="BZ93" s="30" t="n">
        <f aca="false">-BZ46</f>
        <v>-0</v>
      </c>
      <c r="CA93" s="30" t="n">
        <f aca="false">-CA46</f>
        <v>-0</v>
      </c>
      <c r="CB93" s="30" t="n">
        <f aca="false">-CB46</f>
        <v>-0</v>
      </c>
      <c r="CC93" s="30" t="n">
        <f aca="false">-CC46</f>
        <v>-0</v>
      </c>
      <c r="CD93" s="30" t="n">
        <f aca="false">-CD46</f>
        <v>-0</v>
      </c>
      <c r="CE93" s="30" t="n">
        <f aca="false">-CE46</f>
        <v>-0</v>
      </c>
      <c r="CF93" s="30" t="n">
        <f aca="false">-CF46</f>
        <v>-0</v>
      </c>
      <c r="CG93" s="30" t="n">
        <f aca="false">-CG46</f>
        <v>-0</v>
      </c>
      <c r="CH93" s="30" t="n">
        <f aca="false">-CH46</f>
        <v>-0</v>
      </c>
      <c r="CI93" s="30" t="n">
        <f aca="false">-CI46</f>
        <v>-0</v>
      </c>
      <c r="CJ93" s="30" t="n">
        <f aca="false">-CJ46</f>
        <v>-0</v>
      </c>
      <c r="CK93" s="30" t="n">
        <f aca="false">-CK46</f>
        <v>-0</v>
      </c>
      <c r="CL93" s="30" t="n">
        <f aca="false">-CL46</f>
        <v>-0</v>
      </c>
      <c r="CM93" s="30" t="n">
        <f aca="false">-CM46</f>
        <v>-0</v>
      </c>
      <c r="CN93" s="30" t="n">
        <f aca="false">-CN46</f>
        <v>-0</v>
      </c>
      <c r="CO93" s="30" t="n">
        <f aca="false">-CO46</f>
        <v>-0</v>
      </c>
      <c r="CP93" s="30" t="n">
        <f aca="false">-CP46</f>
        <v>-0</v>
      </c>
      <c r="CQ93" s="30" t="n">
        <f aca="false">-CQ46</f>
        <v>-0</v>
      </c>
      <c r="CR93" s="30" t="n">
        <f aca="false">-CR46</f>
        <v>-0</v>
      </c>
      <c r="CS93" s="30" t="n">
        <f aca="false">-CS46</f>
        <v>-0</v>
      </c>
      <c r="CT93" s="30" t="n">
        <f aca="false">-CT46</f>
        <v>-0</v>
      </c>
      <c r="CU93" s="30" t="n">
        <f aca="false">-CU46</f>
        <v>-0</v>
      </c>
      <c r="CV93" s="30" t="n">
        <f aca="false">-CV46</f>
        <v>-0</v>
      </c>
      <c r="CW93" s="30" t="n">
        <f aca="false">-CW46</f>
        <v>-0</v>
      </c>
      <c r="CX93" s="30" t="n">
        <f aca="false">-CX46</f>
        <v>-0</v>
      </c>
      <c r="CY93" s="30" t="n">
        <f aca="false">-CY46</f>
        <v>-0</v>
      </c>
      <c r="CZ93" s="30" t="n">
        <f aca="false">-CZ46</f>
        <v>-0</v>
      </c>
      <c r="DA93" s="30" t="n">
        <f aca="false">-DA46</f>
        <v>-0</v>
      </c>
      <c r="DB93" s="30" t="n">
        <f aca="false">-DB46</f>
        <v>-0</v>
      </c>
      <c r="DC93" s="30" t="n">
        <f aca="false">-DC46</f>
        <v>-0</v>
      </c>
      <c r="DD93" s="30" t="n">
        <f aca="false">-DD46</f>
        <v>-0</v>
      </c>
      <c r="DE93" s="30" t="n">
        <f aca="false">-DE46</f>
        <v>-0</v>
      </c>
    </row>
    <row r="94" customFormat="false" ht="15" hidden="true" customHeight="true" outlineLevel="1" collapsed="false">
      <c r="A94" s="32" t="s">
        <v>41</v>
      </c>
      <c r="B94" s="30" t="n">
        <v>0</v>
      </c>
      <c r="C94" s="30" t="n">
        <v>0</v>
      </c>
      <c r="D94" s="30" t="n">
        <v>0</v>
      </c>
      <c r="E94" s="30" t="n">
        <v>0</v>
      </c>
      <c r="F94" s="30" t="n">
        <f aca="false">-F47</f>
        <v>-0</v>
      </c>
      <c r="G94" s="30" t="n">
        <f aca="false">-G47</f>
        <v>-0</v>
      </c>
      <c r="H94" s="30" t="n">
        <f aca="false">-H47</f>
        <v>-0</v>
      </c>
      <c r="I94" s="30" t="n">
        <f aca="false">-I47</f>
        <v>-0</v>
      </c>
      <c r="J94" s="30" t="n">
        <f aca="false">-J47</f>
        <v>-0</v>
      </c>
      <c r="K94" s="30" t="n">
        <f aca="false">-K47</f>
        <v>-0</v>
      </c>
      <c r="L94" s="30" t="n">
        <f aca="false">-L47</f>
        <v>-0</v>
      </c>
      <c r="M94" s="30" t="n">
        <f aca="false">-M47</f>
        <v>-0</v>
      </c>
      <c r="N94" s="30" t="n">
        <f aca="false">-N47</f>
        <v>-0</v>
      </c>
      <c r="O94" s="30" t="n">
        <f aca="false">-O47</f>
        <v>-0</v>
      </c>
      <c r="P94" s="30" t="n">
        <f aca="false">-P47</f>
        <v>-0</v>
      </c>
      <c r="Q94" s="30" t="n">
        <f aca="false">-Q47</f>
        <v>-0</v>
      </c>
      <c r="R94" s="30" t="n">
        <f aca="false">-R47</f>
        <v>-0</v>
      </c>
      <c r="S94" s="30" t="n">
        <f aca="false">-S47</f>
        <v>-0</v>
      </c>
      <c r="T94" s="30" t="n">
        <f aca="false">-T47</f>
        <v>-0</v>
      </c>
      <c r="U94" s="30" t="n">
        <f aca="false">-U47</f>
        <v>-0</v>
      </c>
      <c r="V94" s="30" t="n">
        <f aca="false">-V47</f>
        <v>-0</v>
      </c>
      <c r="W94" s="30" t="n">
        <f aca="false">-W47</f>
        <v>-0</v>
      </c>
      <c r="X94" s="30" t="n">
        <f aca="false">-X47</f>
        <v>-0</v>
      </c>
      <c r="Y94" s="30" t="n">
        <f aca="false">-Y47</f>
        <v>-0</v>
      </c>
      <c r="Z94" s="30" t="n">
        <f aca="false">-Z47</f>
        <v>-0</v>
      </c>
      <c r="AA94" s="30" t="n">
        <f aca="false">-AA47</f>
        <v>-0</v>
      </c>
      <c r="AB94" s="30" t="n">
        <f aca="false">-AB47</f>
        <v>-0</v>
      </c>
      <c r="AC94" s="30" t="n">
        <f aca="false">-AC47</f>
        <v>-0</v>
      </c>
      <c r="AD94" s="30" t="n">
        <f aca="false">-AD47</f>
        <v>-0</v>
      </c>
      <c r="AE94" s="30" t="n">
        <f aca="false">-AE47</f>
        <v>-0</v>
      </c>
      <c r="AF94" s="30" t="n">
        <f aca="false">-AF47</f>
        <v>-0</v>
      </c>
      <c r="AG94" s="30" t="n">
        <f aca="false">-AG47</f>
        <v>-0</v>
      </c>
      <c r="AH94" s="30" t="n">
        <f aca="false">-AH47</f>
        <v>-0</v>
      </c>
      <c r="AI94" s="30" t="n">
        <f aca="false">-AI47</f>
        <v>-0</v>
      </c>
      <c r="AJ94" s="30" t="n">
        <f aca="false">-AJ47</f>
        <v>-0</v>
      </c>
      <c r="AK94" s="30" t="n">
        <f aca="false">-AK47</f>
        <v>-0</v>
      </c>
      <c r="AL94" s="30" t="n">
        <f aca="false">-AL47</f>
        <v>-0</v>
      </c>
      <c r="AM94" s="30" t="n">
        <f aca="false">-AM47</f>
        <v>-0</v>
      </c>
      <c r="AN94" s="30" t="n">
        <f aca="false">-AN47</f>
        <v>-0</v>
      </c>
      <c r="AO94" s="30" t="n">
        <f aca="false">-AO47</f>
        <v>-0</v>
      </c>
      <c r="AP94" s="30" t="n">
        <f aca="false">-AP47</f>
        <v>-0</v>
      </c>
      <c r="AQ94" s="30" t="n">
        <f aca="false">-AQ47</f>
        <v>-0</v>
      </c>
      <c r="AR94" s="30" t="n">
        <f aca="false">-AR47</f>
        <v>-0</v>
      </c>
      <c r="AS94" s="30" t="n">
        <f aca="false">-AS47</f>
        <v>-0</v>
      </c>
      <c r="AT94" s="30" t="n">
        <f aca="false">-AT47</f>
        <v>-0</v>
      </c>
      <c r="AU94" s="30" t="n">
        <f aca="false">-AU47</f>
        <v>-0</v>
      </c>
      <c r="AV94" s="30" t="n">
        <f aca="false">-AV47</f>
        <v>-0</v>
      </c>
      <c r="AW94" s="30" t="n">
        <f aca="false">-AW47</f>
        <v>-0</v>
      </c>
      <c r="AX94" s="30" t="n">
        <f aca="false">-AX47</f>
        <v>-0</v>
      </c>
      <c r="AY94" s="30" t="n">
        <f aca="false">-AY47</f>
        <v>-0</v>
      </c>
      <c r="AZ94" s="30" t="n">
        <f aca="false">-AZ47</f>
        <v>-0</v>
      </c>
      <c r="BA94" s="30" t="n">
        <f aca="false">-BA47</f>
        <v>-0</v>
      </c>
      <c r="BB94" s="30" t="n">
        <f aca="false">-BB47</f>
        <v>-0</v>
      </c>
      <c r="BC94" s="30" t="n">
        <f aca="false">-BC47</f>
        <v>-0</v>
      </c>
      <c r="BD94" s="30" t="n">
        <f aca="false">-BD47</f>
        <v>-0</v>
      </c>
      <c r="BE94" s="30" t="n">
        <f aca="false">-BE47</f>
        <v>-0</v>
      </c>
      <c r="BF94" s="30" t="n">
        <f aca="false">-BF47</f>
        <v>-0</v>
      </c>
      <c r="BG94" s="30" t="n">
        <f aca="false">-BG47</f>
        <v>-0</v>
      </c>
      <c r="BH94" s="30" t="n">
        <f aca="false">-BH47</f>
        <v>-0</v>
      </c>
      <c r="BI94" s="30" t="n">
        <f aca="false">-BI47</f>
        <v>-0</v>
      </c>
      <c r="BJ94" s="30" t="n">
        <f aca="false">-BJ47</f>
        <v>-0</v>
      </c>
      <c r="BK94" s="30" t="n">
        <f aca="false">-BK47</f>
        <v>-0</v>
      </c>
      <c r="BL94" s="30" t="n">
        <f aca="false">-BL47</f>
        <v>-0</v>
      </c>
      <c r="BM94" s="30" t="n">
        <f aca="false">-BM47</f>
        <v>-0</v>
      </c>
      <c r="BN94" s="30" t="n">
        <f aca="false">-BN47</f>
        <v>-0</v>
      </c>
      <c r="BO94" s="30" t="n">
        <f aca="false">-BO47</f>
        <v>-0</v>
      </c>
      <c r="BP94" s="30" t="n">
        <f aca="false">-BP47</f>
        <v>-0</v>
      </c>
      <c r="BQ94" s="30" t="n">
        <f aca="false">-BQ47</f>
        <v>-0</v>
      </c>
      <c r="BR94" s="30" t="n">
        <f aca="false">-BR47</f>
        <v>-0</v>
      </c>
      <c r="BS94" s="30" t="n">
        <f aca="false">-BS47</f>
        <v>-0</v>
      </c>
      <c r="BT94" s="30" t="n">
        <f aca="false">-BT47</f>
        <v>-0</v>
      </c>
      <c r="BU94" s="30" t="n">
        <f aca="false">-BU47</f>
        <v>-0</v>
      </c>
      <c r="BV94" s="30" t="n">
        <f aca="false">-BV47</f>
        <v>-0</v>
      </c>
      <c r="BW94" s="30" t="n">
        <f aca="false">-BW47</f>
        <v>-0</v>
      </c>
      <c r="BX94" s="30" t="n">
        <f aca="false">-BX47</f>
        <v>-0</v>
      </c>
      <c r="BY94" s="30" t="n">
        <f aca="false">-BY47</f>
        <v>-0</v>
      </c>
      <c r="BZ94" s="30" t="n">
        <f aca="false">-BZ47</f>
        <v>-0</v>
      </c>
      <c r="CA94" s="30" t="n">
        <f aca="false">-CA47</f>
        <v>-0</v>
      </c>
      <c r="CB94" s="30" t="n">
        <f aca="false">-CB47</f>
        <v>-0</v>
      </c>
      <c r="CC94" s="30" t="n">
        <f aca="false">-CC47</f>
        <v>-0</v>
      </c>
      <c r="CD94" s="30" t="n">
        <f aca="false">-CD47</f>
        <v>-0</v>
      </c>
      <c r="CE94" s="30" t="n">
        <f aca="false">-CE47</f>
        <v>-0</v>
      </c>
      <c r="CF94" s="30" t="n">
        <f aca="false">-CF47</f>
        <v>-0</v>
      </c>
      <c r="CG94" s="30" t="n">
        <f aca="false">-CG47</f>
        <v>-0</v>
      </c>
      <c r="CH94" s="30" t="n">
        <f aca="false">-CH47</f>
        <v>-0</v>
      </c>
      <c r="CI94" s="30" t="n">
        <f aca="false">-CI47</f>
        <v>-0</v>
      </c>
      <c r="CJ94" s="30" t="n">
        <f aca="false">-CJ47</f>
        <v>-0</v>
      </c>
      <c r="CK94" s="30" t="n">
        <f aca="false">-CK47</f>
        <v>-0</v>
      </c>
      <c r="CL94" s="30" t="n">
        <f aca="false">-CL47</f>
        <v>-0</v>
      </c>
      <c r="CM94" s="30" t="n">
        <f aca="false">-CM47</f>
        <v>-0</v>
      </c>
      <c r="CN94" s="30" t="n">
        <f aca="false">-CN47</f>
        <v>-0</v>
      </c>
      <c r="CO94" s="30" t="n">
        <f aca="false">-CO47</f>
        <v>-0</v>
      </c>
      <c r="CP94" s="30" t="n">
        <f aca="false">-CP47</f>
        <v>-0</v>
      </c>
      <c r="CQ94" s="30" t="n">
        <f aca="false">-CQ47</f>
        <v>-0</v>
      </c>
      <c r="CR94" s="30" t="n">
        <f aca="false">-CR47</f>
        <v>-0</v>
      </c>
      <c r="CS94" s="30" t="n">
        <f aca="false">-CS47</f>
        <v>-0</v>
      </c>
      <c r="CT94" s="30" t="n">
        <f aca="false">-CT47</f>
        <v>-0</v>
      </c>
      <c r="CU94" s="30" t="n">
        <f aca="false">-CU47</f>
        <v>-0</v>
      </c>
      <c r="CV94" s="30" t="n">
        <f aca="false">-CV47</f>
        <v>-0</v>
      </c>
      <c r="CW94" s="30" t="n">
        <f aca="false">-CW47</f>
        <v>-0</v>
      </c>
      <c r="CX94" s="30" t="n">
        <f aca="false">-CX47</f>
        <v>-0</v>
      </c>
      <c r="CY94" s="30" t="n">
        <f aca="false">-CY47</f>
        <v>-0</v>
      </c>
      <c r="CZ94" s="30" t="n">
        <f aca="false">-CZ47</f>
        <v>-0</v>
      </c>
      <c r="DA94" s="30" t="n">
        <f aca="false">-DA47</f>
        <v>-0</v>
      </c>
      <c r="DB94" s="30" t="n">
        <f aca="false">-DB47</f>
        <v>-0</v>
      </c>
      <c r="DC94" s="30" t="n">
        <f aca="false">-DC47</f>
        <v>-0</v>
      </c>
      <c r="DD94" s="30" t="n">
        <f aca="false">-DD47</f>
        <v>-0</v>
      </c>
      <c r="DE94" s="30" t="n">
        <f aca="false">-DE47</f>
        <v>-0</v>
      </c>
    </row>
    <row r="95" customFormat="false" ht="15" hidden="true" customHeight="true" outlineLevel="1" collapsed="false">
      <c r="A95" s="32" t="s">
        <v>42</v>
      </c>
      <c r="B95" s="30" t="n">
        <v>0</v>
      </c>
      <c r="C95" s="30" t="n">
        <v>0</v>
      </c>
      <c r="D95" s="30" t="n">
        <v>0</v>
      </c>
      <c r="E95" s="30" t="n">
        <v>0</v>
      </c>
      <c r="F95" s="30" t="n">
        <f aca="false">-F48</f>
        <v>-0</v>
      </c>
      <c r="G95" s="30" t="n">
        <f aca="false">-G48</f>
        <v>-0</v>
      </c>
      <c r="H95" s="30" t="n">
        <f aca="false">-H48</f>
        <v>-0</v>
      </c>
      <c r="I95" s="30" t="n">
        <f aca="false">-I48</f>
        <v>-0</v>
      </c>
      <c r="J95" s="30" t="n">
        <f aca="false">-J48</f>
        <v>-0</v>
      </c>
      <c r="K95" s="30" t="n">
        <f aca="false">-K48</f>
        <v>-0</v>
      </c>
      <c r="L95" s="30" t="n">
        <f aca="false">-L48</f>
        <v>-0</v>
      </c>
      <c r="M95" s="30" t="n">
        <f aca="false">-M48</f>
        <v>-0</v>
      </c>
      <c r="N95" s="30" t="n">
        <f aca="false">-N48</f>
        <v>-0</v>
      </c>
      <c r="O95" s="30" t="n">
        <f aca="false">-O48</f>
        <v>-0</v>
      </c>
      <c r="P95" s="30" t="n">
        <f aca="false">-P48</f>
        <v>-0</v>
      </c>
      <c r="Q95" s="30" t="n">
        <f aca="false">-Q48</f>
        <v>-0</v>
      </c>
      <c r="R95" s="30" t="n">
        <f aca="false">-R48</f>
        <v>-0</v>
      </c>
      <c r="S95" s="30" t="n">
        <f aca="false">-S48</f>
        <v>-0</v>
      </c>
      <c r="T95" s="30" t="n">
        <f aca="false">-T48</f>
        <v>-0</v>
      </c>
      <c r="U95" s="30" t="n">
        <f aca="false">-U48</f>
        <v>-0</v>
      </c>
      <c r="V95" s="30" t="n">
        <f aca="false">-V48</f>
        <v>-0</v>
      </c>
      <c r="W95" s="30" t="n">
        <f aca="false">-W48</f>
        <v>-0</v>
      </c>
      <c r="X95" s="30" t="n">
        <f aca="false">-X48</f>
        <v>-0</v>
      </c>
      <c r="Y95" s="30" t="n">
        <f aca="false">-Y48</f>
        <v>-0</v>
      </c>
      <c r="Z95" s="30" t="n">
        <f aca="false">-Z48</f>
        <v>-0</v>
      </c>
      <c r="AA95" s="30" t="n">
        <f aca="false">-AA48</f>
        <v>-0</v>
      </c>
      <c r="AB95" s="30" t="n">
        <f aca="false">-AB48</f>
        <v>-0</v>
      </c>
      <c r="AC95" s="30" t="n">
        <f aca="false">-AC48</f>
        <v>-0</v>
      </c>
      <c r="AD95" s="30" t="n">
        <f aca="false">-AD48</f>
        <v>-0</v>
      </c>
      <c r="AE95" s="30" t="n">
        <f aca="false">-AE48</f>
        <v>-0</v>
      </c>
      <c r="AF95" s="30" t="n">
        <f aca="false">-AF48</f>
        <v>-0</v>
      </c>
      <c r="AG95" s="30" t="n">
        <f aca="false">-AG48</f>
        <v>-0</v>
      </c>
      <c r="AH95" s="30" t="n">
        <f aca="false">-AH48</f>
        <v>-0</v>
      </c>
      <c r="AI95" s="30" t="n">
        <f aca="false">-AI48</f>
        <v>-0</v>
      </c>
      <c r="AJ95" s="30" t="n">
        <f aca="false">-AJ48</f>
        <v>-0</v>
      </c>
      <c r="AK95" s="30" t="n">
        <f aca="false">-AK48</f>
        <v>-0</v>
      </c>
      <c r="AL95" s="30" t="n">
        <f aca="false">-AL48</f>
        <v>-0</v>
      </c>
      <c r="AM95" s="30" t="n">
        <f aca="false">-AM48</f>
        <v>-0</v>
      </c>
      <c r="AN95" s="30" t="n">
        <f aca="false">-AN48</f>
        <v>-0</v>
      </c>
      <c r="AO95" s="30" t="n">
        <f aca="false">-AO48</f>
        <v>-0</v>
      </c>
      <c r="AP95" s="30" t="n">
        <f aca="false">-AP48</f>
        <v>-0</v>
      </c>
      <c r="AQ95" s="30" t="n">
        <f aca="false">-AQ48</f>
        <v>-0</v>
      </c>
      <c r="AR95" s="30" t="n">
        <f aca="false">-AR48</f>
        <v>-0</v>
      </c>
      <c r="AS95" s="30" t="n">
        <f aca="false">-AS48</f>
        <v>-0</v>
      </c>
      <c r="AT95" s="30" t="n">
        <f aca="false">-AT48</f>
        <v>-0</v>
      </c>
      <c r="AU95" s="30" t="n">
        <f aca="false">-AU48</f>
        <v>-0</v>
      </c>
      <c r="AV95" s="30" t="n">
        <f aca="false">-AV48</f>
        <v>-0</v>
      </c>
      <c r="AW95" s="30" t="n">
        <f aca="false">-AW48</f>
        <v>-0</v>
      </c>
      <c r="AX95" s="30" t="n">
        <f aca="false">-AX48</f>
        <v>-0</v>
      </c>
      <c r="AY95" s="30" t="n">
        <f aca="false">-AY48</f>
        <v>-0</v>
      </c>
      <c r="AZ95" s="30" t="n">
        <f aca="false">-AZ48</f>
        <v>-0</v>
      </c>
      <c r="BA95" s="30" t="n">
        <f aca="false">-BA48</f>
        <v>-0</v>
      </c>
      <c r="BB95" s="30" t="n">
        <f aca="false">-BB48</f>
        <v>-0</v>
      </c>
      <c r="BC95" s="30" t="n">
        <f aca="false">-BC48</f>
        <v>-0</v>
      </c>
      <c r="BD95" s="30" t="n">
        <f aca="false">-BD48</f>
        <v>-0</v>
      </c>
      <c r="BE95" s="30" t="n">
        <f aca="false">-BE48</f>
        <v>-0</v>
      </c>
      <c r="BF95" s="30" t="n">
        <f aca="false">-BF48</f>
        <v>-0</v>
      </c>
      <c r="BG95" s="30" t="n">
        <f aca="false">-BG48</f>
        <v>-0</v>
      </c>
      <c r="BH95" s="30" t="n">
        <f aca="false">-BH48</f>
        <v>-0</v>
      </c>
      <c r="BI95" s="30" t="n">
        <f aca="false">-BI48</f>
        <v>-0</v>
      </c>
      <c r="BJ95" s="30" t="n">
        <f aca="false">-BJ48</f>
        <v>-0</v>
      </c>
      <c r="BK95" s="30" t="n">
        <f aca="false">-BK48</f>
        <v>-0</v>
      </c>
      <c r="BL95" s="30" t="n">
        <f aca="false">-BL48</f>
        <v>-0</v>
      </c>
      <c r="BM95" s="30" t="n">
        <f aca="false">-BM48</f>
        <v>-0</v>
      </c>
      <c r="BN95" s="30" t="n">
        <f aca="false">-BN48</f>
        <v>-0</v>
      </c>
      <c r="BO95" s="30" t="n">
        <f aca="false">-BO48</f>
        <v>-0</v>
      </c>
      <c r="BP95" s="30" t="n">
        <f aca="false">-BP48</f>
        <v>-0</v>
      </c>
      <c r="BQ95" s="30" t="n">
        <f aca="false">-BQ48</f>
        <v>-0</v>
      </c>
      <c r="BR95" s="30" t="n">
        <f aca="false">-BR48</f>
        <v>-0</v>
      </c>
      <c r="BS95" s="30" t="n">
        <f aca="false">-BS48</f>
        <v>-0</v>
      </c>
      <c r="BT95" s="30" t="n">
        <f aca="false">-BT48</f>
        <v>-0</v>
      </c>
      <c r="BU95" s="30" t="n">
        <f aca="false">-BU48</f>
        <v>-0</v>
      </c>
      <c r="BV95" s="30" t="n">
        <f aca="false">-BV48</f>
        <v>-0</v>
      </c>
      <c r="BW95" s="30" t="n">
        <f aca="false">-BW48</f>
        <v>-0</v>
      </c>
      <c r="BX95" s="30" t="n">
        <f aca="false">-BX48</f>
        <v>-0</v>
      </c>
      <c r="BY95" s="30" t="n">
        <f aca="false">-BY48</f>
        <v>-0</v>
      </c>
      <c r="BZ95" s="30" t="n">
        <f aca="false">-BZ48</f>
        <v>-0</v>
      </c>
      <c r="CA95" s="30" t="n">
        <f aca="false">-CA48</f>
        <v>-0</v>
      </c>
      <c r="CB95" s="30" t="n">
        <f aca="false">-CB48</f>
        <v>-0</v>
      </c>
      <c r="CC95" s="30" t="n">
        <f aca="false">-CC48</f>
        <v>-0</v>
      </c>
      <c r="CD95" s="30" t="n">
        <f aca="false">-CD48</f>
        <v>-0</v>
      </c>
      <c r="CE95" s="30" t="n">
        <f aca="false">-CE48</f>
        <v>-0</v>
      </c>
      <c r="CF95" s="30" t="n">
        <f aca="false">-CF48</f>
        <v>-0</v>
      </c>
      <c r="CG95" s="30" t="n">
        <f aca="false">-CG48</f>
        <v>-0</v>
      </c>
      <c r="CH95" s="30" t="n">
        <f aca="false">-CH48</f>
        <v>-0</v>
      </c>
      <c r="CI95" s="30" t="n">
        <f aca="false">-CI48</f>
        <v>-0</v>
      </c>
      <c r="CJ95" s="30" t="n">
        <f aca="false">-CJ48</f>
        <v>-0</v>
      </c>
      <c r="CK95" s="30" t="n">
        <f aca="false">-CK48</f>
        <v>-0</v>
      </c>
      <c r="CL95" s="30" t="n">
        <f aca="false">-CL48</f>
        <v>-0</v>
      </c>
      <c r="CM95" s="30" t="n">
        <f aca="false">-CM48</f>
        <v>-0</v>
      </c>
      <c r="CN95" s="30" t="n">
        <f aca="false">-CN48</f>
        <v>-0</v>
      </c>
      <c r="CO95" s="30" t="n">
        <f aca="false">-CO48</f>
        <v>-0</v>
      </c>
      <c r="CP95" s="30" t="n">
        <f aca="false">-CP48</f>
        <v>-0</v>
      </c>
      <c r="CQ95" s="30" t="n">
        <f aca="false">-CQ48</f>
        <v>-0</v>
      </c>
      <c r="CR95" s="30" t="n">
        <f aca="false">-CR48</f>
        <v>-0</v>
      </c>
      <c r="CS95" s="30" t="n">
        <f aca="false">-CS48</f>
        <v>-0</v>
      </c>
      <c r="CT95" s="30" t="n">
        <f aca="false">-CT48</f>
        <v>-0</v>
      </c>
      <c r="CU95" s="30" t="n">
        <f aca="false">-CU48</f>
        <v>-0</v>
      </c>
      <c r="CV95" s="30" t="n">
        <f aca="false">-CV48</f>
        <v>-0</v>
      </c>
      <c r="CW95" s="30" t="n">
        <f aca="false">-CW48</f>
        <v>-0</v>
      </c>
      <c r="CX95" s="30" t="n">
        <f aca="false">-CX48</f>
        <v>-0</v>
      </c>
      <c r="CY95" s="30" t="n">
        <f aca="false">-CY48</f>
        <v>-0</v>
      </c>
      <c r="CZ95" s="30" t="n">
        <f aca="false">-CZ48</f>
        <v>-0</v>
      </c>
      <c r="DA95" s="30" t="n">
        <f aca="false">-DA48</f>
        <v>-0</v>
      </c>
      <c r="DB95" s="30" t="n">
        <f aca="false">-DB48</f>
        <v>-0</v>
      </c>
      <c r="DC95" s="30" t="n">
        <f aca="false">-DC48</f>
        <v>-0</v>
      </c>
      <c r="DD95" s="30" t="n">
        <f aca="false">-DD48</f>
        <v>-0</v>
      </c>
      <c r="DE95" s="30" t="n">
        <f aca="false">-DE48</f>
        <v>-0</v>
      </c>
    </row>
    <row r="96" customFormat="false" ht="15" hidden="true" customHeight="true" outlineLevel="1" collapsed="false">
      <c r="A96" s="32" t="s">
        <v>43</v>
      </c>
      <c r="B96" s="30" t="n">
        <v>0</v>
      </c>
      <c r="C96" s="30" t="n">
        <v>0</v>
      </c>
      <c r="D96" s="30" t="n">
        <v>0</v>
      </c>
      <c r="E96" s="30" t="n">
        <v>0</v>
      </c>
      <c r="F96" s="30" t="n">
        <f aca="false">-F49</f>
        <v>-0</v>
      </c>
      <c r="G96" s="30" t="n">
        <f aca="false">-G49</f>
        <v>-0</v>
      </c>
      <c r="H96" s="30" t="n">
        <f aca="false">-H49</f>
        <v>-0</v>
      </c>
      <c r="I96" s="30" t="n">
        <f aca="false">-I49</f>
        <v>-0</v>
      </c>
      <c r="J96" s="30" t="n">
        <f aca="false">-J49</f>
        <v>-0</v>
      </c>
      <c r="K96" s="30" t="n">
        <f aca="false">-K49</f>
        <v>-0</v>
      </c>
      <c r="L96" s="30" t="n">
        <f aca="false">-L49</f>
        <v>-0</v>
      </c>
      <c r="M96" s="30" t="n">
        <f aca="false">-M49</f>
        <v>-0</v>
      </c>
      <c r="N96" s="30" t="n">
        <f aca="false">-N49</f>
        <v>-0</v>
      </c>
      <c r="O96" s="30" t="n">
        <f aca="false">-O49</f>
        <v>-0</v>
      </c>
      <c r="P96" s="30" t="n">
        <f aca="false">-P49</f>
        <v>-0</v>
      </c>
      <c r="Q96" s="30" t="n">
        <f aca="false">-Q49</f>
        <v>-0</v>
      </c>
      <c r="R96" s="30" t="n">
        <f aca="false">-R49</f>
        <v>-0</v>
      </c>
      <c r="S96" s="30" t="n">
        <f aca="false">-S49</f>
        <v>-0</v>
      </c>
      <c r="T96" s="30" t="n">
        <f aca="false">-T49</f>
        <v>-0</v>
      </c>
      <c r="U96" s="30" t="n">
        <f aca="false">-U49</f>
        <v>-0</v>
      </c>
      <c r="V96" s="30" t="n">
        <f aca="false">-V49</f>
        <v>-0</v>
      </c>
      <c r="W96" s="30" t="n">
        <f aca="false">-W49</f>
        <v>-0</v>
      </c>
      <c r="X96" s="30" t="n">
        <f aca="false">-X49</f>
        <v>-0</v>
      </c>
      <c r="Y96" s="30" t="n">
        <f aca="false">-Y49</f>
        <v>-0</v>
      </c>
      <c r="Z96" s="30" t="n">
        <f aca="false">-Z49</f>
        <v>-0</v>
      </c>
      <c r="AA96" s="30" t="n">
        <f aca="false">-AA49</f>
        <v>-0</v>
      </c>
      <c r="AB96" s="30" t="n">
        <f aca="false">-AB49</f>
        <v>-0</v>
      </c>
      <c r="AC96" s="30" t="n">
        <f aca="false">-AC49</f>
        <v>-0</v>
      </c>
      <c r="AD96" s="30" t="n">
        <f aca="false">-AD49</f>
        <v>-0</v>
      </c>
      <c r="AE96" s="30" t="n">
        <f aca="false">-AE49</f>
        <v>-0</v>
      </c>
      <c r="AF96" s="30" t="n">
        <f aca="false">-AF49</f>
        <v>-0</v>
      </c>
      <c r="AG96" s="30" t="n">
        <f aca="false">-AG49</f>
        <v>-0</v>
      </c>
      <c r="AH96" s="30" t="n">
        <f aca="false">-AH49</f>
        <v>-0</v>
      </c>
      <c r="AI96" s="30" t="n">
        <f aca="false">-AI49</f>
        <v>-0</v>
      </c>
      <c r="AJ96" s="30" t="n">
        <f aca="false">-AJ49</f>
        <v>-0</v>
      </c>
      <c r="AK96" s="30" t="n">
        <f aca="false">-AK49</f>
        <v>-0</v>
      </c>
      <c r="AL96" s="30" t="n">
        <f aca="false">-AL49</f>
        <v>-0</v>
      </c>
      <c r="AM96" s="30" t="n">
        <f aca="false">-AM49</f>
        <v>-0</v>
      </c>
      <c r="AN96" s="30" t="n">
        <f aca="false">-AN49</f>
        <v>-0</v>
      </c>
      <c r="AO96" s="30" t="n">
        <f aca="false">-AO49</f>
        <v>-0</v>
      </c>
      <c r="AP96" s="30" t="n">
        <f aca="false">-AP49</f>
        <v>-0</v>
      </c>
      <c r="AQ96" s="30" t="n">
        <f aca="false">-AQ49</f>
        <v>-0</v>
      </c>
      <c r="AR96" s="30" t="n">
        <f aca="false">-AR49</f>
        <v>-0</v>
      </c>
      <c r="AS96" s="30" t="n">
        <f aca="false">-AS49</f>
        <v>-0</v>
      </c>
      <c r="AT96" s="30" t="n">
        <f aca="false">-AT49</f>
        <v>-0</v>
      </c>
      <c r="AU96" s="30" t="n">
        <f aca="false">-AU49</f>
        <v>-0</v>
      </c>
      <c r="AV96" s="30" t="n">
        <f aca="false">-AV49</f>
        <v>-0</v>
      </c>
      <c r="AW96" s="30" t="n">
        <f aca="false">-AW49</f>
        <v>-0</v>
      </c>
      <c r="AX96" s="30" t="n">
        <f aca="false">-AX49</f>
        <v>-0</v>
      </c>
      <c r="AY96" s="30" t="n">
        <f aca="false">-AY49</f>
        <v>-0</v>
      </c>
      <c r="AZ96" s="30" t="n">
        <f aca="false">-AZ49</f>
        <v>-0</v>
      </c>
      <c r="BA96" s="30" t="n">
        <f aca="false">-BA49</f>
        <v>-0</v>
      </c>
      <c r="BB96" s="30" t="n">
        <f aca="false">-BB49</f>
        <v>-0</v>
      </c>
      <c r="BC96" s="30" t="n">
        <f aca="false">-BC49</f>
        <v>-0</v>
      </c>
      <c r="BD96" s="30" t="n">
        <f aca="false">-BD49</f>
        <v>-0</v>
      </c>
      <c r="BE96" s="30" t="n">
        <f aca="false">-BE49</f>
        <v>-0</v>
      </c>
      <c r="BF96" s="30" t="n">
        <f aca="false">-BF49</f>
        <v>-0</v>
      </c>
      <c r="BG96" s="30" t="n">
        <f aca="false">-BG49</f>
        <v>-0</v>
      </c>
      <c r="BH96" s="30" t="n">
        <f aca="false">-BH49</f>
        <v>-0</v>
      </c>
      <c r="BI96" s="30" t="n">
        <f aca="false">-BI49</f>
        <v>-0</v>
      </c>
      <c r="BJ96" s="30" t="n">
        <f aca="false">-BJ49</f>
        <v>-0</v>
      </c>
      <c r="BK96" s="30" t="n">
        <f aca="false">-BK49</f>
        <v>-0</v>
      </c>
      <c r="BL96" s="30" t="n">
        <f aca="false">-BL49</f>
        <v>-0</v>
      </c>
      <c r="BM96" s="30" t="n">
        <f aca="false">-BM49</f>
        <v>-0</v>
      </c>
      <c r="BN96" s="30" t="n">
        <f aca="false">-BN49</f>
        <v>-0</v>
      </c>
      <c r="BO96" s="30" t="n">
        <f aca="false">-BO49</f>
        <v>-0</v>
      </c>
      <c r="BP96" s="30" t="n">
        <f aca="false">-BP49</f>
        <v>-0</v>
      </c>
      <c r="BQ96" s="30" t="n">
        <f aca="false">-BQ49</f>
        <v>-0</v>
      </c>
      <c r="BR96" s="30" t="n">
        <f aca="false">-BR49</f>
        <v>-0</v>
      </c>
      <c r="BS96" s="30" t="n">
        <f aca="false">-BS49</f>
        <v>-0</v>
      </c>
      <c r="BT96" s="30" t="n">
        <f aca="false">-BT49</f>
        <v>-0</v>
      </c>
      <c r="BU96" s="30" t="n">
        <f aca="false">-BU49</f>
        <v>-0</v>
      </c>
      <c r="BV96" s="30" t="n">
        <f aca="false">-BV49</f>
        <v>-0</v>
      </c>
      <c r="BW96" s="30" t="n">
        <f aca="false">-BW49</f>
        <v>-0</v>
      </c>
      <c r="BX96" s="30" t="n">
        <f aca="false">-BX49</f>
        <v>-0</v>
      </c>
      <c r="BY96" s="30" t="n">
        <f aca="false">-BY49</f>
        <v>-0</v>
      </c>
      <c r="BZ96" s="30" t="n">
        <f aca="false">-BZ49</f>
        <v>-0</v>
      </c>
      <c r="CA96" s="30" t="n">
        <f aca="false">-CA49</f>
        <v>-0</v>
      </c>
      <c r="CB96" s="30" t="n">
        <f aca="false">-CB49</f>
        <v>-0</v>
      </c>
      <c r="CC96" s="30" t="n">
        <f aca="false">-CC49</f>
        <v>-0</v>
      </c>
      <c r="CD96" s="30" t="n">
        <f aca="false">-CD49</f>
        <v>-0</v>
      </c>
      <c r="CE96" s="30" t="n">
        <f aca="false">-CE49</f>
        <v>-0</v>
      </c>
      <c r="CF96" s="30" t="n">
        <f aca="false">-CF49</f>
        <v>-0</v>
      </c>
      <c r="CG96" s="30" t="n">
        <f aca="false">-CG49</f>
        <v>-0</v>
      </c>
      <c r="CH96" s="30" t="n">
        <f aca="false">-CH49</f>
        <v>-0</v>
      </c>
      <c r="CI96" s="30" t="n">
        <f aca="false">-CI49</f>
        <v>-0</v>
      </c>
      <c r="CJ96" s="30" t="n">
        <f aca="false">-CJ49</f>
        <v>-0</v>
      </c>
      <c r="CK96" s="30" t="n">
        <f aca="false">-CK49</f>
        <v>-0</v>
      </c>
      <c r="CL96" s="30" t="n">
        <f aca="false">-CL49</f>
        <v>-0</v>
      </c>
      <c r="CM96" s="30" t="n">
        <f aca="false">-CM49</f>
        <v>-0</v>
      </c>
      <c r="CN96" s="30" t="n">
        <f aca="false">-CN49</f>
        <v>-0</v>
      </c>
      <c r="CO96" s="30" t="n">
        <f aca="false">-CO49</f>
        <v>-0</v>
      </c>
      <c r="CP96" s="30" t="n">
        <f aca="false">-CP49</f>
        <v>-0</v>
      </c>
      <c r="CQ96" s="30" t="n">
        <f aca="false">-CQ49</f>
        <v>-0</v>
      </c>
      <c r="CR96" s="30" t="n">
        <f aca="false">-CR49</f>
        <v>-0</v>
      </c>
      <c r="CS96" s="30" t="n">
        <f aca="false">-CS49</f>
        <v>-0</v>
      </c>
      <c r="CT96" s="30" t="n">
        <f aca="false">-CT49</f>
        <v>-0</v>
      </c>
      <c r="CU96" s="30" t="n">
        <f aca="false">-CU49</f>
        <v>-0</v>
      </c>
      <c r="CV96" s="30" t="n">
        <f aca="false">-CV49</f>
        <v>-0</v>
      </c>
      <c r="CW96" s="30" t="n">
        <f aca="false">-CW49</f>
        <v>-0</v>
      </c>
      <c r="CX96" s="30" t="n">
        <f aca="false">-CX49</f>
        <v>-0</v>
      </c>
      <c r="CY96" s="30" t="n">
        <f aca="false">-CY49</f>
        <v>-0</v>
      </c>
      <c r="CZ96" s="30" t="n">
        <f aca="false">-CZ49</f>
        <v>-0</v>
      </c>
      <c r="DA96" s="30" t="n">
        <f aca="false">-DA49</f>
        <v>-0</v>
      </c>
      <c r="DB96" s="30" t="n">
        <f aca="false">-DB49</f>
        <v>-0</v>
      </c>
      <c r="DC96" s="30" t="n">
        <f aca="false">-DC49</f>
        <v>-0</v>
      </c>
      <c r="DD96" s="30" t="n">
        <f aca="false">-DD49</f>
        <v>-0</v>
      </c>
      <c r="DE96" s="30" t="n">
        <f aca="false">-DE49</f>
        <v>-0</v>
      </c>
    </row>
    <row r="97" customFormat="false" ht="15" hidden="true" customHeight="true" outlineLevel="1" collapsed="false">
      <c r="A97" s="32" t="s">
        <v>44</v>
      </c>
      <c r="B97" s="30" t="n">
        <v>0</v>
      </c>
      <c r="C97" s="30" t="n">
        <v>0</v>
      </c>
      <c r="D97" s="30" t="n">
        <v>0</v>
      </c>
      <c r="E97" s="30" t="n">
        <v>0</v>
      </c>
      <c r="F97" s="30" t="n">
        <f aca="false">-F50</f>
        <v>-0</v>
      </c>
      <c r="G97" s="30" t="n">
        <f aca="false">-G50</f>
        <v>-0</v>
      </c>
      <c r="H97" s="30" t="n">
        <f aca="false">-H50</f>
        <v>-0</v>
      </c>
      <c r="I97" s="30" t="n">
        <f aca="false">-I50</f>
        <v>-0</v>
      </c>
      <c r="J97" s="30" t="n">
        <f aca="false">-J50</f>
        <v>-0</v>
      </c>
      <c r="K97" s="30" t="n">
        <f aca="false">-K50</f>
        <v>-0</v>
      </c>
      <c r="L97" s="30" t="n">
        <f aca="false">-L50</f>
        <v>-0</v>
      </c>
      <c r="M97" s="30" t="n">
        <f aca="false">-M50</f>
        <v>-0</v>
      </c>
      <c r="N97" s="30" t="n">
        <f aca="false">-N50</f>
        <v>-0</v>
      </c>
      <c r="O97" s="30" t="n">
        <f aca="false">-O50</f>
        <v>-0</v>
      </c>
      <c r="P97" s="30" t="n">
        <f aca="false">-P50</f>
        <v>-0</v>
      </c>
      <c r="Q97" s="30" t="n">
        <f aca="false">-Q50</f>
        <v>-0</v>
      </c>
      <c r="R97" s="30" t="n">
        <f aca="false">-R50</f>
        <v>-0</v>
      </c>
      <c r="S97" s="30" t="n">
        <f aca="false">-S50</f>
        <v>-0</v>
      </c>
      <c r="T97" s="30" t="n">
        <f aca="false">-T50</f>
        <v>-0</v>
      </c>
      <c r="U97" s="30" t="n">
        <f aca="false">-U50</f>
        <v>-0</v>
      </c>
      <c r="V97" s="30" t="n">
        <f aca="false">-V50</f>
        <v>-0</v>
      </c>
      <c r="W97" s="30" t="n">
        <f aca="false">-W50</f>
        <v>-0</v>
      </c>
      <c r="X97" s="30" t="n">
        <f aca="false">-X50</f>
        <v>-0</v>
      </c>
      <c r="Y97" s="30" t="n">
        <f aca="false">-Y50</f>
        <v>-0</v>
      </c>
      <c r="Z97" s="30" t="n">
        <f aca="false">-Z50</f>
        <v>-0</v>
      </c>
      <c r="AA97" s="30" t="n">
        <f aca="false">-AA50</f>
        <v>-0</v>
      </c>
      <c r="AB97" s="30" t="n">
        <f aca="false">-AB50</f>
        <v>-0</v>
      </c>
      <c r="AC97" s="30" t="n">
        <f aca="false">-AC50</f>
        <v>-0</v>
      </c>
      <c r="AD97" s="30" t="n">
        <f aca="false">-AD50</f>
        <v>-0</v>
      </c>
      <c r="AE97" s="30" t="n">
        <f aca="false">-AE50</f>
        <v>-0</v>
      </c>
      <c r="AF97" s="30" t="n">
        <f aca="false">-AF50</f>
        <v>-0</v>
      </c>
      <c r="AG97" s="30" t="n">
        <f aca="false">-AG50</f>
        <v>-0</v>
      </c>
      <c r="AH97" s="30" t="n">
        <f aca="false">-AH50</f>
        <v>-0</v>
      </c>
      <c r="AI97" s="30" t="n">
        <f aca="false">-AI50</f>
        <v>-0</v>
      </c>
      <c r="AJ97" s="30" t="n">
        <f aca="false">-AJ50</f>
        <v>-0</v>
      </c>
      <c r="AK97" s="30" t="n">
        <f aca="false">-AK50</f>
        <v>-0</v>
      </c>
      <c r="AL97" s="30" t="n">
        <f aca="false">-AL50</f>
        <v>-0</v>
      </c>
      <c r="AM97" s="30" t="n">
        <f aca="false">-AM50</f>
        <v>-0</v>
      </c>
      <c r="AN97" s="30" t="n">
        <f aca="false">-AN50</f>
        <v>-0</v>
      </c>
      <c r="AO97" s="30" t="n">
        <f aca="false">-AO50</f>
        <v>-0</v>
      </c>
      <c r="AP97" s="30" t="n">
        <f aca="false">-AP50</f>
        <v>-0</v>
      </c>
      <c r="AQ97" s="30" t="n">
        <f aca="false">-AQ50</f>
        <v>-0</v>
      </c>
      <c r="AR97" s="30" t="n">
        <f aca="false">-AR50</f>
        <v>-0</v>
      </c>
      <c r="AS97" s="30" t="n">
        <f aca="false">-AS50</f>
        <v>-0</v>
      </c>
      <c r="AT97" s="30" t="n">
        <f aca="false">-AT50</f>
        <v>-0</v>
      </c>
      <c r="AU97" s="30" t="n">
        <f aca="false">-AU50</f>
        <v>-0</v>
      </c>
      <c r="AV97" s="30" t="n">
        <f aca="false">-AV50</f>
        <v>-0</v>
      </c>
      <c r="AW97" s="30" t="n">
        <f aca="false">-AW50</f>
        <v>-0</v>
      </c>
      <c r="AX97" s="30" t="n">
        <f aca="false">-AX50</f>
        <v>-0</v>
      </c>
      <c r="AY97" s="30" t="n">
        <f aca="false">-AY50</f>
        <v>-0</v>
      </c>
      <c r="AZ97" s="30" t="n">
        <f aca="false">-AZ50</f>
        <v>-0</v>
      </c>
      <c r="BA97" s="30" t="n">
        <f aca="false">-BA50</f>
        <v>-0</v>
      </c>
      <c r="BB97" s="30" t="n">
        <f aca="false">-BB50</f>
        <v>-0</v>
      </c>
      <c r="BC97" s="30" t="n">
        <f aca="false">-BC50</f>
        <v>-0</v>
      </c>
      <c r="BD97" s="30" t="n">
        <f aca="false">-BD50</f>
        <v>-0</v>
      </c>
      <c r="BE97" s="30" t="n">
        <f aca="false">-BE50</f>
        <v>-0</v>
      </c>
      <c r="BF97" s="30" t="n">
        <f aca="false">-BF50</f>
        <v>-0</v>
      </c>
      <c r="BG97" s="30" t="n">
        <f aca="false">-BG50</f>
        <v>-0</v>
      </c>
      <c r="BH97" s="30" t="n">
        <f aca="false">-BH50</f>
        <v>-0</v>
      </c>
      <c r="BI97" s="30" t="n">
        <f aca="false">-BI50</f>
        <v>-0</v>
      </c>
      <c r="BJ97" s="30" t="n">
        <f aca="false">-BJ50</f>
        <v>-0</v>
      </c>
      <c r="BK97" s="30" t="n">
        <f aca="false">-BK50</f>
        <v>-0</v>
      </c>
      <c r="BL97" s="30" t="n">
        <f aca="false">-BL50</f>
        <v>-0</v>
      </c>
      <c r="BM97" s="30" t="n">
        <f aca="false">-BM50</f>
        <v>-0</v>
      </c>
      <c r="BN97" s="30" t="n">
        <f aca="false">-BN50</f>
        <v>-0</v>
      </c>
      <c r="BO97" s="30" t="n">
        <f aca="false">-BO50</f>
        <v>-0</v>
      </c>
      <c r="BP97" s="30" t="n">
        <f aca="false">-BP50</f>
        <v>-0</v>
      </c>
      <c r="BQ97" s="30" t="n">
        <f aca="false">-BQ50</f>
        <v>-0</v>
      </c>
      <c r="BR97" s="30" t="n">
        <f aca="false">-BR50</f>
        <v>-0</v>
      </c>
      <c r="BS97" s="30" t="n">
        <f aca="false">-BS50</f>
        <v>-0</v>
      </c>
      <c r="BT97" s="30" t="n">
        <f aca="false">-BT50</f>
        <v>-0</v>
      </c>
      <c r="BU97" s="30" t="n">
        <f aca="false">-BU50</f>
        <v>-0</v>
      </c>
      <c r="BV97" s="30" t="n">
        <f aca="false">-BV50</f>
        <v>-0</v>
      </c>
      <c r="BW97" s="30" t="n">
        <f aca="false">-BW50</f>
        <v>-0</v>
      </c>
      <c r="BX97" s="30" t="n">
        <f aca="false">-BX50</f>
        <v>-0</v>
      </c>
      <c r="BY97" s="30" t="n">
        <f aca="false">-BY50</f>
        <v>-0</v>
      </c>
      <c r="BZ97" s="30" t="n">
        <f aca="false">-BZ50</f>
        <v>-0</v>
      </c>
      <c r="CA97" s="30" t="n">
        <f aca="false">-CA50</f>
        <v>-0</v>
      </c>
      <c r="CB97" s="30" t="n">
        <f aca="false">-CB50</f>
        <v>-0</v>
      </c>
      <c r="CC97" s="30" t="n">
        <f aca="false">-CC50</f>
        <v>-0</v>
      </c>
      <c r="CD97" s="30" t="n">
        <f aca="false">-CD50</f>
        <v>-0</v>
      </c>
      <c r="CE97" s="30" t="n">
        <f aca="false">-CE50</f>
        <v>-0</v>
      </c>
      <c r="CF97" s="30" t="n">
        <f aca="false">-CF50</f>
        <v>-0</v>
      </c>
      <c r="CG97" s="30" t="n">
        <f aca="false">-CG50</f>
        <v>-0</v>
      </c>
      <c r="CH97" s="30" t="n">
        <f aca="false">-CH50</f>
        <v>-0</v>
      </c>
      <c r="CI97" s="30" t="n">
        <f aca="false">-CI50</f>
        <v>-0</v>
      </c>
      <c r="CJ97" s="30" t="n">
        <f aca="false">-CJ50</f>
        <v>-0</v>
      </c>
      <c r="CK97" s="30" t="n">
        <f aca="false">-CK50</f>
        <v>-0</v>
      </c>
      <c r="CL97" s="30" t="n">
        <f aca="false">-CL50</f>
        <v>-0</v>
      </c>
      <c r="CM97" s="30" t="n">
        <f aca="false">-CM50</f>
        <v>-0</v>
      </c>
      <c r="CN97" s="30" t="n">
        <f aca="false">-CN50</f>
        <v>-0</v>
      </c>
      <c r="CO97" s="30" t="n">
        <f aca="false">-CO50</f>
        <v>-0</v>
      </c>
      <c r="CP97" s="30" t="n">
        <f aca="false">-CP50</f>
        <v>-0</v>
      </c>
      <c r="CQ97" s="30" t="n">
        <f aca="false">-CQ50</f>
        <v>-0</v>
      </c>
      <c r="CR97" s="30" t="n">
        <f aca="false">-CR50</f>
        <v>-0</v>
      </c>
      <c r="CS97" s="30" t="n">
        <f aca="false">-CS50</f>
        <v>-0</v>
      </c>
      <c r="CT97" s="30" t="n">
        <f aca="false">-CT50</f>
        <v>-0</v>
      </c>
      <c r="CU97" s="30" t="n">
        <f aca="false">-CU50</f>
        <v>-0</v>
      </c>
      <c r="CV97" s="30" t="n">
        <f aca="false">-CV50</f>
        <v>-0</v>
      </c>
      <c r="CW97" s="30" t="n">
        <f aca="false">-CW50</f>
        <v>-0</v>
      </c>
      <c r="CX97" s="30" t="n">
        <f aca="false">-CX50</f>
        <v>-0</v>
      </c>
      <c r="CY97" s="30" t="n">
        <f aca="false">-CY50</f>
        <v>-0</v>
      </c>
      <c r="CZ97" s="30" t="n">
        <f aca="false">-CZ50</f>
        <v>-0</v>
      </c>
      <c r="DA97" s="30" t="n">
        <f aca="false">-DA50</f>
        <v>-0</v>
      </c>
      <c r="DB97" s="30" t="n">
        <f aca="false">-DB50</f>
        <v>-0</v>
      </c>
      <c r="DC97" s="30" t="n">
        <f aca="false">-DC50</f>
        <v>-0</v>
      </c>
      <c r="DD97" s="30" t="n">
        <f aca="false">-DD50</f>
        <v>-0</v>
      </c>
      <c r="DE97" s="30" t="n">
        <f aca="false">-DE50</f>
        <v>-0</v>
      </c>
    </row>
    <row r="98" customFormat="false" ht="15" hidden="true" customHeight="true" outlineLevel="1" collapsed="false">
      <c r="A98" s="32" t="s">
        <v>45</v>
      </c>
      <c r="B98" s="30" t="n">
        <v>0</v>
      </c>
      <c r="C98" s="30" t="n">
        <v>0</v>
      </c>
      <c r="D98" s="30" t="n">
        <v>0</v>
      </c>
      <c r="E98" s="30" t="n">
        <v>0</v>
      </c>
      <c r="F98" s="30" t="n">
        <f aca="false">-F51</f>
        <v>-0</v>
      </c>
      <c r="G98" s="30" t="n">
        <f aca="false">-G51</f>
        <v>-0</v>
      </c>
      <c r="H98" s="30" t="n">
        <f aca="false">-H51</f>
        <v>-0</v>
      </c>
      <c r="I98" s="30" t="n">
        <f aca="false">-I51</f>
        <v>-0</v>
      </c>
      <c r="J98" s="30" t="n">
        <f aca="false">-J51</f>
        <v>-0</v>
      </c>
      <c r="K98" s="30" t="n">
        <f aca="false">-K51</f>
        <v>-0</v>
      </c>
      <c r="L98" s="30" t="n">
        <f aca="false">-L51</f>
        <v>-0</v>
      </c>
      <c r="M98" s="30" t="n">
        <f aca="false">-M51</f>
        <v>-0</v>
      </c>
      <c r="N98" s="30" t="n">
        <f aca="false">-N51</f>
        <v>-0</v>
      </c>
      <c r="O98" s="30" t="n">
        <f aca="false">-O51</f>
        <v>-0</v>
      </c>
      <c r="P98" s="30" t="n">
        <f aca="false">-P51</f>
        <v>-0</v>
      </c>
      <c r="Q98" s="30" t="n">
        <f aca="false">-Q51</f>
        <v>-0</v>
      </c>
      <c r="R98" s="30" t="n">
        <f aca="false">-R51</f>
        <v>-0</v>
      </c>
      <c r="S98" s="30" t="n">
        <f aca="false">-S51</f>
        <v>-0</v>
      </c>
      <c r="T98" s="30" t="n">
        <f aca="false">-T51</f>
        <v>-0</v>
      </c>
      <c r="U98" s="30" t="n">
        <f aca="false">-U51</f>
        <v>-0</v>
      </c>
      <c r="V98" s="30" t="n">
        <f aca="false">-V51</f>
        <v>-0</v>
      </c>
      <c r="W98" s="30" t="n">
        <f aca="false">-W51</f>
        <v>-0</v>
      </c>
      <c r="X98" s="30" t="n">
        <f aca="false">-X51</f>
        <v>-0</v>
      </c>
      <c r="Y98" s="30" t="n">
        <f aca="false">-Y51</f>
        <v>-0</v>
      </c>
      <c r="Z98" s="30" t="n">
        <f aca="false">-Z51</f>
        <v>-0</v>
      </c>
      <c r="AA98" s="30" t="n">
        <f aca="false">-AA51</f>
        <v>-0</v>
      </c>
      <c r="AB98" s="30" t="n">
        <f aca="false">-AB51</f>
        <v>-0</v>
      </c>
      <c r="AC98" s="30" t="n">
        <f aca="false">-AC51</f>
        <v>-0</v>
      </c>
      <c r="AD98" s="30" t="n">
        <f aca="false">-AD51</f>
        <v>-0</v>
      </c>
      <c r="AE98" s="30" t="n">
        <f aca="false">-AE51</f>
        <v>-0</v>
      </c>
      <c r="AF98" s="30" t="n">
        <f aca="false">-AF51</f>
        <v>-0</v>
      </c>
      <c r="AG98" s="30" t="n">
        <f aca="false">-AG51</f>
        <v>-0</v>
      </c>
      <c r="AH98" s="30" t="n">
        <f aca="false">-AH51</f>
        <v>-0</v>
      </c>
      <c r="AI98" s="30" t="n">
        <f aca="false">-AI51</f>
        <v>-0</v>
      </c>
      <c r="AJ98" s="30" t="n">
        <f aca="false">-AJ51</f>
        <v>-0</v>
      </c>
      <c r="AK98" s="30" t="n">
        <f aca="false">-AK51</f>
        <v>-0</v>
      </c>
      <c r="AL98" s="30" t="n">
        <f aca="false">-AL51</f>
        <v>-0</v>
      </c>
      <c r="AM98" s="30" t="n">
        <f aca="false">-AM51</f>
        <v>-0</v>
      </c>
      <c r="AN98" s="30" t="n">
        <f aca="false">-AN51</f>
        <v>-0</v>
      </c>
      <c r="AO98" s="30" t="n">
        <f aca="false">-AO51</f>
        <v>-0</v>
      </c>
      <c r="AP98" s="30" t="n">
        <f aca="false">-AP51</f>
        <v>-0</v>
      </c>
      <c r="AQ98" s="30" t="n">
        <f aca="false">-AQ51</f>
        <v>-0</v>
      </c>
      <c r="AR98" s="30" t="n">
        <f aca="false">-AR51</f>
        <v>-0</v>
      </c>
      <c r="AS98" s="30" t="n">
        <f aca="false">-AS51</f>
        <v>-0</v>
      </c>
      <c r="AT98" s="30" t="n">
        <f aca="false">-AT51</f>
        <v>-0</v>
      </c>
      <c r="AU98" s="30" t="n">
        <f aca="false">-AU51</f>
        <v>-0</v>
      </c>
      <c r="AV98" s="30" t="n">
        <f aca="false">-AV51</f>
        <v>-0</v>
      </c>
      <c r="AW98" s="30" t="n">
        <f aca="false">-AW51</f>
        <v>-0</v>
      </c>
      <c r="AX98" s="30" t="n">
        <f aca="false">-AX51</f>
        <v>-0</v>
      </c>
      <c r="AY98" s="30" t="n">
        <f aca="false">-AY51</f>
        <v>-0</v>
      </c>
      <c r="AZ98" s="30" t="n">
        <f aca="false">-AZ51</f>
        <v>-0</v>
      </c>
      <c r="BA98" s="30" t="n">
        <f aca="false">-BA51</f>
        <v>-0</v>
      </c>
      <c r="BB98" s="30" t="n">
        <f aca="false">-BB51</f>
        <v>-0</v>
      </c>
      <c r="BC98" s="30" t="n">
        <f aca="false">-BC51</f>
        <v>-0</v>
      </c>
      <c r="BD98" s="30" t="n">
        <f aca="false">-BD51</f>
        <v>-0</v>
      </c>
      <c r="BE98" s="30" t="n">
        <f aca="false">-BE51</f>
        <v>-0</v>
      </c>
      <c r="BF98" s="30" t="n">
        <f aca="false">-BF51</f>
        <v>-0</v>
      </c>
      <c r="BG98" s="30" t="n">
        <f aca="false">-BG51</f>
        <v>-0</v>
      </c>
      <c r="BH98" s="30" t="n">
        <f aca="false">-BH51</f>
        <v>-0</v>
      </c>
      <c r="BI98" s="30" t="n">
        <f aca="false">-BI51</f>
        <v>-0</v>
      </c>
      <c r="BJ98" s="30" t="n">
        <f aca="false">-BJ51</f>
        <v>-0</v>
      </c>
      <c r="BK98" s="30" t="n">
        <f aca="false">-BK51</f>
        <v>-0</v>
      </c>
      <c r="BL98" s="30" t="n">
        <f aca="false">-BL51</f>
        <v>-0</v>
      </c>
      <c r="BM98" s="30" t="n">
        <f aca="false">-BM51</f>
        <v>-0</v>
      </c>
      <c r="BN98" s="30" t="n">
        <f aca="false">-BN51</f>
        <v>-0</v>
      </c>
      <c r="BO98" s="30" t="n">
        <f aca="false">-BO51</f>
        <v>-0</v>
      </c>
      <c r="BP98" s="30" t="n">
        <f aca="false">-BP51</f>
        <v>-0</v>
      </c>
      <c r="BQ98" s="30" t="n">
        <f aca="false">-BQ51</f>
        <v>-0</v>
      </c>
      <c r="BR98" s="30" t="n">
        <f aca="false">-BR51</f>
        <v>-0</v>
      </c>
      <c r="BS98" s="30" t="n">
        <f aca="false">-BS51</f>
        <v>-0</v>
      </c>
      <c r="BT98" s="30" t="n">
        <f aca="false">-BT51</f>
        <v>-0</v>
      </c>
      <c r="BU98" s="30" t="n">
        <f aca="false">-BU51</f>
        <v>-0</v>
      </c>
      <c r="BV98" s="30" t="n">
        <f aca="false">-BV51</f>
        <v>-0</v>
      </c>
      <c r="BW98" s="30" t="n">
        <f aca="false">-BW51</f>
        <v>-0</v>
      </c>
      <c r="BX98" s="30" t="n">
        <f aca="false">-BX51</f>
        <v>-0</v>
      </c>
      <c r="BY98" s="30" t="n">
        <f aca="false">-BY51</f>
        <v>-0</v>
      </c>
      <c r="BZ98" s="30" t="n">
        <f aca="false">-BZ51</f>
        <v>-0</v>
      </c>
      <c r="CA98" s="30" t="n">
        <f aca="false">-CA51</f>
        <v>-0</v>
      </c>
      <c r="CB98" s="30" t="n">
        <f aca="false">-CB51</f>
        <v>-0</v>
      </c>
      <c r="CC98" s="30" t="n">
        <f aca="false">-CC51</f>
        <v>-0</v>
      </c>
      <c r="CD98" s="30" t="n">
        <f aca="false">-CD51</f>
        <v>-0</v>
      </c>
      <c r="CE98" s="30" t="n">
        <f aca="false">-CE51</f>
        <v>-0</v>
      </c>
      <c r="CF98" s="30" t="n">
        <f aca="false">-CF51</f>
        <v>-0</v>
      </c>
      <c r="CG98" s="30" t="n">
        <f aca="false">-CG51</f>
        <v>-0</v>
      </c>
      <c r="CH98" s="30" t="n">
        <f aca="false">-CH51</f>
        <v>-0</v>
      </c>
      <c r="CI98" s="30" t="n">
        <f aca="false">-CI51</f>
        <v>-0</v>
      </c>
      <c r="CJ98" s="30" t="n">
        <f aca="false">-CJ51</f>
        <v>-0</v>
      </c>
      <c r="CK98" s="30" t="n">
        <f aca="false">-CK51</f>
        <v>-0</v>
      </c>
      <c r="CL98" s="30" t="n">
        <f aca="false">-CL51</f>
        <v>-0</v>
      </c>
      <c r="CM98" s="30" t="n">
        <f aca="false">-CM51</f>
        <v>-0</v>
      </c>
      <c r="CN98" s="30" t="n">
        <f aca="false">-CN51</f>
        <v>-0</v>
      </c>
      <c r="CO98" s="30" t="n">
        <f aca="false">-CO51</f>
        <v>-0</v>
      </c>
      <c r="CP98" s="30" t="n">
        <f aca="false">-CP51</f>
        <v>-0</v>
      </c>
      <c r="CQ98" s="30" t="n">
        <f aca="false">-CQ51</f>
        <v>-0</v>
      </c>
      <c r="CR98" s="30" t="n">
        <f aca="false">-CR51</f>
        <v>-0</v>
      </c>
      <c r="CS98" s="30" t="n">
        <f aca="false">-CS51</f>
        <v>-0</v>
      </c>
      <c r="CT98" s="30" t="n">
        <f aca="false">-CT51</f>
        <v>-0</v>
      </c>
      <c r="CU98" s="30" t="n">
        <f aca="false">-CU51</f>
        <v>-0</v>
      </c>
      <c r="CV98" s="30" t="n">
        <f aca="false">-CV51</f>
        <v>-0</v>
      </c>
      <c r="CW98" s="30" t="n">
        <f aca="false">-CW51</f>
        <v>-0</v>
      </c>
      <c r="CX98" s="30" t="n">
        <f aca="false">-CX51</f>
        <v>-0</v>
      </c>
      <c r="CY98" s="30" t="n">
        <f aca="false">-CY51</f>
        <v>-0</v>
      </c>
      <c r="CZ98" s="30" t="n">
        <f aca="false">-CZ51</f>
        <v>-0</v>
      </c>
      <c r="DA98" s="30" t="n">
        <f aca="false">-DA51</f>
        <v>-0</v>
      </c>
      <c r="DB98" s="30" t="n">
        <f aca="false">-DB51</f>
        <v>-0</v>
      </c>
      <c r="DC98" s="30" t="n">
        <f aca="false">-DC51</f>
        <v>-0</v>
      </c>
      <c r="DD98" s="30" t="n">
        <f aca="false">-DD51</f>
        <v>-0</v>
      </c>
      <c r="DE98" s="30" t="n">
        <f aca="false">-DE51</f>
        <v>-0</v>
      </c>
    </row>
    <row r="99" customFormat="false" ht="15" hidden="true" customHeight="true" outlineLevel="1" collapsed="false">
      <c r="A99" s="32" t="s">
        <v>46</v>
      </c>
      <c r="B99" s="30" t="n">
        <v>0</v>
      </c>
      <c r="C99" s="30" t="n">
        <v>0</v>
      </c>
      <c r="D99" s="30" t="n">
        <v>0</v>
      </c>
      <c r="E99" s="30" t="n">
        <v>0</v>
      </c>
      <c r="F99" s="30" t="n">
        <f aca="false">-F52</f>
        <v>-0</v>
      </c>
      <c r="G99" s="30" t="n">
        <f aca="false">-G52</f>
        <v>-0</v>
      </c>
      <c r="H99" s="30" t="n">
        <f aca="false">-H52</f>
        <v>-0</v>
      </c>
      <c r="I99" s="30" t="n">
        <f aca="false">-I52</f>
        <v>-0</v>
      </c>
      <c r="J99" s="30" t="n">
        <f aca="false">-J52</f>
        <v>-0</v>
      </c>
      <c r="K99" s="30" t="n">
        <f aca="false">-K52</f>
        <v>-0</v>
      </c>
      <c r="L99" s="30" t="n">
        <f aca="false">-L52</f>
        <v>-0</v>
      </c>
      <c r="M99" s="30" t="n">
        <f aca="false">-M52</f>
        <v>-0</v>
      </c>
      <c r="N99" s="30" t="n">
        <f aca="false">-N52</f>
        <v>-0</v>
      </c>
      <c r="O99" s="30" t="n">
        <f aca="false">-O52</f>
        <v>-0</v>
      </c>
      <c r="P99" s="30" t="n">
        <f aca="false">-P52</f>
        <v>-0</v>
      </c>
      <c r="Q99" s="30" t="n">
        <f aca="false">-Q52</f>
        <v>-0</v>
      </c>
      <c r="R99" s="30" t="n">
        <f aca="false">-R52</f>
        <v>-0</v>
      </c>
      <c r="S99" s="30" t="n">
        <f aca="false">-S52</f>
        <v>-0</v>
      </c>
      <c r="T99" s="30" t="n">
        <f aca="false">-T52</f>
        <v>-0</v>
      </c>
      <c r="U99" s="30" t="n">
        <f aca="false">-U52</f>
        <v>-0</v>
      </c>
      <c r="V99" s="30" t="n">
        <f aca="false">-V52</f>
        <v>-0</v>
      </c>
      <c r="W99" s="30" t="n">
        <f aca="false">-W52</f>
        <v>-0</v>
      </c>
      <c r="X99" s="30" t="n">
        <f aca="false">-X52</f>
        <v>-0</v>
      </c>
      <c r="Y99" s="30" t="n">
        <f aca="false">-Y52</f>
        <v>-0</v>
      </c>
      <c r="Z99" s="30" t="n">
        <f aca="false">-Z52</f>
        <v>-0</v>
      </c>
      <c r="AA99" s="30" t="n">
        <f aca="false">-AA52</f>
        <v>-0</v>
      </c>
      <c r="AB99" s="30" t="n">
        <f aca="false">-AB52</f>
        <v>-0</v>
      </c>
      <c r="AC99" s="30" t="n">
        <f aca="false">-AC52</f>
        <v>-0</v>
      </c>
      <c r="AD99" s="30" t="n">
        <f aca="false">-AD52</f>
        <v>-0</v>
      </c>
      <c r="AE99" s="30" t="n">
        <f aca="false">-AE52</f>
        <v>-0</v>
      </c>
      <c r="AF99" s="30" t="n">
        <f aca="false">-AF52</f>
        <v>-0</v>
      </c>
      <c r="AG99" s="30" t="n">
        <f aca="false">-AG52</f>
        <v>-0</v>
      </c>
      <c r="AH99" s="30" t="n">
        <f aca="false">-AH52</f>
        <v>-0</v>
      </c>
      <c r="AI99" s="30" t="n">
        <f aca="false">-AI52</f>
        <v>-0</v>
      </c>
      <c r="AJ99" s="30" t="n">
        <f aca="false">-AJ52</f>
        <v>-0</v>
      </c>
      <c r="AK99" s="30" t="n">
        <f aca="false">-AK52</f>
        <v>-0</v>
      </c>
      <c r="AL99" s="30" t="n">
        <f aca="false">-AL52</f>
        <v>-0</v>
      </c>
      <c r="AM99" s="30" t="n">
        <f aca="false">-AM52</f>
        <v>-0</v>
      </c>
      <c r="AN99" s="30" t="n">
        <f aca="false">-AN52</f>
        <v>-0</v>
      </c>
      <c r="AO99" s="30" t="n">
        <f aca="false">-AO52</f>
        <v>-0</v>
      </c>
      <c r="AP99" s="30" t="n">
        <f aca="false">-AP52</f>
        <v>-0</v>
      </c>
      <c r="AQ99" s="30" t="n">
        <f aca="false">-AQ52</f>
        <v>-0</v>
      </c>
      <c r="AR99" s="30" t="n">
        <f aca="false">-AR52</f>
        <v>-0</v>
      </c>
      <c r="AS99" s="30" t="n">
        <f aca="false">-AS52</f>
        <v>-0</v>
      </c>
      <c r="AT99" s="30" t="n">
        <f aca="false">-AT52</f>
        <v>-0</v>
      </c>
      <c r="AU99" s="30" t="n">
        <f aca="false">-AU52</f>
        <v>-0</v>
      </c>
      <c r="AV99" s="30" t="n">
        <f aca="false">-AV52</f>
        <v>-0</v>
      </c>
      <c r="AW99" s="30" t="n">
        <f aca="false">-AW52</f>
        <v>-0</v>
      </c>
      <c r="AX99" s="30" t="n">
        <f aca="false">-AX52</f>
        <v>-0</v>
      </c>
      <c r="AY99" s="30" t="n">
        <f aca="false">-AY52</f>
        <v>-0</v>
      </c>
      <c r="AZ99" s="30" t="n">
        <f aca="false">-AZ52</f>
        <v>-0</v>
      </c>
      <c r="BA99" s="30" t="n">
        <f aca="false">-BA52</f>
        <v>-0</v>
      </c>
      <c r="BB99" s="30" t="n">
        <f aca="false">-BB52</f>
        <v>-0</v>
      </c>
      <c r="BC99" s="30" t="n">
        <f aca="false">-BC52</f>
        <v>-0</v>
      </c>
      <c r="BD99" s="30" t="n">
        <f aca="false">-BD52</f>
        <v>-0</v>
      </c>
      <c r="BE99" s="30" t="n">
        <f aca="false">-BE52</f>
        <v>-0</v>
      </c>
      <c r="BF99" s="30" t="n">
        <f aca="false">-BF52</f>
        <v>-0</v>
      </c>
      <c r="BG99" s="30" t="n">
        <f aca="false">-BG52</f>
        <v>-0</v>
      </c>
      <c r="BH99" s="30" t="n">
        <f aca="false">-BH52</f>
        <v>-0</v>
      </c>
      <c r="BI99" s="30" t="n">
        <f aca="false">-BI52</f>
        <v>-0</v>
      </c>
      <c r="BJ99" s="30" t="n">
        <f aca="false">-BJ52</f>
        <v>-0</v>
      </c>
      <c r="BK99" s="30" t="n">
        <f aca="false">-BK52</f>
        <v>-0</v>
      </c>
      <c r="BL99" s="30" t="n">
        <f aca="false">-BL52</f>
        <v>-0</v>
      </c>
      <c r="BM99" s="30" t="n">
        <f aca="false">-BM52</f>
        <v>-0</v>
      </c>
      <c r="BN99" s="30" t="n">
        <f aca="false">-BN52</f>
        <v>-0</v>
      </c>
      <c r="BO99" s="30" t="n">
        <f aca="false">-BO52</f>
        <v>-0</v>
      </c>
      <c r="BP99" s="30" t="n">
        <f aca="false">-BP52</f>
        <v>-0</v>
      </c>
      <c r="BQ99" s="30" t="n">
        <f aca="false">-BQ52</f>
        <v>-0</v>
      </c>
      <c r="BR99" s="30" t="n">
        <f aca="false">-BR52</f>
        <v>-0</v>
      </c>
      <c r="BS99" s="30" t="n">
        <f aca="false">-BS52</f>
        <v>-0</v>
      </c>
      <c r="BT99" s="30" t="n">
        <f aca="false">-BT52</f>
        <v>-0</v>
      </c>
      <c r="BU99" s="30" t="n">
        <f aca="false">-BU52</f>
        <v>-0</v>
      </c>
      <c r="BV99" s="30" t="n">
        <f aca="false">-BV52</f>
        <v>-0</v>
      </c>
      <c r="BW99" s="30" t="n">
        <f aca="false">-BW52</f>
        <v>-0</v>
      </c>
      <c r="BX99" s="30" t="n">
        <f aca="false">-BX52</f>
        <v>-0</v>
      </c>
      <c r="BY99" s="30" t="n">
        <f aca="false">-BY52</f>
        <v>-0</v>
      </c>
      <c r="BZ99" s="30" t="n">
        <f aca="false">-BZ52</f>
        <v>-0</v>
      </c>
      <c r="CA99" s="30" t="n">
        <f aca="false">-CA52</f>
        <v>-0</v>
      </c>
      <c r="CB99" s="30" t="n">
        <f aca="false">-CB52</f>
        <v>-0</v>
      </c>
      <c r="CC99" s="30" t="n">
        <f aca="false">-CC52</f>
        <v>-0</v>
      </c>
      <c r="CD99" s="30" t="n">
        <f aca="false">-CD52</f>
        <v>-0</v>
      </c>
      <c r="CE99" s="30" t="n">
        <f aca="false">-CE52</f>
        <v>-0</v>
      </c>
      <c r="CF99" s="30" t="n">
        <f aca="false">-CF52</f>
        <v>-0</v>
      </c>
      <c r="CG99" s="30" t="n">
        <f aca="false">-CG52</f>
        <v>-0</v>
      </c>
      <c r="CH99" s="30" t="n">
        <f aca="false">-CH52</f>
        <v>-0</v>
      </c>
      <c r="CI99" s="30" t="n">
        <f aca="false">-CI52</f>
        <v>-0</v>
      </c>
      <c r="CJ99" s="30" t="n">
        <f aca="false">-CJ52</f>
        <v>-0</v>
      </c>
      <c r="CK99" s="30" t="n">
        <f aca="false">-CK52</f>
        <v>-0</v>
      </c>
      <c r="CL99" s="30" t="n">
        <f aca="false">-CL52</f>
        <v>-0</v>
      </c>
      <c r="CM99" s="30" t="n">
        <f aca="false">-CM52</f>
        <v>-0</v>
      </c>
      <c r="CN99" s="30" t="n">
        <f aca="false">-CN52</f>
        <v>-0</v>
      </c>
      <c r="CO99" s="30" t="n">
        <f aca="false">-CO52</f>
        <v>-0</v>
      </c>
      <c r="CP99" s="30" t="n">
        <f aca="false">-CP52</f>
        <v>-0</v>
      </c>
      <c r="CQ99" s="30" t="n">
        <f aca="false">-CQ52</f>
        <v>-0</v>
      </c>
      <c r="CR99" s="30" t="n">
        <f aca="false">-CR52</f>
        <v>-0</v>
      </c>
      <c r="CS99" s="30" t="n">
        <f aca="false">-CS52</f>
        <v>-0</v>
      </c>
      <c r="CT99" s="30" t="n">
        <f aca="false">-CT52</f>
        <v>-0</v>
      </c>
      <c r="CU99" s="30" t="n">
        <f aca="false">-CU52</f>
        <v>-0</v>
      </c>
      <c r="CV99" s="30" t="n">
        <f aca="false">-CV52</f>
        <v>-0</v>
      </c>
      <c r="CW99" s="30" t="n">
        <f aca="false">-CW52</f>
        <v>-0</v>
      </c>
      <c r="CX99" s="30" t="n">
        <f aca="false">-CX52</f>
        <v>-0</v>
      </c>
      <c r="CY99" s="30" t="n">
        <f aca="false">-CY52</f>
        <v>-0</v>
      </c>
      <c r="CZ99" s="30" t="n">
        <f aca="false">-CZ52</f>
        <v>-0</v>
      </c>
      <c r="DA99" s="30" t="n">
        <f aca="false">-DA52</f>
        <v>-0</v>
      </c>
      <c r="DB99" s="30" t="n">
        <f aca="false">-DB52</f>
        <v>-0</v>
      </c>
      <c r="DC99" s="30" t="n">
        <f aca="false">-DC52</f>
        <v>-0</v>
      </c>
      <c r="DD99" s="30" t="n">
        <f aca="false">-DD52</f>
        <v>-0</v>
      </c>
      <c r="DE99" s="30" t="n">
        <f aca="false">-DE52</f>
        <v>-0</v>
      </c>
    </row>
    <row r="100" customFormat="false" ht="15" hidden="true" customHeight="true" outlineLevel="1" collapsed="false">
      <c r="A100" s="32" t="s">
        <v>47</v>
      </c>
      <c r="B100" s="30" t="n">
        <v>0</v>
      </c>
      <c r="C100" s="30" t="n">
        <v>0</v>
      </c>
      <c r="D100" s="30" t="n">
        <v>0</v>
      </c>
      <c r="E100" s="30" t="n">
        <v>0</v>
      </c>
      <c r="F100" s="30" t="n">
        <f aca="false">-F53</f>
        <v>-0</v>
      </c>
      <c r="G100" s="30" t="n">
        <f aca="false">-G53</f>
        <v>-0</v>
      </c>
      <c r="H100" s="30" t="n">
        <f aca="false">-H53</f>
        <v>-0</v>
      </c>
      <c r="I100" s="30" t="n">
        <f aca="false">-I53</f>
        <v>-0</v>
      </c>
      <c r="J100" s="30" t="n">
        <f aca="false">-J53</f>
        <v>-0</v>
      </c>
      <c r="K100" s="30" t="n">
        <f aca="false">-K53</f>
        <v>-0</v>
      </c>
      <c r="L100" s="30" t="n">
        <f aca="false">-L53</f>
        <v>-0</v>
      </c>
      <c r="M100" s="30" t="n">
        <f aca="false">-M53</f>
        <v>-0</v>
      </c>
      <c r="N100" s="30" t="n">
        <f aca="false">-N53</f>
        <v>-0</v>
      </c>
      <c r="O100" s="30" t="n">
        <f aca="false">-O53</f>
        <v>-0</v>
      </c>
      <c r="P100" s="30" t="n">
        <f aca="false">-P53</f>
        <v>-0</v>
      </c>
      <c r="Q100" s="30" t="n">
        <f aca="false">-Q53</f>
        <v>-0</v>
      </c>
      <c r="R100" s="30" t="n">
        <f aca="false">-R53</f>
        <v>-0</v>
      </c>
      <c r="S100" s="30" t="n">
        <f aca="false">-S53</f>
        <v>-0</v>
      </c>
      <c r="T100" s="30" t="n">
        <f aca="false">-T53</f>
        <v>-0</v>
      </c>
      <c r="U100" s="30" t="n">
        <f aca="false">-U53</f>
        <v>-0</v>
      </c>
      <c r="V100" s="30" t="n">
        <f aca="false">-V53</f>
        <v>-0</v>
      </c>
      <c r="W100" s="30" t="n">
        <f aca="false">-W53</f>
        <v>-0</v>
      </c>
      <c r="X100" s="30" t="n">
        <f aca="false">-X53</f>
        <v>-0</v>
      </c>
      <c r="Y100" s="30" t="n">
        <f aca="false">-Y53</f>
        <v>-0</v>
      </c>
      <c r="Z100" s="30" t="n">
        <f aca="false">-Z53</f>
        <v>-0</v>
      </c>
      <c r="AA100" s="30" t="n">
        <f aca="false">-AA53</f>
        <v>-0</v>
      </c>
      <c r="AB100" s="30" t="n">
        <f aca="false">-AB53</f>
        <v>-0</v>
      </c>
      <c r="AC100" s="30" t="n">
        <f aca="false">-AC53</f>
        <v>-0</v>
      </c>
      <c r="AD100" s="30" t="n">
        <f aca="false">-AD53</f>
        <v>-0</v>
      </c>
      <c r="AE100" s="30" t="n">
        <f aca="false">-AE53</f>
        <v>-0</v>
      </c>
      <c r="AF100" s="30" t="n">
        <f aca="false">-AF53</f>
        <v>-0</v>
      </c>
      <c r="AG100" s="30" t="n">
        <f aca="false">-AG53</f>
        <v>-0</v>
      </c>
      <c r="AH100" s="30" t="n">
        <f aca="false">-AH53</f>
        <v>-0</v>
      </c>
      <c r="AI100" s="30" t="n">
        <f aca="false">-AI53</f>
        <v>-0</v>
      </c>
      <c r="AJ100" s="30" t="n">
        <f aca="false">-AJ53</f>
        <v>-0</v>
      </c>
      <c r="AK100" s="30" t="n">
        <f aca="false">-AK53</f>
        <v>-0</v>
      </c>
      <c r="AL100" s="30" t="n">
        <f aca="false">-AL53</f>
        <v>-0</v>
      </c>
      <c r="AM100" s="30" t="n">
        <f aca="false">-AM53</f>
        <v>-0</v>
      </c>
      <c r="AN100" s="30" t="n">
        <f aca="false">-AN53</f>
        <v>-0</v>
      </c>
      <c r="AO100" s="30" t="n">
        <f aca="false">-AO53</f>
        <v>-0</v>
      </c>
      <c r="AP100" s="30" t="n">
        <f aca="false">-AP53</f>
        <v>-0</v>
      </c>
      <c r="AQ100" s="30" t="n">
        <f aca="false">-AQ53</f>
        <v>-0</v>
      </c>
      <c r="AR100" s="30" t="n">
        <f aca="false">-AR53</f>
        <v>-0</v>
      </c>
      <c r="AS100" s="30" t="n">
        <f aca="false">-AS53</f>
        <v>-0</v>
      </c>
      <c r="AT100" s="30" t="n">
        <f aca="false">-AT53</f>
        <v>-0</v>
      </c>
      <c r="AU100" s="30" t="n">
        <f aca="false">-AU53</f>
        <v>-0</v>
      </c>
      <c r="AV100" s="30" t="n">
        <f aca="false">-AV53</f>
        <v>-0</v>
      </c>
      <c r="AW100" s="30" t="n">
        <f aca="false">-AW53</f>
        <v>-0</v>
      </c>
      <c r="AX100" s="30" t="n">
        <f aca="false">-AX53</f>
        <v>-0</v>
      </c>
      <c r="AY100" s="30" t="n">
        <f aca="false">-AY53</f>
        <v>-0</v>
      </c>
      <c r="AZ100" s="30" t="n">
        <f aca="false">-AZ53</f>
        <v>-0</v>
      </c>
      <c r="BA100" s="30" t="n">
        <f aca="false">-BA53</f>
        <v>-0</v>
      </c>
      <c r="BB100" s="30" t="n">
        <f aca="false">-BB53</f>
        <v>-0</v>
      </c>
      <c r="BC100" s="30" t="n">
        <f aca="false">-BC53</f>
        <v>-0</v>
      </c>
      <c r="BD100" s="30" t="n">
        <f aca="false">-BD53</f>
        <v>-0</v>
      </c>
      <c r="BE100" s="30" t="n">
        <f aca="false">-BE53</f>
        <v>-0</v>
      </c>
      <c r="BF100" s="30" t="n">
        <f aca="false">-BF53</f>
        <v>-0</v>
      </c>
      <c r="BG100" s="30" t="n">
        <f aca="false">-BG53</f>
        <v>-0</v>
      </c>
      <c r="BH100" s="30" t="n">
        <f aca="false">-BH53</f>
        <v>-0</v>
      </c>
      <c r="BI100" s="30" t="n">
        <f aca="false">-BI53</f>
        <v>-0</v>
      </c>
      <c r="BJ100" s="30" t="n">
        <f aca="false">-BJ53</f>
        <v>-0</v>
      </c>
      <c r="BK100" s="30" t="n">
        <f aca="false">-BK53</f>
        <v>-0</v>
      </c>
      <c r="BL100" s="30" t="n">
        <f aca="false">-BL53</f>
        <v>-0</v>
      </c>
      <c r="BM100" s="30" t="n">
        <f aca="false">-BM53</f>
        <v>-0</v>
      </c>
      <c r="BN100" s="30" t="n">
        <f aca="false">-BN53</f>
        <v>-0</v>
      </c>
      <c r="BO100" s="30" t="n">
        <f aca="false">-BO53</f>
        <v>-0</v>
      </c>
      <c r="BP100" s="30" t="n">
        <f aca="false">-BP53</f>
        <v>-0</v>
      </c>
      <c r="BQ100" s="30" t="n">
        <f aca="false">-BQ53</f>
        <v>-0</v>
      </c>
      <c r="BR100" s="30" t="n">
        <f aca="false">-BR53</f>
        <v>-0</v>
      </c>
      <c r="BS100" s="30" t="n">
        <f aca="false">-BS53</f>
        <v>-0</v>
      </c>
      <c r="BT100" s="30" t="n">
        <f aca="false">-BT53</f>
        <v>-0</v>
      </c>
      <c r="BU100" s="30" t="n">
        <f aca="false">-BU53</f>
        <v>-0</v>
      </c>
      <c r="BV100" s="30" t="n">
        <f aca="false">-BV53</f>
        <v>-0</v>
      </c>
      <c r="BW100" s="30" t="n">
        <f aca="false">-BW53</f>
        <v>-0</v>
      </c>
      <c r="BX100" s="30" t="n">
        <f aca="false">-BX53</f>
        <v>-0</v>
      </c>
      <c r="BY100" s="30" t="n">
        <f aca="false">-BY53</f>
        <v>-0</v>
      </c>
      <c r="BZ100" s="30" t="n">
        <f aca="false">-BZ53</f>
        <v>-0</v>
      </c>
      <c r="CA100" s="30" t="n">
        <f aca="false">-CA53</f>
        <v>-0</v>
      </c>
      <c r="CB100" s="30" t="n">
        <f aca="false">-CB53</f>
        <v>-0</v>
      </c>
      <c r="CC100" s="30" t="n">
        <f aca="false">-CC53</f>
        <v>-0</v>
      </c>
      <c r="CD100" s="30" t="n">
        <f aca="false">-CD53</f>
        <v>-0</v>
      </c>
      <c r="CE100" s="30" t="n">
        <f aca="false">-CE53</f>
        <v>-0</v>
      </c>
      <c r="CF100" s="30" t="n">
        <f aca="false">-CF53</f>
        <v>-0</v>
      </c>
      <c r="CG100" s="30" t="n">
        <f aca="false">-CG53</f>
        <v>-0</v>
      </c>
      <c r="CH100" s="30" t="n">
        <f aca="false">-CH53</f>
        <v>-0</v>
      </c>
      <c r="CI100" s="30" t="n">
        <f aca="false">-CI53</f>
        <v>-0</v>
      </c>
      <c r="CJ100" s="30" t="n">
        <f aca="false">-CJ53</f>
        <v>-0</v>
      </c>
      <c r="CK100" s="30" t="n">
        <f aca="false">-CK53</f>
        <v>-0</v>
      </c>
      <c r="CL100" s="30" t="n">
        <f aca="false">-CL53</f>
        <v>-0</v>
      </c>
      <c r="CM100" s="30" t="n">
        <f aca="false">-CM53</f>
        <v>-0</v>
      </c>
      <c r="CN100" s="30" t="n">
        <f aca="false">-CN53</f>
        <v>-0</v>
      </c>
      <c r="CO100" s="30" t="n">
        <f aca="false">-CO53</f>
        <v>-0</v>
      </c>
      <c r="CP100" s="30" t="n">
        <f aca="false">-CP53</f>
        <v>-0</v>
      </c>
      <c r="CQ100" s="30" t="n">
        <f aca="false">-CQ53</f>
        <v>-0</v>
      </c>
      <c r="CR100" s="30" t="n">
        <f aca="false">-CR53</f>
        <v>-0</v>
      </c>
      <c r="CS100" s="30" t="n">
        <f aca="false">-CS53</f>
        <v>-0</v>
      </c>
      <c r="CT100" s="30" t="n">
        <f aca="false">-CT53</f>
        <v>-0</v>
      </c>
      <c r="CU100" s="30" t="n">
        <f aca="false">-CU53</f>
        <v>-0</v>
      </c>
      <c r="CV100" s="30" t="n">
        <f aca="false">-CV53</f>
        <v>-0</v>
      </c>
      <c r="CW100" s="30" t="n">
        <f aca="false">-CW53</f>
        <v>-0</v>
      </c>
      <c r="CX100" s="30" t="n">
        <f aca="false">-CX53</f>
        <v>-0</v>
      </c>
      <c r="CY100" s="30" t="n">
        <f aca="false">-CY53</f>
        <v>-0</v>
      </c>
      <c r="CZ100" s="30" t="n">
        <f aca="false">-CZ53</f>
        <v>-0</v>
      </c>
      <c r="DA100" s="30" t="n">
        <f aca="false">-DA53</f>
        <v>-0</v>
      </c>
      <c r="DB100" s="30" t="n">
        <f aca="false">-DB53</f>
        <v>-0</v>
      </c>
      <c r="DC100" s="30" t="n">
        <f aca="false">-DC53</f>
        <v>-0</v>
      </c>
      <c r="DD100" s="30" t="n">
        <f aca="false">-DD53</f>
        <v>-0</v>
      </c>
      <c r="DE100" s="30" t="n">
        <f aca="false">-DE53</f>
        <v>-0</v>
      </c>
    </row>
    <row r="101" customFormat="false" ht="15" hidden="true" customHeight="true" outlineLevel="1" collapsed="false">
      <c r="A101" s="32" t="s">
        <v>48</v>
      </c>
      <c r="B101" s="30" t="n">
        <v>0</v>
      </c>
      <c r="C101" s="30" t="n">
        <v>0</v>
      </c>
      <c r="D101" s="30" t="n">
        <v>0</v>
      </c>
      <c r="E101" s="30" t="n">
        <v>0</v>
      </c>
      <c r="F101" s="30" t="n">
        <f aca="false">-F54</f>
        <v>-0</v>
      </c>
      <c r="G101" s="30" t="n">
        <f aca="false">-G54</f>
        <v>-0</v>
      </c>
      <c r="H101" s="30" t="n">
        <f aca="false">-H54</f>
        <v>-0</v>
      </c>
      <c r="I101" s="30" t="n">
        <f aca="false">-I54</f>
        <v>-0</v>
      </c>
      <c r="J101" s="30" t="n">
        <f aca="false">-J54</f>
        <v>-0</v>
      </c>
      <c r="K101" s="30" t="n">
        <f aca="false">-K54</f>
        <v>-0</v>
      </c>
      <c r="L101" s="30" t="n">
        <f aca="false">-L54</f>
        <v>-0</v>
      </c>
      <c r="M101" s="30" t="n">
        <f aca="false">-M54</f>
        <v>-0</v>
      </c>
      <c r="N101" s="30" t="n">
        <f aca="false">-N54</f>
        <v>-0</v>
      </c>
      <c r="O101" s="30" t="n">
        <f aca="false">-O54</f>
        <v>-0</v>
      </c>
      <c r="P101" s="30" t="n">
        <f aca="false">-P54</f>
        <v>-0</v>
      </c>
      <c r="Q101" s="30" t="n">
        <f aca="false">-Q54</f>
        <v>-0</v>
      </c>
      <c r="R101" s="30" t="n">
        <f aca="false">-R54</f>
        <v>-0</v>
      </c>
      <c r="S101" s="30" t="n">
        <f aca="false">-S54</f>
        <v>-0</v>
      </c>
      <c r="T101" s="30" t="n">
        <f aca="false">-T54</f>
        <v>-0</v>
      </c>
      <c r="U101" s="30" t="n">
        <f aca="false">-U54</f>
        <v>-0</v>
      </c>
      <c r="V101" s="30" t="n">
        <f aca="false">-V54</f>
        <v>-0</v>
      </c>
      <c r="W101" s="30" t="n">
        <f aca="false">-W54</f>
        <v>-0</v>
      </c>
      <c r="X101" s="30" t="n">
        <f aca="false">-X54</f>
        <v>-0</v>
      </c>
      <c r="Y101" s="30" t="n">
        <f aca="false">-Y54</f>
        <v>-0</v>
      </c>
      <c r="Z101" s="30" t="n">
        <f aca="false">-Z54</f>
        <v>-0</v>
      </c>
      <c r="AA101" s="30" t="n">
        <f aca="false">-AA54</f>
        <v>-0</v>
      </c>
      <c r="AB101" s="30" t="n">
        <f aca="false">-AB54</f>
        <v>-0</v>
      </c>
      <c r="AC101" s="30" t="n">
        <f aca="false">-AC54</f>
        <v>-0</v>
      </c>
      <c r="AD101" s="30" t="n">
        <f aca="false">-AD54</f>
        <v>-0</v>
      </c>
      <c r="AE101" s="30" t="n">
        <f aca="false">-AE54</f>
        <v>-0</v>
      </c>
      <c r="AF101" s="30" t="n">
        <f aca="false">-AF54</f>
        <v>-0</v>
      </c>
      <c r="AG101" s="30" t="n">
        <f aca="false">-AG54</f>
        <v>-0</v>
      </c>
      <c r="AH101" s="30" t="n">
        <f aca="false">-AH54</f>
        <v>-0</v>
      </c>
      <c r="AI101" s="30" t="n">
        <f aca="false">-AI54</f>
        <v>-0</v>
      </c>
      <c r="AJ101" s="30" t="n">
        <f aca="false">-AJ54</f>
        <v>-0</v>
      </c>
      <c r="AK101" s="30" t="n">
        <f aca="false">-AK54</f>
        <v>-0</v>
      </c>
      <c r="AL101" s="30" t="n">
        <f aca="false">-AL54</f>
        <v>-0</v>
      </c>
      <c r="AM101" s="30" t="n">
        <f aca="false">-AM54</f>
        <v>-0</v>
      </c>
      <c r="AN101" s="30" t="n">
        <f aca="false">-AN54</f>
        <v>-0</v>
      </c>
      <c r="AO101" s="30" t="n">
        <f aca="false">-AO54</f>
        <v>-0</v>
      </c>
      <c r="AP101" s="30" t="n">
        <f aca="false">-AP54</f>
        <v>-0</v>
      </c>
      <c r="AQ101" s="30" t="n">
        <f aca="false">-AQ54</f>
        <v>-0</v>
      </c>
      <c r="AR101" s="30" t="n">
        <f aca="false">-AR54</f>
        <v>-0</v>
      </c>
      <c r="AS101" s="30" t="n">
        <f aca="false">-AS54</f>
        <v>-0</v>
      </c>
      <c r="AT101" s="30" t="n">
        <f aca="false">-AT54</f>
        <v>-0</v>
      </c>
      <c r="AU101" s="30" t="n">
        <f aca="false">-AU54</f>
        <v>-0</v>
      </c>
      <c r="AV101" s="30" t="n">
        <f aca="false">-AV54</f>
        <v>-0</v>
      </c>
      <c r="AW101" s="30" t="n">
        <f aca="false">-AW54</f>
        <v>-0</v>
      </c>
      <c r="AX101" s="30" t="n">
        <f aca="false">-AX54</f>
        <v>-0</v>
      </c>
      <c r="AY101" s="30" t="n">
        <f aca="false">-AY54</f>
        <v>-0</v>
      </c>
      <c r="AZ101" s="30" t="n">
        <f aca="false">-AZ54</f>
        <v>-0</v>
      </c>
      <c r="BA101" s="30" t="n">
        <f aca="false">-BA54</f>
        <v>-0</v>
      </c>
      <c r="BB101" s="30" t="n">
        <f aca="false">-BB54</f>
        <v>-0</v>
      </c>
      <c r="BC101" s="30" t="n">
        <f aca="false">-BC54</f>
        <v>-0</v>
      </c>
      <c r="BD101" s="30" t="n">
        <f aca="false">-BD54</f>
        <v>-0</v>
      </c>
      <c r="BE101" s="30" t="n">
        <f aca="false">-BE54</f>
        <v>-0</v>
      </c>
      <c r="BF101" s="30" t="n">
        <f aca="false">-BF54</f>
        <v>-0</v>
      </c>
      <c r="BG101" s="30" t="n">
        <f aca="false">-BG54</f>
        <v>-0</v>
      </c>
      <c r="BH101" s="30" t="n">
        <f aca="false">-BH54</f>
        <v>-0</v>
      </c>
      <c r="BI101" s="30" t="n">
        <f aca="false">-BI54</f>
        <v>-0</v>
      </c>
      <c r="BJ101" s="30" t="n">
        <f aca="false">-BJ54</f>
        <v>-0</v>
      </c>
      <c r="BK101" s="30" t="n">
        <f aca="false">-BK54</f>
        <v>-0</v>
      </c>
      <c r="BL101" s="30" t="n">
        <f aca="false">-BL54</f>
        <v>-0</v>
      </c>
      <c r="BM101" s="30" t="n">
        <f aca="false">-BM54</f>
        <v>-0</v>
      </c>
      <c r="BN101" s="30" t="n">
        <f aca="false">-BN54</f>
        <v>-0</v>
      </c>
      <c r="BO101" s="30" t="n">
        <f aca="false">-BO54</f>
        <v>-0</v>
      </c>
      <c r="BP101" s="30" t="n">
        <f aca="false">-BP54</f>
        <v>-0</v>
      </c>
      <c r="BQ101" s="30" t="n">
        <f aca="false">-BQ54</f>
        <v>-0</v>
      </c>
      <c r="BR101" s="30" t="n">
        <f aca="false">-BR54</f>
        <v>-0</v>
      </c>
      <c r="BS101" s="30" t="n">
        <f aca="false">-BS54</f>
        <v>-0</v>
      </c>
      <c r="BT101" s="30" t="n">
        <f aca="false">-BT54</f>
        <v>-0</v>
      </c>
      <c r="BU101" s="30" t="n">
        <f aca="false">-BU54</f>
        <v>-0</v>
      </c>
      <c r="BV101" s="30" t="n">
        <f aca="false">-BV54</f>
        <v>-0</v>
      </c>
      <c r="BW101" s="30" t="n">
        <f aca="false">-BW54</f>
        <v>-0</v>
      </c>
      <c r="BX101" s="30" t="n">
        <f aca="false">-BX54</f>
        <v>-0</v>
      </c>
      <c r="BY101" s="30" t="n">
        <f aca="false">-BY54</f>
        <v>-0</v>
      </c>
      <c r="BZ101" s="30" t="n">
        <f aca="false">-BZ54</f>
        <v>-0</v>
      </c>
      <c r="CA101" s="30" t="n">
        <f aca="false">-CA54</f>
        <v>-0</v>
      </c>
      <c r="CB101" s="30" t="n">
        <f aca="false">-CB54</f>
        <v>-0</v>
      </c>
      <c r="CC101" s="30" t="n">
        <f aca="false">-CC54</f>
        <v>-0</v>
      </c>
      <c r="CD101" s="30" t="n">
        <f aca="false">-CD54</f>
        <v>-0</v>
      </c>
      <c r="CE101" s="30" t="n">
        <f aca="false">-CE54</f>
        <v>-0</v>
      </c>
      <c r="CF101" s="30" t="n">
        <f aca="false">-CF54</f>
        <v>-0</v>
      </c>
      <c r="CG101" s="30" t="n">
        <f aca="false">-CG54</f>
        <v>-0</v>
      </c>
      <c r="CH101" s="30" t="n">
        <f aca="false">-CH54</f>
        <v>-0</v>
      </c>
      <c r="CI101" s="30" t="n">
        <f aca="false">-CI54</f>
        <v>-0</v>
      </c>
      <c r="CJ101" s="30" t="n">
        <f aca="false">-CJ54</f>
        <v>-0</v>
      </c>
      <c r="CK101" s="30" t="n">
        <f aca="false">-CK54</f>
        <v>-0</v>
      </c>
      <c r="CL101" s="30" t="n">
        <f aca="false">-CL54</f>
        <v>-0</v>
      </c>
      <c r="CM101" s="30" t="n">
        <f aca="false">-CM54</f>
        <v>-0</v>
      </c>
      <c r="CN101" s="30" t="n">
        <f aca="false">-CN54</f>
        <v>-0</v>
      </c>
      <c r="CO101" s="30" t="n">
        <f aca="false">-CO54</f>
        <v>-0</v>
      </c>
      <c r="CP101" s="30" t="n">
        <f aca="false">-CP54</f>
        <v>-0</v>
      </c>
      <c r="CQ101" s="30" t="n">
        <f aca="false">-CQ54</f>
        <v>-0</v>
      </c>
      <c r="CR101" s="30" t="n">
        <f aca="false">-CR54</f>
        <v>-0</v>
      </c>
      <c r="CS101" s="30" t="n">
        <f aca="false">-CS54</f>
        <v>-0</v>
      </c>
      <c r="CT101" s="30" t="n">
        <f aca="false">-CT54</f>
        <v>-0</v>
      </c>
      <c r="CU101" s="30" t="n">
        <f aca="false">-CU54</f>
        <v>-0</v>
      </c>
      <c r="CV101" s="30" t="n">
        <f aca="false">-CV54</f>
        <v>-0</v>
      </c>
      <c r="CW101" s="30" t="n">
        <f aca="false">-CW54</f>
        <v>-0</v>
      </c>
      <c r="CX101" s="30" t="n">
        <f aca="false">-CX54</f>
        <v>-0</v>
      </c>
      <c r="CY101" s="30" t="n">
        <f aca="false">-CY54</f>
        <v>-0</v>
      </c>
      <c r="CZ101" s="30" t="n">
        <f aca="false">-CZ54</f>
        <v>-0</v>
      </c>
      <c r="DA101" s="30" t="n">
        <f aca="false">-DA54</f>
        <v>-0</v>
      </c>
      <c r="DB101" s="30" t="n">
        <f aca="false">-DB54</f>
        <v>-0</v>
      </c>
      <c r="DC101" s="30" t="n">
        <f aca="false">-DC54</f>
        <v>-0</v>
      </c>
      <c r="DD101" s="30" t="n">
        <f aca="false">-DD54</f>
        <v>-0</v>
      </c>
      <c r="DE101" s="30" t="n">
        <f aca="false">-DE54</f>
        <v>-0</v>
      </c>
    </row>
    <row r="102" customFormat="false" ht="15" hidden="true" customHeight="true" outlineLevel="1" collapsed="false">
      <c r="A102" s="32" t="s">
        <v>49</v>
      </c>
      <c r="B102" s="30" t="n">
        <v>0</v>
      </c>
      <c r="C102" s="30" t="n">
        <v>0</v>
      </c>
      <c r="D102" s="30" t="n">
        <v>0</v>
      </c>
      <c r="E102" s="30" t="n">
        <v>0</v>
      </c>
      <c r="F102" s="30" t="n">
        <f aca="false">-F55</f>
        <v>-0</v>
      </c>
      <c r="G102" s="30" t="n">
        <f aca="false">-G55</f>
        <v>-0</v>
      </c>
      <c r="H102" s="30" t="n">
        <f aca="false">-H55</f>
        <v>-0</v>
      </c>
      <c r="I102" s="30" t="n">
        <f aca="false">-I55</f>
        <v>-0</v>
      </c>
      <c r="J102" s="30" t="n">
        <f aca="false">-J55</f>
        <v>-0</v>
      </c>
      <c r="K102" s="30" t="n">
        <f aca="false">-K55</f>
        <v>-0</v>
      </c>
      <c r="L102" s="30" t="n">
        <f aca="false">-L55</f>
        <v>-0</v>
      </c>
      <c r="M102" s="30" t="n">
        <f aca="false">-M55</f>
        <v>-0</v>
      </c>
      <c r="N102" s="30" t="n">
        <f aca="false">-N55</f>
        <v>-0</v>
      </c>
      <c r="O102" s="30" t="n">
        <f aca="false">-O55</f>
        <v>-0</v>
      </c>
      <c r="P102" s="30" t="n">
        <f aca="false">-P55</f>
        <v>-0</v>
      </c>
      <c r="Q102" s="30" t="n">
        <f aca="false">-Q55</f>
        <v>-0</v>
      </c>
      <c r="R102" s="30" t="n">
        <f aca="false">-R55</f>
        <v>-0</v>
      </c>
      <c r="S102" s="30" t="n">
        <f aca="false">-S55</f>
        <v>-0</v>
      </c>
      <c r="T102" s="30" t="n">
        <f aca="false">-T55</f>
        <v>-0</v>
      </c>
      <c r="U102" s="30" t="n">
        <f aca="false">-U55</f>
        <v>-0</v>
      </c>
      <c r="V102" s="30" t="n">
        <f aca="false">-V55</f>
        <v>-0</v>
      </c>
      <c r="W102" s="30" t="n">
        <f aca="false">-W55</f>
        <v>-0</v>
      </c>
      <c r="X102" s="30" t="n">
        <f aca="false">-X55</f>
        <v>-0</v>
      </c>
      <c r="Y102" s="30" t="n">
        <f aca="false">-Y55</f>
        <v>-0</v>
      </c>
      <c r="Z102" s="30" t="n">
        <f aca="false">-Z55</f>
        <v>-0</v>
      </c>
      <c r="AA102" s="30" t="n">
        <f aca="false">-AA55</f>
        <v>-0</v>
      </c>
      <c r="AB102" s="30" t="n">
        <f aca="false">-AB55</f>
        <v>-0</v>
      </c>
      <c r="AC102" s="30" t="n">
        <f aca="false">-AC55</f>
        <v>-0</v>
      </c>
      <c r="AD102" s="30" t="n">
        <f aca="false">-AD55</f>
        <v>-0</v>
      </c>
      <c r="AE102" s="30" t="n">
        <f aca="false">-AE55</f>
        <v>-0</v>
      </c>
      <c r="AF102" s="30" t="n">
        <f aca="false">-AF55</f>
        <v>-0</v>
      </c>
      <c r="AG102" s="30" t="n">
        <f aca="false">-AG55</f>
        <v>-0</v>
      </c>
      <c r="AH102" s="30" t="n">
        <f aca="false">-AH55</f>
        <v>-0</v>
      </c>
      <c r="AI102" s="30" t="n">
        <f aca="false">-AI55</f>
        <v>-0</v>
      </c>
      <c r="AJ102" s="30" t="n">
        <f aca="false">-AJ55</f>
        <v>-0</v>
      </c>
      <c r="AK102" s="30" t="n">
        <f aca="false">-AK55</f>
        <v>-0</v>
      </c>
      <c r="AL102" s="30" t="n">
        <f aca="false">-AL55</f>
        <v>-0</v>
      </c>
      <c r="AM102" s="30" t="n">
        <f aca="false">-AM55</f>
        <v>-0</v>
      </c>
      <c r="AN102" s="30" t="n">
        <f aca="false">-AN55</f>
        <v>-0</v>
      </c>
      <c r="AO102" s="30" t="n">
        <f aca="false">-AO55</f>
        <v>-0</v>
      </c>
      <c r="AP102" s="30" t="n">
        <f aca="false">-AP55</f>
        <v>-0</v>
      </c>
      <c r="AQ102" s="30" t="n">
        <f aca="false">-AQ55</f>
        <v>-0</v>
      </c>
      <c r="AR102" s="30" t="n">
        <f aca="false">-AR55</f>
        <v>-0</v>
      </c>
      <c r="AS102" s="30" t="n">
        <f aca="false">-AS55</f>
        <v>-0</v>
      </c>
      <c r="AT102" s="30" t="n">
        <f aca="false">-AT55</f>
        <v>-0</v>
      </c>
      <c r="AU102" s="30" t="n">
        <f aca="false">-AU55</f>
        <v>-0</v>
      </c>
      <c r="AV102" s="30" t="n">
        <f aca="false">-AV55</f>
        <v>-0</v>
      </c>
      <c r="AW102" s="30" t="n">
        <f aca="false">-AW55</f>
        <v>-0</v>
      </c>
      <c r="AX102" s="30" t="n">
        <f aca="false">-AX55</f>
        <v>-0</v>
      </c>
      <c r="AY102" s="30" t="n">
        <f aca="false">-AY55</f>
        <v>-0</v>
      </c>
      <c r="AZ102" s="30" t="n">
        <f aca="false">-AZ55</f>
        <v>-0</v>
      </c>
      <c r="BA102" s="30" t="n">
        <f aca="false">-BA55</f>
        <v>-0</v>
      </c>
      <c r="BB102" s="30" t="n">
        <f aca="false">-BB55</f>
        <v>-0</v>
      </c>
      <c r="BC102" s="30" t="n">
        <f aca="false">-BC55</f>
        <v>-0</v>
      </c>
      <c r="BD102" s="30" t="n">
        <f aca="false">-BD55</f>
        <v>-0</v>
      </c>
      <c r="BE102" s="30" t="n">
        <f aca="false">-BE55</f>
        <v>-0</v>
      </c>
      <c r="BF102" s="30" t="n">
        <f aca="false">-BF55</f>
        <v>-0</v>
      </c>
      <c r="BG102" s="30" t="n">
        <f aca="false">-BG55</f>
        <v>-0</v>
      </c>
      <c r="BH102" s="30" t="n">
        <f aca="false">-BH55</f>
        <v>-0</v>
      </c>
      <c r="BI102" s="30" t="n">
        <f aca="false">-BI55</f>
        <v>-0</v>
      </c>
      <c r="BJ102" s="30" t="n">
        <f aca="false">-BJ55</f>
        <v>-0</v>
      </c>
      <c r="BK102" s="30" t="n">
        <f aca="false">-BK55</f>
        <v>-0</v>
      </c>
      <c r="BL102" s="30" t="n">
        <f aca="false">-BL55</f>
        <v>-0</v>
      </c>
      <c r="BM102" s="30" t="n">
        <f aca="false">-BM55</f>
        <v>-0</v>
      </c>
      <c r="BN102" s="30" t="n">
        <f aca="false">-BN55</f>
        <v>-0</v>
      </c>
      <c r="BO102" s="30" t="n">
        <f aca="false">-BO55</f>
        <v>-0</v>
      </c>
      <c r="BP102" s="30" t="n">
        <f aca="false">-BP55</f>
        <v>-0</v>
      </c>
      <c r="BQ102" s="30" t="n">
        <f aca="false">-BQ55</f>
        <v>-0</v>
      </c>
      <c r="BR102" s="30" t="n">
        <f aca="false">-BR55</f>
        <v>-0</v>
      </c>
      <c r="BS102" s="30" t="n">
        <f aca="false">-BS55</f>
        <v>-0</v>
      </c>
      <c r="BT102" s="30" t="n">
        <f aca="false">-BT55</f>
        <v>-0</v>
      </c>
      <c r="BU102" s="30" t="n">
        <f aca="false">-BU55</f>
        <v>-0</v>
      </c>
      <c r="BV102" s="30" t="n">
        <f aca="false">-BV55</f>
        <v>-0</v>
      </c>
      <c r="BW102" s="30" t="n">
        <f aca="false">-BW55</f>
        <v>-0</v>
      </c>
      <c r="BX102" s="30" t="n">
        <f aca="false">-BX55</f>
        <v>-0</v>
      </c>
      <c r="BY102" s="30" t="n">
        <f aca="false">-BY55</f>
        <v>-0</v>
      </c>
      <c r="BZ102" s="30" t="n">
        <f aca="false">-BZ55</f>
        <v>-0</v>
      </c>
      <c r="CA102" s="30" t="n">
        <f aca="false">-CA55</f>
        <v>-0</v>
      </c>
      <c r="CB102" s="30" t="n">
        <f aca="false">-CB55</f>
        <v>-0</v>
      </c>
      <c r="CC102" s="30" t="n">
        <f aca="false">-CC55</f>
        <v>-0</v>
      </c>
      <c r="CD102" s="30" t="n">
        <f aca="false">-CD55</f>
        <v>-0</v>
      </c>
      <c r="CE102" s="30" t="n">
        <f aca="false">-CE55</f>
        <v>-0</v>
      </c>
      <c r="CF102" s="30" t="n">
        <f aca="false">-CF55</f>
        <v>-0</v>
      </c>
      <c r="CG102" s="30" t="n">
        <f aca="false">-CG55</f>
        <v>-0</v>
      </c>
      <c r="CH102" s="30" t="n">
        <f aca="false">-CH55</f>
        <v>-0</v>
      </c>
      <c r="CI102" s="30" t="n">
        <f aca="false">-CI55</f>
        <v>-0</v>
      </c>
      <c r="CJ102" s="30" t="n">
        <f aca="false">-CJ55</f>
        <v>-0</v>
      </c>
      <c r="CK102" s="30" t="n">
        <f aca="false">-CK55</f>
        <v>-0</v>
      </c>
      <c r="CL102" s="30" t="n">
        <f aca="false">-CL55</f>
        <v>-0</v>
      </c>
      <c r="CM102" s="30" t="n">
        <f aca="false">-CM55</f>
        <v>-0</v>
      </c>
      <c r="CN102" s="30" t="n">
        <f aca="false">-CN55</f>
        <v>-0</v>
      </c>
      <c r="CO102" s="30" t="n">
        <f aca="false">-CO55</f>
        <v>-0</v>
      </c>
      <c r="CP102" s="30" t="n">
        <f aca="false">-CP55</f>
        <v>-0</v>
      </c>
      <c r="CQ102" s="30" t="n">
        <f aca="false">-CQ55</f>
        <v>-0</v>
      </c>
      <c r="CR102" s="30" t="n">
        <f aca="false">-CR55</f>
        <v>-0</v>
      </c>
      <c r="CS102" s="30" t="n">
        <f aca="false">-CS55</f>
        <v>-0</v>
      </c>
      <c r="CT102" s="30" t="n">
        <f aca="false">-CT55</f>
        <v>-0</v>
      </c>
      <c r="CU102" s="30" t="n">
        <f aca="false">-CU55</f>
        <v>-0</v>
      </c>
      <c r="CV102" s="30" t="n">
        <f aca="false">-CV55</f>
        <v>-0</v>
      </c>
      <c r="CW102" s="30" t="n">
        <f aca="false">-CW55</f>
        <v>-0</v>
      </c>
      <c r="CX102" s="30" t="n">
        <f aca="false">-CX55</f>
        <v>-0</v>
      </c>
      <c r="CY102" s="30" t="n">
        <f aca="false">-CY55</f>
        <v>-0</v>
      </c>
      <c r="CZ102" s="30" t="n">
        <f aca="false">-CZ55</f>
        <v>-0</v>
      </c>
      <c r="DA102" s="30" t="n">
        <f aca="false">-DA55</f>
        <v>-0</v>
      </c>
      <c r="DB102" s="30" t="n">
        <f aca="false">-DB55</f>
        <v>-0</v>
      </c>
      <c r="DC102" s="30" t="n">
        <f aca="false">-DC55</f>
        <v>-0</v>
      </c>
      <c r="DD102" s="30" t="n">
        <f aca="false">-DD55</f>
        <v>-0</v>
      </c>
      <c r="DE102" s="30" t="n">
        <f aca="false">-DE55</f>
        <v>-0</v>
      </c>
    </row>
    <row r="103" customFormat="false" ht="15" hidden="true" customHeight="true" outlineLevel="1" collapsed="false">
      <c r="A103" s="32" t="s">
        <v>50</v>
      </c>
      <c r="B103" s="30" t="n">
        <v>0</v>
      </c>
      <c r="C103" s="30" t="n">
        <v>0</v>
      </c>
      <c r="D103" s="30" t="n">
        <v>0</v>
      </c>
      <c r="E103" s="30" t="n">
        <v>-260.53</v>
      </c>
      <c r="F103" s="30" t="n">
        <v>0</v>
      </c>
      <c r="G103" s="30" t="n">
        <v>0</v>
      </c>
      <c r="H103" s="30" t="n">
        <v>0</v>
      </c>
      <c r="I103" s="30" t="n">
        <v>0</v>
      </c>
      <c r="J103" s="30" t="n">
        <v>0</v>
      </c>
      <c r="K103" s="30" t="n">
        <v>0</v>
      </c>
      <c r="L103" s="30" t="n">
        <v>0</v>
      </c>
      <c r="M103" s="30" t="n">
        <v>0</v>
      </c>
      <c r="N103" s="30" t="n">
        <v>0</v>
      </c>
      <c r="O103" s="30" t="n">
        <v>0</v>
      </c>
      <c r="P103" s="30" t="n">
        <v>0</v>
      </c>
      <c r="Q103" s="30" t="n">
        <v>0</v>
      </c>
      <c r="R103" s="30" t="n">
        <v>0</v>
      </c>
      <c r="S103" s="30" t="n">
        <v>0</v>
      </c>
      <c r="T103" s="30" t="n">
        <v>0</v>
      </c>
      <c r="U103" s="30" t="n">
        <v>0</v>
      </c>
      <c r="V103" s="30" t="n">
        <v>0</v>
      </c>
      <c r="W103" s="30" t="n">
        <v>0</v>
      </c>
      <c r="X103" s="30" t="n">
        <v>0</v>
      </c>
      <c r="Y103" s="30" t="n">
        <v>0</v>
      </c>
      <c r="Z103" s="30" t="n">
        <v>0</v>
      </c>
      <c r="AA103" s="30" t="n">
        <v>0</v>
      </c>
      <c r="AB103" s="30" t="n">
        <v>0</v>
      </c>
      <c r="AC103" s="30" t="n">
        <v>0</v>
      </c>
      <c r="AD103" s="30" t="n">
        <v>0</v>
      </c>
      <c r="AE103" s="30" t="n">
        <v>0</v>
      </c>
      <c r="AF103" s="30" t="n">
        <v>0</v>
      </c>
      <c r="AG103" s="30" t="n">
        <v>0</v>
      </c>
      <c r="AH103" s="30" t="n">
        <v>0</v>
      </c>
      <c r="AI103" s="30" t="n">
        <v>0</v>
      </c>
      <c r="AJ103" s="30" t="n">
        <v>0</v>
      </c>
      <c r="AK103" s="30" t="n">
        <v>0</v>
      </c>
      <c r="AL103" s="30" t="n">
        <v>0</v>
      </c>
      <c r="AM103" s="30" t="n">
        <v>0</v>
      </c>
      <c r="AN103" s="30" t="n">
        <v>0</v>
      </c>
      <c r="AO103" s="30" t="n">
        <v>0</v>
      </c>
      <c r="AP103" s="30" t="n">
        <v>0</v>
      </c>
      <c r="AQ103" s="30" t="n">
        <v>0</v>
      </c>
      <c r="AR103" s="30" t="n">
        <v>0</v>
      </c>
      <c r="AS103" s="30" t="n">
        <v>0</v>
      </c>
      <c r="AT103" s="30" t="n">
        <v>0</v>
      </c>
      <c r="AU103" s="30" t="n">
        <v>0</v>
      </c>
      <c r="AV103" s="30" t="n">
        <v>0</v>
      </c>
      <c r="AW103" s="30" t="n">
        <v>0</v>
      </c>
      <c r="AX103" s="30" t="n">
        <v>0</v>
      </c>
      <c r="AY103" s="30" t="n">
        <v>0</v>
      </c>
      <c r="AZ103" s="30" t="n">
        <v>0</v>
      </c>
      <c r="BA103" s="30" t="n">
        <v>0</v>
      </c>
      <c r="BB103" s="30" t="n">
        <v>0</v>
      </c>
      <c r="BC103" s="30" t="n">
        <v>0</v>
      </c>
      <c r="BD103" s="30" t="n">
        <v>0</v>
      </c>
      <c r="BE103" s="30" t="n">
        <v>0</v>
      </c>
      <c r="BF103" s="30" t="n">
        <v>0</v>
      </c>
      <c r="BG103" s="30" t="n">
        <v>0</v>
      </c>
      <c r="BH103" s="30" t="n">
        <v>0</v>
      </c>
      <c r="BI103" s="30" t="n">
        <v>0</v>
      </c>
      <c r="BJ103" s="30" t="n">
        <v>0</v>
      </c>
      <c r="BK103" s="30" t="n">
        <v>0</v>
      </c>
      <c r="BL103" s="30" t="n">
        <v>0</v>
      </c>
      <c r="BM103" s="30" t="n">
        <v>0</v>
      </c>
      <c r="BN103" s="30" t="n">
        <v>0</v>
      </c>
      <c r="BO103" s="30" t="n">
        <v>0</v>
      </c>
      <c r="BP103" s="30" t="n">
        <v>0</v>
      </c>
      <c r="BQ103" s="30" t="n">
        <v>0</v>
      </c>
      <c r="BR103" s="30" t="n">
        <v>0</v>
      </c>
      <c r="BS103" s="30" t="n">
        <v>0</v>
      </c>
      <c r="BT103" s="30" t="n">
        <v>0</v>
      </c>
      <c r="BU103" s="30" t="n">
        <v>0</v>
      </c>
      <c r="BV103" s="30" t="n">
        <v>0</v>
      </c>
      <c r="BW103" s="30" t="n">
        <v>0</v>
      </c>
      <c r="BX103" s="30" t="n">
        <v>0</v>
      </c>
      <c r="BY103" s="30" t="n">
        <v>0</v>
      </c>
      <c r="BZ103" s="30" t="n">
        <v>0</v>
      </c>
      <c r="CA103" s="30" t="n">
        <v>0</v>
      </c>
      <c r="CB103" s="30" t="n">
        <v>0</v>
      </c>
      <c r="CC103" s="30" t="n">
        <v>0</v>
      </c>
      <c r="CD103" s="30" t="n">
        <v>0</v>
      </c>
      <c r="CE103" s="30" t="n">
        <v>0</v>
      </c>
      <c r="CF103" s="30" t="n">
        <v>0</v>
      </c>
      <c r="CG103" s="30" t="n">
        <v>0</v>
      </c>
      <c r="CH103" s="30" t="n">
        <v>0</v>
      </c>
      <c r="CI103" s="30" t="n">
        <v>0</v>
      </c>
      <c r="CJ103" s="30" t="n">
        <v>0</v>
      </c>
      <c r="CK103" s="30" t="n">
        <v>0</v>
      </c>
      <c r="CL103" s="30" t="n">
        <v>0</v>
      </c>
      <c r="CM103" s="30" t="n">
        <v>0</v>
      </c>
      <c r="CN103" s="30" t="n">
        <v>0</v>
      </c>
      <c r="CO103" s="30" t="n">
        <v>0</v>
      </c>
      <c r="CP103" s="30" t="n">
        <v>0</v>
      </c>
      <c r="CQ103" s="30" t="n">
        <v>0</v>
      </c>
      <c r="CR103" s="30" t="n">
        <v>0</v>
      </c>
      <c r="CS103" s="30" t="n">
        <v>0</v>
      </c>
      <c r="CT103" s="30" t="n">
        <v>0</v>
      </c>
      <c r="CU103" s="30" t="n">
        <v>0</v>
      </c>
      <c r="CV103" s="30" t="n">
        <v>0</v>
      </c>
      <c r="CW103" s="30" t="n">
        <v>0</v>
      </c>
      <c r="CX103" s="30" t="n">
        <v>0</v>
      </c>
      <c r="CY103" s="30" t="n">
        <v>0</v>
      </c>
      <c r="CZ103" s="30" t="n">
        <v>0</v>
      </c>
      <c r="DA103" s="30" t="n">
        <v>0</v>
      </c>
      <c r="DB103" s="30" t="n">
        <v>0</v>
      </c>
      <c r="DC103" s="30" t="n">
        <v>0</v>
      </c>
      <c r="DD103" s="30" t="n">
        <v>0</v>
      </c>
      <c r="DE103" s="30" t="n">
        <v>0</v>
      </c>
    </row>
    <row r="104" customFormat="false" ht="15" hidden="false" customHeight="true" outlineLevel="0" collapsed="false">
      <c r="A104" s="33" t="s">
        <v>54</v>
      </c>
      <c r="B104" s="34" t="n">
        <f aca="false">SUM(B60:B103)</f>
        <v>-1233067.43</v>
      </c>
      <c r="C104" s="34" t="n">
        <f aca="false">SUM(C60:C103)</f>
        <v>-3073522.36</v>
      </c>
      <c r="D104" s="34" t="n">
        <f aca="false">SUM(D60:D103)</f>
        <v>-2078031.64</v>
      </c>
      <c r="E104" s="34" t="n">
        <f aca="false">SUM(E60:E103)</f>
        <v>-3244999.65</v>
      </c>
      <c r="F104" s="34" t="n">
        <f aca="false">SUM(F60:F103)</f>
        <v>-3942274.93</v>
      </c>
      <c r="G104" s="34" t="n">
        <f aca="false">SUM(G60:G103)</f>
        <v>-5600617.85</v>
      </c>
      <c r="H104" s="34" t="n">
        <f aca="false">SUM(H60:H103)</f>
        <v>-4479813.60450137</v>
      </c>
      <c r="I104" s="34" t="n">
        <f aca="false">SUM(I60:I103)</f>
        <v>-5408554.72146914</v>
      </c>
      <c r="J104" s="34" t="n">
        <f aca="false">SUM(J60:J103)</f>
        <v>-5855005.21753296</v>
      </c>
      <c r="K104" s="34" t="n">
        <f aca="false">SUM(K60:K103)</f>
        <v>-6348557.76557328</v>
      </c>
      <c r="L104" s="34" t="n">
        <f aca="false">SUM(L60:L103)</f>
        <v>-6552734.6897113</v>
      </c>
      <c r="M104" s="34" t="n">
        <f aca="false">SUM(M60:M103)</f>
        <v>-6223711.82384292</v>
      </c>
      <c r="N104" s="34" t="n">
        <f aca="false">SUM(N60:N103)</f>
        <v>-6442587.38159319</v>
      </c>
      <c r="O104" s="34" t="n">
        <f aca="false">SUM(O60:O103)</f>
        <v>-6606938.23340947</v>
      </c>
      <c r="P104" s="34" t="n">
        <f aca="false">SUM(P60:P103)</f>
        <v>-6713256.45590185</v>
      </c>
      <c r="Q104" s="34" t="n">
        <f aca="false">SUM(Q60:Q103)</f>
        <v>-7314757.77014067</v>
      </c>
      <c r="R104" s="34" t="n">
        <f aca="false">SUM(R60:R103)</f>
        <v>-7405976.7355801</v>
      </c>
      <c r="S104" s="34" t="n">
        <f aca="false">SUM(S60:S103)</f>
        <v>-7439386.10548287</v>
      </c>
      <c r="T104" s="34" t="n">
        <f aca="false">SUM(T60:T103)</f>
        <v>-6861637.14454798</v>
      </c>
      <c r="U104" s="34" t="n">
        <f aca="false">SUM(U60:U103)</f>
        <v>-6475032.91778725</v>
      </c>
      <c r="V104" s="34" t="n">
        <f aca="false">SUM(V60:V103)</f>
        <v>-6519362.55108518</v>
      </c>
      <c r="W104" s="34" t="n">
        <f aca="false">SUM(W60:W103)</f>
        <v>-6481537.00263414</v>
      </c>
      <c r="X104" s="34" t="n">
        <f aca="false">SUM(X60:X103)</f>
        <v>-6313555.12381384</v>
      </c>
      <c r="Y104" s="34" t="n">
        <f aca="false">SUM(Y60:Y103)</f>
        <v>-6150131.60996374</v>
      </c>
      <c r="Z104" s="34" t="n">
        <f aca="false">SUM(Z60:Z103)</f>
        <v>-5931819.34532969</v>
      </c>
      <c r="AA104" s="34" t="n">
        <f aca="false">SUM(AA60:AA103)</f>
        <v>-5591891.05234731</v>
      </c>
      <c r="AB104" s="34" t="n">
        <f aca="false">SUM(AB60:AB103)</f>
        <v>-5182236.92898422</v>
      </c>
      <c r="AC104" s="34" t="n">
        <f aca="false">SUM(AC60:AC103)</f>
        <v>-4825083.45616502</v>
      </c>
      <c r="AD104" s="34" t="n">
        <f aca="false">SUM(AD60:AD103)</f>
        <v>-4393815.61003282</v>
      </c>
      <c r="AE104" s="34" t="n">
        <f aca="false">SUM(AE60:AE103)</f>
        <v>-4687673.12574767</v>
      </c>
      <c r="AF104" s="34" t="n">
        <f aca="false">SUM(AF60:AF103)</f>
        <v>-4547714.09876067</v>
      </c>
      <c r="AG104" s="34" t="n">
        <f aca="false">SUM(AG60:AG103)</f>
        <v>-4266014.32368372</v>
      </c>
      <c r="AH104" s="34" t="n">
        <f aca="false">SUM(AH60:AH103)</f>
        <v>-3970559.76782921</v>
      </c>
      <c r="AI104" s="34" t="n">
        <f aca="false">SUM(AI60:AI103)</f>
        <v>-3867321.69379361</v>
      </c>
      <c r="AJ104" s="34" t="n">
        <f aca="false">SUM(AJ60:AJ103)</f>
        <v>-3752390.01609081</v>
      </c>
      <c r="AK104" s="34" t="n">
        <f aca="false">SUM(AK60:AK103)</f>
        <v>-3627960.17095861</v>
      </c>
      <c r="AL104" s="34" t="n">
        <f aca="false">SUM(AL60:AL103)</f>
        <v>-3152132.58396312</v>
      </c>
      <c r="AM104" s="34" t="n">
        <f aca="false">SUM(AM60:AM103)</f>
        <v>-2784122.72612224</v>
      </c>
      <c r="AN104" s="34" t="n">
        <f aca="false">SUM(AN60:AN103)</f>
        <v>-2758500.16771824</v>
      </c>
      <c r="AO104" s="34" t="n">
        <f aca="false">SUM(AO60:AO103)</f>
        <v>-2717434.98835224</v>
      </c>
      <c r="AP104" s="34" t="n">
        <f aca="false">SUM(AP60:AP103)</f>
        <v>-2661368.68946424</v>
      </c>
      <c r="AQ104" s="34" t="n">
        <f aca="false">SUM(AQ60:AQ103)</f>
        <v>-2590847.27570024</v>
      </c>
      <c r="AR104" s="34" t="n">
        <f aca="false">SUM(AR60:AR103)</f>
        <v>-2506479.90028024</v>
      </c>
      <c r="AS104" s="34" t="n">
        <f aca="false">SUM(AS60:AS103)</f>
        <v>-2409088.63497424</v>
      </c>
      <c r="AT104" s="34" t="n">
        <f aca="false">SUM(AT60:AT103)</f>
        <v>-2027193.26653074</v>
      </c>
      <c r="AU104" s="34" t="n">
        <f aca="false">SUM(AU60:AU103)</f>
        <v>-1724513.72534745</v>
      </c>
      <c r="AV104" s="34" t="n">
        <f aca="false">SUM(AV60:AV103)</f>
        <v>-1687294.55654745</v>
      </c>
      <c r="AW104" s="34" t="n">
        <f aca="false">SUM(AW60:AW103)</f>
        <v>-1632789.15157145</v>
      </c>
      <c r="AX104" s="34" t="n">
        <f aca="false">SUM(AX60:AX103)</f>
        <v>-1562651.69569945</v>
      </c>
      <c r="AY104" s="34" t="n">
        <f aca="false">SUM(AY60:AY103)</f>
        <v>-1478825.85663545</v>
      </c>
      <c r="AZ104" s="34" t="n">
        <f aca="false">SUM(AZ60:AZ103)</f>
        <v>-1383586.13913945</v>
      </c>
      <c r="BA104" s="34" t="n">
        <f aca="false">SUM(BA60:BA103)</f>
        <v>-1279496.53039545</v>
      </c>
      <c r="BB104" s="34" t="n">
        <f aca="false">SUM(BB60:BB103)</f>
        <v>-1169079.66295545</v>
      </c>
      <c r="BC104" s="34" t="n">
        <f aca="false">SUM(BC60:BC103)</f>
        <v>-1054982.23326745</v>
      </c>
      <c r="BD104" s="34" t="n">
        <f aca="false">SUM(BD60:BD103)</f>
        <v>-939685.519251453</v>
      </c>
      <c r="BE104" s="34" t="n">
        <f aca="false">SUM(BE60:BE103)</f>
        <v>-825464.025667453</v>
      </c>
      <c r="BF104" s="34" t="n">
        <f aca="false">SUM(BF60:BF103)</f>
        <v>-714385.484115453</v>
      </c>
      <c r="BG104" s="34" t="n">
        <f aca="false">SUM(BG60:BG103)</f>
        <v>-608145.434507453</v>
      </c>
      <c r="BH104" s="34" t="n">
        <f aca="false">SUM(BH60:BH103)</f>
        <v>-259255.013907853</v>
      </c>
      <c r="BI104" s="34" t="n">
        <f aca="false">SUM(BI60:BI103)</f>
        <v>0</v>
      </c>
      <c r="BJ104" s="34" t="n">
        <f aca="false">SUM(BJ60:BJ103)</f>
        <v>0</v>
      </c>
      <c r="BK104" s="34" t="n">
        <f aca="false">SUM(BK60:BK103)</f>
        <v>0</v>
      </c>
      <c r="BL104" s="34" t="n">
        <f aca="false">SUM(BL60:BL103)</f>
        <v>0</v>
      </c>
      <c r="BM104" s="34" t="n">
        <f aca="false">SUM(BM60:BM103)</f>
        <v>0</v>
      </c>
      <c r="BN104" s="34" t="n">
        <f aca="false">SUM(BN60:BN103)</f>
        <v>0</v>
      </c>
      <c r="BO104" s="34" t="n">
        <f aca="false">SUM(BO60:BO103)</f>
        <v>0</v>
      </c>
      <c r="BP104" s="34" t="n">
        <f aca="false">SUM(BP60:BP103)</f>
        <v>0</v>
      </c>
      <c r="BQ104" s="34" t="n">
        <f aca="false">SUM(BQ60:BQ103)</f>
        <v>0</v>
      </c>
      <c r="BR104" s="34" t="n">
        <f aca="false">SUM(BR60:BR103)</f>
        <v>0</v>
      </c>
      <c r="BS104" s="34" t="n">
        <f aca="false">SUM(BS60:BS103)</f>
        <v>0</v>
      </c>
      <c r="BT104" s="34" t="n">
        <f aca="false">SUM(BT60:BT103)</f>
        <v>0</v>
      </c>
      <c r="BU104" s="34" t="n">
        <f aca="false">SUM(BU60:BU103)</f>
        <v>0</v>
      </c>
      <c r="BV104" s="34" t="n">
        <f aca="false">SUM(BV60:BV103)</f>
        <v>0</v>
      </c>
      <c r="BW104" s="34" t="n">
        <f aca="false">SUM(BW60:BW103)</f>
        <v>0</v>
      </c>
      <c r="BX104" s="34" t="n">
        <f aca="false">SUM(BX60:BX103)</f>
        <v>0</v>
      </c>
      <c r="BY104" s="34" t="n">
        <f aca="false">SUM(BY60:BY103)</f>
        <v>0</v>
      </c>
      <c r="BZ104" s="34" t="n">
        <f aca="false">SUM(BZ60:BZ103)</f>
        <v>0</v>
      </c>
      <c r="CA104" s="34" t="n">
        <f aca="false">SUM(CA60:CA103)</f>
        <v>0</v>
      </c>
      <c r="CB104" s="34" t="n">
        <f aca="false">SUM(CB60:CB103)</f>
        <v>0</v>
      </c>
      <c r="CC104" s="34" t="n">
        <f aca="false">SUM(CC60:CC103)</f>
        <v>0</v>
      </c>
      <c r="CD104" s="34" t="n">
        <f aca="false">SUM(CD60:CD103)</f>
        <v>0</v>
      </c>
      <c r="CE104" s="34" t="n">
        <f aca="false">SUM(CE60:CE103)</f>
        <v>0</v>
      </c>
      <c r="CF104" s="34" t="n">
        <f aca="false">SUM(CF60:CF103)</f>
        <v>0</v>
      </c>
      <c r="CG104" s="34" t="n">
        <f aca="false">SUM(CG60:CG103)</f>
        <v>0</v>
      </c>
      <c r="CH104" s="34" t="n">
        <f aca="false">SUM(CH60:CH103)</f>
        <v>0</v>
      </c>
      <c r="CI104" s="34" t="n">
        <f aca="false">SUM(CI60:CI103)</f>
        <v>0</v>
      </c>
      <c r="CJ104" s="34" t="n">
        <f aca="false">SUM(CJ60:CJ103)</f>
        <v>0</v>
      </c>
      <c r="CK104" s="34" t="n">
        <f aca="false">SUM(CK60:CK103)</f>
        <v>0</v>
      </c>
      <c r="CL104" s="34" t="n">
        <f aca="false">SUM(CL60:CL103)</f>
        <v>0</v>
      </c>
      <c r="CM104" s="34" t="n">
        <f aca="false">SUM(CM60:CM103)</f>
        <v>0</v>
      </c>
      <c r="CN104" s="34" t="n">
        <f aca="false">SUM(CN60:CN103)</f>
        <v>0</v>
      </c>
      <c r="CO104" s="34" t="n">
        <f aca="false">SUM(CO60:CO103)</f>
        <v>0</v>
      </c>
      <c r="CP104" s="34" t="n">
        <f aca="false">SUM(CP60:CP103)</f>
        <v>0</v>
      </c>
      <c r="CQ104" s="34" t="n">
        <f aca="false">SUM(CQ60:CQ103)</f>
        <v>0</v>
      </c>
      <c r="CR104" s="34" t="n">
        <f aca="false">SUM(CR60:CR103)</f>
        <v>0</v>
      </c>
      <c r="CS104" s="34" t="n">
        <f aca="false">SUM(CS60:CS103)</f>
        <v>0</v>
      </c>
      <c r="CT104" s="34" t="n">
        <f aca="false">SUM(CT60:CT103)</f>
        <v>0</v>
      </c>
      <c r="CU104" s="34" t="n">
        <f aca="false">SUM(CU60:CU103)</f>
        <v>0</v>
      </c>
      <c r="CV104" s="34" t="n">
        <f aca="false">SUM(CV60:CV103)</f>
        <v>0</v>
      </c>
      <c r="CW104" s="34" t="n">
        <f aca="false">SUM(CW60:CW103)</f>
        <v>0</v>
      </c>
      <c r="CX104" s="34" t="n">
        <f aca="false">SUM(CX60:CX103)</f>
        <v>0</v>
      </c>
      <c r="CY104" s="34" t="n">
        <f aca="false">SUM(CY60:CY103)</f>
        <v>0</v>
      </c>
      <c r="CZ104" s="34" t="n">
        <f aca="false">SUM(CZ60:CZ103)</f>
        <v>0</v>
      </c>
      <c r="DA104" s="34" t="n">
        <f aca="false">SUM(DA60:DA103)</f>
        <v>0</v>
      </c>
      <c r="DB104" s="34" t="n">
        <f aca="false">SUM(DB60:DB103)</f>
        <v>0</v>
      </c>
      <c r="DC104" s="34" t="n">
        <f aca="false">SUM(DC60:DC103)</f>
        <v>0</v>
      </c>
      <c r="DD104" s="34" t="n">
        <f aca="false">SUM(DD60:DD103)</f>
        <v>0</v>
      </c>
      <c r="DE104" s="34" t="n">
        <f aca="false">SUM(DE60:DE103)</f>
        <v>0</v>
      </c>
    </row>
    <row r="105" customFormat="false" ht="15" hidden="false" customHeight="true" outlineLevel="0" collapsed="false">
      <c r="A105" s="29" t="s">
        <v>55</v>
      </c>
      <c r="B105" s="14" t="n">
        <f aca="false">IF(ISBLANK(Actuals!C15),0,Actuals!C15)</f>
        <v>0</v>
      </c>
      <c r="C105" s="14" t="n">
        <f aca="false">IF(ISBLANK(Actuals!D15),0,Actuals!D15)</f>
        <v>0</v>
      </c>
      <c r="D105" s="14" t="n">
        <f aca="false">IF(ISBLANK(Actuals!E15),0,Actuals!E15)</f>
        <v>0</v>
      </c>
      <c r="E105" s="14" t="n">
        <f aca="false">IF(ISBLANK(Actuals!F15),IF(AND(Projects!$G$6="Yes",Projects!$F$6="Yes",1=Projects!$C$6),Projects!$B$6*Projects!$T$6,0)+IF(AND(Projects!$G$7="Yes",Projects!$F$7="Yes",1=Projects!$C$7),Projects!$B$7*Projects!$T$7,0)+IF(AND(Projects!$G$8="Yes",Projects!$F$8="Yes",1=Projects!$C$8),Projects!$B$8*Projects!$T$8,0)+IF(AND(Projects!$G$9="Yes",Projects!$F$9="Yes",1=Projects!$C$9),Projects!$B$9*Projects!$T$9,0)+IF(AND(Projects!$G$10="Yes",Projects!$F$10="Yes",1=Projects!$C$10),Projects!$B$10*Projects!$T$10,0)+IF(AND(Projects!$G$11="Yes",Projects!$F$11="Yes",1=Projects!$C$11),Projects!$B$11*Projects!$T$11,0)+IF(AND(Projects!$G$12="Yes",Projects!$F$12="Yes",1=Projects!$C$12),Projects!$B$12*Projects!$T$12,0)+IF(AND(Projects!$G$13="Yes",Projects!$F$13="Yes",1=Projects!$C$13),Projects!$B$13*Projects!$T$13,0)+IF(AND(Projects!$G$14="Yes",Projects!$F$14="Yes",1=Projects!$C$14),Projects!$B$14*Projects!$T$14,0)+IF(AND(Projects!$G$15="Yes",Projects!$F$15="Yes",1=Projects!$C$15),Projects!$B$15*Projects!$T$15,0)+IF(AND(Projects!$G$16="Yes",Projects!$F$16="Yes",1=Projects!$C$16),Projects!$B$16*Projects!$T$16,0),Actuals!F15)</f>
        <v>0</v>
      </c>
      <c r="F105" s="14" t="n">
        <f aca="false">IF(ISBLANK(Actuals!G15),IF(AND(Projects!$G$6="Yes",Projects!$F$6="Yes",2=Projects!$C$6),Projects!$B$6*Projects!$T$6,0)+IF(AND(Projects!$G$7="Yes",Projects!$F$7="Yes",2=Projects!$C$7),Projects!$B$7*Projects!$T$7,0)+IF(AND(Projects!$G$8="Yes",Projects!$F$8="Yes",2=Projects!$C$8),Projects!$B$8*Projects!$T$8,0)+IF(AND(Projects!$G$9="Yes",Projects!$F$9="Yes",2=Projects!$C$9),Projects!$B$9*Projects!$T$9,0)+IF(AND(Projects!$G$10="Yes",Projects!$F$10="Yes",2=Projects!$C$10),Projects!$B$10*Projects!$T$10,0)+IF(AND(Projects!$G$11="Yes",Projects!$F$11="Yes",2=Projects!$C$11),Projects!$B$11*Projects!$T$11,0)+IF(AND(Projects!$G$12="Yes",Projects!$F$12="Yes",2=Projects!$C$12),Projects!$B$12*Projects!$T$12,0)+IF(AND(Projects!$G$13="Yes",Projects!$F$13="Yes",2=Projects!$C$13),Projects!$B$13*Projects!$T$13,0)+IF(AND(Projects!$G$14="Yes",Projects!$F$14="Yes",2=Projects!$C$14),Projects!$B$14*Projects!$T$14,0)+IF(AND(Projects!$G$15="Yes",Projects!$F$15="Yes",2=Projects!$C$15),Projects!$B$15*Projects!$T$15,0)+IF(AND(Projects!$G$16="Yes",Projects!$F$16="Yes",2=Projects!$C$16),Projects!$B$16*Projects!$T$16,0),Actuals!G15)</f>
        <v>0</v>
      </c>
      <c r="G105" s="14" t="n">
        <f aca="false">IF(ISBLANK(Actuals!H15),IF(AND(Projects!$G$6="Yes",Projects!$F$6="Yes",3=Projects!$C$6),Projects!$B$6*Projects!$T$6,0)+IF(AND(Projects!$G$7="Yes",Projects!$F$7="Yes",3=Projects!$C$7),Projects!$B$7*Projects!$T$7,0)+IF(AND(Projects!$G$8="Yes",Projects!$F$8="Yes",3=Projects!$C$8),Projects!$B$8*Projects!$T$8,0)+IF(AND(Projects!$G$9="Yes",Projects!$F$9="Yes",3=Projects!$C$9),Projects!$B$9*Projects!$T$9,0)+IF(AND(Projects!$G$10="Yes",Projects!$F$10="Yes",3=Projects!$C$10),Projects!$B$10*Projects!$T$10,0)+IF(AND(Projects!$G$11="Yes",Projects!$F$11="Yes",3=Projects!$C$11),Projects!$B$11*Projects!$T$11,0)+IF(AND(Projects!$G$12="Yes",Projects!$F$12="Yes",3=Projects!$C$12),Projects!$B$12*Projects!$T$12,0)+IF(AND(Projects!$G$13="Yes",Projects!$F$13="Yes",3=Projects!$C$13),Projects!$B$13*Projects!$T$13,0)+IF(AND(Projects!$G$14="Yes",Projects!$F$14="Yes",3=Projects!$C$14),Projects!$B$14*Projects!$T$14,0)+IF(AND(Projects!$G$15="Yes",Projects!$F$15="Yes",3=Projects!$C$15),Projects!$B$15*Projects!$T$15,0)+IF(AND(Projects!$G$16="Yes",Projects!$F$16="Yes",3=Projects!$C$16),Projects!$B$16*Projects!$T$16,0),Actuals!H15)</f>
        <v>0</v>
      </c>
      <c r="H105" s="14" t="n">
        <f aca="false">IF(ISBLANK(Actuals!I15),IF(AND(Projects!$G$6="Yes",Projects!$F$6="Yes",4=Projects!$C$6),Projects!$B$6*Projects!$T$6,0)+IF(AND(Projects!$G$7="Yes",Projects!$F$7="Yes",4=Projects!$C$7),Projects!$B$7*Projects!$T$7,0)+IF(AND(Projects!$G$8="Yes",Projects!$F$8="Yes",4=Projects!$C$8),Projects!$B$8*Projects!$T$8,0)+IF(AND(Projects!$G$9="Yes",Projects!$F$9="Yes",4=Projects!$C$9),Projects!$B$9*Projects!$T$9,0)+IF(AND(Projects!$G$10="Yes",Projects!$F$10="Yes",4=Projects!$C$10),Projects!$B$10*Projects!$T$10,0)+IF(AND(Projects!$G$11="Yes",Projects!$F$11="Yes",4=Projects!$C$11),Projects!$B$11*Projects!$T$11,0)+IF(AND(Projects!$G$12="Yes",Projects!$F$12="Yes",4=Projects!$C$12),Projects!$B$12*Projects!$T$12,0)+IF(AND(Projects!$G$13="Yes",Projects!$F$13="Yes",4=Projects!$C$13),Projects!$B$13*Projects!$T$13,0)+IF(AND(Projects!$G$14="Yes",Projects!$F$14="Yes",4=Projects!$C$14),Projects!$B$14*Projects!$T$14,0)+IF(AND(Projects!$G$15="Yes",Projects!$F$15="Yes",4=Projects!$C$15),Projects!$B$15*Projects!$T$15,0)+IF(AND(Projects!$G$16="Yes",Projects!$F$16="Yes",4=Projects!$C$16),Projects!$B$16*Projects!$T$16,0),Actuals!I15)</f>
        <v>0</v>
      </c>
      <c r="I105" s="14" t="n">
        <f aca="false">IF(ISBLANK(Actuals!J15),IF(AND(Projects!$G$6="Yes",Projects!$F$6="Yes",5=Projects!$C$6),Projects!$B$6*Projects!$T$6,0)+IF(AND(Projects!$G$7="Yes",Projects!$F$7="Yes",5=Projects!$C$7),Projects!$B$7*Projects!$T$7,0)+IF(AND(Projects!$G$8="Yes",Projects!$F$8="Yes",5=Projects!$C$8),Projects!$B$8*Projects!$T$8,0)+IF(AND(Projects!$G$9="Yes",Projects!$F$9="Yes",5=Projects!$C$9),Projects!$B$9*Projects!$T$9,0)+IF(AND(Projects!$G$10="Yes",Projects!$F$10="Yes",5=Projects!$C$10),Projects!$B$10*Projects!$T$10,0)+IF(AND(Projects!$G$11="Yes",Projects!$F$11="Yes",5=Projects!$C$11),Projects!$B$11*Projects!$T$11,0)+IF(AND(Projects!$G$12="Yes",Projects!$F$12="Yes",5=Projects!$C$12),Projects!$B$12*Projects!$T$12,0)+IF(AND(Projects!$G$13="Yes",Projects!$F$13="Yes",5=Projects!$C$13),Projects!$B$13*Projects!$T$13,0)+IF(AND(Projects!$G$14="Yes",Projects!$F$14="Yes",5=Projects!$C$14),Projects!$B$14*Projects!$T$14,0)+IF(AND(Projects!$G$15="Yes",Projects!$F$15="Yes",5=Projects!$C$15),Projects!$B$15*Projects!$T$15,0)+IF(AND(Projects!$G$16="Yes",Projects!$F$16="Yes",5=Projects!$C$16),Projects!$B$16*Projects!$T$16,0),Actuals!J15)</f>
        <v>1243016.26</v>
      </c>
      <c r="J105" s="14" t="n">
        <f aca="false">IF(ISBLANK(Actuals!K15),IF(AND(Projects!$G$6="Yes",Projects!$F$6="Yes",6=Projects!$C$6),Projects!$B$6*Projects!$T$6,0)+IF(AND(Projects!$G$7="Yes",Projects!$F$7="Yes",6=Projects!$C$7),Projects!$B$7*Projects!$T$7,0)+IF(AND(Projects!$G$8="Yes",Projects!$F$8="Yes",6=Projects!$C$8),Projects!$B$8*Projects!$T$8,0)+IF(AND(Projects!$G$9="Yes",Projects!$F$9="Yes",6=Projects!$C$9),Projects!$B$9*Projects!$T$9,0)+IF(AND(Projects!$G$10="Yes",Projects!$F$10="Yes",6=Projects!$C$10),Projects!$B$10*Projects!$T$10,0)+IF(AND(Projects!$G$11="Yes",Projects!$F$11="Yes",6=Projects!$C$11),Projects!$B$11*Projects!$T$11,0)+IF(AND(Projects!$G$12="Yes",Projects!$F$12="Yes",6=Projects!$C$12),Projects!$B$12*Projects!$T$12,0)+IF(AND(Projects!$G$13="Yes",Projects!$F$13="Yes",6=Projects!$C$13),Projects!$B$13*Projects!$T$13,0)+IF(AND(Projects!$G$14="Yes",Projects!$F$14="Yes",6=Projects!$C$14),Projects!$B$14*Projects!$T$14,0)+IF(AND(Projects!$G$15="Yes",Projects!$F$15="Yes",6=Projects!$C$15),Projects!$B$15*Projects!$T$15,0)+IF(AND(Projects!$G$16="Yes",Projects!$F$16="Yes",6=Projects!$C$16),Projects!$B$16*Projects!$T$16,0),Actuals!K15)</f>
        <v>318951.075</v>
      </c>
      <c r="K105" s="14" t="n">
        <f aca="false">IF(ISBLANK(Actuals!L15),IF(AND(Projects!$G$6="Yes",Projects!$F$6="Yes",7=Projects!$C$6),Projects!$B$6*Projects!$T$6,0)+IF(AND(Projects!$G$7="Yes",Projects!$F$7="Yes",7=Projects!$C$7),Projects!$B$7*Projects!$T$7,0)+IF(AND(Projects!$G$8="Yes",Projects!$F$8="Yes",7=Projects!$C$8),Projects!$B$8*Projects!$T$8,0)+IF(AND(Projects!$G$9="Yes",Projects!$F$9="Yes",7=Projects!$C$9),Projects!$B$9*Projects!$T$9,0)+IF(AND(Projects!$G$10="Yes",Projects!$F$10="Yes",7=Projects!$C$10),Projects!$B$10*Projects!$T$10,0)+IF(AND(Projects!$G$11="Yes",Projects!$F$11="Yes",7=Projects!$C$11),Projects!$B$11*Projects!$T$11,0)+IF(AND(Projects!$G$12="Yes",Projects!$F$12="Yes",7=Projects!$C$12),Projects!$B$12*Projects!$T$12,0)+IF(AND(Projects!$G$13="Yes",Projects!$F$13="Yes",7=Projects!$C$13),Projects!$B$13*Projects!$T$13,0)+IF(AND(Projects!$G$14="Yes",Projects!$F$14="Yes",7=Projects!$C$14),Projects!$B$14*Projects!$T$14,0)+IF(AND(Projects!$G$15="Yes",Projects!$F$15="Yes",7=Projects!$C$15),Projects!$B$15*Projects!$T$15,0)+IF(AND(Projects!$G$16="Yes",Projects!$F$16="Yes",7=Projects!$C$16),Projects!$B$16*Projects!$T$16,0),Actuals!L15)</f>
        <v>0</v>
      </c>
      <c r="L105" s="14" t="n">
        <f aca="false">IF(ISBLANK(Actuals!M15),IF(AND(Projects!$G$6="Yes",Projects!$F$6="Yes",8=Projects!$C$6),Projects!$B$6*Projects!$T$6,0)+IF(AND(Projects!$G$7="Yes",Projects!$F$7="Yes",8=Projects!$C$7),Projects!$B$7*Projects!$T$7,0)+IF(AND(Projects!$G$8="Yes",Projects!$F$8="Yes",8=Projects!$C$8),Projects!$B$8*Projects!$T$8,0)+IF(AND(Projects!$G$9="Yes",Projects!$F$9="Yes",8=Projects!$C$9),Projects!$B$9*Projects!$T$9,0)+IF(AND(Projects!$G$10="Yes",Projects!$F$10="Yes",8=Projects!$C$10),Projects!$B$10*Projects!$T$10,0)+IF(AND(Projects!$G$11="Yes",Projects!$F$11="Yes",8=Projects!$C$11),Projects!$B$11*Projects!$T$11,0)+IF(AND(Projects!$G$12="Yes",Projects!$F$12="Yes",8=Projects!$C$12),Projects!$B$12*Projects!$T$12,0)+IF(AND(Projects!$G$13="Yes",Projects!$F$13="Yes",8=Projects!$C$13),Projects!$B$13*Projects!$T$13,0)+IF(AND(Projects!$G$14="Yes",Projects!$F$14="Yes",8=Projects!$C$14),Projects!$B$14*Projects!$T$14,0)+IF(AND(Projects!$G$15="Yes",Projects!$F$15="Yes",8=Projects!$C$15),Projects!$B$15*Projects!$T$15,0)+IF(AND(Projects!$G$16="Yes",Projects!$F$16="Yes",8=Projects!$C$16),Projects!$B$16*Projects!$T$16,0),Actuals!M15)</f>
        <v>0</v>
      </c>
      <c r="M105" s="14" t="n">
        <f aca="false">IF(ISBLANK(Actuals!N15),IF(AND(Projects!$G$6="Yes",Projects!$F$6="Yes",9=Projects!$C$6),Projects!$B$6*Projects!$T$6,0)+IF(AND(Projects!$G$7="Yes",Projects!$F$7="Yes",9=Projects!$C$7),Projects!$B$7*Projects!$T$7,0)+IF(AND(Projects!$G$8="Yes",Projects!$F$8="Yes",9=Projects!$C$8),Projects!$B$8*Projects!$T$8,0)+IF(AND(Projects!$G$9="Yes",Projects!$F$9="Yes",9=Projects!$C$9),Projects!$B$9*Projects!$T$9,0)+IF(AND(Projects!$G$10="Yes",Projects!$F$10="Yes",9=Projects!$C$10),Projects!$B$10*Projects!$T$10,0)+IF(AND(Projects!$G$11="Yes",Projects!$F$11="Yes",9=Projects!$C$11),Projects!$B$11*Projects!$T$11,0)+IF(AND(Projects!$G$12="Yes",Projects!$F$12="Yes",9=Projects!$C$12),Projects!$B$12*Projects!$T$12,0)+IF(AND(Projects!$G$13="Yes",Projects!$F$13="Yes",9=Projects!$C$13),Projects!$B$13*Projects!$T$13,0)+IF(AND(Projects!$G$14="Yes",Projects!$F$14="Yes",9=Projects!$C$14),Projects!$B$14*Projects!$T$14,0)+IF(AND(Projects!$G$15="Yes",Projects!$F$15="Yes",9=Projects!$C$15),Projects!$B$15*Projects!$T$15,0)+IF(AND(Projects!$G$16="Yes",Projects!$F$16="Yes",9=Projects!$C$16),Projects!$B$16*Projects!$T$16,0),Actuals!N15)</f>
        <v>0</v>
      </c>
      <c r="N105" s="14" t="n">
        <f aca="false">IF(ISBLANK(Actuals!O15),IF(AND(Projects!$G$6="Yes",Projects!$F$6="Yes",10=Projects!$C$6),Projects!$B$6*Projects!$T$6,0)+IF(AND(Projects!$G$7="Yes",Projects!$F$7="Yes",10=Projects!$C$7),Projects!$B$7*Projects!$T$7,0)+IF(AND(Projects!$G$8="Yes",Projects!$F$8="Yes",10=Projects!$C$8),Projects!$B$8*Projects!$T$8,0)+IF(AND(Projects!$G$9="Yes",Projects!$F$9="Yes",10=Projects!$C$9),Projects!$B$9*Projects!$T$9,0)+IF(AND(Projects!$G$10="Yes",Projects!$F$10="Yes",10=Projects!$C$10),Projects!$B$10*Projects!$T$10,0)+IF(AND(Projects!$G$11="Yes",Projects!$F$11="Yes",10=Projects!$C$11),Projects!$B$11*Projects!$T$11,0)+IF(AND(Projects!$G$12="Yes",Projects!$F$12="Yes",10=Projects!$C$12),Projects!$B$12*Projects!$T$12,0)+IF(AND(Projects!$G$13="Yes",Projects!$F$13="Yes",10=Projects!$C$13),Projects!$B$13*Projects!$T$13,0)+IF(AND(Projects!$G$14="Yes",Projects!$F$14="Yes",10=Projects!$C$14),Projects!$B$14*Projects!$T$14,0)+IF(AND(Projects!$G$15="Yes",Projects!$F$15="Yes",10=Projects!$C$15),Projects!$B$15*Projects!$T$15,0)+IF(AND(Projects!$G$16="Yes",Projects!$F$16="Yes",10=Projects!$C$16),Projects!$B$16*Projects!$T$16,0),Actuals!O15)</f>
        <v>0</v>
      </c>
      <c r="O105" s="14" t="n">
        <f aca="false">IF(ISBLANK(Actuals!P15),IF(AND(Projects!$G$6="Yes",Projects!$F$6="Yes",11=Projects!$C$6),Projects!$B$6*Projects!$T$6,0)+IF(AND(Projects!$G$7="Yes",Projects!$F$7="Yes",11=Projects!$C$7),Projects!$B$7*Projects!$T$7,0)+IF(AND(Projects!$G$8="Yes",Projects!$F$8="Yes",11=Projects!$C$8),Projects!$B$8*Projects!$T$8,0)+IF(AND(Projects!$G$9="Yes",Projects!$F$9="Yes",11=Projects!$C$9),Projects!$B$9*Projects!$T$9,0)+IF(AND(Projects!$G$10="Yes",Projects!$F$10="Yes",11=Projects!$C$10),Projects!$B$10*Projects!$T$10,0)+IF(AND(Projects!$G$11="Yes",Projects!$F$11="Yes",11=Projects!$C$11),Projects!$B$11*Projects!$T$11,0)+IF(AND(Projects!$G$12="Yes",Projects!$F$12="Yes",11=Projects!$C$12),Projects!$B$12*Projects!$T$12,0)+IF(AND(Projects!$G$13="Yes",Projects!$F$13="Yes",11=Projects!$C$13),Projects!$B$13*Projects!$T$13,0)+IF(AND(Projects!$G$14="Yes",Projects!$F$14="Yes",11=Projects!$C$14),Projects!$B$14*Projects!$T$14,0)+IF(AND(Projects!$G$15="Yes",Projects!$F$15="Yes",11=Projects!$C$15),Projects!$B$15*Projects!$T$15,0)+IF(AND(Projects!$G$16="Yes",Projects!$F$16="Yes",11=Projects!$C$16),Projects!$B$16*Projects!$T$16,0),Actuals!P15)</f>
        <v>0</v>
      </c>
      <c r="P105" s="14" t="n">
        <f aca="false">IF(ISBLANK(Actuals!Q15),IF(AND(Projects!$G$6="Yes",Projects!$F$6="Yes",12=Projects!$C$6),Projects!$B$6*Projects!$T$6,0)+IF(AND(Projects!$G$7="Yes",Projects!$F$7="Yes",12=Projects!$C$7),Projects!$B$7*Projects!$T$7,0)+IF(AND(Projects!$G$8="Yes",Projects!$F$8="Yes",12=Projects!$C$8),Projects!$B$8*Projects!$T$8,0)+IF(AND(Projects!$G$9="Yes",Projects!$F$9="Yes",12=Projects!$C$9),Projects!$B$9*Projects!$T$9,0)+IF(AND(Projects!$G$10="Yes",Projects!$F$10="Yes",12=Projects!$C$10),Projects!$B$10*Projects!$T$10,0)+IF(AND(Projects!$G$11="Yes",Projects!$F$11="Yes",12=Projects!$C$11),Projects!$B$11*Projects!$T$11,0)+IF(AND(Projects!$G$12="Yes",Projects!$F$12="Yes",12=Projects!$C$12),Projects!$B$12*Projects!$T$12,0)+IF(AND(Projects!$G$13="Yes",Projects!$F$13="Yes",12=Projects!$C$13),Projects!$B$13*Projects!$T$13,0)+IF(AND(Projects!$G$14="Yes",Projects!$F$14="Yes",12=Projects!$C$14),Projects!$B$14*Projects!$T$14,0)+IF(AND(Projects!$G$15="Yes",Projects!$F$15="Yes",12=Projects!$C$15),Projects!$B$15*Projects!$T$15,0)+IF(AND(Projects!$G$16="Yes",Projects!$F$16="Yes",12=Projects!$C$16),Projects!$B$16*Projects!$T$16,0),Actuals!Q15)</f>
        <v>0</v>
      </c>
      <c r="Q105" s="14" t="n">
        <f aca="false">IF(ISBLANK(Actuals!R15),IF(AND(Projects!$G$6="Yes",Projects!$F$6="Yes",13=Projects!$C$6),Projects!$B$6*Projects!$T$6,0)+IF(AND(Projects!$G$7="Yes",Projects!$F$7="Yes",13=Projects!$C$7),Projects!$B$7*Projects!$T$7,0)+IF(AND(Projects!$G$8="Yes",Projects!$F$8="Yes",13=Projects!$C$8),Projects!$B$8*Projects!$T$8,0)+IF(AND(Projects!$G$9="Yes",Projects!$F$9="Yes",13=Projects!$C$9),Projects!$B$9*Projects!$T$9,0)+IF(AND(Projects!$G$10="Yes",Projects!$F$10="Yes",13=Projects!$C$10),Projects!$B$10*Projects!$T$10,0)+IF(AND(Projects!$G$11="Yes",Projects!$F$11="Yes",13=Projects!$C$11),Projects!$B$11*Projects!$T$11,0)+IF(AND(Projects!$G$12="Yes",Projects!$F$12="Yes",13=Projects!$C$12),Projects!$B$12*Projects!$T$12,0)+IF(AND(Projects!$G$13="Yes",Projects!$F$13="Yes",13=Projects!$C$13),Projects!$B$13*Projects!$T$13,0)+IF(AND(Projects!$G$14="Yes",Projects!$F$14="Yes",13=Projects!$C$14),Projects!$B$14*Projects!$T$14,0)+IF(AND(Projects!$G$15="Yes",Projects!$F$15="Yes",13=Projects!$C$15),Projects!$B$15*Projects!$T$15,0)+IF(AND(Projects!$G$16="Yes",Projects!$F$16="Yes",13=Projects!$C$16),Projects!$B$16*Projects!$T$16,0),Actuals!R15)</f>
        <v>679001.55</v>
      </c>
      <c r="R105" s="14" t="n">
        <f aca="false">IF(ISBLANK(Actuals!S15),IF(AND(Projects!$G$6="Yes",Projects!$F$6="Yes",14=Projects!$C$6),Projects!$B$6*Projects!$T$6,0)+IF(AND(Projects!$G$7="Yes",Projects!$F$7="Yes",14=Projects!$C$7),Projects!$B$7*Projects!$T$7,0)+IF(AND(Projects!$G$8="Yes",Projects!$F$8="Yes",14=Projects!$C$8),Projects!$B$8*Projects!$T$8,0)+IF(AND(Projects!$G$9="Yes",Projects!$F$9="Yes",14=Projects!$C$9),Projects!$B$9*Projects!$T$9,0)+IF(AND(Projects!$G$10="Yes",Projects!$F$10="Yes",14=Projects!$C$10),Projects!$B$10*Projects!$T$10,0)+IF(AND(Projects!$G$11="Yes",Projects!$F$11="Yes",14=Projects!$C$11),Projects!$B$11*Projects!$T$11,0)+IF(AND(Projects!$G$12="Yes",Projects!$F$12="Yes",14=Projects!$C$12),Projects!$B$12*Projects!$T$12,0)+IF(AND(Projects!$G$13="Yes",Projects!$F$13="Yes",14=Projects!$C$13),Projects!$B$13*Projects!$T$13,0)+IF(AND(Projects!$G$14="Yes",Projects!$F$14="Yes",14=Projects!$C$14),Projects!$B$14*Projects!$T$14,0)+IF(AND(Projects!$G$15="Yes",Projects!$F$15="Yes",14=Projects!$C$15),Projects!$B$15*Projects!$T$15,0)+IF(AND(Projects!$G$16="Yes",Projects!$F$16="Yes",14=Projects!$C$16),Projects!$B$16*Projects!$T$16,0),Actuals!S15)</f>
        <v>0</v>
      </c>
      <c r="S105" s="14" t="n">
        <f aca="false">IF(ISBLANK(Actuals!T15),IF(AND(Projects!$G$6="Yes",Projects!$F$6="Yes",15=Projects!$C$6),Projects!$B$6*Projects!$T$6,0)+IF(AND(Projects!$G$7="Yes",Projects!$F$7="Yes",15=Projects!$C$7),Projects!$B$7*Projects!$T$7,0)+IF(AND(Projects!$G$8="Yes",Projects!$F$8="Yes",15=Projects!$C$8),Projects!$B$8*Projects!$T$8,0)+IF(AND(Projects!$G$9="Yes",Projects!$F$9="Yes",15=Projects!$C$9),Projects!$B$9*Projects!$T$9,0)+IF(AND(Projects!$G$10="Yes",Projects!$F$10="Yes",15=Projects!$C$10),Projects!$B$10*Projects!$T$10,0)+IF(AND(Projects!$G$11="Yes",Projects!$F$11="Yes",15=Projects!$C$11),Projects!$B$11*Projects!$T$11,0)+IF(AND(Projects!$G$12="Yes",Projects!$F$12="Yes",15=Projects!$C$12),Projects!$B$12*Projects!$T$12,0)+IF(AND(Projects!$G$13="Yes",Projects!$F$13="Yes",15=Projects!$C$13),Projects!$B$13*Projects!$T$13,0)+IF(AND(Projects!$G$14="Yes",Projects!$F$14="Yes",15=Projects!$C$14),Projects!$B$14*Projects!$T$14,0)+IF(AND(Projects!$G$15="Yes",Projects!$F$15="Yes",15=Projects!$C$15),Projects!$B$15*Projects!$T$15,0)+IF(AND(Projects!$G$16="Yes",Projects!$F$16="Yes",15=Projects!$C$16),Projects!$B$16*Projects!$T$16,0),Actuals!T15)</f>
        <v>0</v>
      </c>
      <c r="T105" s="14" t="n">
        <f aca="false">IF(ISBLANK(Actuals!U15),IF(AND(Projects!$G$6="Yes",Projects!$F$6="Yes",16=Projects!$C$6),Projects!$B$6*Projects!$T$6,0)+IF(AND(Projects!$G$7="Yes",Projects!$F$7="Yes",16=Projects!$C$7),Projects!$B$7*Projects!$T$7,0)+IF(AND(Projects!$G$8="Yes",Projects!$F$8="Yes",16=Projects!$C$8),Projects!$B$8*Projects!$T$8,0)+IF(AND(Projects!$G$9="Yes",Projects!$F$9="Yes",16=Projects!$C$9),Projects!$B$9*Projects!$T$9,0)+IF(AND(Projects!$G$10="Yes",Projects!$F$10="Yes",16=Projects!$C$10),Projects!$B$10*Projects!$T$10,0)+IF(AND(Projects!$G$11="Yes",Projects!$F$11="Yes",16=Projects!$C$11),Projects!$B$11*Projects!$T$11,0)+IF(AND(Projects!$G$12="Yes",Projects!$F$12="Yes",16=Projects!$C$12),Projects!$B$12*Projects!$T$12,0)+IF(AND(Projects!$G$13="Yes",Projects!$F$13="Yes",16=Projects!$C$13),Projects!$B$13*Projects!$T$13,0)+IF(AND(Projects!$G$14="Yes",Projects!$F$14="Yes",16=Projects!$C$14),Projects!$B$14*Projects!$T$14,0)+IF(AND(Projects!$G$15="Yes",Projects!$F$15="Yes",16=Projects!$C$15),Projects!$B$15*Projects!$T$15,0)+IF(AND(Projects!$G$16="Yes",Projects!$F$16="Yes",16=Projects!$C$16),Projects!$B$16*Projects!$T$16,0),Actuals!U15)</f>
        <v>0</v>
      </c>
      <c r="U105" s="14" t="n">
        <f aca="false">IF(ISBLANK(Actuals!V15),IF(AND(Projects!$G$6="Yes",Projects!$F$6="Yes",17=Projects!$C$6),Projects!$B$6*Projects!$T$6,0)+IF(AND(Projects!$G$7="Yes",Projects!$F$7="Yes",17=Projects!$C$7),Projects!$B$7*Projects!$T$7,0)+IF(AND(Projects!$G$8="Yes",Projects!$F$8="Yes",17=Projects!$C$8),Projects!$B$8*Projects!$T$8,0)+IF(AND(Projects!$G$9="Yes",Projects!$F$9="Yes",17=Projects!$C$9),Projects!$B$9*Projects!$T$9,0)+IF(AND(Projects!$G$10="Yes",Projects!$F$10="Yes",17=Projects!$C$10),Projects!$B$10*Projects!$T$10,0)+IF(AND(Projects!$G$11="Yes",Projects!$F$11="Yes",17=Projects!$C$11),Projects!$B$11*Projects!$T$11,0)+IF(AND(Projects!$G$12="Yes",Projects!$F$12="Yes",17=Projects!$C$12),Projects!$B$12*Projects!$T$12,0)+IF(AND(Projects!$G$13="Yes",Projects!$F$13="Yes",17=Projects!$C$13),Projects!$B$13*Projects!$T$13,0)+IF(AND(Projects!$G$14="Yes",Projects!$F$14="Yes",17=Projects!$C$14),Projects!$B$14*Projects!$T$14,0)+IF(AND(Projects!$G$15="Yes",Projects!$F$15="Yes",17=Projects!$C$15),Projects!$B$15*Projects!$T$15,0)+IF(AND(Projects!$G$16="Yes",Projects!$F$16="Yes",17=Projects!$C$16),Projects!$B$16*Projects!$T$16,0),Actuals!V15)</f>
        <v>0</v>
      </c>
      <c r="V105" s="14" t="n">
        <f aca="false">IF(ISBLANK(Actuals!W15),IF(AND(Projects!$G$6="Yes",Projects!$F$6="Yes",18=Projects!$C$6),Projects!$B$6*Projects!$T$6,0)+IF(AND(Projects!$G$7="Yes",Projects!$F$7="Yes",18=Projects!$C$7),Projects!$B$7*Projects!$T$7,0)+IF(AND(Projects!$G$8="Yes",Projects!$F$8="Yes",18=Projects!$C$8),Projects!$B$8*Projects!$T$8,0)+IF(AND(Projects!$G$9="Yes",Projects!$F$9="Yes",18=Projects!$C$9),Projects!$B$9*Projects!$T$9,0)+IF(AND(Projects!$G$10="Yes",Projects!$F$10="Yes",18=Projects!$C$10),Projects!$B$10*Projects!$T$10,0)+IF(AND(Projects!$G$11="Yes",Projects!$F$11="Yes",18=Projects!$C$11),Projects!$B$11*Projects!$T$11,0)+IF(AND(Projects!$G$12="Yes",Projects!$F$12="Yes",18=Projects!$C$12),Projects!$B$12*Projects!$T$12,0)+IF(AND(Projects!$G$13="Yes",Projects!$F$13="Yes",18=Projects!$C$13),Projects!$B$13*Projects!$T$13,0)+IF(AND(Projects!$G$14="Yes",Projects!$F$14="Yes",18=Projects!$C$14),Projects!$B$14*Projects!$T$14,0)+IF(AND(Projects!$G$15="Yes",Projects!$F$15="Yes",18=Projects!$C$15),Projects!$B$15*Projects!$T$15,0)+IF(AND(Projects!$G$16="Yes",Projects!$F$16="Yes",18=Projects!$C$16),Projects!$B$16*Projects!$T$16,0),Actuals!W15)</f>
        <v>0</v>
      </c>
      <c r="W105" s="14" t="n">
        <f aca="false">IF(ISBLANK(Actuals!X15),IF(AND(Projects!$G$6="Yes",Projects!$F$6="Yes",19=Projects!$C$6),Projects!$B$6*Projects!$T$6,0)+IF(AND(Projects!$G$7="Yes",Projects!$F$7="Yes",19=Projects!$C$7),Projects!$B$7*Projects!$T$7,0)+IF(AND(Projects!$G$8="Yes",Projects!$F$8="Yes",19=Projects!$C$8),Projects!$B$8*Projects!$T$8,0)+IF(AND(Projects!$G$9="Yes",Projects!$F$9="Yes",19=Projects!$C$9),Projects!$B$9*Projects!$T$9,0)+IF(AND(Projects!$G$10="Yes",Projects!$F$10="Yes",19=Projects!$C$10),Projects!$B$10*Projects!$T$10,0)+IF(AND(Projects!$G$11="Yes",Projects!$F$11="Yes",19=Projects!$C$11),Projects!$B$11*Projects!$T$11,0)+IF(AND(Projects!$G$12="Yes",Projects!$F$12="Yes",19=Projects!$C$12),Projects!$B$12*Projects!$T$12,0)+IF(AND(Projects!$G$13="Yes",Projects!$F$13="Yes",19=Projects!$C$13),Projects!$B$13*Projects!$T$13,0)+IF(AND(Projects!$G$14="Yes",Projects!$F$14="Yes",19=Projects!$C$14),Projects!$B$14*Projects!$T$14,0)+IF(AND(Projects!$G$15="Yes",Projects!$F$15="Yes",19=Projects!$C$15),Projects!$B$15*Projects!$T$15,0)+IF(AND(Projects!$G$16="Yes",Projects!$F$16="Yes",19=Projects!$C$16),Projects!$B$16*Projects!$T$16,0),Actuals!X15)</f>
        <v>0</v>
      </c>
      <c r="X105" s="14" t="n">
        <f aca="false">IF(ISBLANK(Actuals!Y15),IF(AND(Projects!$G$6="Yes",Projects!$F$6="Yes",20=Projects!$C$6),Projects!$B$6*Projects!$T$6,0)+IF(AND(Projects!$G$7="Yes",Projects!$F$7="Yes",20=Projects!$C$7),Projects!$B$7*Projects!$T$7,0)+IF(AND(Projects!$G$8="Yes",Projects!$F$8="Yes",20=Projects!$C$8),Projects!$B$8*Projects!$T$8,0)+IF(AND(Projects!$G$9="Yes",Projects!$F$9="Yes",20=Projects!$C$9),Projects!$B$9*Projects!$T$9,0)+IF(AND(Projects!$G$10="Yes",Projects!$F$10="Yes",20=Projects!$C$10),Projects!$B$10*Projects!$T$10,0)+IF(AND(Projects!$G$11="Yes",Projects!$F$11="Yes",20=Projects!$C$11),Projects!$B$11*Projects!$T$11,0)+IF(AND(Projects!$G$12="Yes",Projects!$F$12="Yes",20=Projects!$C$12),Projects!$B$12*Projects!$T$12,0)+IF(AND(Projects!$G$13="Yes",Projects!$F$13="Yes",20=Projects!$C$13),Projects!$B$13*Projects!$T$13,0)+IF(AND(Projects!$G$14="Yes",Projects!$F$14="Yes",20=Projects!$C$14),Projects!$B$14*Projects!$T$14,0)+IF(AND(Projects!$G$15="Yes",Projects!$F$15="Yes",20=Projects!$C$15),Projects!$B$15*Projects!$T$15,0)+IF(AND(Projects!$G$16="Yes",Projects!$F$16="Yes",20=Projects!$C$16),Projects!$B$16*Projects!$T$16,0),Actuals!Y15)</f>
        <v>0</v>
      </c>
      <c r="Y105" s="14" t="n">
        <f aca="false">IF(ISBLANK(Actuals!Z15),IF(AND(Projects!$G$6="Yes",Projects!$F$6="Yes",21=Projects!$C$6),Projects!$B$6*Projects!$T$6,0)+IF(AND(Projects!$G$7="Yes",Projects!$F$7="Yes",21=Projects!$C$7),Projects!$B$7*Projects!$T$7,0)+IF(AND(Projects!$G$8="Yes",Projects!$F$8="Yes",21=Projects!$C$8),Projects!$B$8*Projects!$T$8,0)+IF(AND(Projects!$G$9="Yes",Projects!$F$9="Yes",21=Projects!$C$9),Projects!$B$9*Projects!$T$9,0)+IF(AND(Projects!$G$10="Yes",Projects!$F$10="Yes",21=Projects!$C$10),Projects!$B$10*Projects!$T$10,0)+IF(AND(Projects!$G$11="Yes",Projects!$F$11="Yes",21=Projects!$C$11),Projects!$B$11*Projects!$T$11,0)+IF(AND(Projects!$G$12="Yes",Projects!$F$12="Yes",21=Projects!$C$12),Projects!$B$12*Projects!$T$12,0)+IF(AND(Projects!$G$13="Yes",Projects!$F$13="Yes",21=Projects!$C$13),Projects!$B$13*Projects!$T$13,0)+IF(AND(Projects!$G$14="Yes",Projects!$F$14="Yes",21=Projects!$C$14),Projects!$B$14*Projects!$T$14,0)+IF(AND(Projects!$G$15="Yes",Projects!$F$15="Yes",21=Projects!$C$15),Projects!$B$15*Projects!$T$15,0)+IF(AND(Projects!$G$16="Yes",Projects!$F$16="Yes",21=Projects!$C$16),Projects!$B$16*Projects!$T$16,0),Actuals!Z15)</f>
        <v>0</v>
      </c>
      <c r="Z105" s="14" t="n">
        <f aca="false">IF(ISBLANK(Actuals!AA15),IF(AND(Projects!$G$6="Yes",Projects!$F$6="Yes",22=Projects!$C$6),Projects!$B$6*Projects!$T$6,0)+IF(AND(Projects!$G$7="Yes",Projects!$F$7="Yes",22=Projects!$C$7),Projects!$B$7*Projects!$T$7,0)+IF(AND(Projects!$G$8="Yes",Projects!$F$8="Yes",22=Projects!$C$8),Projects!$B$8*Projects!$T$8,0)+IF(AND(Projects!$G$9="Yes",Projects!$F$9="Yes",22=Projects!$C$9),Projects!$B$9*Projects!$T$9,0)+IF(AND(Projects!$G$10="Yes",Projects!$F$10="Yes",22=Projects!$C$10),Projects!$B$10*Projects!$T$10,0)+IF(AND(Projects!$G$11="Yes",Projects!$F$11="Yes",22=Projects!$C$11),Projects!$B$11*Projects!$T$11,0)+IF(AND(Projects!$G$12="Yes",Projects!$F$12="Yes",22=Projects!$C$12),Projects!$B$12*Projects!$T$12,0)+IF(AND(Projects!$G$13="Yes",Projects!$F$13="Yes",22=Projects!$C$13),Projects!$B$13*Projects!$T$13,0)+IF(AND(Projects!$G$14="Yes",Projects!$F$14="Yes",22=Projects!$C$14),Projects!$B$14*Projects!$T$14,0)+IF(AND(Projects!$G$15="Yes",Projects!$F$15="Yes",22=Projects!$C$15),Projects!$B$15*Projects!$T$15,0)+IF(AND(Projects!$G$16="Yes",Projects!$F$16="Yes",22=Projects!$C$16),Projects!$B$16*Projects!$T$16,0),Actuals!AA15)</f>
        <v>0</v>
      </c>
      <c r="AA105" s="14" t="n">
        <f aca="false">IF(ISBLANK(Actuals!AB15),IF(AND(Projects!$G$6="Yes",Projects!$F$6="Yes",23=Projects!$C$6),Projects!$B$6*Projects!$T$6,0)+IF(AND(Projects!$G$7="Yes",Projects!$F$7="Yes",23=Projects!$C$7),Projects!$B$7*Projects!$T$7,0)+IF(AND(Projects!$G$8="Yes",Projects!$F$8="Yes",23=Projects!$C$8),Projects!$B$8*Projects!$T$8,0)+IF(AND(Projects!$G$9="Yes",Projects!$F$9="Yes",23=Projects!$C$9),Projects!$B$9*Projects!$T$9,0)+IF(AND(Projects!$G$10="Yes",Projects!$F$10="Yes",23=Projects!$C$10),Projects!$B$10*Projects!$T$10,0)+IF(AND(Projects!$G$11="Yes",Projects!$F$11="Yes",23=Projects!$C$11),Projects!$B$11*Projects!$T$11,0)+IF(AND(Projects!$G$12="Yes",Projects!$F$12="Yes",23=Projects!$C$12),Projects!$B$12*Projects!$T$12,0)+IF(AND(Projects!$G$13="Yes",Projects!$F$13="Yes",23=Projects!$C$13),Projects!$B$13*Projects!$T$13,0)+IF(AND(Projects!$G$14="Yes",Projects!$F$14="Yes",23=Projects!$C$14),Projects!$B$14*Projects!$T$14,0)+IF(AND(Projects!$G$15="Yes",Projects!$F$15="Yes",23=Projects!$C$15),Projects!$B$15*Projects!$T$15,0)+IF(AND(Projects!$G$16="Yes",Projects!$F$16="Yes",23=Projects!$C$16),Projects!$B$16*Projects!$T$16,0),Actuals!AB15)</f>
        <v>0</v>
      </c>
      <c r="AB105" s="14" t="n">
        <f aca="false">IF(ISBLANK(Actuals!AC15),IF(AND(Projects!$G$6="Yes",Projects!$F$6="Yes",24=Projects!$C$6),Projects!$B$6*Projects!$T$6,0)+IF(AND(Projects!$G$7="Yes",Projects!$F$7="Yes",24=Projects!$C$7),Projects!$B$7*Projects!$T$7,0)+IF(AND(Projects!$G$8="Yes",Projects!$F$8="Yes",24=Projects!$C$8),Projects!$B$8*Projects!$T$8,0)+IF(AND(Projects!$G$9="Yes",Projects!$F$9="Yes",24=Projects!$C$9),Projects!$B$9*Projects!$T$9,0)+IF(AND(Projects!$G$10="Yes",Projects!$F$10="Yes",24=Projects!$C$10),Projects!$B$10*Projects!$T$10,0)+IF(AND(Projects!$G$11="Yes",Projects!$F$11="Yes",24=Projects!$C$11),Projects!$B$11*Projects!$T$11,0)+IF(AND(Projects!$G$12="Yes",Projects!$F$12="Yes",24=Projects!$C$12),Projects!$B$12*Projects!$T$12,0)+IF(AND(Projects!$G$13="Yes",Projects!$F$13="Yes",24=Projects!$C$13),Projects!$B$13*Projects!$T$13,0)+IF(AND(Projects!$G$14="Yes",Projects!$F$14="Yes",24=Projects!$C$14),Projects!$B$14*Projects!$T$14,0)+IF(AND(Projects!$G$15="Yes",Projects!$F$15="Yes",24=Projects!$C$15),Projects!$B$15*Projects!$T$15,0)+IF(AND(Projects!$G$16="Yes",Projects!$F$16="Yes",24=Projects!$C$16),Projects!$B$16*Projects!$T$16,0),Actuals!AC15)</f>
        <v>0</v>
      </c>
      <c r="AC105" s="14" t="n">
        <f aca="false">IF(ISBLANK(Actuals!AD15),IF(AND(Projects!$G$6="Yes",Projects!$F$6="Yes",25=Projects!$C$6),Projects!$B$6*Projects!$T$6,0)+IF(AND(Projects!$G$7="Yes",Projects!$F$7="Yes",25=Projects!$C$7),Projects!$B$7*Projects!$T$7,0)+IF(AND(Projects!$G$8="Yes",Projects!$F$8="Yes",25=Projects!$C$8),Projects!$B$8*Projects!$T$8,0)+IF(AND(Projects!$G$9="Yes",Projects!$F$9="Yes",25=Projects!$C$9),Projects!$B$9*Projects!$T$9,0)+IF(AND(Projects!$G$10="Yes",Projects!$F$10="Yes",25=Projects!$C$10),Projects!$B$10*Projects!$T$10,0)+IF(AND(Projects!$G$11="Yes",Projects!$F$11="Yes",25=Projects!$C$11),Projects!$B$11*Projects!$T$11,0)+IF(AND(Projects!$G$12="Yes",Projects!$F$12="Yes",25=Projects!$C$12),Projects!$B$12*Projects!$T$12,0)+IF(AND(Projects!$G$13="Yes",Projects!$F$13="Yes",25=Projects!$C$13),Projects!$B$13*Projects!$T$13,0)+IF(AND(Projects!$G$14="Yes",Projects!$F$14="Yes",25=Projects!$C$14),Projects!$B$14*Projects!$T$14,0)+IF(AND(Projects!$G$15="Yes",Projects!$F$15="Yes",25=Projects!$C$15),Projects!$B$15*Projects!$T$15,0)+IF(AND(Projects!$G$16="Yes",Projects!$F$16="Yes",25=Projects!$C$16),Projects!$B$16*Projects!$T$16,0),Actuals!AD15)</f>
        <v>0</v>
      </c>
      <c r="AD105" s="14" t="n">
        <f aca="false">IF(ISBLANK(Actuals!AE15),IF(AND(Projects!$G$6="Yes",Projects!$F$6="Yes",26=Projects!$C$6),Projects!$B$6*Projects!$T$6,0)+IF(AND(Projects!$G$7="Yes",Projects!$F$7="Yes",26=Projects!$C$7),Projects!$B$7*Projects!$T$7,0)+IF(AND(Projects!$G$8="Yes",Projects!$F$8="Yes",26=Projects!$C$8),Projects!$B$8*Projects!$T$8,0)+IF(AND(Projects!$G$9="Yes",Projects!$F$9="Yes",26=Projects!$C$9),Projects!$B$9*Projects!$T$9,0)+IF(AND(Projects!$G$10="Yes",Projects!$F$10="Yes",26=Projects!$C$10),Projects!$B$10*Projects!$T$10,0)+IF(AND(Projects!$G$11="Yes",Projects!$F$11="Yes",26=Projects!$C$11),Projects!$B$11*Projects!$T$11,0)+IF(AND(Projects!$G$12="Yes",Projects!$F$12="Yes",26=Projects!$C$12),Projects!$B$12*Projects!$T$12,0)+IF(AND(Projects!$G$13="Yes",Projects!$F$13="Yes",26=Projects!$C$13),Projects!$B$13*Projects!$T$13,0)+IF(AND(Projects!$G$14="Yes",Projects!$F$14="Yes",26=Projects!$C$14),Projects!$B$14*Projects!$T$14,0)+IF(AND(Projects!$G$15="Yes",Projects!$F$15="Yes",26=Projects!$C$15),Projects!$B$15*Projects!$T$15,0)+IF(AND(Projects!$G$16="Yes",Projects!$F$16="Yes",26=Projects!$C$16),Projects!$B$16*Projects!$T$16,0),Actuals!AE15)</f>
        <v>0</v>
      </c>
      <c r="AE105" s="14" t="n">
        <f aca="false">IF(ISBLANK(Actuals!AF15),IF(AND(Projects!$G$6="Yes",Projects!$F$6="Yes",27=Projects!$C$6),Projects!$B$6*Projects!$T$6,0)+IF(AND(Projects!$G$7="Yes",Projects!$F$7="Yes",27=Projects!$C$7),Projects!$B$7*Projects!$T$7,0)+IF(AND(Projects!$G$8="Yes",Projects!$F$8="Yes",27=Projects!$C$8),Projects!$B$8*Projects!$T$8,0)+IF(AND(Projects!$G$9="Yes",Projects!$F$9="Yes",27=Projects!$C$9),Projects!$B$9*Projects!$T$9,0)+IF(AND(Projects!$G$10="Yes",Projects!$F$10="Yes",27=Projects!$C$10),Projects!$B$10*Projects!$T$10,0)+IF(AND(Projects!$G$11="Yes",Projects!$F$11="Yes",27=Projects!$C$11),Projects!$B$11*Projects!$T$11,0)+IF(AND(Projects!$G$12="Yes",Projects!$F$12="Yes",27=Projects!$C$12),Projects!$B$12*Projects!$T$12,0)+IF(AND(Projects!$G$13="Yes",Projects!$F$13="Yes",27=Projects!$C$13),Projects!$B$13*Projects!$T$13,0)+IF(AND(Projects!$G$14="Yes",Projects!$F$14="Yes",27=Projects!$C$14),Projects!$B$14*Projects!$T$14,0)+IF(AND(Projects!$G$15="Yes",Projects!$F$15="Yes",27=Projects!$C$15),Projects!$B$15*Projects!$T$15,0)+IF(AND(Projects!$G$16="Yes",Projects!$F$16="Yes",27=Projects!$C$16),Projects!$B$16*Projects!$T$16,0),Actuals!AF15)</f>
        <v>620319.48</v>
      </c>
      <c r="AF105" s="14" t="n">
        <f aca="false">IF(ISBLANK(Actuals!AG15),IF(AND(Projects!$G$6="Yes",Projects!$F$6="Yes",28=Projects!$C$6),Projects!$B$6*Projects!$T$6,0)+IF(AND(Projects!$G$7="Yes",Projects!$F$7="Yes",28=Projects!$C$7),Projects!$B$7*Projects!$T$7,0)+IF(AND(Projects!$G$8="Yes",Projects!$F$8="Yes",28=Projects!$C$8),Projects!$B$8*Projects!$T$8,0)+IF(AND(Projects!$G$9="Yes",Projects!$F$9="Yes",28=Projects!$C$9),Projects!$B$9*Projects!$T$9,0)+IF(AND(Projects!$G$10="Yes",Projects!$F$10="Yes",28=Projects!$C$10),Projects!$B$10*Projects!$T$10,0)+IF(AND(Projects!$G$11="Yes",Projects!$F$11="Yes",28=Projects!$C$11),Projects!$B$11*Projects!$T$11,0)+IF(AND(Projects!$G$12="Yes",Projects!$F$12="Yes",28=Projects!$C$12),Projects!$B$12*Projects!$T$12,0)+IF(AND(Projects!$G$13="Yes",Projects!$F$13="Yes",28=Projects!$C$13),Projects!$B$13*Projects!$T$13,0)+IF(AND(Projects!$G$14="Yes",Projects!$F$14="Yes",28=Projects!$C$14),Projects!$B$14*Projects!$T$14,0)+IF(AND(Projects!$G$15="Yes",Projects!$F$15="Yes",28=Projects!$C$15),Projects!$B$15*Projects!$T$15,0)+IF(AND(Projects!$G$16="Yes",Projects!$F$16="Yes",28=Projects!$C$16),Projects!$B$16*Projects!$T$16,0),Actuals!AG15)</f>
        <v>0</v>
      </c>
      <c r="AG105" s="14" t="n">
        <f aca="false">IF(ISBLANK(Actuals!AH15),IF(AND(Projects!$G$6="Yes",Projects!$F$6="Yes",29=Projects!$C$6),Projects!$B$6*Projects!$T$6,0)+IF(AND(Projects!$G$7="Yes",Projects!$F$7="Yes",29=Projects!$C$7),Projects!$B$7*Projects!$T$7,0)+IF(AND(Projects!$G$8="Yes",Projects!$F$8="Yes",29=Projects!$C$8),Projects!$B$8*Projects!$T$8,0)+IF(AND(Projects!$G$9="Yes",Projects!$F$9="Yes",29=Projects!$C$9),Projects!$B$9*Projects!$T$9,0)+IF(AND(Projects!$G$10="Yes",Projects!$F$10="Yes",29=Projects!$C$10),Projects!$B$10*Projects!$T$10,0)+IF(AND(Projects!$G$11="Yes",Projects!$F$11="Yes",29=Projects!$C$11),Projects!$B$11*Projects!$T$11,0)+IF(AND(Projects!$G$12="Yes",Projects!$F$12="Yes",29=Projects!$C$12),Projects!$B$12*Projects!$T$12,0)+IF(AND(Projects!$G$13="Yes",Projects!$F$13="Yes",29=Projects!$C$13),Projects!$B$13*Projects!$T$13,0)+IF(AND(Projects!$G$14="Yes",Projects!$F$14="Yes",29=Projects!$C$14),Projects!$B$14*Projects!$T$14,0)+IF(AND(Projects!$G$15="Yes",Projects!$F$15="Yes",29=Projects!$C$15),Projects!$B$15*Projects!$T$15,0)+IF(AND(Projects!$G$16="Yes",Projects!$F$16="Yes",29=Projects!$C$16),Projects!$B$16*Projects!$T$16,0),Actuals!AH15)</f>
        <v>0</v>
      </c>
      <c r="AH105" s="14" t="n">
        <f aca="false">IF(ISBLANK(Actuals!AI15),IF(AND(Projects!$G$6="Yes",Projects!$F$6="Yes",30=Projects!$C$6),Projects!$B$6*Projects!$T$6,0)+IF(AND(Projects!$G$7="Yes",Projects!$F$7="Yes",30=Projects!$C$7),Projects!$B$7*Projects!$T$7,0)+IF(AND(Projects!$G$8="Yes",Projects!$F$8="Yes",30=Projects!$C$8),Projects!$B$8*Projects!$T$8,0)+IF(AND(Projects!$G$9="Yes",Projects!$F$9="Yes",30=Projects!$C$9),Projects!$B$9*Projects!$T$9,0)+IF(AND(Projects!$G$10="Yes",Projects!$F$10="Yes",30=Projects!$C$10),Projects!$B$10*Projects!$T$10,0)+IF(AND(Projects!$G$11="Yes",Projects!$F$11="Yes",30=Projects!$C$11),Projects!$B$11*Projects!$T$11,0)+IF(AND(Projects!$G$12="Yes",Projects!$F$12="Yes",30=Projects!$C$12),Projects!$B$12*Projects!$T$12,0)+IF(AND(Projects!$G$13="Yes",Projects!$F$13="Yes",30=Projects!$C$13),Projects!$B$13*Projects!$T$13,0)+IF(AND(Projects!$G$14="Yes",Projects!$F$14="Yes",30=Projects!$C$14),Projects!$B$14*Projects!$T$14,0)+IF(AND(Projects!$G$15="Yes",Projects!$F$15="Yes",30=Projects!$C$15),Projects!$B$15*Projects!$T$15,0)+IF(AND(Projects!$G$16="Yes",Projects!$F$16="Yes",30=Projects!$C$16),Projects!$B$16*Projects!$T$16,0),Actuals!AI15)</f>
        <v>0</v>
      </c>
      <c r="AI105" s="14" t="n">
        <f aca="false">IF(ISBLANK(Actuals!AJ15),IF(AND(Projects!$G$6="Yes",Projects!$F$6="Yes",31=Projects!$C$6),Projects!$B$6*Projects!$T$6,0)+IF(AND(Projects!$G$7="Yes",Projects!$F$7="Yes",31=Projects!$C$7),Projects!$B$7*Projects!$T$7,0)+IF(AND(Projects!$G$8="Yes",Projects!$F$8="Yes",31=Projects!$C$8),Projects!$B$8*Projects!$T$8,0)+IF(AND(Projects!$G$9="Yes",Projects!$F$9="Yes",31=Projects!$C$9),Projects!$B$9*Projects!$T$9,0)+IF(AND(Projects!$G$10="Yes",Projects!$F$10="Yes",31=Projects!$C$10),Projects!$B$10*Projects!$T$10,0)+IF(AND(Projects!$G$11="Yes",Projects!$F$11="Yes",31=Projects!$C$11),Projects!$B$11*Projects!$T$11,0)+IF(AND(Projects!$G$12="Yes",Projects!$F$12="Yes",31=Projects!$C$12),Projects!$B$12*Projects!$T$12,0)+IF(AND(Projects!$G$13="Yes",Projects!$F$13="Yes",31=Projects!$C$13),Projects!$B$13*Projects!$T$13,0)+IF(AND(Projects!$G$14="Yes",Projects!$F$14="Yes",31=Projects!$C$14),Projects!$B$14*Projects!$T$14,0)+IF(AND(Projects!$G$15="Yes",Projects!$F$15="Yes",31=Projects!$C$15),Projects!$B$15*Projects!$T$15,0)+IF(AND(Projects!$G$16="Yes",Projects!$F$16="Yes",31=Projects!$C$16),Projects!$B$16*Projects!$T$16,0),Actuals!AJ15)</f>
        <v>0</v>
      </c>
      <c r="AJ105" s="14" t="n">
        <f aca="false">IF(ISBLANK(Actuals!AK15),IF(AND(Projects!$G$6="Yes",Projects!$F$6="Yes",32=Projects!$C$6),Projects!$B$6*Projects!$T$6,0)+IF(AND(Projects!$G$7="Yes",Projects!$F$7="Yes",32=Projects!$C$7),Projects!$B$7*Projects!$T$7,0)+IF(AND(Projects!$G$8="Yes",Projects!$F$8="Yes",32=Projects!$C$8),Projects!$B$8*Projects!$T$8,0)+IF(AND(Projects!$G$9="Yes",Projects!$F$9="Yes",32=Projects!$C$9),Projects!$B$9*Projects!$T$9,0)+IF(AND(Projects!$G$10="Yes",Projects!$F$10="Yes",32=Projects!$C$10),Projects!$B$10*Projects!$T$10,0)+IF(AND(Projects!$G$11="Yes",Projects!$F$11="Yes",32=Projects!$C$11),Projects!$B$11*Projects!$T$11,0)+IF(AND(Projects!$G$12="Yes",Projects!$F$12="Yes",32=Projects!$C$12),Projects!$B$12*Projects!$T$12,0)+IF(AND(Projects!$G$13="Yes",Projects!$F$13="Yes",32=Projects!$C$13),Projects!$B$13*Projects!$T$13,0)+IF(AND(Projects!$G$14="Yes",Projects!$F$14="Yes",32=Projects!$C$14),Projects!$B$14*Projects!$T$14,0)+IF(AND(Projects!$G$15="Yes",Projects!$F$15="Yes",32=Projects!$C$15),Projects!$B$15*Projects!$T$15,0)+IF(AND(Projects!$G$16="Yes",Projects!$F$16="Yes",32=Projects!$C$16),Projects!$B$16*Projects!$T$16,0),Actuals!AK15)</f>
        <v>0</v>
      </c>
      <c r="AK105" s="14" t="n">
        <f aca="false">IF(ISBLANK(Actuals!AL15),IF(AND(Projects!$G$6="Yes",Projects!$F$6="Yes",33=Projects!$C$6),Projects!$B$6*Projects!$T$6,0)+IF(AND(Projects!$G$7="Yes",Projects!$F$7="Yes",33=Projects!$C$7),Projects!$B$7*Projects!$T$7,0)+IF(AND(Projects!$G$8="Yes",Projects!$F$8="Yes",33=Projects!$C$8),Projects!$B$8*Projects!$T$8,0)+IF(AND(Projects!$G$9="Yes",Projects!$F$9="Yes",33=Projects!$C$9),Projects!$B$9*Projects!$T$9,0)+IF(AND(Projects!$G$10="Yes",Projects!$F$10="Yes",33=Projects!$C$10),Projects!$B$10*Projects!$T$10,0)+IF(AND(Projects!$G$11="Yes",Projects!$F$11="Yes",33=Projects!$C$11),Projects!$B$11*Projects!$T$11,0)+IF(AND(Projects!$G$12="Yes",Projects!$F$12="Yes",33=Projects!$C$12),Projects!$B$12*Projects!$T$12,0)+IF(AND(Projects!$G$13="Yes",Projects!$F$13="Yes",33=Projects!$C$13),Projects!$B$13*Projects!$T$13,0)+IF(AND(Projects!$G$14="Yes",Projects!$F$14="Yes",33=Projects!$C$14),Projects!$B$14*Projects!$T$14,0)+IF(AND(Projects!$G$15="Yes",Projects!$F$15="Yes",33=Projects!$C$15),Projects!$B$15*Projects!$T$15,0)+IF(AND(Projects!$G$16="Yes",Projects!$F$16="Yes",33=Projects!$C$16),Projects!$B$16*Projects!$T$16,0),Actuals!AL15)</f>
        <v>0</v>
      </c>
      <c r="AL105" s="14" t="n">
        <f aca="false">IF(ISBLANK(Actuals!AM15),IF(AND(Projects!$G$6="Yes",Projects!$F$6="Yes",34=Projects!$C$6),Projects!$B$6*Projects!$T$6,0)+IF(AND(Projects!$G$7="Yes",Projects!$F$7="Yes",34=Projects!$C$7),Projects!$B$7*Projects!$T$7,0)+IF(AND(Projects!$G$8="Yes",Projects!$F$8="Yes",34=Projects!$C$8),Projects!$B$8*Projects!$T$8,0)+IF(AND(Projects!$G$9="Yes",Projects!$F$9="Yes",34=Projects!$C$9),Projects!$B$9*Projects!$T$9,0)+IF(AND(Projects!$G$10="Yes",Projects!$F$10="Yes",34=Projects!$C$10),Projects!$B$10*Projects!$T$10,0)+IF(AND(Projects!$G$11="Yes",Projects!$F$11="Yes",34=Projects!$C$11),Projects!$B$11*Projects!$T$11,0)+IF(AND(Projects!$G$12="Yes",Projects!$F$12="Yes",34=Projects!$C$12),Projects!$B$12*Projects!$T$12,0)+IF(AND(Projects!$G$13="Yes",Projects!$F$13="Yes",34=Projects!$C$13),Projects!$B$13*Projects!$T$13,0)+IF(AND(Projects!$G$14="Yes",Projects!$F$14="Yes",34=Projects!$C$14),Projects!$B$14*Projects!$T$14,0)+IF(AND(Projects!$G$15="Yes",Projects!$F$15="Yes",34=Projects!$C$15),Projects!$B$15*Projects!$T$15,0)+IF(AND(Projects!$G$16="Yes",Projects!$F$16="Yes",34=Projects!$C$16),Projects!$B$16*Projects!$T$16,0),Actuals!AM15)</f>
        <v>0</v>
      </c>
      <c r="AM105" s="14" t="n">
        <f aca="false">IF(ISBLANK(Actuals!AN15),IF(AND(Projects!$G$6="Yes",Projects!$F$6="Yes",35=Projects!$C$6),Projects!$B$6*Projects!$T$6,0)+IF(AND(Projects!$G$7="Yes",Projects!$F$7="Yes",35=Projects!$C$7),Projects!$B$7*Projects!$T$7,0)+IF(AND(Projects!$G$8="Yes",Projects!$F$8="Yes",35=Projects!$C$8),Projects!$B$8*Projects!$T$8,0)+IF(AND(Projects!$G$9="Yes",Projects!$F$9="Yes",35=Projects!$C$9),Projects!$B$9*Projects!$T$9,0)+IF(AND(Projects!$G$10="Yes",Projects!$F$10="Yes",35=Projects!$C$10),Projects!$B$10*Projects!$T$10,0)+IF(AND(Projects!$G$11="Yes",Projects!$F$11="Yes",35=Projects!$C$11),Projects!$B$11*Projects!$T$11,0)+IF(AND(Projects!$G$12="Yes",Projects!$F$12="Yes",35=Projects!$C$12),Projects!$B$12*Projects!$T$12,0)+IF(AND(Projects!$G$13="Yes",Projects!$F$13="Yes",35=Projects!$C$13),Projects!$B$13*Projects!$T$13,0)+IF(AND(Projects!$G$14="Yes",Projects!$F$14="Yes",35=Projects!$C$14),Projects!$B$14*Projects!$T$14,0)+IF(AND(Projects!$G$15="Yes",Projects!$F$15="Yes",35=Projects!$C$15),Projects!$B$15*Projects!$T$15,0)+IF(AND(Projects!$G$16="Yes",Projects!$F$16="Yes",35=Projects!$C$16),Projects!$B$16*Projects!$T$16,0),Actuals!AN15)</f>
        <v>0</v>
      </c>
      <c r="AN105" s="14" t="n">
        <f aca="false">IF(ISBLANK(Actuals!AO15),IF(AND(Projects!$G$6="Yes",Projects!$F$6="Yes",36=Projects!$C$6),Projects!$B$6*Projects!$T$6,0)+IF(AND(Projects!$G$7="Yes",Projects!$F$7="Yes",36=Projects!$C$7),Projects!$B$7*Projects!$T$7,0)+IF(AND(Projects!$G$8="Yes",Projects!$F$8="Yes",36=Projects!$C$8),Projects!$B$8*Projects!$T$8,0)+IF(AND(Projects!$G$9="Yes",Projects!$F$9="Yes",36=Projects!$C$9),Projects!$B$9*Projects!$T$9,0)+IF(AND(Projects!$G$10="Yes",Projects!$F$10="Yes",36=Projects!$C$10),Projects!$B$10*Projects!$T$10,0)+IF(AND(Projects!$G$11="Yes",Projects!$F$11="Yes",36=Projects!$C$11),Projects!$B$11*Projects!$T$11,0)+IF(AND(Projects!$G$12="Yes",Projects!$F$12="Yes",36=Projects!$C$12),Projects!$B$12*Projects!$T$12,0)+IF(AND(Projects!$G$13="Yes",Projects!$F$13="Yes",36=Projects!$C$13),Projects!$B$13*Projects!$T$13,0)+IF(AND(Projects!$G$14="Yes",Projects!$F$14="Yes",36=Projects!$C$14),Projects!$B$14*Projects!$T$14,0)+IF(AND(Projects!$G$15="Yes",Projects!$F$15="Yes",36=Projects!$C$15),Projects!$B$15*Projects!$T$15,0)+IF(AND(Projects!$G$16="Yes",Projects!$F$16="Yes",36=Projects!$C$16),Projects!$B$16*Projects!$T$16,0),Actuals!AO15)</f>
        <v>0</v>
      </c>
      <c r="AO105" s="14" t="n">
        <f aca="false">IF(ISBLANK(Actuals!AP15),IF(AND(Projects!$G$6="Yes",Projects!$F$6="Yes",37=Projects!$C$6),Projects!$B$6*Projects!$T$6,0)+IF(AND(Projects!$G$7="Yes",Projects!$F$7="Yes",37=Projects!$C$7),Projects!$B$7*Projects!$T$7,0)+IF(AND(Projects!$G$8="Yes",Projects!$F$8="Yes",37=Projects!$C$8),Projects!$B$8*Projects!$T$8,0)+IF(AND(Projects!$G$9="Yes",Projects!$F$9="Yes",37=Projects!$C$9),Projects!$B$9*Projects!$T$9,0)+IF(AND(Projects!$G$10="Yes",Projects!$F$10="Yes",37=Projects!$C$10),Projects!$B$10*Projects!$T$10,0)+IF(AND(Projects!$G$11="Yes",Projects!$F$11="Yes",37=Projects!$C$11),Projects!$B$11*Projects!$T$11,0)+IF(AND(Projects!$G$12="Yes",Projects!$F$12="Yes",37=Projects!$C$12),Projects!$B$12*Projects!$T$12,0)+IF(AND(Projects!$G$13="Yes",Projects!$F$13="Yes",37=Projects!$C$13),Projects!$B$13*Projects!$T$13,0)+IF(AND(Projects!$G$14="Yes",Projects!$F$14="Yes",37=Projects!$C$14),Projects!$B$14*Projects!$T$14,0)+IF(AND(Projects!$G$15="Yes",Projects!$F$15="Yes",37=Projects!$C$15),Projects!$B$15*Projects!$T$15,0)+IF(AND(Projects!$G$16="Yes",Projects!$F$16="Yes",37=Projects!$C$16),Projects!$B$16*Projects!$T$16,0),Actuals!AP15)</f>
        <v>0</v>
      </c>
      <c r="AP105" s="14" t="n">
        <f aca="false">IF(ISBLANK(Actuals!AQ15),IF(AND(Projects!$G$6="Yes",Projects!$F$6="Yes",38=Projects!$C$6),Projects!$B$6*Projects!$T$6,0)+IF(AND(Projects!$G$7="Yes",Projects!$F$7="Yes",38=Projects!$C$7),Projects!$B$7*Projects!$T$7,0)+IF(AND(Projects!$G$8="Yes",Projects!$F$8="Yes",38=Projects!$C$8),Projects!$B$8*Projects!$T$8,0)+IF(AND(Projects!$G$9="Yes",Projects!$F$9="Yes",38=Projects!$C$9),Projects!$B$9*Projects!$T$9,0)+IF(AND(Projects!$G$10="Yes",Projects!$F$10="Yes",38=Projects!$C$10),Projects!$B$10*Projects!$T$10,0)+IF(AND(Projects!$G$11="Yes",Projects!$F$11="Yes",38=Projects!$C$11),Projects!$B$11*Projects!$T$11,0)+IF(AND(Projects!$G$12="Yes",Projects!$F$12="Yes",38=Projects!$C$12),Projects!$B$12*Projects!$T$12,0)+IF(AND(Projects!$G$13="Yes",Projects!$F$13="Yes",38=Projects!$C$13),Projects!$B$13*Projects!$T$13,0)+IF(AND(Projects!$G$14="Yes",Projects!$F$14="Yes",38=Projects!$C$14),Projects!$B$14*Projects!$T$14,0)+IF(AND(Projects!$G$15="Yes",Projects!$F$15="Yes",38=Projects!$C$15),Projects!$B$15*Projects!$T$15,0)+IF(AND(Projects!$G$16="Yes",Projects!$F$16="Yes",38=Projects!$C$16),Projects!$B$16*Projects!$T$16,0),Actuals!AQ15)</f>
        <v>0</v>
      </c>
      <c r="AQ105" s="14" t="n">
        <f aca="false">IF(ISBLANK(Actuals!AR15),IF(AND(Projects!$G$6="Yes",Projects!$F$6="Yes",39=Projects!$C$6),Projects!$B$6*Projects!$T$6,0)+IF(AND(Projects!$G$7="Yes",Projects!$F$7="Yes",39=Projects!$C$7),Projects!$B$7*Projects!$T$7,0)+IF(AND(Projects!$G$8="Yes",Projects!$F$8="Yes",39=Projects!$C$8),Projects!$B$8*Projects!$T$8,0)+IF(AND(Projects!$G$9="Yes",Projects!$F$9="Yes",39=Projects!$C$9),Projects!$B$9*Projects!$T$9,0)+IF(AND(Projects!$G$10="Yes",Projects!$F$10="Yes",39=Projects!$C$10),Projects!$B$10*Projects!$T$10,0)+IF(AND(Projects!$G$11="Yes",Projects!$F$11="Yes",39=Projects!$C$11),Projects!$B$11*Projects!$T$11,0)+IF(AND(Projects!$G$12="Yes",Projects!$F$12="Yes",39=Projects!$C$12),Projects!$B$12*Projects!$T$12,0)+IF(AND(Projects!$G$13="Yes",Projects!$F$13="Yes",39=Projects!$C$13),Projects!$B$13*Projects!$T$13,0)+IF(AND(Projects!$G$14="Yes",Projects!$F$14="Yes",39=Projects!$C$14),Projects!$B$14*Projects!$T$14,0)+IF(AND(Projects!$G$15="Yes",Projects!$F$15="Yes",39=Projects!$C$15),Projects!$B$15*Projects!$T$15,0)+IF(AND(Projects!$G$16="Yes",Projects!$F$16="Yes",39=Projects!$C$16),Projects!$B$16*Projects!$T$16,0),Actuals!AR15)</f>
        <v>0</v>
      </c>
      <c r="AR105" s="14" t="n">
        <f aca="false">IF(ISBLANK(Actuals!AS15),IF(AND(Projects!$G$6="Yes",Projects!$F$6="Yes",40=Projects!$C$6),Projects!$B$6*Projects!$T$6,0)+IF(AND(Projects!$G$7="Yes",Projects!$F$7="Yes",40=Projects!$C$7),Projects!$B$7*Projects!$T$7,0)+IF(AND(Projects!$G$8="Yes",Projects!$F$8="Yes",40=Projects!$C$8),Projects!$B$8*Projects!$T$8,0)+IF(AND(Projects!$G$9="Yes",Projects!$F$9="Yes",40=Projects!$C$9),Projects!$B$9*Projects!$T$9,0)+IF(AND(Projects!$G$10="Yes",Projects!$F$10="Yes",40=Projects!$C$10),Projects!$B$10*Projects!$T$10,0)+IF(AND(Projects!$G$11="Yes",Projects!$F$11="Yes",40=Projects!$C$11),Projects!$B$11*Projects!$T$11,0)+IF(AND(Projects!$G$12="Yes",Projects!$F$12="Yes",40=Projects!$C$12),Projects!$B$12*Projects!$T$12,0)+IF(AND(Projects!$G$13="Yes",Projects!$F$13="Yes",40=Projects!$C$13),Projects!$B$13*Projects!$T$13,0)+IF(AND(Projects!$G$14="Yes",Projects!$F$14="Yes",40=Projects!$C$14),Projects!$B$14*Projects!$T$14,0)+IF(AND(Projects!$G$15="Yes",Projects!$F$15="Yes",40=Projects!$C$15),Projects!$B$15*Projects!$T$15,0)+IF(AND(Projects!$G$16="Yes",Projects!$F$16="Yes",40=Projects!$C$16),Projects!$B$16*Projects!$T$16,0),Actuals!AS15)</f>
        <v>0</v>
      </c>
      <c r="AS105" s="14" t="n">
        <f aca="false">IF(ISBLANK(Actuals!AT15),IF(AND(Projects!$G$6="Yes",Projects!$F$6="Yes",41=Projects!$C$6),Projects!$B$6*Projects!$T$6,0)+IF(AND(Projects!$G$7="Yes",Projects!$F$7="Yes",41=Projects!$C$7),Projects!$B$7*Projects!$T$7,0)+IF(AND(Projects!$G$8="Yes",Projects!$F$8="Yes",41=Projects!$C$8),Projects!$B$8*Projects!$T$8,0)+IF(AND(Projects!$G$9="Yes",Projects!$F$9="Yes",41=Projects!$C$9),Projects!$B$9*Projects!$T$9,0)+IF(AND(Projects!$G$10="Yes",Projects!$F$10="Yes",41=Projects!$C$10),Projects!$B$10*Projects!$T$10,0)+IF(AND(Projects!$G$11="Yes",Projects!$F$11="Yes",41=Projects!$C$11),Projects!$B$11*Projects!$T$11,0)+IF(AND(Projects!$G$12="Yes",Projects!$F$12="Yes",41=Projects!$C$12),Projects!$B$12*Projects!$T$12,0)+IF(AND(Projects!$G$13="Yes",Projects!$F$13="Yes",41=Projects!$C$13),Projects!$B$13*Projects!$T$13,0)+IF(AND(Projects!$G$14="Yes",Projects!$F$14="Yes",41=Projects!$C$14),Projects!$B$14*Projects!$T$14,0)+IF(AND(Projects!$G$15="Yes",Projects!$F$15="Yes",41=Projects!$C$15),Projects!$B$15*Projects!$T$15,0)+IF(AND(Projects!$G$16="Yes",Projects!$F$16="Yes",41=Projects!$C$16),Projects!$B$16*Projects!$T$16,0),Actuals!AT15)</f>
        <v>0</v>
      </c>
      <c r="AT105" s="14" t="n">
        <f aca="false">IF(ISBLANK(Actuals!AU15),IF(AND(Projects!$G$6="Yes",Projects!$F$6="Yes",42=Projects!$C$6),Projects!$B$6*Projects!$T$6,0)+IF(AND(Projects!$G$7="Yes",Projects!$F$7="Yes",42=Projects!$C$7),Projects!$B$7*Projects!$T$7,0)+IF(AND(Projects!$G$8="Yes",Projects!$F$8="Yes",42=Projects!$C$8),Projects!$B$8*Projects!$T$8,0)+IF(AND(Projects!$G$9="Yes",Projects!$F$9="Yes",42=Projects!$C$9),Projects!$B$9*Projects!$T$9,0)+IF(AND(Projects!$G$10="Yes",Projects!$F$10="Yes",42=Projects!$C$10),Projects!$B$10*Projects!$T$10,0)+IF(AND(Projects!$G$11="Yes",Projects!$F$11="Yes",42=Projects!$C$11),Projects!$B$11*Projects!$T$11,0)+IF(AND(Projects!$G$12="Yes",Projects!$F$12="Yes",42=Projects!$C$12),Projects!$B$12*Projects!$T$12,0)+IF(AND(Projects!$G$13="Yes",Projects!$F$13="Yes",42=Projects!$C$13),Projects!$B$13*Projects!$T$13,0)+IF(AND(Projects!$G$14="Yes",Projects!$F$14="Yes",42=Projects!$C$14),Projects!$B$14*Projects!$T$14,0)+IF(AND(Projects!$G$15="Yes",Projects!$F$15="Yes",42=Projects!$C$15),Projects!$B$15*Projects!$T$15,0)+IF(AND(Projects!$G$16="Yes",Projects!$F$16="Yes",42=Projects!$C$16),Projects!$B$16*Projects!$T$16,0),Actuals!AU15)</f>
        <v>0</v>
      </c>
      <c r="AU105" s="14" t="n">
        <f aca="false">IF(ISBLANK(Actuals!AV15),IF(AND(Projects!$G$6="Yes",Projects!$F$6="Yes",43=Projects!$C$6),Projects!$B$6*Projects!$T$6,0)+IF(AND(Projects!$G$7="Yes",Projects!$F$7="Yes",43=Projects!$C$7),Projects!$B$7*Projects!$T$7,0)+IF(AND(Projects!$G$8="Yes",Projects!$F$8="Yes",43=Projects!$C$8),Projects!$B$8*Projects!$T$8,0)+IF(AND(Projects!$G$9="Yes",Projects!$F$9="Yes",43=Projects!$C$9),Projects!$B$9*Projects!$T$9,0)+IF(AND(Projects!$G$10="Yes",Projects!$F$10="Yes",43=Projects!$C$10),Projects!$B$10*Projects!$T$10,0)+IF(AND(Projects!$G$11="Yes",Projects!$F$11="Yes",43=Projects!$C$11),Projects!$B$11*Projects!$T$11,0)+IF(AND(Projects!$G$12="Yes",Projects!$F$12="Yes",43=Projects!$C$12),Projects!$B$12*Projects!$T$12,0)+IF(AND(Projects!$G$13="Yes",Projects!$F$13="Yes",43=Projects!$C$13),Projects!$B$13*Projects!$T$13,0)+IF(AND(Projects!$G$14="Yes",Projects!$F$14="Yes",43=Projects!$C$14),Projects!$B$14*Projects!$T$14,0)+IF(AND(Projects!$G$15="Yes",Projects!$F$15="Yes",43=Projects!$C$15),Projects!$B$15*Projects!$T$15,0)+IF(AND(Projects!$G$16="Yes",Projects!$F$16="Yes",43=Projects!$C$16),Projects!$B$16*Projects!$T$16,0),Actuals!AV15)</f>
        <v>0</v>
      </c>
      <c r="AV105" s="14" t="n">
        <f aca="false">IF(ISBLANK(Actuals!AW15),IF(AND(Projects!$G$6="Yes",Projects!$F$6="Yes",44=Projects!$C$6),Projects!$B$6*Projects!$T$6,0)+IF(AND(Projects!$G$7="Yes",Projects!$F$7="Yes",44=Projects!$C$7),Projects!$B$7*Projects!$T$7,0)+IF(AND(Projects!$G$8="Yes",Projects!$F$8="Yes",44=Projects!$C$8),Projects!$B$8*Projects!$T$8,0)+IF(AND(Projects!$G$9="Yes",Projects!$F$9="Yes",44=Projects!$C$9),Projects!$B$9*Projects!$T$9,0)+IF(AND(Projects!$G$10="Yes",Projects!$F$10="Yes",44=Projects!$C$10),Projects!$B$10*Projects!$T$10,0)+IF(AND(Projects!$G$11="Yes",Projects!$F$11="Yes",44=Projects!$C$11),Projects!$B$11*Projects!$T$11,0)+IF(AND(Projects!$G$12="Yes",Projects!$F$12="Yes",44=Projects!$C$12),Projects!$B$12*Projects!$T$12,0)+IF(AND(Projects!$G$13="Yes",Projects!$F$13="Yes",44=Projects!$C$13),Projects!$B$13*Projects!$T$13,0)+IF(AND(Projects!$G$14="Yes",Projects!$F$14="Yes",44=Projects!$C$14),Projects!$B$14*Projects!$T$14,0)+IF(AND(Projects!$G$15="Yes",Projects!$F$15="Yes",44=Projects!$C$15),Projects!$B$15*Projects!$T$15,0)+IF(AND(Projects!$G$16="Yes",Projects!$F$16="Yes",44=Projects!$C$16),Projects!$B$16*Projects!$T$16,0),Actuals!AW15)</f>
        <v>0</v>
      </c>
      <c r="AW105" s="14" t="n">
        <f aca="false">IF(ISBLANK(Actuals!AX15),IF(AND(Projects!$G$6="Yes",Projects!$F$6="Yes",45=Projects!$C$6),Projects!$B$6*Projects!$T$6,0)+IF(AND(Projects!$G$7="Yes",Projects!$F$7="Yes",45=Projects!$C$7),Projects!$B$7*Projects!$T$7,0)+IF(AND(Projects!$G$8="Yes",Projects!$F$8="Yes",45=Projects!$C$8),Projects!$B$8*Projects!$T$8,0)+IF(AND(Projects!$G$9="Yes",Projects!$F$9="Yes",45=Projects!$C$9),Projects!$B$9*Projects!$T$9,0)+IF(AND(Projects!$G$10="Yes",Projects!$F$10="Yes",45=Projects!$C$10),Projects!$B$10*Projects!$T$10,0)+IF(AND(Projects!$G$11="Yes",Projects!$F$11="Yes",45=Projects!$C$11),Projects!$B$11*Projects!$T$11,0)+IF(AND(Projects!$G$12="Yes",Projects!$F$12="Yes",45=Projects!$C$12),Projects!$B$12*Projects!$T$12,0)+IF(AND(Projects!$G$13="Yes",Projects!$F$13="Yes",45=Projects!$C$13),Projects!$B$13*Projects!$T$13,0)+IF(AND(Projects!$G$14="Yes",Projects!$F$14="Yes",45=Projects!$C$14),Projects!$B$14*Projects!$T$14,0)+IF(AND(Projects!$G$15="Yes",Projects!$F$15="Yes",45=Projects!$C$15),Projects!$B$15*Projects!$T$15,0)+IF(AND(Projects!$G$16="Yes",Projects!$F$16="Yes",45=Projects!$C$16),Projects!$B$16*Projects!$T$16,0),Actuals!AX15)</f>
        <v>0</v>
      </c>
      <c r="AX105" s="14" t="n">
        <f aca="false">IF(ISBLANK(Actuals!AY15),IF(AND(Projects!$G$6="Yes",Projects!$F$6="Yes",46=Projects!$C$6),Projects!$B$6*Projects!$T$6,0)+IF(AND(Projects!$G$7="Yes",Projects!$F$7="Yes",46=Projects!$C$7),Projects!$B$7*Projects!$T$7,0)+IF(AND(Projects!$G$8="Yes",Projects!$F$8="Yes",46=Projects!$C$8),Projects!$B$8*Projects!$T$8,0)+IF(AND(Projects!$G$9="Yes",Projects!$F$9="Yes",46=Projects!$C$9),Projects!$B$9*Projects!$T$9,0)+IF(AND(Projects!$G$10="Yes",Projects!$F$10="Yes",46=Projects!$C$10),Projects!$B$10*Projects!$T$10,0)+IF(AND(Projects!$G$11="Yes",Projects!$F$11="Yes",46=Projects!$C$11),Projects!$B$11*Projects!$T$11,0)+IF(AND(Projects!$G$12="Yes",Projects!$F$12="Yes",46=Projects!$C$12),Projects!$B$12*Projects!$T$12,0)+IF(AND(Projects!$G$13="Yes",Projects!$F$13="Yes",46=Projects!$C$13),Projects!$B$13*Projects!$T$13,0)+IF(AND(Projects!$G$14="Yes",Projects!$F$14="Yes",46=Projects!$C$14),Projects!$B$14*Projects!$T$14,0)+IF(AND(Projects!$G$15="Yes",Projects!$F$15="Yes",46=Projects!$C$15),Projects!$B$15*Projects!$T$15,0)+IF(AND(Projects!$G$16="Yes",Projects!$F$16="Yes",46=Projects!$C$16),Projects!$B$16*Projects!$T$16,0),Actuals!AY15)</f>
        <v>0</v>
      </c>
      <c r="AY105" s="14" t="n">
        <f aca="false">IF(ISBLANK(Actuals!AZ15),IF(AND(Projects!$G$6="Yes",Projects!$F$6="Yes",47=Projects!$C$6),Projects!$B$6*Projects!$T$6,0)+IF(AND(Projects!$G$7="Yes",Projects!$F$7="Yes",47=Projects!$C$7),Projects!$B$7*Projects!$T$7,0)+IF(AND(Projects!$G$8="Yes",Projects!$F$8="Yes",47=Projects!$C$8),Projects!$B$8*Projects!$T$8,0)+IF(AND(Projects!$G$9="Yes",Projects!$F$9="Yes",47=Projects!$C$9),Projects!$B$9*Projects!$T$9,0)+IF(AND(Projects!$G$10="Yes",Projects!$F$10="Yes",47=Projects!$C$10),Projects!$B$10*Projects!$T$10,0)+IF(AND(Projects!$G$11="Yes",Projects!$F$11="Yes",47=Projects!$C$11),Projects!$B$11*Projects!$T$11,0)+IF(AND(Projects!$G$12="Yes",Projects!$F$12="Yes",47=Projects!$C$12),Projects!$B$12*Projects!$T$12,0)+IF(AND(Projects!$G$13="Yes",Projects!$F$13="Yes",47=Projects!$C$13),Projects!$B$13*Projects!$T$13,0)+IF(AND(Projects!$G$14="Yes",Projects!$F$14="Yes",47=Projects!$C$14),Projects!$B$14*Projects!$T$14,0)+IF(AND(Projects!$G$15="Yes",Projects!$F$15="Yes",47=Projects!$C$15),Projects!$B$15*Projects!$T$15,0)+IF(AND(Projects!$G$16="Yes",Projects!$F$16="Yes",47=Projects!$C$16),Projects!$B$16*Projects!$T$16,0),Actuals!AZ15)</f>
        <v>0</v>
      </c>
      <c r="AZ105" s="14" t="n">
        <f aca="false">IF(ISBLANK(Actuals!BA15),IF(AND(Projects!$G$6="Yes",Projects!$F$6="Yes",48=Projects!$C$6),Projects!$B$6*Projects!$T$6,0)+IF(AND(Projects!$G$7="Yes",Projects!$F$7="Yes",48=Projects!$C$7),Projects!$B$7*Projects!$T$7,0)+IF(AND(Projects!$G$8="Yes",Projects!$F$8="Yes",48=Projects!$C$8),Projects!$B$8*Projects!$T$8,0)+IF(AND(Projects!$G$9="Yes",Projects!$F$9="Yes",48=Projects!$C$9),Projects!$B$9*Projects!$T$9,0)+IF(AND(Projects!$G$10="Yes",Projects!$F$10="Yes",48=Projects!$C$10),Projects!$B$10*Projects!$T$10,0)+IF(AND(Projects!$G$11="Yes",Projects!$F$11="Yes",48=Projects!$C$11),Projects!$B$11*Projects!$T$11,0)+IF(AND(Projects!$G$12="Yes",Projects!$F$12="Yes",48=Projects!$C$12),Projects!$B$12*Projects!$T$12,0)+IF(AND(Projects!$G$13="Yes",Projects!$F$13="Yes",48=Projects!$C$13),Projects!$B$13*Projects!$T$13,0)+IF(AND(Projects!$G$14="Yes",Projects!$F$14="Yes",48=Projects!$C$14),Projects!$B$14*Projects!$T$14,0)+IF(AND(Projects!$G$15="Yes",Projects!$F$15="Yes",48=Projects!$C$15),Projects!$B$15*Projects!$T$15,0)+IF(AND(Projects!$G$16="Yes",Projects!$F$16="Yes",48=Projects!$C$16),Projects!$B$16*Projects!$T$16,0),Actuals!BA15)</f>
        <v>0</v>
      </c>
      <c r="BA105" s="14" t="n">
        <f aca="false">IF(ISBLANK(Actuals!BB15),IF(AND(Projects!$G$6="Yes",Projects!$F$6="Yes",49=Projects!$C$6),Projects!$B$6*Projects!$T$6,0)+IF(AND(Projects!$G$7="Yes",Projects!$F$7="Yes",49=Projects!$C$7),Projects!$B$7*Projects!$T$7,0)+IF(AND(Projects!$G$8="Yes",Projects!$F$8="Yes",49=Projects!$C$8),Projects!$B$8*Projects!$T$8,0)+IF(AND(Projects!$G$9="Yes",Projects!$F$9="Yes",49=Projects!$C$9),Projects!$B$9*Projects!$T$9,0)+IF(AND(Projects!$G$10="Yes",Projects!$F$10="Yes",49=Projects!$C$10),Projects!$B$10*Projects!$T$10,0)+IF(AND(Projects!$G$11="Yes",Projects!$F$11="Yes",49=Projects!$C$11),Projects!$B$11*Projects!$T$11,0)+IF(AND(Projects!$G$12="Yes",Projects!$F$12="Yes",49=Projects!$C$12),Projects!$B$12*Projects!$T$12,0)+IF(AND(Projects!$G$13="Yes",Projects!$F$13="Yes",49=Projects!$C$13),Projects!$B$13*Projects!$T$13,0)+IF(AND(Projects!$G$14="Yes",Projects!$F$14="Yes",49=Projects!$C$14),Projects!$B$14*Projects!$T$14,0)+IF(AND(Projects!$G$15="Yes",Projects!$F$15="Yes",49=Projects!$C$15),Projects!$B$15*Projects!$T$15,0)+IF(AND(Projects!$G$16="Yes",Projects!$F$16="Yes",49=Projects!$C$16),Projects!$B$16*Projects!$T$16,0),Actuals!BB15)</f>
        <v>0</v>
      </c>
      <c r="BB105" s="14" t="n">
        <f aca="false">IF(ISBLANK(Actuals!BC15),IF(AND(Projects!$G$6="Yes",Projects!$F$6="Yes",50=Projects!$C$6),Projects!$B$6*Projects!$T$6,0)+IF(AND(Projects!$G$7="Yes",Projects!$F$7="Yes",50=Projects!$C$7),Projects!$B$7*Projects!$T$7,0)+IF(AND(Projects!$G$8="Yes",Projects!$F$8="Yes",50=Projects!$C$8),Projects!$B$8*Projects!$T$8,0)+IF(AND(Projects!$G$9="Yes",Projects!$F$9="Yes",50=Projects!$C$9),Projects!$B$9*Projects!$T$9,0)+IF(AND(Projects!$G$10="Yes",Projects!$F$10="Yes",50=Projects!$C$10),Projects!$B$10*Projects!$T$10,0)+IF(AND(Projects!$G$11="Yes",Projects!$F$11="Yes",50=Projects!$C$11),Projects!$B$11*Projects!$T$11,0)+IF(AND(Projects!$G$12="Yes",Projects!$F$12="Yes",50=Projects!$C$12),Projects!$B$12*Projects!$T$12,0)+IF(AND(Projects!$G$13="Yes",Projects!$F$13="Yes",50=Projects!$C$13),Projects!$B$13*Projects!$T$13,0)+IF(AND(Projects!$G$14="Yes",Projects!$F$14="Yes",50=Projects!$C$14),Projects!$B$14*Projects!$T$14,0)+IF(AND(Projects!$G$15="Yes",Projects!$F$15="Yes",50=Projects!$C$15),Projects!$B$15*Projects!$T$15,0)+IF(AND(Projects!$G$16="Yes",Projects!$F$16="Yes",50=Projects!$C$16),Projects!$B$16*Projects!$T$16,0),Actuals!BC15)</f>
        <v>0</v>
      </c>
      <c r="BC105" s="14" t="n">
        <f aca="false">IF(ISBLANK(Actuals!BD15),IF(AND(Projects!$G$6="Yes",Projects!$F$6="Yes",51=Projects!$C$6),Projects!$B$6*Projects!$T$6,0)+IF(AND(Projects!$G$7="Yes",Projects!$F$7="Yes",51=Projects!$C$7),Projects!$B$7*Projects!$T$7,0)+IF(AND(Projects!$G$8="Yes",Projects!$F$8="Yes",51=Projects!$C$8),Projects!$B$8*Projects!$T$8,0)+IF(AND(Projects!$G$9="Yes",Projects!$F$9="Yes",51=Projects!$C$9),Projects!$B$9*Projects!$T$9,0)+IF(AND(Projects!$G$10="Yes",Projects!$F$10="Yes",51=Projects!$C$10),Projects!$B$10*Projects!$T$10,0)+IF(AND(Projects!$G$11="Yes",Projects!$F$11="Yes",51=Projects!$C$11),Projects!$B$11*Projects!$T$11,0)+IF(AND(Projects!$G$12="Yes",Projects!$F$12="Yes",51=Projects!$C$12),Projects!$B$12*Projects!$T$12,0)+IF(AND(Projects!$G$13="Yes",Projects!$F$13="Yes",51=Projects!$C$13),Projects!$B$13*Projects!$T$13,0)+IF(AND(Projects!$G$14="Yes",Projects!$F$14="Yes",51=Projects!$C$14),Projects!$B$14*Projects!$T$14,0)+IF(AND(Projects!$G$15="Yes",Projects!$F$15="Yes",51=Projects!$C$15),Projects!$B$15*Projects!$T$15,0)+IF(AND(Projects!$G$16="Yes",Projects!$F$16="Yes",51=Projects!$C$16),Projects!$B$16*Projects!$T$16,0),Actuals!BD15)</f>
        <v>0</v>
      </c>
      <c r="BD105" s="14" t="n">
        <f aca="false">IF(ISBLANK(Actuals!BE15),IF(AND(Projects!$G$6="Yes",Projects!$F$6="Yes",52=Projects!$C$6),Projects!$B$6*Projects!$T$6,0)+IF(AND(Projects!$G$7="Yes",Projects!$F$7="Yes",52=Projects!$C$7),Projects!$B$7*Projects!$T$7,0)+IF(AND(Projects!$G$8="Yes",Projects!$F$8="Yes",52=Projects!$C$8),Projects!$B$8*Projects!$T$8,0)+IF(AND(Projects!$G$9="Yes",Projects!$F$9="Yes",52=Projects!$C$9),Projects!$B$9*Projects!$T$9,0)+IF(AND(Projects!$G$10="Yes",Projects!$F$10="Yes",52=Projects!$C$10),Projects!$B$10*Projects!$T$10,0)+IF(AND(Projects!$G$11="Yes",Projects!$F$11="Yes",52=Projects!$C$11),Projects!$B$11*Projects!$T$11,0)+IF(AND(Projects!$G$12="Yes",Projects!$F$12="Yes",52=Projects!$C$12),Projects!$B$12*Projects!$T$12,0)+IF(AND(Projects!$G$13="Yes",Projects!$F$13="Yes",52=Projects!$C$13),Projects!$B$13*Projects!$T$13,0)+IF(AND(Projects!$G$14="Yes",Projects!$F$14="Yes",52=Projects!$C$14),Projects!$B$14*Projects!$T$14,0)+IF(AND(Projects!$G$15="Yes",Projects!$F$15="Yes",52=Projects!$C$15),Projects!$B$15*Projects!$T$15,0)+IF(AND(Projects!$G$16="Yes",Projects!$F$16="Yes",52=Projects!$C$16),Projects!$B$16*Projects!$T$16,0),Actuals!BE15)</f>
        <v>0</v>
      </c>
      <c r="BE105" s="14" t="n">
        <f aca="false">IF(ISBLANK(Actuals!BF15),IF(AND(Projects!$G$6="Yes",Projects!$F$6="Yes",53=Projects!$C$6),Projects!$B$6*Projects!$T$6,0)+IF(AND(Projects!$G$7="Yes",Projects!$F$7="Yes",53=Projects!$C$7),Projects!$B$7*Projects!$T$7,0)+IF(AND(Projects!$G$8="Yes",Projects!$F$8="Yes",53=Projects!$C$8),Projects!$B$8*Projects!$T$8,0)+IF(AND(Projects!$G$9="Yes",Projects!$F$9="Yes",53=Projects!$C$9),Projects!$B$9*Projects!$T$9,0)+IF(AND(Projects!$G$10="Yes",Projects!$F$10="Yes",53=Projects!$C$10),Projects!$B$10*Projects!$T$10,0)+IF(AND(Projects!$G$11="Yes",Projects!$F$11="Yes",53=Projects!$C$11),Projects!$B$11*Projects!$T$11,0)+IF(AND(Projects!$G$12="Yes",Projects!$F$12="Yes",53=Projects!$C$12),Projects!$B$12*Projects!$T$12,0)+IF(AND(Projects!$G$13="Yes",Projects!$F$13="Yes",53=Projects!$C$13),Projects!$B$13*Projects!$T$13,0)+IF(AND(Projects!$G$14="Yes",Projects!$F$14="Yes",53=Projects!$C$14),Projects!$B$14*Projects!$T$14,0)+IF(AND(Projects!$G$15="Yes",Projects!$F$15="Yes",53=Projects!$C$15),Projects!$B$15*Projects!$T$15,0)+IF(AND(Projects!$G$16="Yes",Projects!$F$16="Yes",53=Projects!$C$16),Projects!$B$16*Projects!$T$16,0),Actuals!BF15)</f>
        <v>0</v>
      </c>
      <c r="BF105" s="14" t="n">
        <f aca="false">IF(ISBLANK(Actuals!BG15),IF(AND(Projects!$G$6="Yes",Projects!$F$6="Yes",54=Projects!$C$6),Projects!$B$6*Projects!$T$6,0)+IF(AND(Projects!$G$7="Yes",Projects!$F$7="Yes",54=Projects!$C$7),Projects!$B$7*Projects!$T$7,0)+IF(AND(Projects!$G$8="Yes",Projects!$F$8="Yes",54=Projects!$C$8),Projects!$B$8*Projects!$T$8,0)+IF(AND(Projects!$G$9="Yes",Projects!$F$9="Yes",54=Projects!$C$9),Projects!$B$9*Projects!$T$9,0)+IF(AND(Projects!$G$10="Yes",Projects!$F$10="Yes",54=Projects!$C$10),Projects!$B$10*Projects!$T$10,0)+IF(AND(Projects!$G$11="Yes",Projects!$F$11="Yes",54=Projects!$C$11),Projects!$B$11*Projects!$T$11,0)+IF(AND(Projects!$G$12="Yes",Projects!$F$12="Yes",54=Projects!$C$12),Projects!$B$12*Projects!$T$12,0)+IF(AND(Projects!$G$13="Yes",Projects!$F$13="Yes",54=Projects!$C$13),Projects!$B$13*Projects!$T$13,0)+IF(AND(Projects!$G$14="Yes",Projects!$F$14="Yes",54=Projects!$C$14),Projects!$B$14*Projects!$T$14,0)+IF(AND(Projects!$G$15="Yes",Projects!$F$15="Yes",54=Projects!$C$15),Projects!$B$15*Projects!$T$15,0)+IF(AND(Projects!$G$16="Yes",Projects!$F$16="Yes",54=Projects!$C$16),Projects!$B$16*Projects!$T$16,0),Actuals!BG15)</f>
        <v>0</v>
      </c>
      <c r="BG105" s="14" t="n">
        <f aca="false">IF(ISBLANK(Actuals!BH15),IF(AND(Projects!$G$6="Yes",Projects!$F$6="Yes",55=Projects!$C$6),Projects!$B$6*Projects!$T$6,0)+IF(AND(Projects!$G$7="Yes",Projects!$F$7="Yes",55=Projects!$C$7),Projects!$B$7*Projects!$T$7,0)+IF(AND(Projects!$G$8="Yes",Projects!$F$8="Yes",55=Projects!$C$8),Projects!$B$8*Projects!$T$8,0)+IF(AND(Projects!$G$9="Yes",Projects!$F$9="Yes",55=Projects!$C$9),Projects!$B$9*Projects!$T$9,0)+IF(AND(Projects!$G$10="Yes",Projects!$F$10="Yes",55=Projects!$C$10),Projects!$B$10*Projects!$T$10,0)+IF(AND(Projects!$G$11="Yes",Projects!$F$11="Yes",55=Projects!$C$11),Projects!$B$11*Projects!$T$11,0)+IF(AND(Projects!$G$12="Yes",Projects!$F$12="Yes",55=Projects!$C$12),Projects!$B$12*Projects!$T$12,0)+IF(AND(Projects!$G$13="Yes",Projects!$F$13="Yes",55=Projects!$C$13),Projects!$B$13*Projects!$T$13,0)+IF(AND(Projects!$G$14="Yes",Projects!$F$14="Yes",55=Projects!$C$14),Projects!$B$14*Projects!$T$14,0)+IF(AND(Projects!$G$15="Yes",Projects!$F$15="Yes",55=Projects!$C$15),Projects!$B$15*Projects!$T$15,0)+IF(AND(Projects!$G$16="Yes",Projects!$F$16="Yes",55=Projects!$C$16),Projects!$B$16*Projects!$T$16,0),Actuals!BH15)</f>
        <v>0</v>
      </c>
      <c r="BH105" s="14" t="n">
        <f aca="false">IF(ISBLANK(Actuals!BI15),IF(AND(Projects!$G$6="Yes",Projects!$F$6="Yes",56=Projects!$C$6),Projects!$B$6*Projects!$T$6,0)+IF(AND(Projects!$G$7="Yes",Projects!$F$7="Yes",56=Projects!$C$7),Projects!$B$7*Projects!$T$7,0)+IF(AND(Projects!$G$8="Yes",Projects!$F$8="Yes",56=Projects!$C$8),Projects!$B$8*Projects!$T$8,0)+IF(AND(Projects!$G$9="Yes",Projects!$F$9="Yes",56=Projects!$C$9),Projects!$B$9*Projects!$T$9,0)+IF(AND(Projects!$G$10="Yes",Projects!$F$10="Yes",56=Projects!$C$10),Projects!$B$10*Projects!$T$10,0)+IF(AND(Projects!$G$11="Yes",Projects!$F$11="Yes",56=Projects!$C$11),Projects!$B$11*Projects!$T$11,0)+IF(AND(Projects!$G$12="Yes",Projects!$F$12="Yes",56=Projects!$C$12),Projects!$B$12*Projects!$T$12,0)+IF(AND(Projects!$G$13="Yes",Projects!$F$13="Yes",56=Projects!$C$13),Projects!$B$13*Projects!$T$13,0)+IF(AND(Projects!$G$14="Yes",Projects!$F$14="Yes",56=Projects!$C$14),Projects!$B$14*Projects!$T$14,0)+IF(AND(Projects!$G$15="Yes",Projects!$F$15="Yes",56=Projects!$C$15),Projects!$B$15*Projects!$T$15,0)+IF(AND(Projects!$G$16="Yes",Projects!$F$16="Yes",56=Projects!$C$16),Projects!$B$16*Projects!$T$16,0),Actuals!BI15)</f>
        <v>0</v>
      </c>
      <c r="BI105" s="14" t="n">
        <f aca="false">IF(ISBLANK(Actuals!BJ15),IF(AND(Projects!$G$6="Yes",Projects!$F$6="Yes",57=Projects!$C$6),Projects!$B$6*Projects!$T$6,0)+IF(AND(Projects!$G$7="Yes",Projects!$F$7="Yes",57=Projects!$C$7),Projects!$B$7*Projects!$T$7,0)+IF(AND(Projects!$G$8="Yes",Projects!$F$8="Yes",57=Projects!$C$8),Projects!$B$8*Projects!$T$8,0)+IF(AND(Projects!$G$9="Yes",Projects!$F$9="Yes",57=Projects!$C$9),Projects!$B$9*Projects!$T$9,0)+IF(AND(Projects!$G$10="Yes",Projects!$F$10="Yes",57=Projects!$C$10),Projects!$B$10*Projects!$T$10,0)+IF(AND(Projects!$G$11="Yes",Projects!$F$11="Yes",57=Projects!$C$11),Projects!$B$11*Projects!$T$11,0)+IF(AND(Projects!$G$12="Yes",Projects!$F$12="Yes",57=Projects!$C$12),Projects!$B$12*Projects!$T$12,0)+IF(AND(Projects!$G$13="Yes",Projects!$F$13="Yes",57=Projects!$C$13),Projects!$B$13*Projects!$T$13,0)+IF(AND(Projects!$G$14="Yes",Projects!$F$14="Yes",57=Projects!$C$14),Projects!$B$14*Projects!$T$14,0)+IF(AND(Projects!$G$15="Yes",Projects!$F$15="Yes",57=Projects!$C$15),Projects!$B$15*Projects!$T$15,0)+IF(AND(Projects!$G$16="Yes",Projects!$F$16="Yes",57=Projects!$C$16),Projects!$B$16*Projects!$T$16,0),Actuals!BJ15)</f>
        <v>0</v>
      </c>
      <c r="BJ105" s="14" t="n">
        <f aca="false">IF(ISBLANK(Actuals!BK15),IF(AND(Projects!$G$6="Yes",Projects!$F$6="Yes",58=Projects!$C$6),Projects!$B$6*Projects!$T$6,0)+IF(AND(Projects!$G$7="Yes",Projects!$F$7="Yes",58=Projects!$C$7),Projects!$B$7*Projects!$T$7,0)+IF(AND(Projects!$G$8="Yes",Projects!$F$8="Yes",58=Projects!$C$8),Projects!$B$8*Projects!$T$8,0)+IF(AND(Projects!$G$9="Yes",Projects!$F$9="Yes",58=Projects!$C$9),Projects!$B$9*Projects!$T$9,0)+IF(AND(Projects!$G$10="Yes",Projects!$F$10="Yes",58=Projects!$C$10),Projects!$B$10*Projects!$T$10,0)+IF(AND(Projects!$G$11="Yes",Projects!$F$11="Yes",58=Projects!$C$11),Projects!$B$11*Projects!$T$11,0)+IF(AND(Projects!$G$12="Yes",Projects!$F$12="Yes",58=Projects!$C$12),Projects!$B$12*Projects!$T$12,0)+IF(AND(Projects!$G$13="Yes",Projects!$F$13="Yes",58=Projects!$C$13),Projects!$B$13*Projects!$T$13,0)+IF(AND(Projects!$G$14="Yes",Projects!$F$14="Yes",58=Projects!$C$14),Projects!$B$14*Projects!$T$14,0)+IF(AND(Projects!$G$15="Yes",Projects!$F$15="Yes",58=Projects!$C$15),Projects!$B$15*Projects!$T$15,0)+IF(AND(Projects!$G$16="Yes",Projects!$F$16="Yes",58=Projects!$C$16),Projects!$B$16*Projects!$T$16,0),Actuals!BK15)</f>
        <v>0</v>
      </c>
      <c r="BK105" s="14" t="n">
        <f aca="false">IF(ISBLANK(Actuals!BL15),IF(AND(Projects!$G$6="Yes",Projects!$F$6="Yes",59=Projects!$C$6),Projects!$B$6*Projects!$T$6,0)+IF(AND(Projects!$G$7="Yes",Projects!$F$7="Yes",59=Projects!$C$7),Projects!$B$7*Projects!$T$7,0)+IF(AND(Projects!$G$8="Yes",Projects!$F$8="Yes",59=Projects!$C$8),Projects!$B$8*Projects!$T$8,0)+IF(AND(Projects!$G$9="Yes",Projects!$F$9="Yes",59=Projects!$C$9),Projects!$B$9*Projects!$T$9,0)+IF(AND(Projects!$G$10="Yes",Projects!$F$10="Yes",59=Projects!$C$10),Projects!$B$10*Projects!$T$10,0)+IF(AND(Projects!$G$11="Yes",Projects!$F$11="Yes",59=Projects!$C$11),Projects!$B$11*Projects!$T$11,0)+IF(AND(Projects!$G$12="Yes",Projects!$F$12="Yes",59=Projects!$C$12),Projects!$B$12*Projects!$T$12,0)+IF(AND(Projects!$G$13="Yes",Projects!$F$13="Yes",59=Projects!$C$13),Projects!$B$13*Projects!$T$13,0)+IF(AND(Projects!$G$14="Yes",Projects!$F$14="Yes",59=Projects!$C$14),Projects!$B$14*Projects!$T$14,0)+IF(AND(Projects!$G$15="Yes",Projects!$F$15="Yes",59=Projects!$C$15),Projects!$B$15*Projects!$T$15,0)+IF(AND(Projects!$G$16="Yes",Projects!$F$16="Yes",59=Projects!$C$16),Projects!$B$16*Projects!$T$16,0),Actuals!BL15)</f>
        <v>0</v>
      </c>
      <c r="BL105" s="14" t="n">
        <f aca="false">IF(ISBLANK(Actuals!BM15),IF(AND(Projects!$G$6="Yes",Projects!$F$6="Yes",60=Projects!$C$6),Projects!$B$6*Projects!$T$6,0)+IF(AND(Projects!$G$7="Yes",Projects!$F$7="Yes",60=Projects!$C$7),Projects!$B$7*Projects!$T$7,0)+IF(AND(Projects!$G$8="Yes",Projects!$F$8="Yes",60=Projects!$C$8),Projects!$B$8*Projects!$T$8,0)+IF(AND(Projects!$G$9="Yes",Projects!$F$9="Yes",60=Projects!$C$9),Projects!$B$9*Projects!$T$9,0)+IF(AND(Projects!$G$10="Yes",Projects!$F$10="Yes",60=Projects!$C$10),Projects!$B$10*Projects!$T$10,0)+IF(AND(Projects!$G$11="Yes",Projects!$F$11="Yes",60=Projects!$C$11),Projects!$B$11*Projects!$T$11,0)+IF(AND(Projects!$G$12="Yes",Projects!$F$12="Yes",60=Projects!$C$12),Projects!$B$12*Projects!$T$12,0)+IF(AND(Projects!$G$13="Yes",Projects!$F$13="Yes",60=Projects!$C$13),Projects!$B$13*Projects!$T$13,0)+IF(AND(Projects!$G$14="Yes",Projects!$F$14="Yes",60=Projects!$C$14),Projects!$B$14*Projects!$T$14,0)+IF(AND(Projects!$G$15="Yes",Projects!$F$15="Yes",60=Projects!$C$15),Projects!$B$15*Projects!$T$15,0)+IF(AND(Projects!$G$16="Yes",Projects!$F$16="Yes",60=Projects!$C$16),Projects!$B$16*Projects!$T$16,0),Actuals!BM15)</f>
        <v>0</v>
      </c>
      <c r="BM105" s="14" t="n">
        <f aca="false">IF(ISBLANK(Actuals!BN15),IF(AND(Projects!$G$6="Yes",Projects!$F$6="Yes",61=Projects!$C$6),Projects!$B$6*Projects!$T$6,0)+IF(AND(Projects!$G$7="Yes",Projects!$F$7="Yes",61=Projects!$C$7),Projects!$B$7*Projects!$T$7,0)+IF(AND(Projects!$G$8="Yes",Projects!$F$8="Yes",61=Projects!$C$8),Projects!$B$8*Projects!$T$8,0)+IF(AND(Projects!$G$9="Yes",Projects!$F$9="Yes",61=Projects!$C$9),Projects!$B$9*Projects!$T$9,0)+IF(AND(Projects!$G$10="Yes",Projects!$F$10="Yes",61=Projects!$C$10),Projects!$B$10*Projects!$T$10,0)+IF(AND(Projects!$G$11="Yes",Projects!$F$11="Yes",61=Projects!$C$11),Projects!$B$11*Projects!$T$11,0)+IF(AND(Projects!$G$12="Yes",Projects!$F$12="Yes",61=Projects!$C$12),Projects!$B$12*Projects!$T$12,0)+IF(AND(Projects!$G$13="Yes",Projects!$F$13="Yes",61=Projects!$C$13),Projects!$B$13*Projects!$T$13,0)+IF(AND(Projects!$G$14="Yes",Projects!$F$14="Yes",61=Projects!$C$14),Projects!$B$14*Projects!$T$14,0)+IF(AND(Projects!$G$15="Yes",Projects!$F$15="Yes",61=Projects!$C$15),Projects!$B$15*Projects!$T$15,0)+IF(AND(Projects!$G$16="Yes",Projects!$F$16="Yes",61=Projects!$C$16),Projects!$B$16*Projects!$T$16,0),Actuals!BN15)</f>
        <v>0</v>
      </c>
      <c r="BN105" s="14" t="n">
        <f aca="false">IF(ISBLANK(Actuals!BO15),IF(AND(Projects!$G$6="Yes",Projects!$F$6="Yes",62=Projects!$C$6),Projects!$B$6*Projects!$T$6,0)+IF(AND(Projects!$G$7="Yes",Projects!$F$7="Yes",62=Projects!$C$7),Projects!$B$7*Projects!$T$7,0)+IF(AND(Projects!$G$8="Yes",Projects!$F$8="Yes",62=Projects!$C$8),Projects!$B$8*Projects!$T$8,0)+IF(AND(Projects!$G$9="Yes",Projects!$F$9="Yes",62=Projects!$C$9),Projects!$B$9*Projects!$T$9,0)+IF(AND(Projects!$G$10="Yes",Projects!$F$10="Yes",62=Projects!$C$10),Projects!$B$10*Projects!$T$10,0)+IF(AND(Projects!$G$11="Yes",Projects!$F$11="Yes",62=Projects!$C$11),Projects!$B$11*Projects!$T$11,0)+IF(AND(Projects!$G$12="Yes",Projects!$F$12="Yes",62=Projects!$C$12),Projects!$B$12*Projects!$T$12,0)+IF(AND(Projects!$G$13="Yes",Projects!$F$13="Yes",62=Projects!$C$13),Projects!$B$13*Projects!$T$13,0)+IF(AND(Projects!$G$14="Yes",Projects!$F$14="Yes",62=Projects!$C$14),Projects!$B$14*Projects!$T$14,0)+IF(AND(Projects!$G$15="Yes",Projects!$F$15="Yes",62=Projects!$C$15),Projects!$B$15*Projects!$T$15,0)+IF(AND(Projects!$G$16="Yes",Projects!$F$16="Yes",62=Projects!$C$16),Projects!$B$16*Projects!$T$16,0),Actuals!BO15)</f>
        <v>0</v>
      </c>
      <c r="BO105" s="14" t="n">
        <f aca="false">IF(ISBLANK(Actuals!BP15),IF(AND(Projects!$G$6="Yes",Projects!$F$6="Yes",63=Projects!$C$6),Projects!$B$6*Projects!$T$6,0)+IF(AND(Projects!$G$7="Yes",Projects!$F$7="Yes",63=Projects!$C$7),Projects!$B$7*Projects!$T$7,0)+IF(AND(Projects!$G$8="Yes",Projects!$F$8="Yes",63=Projects!$C$8),Projects!$B$8*Projects!$T$8,0)+IF(AND(Projects!$G$9="Yes",Projects!$F$9="Yes",63=Projects!$C$9),Projects!$B$9*Projects!$T$9,0)+IF(AND(Projects!$G$10="Yes",Projects!$F$10="Yes",63=Projects!$C$10),Projects!$B$10*Projects!$T$10,0)+IF(AND(Projects!$G$11="Yes",Projects!$F$11="Yes",63=Projects!$C$11),Projects!$B$11*Projects!$T$11,0)+IF(AND(Projects!$G$12="Yes",Projects!$F$12="Yes",63=Projects!$C$12),Projects!$B$12*Projects!$T$12,0)+IF(AND(Projects!$G$13="Yes",Projects!$F$13="Yes",63=Projects!$C$13),Projects!$B$13*Projects!$T$13,0)+IF(AND(Projects!$G$14="Yes",Projects!$F$14="Yes",63=Projects!$C$14),Projects!$B$14*Projects!$T$14,0)+IF(AND(Projects!$G$15="Yes",Projects!$F$15="Yes",63=Projects!$C$15),Projects!$B$15*Projects!$T$15,0)+IF(AND(Projects!$G$16="Yes",Projects!$F$16="Yes",63=Projects!$C$16),Projects!$B$16*Projects!$T$16,0),Actuals!BP15)</f>
        <v>0</v>
      </c>
      <c r="BP105" s="14" t="n">
        <f aca="false">IF(ISBLANK(Actuals!BQ15),IF(AND(Projects!$G$6="Yes",Projects!$F$6="Yes",64=Projects!$C$6),Projects!$B$6*Projects!$T$6,0)+IF(AND(Projects!$G$7="Yes",Projects!$F$7="Yes",64=Projects!$C$7),Projects!$B$7*Projects!$T$7,0)+IF(AND(Projects!$G$8="Yes",Projects!$F$8="Yes",64=Projects!$C$8),Projects!$B$8*Projects!$T$8,0)+IF(AND(Projects!$G$9="Yes",Projects!$F$9="Yes",64=Projects!$C$9),Projects!$B$9*Projects!$T$9,0)+IF(AND(Projects!$G$10="Yes",Projects!$F$10="Yes",64=Projects!$C$10),Projects!$B$10*Projects!$T$10,0)+IF(AND(Projects!$G$11="Yes",Projects!$F$11="Yes",64=Projects!$C$11),Projects!$B$11*Projects!$T$11,0)+IF(AND(Projects!$G$12="Yes",Projects!$F$12="Yes",64=Projects!$C$12),Projects!$B$12*Projects!$T$12,0)+IF(AND(Projects!$G$13="Yes",Projects!$F$13="Yes",64=Projects!$C$13),Projects!$B$13*Projects!$T$13,0)+IF(AND(Projects!$G$14="Yes",Projects!$F$14="Yes",64=Projects!$C$14),Projects!$B$14*Projects!$T$14,0)+IF(AND(Projects!$G$15="Yes",Projects!$F$15="Yes",64=Projects!$C$15),Projects!$B$15*Projects!$T$15,0)+IF(AND(Projects!$G$16="Yes",Projects!$F$16="Yes",64=Projects!$C$16),Projects!$B$16*Projects!$T$16,0),Actuals!BQ15)</f>
        <v>0</v>
      </c>
      <c r="BQ105" s="14" t="n">
        <f aca="false">IF(ISBLANK(Actuals!BR15),IF(AND(Projects!$G$6="Yes",Projects!$F$6="Yes",65=Projects!$C$6),Projects!$B$6*Projects!$T$6,0)+IF(AND(Projects!$G$7="Yes",Projects!$F$7="Yes",65=Projects!$C$7),Projects!$B$7*Projects!$T$7,0)+IF(AND(Projects!$G$8="Yes",Projects!$F$8="Yes",65=Projects!$C$8),Projects!$B$8*Projects!$T$8,0)+IF(AND(Projects!$G$9="Yes",Projects!$F$9="Yes",65=Projects!$C$9),Projects!$B$9*Projects!$T$9,0)+IF(AND(Projects!$G$10="Yes",Projects!$F$10="Yes",65=Projects!$C$10),Projects!$B$10*Projects!$T$10,0)+IF(AND(Projects!$G$11="Yes",Projects!$F$11="Yes",65=Projects!$C$11),Projects!$B$11*Projects!$T$11,0)+IF(AND(Projects!$G$12="Yes",Projects!$F$12="Yes",65=Projects!$C$12),Projects!$B$12*Projects!$T$12,0)+IF(AND(Projects!$G$13="Yes",Projects!$F$13="Yes",65=Projects!$C$13),Projects!$B$13*Projects!$T$13,0)+IF(AND(Projects!$G$14="Yes",Projects!$F$14="Yes",65=Projects!$C$14),Projects!$B$14*Projects!$T$14,0)+IF(AND(Projects!$G$15="Yes",Projects!$F$15="Yes",65=Projects!$C$15),Projects!$B$15*Projects!$T$15,0)+IF(AND(Projects!$G$16="Yes",Projects!$F$16="Yes",65=Projects!$C$16),Projects!$B$16*Projects!$T$16,0),Actuals!BR15)</f>
        <v>0</v>
      </c>
      <c r="BR105" s="14" t="n">
        <f aca="false">IF(ISBLANK(Actuals!BS15),IF(AND(Projects!$G$6="Yes",Projects!$F$6="Yes",66=Projects!$C$6),Projects!$B$6*Projects!$T$6,0)+IF(AND(Projects!$G$7="Yes",Projects!$F$7="Yes",66=Projects!$C$7),Projects!$B$7*Projects!$T$7,0)+IF(AND(Projects!$G$8="Yes",Projects!$F$8="Yes",66=Projects!$C$8),Projects!$B$8*Projects!$T$8,0)+IF(AND(Projects!$G$9="Yes",Projects!$F$9="Yes",66=Projects!$C$9),Projects!$B$9*Projects!$T$9,0)+IF(AND(Projects!$G$10="Yes",Projects!$F$10="Yes",66=Projects!$C$10),Projects!$B$10*Projects!$T$10,0)+IF(AND(Projects!$G$11="Yes",Projects!$F$11="Yes",66=Projects!$C$11),Projects!$B$11*Projects!$T$11,0)+IF(AND(Projects!$G$12="Yes",Projects!$F$12="Yes",66=Projects!$C$12),Projects!$B$12*Projects!$T$12,0)+IF(AND(Projects!$G$13="Yes",Projects!$F$13="Yes",66=Projects!$C$13),Projects!$B$13*Projects!$T$13,0)+IF(AND(Projects!$G$14="Yes",Projects!$F$14="Yes",66=Projects!$C$14),Projects!$B$14*Projects!$T$14,0)+IF(AND(Projects!$G$15="Yes",Projects!$F$15="Yes",66=Projects!$C$15),Projects!$B$15*Projects!$T$15,0)+IF(AND(Projects!$G$16="Yes",Projects!$F$16="Yes",66=Projects!$C$16),Projects!$B$16*Projects!$T$16,0),Actuals!BS15)</f>
        <v>0</v>
      </c>
      <c r="BS105" s="14" t="n">
        <f aca="false">IF(ISBLANK(Actuals!BT15),IF(AND(Projects!$G$6="Yes",Projects!$F$6="Yes",67=Projects!$C$6),Projects!$B$6*Projects!$T$6,0)+IF(AND(Projects!$G$7="Yes",Projects!$F$7="Yes",67=Projects!$C$7),Projects!$B$7*Projects!$T$7,0)+IF(AND(Projects!$G$8="Yes",Projects!$F$8="Yes",67=Projects!$C$8),Projects!$B$8*Projects!$T$8,0)+IF(AND(Projects!$G$9="Yes",Projects!$F$9="Yes",67=Projects!$C$9),Projects!$B$9*Projects!$T$9,0)+IF(AND(Projects!$G$10="Yes",Projects!$F$10="Yes",67=Projects!$C$10),Projects!$B$10*Projects!$T$10,0)+IF(AND(Projects!$G$11="Yes",Projects!$F$11="Yes",67=Projects!$C$11),Projects!$B$11*Projects!$T$11,0)+IF(AND(Projects!$G$12="Yes",Projects!$F$12="Yes",67=Projects!$C$12),Projects!$B$12*Projects!$T$12,0)+IF(AND(Projects!$G$13="Yes",Projects!$F$13="Yes",67=Projects!$C$13),Projects!$B$13*Projects!$T$13,0)+IF(AND(Projects!$G$14="Yes",Projects!$F$14="Yes",67=Projects!$C$14),Projects!$B$14*Projects!$T$14,0)+IF(AND(Projects!$G$15="Yes",Projects!$F$15="Yes",67=Projects!$C$15),Projects!$B$15*Projects!$T$15,0)+IF(AND(Projects!$G$16="Yes",Projects!$F$16="Yes",67=Projects!$C$16),Projects!$B$16*Projects!$T$16,0),Actuals!BT15)</f>
        <v>0</v>
      </c>
      <c r="BT105" s="14" t="n">
        <f aca="false">IF(ISBLANK(Actuals!BU15),IF(AND(Projects!$G$6="Yes",Projects!$F$6="Yes",68=Projects!$C$6),Projects!$B$6*Projects!$T$6,0)+IF(AND(Projects!$G$7="Yes",Projects!$F$7="Yes",68=Projects!$C$7),Projects!$B$7*Projects!$T$7,0)+IF(AND(Projects!$G$8="Yes",Projects!$F$8="Yes",68=Projects!$C$8),Projects!$B$8*Projects!$T$8,0)+IF(AND(Projects!$G$9="Yes",Projects!$F$9="Yes",68=Projects!$C$9),Projects!$B$9*Projects!$T$9,0)+IF(AND(Projects!$G$10="Yes",Projects!$F$10="Yes",68=Projects!$C$10),Projects!$B$10*Projects!$T$10,0)+IF(AND(Projects!$G$11="Yes",Projects!$F$11="Yes",68=Projects!$C$11),Projects!$B$11*Projects!$T$11,0)+IF(AND(Projects!$G$12="Yes",Projects!$F$12="Yes",68=Projects!$C$12),Projects!$B$12*Projects!$T$12,0)+IF(AND(Projects!$G$13="Yes",Projects!$F$13="Yes",68=Projects!$C$13),Projects!$B$13*Projects!$T$13,0)+IF(AND(Projects!$G$14="Yes",Projects!$F$14="Yes",68=Projects!$C$14),Projects!$B$14*Projects!$T$14,0)+IF(AND(Projects!$G$15="Yes",Projects!$F$15="Yes",68=Projects!$C$15),Projects!$B$15*Projects!$T$15,0)+IF(AND(Projects!$G$16="Yes",Projects!$F$16="Yes",68=Projects!$C$16),Projects!$B$16*Projects!$T$16,0),Actuals!BU15)</f>
        <v>0</v>
      </c>
      <c r="BU105" s="14" t="n">
        <f aca="false">IF(ISBLANK(Actuals!BV15),IF(AND(Projects!$G$6="Yes",Projects!$F$6="Yes",69=Projects!$C$6),Projects!$B$6*Projects!$T$6,0)+IF(AND(Projects!$G$7="Yes",Projects!$F$7="Yes",69=Projects!$C$7),Projects!$B$7*Projects!$T$7,0)+IF(AND(Projects!$G$8="Yes",Projects!$F$8="Yes",69=Projects!$C$8),Projects!$B$8*Projects!$T$8,0)+IF(AND(Projects!$G$9="Yes",Projects!$F$9="Yes",69=Projects!$C$9),Projects!$B$9*Projects!$T$9,0)+IF(AND(Projects!$G$10="Yes",Projects!$F$10="Yes",69=Projects!$C$10),Projects!$B$10*Projects!$T$10,0)+IF(AND(Projects!$G$11="Yes",Projects!$F$11="Yes",69=Projects!$C$11),Projects!$B$11*Projects!$T$11,0)+IF(AND(Projects!$G$12="Yes",Projects!$F$12="Yes",69=Projects!$C$12),Projects!$B$12*Projects!$T$12,0)+IF(AND(Projects!$G$13="Yes",Projects!$F$13="Yes",69=Projects!$C$13),Projects!$B$13*Projects!$T$13,0)+IF(AND(Projects!$G$14="Yes",Projects!$F$14="Yes",69=Projects!$C$14),Projects!$B$14*Projects!$T$14,0)+IF(AND(Projects!$G$15="Yes",Projects!$F$15="Yes",69=Projects!$C$15),Projects!$B$15*Projects!$T$15,0)+IF(AND(Projects!$G$16="Yes",Projects!$F$16="Yes",69=Projects!$C$16),Projects!$B$16*Projects!$T$16,0),Actuals!BV15)</f>
        <v>0</v>
      </c>
      <c r="BV105" s="14" t="n">
        <f aca="false">IF(ISBLANK(Actuals!BW15),IF(AND(Projects!$G$6="Yes",Projects!$F$6="Yes",70=Projects!$C$6),Projects!$B$6*Projects!$T$6,0)+IF(AND(Projects!$G$7="Yes",Projects!$F$7="Yes",70=Projects!$C$7),Projects!$B$7*Projects!$T$7,0)+IF(AND(Projects!$G$8="Yes",Projects!$F$8="Yes",70=Projects!$C$8),Projects!$B$8*Projects!$T$8,0)+IF(AND(Projects!$G$9="Yes",Projects!$F$9="Yes",70=Projects!$C$9),Projects!$B$9*Projects!$T$9,0)+IF(AND(Projects!$G$10="Yes",Projects!$F$10="Yes",70=Projects!$C$10),Projects!$B$10*Projects!$T$10,0)+IF(AND(Projects!$G$11="Yes",Projects!$F$11="Yes",70=Projects!$C$11),Projects!$B$11*Projects!$T$11,0)+IF(AND(Projects!$G$12="Yes",Projects!$F$12="Yes",70=Projects!$C$12),Projects!$B$12*Projects!$T$12,0)+IF(AND(Projects!$G$13="Yes",Projects!$F$13="Yes",70=Projects!$C$13),Projects!$B$13*Projects!$T$13,0)+IF(AND(Projects!$G$14="Yes",Projects!$F$14="Yes",70=Projects!$C$14),Projects!$B$14*Projects!$T$14,0)+IF(AND(Projects!$G$15="Yes",Projects!$F$15="Yes",70=Projects!$C$15),Projects!$B$15*Projects!$T$15,0)+IF(AND(Projects!$G$16="Yes",Projects!$F$16="Yes",70=Projects!$C$16),Projects!$B$16*Projects!$T$16,0),Actuals!BW15)</f>
        <v>0</v>
      </c>
      <c r="BW105" s="14" t="n">
        <f aca="false">IF(ISBLANK(Actuals!BX15),IF(AND(Projects!$G$6="Yes",Projects!$F$6="Yes",71=Projects!$C$6),Projects!$B$6*Projects!$T$6,0)+IF(AND(Projects!$G$7="Yes",Projects!$F$7="Yes",71=Projects!$C$7),Projects!$B$7*Projects!$T$7,0)+IF(AND(Projects!$G$8="Yes",Projects!$F$8="Yes",71=Projects!$C$8),Projects!$B$8*Projects!$T$8,0)+IF(AND(Projects!$G$9="Yes",Projects!$F$9="Yes",71=Projects!$C$9),Projects!$B$9*Projects!$T$9,0)+IF(AND(Projects!$G$10="Yes",Projects!$F$10="Yes",71=Projects!$C$10),Projects!$B$10*Projects!$T$10,0)+IF(AND(Projects!$G$11="Yes",Projects!$F$11="Yes",71=Projects!$C$11),Projects!$B$11*Projects!$T$11,0)+IF(AND(Projects!$G$12="Yes",Projects!$F$12="Yes",71=Projects!$C$12),Projects!$B$12*Projects!$T$12,0)+IF(AND(Projects!$G$13="Yes",Projects!$F$13="Yes",71=Projects!$C$13),Projects!$B$13*Projects!$T$13,0)+IF(AND(Projects!$G$14="Yes",Projects!$F$14="Yes",71=Projects!$C$14),Projects!$B$14*Projects!$T$14,0)+IF(AND(Projects!$G$15="Yes",Projects!$F$15="Yes",71=Projects!$C$15),Projects!$B$15*Projects!$T$15,0)+IF(AND(Projects!$G$16="Yes",Projects!$F$16="Yes",71=Projects!$C$16),Projects!$B$16*Projects!$T$16,0),Actuals!BX15)</f>
        <v>0</v>
      </c>
      <c r="BX105" s="14" t="n">
        <f aca="false">IF(ISBLANK(Actuals!BY15),IF(AND(Projects!$G$6="Yes",Projects!$F$6="Yes",72=Projects!$C$6),Projects!$B$6*Projects!$T$6,0)+IF(AND(Projects!$G$7="Yes",Projects!$F$7="Yes",72=Projects!$C$7),Projects!$B$7*Projects!$T$7,0)+IF(AND(Projects!$G$8="Yes",Projects!$F$8="Yes",72=Projects!$C$8),Projects!$B$8*Projects!$T$8,0)+IF(AND(Projects!$G$9="Yes",Projects!$F$9="Yes",72=Projects!$C$9),Projects!$B$9*Projects!$T$9,0)+IF(AND(Projects!$G$10="Yes",Projects!$F$10="Yes",72=Projects!$C$10),Projects!$B$10*Projects!$T$10,0)+IF(AND(Projects!$G$11="Yes",Projects!$F$11="Yes",72=Projects!$C$11),Projects!$B$11*Projects!$T$11,0)+IF(AND(Projects!$G$12="Yes",Projects!$F$12="Yes",72=Projects!$C$12),Projects!$B$12*Projects!$T$12,0)+IF(AND(Projects!$G$13="Yes",Projects!$F$13="Yes",72=Projects!$C$13),Projects!$B$13*Projects!$T$13,0)+IF(AND(Projects!$G$14="Yes",Projects!$F$14="Yes",72=Projects!$C$14),Projects!$B$14*Projects!$T$14,0)+IF(AND(Projects!$G$15="Yes",Projects!$F$15="Yes",72=Projects!$C$15),Projects!$B$15*Projects!$T$15,0)+IF(AND(Projects!$G$16="Yes",Projects!$F$16="Yes",72=Projects!$C$16),Projects!$B$16*Projects!$T$16,0),Actuals!BY15)</f>
        <v>0</v>
      </c>
      <c r="BY105" s="14" t="n">
        <f aca="false">IF(ISBLANK(Actuals!BZ15),IF(AND(Projects!$G$6="Yes",Projects!$F$6="Yes",73=Projects!$C$6),Projects!$B$6*Projects!$T$6,0)+IF(AND(Projects!$G$7="Yes",Projects!$F$7="Yes",73=Projects!$C$7),Projects!$B$7*Projects!$T$7,0)+IF(AND(Projects!$G$8="Yes",Projects!$F$8="Yes",73=Projects!$C$8),Projects!$B$8*Projects!$T$8,0)+IF(AND(Projects!$G$9="Yes",Projects!$F$9="Yes",73=Projects!$C$9),Projects!$B$9*Projects!$T$9,0)+IF(AND(Projects!$G$10="Yes",Projects!$F$10="Yes",73=Projects!$C$10),Projects!$B$10*Projects!$T$10,0)+IF(AND(Projects!$G$11="Yes",Projects!$F$11="Yes",73=Projects!$C$11),Projects!$B$11*Projects!$T$11,0)+IF(AND(Projects!$G$12="Yes",Projects!$F$12="Yes",73=Projects!$C$12),Projects!$B$12*Projects!$T$12,0)+IF(AND(Projects!$G$13="Yes",Projects!$F$13="Yes",73=Projects!$C$13),Projects!$B$13*Projects!$T$13,0)+IF(AND(Projects!$G$14="Yes",Projects!$F$14="Yes",73=Projects!$C$14),Projects!$B$14*Projects!$T$14,0)+IF(AND(Projects!$G$15="Yes",Projects!$F$15="Yes",73=Projects!$C$15),Projects!$B$15*Projects!$T$15,0)+IF(AND(Projects!$G$16="Yes",Projects!$F$16="Yes",73=Projects!$C$16),Projects!$B$16*Projects!$T$16,0),Actuals!BZ15)</f>
        <v>0</v>
      </c>
      <c r="BZ105" s="14" t="n">
        <f aca="false">IF(ISBLANK(Actuals!CA15),IF(AND(Projects!$G$6="Yes",Projects!$F$6="Yes",74=Projects!$C$6),Projects!$B$6*Projects!$T$6,0)+IF(AND(Projects!$G$7="Yes",Projects!$F$7="Yes",74=Projects!$C$7),Projects!$B$7*Projects!$T$7,0)+IF(AND(Projects!$G$8="Yes",Projects!$F$8="Yes",74=Projects!$C$8),Projects!$B$8*Projects!$T$8,0)+IF(AND(Projects!$G$9="Yes",Projects!$F$9="Yes",74=Projects!$C$9),Projects!$B$9*Projects!$T$9,0)+IF(AND(Projects!$G$10="Yes",Projects!$F$10="Yes",74=Projects!$C$10),Projects!$B$10*Projects!$T$10,0)+IF(AND(Projects!$G$11="Yes",Projects!$F$11="Yes",74=Projects!$C$11),Projects!$B$11*Projects!$T$11,0)+IF(AND(Projects!$G$12="Yes",Projects!$F$12="Yes",74=Projects!$C$12),Projects!$B$12*Projects!$T$12,0)+IF(AND(Projects!$G$13="Yes",Projects!$F$13="Yes",74=Projects!$C$13),Projects!$B$13*Projects!$T$13,0)+IF(AND(Projects!$G$14="Yes",Projects!$F$14="Yes",74=Projects!$C$14),Projects!$B$14*Projects!$T$14,0)+IF(AND(Projects!$G$15="Yes",Projects!$F$15="Yes",74=Projects!$C$15),Projects!$B$15*Projects!$T$15,0)+IF(AND(Projects!$G$16="Yes",Projects!$F$16="Yes",74=Projects!$C$16),Projects!$B$16*Projects!$T$16,0),Actuals!CA15)</f>
        <v>0</v>
      </c>
      <c r="CA105" s="14" t="n">
        <f aca="false">IF(ISBLANK(Actuals!CB15),IF(AND(Projects!$G$6="Yes",Projects!$F$6="Yes",75=Projects!$C$6),Projects!$B$6*Projects!$T$6,0)+IF(AND(Projects!$G$7="Yes",Projects!$F$7="Yes",75=Projects!$C$7),Projects!$B$7*Projects!$T$7,0)+IF(AND(Projects!$G$8="Yes",Projects!$F$8="Yes",75=Projects!$C$8),Projects!$B$8*Projects!$T$8,0)+IF(AND(Projects!$G$9="Yes",Projects!$F$9="Yes",75=Projects!$C$9),Projects!$B$9*Projects!$T$9,0)+IF(AND(Projects!$G$10="Yes",Projects!$F$10="Yes",75=Projects!$C$10),Projects!$B$10*Projects!$T$10,0)+IF(AND(Projects!$G$11="Yes",Projects!$F$11="Yes",75=Projects!$C$11),Projects!$B$11*Projects!$T$11,0)+IF(AND(Projects!$G$12="Yes",Projects!$F$12="Yes",75=Projects!$C$12),Projects!$B$12*Projects!$T$12,0)+IF(AND(Projects!$G$13="Yes",Projects!$F$13="Yes",75=Projects!$C$13),Projects!$B$13*Projects!$T$13,0)+IF(AND(Projects!$G$14="Yes",Projects!$F$14="Yes",75=Projects!$C$14),Projects!$B$14*Projects!$T$14,0)+IF(AND(Projects!$G$15="Yes",Projects!$F$15="Yes",75=Projects!$C$15),Projects!$B$15*Projects!$T$15,0)+IF(AND(Projects!$G$16="Yes",Projects!$F$16="Yes",75=Projects!$C$16),Projects!$B$16*Projects!$T$16,0),Actuals!CB15)</f>
        <v>0</v>
      </c>
      <c r="CB105" s="14" t="n">
        <f aca="false">IF(ISBLANK(Actuals!CC15),IF(AND(Projects!$G$6="Yes",Projects!$F$6="Yes",76=Projects!$C$6),Projects!$B$6*Projects!$T$6,0)+IF(AND(Projects!$G$7="Yes",Projects!$F$7="Yes",76=Projects!$C$7),Projects!$B$7*Projects!$T$7,0)+IF(AND(Projects!$G$8="Yes",Projects!$F$8="Yes",76=Projects!$C$8),Projects!$B$8*Projects!$T$8,0)+IF(AND(Projects!$G$9="Yes",Projects!$F$9="Yes",76=Projects!$C$9),Projects!$B$9*Projects!$T$9,0)+IF(AND(Projects!$G$10="Yes",Projects!$F$10="Yes",76=Projects!$C$10),Projects!$B$10*Projects!$T$10,0)+IF(AND(Projects!$G$11="Yes",Projects!$F$11="Yes",76=Projects!$C$11),Projects!$B$11*Projects!$T$11,0)+IF(AND(Projects!$G$12="Yes",Projects!$F$12="Yes",76=Projects!$C$12),Projects!$B$12*Projects!$T$12,0)+IF(AND(Projects!$G$13="Yes",Projects!$F$13="Yes",76=Projects!$C$13),Projects!$B$13*Projects!$T$13,0)+IF(AND(Projects!$G$14="Yes",Projects!$F$14="Yes",76=Projects!$C$14),Projects!$B$14*Projects!$T$14,0)+IF(AND(Projects!$G$15="Yes",Projects!$F$15="Yes",76=Projects!$C$15),Projects!$B$15*Projects!$T$15,0)+IF(AND(Projects!$G$16="Yes",Projects!$F$16="Yes",76=Projects!$C$16),Projects!$B$16*Projects!$T$16,0),Actuals!CC15)</f>
        <v>0</v>
      </c>
      <c r="CC105" s="14" t="n">
        <f aca="false">IF(ISBLANK(Actuals!CD15),IF(AND(Projects!$G$6="Yes",Projects!$F$6="Yes",77=Projects!$C$6),Projects!$B$6*Projects!$T$6,0)+IF(AND(Projects!$G$7="Yes",Projects!$F$7="Yes",77=Projects!$C$7),Projects!$B$7*Projects!$T$7,0)+IF(AND(Projects!$G$8="Yes",Projects!$F$8="Yes",77=Projects!$C$8),Projects!$B$8*Projects!$T$8,0)+IF(AND(Projects!$G$9="Yes",Projects!$F$9="Yes",77=Projects!$C$9),Projects!$B$9*Projects!$T$9,0)+IF(AND(Projects!$G$10="Yes",Projects!$F$10="Yes",77=Projects!$C$10),Projects!$B$10*Projects!$T$10,0)+IF(AND(Projects!$G$11="Yes",Projects!$F$11="Yes",77=Projects!$C$11),Projects!$B$11*Projects!$T$11,0)+IF(AND(Projects!$G$12="Yes",Projects!$F$12="Yes",77=Projects!$C$12),Projects!$B$12*Projects!$T$12,0)+IF(AND(Projects!$G$13="Yes",Projects!$F$13="Yes",77=Projects!$C$13),Projects!$B$13*Projects!$T$13,0)+IF(AND(Projects!$G$14="Yes",Projects!$F$14="Yes",77=Projects!$C$14),Projects!$B$14*Projects!$T$14,0)+IF(AND(Projects!$G$15="Yes",Projects!$F$15="Yes",77=Projects!$C$15),Projects!$B$15*Projects!$T$15,0)+IF(AND(Projects!$G$16="Yes",Projects!$F$16="Yes",77=Projects!$C$16),Projects!$B$16*Projects!$T$16,0),Actuals!CD15)</f>
        <v>0</v>
      </c>
      <c r="CD105" s="14" t="n">
        <f aca="false">IF(ISBLANK(Actuals!CE15),IF(AND(Projects!$G$6="Yes",Projects!$F$6="Yes",78=Projects!$C$6),Projects!$B$6*Projects!$T$6,0)+IF(AND(Projects!$G$7="Yes",Projects!$F$7="Yes",78=Projects!$C$7),Projects!$B$7*Projects!$T$7,0)+IF(AND(Projects!$G$8="Yes",Projects!$F$8="Yes",78=Projects!$C$8),Projects!$B$8*Projects!$T$8,0)+IF(AND(Projects!$G$9="Yes",Projects!$F$9="Yes",78=Projects!$C$9),Projects!$B$9*Projects!$T$9,0)+IF(AND(Projects!$G$10="Yes",Projects!$F$10="Yes",78=Projects!$C$10),Projects!$B$10*Projects!$T$10,0)+IF(AND(Projects!$G$11="Yes",Projects!$F$11="Yes",78=Projects!$C$11),Projects!$B$11*Projects!$T$11,0)+IF(AND(Projects!$G$12="Yes",Projects!$F$12="Yes",78=Projects!$C$12),Projects!$B$12*Projects!$T$12,0)+IF(AND(Projects!$G$13="Yes",Projects!$F$13="Yes",78=Projects!$C$13),Projects!$B$13*Projects!$T$13,0)+IF(AND(Projects!$G$14="Yes",Projects!$F$14="Yes",78=Projects!$C$14),Projects!$B$14*Projects!$T$14,0)+IF(AND(Projects!$G$15="Yes",Projects!$F$15="Yes",78=Projects!$C$15),Projects!$B$15*Projects!$T$15,0)+IF(AND(Projects!$G$16="Yes",Projects!$F$16="Yes",78=Projects!$C$16),Projects!$B$16*Projects!$T$16,0),Actuals!CE15)</f>
        <v>0</v>
      </c>
      <c r="CE105" s="14" t="n">
        <f aca="false">IF(ISBLANK(Actuals!CF15),IF(AND(Projects!$G$6="Yes",Projects!$F$6="Yes",79=Projects!$C$6),Projects!$B$6*Projects!$T$6,0)+IF(AND(Projects!$G$7="Yes",Projects!$F$7="Yes",79=Projects!$C$7),Projects!$B$7*Projects!$T$7,0)+IF(AND(Projects!$G$8="Yes",Projects!$F$8="Yes",79=Projects!$C$8),Projects!$B$8*Projects!$T$8,0)+IF(AND(Projects!$G$9="Yes",Projects!$F$9="Yes",79=Projects!$C$9),Projects!$B$9*Projects!$T$9,0)+IF(AND(Projects!$G$10="Yes",Projects!$F$10="Yes",79=Projects!$C$10),Projects!$B$10*Projects!$T$10,0)+IF(AND(Projects!$G$11="Yes",Projects!$F$11="Yes",79=Projects!$C$11),Projects!$B$11*Projects!$T$11,0)+IF(AND(Projects!$G$12="Yes",Projects!$F$12="Yes",79=Projects!$C$12),Projects!$B$12*Projects!$T$12,0)+IF(AND(Projects!$G$13="Yes",Projects!$F$13="Yes",79=Projects!$C$13),Projects!$B$13*Projects!$T$13,0)+IF(AND(Projects!$G$14="Yes",Projects!$F$14="Yes",79=Projects!$C$14),Projects!$B$14*Projects!$T$14,0)+IF(AND(Projects!$G$15="Yes",Projects!$F$15="Yes",79=Projects!$C$15),Projects!$B$15*Projects!$T$15,0)+IF(AND(Projects!$G$16="Yes",Projects!$F$16="Yes",79=Projects!$C$16),Projects!$B$16*Projects!$T$16,0),Actuals!CF15)</f>
        <v>0</v>
      </c>
      <c r="CF105" s="14" t="n">
        <f aca="false">IF(ISBLANK(Actuals!CG15),IF(AND(Projects!$G$6="Yes",Projects!$F$6="Yes",80=Projects!$C$6),Projects!$B$6*Projects!$T$6,0)+IF(AND(Projects!$G$7="Yes",Projects!$F$7="Yes",80=Projects!$C$7),Projects!$B$7*Projects!$T$7,0)+IF(AND(Projects!$G$8="Yes",Projects!$F$8="Yes",80=Projects!$C$8),Projects!$B$8*Projects!$T$8,0)+IF(AND(Projects!$G$9="Yes",Projects!$F$9="Yes",80=Projects!$C$9),Projects!$B$9*Projects!$T$9,0)+IF(AND(Projects!$G$10="Yes",Projects!$F$10="Yes",80=Projects!$C$10),Projects!$B$10*Projects!$T$10,0)+IF(AND(Projects!$G$11="Yes",Projects!$F$11="Yes",80=Projects!$C$11),Projects!$B$11*Projects!$T$11,0)+IF(AND(Projects!$G$12="Yes",Projects!$F$12="Yes",80=Projects!$C$12),Projects!$B$12*Projects!$T$12,0)+IF(AND(Projects!$G$13="Yes",Projects!$F$13="Yes",80=Projects!$C$13),Projects!$B$13*Projects!$T$13,0)+IF(AND(Projects!$G$14="Yes",Projects!$F$14="Yes",80=Projects!$C$14),Projects!$B$14*Projects!$T$14,0)+IF(AND(Projects!$G$15="Yes",Projects!$F$15="Yes",80=Projects!$C$15),Projects!$B$15*Projects!$T$15,0)+IF(AND(Projects!$G$16="Yes",Projects!$F$16="Yes",80=Projects!$C$16),Projects!$B$16*Projects!$T$16,0),Actuals!CG15)</f>
        <v>0</v>
      </c>
      <c r="CG105" s="14" t="n">
        <f aca="false">IF(ISBLANK(Actuals!CH15),IF(AND(Projects!$G$6="Yes",Projects!$F$6="Yes",81=Projects!$C$6),Projects!$B$6*Projects!$T$6,0)+IF(AND(Projects!$G$7="Yes",Projects!$F$7="Yes",81=Projects!$C$7),Projects!$B$7*Projects!$T$7,0)+IF(AND(Projects!$G$8="Yes",Projects!$F$8="Yes",81=Projects!$C$8),Projects!$B$8*Projects!$T$8,0)+IF(AND(Projects!$G$9="Yes",Projects!$F$9="Yes",81=Projects!$C$9),Projects!$B$9*Projects!$T$9,0)+IF(AND(Projects!$G$10="Yes",Projects!$F$10="Yes",81=Projects!$C$10),Projects!$B$10*Projects!$T$10,0)+IF(AND(Projects!$G$11="Yes",Projects!$F$11="Yes",81=Projects!$C$11),Projects!$B$11*Projects!$T$11,0)+IF(AND(Projects!$G$12="Yes",Projects!$F$12="Yes",81=Projects!$C$12),Projects!$B$12*Projects!$T$12,0)+IF(AND(Projects!$G$13="Yes",Projects!$F$13="Yes",81=Projects!$C$13),Projects!$B$13*Projects!$T$13,0)+IF(AND(Projects!$G$14="Yes",Projects!$F$14="Yes",81=Projects!$C$14),Projects!$B$14*Projects!$T$14,0)+IF(AND(Projects!$G$15="Yes",Projects!$F$15="Yes",81=Projects!$C$15),Projects!$B$15*Projects!$T$15,0)+IF(AND(Projects!$G$16="Yes",Projects!$F$16="Yes",81=Projects!$C$16),Projects!$B$16*Projects!$T$16,0),Actuals!CH15)</f>
        <v>0</v>
      </c>
      <c r="CH105" s="14" t="n">
        <f aca="false">IF(ISBLANK(Actuals!CI15),IF(AND(Projects!$G$6="Yes",Projects!$F$6="Yes",82=Projects!$C$6),Projects!$B$6*Projects!$T$6,0)+IF(AND(Projects!$G$7="Yes",Projects!$F$7="Yes",82=Projects!$C$7),Projects!$B$7*Projects!$T$7,0)+IF(AND(Projects!$G$8="Yes",Projects!$F$8="Yes",82=Projects!$C$8),Projects!$B$8*Projects!$T$8,0)+IF(AND(Projects!$G$9="Yes",Projects!$F$9="Yes",82=Projects!$C$9),Projects!$B$9*Projects!$T$9,0)+IF(AND(Projects!$G$10="Yes",Projects!$F$10="Yes",82=Projects!$C$10),Projects!$B$10*Projects!$T$10,0)+IF(AND(Projects!$G$11="Yes",Projects!$F$11="Yes",82=Projects!$C$11),Projects!$B$11*Projects!$T$11,0)+IF(AND(Projects!$G$12="Yes",Projects!$F$12="Yes",82=Projects!$C$12),Projects!$B$12*Projects!$T$12,0)+IF(AND(Projects!$G$13="Yes",Projects!$F$13="Yes",82=Projects!$C$13),Projects!$B$13*Projects!$T$13,0)+IF(AND(Projects!$G$14="Yes",Projects!$F$14="Yes",82=Projects!$C$14),Projects!$B$14*Projects!$T$14,0)+IF(AND(Projects!$G$15="Yes",Projects!$F$15="Yes",82=Projects!$C$15),Projects!$B$15*Projects!$T$15,0)+IF(AND(Projects!$G$16="Yes",Projects!$F$16="Yes",82=Projects!$C$16),Projects!$B$16*Projects!$T$16,0),Actuals!CI15)</f>
        <v>0</v>
      </c>
      <c r="CI105" s="14" t="n">
        <f aca="false">IF(ISBLANK(Actuals!CJ15),IF(AND(Projects!$G$6="Yes",Projects!$F$6="Yes",83=Projects!$C$6),Projects!$B$6*Projects!$T$6,0)+IF(AND(Projects!$G$7="Yes",Projects!$F$7="Yes",83=Projects!$C$7),Projects!$B$7*Projects!$T$7,0)+IF(AND(Projects!$G$8="Yes",Projects!$F$8="Yes",83=Projects!$C$8),Projects!$B$8*Projects!$T$8,0)+IF(AND(Projects!$G$9="Yes",Projects!$F$9="Yes",83=Projects!$C$9),Projects!$B$9*Projects!$T$9,0)+IF(AND(Projects!$G$10="Yes",Projects!$F$10="Yes",83=Projects!$C$10),Projects!$B$10*Projects!$T$10,0)+IF(AND(Projects!$G$11="Yes",Projects!$F$11="Yes",83=Projects!$C$11),Projects!$B$11*Projects!$T$11,0)+IF(AND(Projects!$G$12="Yes",Projects!$F$12="Yes",83=Projects!$C$12),Projects!$B$12*Projects!$T$12,0)+IF(AND(Projects!$G$13="Yes",Projects!$F$13="Yes",83=Projects!$C$13),Projects!$B$13*Projects!$T$13,0)+IF(AND(Projects!$G$14="Yes",Projects!$F$14="Yes",83=Projects!$C$14),Projects!$B$14*Projects!$T$14,0)+IF(AND(Projects!$G$15="Yes",Projects!$F$15="Yes",83=Projects!$C$15),Projects!$B$15*Projects!$T$15,0)+IF(AND(Projects!$G$16="Yes",Projects!$F$16="Yes",83=Projects!$C$16),Projects!$B$16*Projects!$T$16,0),Actuals!CJ15)</f>
        <v>0</v>
      </c>
      <c r="CJ105" s="14" t="n">
        <f aca="false">IF(ISBLANK(Actuals!CK15),IF(AND(Projects!$G$6="Yes",Projects!$F$6="Yes",84=Projects!$C$6),Projects!$B$6*Projects!$T$6,0)+IF(AND(Projects!$G$7="Yes",Projects!$F$7="Yes",84=Projects!$C$7),Projects!$B$7*Projects!$T$7,0)+IF(AND(Projects!$G$8="Yes",Projects!$F$8="Yes",84=Projects!$C$8),Projects!$B$8*Projects!$T$8,0)+IF(AND(Projects!$G$9="Yes",Projects!$F$9="Yes",84=Projects!$C$9),Projects!$B$9*Projects!$T$9,0)+IF(AND(Projects!$G$10="Yes",Projects!$F$10="Yes",84=Projects!$C$10),Projects!$B$10*Projects!$T$10,0)+IF(AND(Projects!$G$11="Yes",Projects!$F$11="Yes",84=Projects!$C$11),Projects!$B$11*Projects!$T$11,0)+IF(AND(Projects!$G$12="Yes",Projects!$F$12="Yes",84=Projects!$C$12),Projects!$B$12*Projects!$T$12,0)+IF(AND(Projects!$G$13="Yes",Projects!$F$13="Yes",84=Projects!$C$13),Projects!$B$13*Projects!$T$13,0)+IF(AND(Projects!$G$14="Yes",Projects!$F$14="Yes",84=Projects!$C$14),Projects!$B$14*Projects!$T$14,0)+IF(AND(Projects!$G$15="Yes",Projects!$F$15="Yes",84=Projects!$C$15),Projects!$B$15*Projects!$T$15,0)+IF(AND(Projects!$G$16="Yes",Projects!$F$16="Yes",84=Projects!$C$16),Projects!$B$16*Projects!$T$16,0),Actuals!CK15)</f>
        <v>0</v>
      </c>
      <c r="CK105" s="14" t="n">
        <f aca="false">IF(ISBLANK(Actuals!CL15),IF(AND(Projects!$G$6="Yes",Projects!$F$6="Yes",85=Projects!$C$6),Projects!$B$6*Projects!$T$6,0)+IF(AND(Projects!$G$7="Yes",Projects!$F$7="Yes",85=Projects!$C$7),Projects!$B$7*Projects!$T$7,0)+IF(AND(Projects!$G$8="Yes",Projects!$F$8="Yes",85=Projects!$C$8),Projects!$B$8*Projects!$T$8,0)+IF(AND(Projects!$G$9="Yes",Projects!$F$9="Yes",85=Projects!$C$9),Projects!$B$9*Projects!$T$9,0)+IF(AND(Projects!$G$10="Yes",Projects!$F$10="Yes",85=Projects!$C$10),Projects!$B$10*Projects!$T$10,0)+IF(AND(Projects!$G$11="Yes",Projects!$F$11="Yes",85=Projects!$C$11),Projects!$B$11*Projects!$T$11,0)+IF(AND(Projects!$G$12="Yes",Projects!$F$12="Yes",85=Projects!$C$12),Projects!$B$12*Projects!$T$12,0)+IF(AND(Projects!$G$13="Yes",Projects!$F$13="Yes",85=Projects!$C$13),Projects!$B$13*Projects!$T$13,0)+IF(AND(Projects!$G$14="Yes",Projects!$F$14="Yes",85=Projects!$C$14),Projects!$B$14*Projects!$T$14,0)+IF(AND(Projects!$G$15="Yes",Projects!$F$15="Yes",85=Projects!$C$15),Projects!$B$15*Projects!$T$15,0)+IF(AND(Projects!$G$16="Yes",Projects!$F$16="Yes",85=Projects!$C$16),Projects!$B$16*Projects!$T$16,0),Actuals!CL15)</f>
        <v>0</v>
      </c>
      <c r="CL105" s="14" t="n">
        <f aca="false">IF(ISBLANK(Actuals!CM15),IF(AND(Projects!$G$6="Yes",Projects!$F$6="Yes",86=Projects!$C$6),Projects!$B$6*Projects!$T$6,0)+IF(AND(Projects!$G$7="Yes",Projects!$F$7="Yes",86=Projects!$C$7),Projects!$B$7*Projects!$T$7,0)+IF(AND(Projects!$G$8="Yes",Projects!$F$8="Yes",86=Projects!$C$8),Projects!$B$8*Projects!$T$8,0)+IF(AND(Projects!$G$9="Yes",Projects!$F$9="Yes",86=Projects!$C$9),Projects!$B$9*Projects!$T$9,0)+IF(AND(Projects!$G$10="Yes",Projects!$F$10="Yes",86=Projects!$C$10),Projects!$B$10*Projects!$T$10,0)+IF(AND(Projects!$G$11="Yes",Projects!$F$11="Yes",86=Projects!$C$11),Projects!$B$11*Projects!$T$11,0)+IF(AND(Projects!$G$12="Yes",Projects!$F$12="Yes",86=Projects!$C$12),Projects!$B$12*Projects!$T$12,0)+IF(AND(Projects!$G$13="Yes",Projects!$F$13="Yes",86=Projects!$C$13),Projects!$B$13*Projects!$T$13,0)+IF(AND(Projects!$G$14="Yes",Projects!$F$14="Yes",86=Projects!$C$14),Projects!$B$14*Projects!$T$14,0)+IF(AND(Projects!$G$15="Yes",Projects!$F$15="Yes",86=Projects!$C$15),Projects!$B$15*Projects!$T$15,0)+IF(AND(Projects!$G$16="Yes",Projects!$F$16="Yes",86=Projects!$C$16),Projects!$B$16*Projects!$T$16,0),Actuals!CM15)</f>
        <v>0</v>
      </c>
      <c r="CM105" s="14" t="n">
        <f aca="false">IF(ISBLANK(Actuals!CN15),IF(AND(Projects!$G$6="Yes",Projects!$F$6="Yes",87=Projects!$C$6),Projects!$B$6*Projects!$T$6,0)+IF(AND(Projects!$G$7="Yes",Projects!$F$7="Yes",87=Projects!$C$7),Projects!$B$7*Projects!$T$7,0)+IF(AND(Projects!$G$8="Yes",Projects!$F$8="Yes",87=Projects!$C$8),Projects!$B$8*Projects!$T$8,0)+IF(AND(Projects!$G$9="Yes",Projects!$F$9="Yes",87=Projects!$C$9),Projects!$B$9*Projects!$T$9,0)+IF(AND(Projects!$G$10="Yes",Projects!$F$10="Yes",87=Projects!$C$10),Projects!$B$10*Projects!$T$10,0)+IF(AND(Projects!$G$11="Yes",Projects!$F$11="Yes",87=Projects!$C$11),Projects!$B$11*Projects!$T$11,0)+IF(AND(Projects!$G$12="Yes",Projects!$F$12="Yes",87=Projects!$C$12),Projects!$B$12*Projects!$T$12,0)+IF(AND(Projects!$G$13="Yes",Projects!$F$13="Yes",87=Projects!$C$13),Projects!$B$13*Projects!$T$13,0)+IF(AND(Projects!$G$14="Yes",Projects!$F$14="Yes",87=Projects!$C$14),Projects!$B$14*Projects!$T$14,0)+IF(AND(Projects!$G$15="Yes",Projects!$F$15="Yes",87=Projects!$C$15),Projects!$B$15*Projects!$T$15,0)+IF(AND(Projects!$G$16="Yes",Projects!$F$16="Yes",87=Projects!$C$16),Projects!$B$16*Projects!$T$16,0),Actuals!CN15)</f>
        <v>0</v>
      </c>
      <c r="CN105" s="14" t="n">
        <f aca="false">IF(ISBLANK(Actuals!CO15),IF(AND(Projects!$G$6="Yes",Projects!$F$6="Yes",88=Projects!$C$6),Projects!$B$6*Projects!$T$6,0)+IF(AND(Projects!$G$7="Yes",Projects!$F$7="Yes",88=Projects!$C$7),Projects!$B$7*Projects!$T$7,0)+IF(AND(Projects!$G$8="Yes",Projects!$F$8="Yes",88=Projects!$C$8),Projects!$B$8*Projects!$T$8,0)+IF(AND(Projects!$G$9="Yes",Projects!$F$9="Yes",88=Projects!$C$9),Projects!$B$9*Projects!$T$9,0)+IF(AND(Projects!$G$10="Yes",Projects!$F$10="Yes",88=Projects!$C$10),Projects!$B$10*Projects!$T$10,0)+IF(AND(Projects!$G$11="Yes",Projects!$F$11="Yes",88=Projects!$C$11),Projects!$B$11*Projects!$T$11,0)+IF(AND(Projects!$G$12="Yes",Projects!$F$12="Yes",88=Projects!$C$12),Projects!$B$12*Projects!$T$12,0)+IF(AND(Projects!$G$13="Yes",Projects!$F$13="Yes",88=Projects!$C$13),Projects!$B$13*Projects!$T$13,0)+IF(AND(Projects!$G$14="Yes",Projects!$F$14="Yes",88=Projects!$C$14),Projects!$B$14*Projects!$T$14,0)+IF(AND(Projects!$G$15="Yes",Projects!$F$15="Yes",88=Projects!$C$15),Projects!$B$15*Projects!$T$15,0)+IF(AND(Projects!$G$16="Yes",Projects!$F$16="Yes",88=Projects!$C$16),Projects!$B$16*Projects!$T$16,0),Actuals!CO15)</f>
        <v>0</v>
      </c>
      <c r="CO105" s="14" t="n">
        <f aca="false">IF(ISBLANK(Actuals!CP15),IF(AND(Projects!$G$6="Yes",Projects!$F$6="Yes",89=Projects!$C$6),Projects!$B$6*Projects!$T$6,0)+IF(AND(Projects!$G$7="Yes",Projects!$F$7="Yes",89=Projects!$C$7),Projects!$B$7*Projects!$T$7,0)+IF(AND(Projects!$G$8="Yes",Projects!$F$8="Yes",89=Projects!$C$8),Projects!$B$8*Projects!$T$8,0)+IF(AND(Projects!$G$9="Yes",Projects!$F$9="Yes",89=Projects!$C$9),Projects!$B$9*Projects!$T$9,0)+IF(AND(Projects!$G$10="Yes",Projects!$F$10="Yes",89=Projects!$C$10),Projects!$B$10*Projects!$T$10,0)+IF(AND(Projects!$G$11="Yes",Projects!$F$11="Yes",89=Projects!$C$11),Projects!$B$11*Projects!$T$11,0)+IF(AND(Projects!$G$12="Yes",Projects!$F$12="Yes",89=Projects!$C$12),Projects!$B$12*Projects!$T$12,0)+IF(AND(Projects!$G$13="Yes",Projects!$F$13="Yes",89=Projects!$C$13),Projects!$B$13*Projects!$T$13,0)+IF(AND(Projects!$G$14="Yes",Projects!$F$14="Yes",89=Projects!$C$14),Projects!$B$14*Projects!$T$14,0)+IF(AND(Projects!$G$15="Yes",Projects!$F$15="Yes",89=Projects!$C$15),Projects!$B$15*Projects!$T$15,0)+IF(AND(Projects!$G$16="Yes",Projects!$F$16="Yes",89=Projects!$C$16),Projects!$B$16*Projects!$T$16,0),Actuals!CP15)</f>
        <v>0</v>
      </c>
      <c r="CP105" s="14" t="n">
        <f aca="false">IF(ISBLANK(Actuals!CQ15),IF(AND(Projects!$G$6="Yes",Projects!$F$6="Yes",90=Projects!$C$6),Projects!$B$6*Projects!$T$6,0)+IF(AND(Projects!$G$7="Yes",Projects!$F$7="Yes",90=Projects!$C$7),Projects!$B$7*Projects!$T$7,0)+IF(AND(Projects!$G$8="Yes",Projects!$F$8="Yes",90=Projects!$C$8),Projects!$B$8*Projects!$T$8,0)+IF(AND(Projects!$G$9="Yes",Projects!$F$9="Yes",90=Projects!$C$9),Projects!$B$9*Projects!$T$9,0)+IF(AND(Projects!$G$10="Yes",Projects!$F$10="Yes",90=Projects!$C$10),Projects!$B$10*Projects!$T$10,0)+IF(AND(Projects!$G$11="Yes",Projects!$F$11="Yes",90=Projects!$C$11),Projects!$B$11*Projects!$T$11,0)+IF(AND(Projects!$G$12="Yes",Projects!$F$12="Yes",90=Projects!$C$12),Projects!$B$12*Projects!$T$12,0)+IF(AND(Projects!$G$13="Yes",Projects!$F$13="Yes",90=Projects!$C$13),Projects!$B$13*Projects!$T$13,0)+IF(AND(Projects!$G$14="Yes",Projects!$F$14="Yes",90=Projects!$C$14),Projects!$B$14*Projects!$T$14,0)+IF(AND(Projects!$G$15="Yes",Projects!$F$15="Yes",90=Projects!$C$15),Projects!$B$15*Projects!$T$15,0)+IF(AND(Projects!$G$16="Yes",Projects!$F$16="Yes",90=Projects!$C$16),Projects!$B$16*Projects!$T$16,0),Actuals!CQ15)</f>
        <v>0</v>
      </c>
      <c r="CQ105" s="14" t="n">
        <f aca="false">IF(ISBLANK(Actuals!CR15),IF(AND(Projects!$G$6="Yes",Projects!$F$6="Yes",91=Projects!$C$6),Projects!$B$6*Projects!$T$6,0)+IF(AND(Projects!$G$7="Yes",Projects!$F$7="Yes",91=Projects!$C$7),Projects!$B$7*Projects!$T$7,0)+IF(AND(Projects!$G$8="Yes",Projects!$F$8="Yes",91=Projects!$C$8),Projects!$B$8*Projects!$T$8,0)+IF(AND(Projects!$G$9="Yes",Projects!$F$9="Yes",91=Projects!$C$9),Projects!$B$9*Projects!$T$9,0)+IF(AND(Projects!$G$10="Yes",Projects!$F$10="Yes",91=Projects!$C$10),Projects!$B$10*Projects!$T$10,0)+IF(AND(Projects!$G$11="Yes",Projects!$F$11="Yes",91=Projects!$C$11),Projects!$B$11*Projects!$T$11,0)+IF(AND(Projects!$G$12="Yes",Projects!$F$12="Yes",91=Projects!$C$12),Projects!$B$12*Projects!$T$12,0)+IF(AND(Projects!$G$13="Yes",Projects!$F$13="Yes",91=Projects!$C$13),Projects!$B$13*Projects!$T$13,0)+IF(AND(Projects!$G$14="Yes",Projects!$F$14="Yes",91=Projects!$C$14),Projects!$B$14*Projects!$T$14,0)+IF(AND(Projects!$G$15="Yes",Projects!$F$15="Yes",91=Projects!$C$15),Projects!$B$15*Projects!$T$15,0)+IF(AND(Projects!$G$16="Yes",Projects!$F$16="Yes",91=Projects!$C$16),Projects!$B$16*Projects!$T$16,0),Actuals!CR15)</f>
        <v>0</v>
      </c>
      <c r="CR105" s="14" t="n">
        <f aca="false">IF(ISBLANK(Actuals!CS15),IF(AND(Projects!$G$6="Yes",Projects!$F$6="Yes",92=Projects!$C$6),Projects!$B$6*Projects!$T$6,0)+IF(AND(Projects!$G$7="Yes",Projects!$F$7="Yes",92=Projects!$C$7),Projects!$B$7*Projects!$T$7,0)+IF(AND(Projects!$G$8="Yes",Projects!$F$8="Yes",92=Projects!$C$8),Projects!$B$8*Projects!$T$8,0)+IF(AND(Projects!$G$9="Yes",Projects!$F$9="Yes",92=Projects!$C$9),Projects!$B$9*Projects!$T$9,0)+IF(AND(Projects!$G$10="Yes",Projects!$F$10="Yes",92=Projects!$C$10),Projects!$B$10*Projects!$T$10,0)+IF(AND(Projects!$G$11="Yes",Projects!$F$11="Yes",92=Projects!$C$11),Projects!$B$11*Projects!$T$11,0)+IF(AND(Projects!$G$12="Yes",Projects!$F$12="Yes",92=Projects!$C$12),Projects!$B$12*Projects!$T$12,0)+IF(AND(Projects!$G$13="Yes",Projects!$F$13="Yes",92=Projects!$C$13),Projects!$B$13*Projects!$T$13,0)+IF(AND(Projects!$G$14="Yes",Projects!$F$14="Yes",92=Projects!$C$14),Projects!$B$14*Projects!$T$14,0)+IF(AND(Projects!$G$15="Yes",Projects!$F$15="Yes",92=Projects!$C$15),Projects!$B$15*Projects!$T$15,0)+IF(AND(Projects!$G$16="Yes",Projects!$F$16="Yes",92=Projects!$C$16),Projects!$B$16*Projects!$T$16,0),Actuals!CS15)</f>
        <v>0</v>
      </c>
      <c r="CS105" s="14" t="n">
        <f aca="false">IF(ISBLANK(Actuals!CT15),IF(AND(Projects!$G$6="Yes",Projects!$F$6="Yes",93=Projects!$C$6),Projects!$B$6*Projects!$T$6,0)+IF(AND(Projects!$G$7="Yes",Projects!$F$7="Yes",93=Projects!$C$7),Projects!$B$7*Projects!$T$7,0)+IF(AND(Projects!$G$8="Yes",Projects!$F$8="Yes",93=Projects!$C$8),Projects!$B$8*Projects!$T$8,0)+IF(AND(Projects!$G$9="Yes",Projects!$F$9="Yes",93=Projects!$C$9),Projects!$B$9*Projects!$T$9,0)+IF(AND(Projects!$G$10="Yes",Projects!$F$10="Yes",93=Projects!$C$10),Projects!$B$10*Projects!$T$10,0)+IF(AND(Projects!$G$11="Yes",Projects!$F$11="Yes",93=Projects!$C$11),Projects!$B$11*Projects!$T$11,0)+IF(AND(Projects!$G$12="Yes",Projects!$F$12="Yes",93=Projects!$C$12),Projects!$B$12*Projects!$T$12,0)+IF(AND(Projects!$G$13="Yes",Projects!$F$13="Yes",93=Projects!$C$13),Projects!$B$13*Projects!$T$13,0)+IF(AND(Projects!$G$14="Yes",Projects!$F$14="Yes",93=Projects!$C$14),Projects!$B$14*Projects!$T$14,0)+IF(AND(Projects!$G$15="Yes",Projects!$F$15="Yes",93=Projects!$C$15),Projects!$B$15*Projects!$T$15,0)+IF(AND(Projects!$G$16="Yes",Projects!$F$16="Yes",93=Projects!$C$16),Projects!$B$16*Projects!$T$16,0),Actuals!CT15)</f>
        <v>0</v>
      </c>
      <c r="CT105" s="14" t="n">
        <f aca="false">IF(ISBLANK(Actuals!CU15),IF(AND(Projects!$G$6="Yes",Projects!$F$6="Yes",94=Projects!$C$6),Projects!$B$6*Projects!$T$6,0)+IF(AND(Projects!$G$7="Yes",Projects!$F$7="Yes",94=Projects!$C$7),Projects!$B$7*Projects!$T$7,0)+IF(AND(Projects!$G$8="Yes",Projects!$F$8="Yes",94=Projects!$C$8),Projects!$B$8*Projects!$T$8,0)+IF(AND(Projects!$G$9="Yes",Projects!$F$9="Yes",94=Projects!$C$9),Projects!$B$9*Projects!$T$9,0)+IF(AND(Projects!$G$10="Yes",Projects!$F$10="Yes",94=Projects!$C$10),Projects!$B$10*Projects!$T$10,0)+IF(AND(Projects!$G$11="Yes",Projects!$F$11="Yes",94=Projects!$C$11),Projects!$B$11*Projects!$T$11,0)+IF(AND(Projects!$G$12="Yes",Projects!$F$12="Yes",94=Projects!$C$12),Projects!$B$12*Projects!$T$12,0)+IF(AND(Projects!$G$13="Yes",Projects!$F$13="Yes",94=Projects!$C$13),Projects!$B$13*Projects!$T$13,0)+IF(AND(Projects!$G$14="Yes",Projects!$F$14="Yes",94=Projects!$C$14),Projects!$B$14*Projects!$T$14,0)+IF(AND(Projects!$G$15="Yes",Projects!$F$15="Yes",94=Projects!$C$15),Projects!$B$15*Projects!$T$15,0)+IF(AND(Projects!$G$16="Yes",Projects!$F$16="Yes",94=Projects!$C$16),Projects!$B$16*Projects!$T$16,0),Actuals!CU15)</f>
        <v>0</v>
      </c>
      <c r="CU105" s="14" t="n">
        <f aca="false">IF(ISBLANK(Actuals!CV15),IF(AND(Projects!$G$6="Yes",Projects!$F$6="Yes",95=Projects!$C$6),Projects!$B$6*Projects!$T$6,0)+IF(AND(Projects!$G$7="Yes",Projects!$F$7="Yes",95=Projects!$C$7),Projects!$B$7*Projects!$T$7,0)+IF(AND(Projects!$G$8="Yes",Projects!$F$8="Yes",95=Projects!$C$8),Projects!$B$8*Projects!$T$8,0)+IF(AND(Projects!$G$9="Yes",Projects!$F$9="Yes",95=Projects!$C$9),Projects!$B$9*Projects!$T$9,0)+IF(AND(Projects!$G$10="Yes",Projects!$F$10="Yes",95=Projects!$C$10),Projects!$B$10*Projects!$T$10,0)+IF(AND(Projects!$G$11="Yes",Projects!$F$11="Yes",95=Projects!$C$11),Projects!$B$11*Projects!$T$11,0)+IF(AND(Projects!$G$12="Yes",Projects!$F$12="Yes",95=Projects!$C$12),Projects!$B$12*Projects!$T$12,0)+IF(AND(Projects!$G$13="Yes",Projects!$F$13="Yes",95=Projects!$C$13),Projects!$B$13*Projects!$T$13,0)+IF(AND(Projects!$G$14="Yes",Projects!$F$14="Yes",95=Projects!$C$14),Projects!$B$14*Projects!$T$14,0)+IF(AND(Projects!$G$15="Yes",Projects!$F$15="Yes",95=Projects!$C$15),Projects!$B$15*Projects!$T$15,0)+IF(AND(Projects!$G$16="Yes",Projects!$F$16="Yes",95=Projects!$C$16),Projects!$B$16*Projects!$T$16,0),Actuals!CV15)</f>
        <v>0</v>
      </c>
      <c r="CV105" s="14" t="n">
        <f aca="false">IF(ISBLANK(Actuals!CW15),IF(AND(Projects!$G$6="Yes",Projects!$F$6="Yes",96=Projects!$C$6),Projects!$B$6*Projects!$T$6,0)+IF(AND(Projects!$G$7="Yes",Projects!$F$7="Yes",96=Projects!$C$7),Projects!$B$7*Projects!$T$7,0)+IF(AND(Projects!$G$8="Yes",Projects!$F$8="Yes",96=Projects!$C$8),Projects!$B$8*Projects!$T$8,0)+IF(AND(Projects!$G$9="Yes",Projects!$F$9="Yes",96=Projects!$C$9),Projects!$B$9*Projects!$T$9,0)+IF(AND(Projects!$G$10="Yes",Projects!$F$10="Yes",96=Projects!$C$10),Projects!$B$10*Projects!$T$10,0)+IF(AND(Projects!$G$11="Yes",Projects!$F$11="Yes",96=Projects!$C$11),Projects!$B$11*Projects!$T$11,0)+IF(AND(Projects!$G$12="Yes",Projects!$F$12="Yes",96=Projects!$C$12),Projects!$B$12*Projects!$T$12,0)+IF(AND(Projects!$G$13="Yes",Projects!$F$13="Yes",96=Projects!$C$13),Projects!$B$13*Projects!$T$13,0)+IF(AND(Projects!$G$14="Yes",Projects!$F$14="Yes",96=Projects!$C$14),Projects!$B$14*Projects!$T$14,0)+IF(AND(Projects!$G$15="Yes",Projects!$F$15="Yes",96=Projects!$C$15),Projects!$B$15*Projects!$T$15,0)+IF(AND(Projects!$G$16="Yes",Projects!$F$16="Yes",96=Projects!$C$16),Projects!$B$16*Projects!$T$16,0),Actuals!CW15)</f>
        <v>0</v>
      </c>
      <c r="CW105" s="14" t="n">
        <f aca="false">IF(ISBLANK(Actuals!CX15),IF(AND(Projects!$G$6="Yes",Projects!$F$6="Yes",97=Projects!$C$6),Projects!$B$6*Projects!$T$6,0)+IF(AND(Projects!$G$7="Yes",Projects!$F$7="Yes",97=Projects!$C$7),Projects!$B$7*Projects!$T$7,0)+IF(AND(Projects!$G$8="Yes",Projects!$F$8="Yes",97=Projects!$C$8),Projects!$B$8*Projects!$T$8,0)+IF(AND(Projects!$G$9="Yes",Projects!$F$9="Yes",97=Projects!$C$9),Projects!$B$9*Projects!$T$9,0)+IF(AND(Projects!$G$10="Yes",Projects!$F$10="Yes",97=Projects!$C$10),Projects!$B$10*Projects!$T$10,0)+IF(AND(Projects!$G$11="Yes",Projects!$F$11="Yes",97=Projects!$C$11),Projects!$B$11*Projects!$T$11,0)+IF(AND(Projects!$G$12="Yes",Projects!$F$12="Yes",97=Projects!$C$12),Projects!$B$12*Projects!$T$12,0)+IF(AND(Projects!$G$13="Yes",Projects!$F$13="Yes",97=Projects!$C$13),Projects!$B$13*Projects!$T$13,0)+IF(AND(Projects!$G$14="Yes",Projects!$F$14="Yes",97=Projects!$C$14),Projects!$B$14*Projects!$T$14,0)+IF(AND(Projects!$G$15="Yes",Projects!$F$15="Yes",97=Projects!$C$15),Projects!$B$15*Projects!$T$15,0)+IF(AND(Projects!$G$16="Yes",Projects!$F$16="Yes",97=Projects!$C$16),Projects!$B$16*Projects!$T$16,0),Actuals!CX15)</f>
        <v>0</v>
      </c>
      <c r="CX105" s="14" t="n">
        <f aca="false">IF(ISBLANK(Actuals!CY15),IF(AND(Projects!$G$6="Yes",Projects!$F$6="Yes",98=Projects!$C$6),Projects!$B$6*Projects!$T$6,0)+IF(AND(Projects!$G$7="Yes",Projects!$F$7="Yes",98=Projects!$C$7),Projects!$B$7*Projects!$T$7,0)+IF(AND(Projects!$G$8="Yes",Projects!$F$8="Yes",98=Projects!$C$8),Projects!$B$8*Projects!$T$8,0)+IF(AND(Projects!$G$9="Yes",Projects!$F$9="Yes",98=Projects!$C$9),Projects!$B$9*Projects!$T$9,0)+IF(AND(Projects!$G$10="Yes",Projects!$F$10="Yes",98=Projects!$C$10),Projects!$B$10*Projects!$T$10,0)+IF(AND(Projects!$G$11="Yes",Projects!$F$11="Yes",98=Projects!$C$11),Projects!$B$11*Projects!$T$11,0)+IF(AND(Projects!$G$12="Yes",Projects!$F$12="Yes",98=Projects!$C$12),Projects!$B$12*Projects!$T$12,0)+IF(AND(Projects!$G$13="Yes",Projects!$F$13="Yes",98=Projects!$C$13),Projects!$B$13*Projects!$T$13,0)+IF(AND(Projects!$G$14="Yes",Projects!$F$14="Yes",98=Projects!$C$14),Projects!$B$14*Projects!$T$14,0)+IF(AND(Projects!$G$15="Yes",Projects!$F$15="Yes",98=Projects!$C$15),Projects!$B$15*Projects!$T$15,0)+IF(AND(Projects!$G$16="Yes",Projects!$F$16="Yes",98=Projects!$C$16),Projects!$B$16*Projects!$T$16,0),Actuals!CY15)</f>
        <v>0</v>
      </c>
      <c r="CY105" s="14" t="n">
        <f aca="false">IF(ISBLANK(Actuals!CZ15),IF(AND(Projects!$G$6="Yes",Projects!$F$6="Yes",99=Projects!$C$6),Projects!$B$6*Projects!$T$6,0)+IF(AND(Projects!$G$7="Yes",Projects!$F$7="Yes",99=Projects!$C$7),Projects!$B$7*Projects!$T$7,0)+IF(AND(Projects!$G$8="Yes",Projects!$F$8="Yes",99=Projects!$C$8),Projects!$B$8*Projects!$T$8,0)+IF(AND(Projects!$G$9="Yes",Projects!$F$9="Yes",99=Projects!$C$9),Projects!$B$9*Projects!$T$9,0)+IF(AND(Projects!$G$10="Yes",Projects!$F$10="Yes",99=Projects!$C$10),Projects!$B$10*Projects!$T$10,0)+IF(AND(Projects!$G$11="Yes",Projects!$F$11="Yes",99=Projects!$C$11),Projects!$B$11*Projects!$T$11,0)+IF(AND(Projects!$G$12="Yes",Projects!$F$12="Yes",99=Projects!$C$12),Projects!$B$12*Projects!$T$12,0)+IF(AND(Projects!$G$13="Yes",Projects!$F$13="Yes",99=Projects!$C$13),Projects!$B$13*Projects!$T$13,0)+IF(AND(Projects!$G$14="Yes",Projects!$F$14="Yes",99=Projects!$C$14),Projects!$B$14*Projects!$T$14,0)+IF(AND(Projects!$G$15="Yes",Projects!$F$15="Yes",99=Projects!$C$15),Projects!$B$15*Projects!$T$15,0)+IF(AND(Projects!$G$16="Yes",Projects!$F$16="Yes",99=Projects!$C$16),Projects!$B$16*Projects!$T$16,0),Actuals!CZ15)</f>
        <v>0</v>
      </c>
      <c r="CZ105" s="14" t="n">
        <f aca="false">IF(ISBLANK(Actuals!DA15),IF(AND(Projects!$G$6="Yes",Projects!$F$6="Yes",100=Projects!$C$6),Projects!$B$6*Projects!$T$6,0)+IF(AND(Projects!$G$7="Yes",Projects!$F$7="Yes",100=Projects!$C$7),Projects!$B$7*Projects!$T$7,0)+IF(AND(Projects!$G$8="Yes",Projects!$F$8="Yes",100=Projects!$C$8),Projects!$B$8*Projects!$T$8,0)+IF(AND(Projects!$G$9="Yes",Projects!$F$9="Yes",100=Projects!$C$9),Projects!$B$9*Projects!$T$9,0)+IF(AND(Projects!$G$10="Yes",Projects!$F$10="Yes",100=Projects!$C$10),Projects!$B$10*Projects!$T$10,0)+IF(AND(Projects!$G$11="Yes",Projects!$F$11="Yes",100=Projects!$C$11),Projects!$B$11*Projects!$T$11,0)+IF(AND(Projects!$G$12="Yes",Projects!$F$12="Yes",100=Projects!$C$12),Projects!$B$12*Projects!$T$12,0)+IF(AND(Projects!$G$13="Yes",Projects!$F$13="Yes",100=Projects!$C$13),Projects!$B$13*Projects!$T$13,0)+IF(AND(Projects!$G$14="Yes",Projects!$F$14="Yes",100=Projects!$C$14),Projects!$B$14*Projects!$T$14,0)+IF(AND(Projects!$G$15="Yes",Projects!$F$15="Yes",100=Projects!$C$15),Projects!$B$15*Projects!$T$15,0)+IF(AND(Projects!$G$16="Yes",Projects!$F$16="Yes",100=Projects!$C$16),Projects!$B$16*Projects!$T$16,0),Actuals!DA15)</f>
        <v>0</v>
      </c>
      <c r="DA105" s="14" t="n">
        <f aca="false">IF(ISBLANK(Actuals!DB15),IF(AND(Projects!$G$6="Yes",Projects!$F$6="Yes",101=Projects!$C$6),Projects!$B$6*Projects!$T$6,0)+IF(AND(Projects!$G$7="Yes",Projects!$F$7="Yes",101=Projects!$C$7),Projects!$B$7*Projects!$T$7,0)+IF(AND(Projects!$G$8="Yes",Projects!$F$8="Yes",101=Projects!$C$8),Projects!$B$8*Projects!$T$8,0)+IF(AND(Projects!$G$9="Yes",Projects!$F$9="Yes",101=Projects!$C$9),Projects!$B$9*Projects!$T$9,0)+IF(AND(Projects!$G$10="Yes",Projects!$F$10="Yes",101=Projects!$C$10),Projects!$B$10*Projects!$T$10,0)+IF(AND(Projects!$G$11="Yes",Projects!$F$11="Yes",101=Projects!$C$11),Projects!$B$11*Projects!$T$11,0)+IF(AND(Projects!$G$12="Yes",Projects!$F$12="Yes",101=Projects!$C$12),Projects!$B$12*Projects!$T$12,0)+IF(AND(Projects!$G$13="Yes",Projects!$F$13="Yes",101=Projects!$C$13),Projects!$B$13*Projects!$T$13,0)+IF(AND(Projects!$G$14="Yes",Projects!$F$14="Yes",101=Projects!$C$14),Projects!$B$14*Projects!$T$14,0)+IF(AND(Projects!$G$15="Yes",Projects!$F$15="Yes",101=Projects!$C$15),Projects!$B$15*Projects!$T$15,0)+IF(AND(Projects!$G$16="Yes",Projects!$F$16="Yes",101=Projects!$C$16),Projects!$B$16*Projects!$T$16,0),Actuals!DB15)</f>
        <v>0</v>
      </c>
      <c r="DB105" s="14" t="n">
        <f aca="false">IF(ISBLANK(Actuals!DC15),IF(AND(Projects!$G$6="Yes",Projects!$F$6="Yes",102=Projects!$C$6),Projects!$B$6*Projects!$T$6,0)+IF(AND(Projects!$G$7="Yes",Projects!$F$7="Yes",102=Projects!$C$7),Projects!$B$7*Projects!$T$7,0)+IF(AND(Projects!$G$8="Yes",Projects!$F$8="Yes",102=Projects!$C$8),Projects!$B$8*Projects!$T$8,0)+IF(AND(Projects!$G$9="Yes",Projects!$F$9="Yes",102=Projects!$C$9),Projects!$B$9*Projects!$T$9,0)+IF(AND(Projects!$G$10="Yes",Projects!$F$10="Yes",102=Projects!$C$10),Projects!$B$10*Projects!$T$10,0)+IF(AND(Projects!$G$11="Yes",Projects!$F$11="Yes",102=Projects!$C$11),Projects!$B$11*Projects!$T$11,0)+IF(AND(Projects!$G$12="Yes",Projects!$F$12="Yes",102=Projects!$C$12),Projects!$B$12*Projects!$T$12,0)+IF(AND(Projects!$G$13="Yes",Projects!$F$13="Yes",102=Projects!$C$13),Projects!$B$13*Projects!$T$13,0)+IF(AND(Projects!$G$14="Yes",Projects!$F$14="Yes",102=Projects!$C$14),Projects!$B$14*Projects!$T$14,0)+IF(AND(Projects!$G$15="Yes",Projects!$F$15="Yes",102=Projects!$C$15),Projects!$B$15*Projects!$T$15,0)+IF(AND(Projects!$G$16="Yes",Projects!$F$16="Yes",102=Projects!$C$16),Projects!$B$16*Projects!$T$16,0),Actuals!DC15)</f>
        <v>0</v>
      </c>
      <c r="DC105" s="14" t="n">
        <f aca="false">IF(ISBLANK(Actuals!DD15),IF(AND(Projects!$G$6="Yes",Projects!$F$6="Yes",103=Projects!$C$6),Projects!$B$6*Projects!$T$6,0)+IF(AND(Projects!$G$7="Yes",Projects!$F$7="Yes",103=Projects!$C$7),Projects!$B$7*Projects!$T$7,0)+IF(AND(Projects!$G$8="Yes",Projects!$F$8="Yes",103=Projects!$C$8),Projects!$B$8*Projects!$T$8,0)+IF(AND(Projects!$G$9="Yes",Projects!$F$9="Yes",103=Projects!$C$9),Projects!$B$9*Projects!$T$9,0)+IF(AND(Projects!$G$10="Yes",Projects!$F$10="Yes",103=Projects!$C$10),Projects!$B$10*Projects!$T$10,0)+IF(AND(Projects!$G$11="Yes",Projects!$F$11="Yes",103=Projects!$C$11),Projects!$B$11*Projects!$T$11,0)+IF(AND(Projects!$G$12="Yes",Projects!$F$12="Yes",103=Projects!$C$12),Projects!$B$12*Projects!$T$12,0)+IF(AND(Projects!$G$13="Yes",Projects!$F$13="Yes",103=Projects!$C$13),Projects!$B$13*Projects!$T$13,0)+IF(AND(Projects!$G$14="Yes",Projects!$F$14="Yes",103=Projects!$C$14),Projects!$B$14*Projects!$T$14,0)+IF(AND(Projects!$G$15="Yes",Projects!$F$15="Yes",103=Projects!$C$15),Projects!$B$15*Projects!$T$15,0)+IF(AND(Projects!$G$16="Yes",Projects!$F$16="Yes",103=Projects!$C$16),Projects!$B$16*Projects!$T$16,0),Actuals!DD15)</f>
        <v>0</v>
      </c>
      <c r="DD105" s="14" t="n">
        <f aca="false">IF(ISBLANK(Actuals!DE15),IF(AND(Projects!$G$6="Yes",Projects!$F$6="Yes",104=Projects!$C$6),Projects!$B$6*Projects!$T$6,0)+IF(AND(Projects!$G$7="Yes",Projects!$F$7="Yes",104=Projects!$C$7),Projects!$B$7*Projects!$T$7,0)+IF(AND(Projects!$G$8="Yes",Projects!$F$8="Yes",104=Projects!$C$8),Projects!$B$8*Projects!$T$8,0)+IF(AND(Projects!$G$9="Yes",Projects!$F$9="Yes",104=Projects!$C$9),Projects!$B$9*Projects!$T$9,0)+IF(AND(Projects!$G$10="Yes",Projects!$F$10="Yes",104=Projects!$C$10),Projects!$B$10*Projects!$T$10,0)+IF(AND(Projects!$G$11="Yes",Projects!$F$11="Yes",104=Projects!$C$11),Projects!$B$11*Projects!$T$11,0)+IF(AND(Projects!$G$12="Yes",Projects!$F$12="Yes",104=Projects!$C$12),Projects!$B$12*Projects!$T$12,0)+IF(AND(Projects!$G$13="Yes",Projects!$F$13="Yes",104=Projects!$C$13),Projects!$B$13*Projects!$T$13,0)+IF(AND(Projects!$G$14="Yes",Projects!$F$14="Yes",104=Projects!$C$14),Projects!$B$14*Projects!$T$14,0)+IF(AND(Projects!$G$15="Yes",Projects!$F$15="Yes",104=Projects!$C$15),Projects!$B$15*Projects!$T$15,0)+IF(AND(Projects!$G$16="Yes",Projects!$F$16="Yes",104=Projects!$C$16),Projects!$B$16*Projects!$T$16,0),Actuals!DE15)</f>
        <v>0</v>
      </c>
      <c r="DE105" s="14" t="n">
        <f aca="false">IF(ISBLANK(Actuals!DF15),IF(AND(Projects!$G$6="Yes",Projects!$F$6="Yes",105=Projects!$C$6),Projects!$B$6*Projects!$T$6,0)+IF(AND(Projects!$G$7="Yes",Projects!$F$7="Yes",105=Projects!$C$7),Projects!$B$7*Projects!$T$7,0)+IF(AND(Projects!$G$8="Yes",Projects!$F$8="Yes",105=Projects!$C$8),Projects!$B$8*Projects!$T$8,0)+IF(AND(Projects!$G$9="Yes",Projects!$F$9="Yes",105=Projects!$C$9),Projects!$B$9*Projects!$T$9,0)+IF(AND(Projects!$G$10="Yes",Projects!$F$10="Yes",105=Projects!$C$10),Projects!$B$10*Projects!$T$10,0)+IF(AND(Projects!$G$11="Yes",Projects!$F$11="Yes",105=Projects!$C$11),Projects!$B$11*Projects!$T$11,0)+IF(AND(Projects!$G$12="Yes",Projects!$F$12="Yes",105=Projects!$C$12),Projects!$B$12*Projects!$T$12,0)+IF(AND(Projects!$G$13="Yes",Projects!$F$13="Yes",105=Projects!$C$13),Projects!$B$13*Projects!$T$13,0)+IF(AND(Projects!$G$14="Yes",Projects!$F$14="Yes",105=Projects!$C$14),Projects!$B$14*Projects!$T$14,0)+IF(AND(Projects!$G$15="Yes",Projects!$F$15="Yes",105=Projects!$C$15),Projects!$B$15*Projects!$T$15,0)+IF(AND(Projects!$G$16="Yes",Projects!$F$16="Yes",105=Projects!$C$16),Projects!$B$16*Projects!$T$16,0),Actuals!DF15)</f>
        <v>0</v>
      </c>
    </row>
    <row r="106" customFormat="false" ht="15" hidden="false" customHeight="true" outlineLevel="0" collapsed="false">
      <c r="A106" s="29" t="s">
        <v>56</v>
      </c>
      <c r="B106" s="14" t="n">
        <f aca="false">IF(ISBLANK(Actuals!C16),0,Actuals!C16)</f>
        <v>-1966.5</v>
      </c>
      <c r="C106" s="14" t="n">
        <f aca="false">IF(ISBLANK(Actuals!D16),0,Actuals!D16)</f>
        <v>0</v>
      </c>
      <c r="D106" s="14" t="n">
        <f aca="false">IF(ISBLANK(Actuals!E16),0,Actuals!E16)</f>
        <v>0</v>
      </c>
      <c r="E106" s="14" t="n">
        <f aca="false">IF(ISBLANK(Actuals!F16),-(IF(AND(Projects!$G$6="Yes",Projects!$F$6="Yes",1=Projects!$C$6),Projects!$B$6*Projects!$I$6,0)+IF(AND(Projects!$G$7="Yes",Projects!$F$7="Yes",1=Projects!$C$7),Projects!$B$7*Projects!$I$7,0)+IF(AND(Projects!$G$8="Yes",Projects!$F$8="Yes",1=Projects!$C$8),Projects!$B$8*Projects!$I$8,0)+IF(AND(Projects!$G$9="Yes",Projects!$F$9="Yes",1=Projects!$C$9),Projects!$B$9*Projects!$I$9,0)+IF(AND(Projects!$G$10="Yes",Projects!$F$10="Yes",1=Projects!$C$10),Projects!$B$10*Projects!$I$10,0)+IF(AND(Projects!$G$11="Yes",Projects!$F$11="Yes",1=Projects!$C$11),Projects!$B$11*Projects!$I$11,0)+IF(AND(Projects!$G$12="Yes",Projects!$F$12="Yes",1=Projects!$C$12),Projects!$B$12*Projects!$I$12,0)+IF(AND(Projects!$G$13="Yes",Projects!$F$13="Yes",1=Projects!$C$13),Projects!$B$13*Projects!$I$13,0)+IF(AND(Projects!$G$14="Yes",Projects!$F$14="Yes",1=Projects!$C$14),Projects!$B$14*Projects!$I$14,0)+IF(AND(Projects!$G$15="Yes",Projects!$F$15="Yes",1=Projects!$C$15),Projects!$B$15*Projects!$I$15,0)+IF(AND(Projects!$G$16="Yes",Projects!$F$16="Yes",1=Projects!$C$16),Projects!$B$16*Projects!$I$16,0)+IF(AND(Projects!$G$7="Yes",1=Projects!$C$7),Assumptions!$D$18,0)),Actuals!F16)</f>
        <v>0</v>
      </c>
      <c r="F106" s="14" t="n">
        <f aca="false">IF(ISBLANK(Actuals!G16),-(IF(AND(Projects!$G$6="Yes",Projects!$F$6="Yes",2=Projects!$C$6),Projects!$B$6*Projects!$I$6,0)+IF(AND(Projects!$G$7="Yes",Projects!$F$7="Yes",2=Projects!$C$7),Projects!$B$7*Projects!$I$7,0)+IF(AND(Projects!$G$8="Yes",Projects!$F$8="Yes",2=Projects!$C$8),Projects!$B$8*Projects!$I$8,0)+IF(AND(Projects!$G$9="Yes",Projects!$F$9="Yes",2=Projects!$C$9),Projects!$B$9*Projects!$I$9,0)+IF(AND(Projects!$G$10="Yes",Projects!$F$10="Yes",2=Projects!$C$10),Projects!$B$10*Projects!$I$10,0)+IF(AND(Projects!$G$11="Yes",Projects!$F$11="Yes",2=Projects!$C$11),Projects!$B$11*Projects!$I$11,0)+IF(AND(Projects!$G$12="Yes",Projects!$F$12="Yes",2=Projects!$C$12),Projects!$B$12*Projects!$I$12,0)+IF(AND(Projects!$G$13="Yes",Projects!$F$13="Yes",2=Projects!$C$13),Projects!$B$13*Projects!$I$13,0)+IF(AND(Projects!$G$14="Yes",Projects!$F$14="Yes",2=Projects!$C$14),Projects!$B$14*Projects!$I$14,0)+IF(AND(Projects!$G$15="Yes",Projects!$F$15="Yes",2=Projects!$C$15),Projects!$B$15*Projects!$I$15,0)+IF(AND(Projects!$G$16="Yes",Projects!$F$16="Yes",2=Projects!$C$16),Projects!$B$16*Projects!$I$16,0)+IF(AND(Projects!$G$7="Yes",2=Projects!$C$7),Assumptions!$D$18,0)),Actuals!G16)</f>
        <v>0</v>
      </c>
      <c r="G106" s="14" t="n">
        <f aca="false">IF(ISBLANK(Actuals!H16),-(IF(AND(Projects!$G$6="Yes",Projects!$F$6="Yes",3=Projects!$C$6),Projects!$B$6*Projects!$I$6,0)+IF(AND(Projects!$G$7="Yes",Projects!$F$7="Yes",3=Projects!$C$7),Projects!$B$7*Projects!$I$7,0)+IF(AND(Projects!$G$8="Yes",Projects!$F$8="Yes",3=Projects!$C$8),Projects!$B$8*Projects!$I$8,0)+IF(AND(Projects!$G$9="Yes",Projects!$F$9="Yes",3=Projects!$C$9),Projects!$B$9*Projects!$I$9,0)+IF(AND(Projects!$G$10="Yes",Projects!$F$10="Yes",3=Projects!$C$10),Projects!$B$10*Projects!$I$10,0)+IF(AND(Projects!$G$11="Yes",Projects!$F$11="Yes",3=Projects!$C$11),Projects!$B$11*Projects!$I$11,0)+IF(AND(Projects!$G$12="Yes",Projects!$F$12="Yes",3=Projects!$C$12),Projects!$B$12*Projects!$I$12,0)+IF(AND(Projects!$G$13="Yes",Projects!$F$13="Yes",3=Projects!$C$13),Projects!$B$13*Projects!$I$13,0)+IF(AND(Projects!$G$14="Yes",Projects!$F$14="Yes",3=Projects!$C$14),Projects!$B$14*Projects!$I$14,0)+IF(AND(Projects!$G$15="Yes",Projects!$F$15="Yes",3=Projects!$C$15),Projects!$B$15*Projects!$I$15,0)+IF(AND(Projects!$G$16="Yes",Projects!$F$16="Yes",3=Projects!$C$16),Projects!$B$16*Projects!$I$16,0)+IF(AND(Projects!$G$7="Yes",3=Projects!$C$7),Assumptions!$D$18,0)),Actuals!H16)</f>
        <v>0</v>
      </c>
      <c r="H106" s="14" t="n">
        <f aca="false">IF(ISBLANK(Actuals!I16),-(IF(AND(Projects!$G$6="Yes",Projects!$F$6="Yes",4=Projects!$C$6),Projects!$B$6*Projects!$I$6,0)+IF(AND(Projects!$G$7="Yes",Projects!$F$7="Yes",4=Projects!$C$7),Projects!$B$7*Projects!$I$7,0)+IF(AND(Projects!$G$8="Yes",Projects!$F$8="Yes",4=Projects!$C$8),Projects!$B$8*Projects!$I$8,0)+IF(AND(Projects!$G$9="Yes",Projects!$F$9="Yes",4=Projects!$C$9),Projects!$B$9*Projects!$I$9,0)+IF(AND(Projects!$G$10="Yes",Projects!$F$10="Yes",4=Projects!$C$10),Projects!$B$10*Projects!$I$10,0)+IF(AND(Projects!$G$11="Yes",Projects!$F$11="Yes",4=Projects!$C$11),Projects!$B$11*Projects!$I$11,0)+IF(AND(Projects!$G$12="Yes",Projects!$F$12="Yes",4=Projects!$C$12),Projects!$B$12*Projects!$I$12,0)+IF(AND(Projects!$G$13="Yes",Projects!$F$13="Yes",4=Projects!$C$13),Projects!$B$13*Projects!$I$13,0)+IF(AND(Projects!$G$14="Yes",Projects!$F$14="Yes",4=Projects!$C$14),Projects!$B$14*Projects!$I$14,0)+IF(AND(Projects!$G$15="Yes",Projects!$F$15="Yes",4=Projects!$C$15),Projects!$B$15*Projects!$I$15,0)+IF(AND(Projects!$G$16="Yes",Projects!$F$16="Yes",4=Projects!$C$16),Projects!$B$16*Projects!$I$16,0)+IF(AND(Projects!$G$7="Yes",4=Projects!$C$7),Assumptions!$D$18,0)),Actuals!I16)</f>
        <v>-0</v>
      </c>
      <c r="I106" s="14" t="n">
        <f aca="false">IF(ISBLANK(Actuals!J16),-(IF(AND(Projects!$G$6="Yes",Projects!$F$6="Yes",5=Projects!$C$6),Projects!$B$6*Projects!$I$6,0)+IF(AND(Projects!$G$7="Yes",Projects!$F$7="Yes",5=Projects!$C$7),Projects!$B$7*Projects!$I$7,0)+IF(AND(Projects!$G$8="Yes",Projects!$F$8="Yes",5=Projects!$C$8),Projects!$B$8*Projects!$I$8,0)+IF(AND(Projects!$G$9="Yes",Projects!$F$9="Yes",5=Projects!$C$9),Projects!$B$9*Projects!$I$9,0)+IF(AND(Projects!$G$10="Yes",Projects!$F$10="Yes",5=Projects!$C$10),Projects!$B$10*Projects!$I$10,0)+IF(AND(Projects!$G$11="Yes",Projects!$F$11="Yes",5=Projects!$C$11),Projects!$B$11*Projects!$I$11,0)+IF(AND(Projects!$G$12="Yes",Projects!$F$12="Yes",5=Projects!$C$12),Projects!$B$12*Projects!$I$12,0)+IF(AND(Projects!$G$13="Yes",Projects!$F$13="Yes",5=Projects!$C$13),Projects!$B$13*Projects!$I$13,0)+IF(AND(Projects!$G$14="Yes",Projects!$F$14="Yes",5=Projects!$C$14),Projects!$B$14*Projects!$I$14,0)+IF(AND(Projects!$G$15="Yes",Projects!$F$15="Yes",5=Projects!$C$15),Projects!$B$15*Projects!$I$15,0)+IF(AND(Projects!$G$16="Yes",Projects!$F$16="Yes",5=Projects!$C$16),Projects!$B$16*Projects!$I$16,0)+IF(AND(Projects!$G$7="Yes",5=Projects!$C$7),Assumptions!$D$18,0)),Actuals!J16)</f>
        <v>-1205611.92330814</v>
      </c>
      <c r="J106" s="14" t="n">
        <f aca="false">IF(ISBLANK(Actuals!K16),-(IF(AND(Projects!$G$6="Yes",Projects!$F$6="Yes",6=Projects!$C$6),Projects!$B$6*Projects!$I$6,0)+IF(AND(Projects!$G$7="Yes",Projects!$F$7="Yes",6=Projects!$C$7),Projects!$B$7*Projects!$I$7,0)+IF(AND(Projects!$G$8="Yes",Projects!$F$8="Yes",6=Projects!$C$8),Projects!$B$8*Projects!$I$8,0)+IF(AND(Projects!$G$9="Yes",Projects!$F$9="Yes",6=Projects!$C$9),Projects!$B$9*Projects!$I$9,0)+IF(AND(Projects!$G$10="Yes",Projects!$F$10="Yes",6=Projects!$C$10),Projects!$B$10*Projects!$I$10,0)+IF(AND(Projects!$G$11="Yes",Projects!$F$11="Yes",6=Projects!$C$11),Projects!$B$11*Projects!$I$11,0)+IF(AND(Projects!$G$12="Yes",Projects!$F$12="Yes",6=Projects!$C$12),Projects!$B$12*Projects!$I$12,0)+IF(AND(Projects!$G$13="Yes",Projects!$F$13="Yes",6=Projects!$C$13),Projects!$B$13*Projects!$I$13,0)+IF(AND(Projects!$G$14="Yes",Projects!$F$14="Yes",6=Projects!$C$14),Projects!$B$14*Projects!$I$14,0)+IF(AND(Projects!$G$15="Yes",Projects!$F$15="Yes",6=Projects!$C$15),Projects!$B$15*Projects!$I$15,0)+IF(AND(Projects!$G$16="Yes",Projects!$F$16="Yes",6=Projects!$C$16),Projects!$B$16*Projects!$I$16,0)+IF(AND(Projects!$G$7="Yes",6=Projects!$C$7),Assumptions!$D$18,0)),Actuals!K16)</f>
        <v>-691060.6625</v>
      </c>
      <c r="K106" s="14" t="n">
        <f aca="false">IF(ISBLANK(Actuals!L16),-(IF(AND(Projects!$G$6="Yes",Projects!$F$6="Yes",7=Projects!$C$6),Projects!$B$6*Projects!$I$6,0)+IF(AND(Projects!$G$7="Yes",Projects!$F$7="Yes",7=Projects!$C$7),Projects!$B$7*Projects!$I$7,0)+IF(AND(Projects!$G$8="Yes",Projects!$F$8="Yes",7=Projects!$C$8),Projects!$B$8*Projects!$I$8,0)+IF(AND(Projects!$G$9="Yes",Projects!$F$9="Yes",7=Projects!$C$9),Projects!$B$9*Projects!$I$9,0)+IF(AND(Projects!$G$10="Yes",Projects!$F$10="Yes",7=Projects!$C$10),Projects!$B$10*Projects!$I$10,0)+IF(AND(Projects!$G$11="Yes",Projects!$F$11="Yes",7=Projects!$C$11),Projects!$B$11*Projects!$I$11,0)+IF(AND(Projects!$G$12="Yes",Projects!$F$12="Yes",7=Projects!$C$12),Projects!$B$12*Projects!$I$12,0)+IF(AND(Projects!$G$13="Yes",Projects!$F$13="Yes",7=Projects!$C$13),Projects!$B$13*Projects!$I$13,0)+IF(AND(Projects!$G$14="Yes",Projects!$F$14="Yes",7=Projects!$C$14),Projects!$B$14*Projects!$I$14,0)+IF(AND(Projects!$G$15="Yes",Projects!$F$15="Yes",7=Projects!$C$15),Projects!$B$15*Projects!$I$15,0)+IF(AND(Projects!$G$16="Yes",Projects!$F$16="Yes",7=Projects!$C$16),Projects!$B$16*Projects!$I$16,0)+IF(AND(Projects!$G$7="Yes",7=Projects!$C$7),Assumptions!$D$18,0)),Actuals!L16)</f>
        <v>-0</v>
      </c>
      <c r="L106" s="14" t="n">
        <f aca="false">IF(ISBLANK(Actuals!M16),-(IF(AND(Projects!$G$6="Yes",Projects!$F$6="Yes",8=Projects!$C$6),Projects!$B$6*Projects!$I$6,0)+IF(AND(Projects!$G$7="Yes",Projects!$F$7="Yes",8=Projects!$C$7),Projects!$B$7*Projects!$I$7,0)+IF(AND(Projects!$G$8="Yes",Projects!$F$8="Yes",8=Projects!$C$8),Projects!$B$8*Projects!$I$8,0)+IF(AND(Projects!$G$9="Yes",Projects!$F$9="Yes",8=Projects!$C$9),Projects!$B$9*Projects!$I$9,0)+IF(AND(Projects!$G$10="Yes",Projects!$F$10="Yes",8=Projects!$C$10),Projects!$B$10*Projects!$I$10,0)+IF(AND(Projects!$G$11="Yes",Projects!$F$11="Yes",8=Projects!$C$11),Projects!$B$11*Projects!$I$11,0)+IF(AND(Projects!$G$12="Yes",Projects!$F$12="Yes",8=Projects!$C$12),Projects!$B$12*Projects!$I$12,0)+IF(AND(Projects!$G$13="Yes",Projects!$F$13="Yes",8=Projects!$C$13),Projects!$B$13*Projects!$I$13,0)+IF(AND(Projects!$G$14="Yes",Projects!$F$14="Yes",8=Projects!$C$14),Projects!$B$14*Projects!$I$14,0)+IF(AND(Projects!$G$15="Yes",Projects!$F$15="Yes",8=Projects!$C$15),Projects!$B$15*Projects!$I$15,0)+IF(AND(Projects!$G$16="Yes",Projects!$F$16="Yes",8=Projects!$C$16),Projects!$B$16*Projects!$I$16,0)+IF(AND(Projects!$G$7="Yes",8=Projects!$C$7),Assumptions!$D$18,0)),Actuals!M16)</f>
        <v>-0</v>
      </c>
      <c r="M106" s="14" t="n">
        <f aca="false">IF(ISBLANK(Actuals!N16),-(IF(AND(Projects!$G$6="Yes",Projects!$F$6="Yes",9=Projects!$C$6),Projects!$B$6*Projects!$I$6,0)+IF(AND(Projects!$G$7="Yes",Projects!$F$7="Yes",9=Projects!$C$7),Projects!$B$7*Projects!$I$7,0)+IF(AND(Projects!$G$8="Yes",Projects!$F$8="Yes",9=Projects!$C$8),Projects!$B$8*Projects!$I$8,0)+IF(AND(Projects!$G$9="Yes",Projects!$F$9="Yes",9=Projects!$C$9),Projects!$B$9*Projects!$I$9,0)+IF(AND(Projects!$G$10="Yes",Projects!$F$10="Yes",9=Projects!$C$10),Projects!$B$10*Projects!$I$10,0)+IF(AND(Projects!$G$11="Yes",Projects!$F$11="Yes",9=Projects!$C$11),Projects!$B$11*Projects!$I$11,0)+IF(AND(Projects!$G$12="Yes",Projects!$F$12="Yes",9=Projects!$C$12),Projects!$B$12*Projects!$I$12,0)+IF(AND(Projects!$G$13="Yes",Projects!$F$13="Yes",9=Projects!$C$13),Projects!$B$13*Projects!$I$13,0)+IF(AND(Projects!$G$14="Yes",Projects!$F$14="Yes",9=Projects!$C$14),Projects!$B$14*Projects!$I$14,0)+IF(AND(Projects!$G$15="Yes",Projects!$F$15="Yes",9=Projects!$C$15),Projects!$B$15*Projects!$I$15,0)+IF(AND(Projects!$G$16="Yes",Projects!$F$16="Yes",9=Projects!$C$16),Projects!$B$16*Projects!$I$16,0)+IF(AND(Projects!$G$7="Yes",9=Projects!$C$7),Assumptions!$D$18,0)),Actuals!N16)</f>
        <v>-0</v>
      </c>
      <c r="N106" s="14" t="n">
        <f aca="false">IF(ISBLANK(Actuals!O16),-(IF(AND(Projects!$G$6="Yes",Projects!$F$6="Yes",10=Projects!$C$6),Projects!$B$6*Projects!$I$6,0)+IF(AND(Projects!$G$7="Yes",Projects!$F$7="Yes",10=Projects!$C$7),Projects!$B$7*Projects!$I$7,0)+IF(AND(Projects!$G$8="Yes",Projects!$F$8="Yes",10=Projects!$C$8),Projects!$B$8*Projects!$I$8,0)+IF(AND(Projects!$G$9="Yes",Projects!$F$9="Yes",10=Projects!$C$9),Projects!$B$9*Projects!$I$9,0)+IF(AND(Projects!$G$10="Yes",Projects!$F$10="Yes",10=Projects!$C$10),Projects!$B$10*Projects!$I$10,0)+IF(AND(Projects!$G$11="Yes",Projects!$F$11="Yes",10=Projects!$C$11),Projects!$B$11*Projects!$I$11,0)+IF(AND(Projects!$G$12="Yes",Projects!$F$12="Yes",10=Projects!$C$12),Projects!$B$12*Projects!$I$12,0)+IF(AND(Projects!$G$13="Yes",Projects!$F$13="Yes",10=Projects!$C$13),Projects!$B$13*Projects!$I$13,0)+IF(AND(Projects!$G$14="Yes",Projects!$F$14="Yes",10=Projects!$C$14),Projects!$B$14*Projects!$I$14,0)+IF(AND(Projects!$G$15="Yes",Projects!$F$15="Yes",10=Projects!$C$15),Projects!$B$15*Projects!$I$15,0)+IF(AND(Projects!$G$16="Yes",Projects!$F$16="Yes",10=Projects!$C$16),Projects!$B$16*Projects!$I$16,0)+IF(AND(Projects!$G$7="Yes",10=Projects!$C$7),Assumptions!$D$18,0)),Actuals!O16)</f>
        <v>-0</v>
      </c>
      <c r="O106" s="14" t="n">
        <f aca="false">IF(ISBLANK(Actuals!P16),-(IF(AND(Projects!$G$6="Yes",Projects!$F$6="Yes",11=Projects!$C$6),Projects!$B$6*Projects!$I$6,0)+IF(AND(Projects!$G$7="Yes",Projects!$F$7="Yes",11=Projects!$C$7),Projects!$B$7*Projects!$I$7,0)+IF(AND(Projects!$G$8="Yes",Projects!$F$8="Yes",11=Projects!$C$8),Projects!$B$8*Projects!$I$8,0)+IF(AND(Projects!$G$9="Yes",Projects!$F$9="Yes",11=Projects!$C$9),Projects!$B$9*Projects!$I$9,0)+IF(AND(Projects!$G$10="Yes",Projects!$F$10="Yes",11=Projects!$C$10),Projects!$B$10*Projects!$I$10,0)+IF(AND(Projects!$G$11="Yes",Projects!$F$11="Yes",11=Projects!$C$11),Projects!$B$11*Projects!$I$11,0)+IF(AND(Projects!$G$12="Yes",Projects!$F$12="Yes",11=Projects!$C$12),Projects!$B$12*Projects!$I$12,0)+IF(AND(Projects!$G$13="Yes",Projects!$F$13="Yes",11=Projects!$C$13),Projects!$B$13*Projects!$I$13,0)+IF(AND(Projects!$G$14="Yes",Projects!$F$14="Yes",11=Projects!$C$14),Projects!$B$14*Projects!$I$14,0)+IF(AND(Projects!$G$15="Yes",Projects!$F$15="Yes",11=Projects!$C$15),Projects!$B$15*Projects!$I$15,0)+IF(AND(Projects!$G$16="Yes",Projects!$F$16="Yes",11=Projects!$C$16),Projects!$B$16*Projects!$I$16,0)+IF(AND(Projects!$G$7="Yes",11=Projects!$C$7),Assumptions!$D$18,0)),Actuals!P16)</f>
        <v>-0</v>
      </c>
      <c r="P106" s="14" t="n">
        <f aca="false">IF(ISBLANK(Actuals!Q16),-(IF(AND(Projects!$G$6="Yes",Projects!$F$6="Yes",12=Projects!$C$6),Projects!$B$6*Projects!$I$6,0)+IF(AND(Projects!$G$7="Yes",Projects!$F$7="Yes",12=Projects!$C$7),Projects!$B$7*Projects!$I$7,0)+IF(AND(Projects!$G$8="Yes",Projects!$F$8="Yes",12=Projects!$C$8),Projects!$B$8*Projects!$I$8,0)+IF(AND(Projects!$G$9="Yes",Projects!$F$9="Yes",12=Projects!$C$9),Projects!$B$9*Projects!$I$9,0)+IF(AND(Projects!$G$10="Yes",Projects!$F$10="Yes",12=Projects!$C$10),Projects!$B$10*Projects!$I$10,0)+IF(AND(Projects!$G$11="Yes",Projects!$F$11="Yes",12=Projects!$C$11),Projects!$B$11*Projects!$I$11,0)+IF(AND(Projects!$G$12="Yes",Projects!$F$12="Yes",12=Projects!$C$12),Projects!$B$12*Projects!$I$12,0)+IF(AND(Projects!$G$13="Yes",Projects!$F$13="Yes",12=Projects!$C$13),Projects!$B$13*Projects!$I$13,0)+IF(AND(Projects!$G$14="Yes",Projects!$F$14="Yes",12=Projects!$C$14),Projects!$B$14*Projects!$I$14,0)+IF(AND(Projects!$G$15="Yes",Projects!$F$15="Yes",12=Projects!$C$15),Projects!$B$15*Projects!$I$15,0)+IF(AND(Projects!$G$16="Yes",Projects!$F$16="Yes",12=Projects!$C$16),Projects!$B$16*Projects!$I$16,0)+IF(AND(Projects!$G$7="Yes",12=Projects!$C$7),Assumptions!$D$18,0)),Actuals!Q16)</f>
        <v>-0</v>
      </c>
      <c r="Q106" s="14" t="n">
        <f aca="false">IF(ISBLANK(Actuals!R16),-(IF(AND(Projects!$G$6="Yes",Projects!$F$6="Yes",13=Projects!$C$6),Projects!$B$6*Projects!$I$6,0)+IF(AND(Projects!$G$7="Yes",Projects!$F$7="Yes",13=Projects!$C$7),Projects!$B$7*Projects!$I$7,0)+IF(AND(Projects!$G$8="Yes",Projects!$F$8="Yes",13=Projects!$C$8),Projects!$B$8*Projects!$I$8,0)+IF(AND(Projects!$G$9="Yes",Projects!$F$9="Yes",13=Projects!$C$9),Projects!$B$9*Projects!$I$9,0)+IF(AND(Projects!$G$10="Yes",Projects!$F$10="Yes",13=Projects!$C$10),Projects!$B$10*Projects!$I$10,0)+IF(AND(Projects!$G$11="Yes",Projects!$F$11="Yes",13=Projects!$C$11),Projects!$B$11*Projects!$I$11,0)+IF(AND(Projects!$G$12="Yes",Projects!$F$12="Yes",13=Projects!$C$12),Projects!$B$12*Projects!$I$12,0)+IF(AND(Projects!$G$13="Yes",Projects!$F$13="Yes",13=Projects!$C$13),Projects!$B$13*Projects!$I$13,0)+IF(AND(Projects!$G$14="Yes",Projects!$F$14="Yes",13=Projects!$C$14),Projects!$B$14*Projects!$I$14,0)+IF(AND(Projects!$G$15="Yes",Projects!$F$15="Yes",13=Projects!$C$15),Projects!$B$15*Projects!$I$15,0)+IF(AND(Projects!$G$16="Yes",Projects!$F$16="Yes",13=Projects!$C$16),Projects!$B$16*Projects!$I$16,0)+IF(AND(Projects!$G$7="Yes",13=Projects!$C$7),Assumptions!$D$18,0)),Actuals!R16)</f>
        <v>-1471170.025</v>
      </c>
      <c r="R106" s="14" t="n">
        <f aca="false">IF(ISBLANK(Actuals!S16),-(IF(AND(Projects!$G$6="Yes",Projects!$F$6="Yes",14=Projects!$C$6),Projects!$B$6*Projects!$I$6,0)+IF(AND(Projects!$G$7="Yes",Projects!$F$7="Yes",14=Projects!$C$7),Projects!$B$7*Projects!$I$7,0)+IF(AND(Projects!$G$8="Yes",Projects!$F$8="Yes",14=Projects!$C$8),Projects!$B$8*Projects!$I$8,0)+IF(AND(Projects!$G$9="Yes",Projects!$F$9="Yes",14=Projects!$C$9),Projects!$B$9*Projects!$I$9,0)+IF(AND(Projects!$G$10="Yes",Projects!$F$10="Yes",14=Projects!$C$10),Projects!$B$10*Projects!$I$10,0)+IF(AND(Projects!$G$11="Yes",Projects!$F$11="Yes",14=Projects!$C$11),Projects!$B$11*Projects!$I$11,0)+IF(AND(Projects!$G$12="Yes",Projects!$F$12="Yes",14=Projects!$C$12),Projects!$B$12*Projects!$I$12,0)+IF(AND(Projects!$G$13="Yes",Projects!$F$13="Yes",14=Projects!$C$13),Projects!$B$13*Projects!$I$13,0)+IF(AND(Projects!$G$14="Yes",Projects!$F$14="Yes",14=Projects!$C$14),Projects!$B$14*Projects!$I$14,0)+IF(AND(Projects!$G$15="Yes",Projects!$F$15="Yes",14=Projects!$C$15),Projects!$B$15*Projects!$I$15,0)+IF(AND(Projects!$G$16="Yes",Projects!$F$16="Yes",14=Projects!$C$16),Projects!$B$16*Projects!$I$16,0)+IF(AND(Projects!$G$7="Yes",14=Projects!$C$7),Assumptions!$D$18,0)),Actuals!S16)</f>
        <v>-0</v>
      </c>
      <c r="S106" s="14" t="n">
        <f aca="false">IF(ISBLANK(Actuals!T16),-(IF(AND(Projects!$G$6="Yes",Projects!$F$6="Yes",15=Projects!$C$6),Projects!$B$6*Projects!$I$6,0)+IF(AND(Projects!$G$7="Yes",Projects!$F$7="Yes",15=Projects!$C$7),Projects!$B$7*Projects!$I$7,0)+IF(AND(Projects!$G$8="Yes",Projects!$F$8="Yes",15=Projects!$C$8),Projects!$B$8*Projects!$I$8,0)+IF(AND(Projects!$G$9="Yes",Projects!$F$9="Yes",15=Projects!$C$9),Projects!$B$9*Projects!$I$9,0)+IF(AND(Projects!$G$10="Yes",Projects!$F$10="Yes",15=Projects!$C$10),Projects!$B$10*Projects!$I$10,0)+IF(AND(Projects!$G$11="Yes",Projects!$F$11="Yes",15=Projects!$C$11),Projects!$B$11*Projects!$I$11,0)+IF(AND(Projects!$G$12="Yes",Projects!$F$12="Yes",15=Projects!$C$12),Projects!$B$12*Projects!$I$12,0)+IF(AND(Projects!$G$13="Yes",Projects!$F$13="Yes",15=Projects!$C$13),Projects!$B$13*Projects!$I$13,0)+IF(AND(Projects!$G$14="Yes",Projects!$F$14="Yes",15=Projects!$C$14),Projects!$B$14*Projects!$I$14,0)+IF(AND(Projects!$G$15="Yes",Projects!$F$15="Yes",15=Projects!$C$15),Projects!$B$15*Projects!$I$15,0)+IF(AND(Projects!$G$16="Yes",Projects!$F$16="Yes",15=Projects!$C$16),Projects!$B$16*Projects!$I$16,0)+IF(AND(Projects!$G$7="Yes",15=Projects!$C$7),Assumptions!$D$18,0)),Actuals!T16)</f>
        <v>-0</v>
      </c>
      <c r="T106" s="14" t="n">
        <f aca="false">IF(ISBLANK(Actuals!U16),-(IF(AND(Projects!$G$6="Yes",Projects!$F$6="Yes",16=Projects!$C$6),Projects!$B$6*Projects!$I$6,0)+IF(AND(Projects!$G$7="Yes",Projects!$F$7="Yes",16=Projects!$C$7),Projects!$B$7*Projects!$I$7,0)+IF(AND(Projects!$G$8="Yes",Projects!$F$8="Yes",16=Projects!$C$8),Projects!$B$8*Projects!$I$8,0)+IF(AND(Projects!$G$9="Yes",Projects!$F$9="Yes",16=Projects!$C$9),Projects!$B$9*Projects!$I$9,0)+IF(AND(Projects!$G$10="Yes",Projects!$F$10="Yes",16=Projects!$C$10),Projects!$B$10*Projects!$I$10,0)+IF(AND(Projects!$G$11="Yes",Projects!$F$11="Yes",16=Projects!$C$11),Projects!$B$11*Projects!$I$11,0)+IF(AND(Projects!$G$12="Yes",Projects!$F$12="Yes",16=Projects!$C$12),Projects!$B$12*Projects!$I$12,0)+IF(AND(Projects!$G$13="Yes",Projects!$F$13="Yes",16=Projects!$C$13),Projects!$B$13*Projects!$I$13,0)+IF(AND(Projects!$G$14="Yes",Projects!$F$14="Yes",16=Projects!$C$14),Projects!$B$14*Projects!$I$14,0)+IF(AND(Projects!$G$15="Yes",Projects!$F$15="Yes",16=Projects!$C$15),Projects!$B$15*Projects!$I$15,0)+IF(AND(Projects!$G$16="Yes",Projects!$F$16="Yes",16=Projects!$C$16),Projects!$B$16*Projects!$I$16,0)+IF(AND(Projects!$G$7="Yes",16=Projects!$C$7),Assumptions!$D$18,0)),Actuals!U16)</f>
        <v>-0</v>
      </c>
      <c r="U106" s="14" t="n">
        <f aca="false">IF(ISBLANK(Actuals!V16),-(IF(AND(Projects!$G$6="Yes",Projects!$F$6="Yes",17=Projects!$C$6),Projects!$B$6*Projects!$I$6,0)+IF(AND(Projects!$G$7="Yes",Projects!$F$7="Yes",17=Projects!$C$7),Projects!$B$7*Projects!$I$7,0)+IF(AND(Projects!$G$8="Yes",Projects!$F$8="Yes",17=Projects!$C$8),Projects!$B$8*Projects!$I$8,0)+IF(AND(Projects!$G$9="Yes",Projects!$F$9="Yes",17=Projects!$C$9),Projects!$B$9*Projects!$I$9,0)+IF(AND(Projects!$G$10="Yes",Projects!$F$10="Yes",17=Projects!$C$10),Projects!$B$10*Projects!$I$10,0)+IF(AND(Projects!$G$11="Yes",Projects!$F$11="Yes",17=Projects!$C$11),Projects!$B$11*Projects!$I$11,0)+IF(AND(Projects!$G$12="Yes",Projects!$F$12="Yes",17=Projects!$C$12),Projects!$B$12*Projects!$I$12,0)+IF(AND(Projects!$G$13="Yes",Projects!$F$13="Yes",17=Projects!$C$13),Projects!$B$13*Projects!$I$13,0)+IF(AND(Projects!$G$14="Yes",Projects!$F$14="Yes",17=Projects!$C$14),Projects!$B$14*Projects!$I$14,0)+IF(AND(Projects!$G$15="Yes",Projects!$F$15="Yes",17=Projects!$C$15),Projects!$B$15*Projects!$I$15,0)+IF(AND(Projects!$G$16="Yes",Projects!$F$16="Yes",17=Projects!$C$16),Projects!$B$16*Projects!$I$16,0)+IF(AND(Projects!$G$7="Yes",17=Projects!$C$7),Assumptions!$D$18,0)),Actuals!V16)</f>
        <v>-0</v>
      </c>
      <c r="V106" s="14" t="n">
        <f aca="false">IF(ISBLANK(Actuals!W16),-(IF(AND(Projects!$G$6="Yes",Projects!$F$6="Yes",18=Projects!$C$6),Projects!$B$6*Projects!$I$6,0)+IF(AND(Projects!$G$7="Yes",Projects!$F$7="Yes",18=Projects!$C$7),Projects!$B$7*Projects!$I$7,0)+IF(AND(Projects!$G$8="Yes",Projects!$F$8="Yes",18=Projects!$C$8),Projects!$B$8*Projects!$I$8,0)+IF(AND(Projects!$G$9="Yes",Projects!$F$9="Yes",18=Projects!$C$9),Projects!$B$9*Projects!$I$9,0)+IF(AND(Projects!$G$10="Yes",Projects!$F$10="Yes",18=Projects!$C$10),Projects!$B$10*Projects!$I$10,0)+IF(AND(Projects!$G$11="Yes",Projects!$F$11="Yes",18=Projects!$C$11),Projects!$B$11*Projects!$I$11,0)+IF(AND(Projects!$G$12="Yes",Projects!$F$12="Yes",18=Projects!$C$12),Projects!$B$12*Projects!$I$12,0)+IF(AND(Projects!$G$13="Yes",Projects!$F$13="Yes",18=Projects!$C$13),Projects!$B$13*Projects!$I$13,0)+IF(AND(Projects!$G$14="Yes",Projects!$F$14="Yes",18=Projects!$C$14),Projects!$B$14*Projects!$I$14,0)+IF(AND(Projects!$G$15="Yes",Projects!$F$15="Yes",18=Projects!$C$15),Projects!$B$15*Projects!$I$15,0)+IF(AND(Projects!$G$16="Yes",Projects!$F$16="Yes",18=Projects!$C$16),Projects!$B$16*Projects!$I$16,0)+IF(AND(Projects!$G$7="Yes",18=Projects!$C$7),Assumptions!$D$18,0)),Actuals!W16)</f>
        <v>-0</v>
      </c>
      <c r="W106" s="14" t="n">
        <f aca="false">IF(ISBLANK(Actuals!X16),-(IF(AND(Projects!$G$6="Yes",Projects!$F$6="Yes",19=Projects!$C$6),Projects!$B$6*Projects!$I$6,0)+IF(AND(Projects!$G$7="Yes",Projects!$F$7="Yes",19=Projects!$C$7),Projects!$B$7*Projects!$I$7,0)+IF(AND(Projects!$G$8="Yes",Projects!$F$8="Yes",19=Projects!$C$8),Projects!$B$8*Projects!$I$8,0)+IF(AND(Projects!$G$9="Yes",Projects!$F$9="Yes",19=Projects!$C$9),Projects!$B$9*Projects!$I$9,0)+IF(AND(Projects!$G$10="Yes",Projects!$F$10="Yes",19=Projects!$C$10),Projects!$B$10*Projects!$I$10,0)+IF(AND(Projects!$G$11="Yes",Projects!$F$11="Yes",19=Projects!$C$11),Projects!$B$11*Projects!$I$11,0)+IF(AND(Projects!$G$12="Yes",Projects!$F$12="Yes",19=Projects!$C$12),Projects!$B$12*Projects!$I$12,0)+IF(AND(Projects!$G$13="Yes",Projects!$F$13="Yes",19=Projects!$C$13),Projects!$B$13*Projects!$I$13,0)+IF(AND(Projects!$G$14="Yes",Projects!$F$14="Yes",19=Projects!$C$14),Projects!$B$14*Projects!$I$14,0)+IF(AND(Projects!$G$15="Yes",Projects!$F$15="Yes",19=Projects!$C$15),Projects!$B$15*Projects!$I$15,0)+IF(AND(Projects!$G$16="Yes",Projects!$F$16="Yes",19=Projects!$C$16),Projects!$B$16*Projects!$I$16,0)+IF(AND(Projects!$G$7="Yes",19=Projects!$C$7),Assumptions!$D$18,0)),Actuals!X16)</f>
        <v>-0</v>
      </c>
      <c r="X106" s="14" t="n">
        <f aca="false">IF(ISBLANK(Actuals!Y16),-(IF(AND(Projects!$G$6="Yes",Projects!$F$6="Yes",20=Projects!$C$6),Projects!$B$6*Projects!$I$6,0)+IF(AND(Projects!$G$7="Yes",Projects!$F$7="Yes",20=Projects!$C$7),Projects!$B$7*Projects!$I$7,0)+IF(AND(Projects!$G$8="Yes",Projects!$F$8="Yes",20=Projects!$C$8),Projects!$B$8*Projects!$I$8,0)+IF(AND(Projects!$G$9="Yes",Projects!$F$9="Yes",20=Projects!$C$9),Projects!$B$9*Projects!$I$9,0)+IF(AND(Projects!$G$10="Yes",Projects!$F$10="Yes",20=Projects!$C$10),Projects!$B$10*Projects!$I$10,0)+IF(AND(Projects!$G$11="Yes",Projects!$F$11="Yes",20=Projects!$C$11),Projects!$B$11*Projects!$I$11,0)+IF(AND(Projects!$G$12="Yes",Projects!$F$12="Yes",20=Projects!$C$12),Projects!$B$12*Projects!$I$12,0)+IF(AND(Projects!$G$13="Yes",Projects!$F$13="Yes",20=Projects!$C$13),Projects!$B$13*Projects!$I$13,0)+IF(AND(Projects!$G$14="Yes",Projects!$F$14="Yes",20=Projects!$C$14),Projects!$B$14*Projects!$I$14,0)+IF(AND(Projects!$G$15="Yes",Projects!$F$15="Yes",20=Projects!$C$15),Projects!$B$15*Projects!$I$15,0)+IF(AND(Projects!$G$16="Yes",Projects!$F$16="Yes",20=Projects!$C$16),Projects!$B$16*Projects!$I$16,0)+IF(AND(Projects!$G$7="Yes",20=Projects!$C$7),Assumptions!$D$18,0)),Actuals!Y16)</f>
        <v>-0</v>
      </c>
      <c r="Y106" s="14" t="n">
        <f aca="false">IF(ISBLANK(Actuals!Z16),-(IF(AND(Projects!$G$6="Yes",Projects!$F$6="Yes",21=Projects!$C$6),Projects!$B$6*Projects!$I$6,0)+IF(AND(Projects!$G$7="Yes",Projects!$F$7="Yes",21=Projects!$C$7),Projects!$B$7*Projects!$I$7,0)+IF(AND(Projects!$G$8="Yes",Projects!$F$8="Yes",21=Projects!$C$8),Projects!$B$8*Projects!$I$8,0)+IF(AND(Projects!$G$9="Yes",Projects!$F$9="Yes",21=Projects!$C$9),Projects!$B$9*Projects!$I$9,0)+IF(AND(Projects!$G$10="Yes",Projects!$F$10="Yes",21=Projects!$C$10),Projects!$B$10*Projects!$I$10,0)+IF(AND(Projects!$G$11="Yes",Projects!$F$11="Yes",21=Projects!$C$11),Projects!$B$11*Projects!$I$11,0)+IF(AND(Projects!$G$12="Yes",Projects!$F$12="Yes",21=Projects!$C$12),Projects!$B$12*Projects!$I$12,0)+IF(AND(Projects!$G$13="Yes",Projects!$F$13="Yes",21=Projects!$C$13),Projects!$B$13*Projects!$I$13,0)+IF(AND(Projects!$G$14="Yes",Projects!$F$14="Yes",21=Projects!$C$14),Projects!$B$14*Projects!$I$14,0)+IF(AND(Projects!$G$15="Yes",Projects!$F$15="Yes",21=Projects!$C$15),Projects!$B$15*Projects!$I$15,0)+IF(AND(Projects!$G$16="Yes",Projects!$F$16="Yes",21=Projects!$C$16),Projects!$B$16*Projects!$I$16,0)+IF(AND(Projects!$G$7="Yes",21=Projects!$C$7),Assumptions!$D$18,0)),Actuals!Z16)</f>
        <v>-0</v>
      </c>
      <c r="Z106" s="14" t="n">
        <f aca="false">IF(ISBLANK(Actuals!AA16),-(IF(AND(Projects!$G$6="Yes",Projects!$F$6="Yes",22=Projects!$C$6),Projects!$B$6*Projects!$I$6,0)+IF(AND(Projects!$G$7="Yes",Projects!$F$7="Yes",22=Projects!$C$7),Projects!$B$7*Projects!$I$7,0)+IF(AND(Projects!$G$8="Yes",Projects!$F$8="Yes",22=Projects!$C$8),Projects!$B$8*Projects!$I$8,0)+IF(AND(Projects!$G$9="Yes",Projects!$F$9="Yes",22=Projects!$C$9),Projects!$B$9*Projects!$I$9,0)+IF(AND(Projects!$G$10="Yes",Projects!$F$10="Yes",22=Projects!$C$10),Projects!$B$10*Projects!$I$10,0)+IF(AND(Projects!$G$11="Yes",Projects!$F$11="Yes",22=Projects!$C$11),Projects!$B$11*Projects!$I$11,0)+IF(AND(Projects!$G$12="Yes",Projects!$F$12="Yes",22=Projects!$C$12),Projects!$B$12*Projects!$I$12,0)+IF(AND(Projects!$G$13="Yes",Projects!$F$13="Yes",22=Projects!$C$13),Projects!$B$13*Projects!$I$13,0)+IF(AND(Projects!$G$14="Yes",Projects!$F$14="Yes",22=Projects!$C$14),Projects!$B$14*Projects!$I$14,0)+IF(AND(Projects!$G$15="Yes",Projects!$F$15="Yes",22=Projects!$C$15),Projects!$B$15*Projects!$I$15,0)+IF(AND(Projects!$G$16="Yes",Projects!$F$16="Yes",22=Projects!$C$16),Projects!$B$16*Projects!$I$16,0)+IF(AND(Projects!$G$7="Yes",22=Projects!$C$7),Assumptions!$D$18,0)),Actuals!AA16)</f>
        <v>-0</v>
      </c>
      <c r="AA106" s="14" t="n">
        <f aca="false">IF(ISBLANK(Actuals!AB16),-(IF(AND(Projects!$G$6="Yes",Projects!$F$6="Yes",23=Projects!$C$6),Projects!$B$6*Projects!$I$6,0)+IF(AND(Projects!$G$7="Yes",Projects!$F$7="Yes",23=Projects!$C$7),Projects!$B$7*Projects!$I$7,0)+IF(AND(Projects!$G$8="Yes",Projects!$F$8="Yes",23=Projects!$C$8),Projects!$B$8*Projects!$I$8,0)+IF(AND(Projects!$G$9="Yes",Projects!$F$9="Yes",23=Projects!$C$9),Projects!$B$9*Projects!$I$9,0)+IF(AND(Projects!$G$10="Yes",Projects!$F$10="Yes",23=Projects!$C$10),Projects!$B$10*Projects!$I$10,0)+IF(AND(Projects!$G$11="Yes",Projects!$F$11="Yes",23=Projects!$C$11),Projects!$B$11*Projects!$I$11,0)+IF(AND(Projects!$G$12="Yes",Projects!$F$12="Yes",23=Projects!$C$12),Projects!$B$12*Projects!$I$12,0)+IF(AND(Projects!$G$13="Yes",Projects!$F$13="Yes",23=Projects!$C$13),Projects!$B$13*Projects!$I$13,0)+IF(AND(Projects!$G$14="Yes",Projects!$F$14="Yes",23=Projects!$C$14),Projects!$B$14*Projects!$I$14,0)+IF(AND(Projects!$G$15="Yes",Projects!$F$15="Yes",23=Projects!$C$15),Projects!$B$15*Projects!$I$15,0)+IF(AND(Projects!$G$16="Yes",Projects!$F$16="Yes",23=Projects!$C$16),Projects!$B$16*Projects!$I$16,0)+IF(AND(Projects!$G$7="Yes",23=Projects!$C$7),Assumptions!$D$18,0)),Actuals!AB16)</f>
        <v>-0</v>
      </c>
      <c r="AB106" s="14" t="n">
        <f aca="false">IF(ISBLANK(Actuals!AC16),-(IF(AND(Projects!$G$6="Yes",Projects!$F$6="Yes",24=Projects!$C$6),Projects!$B$6*Projects!$I$6,0)+IF(AND(Projects!$G$7="Yes",Projects!$F$7="Yes",24=Projects!$C$7),Projects!$B$7*Projects!$I$7,0)+IF(AND(Projects!$G$8="Yes",Projects!$F$8="Yes",24=Projects!$C$8),Projects!$B$8*Projects!$I$8,0)+IF(AND(Projects!$G$9="Yes",Projects!$F$9="Yes",24=Projects!$C$9),Projects!$B$9*Projects!$I$9,0)+IF(AND(Projects!$G$10="Yes",Projects!$F$10="Yes",24=Projects!$C$10),Projects!$B$10*Projects!$I$10,0)+IF(AND(Projects!$G$11="Yes",Projects!$F$11="Yes",24=Projects!$C$11),Projects!$B$11*Projects!$I$11,0)+IF(AND(Projects!$G$12="Yes",Projects!$F$12="Yes",24=Projects!$C$12),Projects!$B$12*Projects!$I$12,0)+IF(AND(Projects!$G$13="Yes",Projects!$F$13="Yes",24=Projects!$C$13),Projects!$B$13*Projects!$I$13,0)+IF(AND(Projects!$G$14="Yes",Projects!$F$14="Yes",24=Projects!$C$14),Projects!$B$14*Projects!$I$14,0)+IF(AND(Projects!$G$15="Yes",Projects!$F$15="Yes",24=Projects!$C$15),Projects!$B$15*Projects!$I$15,0)+IF(AND(Projects!$G$16="Yes",Projects!$F$16="Yes",24=Projects!$C$16),Projects!$B$16*Projects!$I$16,0)+IF(AND(Projects!$G$7="Yes",24=Projects!$C$7),Assumptions!$D$18,0)),Actuals!AC16)</f>
        <v>-0</v>
      </c>
      <c r="AC106" s="14" t="n">
        <f aca="false">IF(ISBLANK(Actuals!AD16),-(IF(AND(Projects!$G$6="Yes",Projects!$F$6="Yes",25=Projects!$C$6),Projects!$B$6*Projects!$I$6,0)+IF(AND(Projects!$G$7="Yes",Projects!$F$7="Yes",25=Projects!$C$7),Projects!$B$7*Projects!$I$7,0)+IF(AND(Projects!$G$8="Yes",Projects!$F$8="Yes",25=Projects!$C$8),Projects!$B$8*Projects!$I$8,0)+IF(AND(Projects!$G$9="Yes",Projects!$F$9="Yes",25=Projects!$C$9),Projects!$B$9*Projects!$I$9,0)+IF(AND(Projects!$G$10="Yes",Projects!$F$10="Yes",25=Projects!$C$10),Projects!$B$10*Projects!$I$10,0)+IF(AND(Projects!$G$11="Yes",Projects!$F$11="Yes",25=Projects!$C$11),Projects!$B$11*Projects!$I$11,0)+IF(AND(Projects!$G$12="Yes",Projects!$F$12="Yes",25=Projects!$C$12),Projects!$B$12*Projects!$I$12,0)+IF(AND(Projects!$G$13="Yes",Projects!$F$13="Yes",25=Projects!$C$13),Projects!$B$13*Projects!$I$13,0)+IF(AND(Projects!$G$14="Yes",Projects!$F$14="Yes",25=Projects!$C$14),Projects!$B$14*Projects!$I$14,0)+IF(AND(Projects!$G$15="Yes",Projects!$F$15="Yes",25=Projects!$C$15),Projects!$B$15*Projects!$I$15,0)+IF(AND(Projects!$G$16="Yes",Projects!$F$16="Yes",25=Projects!$C$16),Projects!$B$16*Projects!$I$16,0)+IF(AND(Projects!$G$7="Yes",25=Projects!$C$7),Assumptions!$D$18,0)),Actuals!AD16)</f>
        <v>-0</v>
      </c>
      <c r="AD106" s="14" t="n">
        <f aca="false">IF(ISBLANK(Actuals!AE16),-(IF(AND(Projects!$G$6="Yes",Projects!$F$6="Yes",26=Projects!$C$6),Projects!$B$6*Projects!$I$6,0)+IF(AND(Projects!$G$7="Yes",Projects!$F$7="Yes",26=Projects!$C$7),Projects!$B$7*Projects!$I$7,0)+IF(AND(Projects!$G$8="Yes",Projects!$F$8="Yes",26=Projects!$C$8),Projects!$B$8*Projects!$I$8,0)+IF(AND(Projects!$G$9="Yes",Projects!$F$9="Yes",26=Projects!$C$9),Projects!$B$9*Projects!$I$9,0)+IF(AND(Projects!$G$10="Yes",Projects!$F$10="Yes",26=Projects!$C$10),Projects!$B$10*Projects!$I$10,0)+IF(AND(Projects!$G$11="Yes",Projects!$F$11="Yes",26=Projects!$C$11),Projects!$B$11*Projects!$I$11,0)+IF(AND(Projects!$G$12="Yes",Projects!$F$12="Yes",26=Projects!$C$12),Projects!$B$12*Projects!$I$12,0)+IF(AND(Projects!$G$13="Yes",Projects!$F$13="Yes",26=Projects!$C$13),Projects!$B$13*Projects!$I$13,0)+IF(AND(Projects!$G$14="Yes",Projects!$F$14="Yes",26=Projects!$C$14),Projects!$B$14*Projects!$I$14,0)+IF(AND(Projects!$G$15="Yes",Projects!$F$15="Yes",26=Projects!$C$15),Projects!$B$15*Projects!$I$15,0)+IF(AND(Projects!$G$16="Yes",Projects!$F$16="Yes",26=Projects!$C$16),Projects!$B$16*Projects!$I$16,0)+IF(AND(Projects!$G$7="Yes",26=Projects!$C$7),Assumptions!$D$18,0)),Actuals!AE16)</f>
        <v>-0</v>
      </c>
      <c r="AE106" s="14" t="n">
        <f aca="false">IF(ISBLANK(Actuals!AF16),-(IF(AND(Projects!$G$6="Yes",Projects!$F$6="Yes",27=Projects!$C$6),Projects!$B$6*Projects!$I$6,0)+IF(AND(Projects!$G$7="Yes",Projects!$F$7="Yes",27=Projects!$C$7),Projects!$B$7*Projects!$I$7,0)+IF(AND(Projects!$G$8="Yes",Projects!$F$8="Yes",27=Projects!$C$8),Projects!$B$8*Projects!$I$8,0)+IF(AND(Projects!$G$9="Yes",Projects!$F$9="Yes",27=Projects!$C$9),Projects!$B$9*Projects!$I$9,0)+IF(AND(Projects!$G$10="Yes",Projects!$F$10="Yes",27=Projects!$C$10),Projects!$B$10*Projects!$I$10,0)+IF(AND(Projects!$G$11="Yes",Projects!$F$11="Yes",27=Projects!$C$11),Projects!$B$11*Projects!$I$11,0)+IF(AND(Projects!$G$12="Yes",Projects!$F$12="Yes",27=Projects!$C$12),Projects!$B$12*Projects!$I$12,0)+IF(AND(Projects!$G$13="Yes",Projects!$F$13="Yes",27=Projects!$C$13),Projects!$B$13*Projects!$I$13,0)+IF(AND(Projects!$G$14="Yes",Projects!$F$14="Yes",27=Projects!$C$14),Projects!$B$14*Projects!$I$14,0)+IF(AND(Projects!$G$15="Yes",Projects!$F$15="Yes",27=Projects!$C$15),Projects!$B$15*Projects!$I$15,0)+IF(AND(Projects!$G$16="Yes",Projects!$F$16="Yes",27=Projects!$C$16),Projects!$B$16*Projects!$I$16,0)+IF(AND(Projects!$G$7="Yes",27=Projects!$C$7),Assumptions!$D$18,0)),Actuals!AF16)</f>
        <v>-1344025.54</v>
      </c>
      <c r="AF106" s="14" t="n">
        <f aca="false">IF(ISBLANK(Actuals!AG16),-(IF(AND(Projects!$G$6="Yes",Projects!$F$6="Yes",28=Projects!$C$6),Projects!$B$6*Projects!$I$6,0)+IF(AND(Projects!$G$7="Yes",Projects!$F$7="Yes",28=Projects!$C$7),Projects!$B$7*Projects!$I$7,0)+IF(AND(Projects!$G$8="Yes",Projects!$F$8="Yes",28=Projects!$C$8),Projects!$B$8*Projects!$I$8,0)+IF(AND(Projects!$G$9="Yes",Projects!$F$9="Yes",28=Projects!$C$9),Projects!$B$9*Projects!$I$9,0)+IF(AND(Projects!$G$10="Yes",Projects!$F$10="Yes",28=Projects!$C$10),Projects!$B$10*Projects!$I$10,0)+IF(AND(Projects!$G$11="Yes",Projects!$F$11="Yes",28=Projects!$C$11),Projects!$B$11*Projects!$I$11,0)+IF(AND(Projects!$G$12="Yes",Projects!$F$12="Yes",28=Projects!$C$12),Projects!$B$12*Projects!$I$12,0)+IF(AND(Projects!$G$13="Yes",Projects!$F$13="Yes",28=Projects!$C$13),Projects!$B$13*Projects!$I$13,0)+IF(AND(Projects!$G$14="Yes",Projects!$F$14="Yes",28=Projects!$C$14),Projects!$B$14*Projects!$I$14,0)+IF(AND(Projects!$G$15="Yes",Projects!$F$15="Yes",28=Projects!$C$15),Projects!$B$15*Projects!$I$15,0)+IF(AND(Projects!$G$16="Yes",Projects!$F$16="Yes",28=Projects!$C$16),Projects!$B$16*Projects!$I$16,0)+IF(AND(Projects!$G$7="Yes",28=Projects!$C$7),Assumptions!$D$18,0)),Actuals!AG16)</f>
        <v>-0</v>
      </c>
      <c r="AG106" s="14" t="n">
        <f aca="false">IF(ISBLANK(Actuals!AH16),-(IF(AND(Projects!$G$6="Yes",Projects!$F$6="Yes",29=Projects!$C$6),Projects!$B$6*Projects!$I$6,0)+IF(AND(Projects!$G$7="Yes",Projects!$F$7="Yes",29=Projects!$C$7),Projects!$B$7*Projects!$I$7,0)+IF(AND(Projects!$G$8="Yes",Projects!$F$8="Yes",29=Projects!$C$8),Projects!$B$8*Projects!$I$8,0)+IF(AND(Projects!$G$9="Yes",Projects!$F$9="Yes",29=Projects!$C$9),Projects!$B$9*Projects!$I$9,0)+IF(AND(Projects!$G$10="Yes",Projects!$F$10="Yes",29=Projects!$C$10),Projects!$B$10*Projects!$I$10,0)+IF(AND(Projects!$G$11="Yes",Projects!$F$11="Yes",29=Projects!$C$11),Projects!$B$11*Projects!$I$11,0)+IF(AND(Projects!$G$12="Yes",Projects!$F$12="Yes",29=Projects!$C$12),Projects!$B$12*Projects!$I$12,0)+IF(AND(Projects!$G$13="Yes",Projects!$F$13="Yes",29=Projects!$C$13),Projects!$B$13*Projects!$I$13,0)+IF(AND(Projects!$G$14="Yes",Projects!$F$14="Yes",29=Projects!$C$14),Projects!$B$14*Projects!$I$14,0)+IF(AND(Projects!$G$15="Yes",Projects!$F$15="Yes",29=Projects!$C$15),Projects!$B$15*Projects!$I$15,0)+IF(AND(Projects!$G$16="Yes",Projects!$F$16="Yes",29=Projects!$C$16),Projects!$B$16*Projects!$I$16,0)+IF(AND(Projects!$G$7="Yes",29=Projects!$C$7),Assumptions!$D$18,0)),Actuals!AH16)</f>
        <v>-0</v>
      </c>
      <c r="AH106" s="14" t="n">
        <f aca="false">IF(ISBLANK(Actuals!AI16),-(IF(AND(Projects!$G$6="Yes",Projects!$F$6="Yes",30=Projects!$C$6),Projects!$B$6*Projects!$I$6,0)+IF(AND(Projects!$G$7="Yes",Projects!$F$7="Yes",30=Projects!$C$7),Projects!$B$7*Projects!$I$7,0)+IF(AND(Projects!$G$8="Yes",Projects!$F$8="Yes",30=Projects!$C$8),Projects!$B$8*Projects!$I$8,0)+IF(AND(Projects!$G$9="Yes",Projects!$F$9="Yes",30=Projects!$C$9),Projects!$B$9*Projects!$I$9,0)+IF(AND(Projects!$G$10="Yes",Projects!$F$10="Yes",30=Projects!$C$10),Projects!$B$10*Projects!$I$10,0)+IF(AND(Projects!$G$11="Yes",Projects!$F$11="Yes",30=Projects!$C$11),Projects!$B$11*Projects!$I$11,0)+IF(AND(Projects!$G$12="Yes",Projects!$F$12="Yes",30=Projects!$C$12),Projects!$B$12*Projects!$I$12,0)+IF(AND(Projects!$G$13="Yes",Projects!$F$13="Yes",30=Projects!$C$13),Projects!$B$13*Projects!$I$13,0)+IF(AND(Projects!$G$14="Yes",Projects!$F$14="Yes",30=Projects!$C$14),Projects!$B$14*Projects!$I$14,0)+IF(AND(Projects!$G$15="Yes",Projects!$F$15="Yes",30=Projects!$C$15),Projects!$B$15*Projects!$I$15,0)+IF(AND(Projects!$G$16="Yes",Projects!$F$16="Yes",30=Projects!$C$16),Projects!$B$16*Projects!$I$16,0)+IF(AND(Projects!$G$7="Yes",30=Projects!$C$7),Assumptions!$D$18,0)),Actuals!AI16)</f>
        <v>-0</v>
      </c>
      <c r="AI106" s="14" t="n">
        <f aca="false">IF(ISBLANK(Actuals!AJ16),-(IF(AND(Projects!$G$6="Yes",Projects!$F$6="Yes",31=Projects!$C$6),Projects!$B$6*Projects!$I$6,0)+IF(AND(Projects!$G$7="Yes",Projects!$F$7="Yes",31=Projects!$C$7),Projects!$B$7*Projects!$I$7,0)+IF(AND(Projects!$G$8="Yes",Projects!$F$8="Yes",31=Projects!$C$8),Projects!$B$8*Projects!$I$8,0)+IF(AND(Projects!$G$9="Yes",Projects!$F$9="Yes",31=Projects!$C$9),Projects!$B$9*Projects!$I$9,0)+IF(AND(Projects!$G$10="Yes",Projects!$F$10="Yes",31=Projects!$C$10),Projects!$B$10*Projects!$I$10,0)+IF(AND(Projects!$G$11="Yes",Projects!$F$11="Yes",31=Projects!$C$11),Projects!$B$11*Projects!$I$11,0)+IF(AND(Projects!$G$12="Yes",Projects!$F$12="Yes",31=Projects!$C$12),Projects!$B$12*Projects!$I$12,0)+IF(AND(Projects!$G$13="Yes",Projects!$F$13="Yes",31=Projects!$C$13),Projects!$B$13*Projects!$I$13,0)+IF(AND(Projects!$G$14="Yes",Projects!$F$14="Yes",31=Projects!$C$14),Projects!$B$14*Projects!$I$14,0)+IF(AND(Projects!$G$15="Yes",Projects!$F$15="Yes",31=Projects!$C$15),Projects!$B$15*Projects!$I$15,0)+IF(AND(Projects!$G$16="Yes",Projects!$F$16="Yes",31=Projects!$C$16),Projects!$B$16*Projects!$I$16,0)+IF(AND(Projects!$G$7="Yes",31=Projects!$C$7),Assumptions!$D$18,0)),Actuals!AJ16)</f>
        <v>-0</v>
      </c>
      <c r="AJ106" s="14" t="n">
        <f aca="false">IF(ISBLANK(Actuals!AK16),-(IF(AND(Projects!$G$6="Yes",Projects!$F$6="Yes",32=Projects!$C$6),Projects!$B$6*Projects!$I$6,0)+IF(AND(Projects!$G$7="Yes",Projects!$F$7="Yes",32=Projects!$C$7),Projects!$B$7*Projects!$I$7,0)+IF(AND(Projects!$G$8="Yes",Projects!$F$8="Yes",32=Projects!$C$8),Projects!$B$8*Projects!$I$8,0)+IF(AND(Projects!$G$9="Yes",Projects!$F$9="Yes",32=Projects!$C$9),Projects!$B$9*Projects!$I$9,0)+IF(AND(Projects!$G$10="Yes",Projects!$F$10="Yes",32=Projects!$C$10),Projects!$B$10*Projects!$I$10,0)+IF(AND(Projects!$G$11="Yes",Projects!$F$11="Yes",32=Projects!$C$11),Projects!$B$11*Projects!$I$11,0)+IF(AND(Projects!$G$12="Yes",Projects!$F$12="Yes",32=Projects!$C$12),Projects!$B$12*Projects!$I$12,0)+IF(AND(Projects!$G$13="Yes",Projects!$F$13="Yes",32=Projects!$C$13),Projects!$B$13*Projects!$I$13,0)+IF(AND(Projects!$G$14="Yes",Projects!$F$14="Yes",32=Projects!$C$14),Projects!$B$14*Projects!$I$14,0)+IF(AND(Projects!$G$15="Yes",Projects!$F$15="Yes",32=Projects!$C$15),Projects!$B$15*Projects!$I$15,0)+IF(AND(Projects!$G$16="Yes",Projects!$F$16="Yes",32=Projects!$C$16),Projects!$B$16*Projects!$I$16,0)+IF(AND(Projects!$G$7="Yes",32=Projects!$C$7),Assumptions!$D$18,0)),Actuals!AK16)</f>
        <v>-0</v>
      </c>
      <c r="AK106" s="14" t="n">
        <f aca="false">IF(ISBLANK(Actuals!AL16),-(IF(AND(Projects!$G$6="Yes",Projects!$F$6="Yes",33=Projects!$C$6),Projects!$B$6*Projects!$I$6,0)+IF(AND(Projects!$G$7="Yes",Projects!$F$7="Yes",33=Projects!$C$7),Projects!$B$7*Projects!$I$7,0)+IF(AND(Projects!$G$8="Yes",Projects!$F$8="Yes",33=Projects!$C$8),Projects!$B$8*Projects!$I$8,0)+IF(AND(Projects!$G$9="Yes",Projects!$F$9="Yes",33=Projects!$C$9),Projects!$B$9*Projects!$I$9,0)+IF(AND(Projects!$G$10="Yes",Projects!$F$10="Yes",33=Projects!$C$10),Projects!$B$10*Projects!$I$10,0)+IF(AND(Projects!$G$11="Yes",Projects!$F$11="Yes",33=Projects!$C$11),Projects!$B$11*Projects!$I$11,0)+IF(AND(Projects!$G$12="Yes",Projects!$F$12="Yes",33=Projects!$C$12),Projects!$B$12*Projects!$I$12,0)+IF(AND(Projects!$G$13="Yes",Projects!$F$13="Yes",33=Projects!$C$13),Projects!$B$13*Projects!$I$13,0)+IF(AND(Projects!$G$14="Yes",Projects!$F$14="Yes",33=Projects!$C$14),Projects!$B$14*Projects!$I$14,0)+IF(AND(Projects!$G$15="Yes",Projects!$F$15="Yes",33=Projects!$C$15),Projects!$B$15*Projects!$I$15,0)+IF(AND(Projects!$G$16="Yes",Projects!$F$16="Yes",33=Projects!$C$16),Projects!$B$16*Projects!$I$16,0)+IF(AND(Projects!$G$7="Yes",33=Projects!$C$7),Assumptions!$D$18,0)),Actuals!AL16)</f>
        <v>-0</v>
      </c>
      <c r="AL106" s="14" t="n">
        <f aca="false">IF(ISBLANK(Actuals!AM16),-(IF(AND(Projects!$G$6="Yes",Projects!$F$6="Yes",34=Projects!$C$6),Projects!$B$6*Projects!$I$6,0)+IF(AND(Projects!$G$7="Yes",Projects!$F$7="Yes",34=Projects!$C$7),Projects!$B$7*Projects!$I$7,0)+IF(AND(Projects!$G$8="Yes",Projects!$F$8="Yes",34=Projects!$C$8),Projects!$B$8*Projects!$I$8,0)+IF(AND(Projects!$G$9="Yes",Projects!$F$9="Yes",34=Projects!$C$9),Projects!$B$9*Projects!$I$9,0)+IF(AND(Projects!$G$10="Yes",Projects!$F$10="Yes",34=Projects!$C$10),Projects!$B$10*Projects!$I$10,0)+IF(AND(Projects!$G$11="Yes",Projects!$F$11="Yes",34=Projects!$C$11),Projects!$B$11*Projects!$I$11,0)+IF(AND(Projects!$G$12="Yes",Projects!$F$12="Yes",34=Projects!$C$12),Projects!$B$12*Projects!$I$12,0)+IF(AND(Projects!$G$13="Yes",Projects!$F$13="Yes",34=Projects!$C$13),Projects!$B$13*Projects!$I$13,0)+IF(AND(Projects!$G$14="Yes",Projects!$F$14="Yes",34=Projects!$C$14),Projects!$B$14*Projects!$I$14,0)+IF(AND(Projects!$G$15="Yes",Projects!$F$15="Yes",34=Projects!$C$15),Projects!$B$15*Projects!$I$15,0)+IF(AND(Projects!$G$16="Yes",Projects!$F$16="Yes",34=Projects!$C$16),Projects!$B$16*Projects!$I$16,0)+IF(AND(Projects!$G$7="Yes",34=Projects!$C$7),Assumptions!$D$18,0)),Actuals!AM16)</f>
        <v>-0</v>
      </c>
      <c r="AM106" s="14" t="n">
        <f aca="false">IF(ISBLANK(Actuals!AN16),-(IF(AND(Projects!$G$6="Yes",Projects!$F$6="Yes",35=Projects!$C$6),Projects!$B$6*Projects!$I$6,0)+IF(AND(Projects!$G$7="Yes",Projects!$F$7="Yes",35=Projects!$C$7),Projects!$B$7*Projects!$I$7,0)+IF(AND(Projects!$G$8="Yes",Projects!$F$8="Yes",35=Projects!$C$8),Projects!$B$8*Projects!$I$8,0)+IF(AND(Projects!$G$9="Yes",Projects!$F$9="Yes",35=Projects!$C$9),Projects!$B$9*Projects!$I$9,0)+IF(AND(Projects!$G$10="Yes",Projects!$F$10="Yes",35=Projects!$C$10),Projects!$B$10*Projects!$I$10,0)+IF(AND(Projects!$G$11="Yes",Projects!$F$11="Yes",35=Projects!$C$11),Projects!$B$11*Projects!$I$11,0)+IF(AND(Projects!$G$12="Yes",Projects!$F$12="Yes",35=Projects!$C$12),Projects!$B$12*Projects!$I$12,0)+IF(AND(Projects!$G$13="Yes",Projects!$F$13="Yes",35=Projects!$C$13),Projects!$B$13*Projects!$I$13,0)+IF(AND(Projects!$G$14="Yes",Projects!$F$14="Yes",35=Projects!$C$14),Projects!$B$14*Projects!$I$14,0)+IF(AND(Projects!$G$15="Yes",Projects!$F$15="Yes",35=Projects!$C$15),Projects!$B$15*Projects!$I$15,0)+IF(AND(Projects!$G$16="Yes",Projects!$F$16="Yes",35=Projects!$C$16),Projects!$B$16*Projects!$I$16,0)+IF(AND(Projects!$G$7="Yes",35=Projects!$C$7),Assumptions!$D$18,0)),Actuals!AN16)</f>
        <v>-0</v>
      </c>
      <c r="AN106" s="14" t="n">
        <f aca="false">IF(ISBLANK(Actuals!AO16),-(IF(AND(Projects!$G$6="Yes",Projects!$F$6="Yes",36=Projects!$C$6),Projects!$B$6*Projects!$I$6,0)+IF(AND(Projects!$G$7="Yes",Projects!$F$7="Yes",36=Projects!$C$7),Projects!$B$7*Projects!$I$7,0)+IF(AND(Projects!$G$8="Yes",Projects!$F$8="Yes",36=Projects!$C$8),Projects!$B$8*Projects!$I$8,0)+IF(AND(Projects!$G$9="Yes",Projects!$F$9="Yes",36=Projects!$C$9),Projects!$B$9*Projects!$I$9,0)+IF(AND(Projects!$G$10="Yes",Projects!$F$10="Yes",36=Projects!$C$10),Projects!$B$10*Projects!$I$10,0)+IF(AND(Projects!$G$11="Yes",Projects!$F$11="Yes",36=Projects!$C$11),Projects!$B$11*Projects!$I$11,0)+IF(AND(Projects!$G$12="Yes",Projects!$F$12="Yes",36=Projects!$C$12),Projects!$B$12*Projects!$I$12,0)+IF(AND(Projects!$G$13="Yes",Projects!$F$13="Yes",36=Projects!$C$13),Projects!$B$13*Projects!$I$13,0)+IF(AND(Projects!$G$14="Yes",Projects!$F$14="Yes",36=Projects!$C$14),Projects!$B$14*Projects!$I$14,0)+IF(AND(Projects!$G$15="Yes",Projects!$F$15="Yes",36=Projects!$C$15),Projects!$B$15*Projects!$I$15,0)+IF(AND(Projects!$G$16="Yes",Projects!$F$16="Yes",36=Projects!$C$16),Projects!$B$16*Projects!$I$16,0)+IF(AND(Projects!$G$7="Yes",36=Projects!$C$7),Assumptions!$D$18,0)),Actuals!AO16)</f>
        <v>-0</v>
      </c>
      <c r="AO106" s="14" t="n">
        <f aca="false">IF(ISBLANK(Actuals!AP16),-(IF(AND(Projects!$G$6="Yes",Projects!$F$6="Yes",37=Projects!$C$6),Projects!$B$6*Projects!$I$6,0)+IF(AND(Projects!$G$7="Yes",Projects!$F$7="Yes",37=Projects!$C$7),Projects!$B$7*Projects!$I$7,0)+IF(AND(Projects!$G$8="Yes",Projects!$F$8="Yes",37=Projects!$C$8),Projects!$B$8*Projects!$I$8,0)+IF(AND(Projects!$G$9="Yes",Projects!$F$9="Yes",37=Projects!$C$9),Projects!$B$9*Projects!$I$9,0)+IF(AND(Projects!$G$10="Yes",Projects!$F$10="Yes",37=Projects!$C$10),Projects!$B$10*Projects!$I$10,0)+IF(AND(Projects!$G$11="Yes",Projects!$F$11="Yes",37=Projects!$C$11),Projects!$B$11*Projects!$I$11,0)+IF(AND(Projects!$G$12="Yes",Projects!$F$12="Yes",37=Projects!$C$12),Projects!$B$12*Projects!$I$12,0)+IF(AND(Projects!$G$13="Yes",Projects!$F$13="Yes",37=Projects!$C$13),Projects!$B$13*Projects!$I$13,0)+IF(AND(Projects!$G$14="Yes",Projects!$F$14="Yes",37=Projects!$C$14),Projects!$B$14*Projects!$I$14,0)+IF(AND(Projects!$G$15="Yes",Projects!$F$15="Yes",37=Projects!$C$15),Projects!$B$15*Projects!$I$15,0)+IF(AND(Projects!$G$16="Yes",Projects!$F$16="Yes",37=Projects!$C$16),Projects!$B$16*Projects!$I$16,0)+IF(AND(Projects!$G$7="Yes",37=Projects!$C$7),Assumptions!$D$18,0)),Actuals!AP16)</f>
        <v>-0</v>
      </c>
      <c r="AP106" s="14" t="n">
        <f aca="false">IF(ISBLANK(Actuals!AQ16),-(IF(AND(Projects!$G$6="Yes",Projects!$F$6="Yes",38=Projects!$C$6),Projects!$B$6*Projects!$I$6,0)+IF(AND(Projects!$G$7="Yes",Projects!$F$7="Yes",38=Projects!$C$7),Projects!$B$7*Projects!$I$7,0)+IF(AND(Projects!$G$8="Yes",Projects!$F$8="Yes",38=Projects!$C$8),Projects!$B$8*Projects!$I$8,0)+IF(AND(Projects!$G$9="Yes",Projects!$F$9="Yes",38=Projects!$C$9),Projects!$B$9*Projects!$I$9,0)+IF(AND(Projects!$G$10="Yes",Projects!$F$10="Yes",38=Projects!$C$10),Projects!$B$10*Projects!$I$10,0)+IF(AND(Projects!$G$11="Yes",Projects!$F$11="Yes",38=Projects!$C$11),Projects!$B$11*Projects!$I$11,0)+IF(AND(Projects!$G$12="Yes",Projects!$F$12="Yes",38=Projects!$C$12),Projects!$B$12*Projects!$I$12,0)+IF(AND(Projects!$G$13="Yes",Projects!$F$13="Yes",38=Projects!$C$13),Projects!$B$13*Projects!$I$13,0)+IF(AND(Projects!$G$14="Yes",Projects!$F$14="Yes",38=Projects!$C$14),Projects!$B$14*Projects!$I$14,0)+IF(AND(Projects!$G$15="Yes",Projects!$F$15="Yes",38=Projects!$C$15),Projects!$B$15*Projects!$I$15,0)+IF(AND(Projects!$G$16="Yes",Projects!$F$16="Yes",38=Projects!$C$16),Projects!$B$16*Projects!$I$16,0)+IF(AND(Projects!$G$7="Yes",38=Projects!$C$7),Assumptions!$D$18,0)),Actuals!AQ16)</f>
        <v>-0</v>
      </c>
      <c r="AQ106" s="14" t="n">
        <f aca="false">IF(ISBLANK(Actuals!AR16),-(IF(AND(Projects!$G$6="Yes",Projects!$F$6="Yes",39=Projects!$C$6),Projects!$B$6*Projects!$I$6,0)+IF(AND(Projects!$G$7="Yes",Projects!$F$7="Yes",39=Projects!$C$7),Projects!$B$7*Projects!$I$7,0)+IF(AND(Projects!$G$8="Yes",Projects!$F$8="Yes",39=Projects!$C$8),Projects!$B$8*Projects!$I$8,0)+IF(AND(Projects!$G$9="Yes",Projects!$F$9="Yes",39=Projects!$C$9),Projects!$B$9*Projects!$I$9,0)+IF(AND(Projects!$G$10="Yes",Projects!$F$10="Yes",39=Projects!$C$10),Projects!$B$10*Projects!$I$10,0)+IF(AND(Projects!$G$11="Yes",Projects!$F$11="Yes",39=Projects!$C$11),Projects!$B$11*Projects!$I$11,0)+IF(AND(Projects!$G$12="Yes",Projects!$F$12="Yes",39=Projects!$C$12),Projects!$B$12*Projects!$I$12,0)+IF(AND(Projects!$G$13="Yes",Projects!$F$13="Yes",39=Projects!$C$13),Projects!$B$13*Projects!$I$13,0)+IF(AND(Projects!$G$14="Yes",Projects!$F$14="Yes",39=Projects!$C$14),Projects!$B$14*Projects!$I$14,0)+IF(AND(Projects!$G$15="Yes",Projects!$F$15="Yes",39=Projects!$C$15),Projects!$B$15*Projects!$I$15,0)+IF(AND(Projects!$G$16="Yes",Projects!$F$16="Yes",39=Projects!$C$16),Projects!$B$16*Projects!$I$16,0)+IF(AND(Projects!$G$7="Yes",39=Projects!$C$7),Assumptions!$D$18,0)),Actuals!AR16)</f>
        <v>-0</v>
      </c>
      <c r="AR106" s="14" t="n">
        <f aca="false">IF(ISBLANK(Actuals!AS16),-(IF(AND(Projects!$G$6="Yes",Projects!$F$6="Yes",40=Projects!$C$6),Projects!$B$6*Projects!$I$6,0)+IF(AND(Projects!$G$7="Yes",Projects!$F$7="Yes",40=Projects!$C$7),Projects!$B$7*Projects!$I$7,0)+IF(AND(Projects!$G$8="Yes",Projects!$F$8="Yes",40=Projects!$C$8),Projects!$B$8*Projects!$I$8,0)+IF(AND(Projects!$G$9="Yes",Projects!$F$9="Yes",40=Projects!$C$9),Projects!$B$9*Projects!$I$9,0)+IF(AND(Projects!$G$10="Yes",Projects!$F$10="Yes",40=Projects!$C$10),Projects!$B$10*Projects!$I$10,0)+IF(AND(Projects!$G$11="Yes",Projects!$F$11="Yes",40=Projects!$C$11),Projects!$B$11*Projects!$I$11,0)+IF(AND(Projects!$G$12="Yes",Projects!$F$12="Yes",40=Projects!$C$12),Projects!$B$12*Projects!$I$12,0)+IF(AND(Projects!$G$13="Yes",Projects!$F$13="Yes",40=Projects!$C$13),Projects!$B$13*Projects!$I$13,0)+IF(AND(Projects!$G$14="Yes",Projects!$F$14="Yes",40=Projects!$C$14),Projects!$B$14*Projects!$I$14,0)+IF(AND(Projects!$G$15="Yes",Projects!$F$15="Yes",40=Projects!$C$15),Projects!$B$15*Projects!$I$15,0)+IF(AND(Projects!$G$16="Yes",Projects!$F$16="Yes",40=Projects!$C$16),Projects!$B$16*Projects!$I$16,0)+IF(AND(Projects!$G$7="Yes",40=Projects!$C$7),Assumptions!$D$18,0)),Actuals!AS16)</f>
        <v>-0</v>
      </c>
      <c r="AS106" s="14" t="n">
        <f aca="false">IF(ISBLANK(Actuals!AT16),-(IF(AND(Projects!$G$6="Yes",Projects!$F$6="Yes",41=Projects!$C$6),Projects!$B$6*Projects!$I$6,0)+IF(AND(Projects!$G$7="Yes",Projects!$F$7="Yes",41=Projects!$C$7),Projects!$B$7*Projects!$I$7,0)+IF(AND(Projects!$G$8="Yes",Projects!$F$8="Yes",41=Projects!$C$8),Projects!$B$8*Projects!$I$8,0)+IF(AND(Projects!$G$9="Yes",Projects!$F$9="Yes",41=Projects!$C$9),Projects!$B$9*Projects!$I$9,0)+IF(AND(Projects!$G$10="Yes",Projects!$F$10="Yes",41=Projects!$C$10),Projects!$B$10*Projects!$I$10,0)+IF(AND(Projects!$G$11="Yes",Projects!$F$11="Yes",41=Projects!$C$11),Projects!$B$11*Projects!$I$11,0)+IF(AND(Projects!$G$12="Yes",Projects!$F$12="Yes",41=Projects!$C$12),Projects!$B$12*Projects!$I$12,0)+IF(AND(Projects!$G$13="Yes",Projects!$F$13="Yes",41=Projects!$C$13),Projects!$B$13*Projects!$I$13,0)+IF(AND(Projects!$G$14="Yes",Projects!$F$14="Yes",41=Projects!$C$14),Projects!$B$14*Projects!$I$14,0)+IF(AND(Projects!$G$15="Yes",Projects!$F$15="Yes",41=Projects!$C$15),Projects!$B$15*Projects!$I$15,0)+IF(AND(Projects!$G$16="Yes",Projects!$F$16="Yes",41=Projects!$C$16),Projects!$B$16*Projects!$I$16,0)+IF(AND(Projects!$G$7="Yes",41=Projects!$C$7),Assumptions!$D$18,0)),Actuals!AT16)</f>
        <v>-0</v>
      </c>
      <c r="AT106" s="14" t="n">
        <f aca="false">IF(ISBLANK(Actuals!AU16),-(IF(AND(Projects!$G$6="Yes",Projects!$F$6="Yes",42=Projects!$C$6),Projects!$B$6*Projects!$I$6,0)+IF(AND(Projects!$G$7="Yes",Projects!$F$7="Yes",42=Projects!$C$7),Projects!$B$7*Projects!$I$7,0)+IF(AND(Projects!$G$8="Yes",Projects!$F$8="Yes",42=Projects!$C$8),Projects!$B$8*Projects!$I$8,0)+IF(AND(Projects!$G$9="Yes",Projects!$F$9="Yes",42=Projects!$C$9),Projects!$B$9*Projects!$I$9,0)+IF(AND(Projects!$G$10="Yes",Projects!$F$10="Yes",42=Projects!$C$10),Projects!$B$10*Projects!$I$10,0)+IF(AND(Projects!$G$11="Yes",Projects!$F$11="Yes",42=Projects!$C$11),Projects!$B$11*Projects!$I$11,0)+IF(AND(Projects!$G$12="Yes",Projects!$F$12="Yes",42=Projects!$C$12),Projects!$B$12*Projects!$I$12,0)+IF(AND(Projects!$G$13="Yes",Projects!$F$13="Yes",42=Projects!$C$13),Projects!$B$13*Projects!$I$13,0)+IF(AND(Projects!$G$14="Yes",Projects!$F$14="Yes",42=Projects!$C$14),Projects!$B$14*Projects!$I$14,0)+IF(AND(Projects!$G$15="Yes",Projects!$F$15="Yes",42=Projects!$C$15),Projects!$B$15*Projects!$I$15,0)+IF(AND(Projects!$G$16="Yes",Projects!$F$16="Yes",42=Projects!$C$16),Projects!$B$16*Projects!$I$16,0)+IF(AND(Projects!$G$7="Yes",42=Projects!$C$7),Assumptions!$D$18,0)),Actuals!AU16)</f>
        <v>-0</v>
      </c>
      <c r="AU106" s="14" t="n">
        <f aca="false">IF(ISBLANK(Actuals!AV16),-(IF(AND(Projects!$G$6="Yes",Projects!$F$6="Yes",43=Projects!$C$6),Projects!$B$6*Projects!$I$6,0)+IF(AND(Projects!$G$7="Yes",Projects!$F$7="Yes",43=Projects!$C$7),Projects!$B$7*Projects!$I$7,0)+IF(AND(Projects!$G$8="Yes",Projects!$F$8="Yes",43=Projects!$C$8),Projects!$B$8*Projects!$I$8,0)+IF(AND(Projects!$G$9="Yes",Projects!$F$9="Yes",43=Projects!$C$9),Projects!$B$9*Projects!$I$9,0)+IF(AND(Projects!$G$10="Yes",Projects!$F$10="Yes",43=Projects!$C$10),Projects!$B$10*Projects!$I$10,0)+IF(AND(Projects!$G$11="Yes",Projects!$F$11="Yes",43=Projects!$C$11),Projects!$B$11*Projects!$I$11,0)+IF(AND(Projects!$G$12="Yes",Projects!$F$12="Yes",43=Projects!$C$12),Projects!$B$12*Projects!$I$12,0)+IF(AND(Projects!$G$13="Yes",Projects!$F$13="Yes",43=Projects!$C$13),Projects!$B$13*Projects!$I$13,0)+IF(AND(Projects!$G$14="Yes",Projects!$F$14="Yes",43=Projects!$C$14),Projects!$B$14*Projects!$I$14,0)+IF(AND(Projects!$G$15="Yes",Projects!$F$15="Yes",43=Projects!$C$15),Projects!$B$15*Projects!$I$15,0)+IF(AND(Projects!$G$16="Yes",Projects!$F$16="Yes",43=Projects!$C$16),Projects!$B$16*Projects!$I$16,0)+IF(AND(Projects!$G$7="Yes",43=Projects!$C$7),Assumptions!$D$18,0)),Actuals!AV16)</f>
        <v>-0</v>
      </c>
      <c r="AV106" s="14" t="n">
        <f aca="false">IF(ISBLANK(Actuals!AW16),-(IF(AND(Projects!$G$6="Yes",Projects!$F$6="Yes",44=Projects!$C$6),Projects!$B$6*Projects!$I$6,0)+IF(AND(Projects!$G$7="Yes",Projects!$F$7="Yes",44=Projects!$C$7),Projects!$B$7*Projects!$I$7,0)+IF(AND(Projects!$G$8="Yes",Projects!$F$8="Yes",44=Projects!$C$8),Projects!$B$8*Projects!$I$8,0)+IF(AND(Projects!$G$9="Yes",Projects!$F$9="Yes",44=Projects!$C$9),Projects!$B$9*Projects!$I$9,0)+IF(AND(Projects!$G$10="Yes",Projects!$F$10="Yes",44=Projects!$C$10),Projects!$B$10*Projects!$I$10,0)+IF(AND(Projects!$G$11="Yes",Projects!$F$11="Yes",44=Projects!$C$11),Projects!$B$11*Projects!$I$11,0)+IF(AND(Projects!$G$12="Yes",Projects!$F$12="Yes",44=Projects!$C$12),Projects!$B$12*Projects!$I$12,0)+IF(AND(Projects!$G$13="Yes",Projects!$F$13="Yes",44=Projects!$C$13),Projects!$B$13*Projects!$I$13,0)+IF(AND(Projects!$G$14="Yes",Projects!$F$14="Yes",44=Projects!$C$14),Projects!$B$14*Projects!$I$14,0)+IF(AND(Projects!$G$15="Yes",Projects!$F$15="Yes",44=Projects!$C$15),Projects!$B$15*Projects!$I$15,0)+IF(AND(Projects!$G$16="Yes",Projects!$F$16="Yes",44=Projects!$C$16),Projects!$B$16*Projects!$I$16,0)+IF(AND(Projects!$G$7="Yes",44=Projects!$C$7),Assumptions!$D$18,0)),Actuals!AW16)</f>
        <v>-0</v>
      </c>
      <c r="AW106" s="14" t="n">
        <f aca="false">IF(ISBLANK(Actuals!AX16),-(IF(AND(Projects!$G$6="Yes",Projects!$F$6="Yes",45=Projects!$C$6),Projects!$B$6*Projects!$I$6,0)+IF(AND(Projects!$G$7="Yes",Projects!$F$7="Yes",45=Projects!$C$7),Projects!$B$7*Projects!$I$7,0)+IF(AND(Projects!$G$8="Yes",Projects!$F$8="Yes",45=Projects!$C$8),Projects!$B$8*Projects!$I$8,0)+IF(AND(Projects!$G$9="Yes",Projects!$F$9="Yes",45=Projects!$C$9),Projects!$B$9*Projects!$I$9,0)+IF(AND(Projects!$G$10="Yes",Projects!$F$10="Yes",45=Projects!$C$10),Projects!$B$10*Projects!$I$10,0)+IF(AND(Projects!$G$11="Yes",Projects!$F$11="Yes",45=Projects!$C$11),Projects!$B$11*Projects!$I$11,0)+IF(AND(Projects!$G$12="Yes",Projects!$F$12="Yes",45=Projects!$C$12),Projects!$B$12*Projects!$I$12,0)+IF(AND(Projects!$G$13="Yes",Projects!$F$13="Yes",45=Projects!$C$13),Projects!$B$13*Projects!$I$13,0)+IF(AND(Projects!$G$14="Yes",Projects!$F$14="Yes",45=Projects!$C$14),Projects!$B$14*Projects!$I$14,0)+IF(AND(Projects!$G$15="Yes",Projects!$F$15="Yes",45=Projects!$C$15),Projects!$B$15*Projects!$I$15,0)+IF(AND(Projects!$G$16="Yes",Projects!$F$16="Yes",45=Projects!$C$16),Projects!$B$16*Projects!$I$16,0)+IF(AND(Projects!$G$7="Yes",45=Projects!$C$7),Assumptions!$D$18,0)),Actuals!AX16)</f>
        <v>-0</v>
      </c>
      <c r="AX106" s="14" t="n">
        <f aca="false">IF(ISBLANK(Actuals!AY16),-(IF(AND(Projects!$G$6="Yes",Projects!$F$6="Yes",46=Projects!$C$6),Projects!$B$6*Projects!$I$6,0)+IF(AND(Projects!$G$7="Yes",Projects!$F$7="Yes",46=Projects!$C$7),Projects!$B$7*Projects!$I$7,0)+IF(AND(Projects!$G$8="Yes",Projects!$F$8="Yes",46=Projects!$C$8),Projects!$B$8*Projects!$I$8,0)+IF(AND(Projects!$G$9="Yes",Projects!$F$9="Yes",46=Projects!$C$9),Projects!$B$9*Projects!$I$9,0)+IF(AND(Projects!$G$10="Yes",Projects!$F$10="Yes",46=Projects!$C$10),Projects!$B$10*Projects!$I$10,0)+IF(AND(Projects!$G$11="Yes",Projects!$F$11="Yes",46=Projects!$C$11),Projects!$B$11*Projects!$I$11,0)+IF(AND(Projects!$G$12="Yes",Projects!$F$12="Yes",46=Projects!$C$12),Projects!$B$12*Projects!$I$12,0)+IF(AND(Projects!$G$13="Yes",Projects!$F$13="Yes",46=Projects!$C$13),Projects!$B$13*Projects!$I$13,0)+IF(AND(Projects!$G$14="Yes",Projects!$F$14="Yes",46=Projects!$C$14),Projects!$B$14*Projects!$I$14,0)+IF(AND(Projects!$G$15="Yes",Projects!$F$15="Yes",46=Projects!$C$15),Projects!$B$15*Projects!$I$15,0)+IF(AND(Projects!$G$16="Yes",Projects!$F$16="Yes",46=Projects!$C$16),Projects!$B$16*Projects!$I$16,0)+IF(AND(Projects!$G$7="Yes",46=Projects!$C$7),Assumptions!$D$18,0)),Actuals!AY16)</f>
        <v>-0</v>
      </c>
      <c r="AY106" s="14" t="n">
        <f aca="false">IF(ISBLANK(Actuals!AZ16),-(IF(AND(Projects!$G$6="Yes",Projects!$F$6="Yes",47=Projects!$C$6),Projects!$B$6*Projects!$I$6,0)+IF(AND(Projects!$G$7="Yes",Projects!$F$7="Yes",47=Projects!$C$7),Projects!$B$7*Projects!$I$7,0)+IF(AND(Projects!$G$8="Yes",Projects!$F$8="Yes",47=Projects!$C$8),Projects!$B$8*Projects!$I$8,0)+IF(AND(Projects!$G$9="Yes",Projects!$F$9="Yes",47=Projects!$C$9),Projects!$B$9*Projects!$I$9,0)+IF(AND(Projects!$G$10="Yes",Projects!$F$10="Yes",47=Projects!$C$10),Projects!$B$10*Projects!$I$10,0)+IF(AND(Projects!$G$11="Yes",Projects!$F$11="Yes",47=Projects!$C$11),Projects!$B$11*Projects!$I$11,0)+IF(AND(Projects!$G$12="Yes",Projects!$F$12="Yes",47=Projects!$C$12),Projects!$B$12*Projects!$I$12,0)+IF(AND(Projects!$G$13="Yes",Projects!$F$13="Yes",47=Projects!$C$13),Projects!$B$13*Projects!$I$13,0)+IF(AND(Projects!$G$14="Yes",Projects!$F$14="Yes",47=Projects!$C$14),Projects!$B$14*Projects!$I$14,0)+IF(AND(Projects!$G$15="Yes",Projects!$F$15="Yes",47=Projects!$C$15),Projects!$B$15*Projects!$I$15,0)+IF(AND(Projects!$G$16="Yes",Projects!$F$16="Yes",47=Projects!$C$16),Projects!$B$16*Projects!$I$16,0)+IF(AND(Projects!$G$7="Yes",47=Projects!$C$7),Assumptions!$D$18,0)),Actuals!AZ16)</f>
        <v>-0</v>
      </c>
      <c r="AZ106" s="14" t="n">
        <f aca="false">IF(ISBLANK(Actuals!BA16),-(IF(AND(Projects!$G$6="Yes",Projects!$F$6="Yes",48=Projects!$C$6),Projects!$B$6*Projects!$I$6,0)+IF(AND(Projects!$G$7="Yes",Projects!$F$7="Yes",48=Projects!$C$7),Projects!$B$7*Projects!$I$7,0)+IF(AND(Projects!$G$8="Yes",Projects!$F$8="Yes",48=Projects!$C$8),Projects!$B$8*Projects!$I$8,0)+IF(AND(Projects!$G$9="Yes",Projects!$F$9="Yes",48=Projects!$C$9),Projects!$B$9*Projects!$I$9,0)+IF(AND(Projects!$G$10="Yes",Projects!$F$10="Yes",48=Projects!$C$10),Projects!$B$10*Projects!$I$10,0)+IF(AND(Projects!$G$11="Yes",Projects!$F$11="Yes",48=Projects!$C$11),Projects!$B$11*Projects!$I$11,0)+IF(AND(Projects!$G$12="Yes",Projects!$F$12="Yes",48=Projects!$C$12),Projects!$B$12*Projects!$I$12,0)+IF(AND(Projects!$G$13="Yes",Projects!$F$13="Yes",48=Projects!$C$13),Projects!$B$13*Projects!$I$13,0)+IF(AND(Projects!$G$14="Yes",Projects!$F$14="Yes",48=Projects!$C$14),Projects!$B$14*Projects!$I$14,0)+IF(AND(Projects!$G$15="Yes",Projects!$F$15="Yes",48=Projects!$C$15),Projects!$B$15*Projects!$I$15,0)+IF(AND(Projects!$G$16="Yes",Projects!$F$16="Yes",48=Projects!$C$16),Projects!$B$16*Projects!$I$16,0)+IF(AND(Projects!$G$7="Yes",48=Projects!$C$7),Assumptions!$D$18,0)),Actuals!BA16)</f>
        <v>-0</v>
      </c>
      <c r="BA106" s="14" t="n">
        <f aca="false">IF(ISBLANK(Actuals!BB16),-(IF(AND(Projects!$G$6="Yes",Projects!$F$6="Yes",49=Projects!$C$6),Projects!$B$6*Projects!$I$6,0)+IF(AND(Projects!$G$7="Yes",Projects!$F$7="Yes",49=Projects!$C$7),Projects!$B$7*Projects!$I$7,0)+IF(AND(Projects!$G$8="Yes",Projects!$F$8="Yes",49=Projects!$C$8),Projects!$B$8*Projects!$I$8,0)+IF(AND(Projects!$G$9="Yes",Projects!$F$9="Yes",49=Projects!$C$9),Projects!$B$9*Projects!$I$9,0)+IF(AND(Projects!$G$10="Yes",Projects!$F$10="Yes",49=Projects!$C$10),Projects!$B$10*Projects!$I$10,0)+IF(AND(Projects!$G$11="Yes",Projects!$F$11="Yes",49=Projects!$C$11),Projects!$B$11*Projects!$I$11,0)+IF(AND(Projects!$G$12="Yes",Projects!$F$12="Yes",49=Projects!$C$12),Projects!$B$12*Projects!$I$12,0)+IF(AND(Projects!$G$13="Yes",Projects!$F$13="Yes",49=Projects!$C$13),Projects!$B$13*Projects!$I$13,0)+IF(AND(Projects!$G$14="Yes",Projects!$F$14="Yes",49=Projects!$C$14),Projects!$B$14*Projects!$I$14,0)+IF(AND(Projects!$G$15="Yes",Projects!$F$15="Yes",49=Projects!$C$15),Projects!$B$15*Projects!$I$15,0)+IF(AND(Projects!$G$16="Yes",Projects!$F$16="Yes",49=Projects!$C$16),Projects!$B$16*Projects!$I$16,0)+IF(AND(Projects!$G$7="Yes",49=Projects!$C$7),Assumptions!$D$18,0)),Actuals!BB16)</f>
        <v>-0</v>
      </c>
      <c r="BB106" s="14" t="n">
        <f aca="false">IF(ISBLANK(Actuals!BC16),-(IF(AND(Projects!$G$6="Yes",Projects!$F$6="Yes",50=Projects!$C$6),Projects!$B$6*Projects!$I$6,0)+IF(AND(Projects!$G$7="Yes",Projects!$F$7="Yes",50=Projects!$C$7),Projects!$B$7*Projects!$I$7,0)+IF(AND(Projects!$G$8="Yes",Projects!$F$8="Yes",50=Projects!$C$8),Projects!$B$8*Projects!$I$8,0)+IF(AND(Projects!$G$9="Yes",Projects!$F$9="Yes",50=Projects!$C$9),Projects!$B$9*Projects!$I$9,0)+IF(AND(Projects!$G$10="Yes",Projects!$F$10="Yes",50=Projects!$C$10),Projects!$B$10*Projects!$I$10,0)+IF(AND(Projects!$G$11="Yes",Projects!$F$11="Yes",50=Projects!$C$11),Projects!$B$11*Projects!$I$11,0)+IF(AND(Projects!$G$12="Yes",Projects!$F$12="Yes",50=Projects!$C$12),Projects!$B$12*Projects!$I$12,0)+IF(AND(Projects!$G$13="Yes",Projects!$F$13="Yes",50=Projects!$C$13),Projects!$B$13*Projects!$I$13,0)+IF(AND(Projects!$G$14="Yes",Projects!$F$14="Yes",50=Projects!$C$14),Projects!$B$14*Projects!$I$14,0)+IF(AND(Projects!$G$15="Yes",Projects!$F$15="Yes",50=Projects!$C$15),Projects!$B$15*Projects!$I$15,0)+IF(AND(Projects!$G$16="Yes",Projects!$F$16="Yes",50=Projects!$C$16),Projects!$B$16*Projects!$I$16,0)+IF(AND(Projects!$G$7="Yes",50=Projects!$C$7),Assumptions!$D$18,0)),Actuals!BC16)</f>
        <v>-0</v>
      </c>
      <c r="BC106" s="14" t="n">
        <f aca="false">IF(ISBLANK(Actuals!BD16),-(IF(AND(Projects!$G$6="Yes",Projects!$F$6="Yes",51=Projects!$C$6),Projects!$B$6*Projects!$I$6,0)+IF(AND(Projects!$G$7="Yes",Projects!$F$7="Yes",51=Projects!$C$7),Projects!$B$7*Projects!$I$7,0)+IF(AND(Projects!$G$8="Yes",Projects!$F$8="Yes",51=Projects!$C$8),Projects!$B$8*Projects!$I$8,0)+IF(AND(Projects!$G$9="Yes",Projects!$F$9="Yes",51=Projects!$C$9),Projects!$B$9*Projects!$I$9,0)+IF(AND(Projects!$G$10="Yes",Projects!$F$10="Yes",51=Projects!$C$10),Projects!$B$10*Projects!$I$10,0)+IF(AND(Projects!$G$11="Yes",Projects!$F$11="Yes",51=Projects!$C$11),Projects!$B$11*Projects!$I$11,0)+IF(AND(Projects!$G$12="Yes",Projects!$F$12="Yes",51=Projects!$C$12),Projects!$B$12*Projects!$I$12,0)+IF(AND(Projects!$G$13="Yes",Projects!$F$13="Yes",51=Projects!$C$13),Projects!$B$13*Projects!$I$13,0)+IF(AND(Projects!$G$14="Yes",Projects!$F$14="Yes",51=Projects!$C$14),Projects!$B$14*Projects!$I$14,0)+IF(AND(Projects!$G$15="Yes",Projects!$F$15="Yes",51=Projects!$C$15),Projects!$B$15*Projects!$I$15,0)+IF(AND(Projects!$G$16="Yes",Projects!$F$16="Yes",51=Projects!$C$16),Projects!$B$16*Projects!$I$16,0)+IF(AND(Projects!$G$7="Yes",51=Projects!$C$7),Assumptions!$D$18,0)),Actuals!BD16)</f>
        <v>-0</v>
      </c>
      <c r="BD106" s="14" t="n">
        <f aca="false">IF(ISBLANK(Actuals!BE16),-(IF(AND(Projects!$G$6="Yes",Projects!$F$6="Yes",52=Projects!$C$6),Projects!$B$6*Projects!$I$6,0)+IF(AND(Projects!$G$7="Yes",Projects!$F$7="Yes",52=Projects!$C$7),Projects!$B$7*Projects!$I$7,0)+IF(AND(Projects!$G$8="Yes",Projects!$F$8="Yes",52=Projects!$C$8),Projects!$B$8*Projects!$I$8,0)+IF(AND(Projects!$G$9="Yes",Projects!$F$9="Yes",52=Projects!$C$9),Projects!$B$9*Projects!$I$9,0)+IF(AND(Projects!$G$10="Yes",Projects!$F$10="Yes",52=Projects!$C$10),Projects!$B$10*Projects!$I$10,0)+IF(AND(Projects!$G$11="Yes",Projects!$F$11="Yes",52=Projects!$C$11),Projects!$B$11*Projects!$I$11,0)+IF(AND(Projects!$G$12="Yes",Projects!$F$12="Yes",52=Projects!$C$12),Projects!$B$12*Projects!$I$12,0)+IF(AND(Projects!$G$13="Yes",Projects!$F$13="Yes",52=Projects!$C$13),Projects!$B$13*Projects!$I$13,0)+IF(AND(Projects!$G$14="Yes",Projects!$F$14="Yes",52=Projects!$C$14),Projects!$B$14*Projects!$I$14,0)+IF(AND(Projects!$G$15="Yes",Projects!$F$15="Yes",52=Projects!$C$15),Projects!$B$15*Projects!$I$15,0)+IF(AND(Projects!$G$16="Yes",Projects!$F$16="Yes",52=Projects!$C$16),Projects!$B$16*Projects!$I$16,0)+IF(AND(Projects!$G$7="Yes",52=Projects!$C$7),Assumptions!$D$18,0)),Actuals!BE16)</f>
        <v>-0</v>
      </c>
      <c r="BE106" s="14" t="n">
        <f aca="false">IF(ISBLANK(Actuals!BF16),-(IF(AND(Projects!$G$6="Yes",Projects!$F$6="Yes",53=Projects!$C$6),Projects!$B$6*Projects!$I$6,0)+IF(AND(Projects!$G$7="Yes",Projects!$F$7="Yes",53=Projects!$C$7),Projects!$B$7*Projects!$I$7,0)+IF(AND(Projects!$G$8="Yes",Projects!$F$8="Yes",53=Projects!$C$8),Projects!$B$8*Projects!$I$8,0)+IF(AND(Projects!$G$9="Yes",Projects!$F$9="Yes",53=Projects!$C$9),Projects!$B$9*Projects!$I$9,0)+IF(AND(Projects!$G$10="Yes",Projects!$F$10="Yes",53=Projects!$C$10),Projects!$B$10*Projects!$I$10,0)+IF(AND(Projects!$G$11="Yes",Projects!$F$11="Yes",53=Projects!$C$11),Projects!$B$11*Projects!$I$11,0)+IF(AND(Projects!$G$12="Yes",Projects!$F$12="Yes",53=Projects!$C$12),Projects!$B$12*Projects!$I$12,0)+IF(AND(Projects!$G$13="Yes",Projects!$F$13="Yes",53=Projects!$C$13),Projects!$B$13*Projects!$I$13,0)+IF(AND(Projects!$G$14="Yes",Projects!$F$14="Yes",53=Projects!$C$14),Projects!$B$14*Projects!$I$14,0)+IF(AND(Projects!$G$15="Yes",Projects!$F$15="Yes",53=Projects!$C$15),Projects!$B$15*Projects!$I$15,0)+IF(AND(Projects!$G$16="Yes",Projects!$F$16="Yes",53=Projects!$C$16),Projects!$B$16*Projects!$I$16,0)+IF(AND(Projects!$G$7="Yes",53=Projects!$C$7),Assumptions!$D$18,0)),Actuals!BF16)</f>
        <v>-0</v>
      </c>
      <c r="BF106" s="14" t="n">
        <f aca="false">IF(ISBLANK(Actuals!BG16),-(IF(AND(Projects!$G$6="Yes",Projects!$F$6="Yes",54=Projects!$C$6),Projects!$B$6*Projects!$I$6,0)+IF(AND(Projects!$G$7="Yes",Projects!$F$7="Yes",54=Projects!$C$7),Projects!$B$7*Projects!$I$7,0)+IF(AND(Projects!$G$8="Yes",Projects!$F$8="Yes",54=Projects!$C$8),Projects!$B$8*Projects!$I$8,0)+IF(AND(Projects!$G$9="Yes",Projects!$F$9="Yes",54=Projects!$C$9),Projects!$B$9*Projects!$I$9,0)+IF(AND(Projects!$G$10="Yes",Projects!$F$10="Yes",54=Projects!$C$10),Projects!$B$10*Projects!$I$10,0)+IF(AND(Projects!$G$11="Yes",Projects!$F$11="Yes",54=Projects!$C$11),Projects!$B$11*Projects!$I$11,0)+IF(AND(Projects!$G$12="Yes",Projects!$F$12="Yes",54=Projects!$C$12),Projects!$B$12*Projects!$I$12,0)+IF(AND(Projects!$G$13="Yes",Projects!$F$13="Yes",54=Projects!$C$13),Projects!$B$13*Projects!$I$13,0)+IF(AND(Projects!$G$14="Yes",Projects!$F$14="Yes",54=Projects!$C$14),Projects!$B$14*Projects!$I$14,0)+IF(AND(Projects!$G$15="Yes",Projects!$F$15="Yes",54=Projects!$C$15),Projects!$B$15*Projects!$I$15,0)+IF(AND(Projects!$G$16="Yes",Projects!$F$16="Yes",54=Projects!$C$16),Projects!$B$16*Projects!$I$16,0)+IF(AND(Projects!$G$7="Yes",54=Projects!$C$7),Assumptions!$D$18,0)),Actuals!BG16)</f>
        <v>-0</v>
      </c>
      <c r="BG106" s="14" t="n">
        <f aca="false">IF(ISBLANK(Actuals!BH16),-(IF(AND(Projects!$G$6="Yes",Projects!$F$6="Yes",55=Projects!$C$6),Projects!$B$6*Projects!$I$6,0)+IF(AND(Projects!$G$7="Yes",Projects!$F$7="Yes",55=Projects!$C$7),Projects!$B$7*Projects!$I$7,0)+IF(AND(Projects!$G$8="Yes",Projects!$F$8="Yes",55=Projects!$C$8),Projects!$B$8*Projects!$I$8,0)+IF(AND(Projects!$G$9="Yes",Projects!$F$9="Yes",55=Projects!$C$9),Projects!$B$9*Projects!$I$9,0)+IF(AND(Projects!$G$10="Yes",Projects!$F$10="Yes",55=Projects!$C$10),Projects!$B$10*Projects!$I$10,0)+IF(AND(Projects!$G$11="Yes",Projects!$F$11="Yes",55=Projects!$C$11),Projects!$B$11*Projects!$I$11,0)+IF(AND(Projects!$G$12="Yes",Projects!$F$12="Yes",55=Projects!$C$12),Projects!$B$12*Projects!$I$12,0)+IF(AND(Projects!$G$13="Yes",Projects!$F$13="Yes",55=Projects!$C$13),Projects!$B$13*Projects!$I$13,0)+IF(AND(Projects!$G$14="Yes",Projects!$F$14="Yes",55=Projects!$C$14),Projects!$B$14*Projects!$I$14,0)+IF(AND(Projects!$G$15="Yes",Projects!$F$15="Yes",55=Projects!$C$15),Projects!$B$15*Projects!$I$15,0)+IF(AND(Projects!$G$16="Yes",Projects!$F$16="Yes",55=Projects!$C$16),Projects!$B$16*Projects!$I$16,0)+IF(AND(Projects!$G$7="Yes",55=Projects!$C$7),Assumptions!$D$18,0)),Actuals!BH16)</f>
        <v>-0</v>
      </c>
      <c r="BH106" s="14" t="n">
        <f aca="false">IF(ISBLANK(Actuals!BI16),-(IF(AND(Projects!$G$6="Yes",Projects!$F$6="Yes",56=Projects!$C$6),Projects!$B$6*Projects!$I$6,0)+IF(AND(Projects!$G$7="Yes",Projects!$F$7="Yes",56=Projects!$C$7),Projects!$B$7*Projects!$I$7,0)+IF(AND(Projects!$G$8="Yes",Projects!$F$8="Yes",56=Projects!$C$8),Projects!$B$8*Projects!$I$8,0)+IF(AND(Projects!$G$9="Yes",Projects!$F$9="Yes",56=Projects!$C$9),Projects!$B$9*Projects!$I$9,0)+IF(AND(Projects!$G$10="Yes",Projects!$F$10="Yes",56=Projects!$C$10),Projects!$B$10*Projects!$I$10,0)+IF(AND(Projects!$G$11="Yes",Projects!$F$11="Yes",56=Projects!$C$11),Projects!$B$11*Projects!$I$11,0)+IF(AND(Projects!$G$12="Yes",Projects!$F$12="Yes",56=Projects!$C$12),Projects!$B$12*Projects!$I$12,0)+IF(AND(Projects!$G$13="Yes",Projects!$F$13="Yes",56=Projects!$C$13),Projects!$B$13*Projects!$I$13,0)+IF(AND(Projects!$G$14="Yes",Projects!$F$14="Yes",56=Projects!$C$14),Projects!$B$14*Projects!$I$14,0)+IF(AND(Projects!$G$15="Yes",Projects!$F$15="Yes",56=Projects!$C$15),Projects!$B$15*Projects!$I$15,0)+IF(AND(Projects!$G$16="Yes",Projects!$F$16="Yes",56=Projects!$C$16),Projects!$B$16*Projects!$I$16,0)+IF(AND(Projects!$G$7="Yes",56=Projects!$C$7),Assumptions!$D$18,0)),Actuals!BI16)</f>
        <v>-0</v>
      </c>
      <c r="BI106" s="14" t="n">
        <f aca="false">IF(ISBLANK(Actuals!BJ16),-(IF(AND(Projects!$G$6="Yes",Projects!$F$6="Yes",57=Projects!$C$6),Projects!$B$6*Projects!$I$6,0)+IF(AND(Projects!$G$7="Yes",Projects!$F$7="Yes",57=Projects!$C$7),Projects!$B$7*Projects!$I$7,0)+IF(AND(Projects!$G$8="Yes",Projects!$F$8="Yes",57=Projects!$C$8),Projects!$B$8*Projects!$I$8,0)+IF(AND(Projects!$G$9="Yes",Projects!$F$9="Yes",57=Projects!$C$9),Projects!$B$9*Projects!$I$9,0)+IF(AND(Projects!$G$10="Yes",Projects!$F$10="Yes",57=Projects!$C$10),Projects!$B$10*Projects!$I$10,0)+IF(AND(Projects!$G$11="Yes",Projects!$F$11="Yes",57=Projects!$C$11),Projects!$B$11*Projects!$I$11,0)+IF(AND(Projects!$G$12="Yes",Projects!$F$12="Yes",57=Projects!$C$12),Projects!$B$12*Projects!$I$12,0)+IF(AND(Projects!$G$13="Yes",Projects!$F$13="Yes",57=Projects!$C$13),Projects!$B$13*Projects!$I$13,0)+IF(AND(Projects!$G$14="Yes",Projects!$F$14="Yes",57=Projects!$C$14),Projects!$B$14*Projects!$I$14,0)+IF(AND(Projects!$G$15="Yes",Projects!$F$15="Yes",57=Projects!$C$15),Projects!$B$15*Projects!$I$15,0)+IF(AND(Projects!$G$16="Yes",Projects!$F$16="Yes",57=Projects!$C$16),Projects!$B$16*Projects!$I$16,0)+IF(AND(Projects!$G$7="Yes",57=Projects!$C$7),Assumptions!$D$18,0)),Actuals!BJ16)</f>
        <v>-0</v>
      </c>
      <c r="BJ106" s="14" t="n">
        <f aca="false">IF(ISBLANK(Actuals!BK16),-(IF(AND(Projects!$G$6="Yes",Projects!$F$6="Yes",58=Projects!$C$6),Projects!$B$6*Projects!$I$6,0)+IF(AND(Projects!$G$7="Yes",Projects!$F$7="Yes",58=Projects!$C$7),Projects!$B$7*Projects!$I$7,0)+IF(AND(Projects!$G$8="Yes",Projects!$F$8="Yes",58=Projects!$C$8),Projects!$B$8*Projects!$I$8,0)+IF(AND(Projects!$G$9="Yes",Projects!$F$9="Yes",58=Projects!$C$9),Projects!$B$9*Projects!$I$9,0)+IF(AND(Projects!$G$10="Yes",Projects!$F$10="Yes",58=Projects!$C$10),Projects!$B$10*Projects!$I$10,0)+IF(AND(Projects!$G$11="Yes",Projects!$F$11="Yes",58=Projects!$C$11),Projects!$B$11*Projects!$I$11,0)+IF(AND(Projects!$G$12="Yes",Projects!$F$12="Yes",58=Projects!$C$12),Projects!$B$12*Projects!$I$12,0)+IF(AND(Projects!$G$13="Yes",Projects!$F$13="Yes",58=Projects!$C$13),Projects!$B$13*Projects!$I$13,0)+IF(AND(Projects!$G$14="Yes",Projects!$F$14="Yes",58=Projects!$C$14),Projects!$B$14*Projects!$I$14,0)+IF(AND(Projects!$G$15="Yes",Projects!$F$15="Yes",58=Projects!$C$15),Projects!$B$15*Projects!$I$15,0)+IF(AND(Projects!$G$16="Yes",Projects!$F$16="Yes",58=Projects!$C$16),Projects!$B$16*Projects!$I$16,0)+IF(AND(Projects!$G$7="Yes",58=Projects!$C$7),Assumptions!$D$18,0)),Actuals!BK16)</f>
        <v>-0</v>
      </c>
      <c r="BK106" s="14" t="n">
        <f aca="false">IF(ISBLANK(Actuals!BL16),-(IF(AND(Projects!$G$6="Yes",Projects!$F$6="Yes",59=Projects!$C$6),Projects!$B$6*Projects!$I$6,0)+IF(AND(Projects!$G$7="Yes",Projects!$F$7="Yes",59=Projects!$C$7),Projects!$B$7*Projects!$I$7,0)+IF(AND(Projects!$G$8="Yes",Projects!$F$8="Yes",59=Projects!$C$8),Projects!$B$8*Projects!$I$8,0)+IF(AND(Projects!$G$9="Yes",Projects!$F$9="Yes",59=Projects!$C$9),Projects!$B$9*Projects!$I$9,0)+IF(AND(Projects!$G$10="Yes",Projects!$F$10="Yes",59=Projects!$C$10),Projects!$B$10*Projects!$I$10,0)+IF(AND(Projects!$G$11="Yes",Projects!$F$11="Yes",59=Projects!$C$11),Projects!$B$11*Projects!$I$11,0)+IF(AND(Projects!$G$12="Yes",Projects!$F$12="Yes",59=Projects!$C$12),Projects!$B$12*Projects!$I$12,0)+IF(AND(Projects!$G$13="Yes",Projects!$F$13="Yes",59=Projects!$C$13),Projects!$B$13*Projects!$I$13,0)+IF(AND(Projects!$G$14="Yes",Projects!$F$14="Yes",59=Projects!$C$14),Projects!$B$14*Projects!$I$14,0)+IF(AND(Projects!$G$15="Yes",Projects!$F$15="Yes",59=Projects!$C$15),Projects!$B$15*Projects!$I$15,0)+IF(AND(Projects!$G$16="Yes",Projects!$F$16="Yes",59=Projects!$C$16),Projects!$B$16*Projects!$I$16,0)+IF(AND(Projects!$G$7="Yes",59=Projects!$C$7),Assumptions!$D$18,0)),Actuals!BL16)</f>
        <v>-0</v>
      </c>
      <c r="BL106" s="14" t="n">
        <f aca="false">IF(ISBLANK(Actuals!BM16),-(IF(AND(Projects!$G$6="Yes",Projects!$F$6="Yes",60=Projects!$C$6),Projects!$B$6*Projects!$I$6,0)+IF(AND(Projects!$G$7="Yes",Projects!$F$7="Yes",60=Projects!$C$7),Projects!$B$7*Projects!$I$7,0)+IF(AND(Projects!$G$8="Yes",Projects!$F$8="Yes",60=Projects!$C$8),Projects!$B$8*Projects!$I$8,0)+IF(AND(Projects!$G$9="Yes",Projects!$F$9="Yes",60=Projects!$C$9),Projects!$B$9*Projects!$I$9,0)+IF(AND(Projects!$G$10="Yes",Projects!$F$10="Yes",60=Projects!$C$10),Projects!$B$10*Projects!$I$10,0)+IF(AND(Projects!$G$11="Yes",Projects!$F$11="Yes",60=Projects!$C$11),Projects!$B$11*Projects!$I$11,0)+IF(AND(Projects!$G$12="Yes",Projects!$F$12="Yes",60=Projects!$C$12),Projects!$B$12*Projects!$I$12,0)+IF(AND(Projects!$G$13="Yes",Projects!$F$13="Yes",60=Projects!$C$13),Projects!$B$13*Projects!$I$13,0)+IF(AND(Projects!$G$14="Yes",Projects!$F$14="Yes",60=Projects!$C$14),Projects!$B$14*Projects!$I$14,0)+IF(AND(Projects!$G$15="Yes",Projects!$F$15="Yes",60=Projects!$C$15),Projects!$B$15*Projects!$I$15,0)+IF(AND(Projects!$G$16="Yes",Projects!$F$16="Yes",60=Projects!$C$16),Projects!$B$16*Projects!$I$16,0)+IF(AND(Projects!$G$7="Yes",60=Projects!$C$7),Assumptions!$D$18,0)),Actuals!BM16)</f>
        <v>-0</v>
      </c>
      <c r="BM106" s="14" t="n">
        <f aca="false">IF(ISBLANK(Actuals!BN16),-(IF(AND(Projects!$G$6="Yes",Projects!$F$6="Yes",61=Projects!$C$6),Projects!$B$6*Projects!$I$6,0)+IF(AND(Projects!$G$7="Yes",Projects!$F$7="Yes",61=Projects!$C$7),Projects!$B$7*Projects!$I$7,0)+IF(AND(Projects!$G$8="Yes",Projects!$F$8="Yes",61=Projects!$C$8),Projects!$B$8*Projects!$I$8,0)+IF(AND(Projects!$G$9="Yes",Projects!$F$9="Yes",61=Projects!$C$9),Projects!$B$9*Projects!$I$9,0)+IF(AND(Projects!$G$10="Yes",Projects!$F$10="Yes",61=Projects!$C$10),Projects!$B$10*Projects!$I$10,0)+IF(AND(Projects!$G$11="Yes",Projects!$F$11="Yes",61=Projects!$C$11),Projects!$B$11*Projects!$I$11,0)+IF(AND(Projects!$G$12="Yes",Projects!$F$12="Yes",61=Projects!$C$12),Projects!$B$12*Projects!$I$12,0)+IF(AND(Projects!$G$13="Yes",Projects!$F$13="Yes",61=Projects!$C$13),Projects!$B$13*Projects!$I$13,0)+IF(AND(Projects!$G$14="Yes",Projects!$F$14="Yes",61=Projects!$C$14),Projects!$B$14*Projects!$I$14,0)+IF(AND(Projects!$G$15="Yes",Projects!$F$15="Yes",61=Projects!$C$15),Projects!$B$15*Projects!$I$15,0)+IF(AND(Projects!$G$16="Yes",Projects!$F$16="Yes",61=Projects!$C$16),Projects!$B$16*Projects!$I$16,0)+IF(AND(Projects!$G$7="Yes",61=Projects!$C$7),Assumptions!$D$18,0)),Actuals!BN16)</f>
        <v>-0</v>
      </c>
      <c r="BN106" s="14" t="n">
        <f aca="false">IF(ISBLANK(Actuals!BO16),-(IF(AND(Projects!$G$6="Yes",Projects!$F$6="Yes",62=Projects!$C$6),Projects!$B$6*Projects!$I$6,0)+IF(AND(Projects!$G$7="Yes",Projects!$F$7="Yes",62=Projects!$C$7),Projects!$B$7*Projects!$I$7,0)+IF(AND(Projects!$G$8="Yes",Projects!$F$8="Yes",62=Projects!$C$8),Projects!$B$8*Projects!$I$8,0)+IF(AND(Projects!$G$9="Yes",Projects!$F$9="Yes",62=Projects!$C$9),Projects!$B$9*Projects!$I$9,0)+IF(AND(Projects!$G$10="Yes",Projects!$F$10="Yes",62=Projects!$C$10),Projects!$B$10*Projects!$I$10,0)+IF(AND(Projects!$G$11="Yes",Projects!$F$11="Yes",62=Projects!$C$11),Projects!$B$11*Projects!$I$11,0)+IF(AND(Projects!$G$12="Yes",Projects!$F$12="Yes",62=Projects!$C$12),Projects!$B$12*Projects!$I$12,0)+IF(AND(Projects!$G$13="Yes",Projects!$F$13="Yes",62=Projects!$C$13),Projects!$B$13*Projects!$I$13,0)+IF(AND(Projects!$G$14="Yes",Projects!$F$14="Yes",62=Projects!$C$14),Projects!$B$14*Projects!$I$14,0)+IF(AND(Projects!$G$15="Yes",Projects!$F$15="Yes",62=Projects!$C$15),Projects!$B$15*Projects!$I$15,0)+IF(AND(Projects!$G$16="Yes",Projects!$F$16="Yes",62=Projects!$C$16),Projects!$B$16*Projects!$I$16,0)+IF(AND(Projects!$G$7="Yes",62=Projects!$C$7),Assumptions!$D$18,0)),Actuals!BO16)</f>
        <v>-0</v>
      </c>
      <c r="BO106" s="14" t="n">
        <f aca="false">IF(ISBLANK(Actuals!BP16),-(IF(AND(Projects!$G$6="Yes",Projects!$F$6="Yes",63=Projects!$C$6),Projects!$B$6*Projects!$I$6,0)+IF(AND(Projects!$G$7="Yes",Projects!$F$7="Yes",63=Projects!$C$7),Projects!$B$7*Projects!$I$7,0)+IF(AND(Projects!$G$8="Yes",Projects!$F$8="Yes",63=Projects!$C$8),Projects!$B$8*Projects!$I$8,0)+IF(AND(Projects!$G$9="Yes",Projects!$F$9="Yes",63=Projects!$C$9),Projects!$B$9*Projects!$I$9,0)+IF(AND(Projects!$G$10="Yes",Projects!$F$10="Yes",63=Projects!$C$10),Projects!$B$10*Projects!$I$10,0)+IF(AND(Projects!$G$11="Yes",Projects!$F$11="Yes",63=Projects!$C$11),Projects!$B$11*Projects!$I$11,0)+IF(AND(Projects!$G$12="Yes",Projects!$F$12="Yes",63=Projects!$C$12),Projects!$B$12*Projects!$I$12,0)+IF(AND(Projects!$G$13="Yes",Projects!$F$13="Yes",63=Projects!$C$13),Projects!$B$13*Projects!$I$13,0)+IF(AND(Projects!$G$14="Yes",Projects!$F$14="Yes",63=Projects!$C$14),Projects!$B$14*Projects!$I$14,0)+IF(AND(Projects!$G$15="Yes",Projects!$F$15="Yes",63=Projects!$C$15),Projects!$B$15*Projects!$I$15,0)+IF(AND(Projects!$G$16="Yes",Projects!$F$16="Yes",63=Projects!$C$16),Projects!$B$16*Projects!$I$16,0)+IF(AND(Projects!$G$7="Yes",63=Projects!$C$7),Assumptions!$D$18,0)),Actuals!BP16)</f>
        <v>-0</v>
      </c>
      <c r="BP106" s="14" t="n">
        <f aca="false">IF(ISBLANK(Actuals!BQ16),-(IF(AND(Projects!$G$6="Yes",Projects!$F$6="Yes",64=Projects!$C$6),Projects!$B$6*Projects!$I$6,0)+IF(AND(Projects!$G$7="Yes",Projects!$F$7="Yes",64=Projects!$C$7),Projects!$B$7*Projects!$I$7,0)+IF(AND(Projects!$G$8="Yes",Projects!$F$8="Yes",64=Projects!$C$8),Projects!$B$8*Projects!$I$8,0)+IF(AND(Projects!$G$9="Yes",Projects!$F$9="Yes",64=Projects!$C$9),Projects!$B$9*Projects!$I$9,0)+IF(AND(Projects!$G$10="Yes",Projects!$F$10="Yes",64=Projects!$C$10),Projects!$B$10*Projects!$I$10,0)+IF(AND(Projects!$G$11="Yes",Projects!$F$11="Yes",64=Projects!$C$11),Projects!$B$11*Projects!$I$11,0)+IF(AND(Projects!$G$12="Yes",Projects!$F$12="Yes",64=Projects!$C$12),Projects!$B$12*Projects!$I$12,0)+IF(AND(Projects!$G$13="Yes",Projects!$F$13="Yes",64=Projects!$C$13),Projects!$B$13*Projects!$I$13,0)+IF(AND(Projects!$G$14="Yes",Projects!$F$14="Yes",64=Projects!$C$14),Projects!$B$14*Projects!$I$14,0)+IF(AND(Projects!$G$15="Yes",Projects!$F$15="Yes",64=Projects!$C$15),Projects!$B$15*Projects!$I$15,0)+IF(AND(Projects!$G$16="Yes",Projects!$F$16="Yes",64=Projects!$C$16),Projects!$B$16*Projects!$I$16,0)+IF(AND(Projects!$G$7="Yes",64=Projects!$C$7),Assumptions!$D$18,0)),Actuals!BQ16)</f>
        <v>-0</v>
      </c>
      <c r="BQ106" s="14" t="n">
        <f aca="false">IF(ISBLANK(Actuals!BR16),-(IF(AND(Projects!$G$6="Yes",Projects!$F$6="Yes",65=Projects!$C$6),Projects!$B$6*Projects!$I$6,0)+IF(AND(Projects!$G$7="Yes",Projects!$F$7="Yes",65=Projects!$C$7),Projects!$B$7*Projects!$I$7,0)+IF(AND(Projects!$G$8="Yes",Projects!$F$8="Yes",65=Projects!$C$8),Projects!$B$8*Projects!$I$8,0)+IF(AND(Projects!$G$9="Yes",Projects!$F$9="Yes",65=Projects!$C$9),Projects!$B$9*Projects!$I$9,0)+IF(AND(Projects!$G$10="Yes",Projects!$F$10="Yes",65=Projects!$C$10),Projects!$B$10*Projects!$I$10,0)+IF(AND(Projects!$G$11="Yes",Projects!$F$11="Yes",65=Projects!$C$11),Projects!$B$11*Projects!$I$11,0)+IF(AND(Projects!$G$12="Yes",Projects!$F$12="Yes",65=Projects!$C$12),Projects!$B$12*Projects!$I$12,0)+IF(AND(Projects!$G$13="Yes",Projects!$F$13="Yes",65=Projects!$C$13),Projects!$B$13*Projects!$I$13,0)+IF(AND(Projects!$G$14="Yes",Projects!$F$14="Yes",65=Projects!$C$14),Projects!$B$14*Projects!$I$14,0)+IF(AND(Projects!$G$15="Yes",Projects!$F$15="Yes",65=Projects!$C$15),Projects!$B$15*Projects!$I$15,0)+IF(AND(Projects!$G$16="Yes",Projects!$F$16="Yes",65=Projects!$C$16),Projects!$B$16*Projects!$I$16,0)+IF(AND(Projects!$G$7="Yes",65=Projects!$C$7),Assumptions!$D$18,0)),Actuals!BR16)</f>
        <v>-0</v>
      </c>
      <c r="BR106" s="14" t="n">
        <f aca="false">IF(ISBLANK(Actuals!BS16),-(IF(AND(Projects!$G$6="Yes",Projects!$F$6="Yes",66=Projects!$C$6),Projects!$B$6*Projects!$I$6,0)+IF(AND(Projects!$G$7="Yes",Projects!$F$7="Yes",66=Projects!$C$7),Projects!$B$7*Projects!$I$7,0)+IF(AND(Projects!$G$8="Yes",Projects!$F$8="Yes",66=Projects!$C$8),Projects!$B$8*Projects!$I$8,0)+IF(AND(Projects!$G$9="Yes",Projects!$F$9="Yes",66=Projects!$C$9),Projects!$B$9*Projects!$I$9,0)+IF(AND(Projects!$G$10="Yes",Projects!$F$10="Yes",66=Projects!$C$10),Projects!$B$10*Projects!$I$10,0)+IF(AND(Projects!$G$11="Yes",Projects!$F$11="Yes",66=Projects!$C$11),Projects!$B$11*Projects!$I$11,0)+IF(AND(Projects!$G$12="Yes",Projects!$F$12="Yes",66=Projects!$C$12),Projects!$B$12*Projects!$I$12,0)+IF(AND(Projects!$G$13="Yes",Projects!$F$13="Yes",66=Projects!$C$13),Projects!$B$13*Projects!$I$13,0)+IF(AND(Projects!$G$14="Yes",Projects!$F$14="Yes",66=Projects!$C$14),Projects!$B$14*Projects!$I$14,0)+IF(AND(Projects!$G$15="Yes",Projects!$F$15="Yes",66=Projects!$C$15),Projects!$B$15*Projects!$I$15,0)+IF(AND(Projects!$G$16="Yes",Projects!$F$16="Yes",66=Projects!$C$16),Projects!$B$16*Projects!$I$16,0)+IF(AND(Projects!$G$7="Yes",66=Projects!$C$7),Assumptions!$D$18,0)),Actuals!BS16)</f>
        <v>-0</v>
      </c>
      <c r="BS106" s="14" t="n">
        <f aca="false">IF(ISBLANK(Actuals!BT16),-(IF(AND(Projects!$G$6="Yes",Projects!$F$6="Yes",67=Projects!$C$6),Projects!$B$6*Projects!$I$6,0)+IF(AND(Projects!$G$7="Yes",Projects!$F$7="Yes",67=Projects!$C$7),Projects!$B$7*Projects!$I$7,0)+IF(AND(Projects!$G$8="Yes",Projects!$F$8="Yes",67=Projects!$C$8),Projects!$B$8*Projects!$I$8,0)+IF(AND(Projects!$G$9="Yes",Projects!$F$9="Yes",67=Projects!$C$9),Projects!$B$9*Projects!$I$9,0)+IF(AND(Projects!$G$10="Yes",Projects!$F$10="Yes",67=Projects!$C$10),Projects!$B$10*Projects!$I$10,0)+IF(AND(Projects!$G$11="Yes",Projects!$F$11="Yes",67=Projects!$C$11),Projects!$B$11*Projects!$I$11,0)+IF(AND(Projects!$G$12="Yes",Projects!$F$12="Yes",67=Projects!$C$12),Projects!$B$12*Projects!$I$12,0)+IF(AND(Projects!$G$13="Yes",Projects!$F$13="Yes",67=Projects!$C$13),Projects!$B$13*Projects!$I$13,0)+IF(AND(Projects!$G$14="Yes",Projects!$F$14="Yes",67=Projects!$C$14),Projects!$B$14*Projects!$I$14,0)+IF(AND(Projects!$G$15="Yes",Projects!$F$15="Yes",67=Projects!$C$15),Projects!$B$15*Projects!$I$15,0)+IF(AND(Projects!$G$16="Yes",Projects!$F$16="Yes",67=Projects!$C$16),Projects!$B$16*Projects!$I$16,0)+IF(AND(Projects!$G$7="Yes",67=Projects!$C$7),Assumptions!$D$18,0)),Actuals!BT16)</f>
        <v>-0</v>
      </c>
      <c r="BT106" s="14" t="n">
        <f aca="false">IF(ISBLANK(Actuals!BU16),-(IF(AND(Projects!$G$6="Yes",Projects!$F$6="Yes",68=Projects!$C$6),Projects!$B$6*Projects!$I$6,0)+IF(AND(Projects!$G$7="Yes",Projects!$F$7="Yes",68=Projects!$C$7),Projects!$B$7*Projects!$I$7,0)+IF(AND(Projects!$G$8="Yes",Projects!$F$8="Yes",68=Projects!$C$8),Projects!$B$8*Projects!$I$8,0)+IF(AND(Projects!$G$9="Yes",Projects!$F$9="Yes",68=Projects!$C$9),Projects!$B$9*Projects!$I$9,0)+IF(AND(Projects!$G$10="Yes",Projects!$F$10="Yes",68=Projects!$C$10),Projects!$B$10*Projects!$I$10,0)+IF(AND(Projects!$G$11="Yes",Projects!$F$11="Yes",68=Projects!$C$11),Projects!$B$11*Projects!$I$11,0)+IF(AND(Projects!$G$12="Yes",Projects!$F$12="Yes",68=Projects!$C$12),Projects!$B$12*Projects!$I$12,0)+IF(AND(Projects!$G$13="Yes",Projects!$F$13="Yes",68=Projects!$C$13),Projects!$B$13*Projects!$I$13,0)+IF(AND(Projects!$G$14="Yes",Projects!$F$14="Yes",68=Projects!$C$14),Projects!$B$14*Projects!$I$14,0)+IF(AND(Projects!$G$15="Yes",Projects!$F$15="Yes",68=Projects!$C$15),Projects!$B$15*Projects!$I$15,0)+IF(AND(Projects!$G$16="Yes",Projects!$F$16="Yes",68=Projects!$C$16),Projects!$B$16*Projects!$I$16,0)+IF(AND(Projects!$G$7="Yes",68=Projects!$C$7),Assumptions!$D$18,0)),Actuals!BU16)</f>
        <v>-0</v>
      </c>
      <c r="BU106" s="14" t="n">
        <f aca="false">IF(ISBLANK(Actuals!BV16),-(IF(AND(Projects!$G$6="Yes",Projects!$F$6="Yes",69=Projects!$C$6),Projects!$B$6*Projects!$I$6,0)+IF(AND(Projects!$G$7="Yes",Projects!$F$7="Yes",69=Projects!$C$7),Projects!$B$7*Projects!$I$7,0)+IF(AND(Projects!$G$8="Yes",Projects!$F$8="Yes",69=Projects!$C$8),Projects!$B$8*Projects!$I$8,0)+IF(AND(Projects!$G$9="Yes",Projects!$F$9="Yes",69=Projects!$C$9),Projects!$B$9*Projects!$I$9,0)+IF(AND(Projects!$G$10="Yes",Projects!$F$10="Yes",69=Projects!$C$10),Projects!$B$10*Projects!$I$10,0)+IF(AND(Projects!$G$11="Yes",Projects!$F$11="Yes",69=Projects!$C$11),Projects!$B$11*Projects!$I$11,0)+IF(AND(Projects!$G$12="Yes",Projects!$F$12="Yes",69=Projects!$C$12),Projects!$B$12*Projects!$I$12,0)+IF(AND(Projects!$G$13="Yes",Projects!$F$13="Yes",69=Projects!$C$13),Projects!$B$13*Projects!$I$13,0)+IF(AND(Projects!$G$14="Yes",Projects!$F$14="Yes",69=Projects!$C$14),Projects!$B$14*Projects!$I$14,0)+IF(AND(Projects!$G$15="Yes",Projects!$F$15="Yes",69=Projects!$C$15),Projects!$B$15*Projects!$I$15,0)+IF(AND(Projects!$G$16="Yes",Projects!$F$16="Yes",69=Projects!$C$16),Projects!$B$16*Projects!$I$16,0)+IF(AND(Projects!$G$7="Yes",69=Projects!$C$7),Assumptions!$D$18,0)),Actuals!BV16)</f>
        <v>-0</v>
      </c>
      <c r="BV106" s="14" t="n">
        <f aca="false">IF(ISBLANK(Actuals!BW16),-(IF(AND(Projects!$G$6="Yes",Projects!$F$6="Yes",70=Projects!$C$6),Projects!$B$6*Projects!$I$6,0)+IF(AND(Projects!$G$7="Yes",Projects!$F$7="Yes",70=Projects!$C$7),Projects!$B$7*Projects!$I$7,0)+IF(AND(Projects!$G$8="Yes",Projects!$F$8="Yes",70=Projects!$C$8),Projects!$B$8*Projects!$I$8,0)+IF(AND(Projects!$G$9="Yes",Projects!$F$9="Yes",70=Projects!$C$9),Projects!$B$9*Projects!$I$9,0)+IF(AND(Projects!$G$10="Yes",Projects!$F$10="Yes",70=Projects!$C$10),Projects!$B$10*Projects!$I$10,0)+IF(AND(Projects!$G$11="Yes",Projects!$F$11="Yes",70=Projects!$C$11),Projects!$B$11*Projects!$I$11,0)+IF(AND(Projects!$G$12="Yes",Projects!$F$12="Yes",70=Projects!$C$12),Projects!$B$12*Projects!$I$12,0)+IF(AND(Projects!$G$13="Yes",Projects!$F$13="Yes",70=Projects!$C$13),Projects!$B$13*Projects!$I$13,0)+IF(AND(Projects!$G$14="Yes",Projects!$F$14="Yes",70=Projects!$C$14),Projects!$B$14*Projects!$I$14,0)+IF(AND(Projects!$G$15="Yes",Projects!$F$15="Yes",70=Projects!$C$15),Projects!$B$15*Projects!$I$15,0)+IF(AND(Projects!$G$16="Yes",Projects!$F$16="Yes",70=Projects!$C$16),Projects!$B$16*Projects!$I$16,0)+IF(AND(Projects!$G$7="Yes",70=Projects!$C$7),Assumptions!$D$18,0)),Actuals!BW16)</f>
        <v>-0</v>
      </c>
      <c r="BW106" s="14" t="n">
        <f aca="false">IF(ISBLANK(Actuals!BX16),-(IF(AND(Projects!$G$6="Yes",Projects!$F$6="Yes",71=Projects!$C$6),Projects!$B$6*Projects!$I$6,0)+IF(AND(Projects!$G$7="Yes",Projects!$F$7="Yes",71=Projects!$C$7),Projects!$B$7*Projects!$I$7,0)+IF(AND(Projects!$G$8="Yes",Projects!$F$8="Yes",71=Projects!$C$8),Projects!$B$8*Projects!$I$8,0)+IF(AND(Projects!$G$9="Yes",Projects!$F$9="Yes",71=Projects!$C$9),Projects!$B$9*Projects!$I$9,0)+IF(AND(Projects!$G$10="Yes",Projects!$F$10="Yes",71=Projects!$C$10),Projects!$B$10*Projects!$I$10,0)+IF(AND(Projects!$G$11="Yes",Projects!$F$11="Yes",71=Projects!$C$11),Projects!$B$11*Projects!$I$11,0)+IF(AND(Projects!$G$12="Yes",Projects!$F$12="Yes",71=Projects!$C$12),Projects!$B$12*Projects!$I$12,0)+IF(AND(Projects!$G$13="Yes",Projects!$F$13="Yes",71=Projects!$C$13),Projects!$B$13*Projects!$I$13,0)+IF(AND(Projects!$G$14="Yes",Projects!$F$14="Yes",71=Projects!$C$14),Projects!$B$14*Projects!$I$14,0)+IF(AND(Projects!$G$15="Yes",Projects!$F$15="Yes",71=Projects!$C$15),Projects!$B$15*Projects!$I$15,0)+IF(AND(Projects!$G$16="Yes",Projects!$F$16="Yes",71=Projects!$C$16),Projects!$B$16*Projects!$I$16,0)+IF(AND(Projects!$G$7="Yes",71=Projects!$C$7),Assumptions!$D$18,0)),Actuals!BX16)</f>
        <v>-0</v>
      </c>
      <c r="BX106" s="14" t="n">
        <f aca="false">IF(ISBLANK(Actuals!BY16),-(IF(AND(Projects!$G$6="Yes",Projects!$F$6="Yes",72=Projects!$C$6),Projects!$B$6*Projects!$I$6,0)+IF(AND(Projects!$G$7="Yes",Projects!$F$7="Yes",72=Projects!$C$7),Projects!$B$7*Projects!$I$7,0)+IF(AND(Projects!$G$8="Yes",Projects!$F$8="Yes",72=Projects!$C$8),Projects!$B$8*Projects!$I$8,0)+IF(AND(Projects!$G$9="Yes",Projects!$F$9="Yes",72=Projects!$C$9),Projects!$B$9*Projects!$I$9,0)+IF(AND(Projects!$G$10="Yes",Projects!$F$10="Yes",72=Projects!$C$10),Projects!$B$10*Projects!$I$10,0)+IF(AND(Projects!$G$11="Yes",Projects!$F$11="Yes",72=Projects!$C$11),Projects!$B$11*Projects!$I$11,0)+IF(AND(Projects!$G$12="Yes",Projects!$F$12="Yes",72=Projects!$C$12),Projects!$B$12*Projects!$I$12,0)+IF(AND(Projects!$G$13="Yes",Projects!$F$13="Yes",72=Projects!$C$13),Projects!$B$13*Projects!$I$13,0)+IF(AND(Projects!$G$14="Yes",Projects!$F$14="Yes",72=Projects!$C$14),Projects!$B$14*Projects!$I$14,0)+IF(AND(Projects!$G$15="Yes",Projects!$F$15="Yes",72=Projects!$C$15),Projects!$B$15*Projects!$I$15,0)+IF(AND(Projects!$G$16="Yes",Projects!$F$16="Yes",72=Projects!$C$16),Projects!$B$16*Projects!$I$16,0)+IF(AND(Projects!$G$7="Yes",72=Projects!$C$7),Assumptions!$D$18,0)),Actuals!BY16)</f>
        <v>-0</v>
      </c>
      <c r="BY106" s="14" t="n">
        <f aca="false">IF(ISBLANK(Actuals!BZ16),-(IF(AND(Projects!$G$6="Yes",Projects!$F$6="Yes",73=Projects!$C$6),Projects!$B$6*Projects!$I$6,0)+IF(AND(Projects!$G$7="Yes",Projects!$F$7="Yes",73=Projects!$C$7),Projects!$B$7*Projects!$I$7,0)+IF(AND(Projects!$G$8="Yes",Projects!$F$8="Yes",73=Projects!$C$8),Projects!$B$8*Projects!$I$8,0)+IF(AND(Projects!$G$9="Yes",Projects!$F$9="Yes",73=Projects!$C$9),Projects!$B$9*Projects!$I$9,0)+IF(AND(Projects!$G$10="Yes",Projects!$F$10="Yes",73=Projects!$C$10),Projects!$B$10*Projects!$I$10,0)+IF(AND(Projects!$G$11="Yes",Projects!$F$11="Yes",73=Projects!$C$11),Projects!$B$11*Projects!$I$11,0)+IF(AND(Projects!$G$12="Yes",Projects!$F$12="Yes",73=Projects!$C$12),Projects!$B$12*Projects!$I$12,0)+IF(AND(Projects!$G$13="Yes",Projects!$F$13="Yes",73=Projects!$C$13),Projects!$B$13*Projects!$I$13,0)+IF(AND(Projects!$G$14="Yes",Projects!$F$14="Yes",73=Projects!$C$14),Projects!$B$14*Projects!$I$14,0)+IF(AND(Projects!$G$15="Yes",Projects!$F$15="Yes",73=Projects!$C$15),Projects!$B$15*Projects!$I$15,0)+IF(AND(Projects!$G$16="Yes",Projects!$F$16="Yes",73=Projects!$C$16),Projects!$B$16*Projects!$I$16,0)+IF(AND(Projects!$G$7="Yes",73=Projects!$C$7),Assumptions!$D$18,0)),Actuals!BZ16)</f>
        <v>-0</v>
      </c>
      <c r="BZ106" s="14" t="n">
        <f aca="false">IF(ISBLANK(Actuals!CA16),-(IF(AND(Projects!$G$6="Yes",Projects!$F$6="Yes",74=Projects!$C$6),Projects!$B$6*Projects!$I$6,0)+IF(AND(Projects!$G$7="Yes",Projects!$F$7="Yes",74=Projects!$C$7),Projects!$B$7*Projects!$I$7,0)+IF(AND(Projects!$G$8="Yes",Projects!$F$8="Yes",74=Projects!$C$8),Projects!$B$8*Projects!$I$8,0)+IF(AND(Projects!$G$9="Yes",Projects!$F$9="Yes",74=Projects!$C$9),Projects!$B$9*Projects!$I$9,0)+IF(AND(Projects!$G$10="Yes",Projects!$F$10="Yes",74=Projects!$C$10),Projects!$B$10*Projects!$I$10,0)+IF(AND(Projects!$G$11="Yes",Projects!$F$11="Yes",74=Projects!$C$11),Projects!$B$11*Projects!$I$11,0)+IF(AND(Projects!$G$12="Yes",Projects!$F$12="Yes",74=Projects!$C$12),Projects!$B$12*Projects!$I$12,0)+IF(AND(Projects!$G$13="Yes",Projects!$F$13="Yes",74=Projects!$C$13),Projects!$B$13*Projects!$I$13,0)+IF(AND(Projects!$G$14="Yes",Projects!$F$14="Yes",74=Projects!$C$14),Projects!$B$14*Projects!$I$14,0)+IF(AND(Projects!$G$15="Yes",Projects!$F$15="Yes",74=Projects!$C$15),Projects!$B$15*Projects!$I$15,0)+IF(AND(Projects!$G$16="Yes",Projects!$F$16="Yes",74=Projects!$C$16),Projects!$B$16*Projects!$I$16,0)+IF(AND(Projects!$G$7="Yes",74=Projects!$C$7),Assumptions!$D$18,0)),Actuals!CA16)</f>
        <v>-0</v>
      </c>
      <c r="CA106" s="14" t="n">
        <f aca="false">IF(ISBLANK(Actuals!CB16),-(IF(AND(Projects!$G$6="Yes",Projects!$F$6="Yes",75=Projects!$C$6),Projects!$B$6*Projects!$I$6,0)+IF(AND(Projects!$G$7="Yes",Projects!$F$7="Yes",75=Projects!$C$7),Projects!$B$7*Projects!$I$7,0)+IF(AND(Projects!$G$8="Yes",Projects!$F$8="Yes",75=Projects!$C$8),Projects!$B$8*Projects!$I$8,0)+IF(AND(Projects!$G$9="Yes",Projects!$F$9="Yes",75=Projects!$C$9),Projects!$B$9*Projects!$I$9,0)+IF(AND(Projects!$G$10="Yes",Projects!$F$10="Yes",75=Projects!$C$10),Projects!$B$10*Projects!$I$10,0)+IF(AND(Projects!$G$11="Yes",Projects!$F$11="Yes",75=Projects!$C$11),Projects!$B$11*Projects!$I$11,0)+IF(AND(Projects!$G$12="Yes",Projects!$F$12="Yes",75=Projects!$C$12),Projects!$B$12*Projects!$I$12,0)+IF(AND(Projects!$G$13="Yes",Projects!$F$13="Yes",75=Projects!$C$13),Projects!$B$13*Projects!$I$13,0)+IF(AND(Projects!$G$14="Yes",Projects!$F$14="Yes",75=Projects!$C$14),Projects!$B$14*Projects!$I$14,0)+IF(AND(Projects!$G$15="Yes",Projects!$F$15="Yes",75=Projects!$C$15),Projects!$B$15*Projects!$I$15,0)+IF(AND(Projects!$G$16="Yes",Projects!$F$16="Yes",75=Projects!$C$16),Projects!$B$16*Projects!$I$16,0)+IF(AND(Projects!$G$7="Yes",75=Projects!$C$7),Assumptions!$D$18,0)),Actuals!CB16)</f>
        <v>-0</v>
      </c>
      <c r="CB106" s="14" t="n">
        <f aca="false">IF(ISBLANK(Actuals!CC16),-(IF(AND(Projects!$G$6="Yes",Projects!$F$6="Yes",76=Projects!$C$6),Projects!$B$6*Projects!$I$6,0)+IF(AND(Projects!$G$7="Yes",Projects!$F$7="Yes",76=Projects!$C$7),Projects!$B$7*Projects!$I$7,0)+IF(AND(Projects!$G$8="Yes",Projects!$F$8="Yes",76=Projects!$C$8),Projects!$B$8*Projects!$I$8,0)+IF(AND(Projects!$G$9="Yes",Projects!$F$9="Yes",76=Projects!$C$9),Projects!$B$9*Projects!$I$9,0)+IF(AND(Projects!$G$10="Yes",Projects!$F$10="Yes",76=Projects!$C$10),Projects!$B$10*Projects!$I$10,0)+IF(AND(Projects!$G$11="Yes",Projects!$F$11="Yes",76=Projects!$C$11),Projects!$B$11*Projects!$I$11,0)+IF(AND(Projects!$G$12="Yes",Projects!$F$12="Yes",76=Projects!$C$12),Projects!$B$12*Projects!$I$12,0)+IF(AND(Projects!$G$13="Yes",Projects!$F$13="Yes",76=Projects!$C$13),Projects!$B$13*Projects!$I$13,0)+IF(AND(Projects!$G$14="Yes",Projects!$F$14="Yes",76=Projects!$C$14),Projects!$B$14*Projects!$I$14,0)+IF(AND(Projects!$G$15="Yes",Projects!$F$15="Yes",76=Projects!$C$15),Projects!$B$15*Projects!$I$15,0)+IF(AND(Projects!$G$16="Yes",Projects!$F$16="Yes",76=Projects!$C$16),Projects!$B$16*Projects!$I$16,0)+IF(AND(Projects!$G$7="Yes",76=Projects!$C$7),Assumptions!$D$18,0)),Actuals!CC16)</f>
        <v>-0</v>
      </c>
      <c r="CC106" s="14" t="n">
        <f aca="false">IF(ISBLANK(Actuals!CD16),-(IF(AND(Projects!$G$6="Yes",Projects!$F$6="Yes",77=Projects!$C$6),Projects!$B$6*Projects!$I$6,0)+IF(AND(Projects!$G$7="Yes",Projects!$F$7="Yes",77=Projects!$C$7),Projects!$B$7*Projects!$I$7,0)+IF(AND(Projects!$G$8="Yes",Projects!$F$8="Yes",77=Projects!$C$8),Projects!$B$8*Projects!$I$8,0)+IF(AND(Projects!$G$9="Yes",Projects!$F$9="Yes",77=Projects!$C$9),Projects!$B$9*Projects!$I$9,0)+IF(AND(Projects!$G$10="Yes",Projects!$F$10="Yes",77=Projects!$C$10),Projects!$B$10*Projects!$I$10,0)+IF(AND(Projects!$G$11="Yes",Projects!$F$11="Yes",77=Projects!$C$11),Projects!$B$11*Projects!$I$11,0)+IF(AND(Projects!$G$12="Yes",Projects!$F$12="Yes",77=Projects!$C$12),Projects!$B$12*Projects!$I$12,0)+IF(AND(Projects!$G$13="Yes",Projects!$F$13="Yes",77=Projects!$C$13),Projects!$B$13*Projects!$I$13,0)+IF(AND(Projects!$G$14="Yes",Projects!$F$14="Yes",77=Projects!$C$14),Projects!$B$14*Projects!$I$14,0)+IF(AND(Projects!$G$15="Yes",Projects!$F$15="Yes",77=Projects!$C$15),Projects!$B$15*Projects!$I$15,0)+IF(AND(Projects!$G$16="Yes",Projects!$F$16="Yes",77=Projects!$C$16),Projects!$B$16*Projects!$I$16,0)+IF(AND(Projects!$G$7="Yes",77=Projects!$C$7),Assumptions!$D$18,0)),Actuals!CD16)</f>
        <v>-0</v>
      </c>
      <c r="CD106" s="14" t="n">
        <f aca="false">IF(ISBLANK(Actuals!CE16),-(IF(AND(Projects!$G$6="Yes",Projects!$F$6="Yes",78=Projects!$C$6),Projects!$B$6*Projects!$I$6,0)+IF(AND(Projects!$G$7="Yes",Projects!$F$7="Yes",78=Projects!$C$7),Projects!$B$7*Projects!$I$7,0)+IF(AND(Projects!$G$8="Yes",Projects!$F$8="Yes",78=Projects!$C$8),Projects!$B$8*Projects!$I$8,0)+IF(AND(Projects!$G$9="Yes",Projects!$F$9="Yes",78=Projects!$C$9),Projects!$B$9*Projects!$I$9,0)+IF(AND(Projects!$G$10="Yes",Projects!$F$10="Yes",78=Projects!$C$10),Projects!$B$10*Projects!$I$10,0)+IF(AND(Projects!$G$11="Yes",Projects!$F$11="Yes",78=Projects!$C$11),Projects!$B$11*Projects!$I$11,0)+IF(AND(Projects!$G$12="Yes",Projects!$F$12="Yes",78=Projects!$C$12),Projects!$B$12*Projects!$I$12,0)+IF(AND(Projects!$G$13="Yes",Projects!$F$13="Yes",78=Projects!$C$13),Projects!$B$13*Projects!$I$13,0)+IF(AND(Projects!$G$14="Yes",Projects!$F$14="Yes",78=Projects!$C$14),Projects!$B$14*Projects!$I$14,0)+IF(AND(Projects!$G$15="Yes",Projects!$F$15="Yes",78=Projects!$C$15),Projects!$B$15*Projects!$I$15,0)+IF(AND(Projects!$G$16="Yes",Projects!$F$16="Yes",78=Projects!$C$16),Projects!$B$16*Projects!$I$16,0)+IF(AND(Projects!$G$7="Yes",78=Projects!$C$7),Assumptions!$D$18,0)),Actuals!CE16)</f>
        <v>-0</v>
      </c>
      <c r="CE106" s="14" t="n">
        <f aca="false">IF(ISBLANK(Actuals!CF16),-(IF(AND(Projects!$G$6="Yes",Projects!$F$6="Yes",79=Projects!$C$6),Projects!$B$6*Projects!$I$6,0)+IF(AND(Projects!$G$7="Yes",Projects!$F$7="Yes",79=Projects!$C$7),Projects!$B$7*Projects!$I$7,0)+IF(AND(Projects!$G$8="Yes",Projects!$F$8="Yes",79=Projects!$C$8),Projects!$B$8*Projects!$I$8,0)+IF(AND(Projects!$G$9="Yes",Projects!$F$9="Yes",79=Projects!$C$9),Projects!$B$9*Projects!$I$9,0)+IF(AND(Projects!$G$10="Yes",Projects!$F$10="Yes",79=Projects!$C$10),Projects!$B$10*Projects!$I$10,0)+IF(AND(Projects!$G$11="Yes",Projects!$F$11="Yes",79=Projects!$C$11),Projects!$B$11*Projects!$I$11,0)+IF(AND(Projects!$G$12="Yes",Projects!$F$12="Yes",79=Projects!$C$12),Projects!$B$12*Projects!$I$12,0)+IF(AND(Projects!$G$13="Yes",Projects!$F$13="Yes",79=Projects!$C$13),Projects!$B$13*Projects!$I$13,0)+IF(AND(Projects!$G$14="Yes",Projects!$F$14="Yes",79=Projects!$C$14),Projects!$B$14*Projects!$I$14,0)+IF(AND(Projects!$G$15="Yes",Projects!$F$15="Yes",79=Projects!$C$15),Projects!$B$15*Projects!$I$15,0)+IF(AND(Projects!$G$16="Yes",Projects!$F$16="Yes",79=Projects!$C$16),Projects!$B$16*Projects!$I$16,0)+IF(AND(Projects!$G$7="Yes",79=Projects!$C$7),Assumptions!$D$18,0)),Actuals!CF16)</f>
        <v>-0</v>
      </c>
      <c r="CF106" s="14" t="n">
        <f aca="false">IF(ISBLANK(Actuals!CG16),-(IF(AND(Projects!$G$6="Yes",Projects!$F$6="Yes",80=Projects!$C$6),Projects!$B$6*Projects!$I$6,0)+IF(AND(Projects!$G$7="Yes",Projects!$F$7="Yes",80=Projects!$C$7),Projects!$B$7*Projects!$I$7,0)+IF(AND(Projects!$G$8="Yes",Projects!$F$8="Yes",80=Projects!$C$8),Projects!$B$8*Projects!$I$8,0)+IF(AND(Projects!$G$9="Yes",Projects!$F$9="Yes",80=Projects!$C$9),Projects!$B$9*Projects!$I$9,0)+IF(AND(Projects!$G$10="Yes",Projects!$F$10="Yes",80=Projects!$C$10),Projects!$B$10*Projects!$I$10,0)+IF(AND(Projects!$G$11="Yes",Projects!$F$11="Yes",80=Projects!$C$11),Projects!$B$11*Projects!$I$11,0)+IF(AND(Projects!$G$12="Yes",Projects!$F$12="Yes",80=Projects!$C$12),Projects!$B$12*Projects!$I$12,0)+IF(AND(Projects!$G$13="Yes",Projects!$F$13="Yes",80=Projects!$C$13),Projects!$B$13*Projects!$I$13,0)+IF(AND(Projects!$G$14="Yes",Projects!$F$14="Yes",80=Projects!$C$14),Projects!$B$14*Projects!$I$14,0)+IF(AND(Projects!$G$15="Yes",Projects!$F$15="Yes",80=Projects!$C$15),Projects!$B$15*Projects!$I$15,0)+IF(AND(Projects!$G$16="Yes",Projects!$F$16="Yes",80=Projects!$C$16),Projects!$B$16*Projects!$I$16,0)+IF(AND(Projects!$G$7="Yes",80=Projects!$C$7),Assumptions!$D$18,0)),Actuals!CG16)</f>
        <v>-0</v>
      </c>
      <c r="CG106" s="14" t="n">
        <f aca="false">IF(ISBLANK(Actuals!CH16),-(IF(AND(Projects!$G$6="Yes",Projects!$F$6="Yes",81=Projects!$C$6),Projects!$B$6*Projects!$I$6,0)+IF(AND(Projects!$G$7="Yes",Projects!$F$7="Yes",81=Projects!$C$7),Projects!$B$7*Projects!$I$7,0)+IF(AND(Projects!$G$8="Yes",Projects!$F$8="Yes",81=Projects!$C$8),Projects!$B$8*Projects!$I$8,0)+IF(AND(Projects!$G$9="Yes",Projects!$F$9="Yes",81=Projects!$C$9),Projects!$B$9*Projects!$I$9,0)+IF(AND(Projects!$G$10="Yes",Projects!$F$10="Yes",81=Projects!$C$10),Projects!$B$10*Projects!$I$10,0)+IF(AND(Projects!$G$11="Yes",Projects!$F$11="Yes",81=Projects!$C$11),Projects!$B$11*Projects!$I$11,0)+IF(AND(Projects!$G$12="Yes",Projects!$F$12="Yes",81=Projects!$C$12),Projects!$B$12*Projects!$I$12,0)+IF(AND(Projects!$G$13="Yes",Projects!$F$13="Yes",81=Projects!$C$13),Projects!$B$13*Projects!$I$13,0)+IF(AND(Projects!$G$14="Yes",Projects!$F$14="Yes",81=Projects!$C$14),Projects!$B$14*Projects!$I$14,0)+IF(AND(Projects!$G$15="Yes",Projects!$F$15="Yes",81=Projects!$C$15),Projects!$B$15*Projects!$I$15,0)+IF(AND(Projects!$G$16="Yes",Projects!$F$16="Yes",81=Projects!$C$16),Projects!$B$16*Projects!$I$16,0)+IF(AND(Projects!$G$7="Yes",81=Projects!$C$7),Assumptions!$D$18,0)),Actuals!CH16)</f>
        <v>-0</v>
      </c>
      <c r="CH106" s="14" t="n">
        <f aca="false">IF(ISBLANK(Actuals!CI16),-(IF(AND(Projects!$G$6="Yes",Projects!$F$6="Yes",82=Projects!$C$6),Projects!$B$6*Projects!$I$6,0)+IF(AND(Projects!$G$7="Yes",Projects!$F$7="Yes",82=Projects!$C$7),Projects!$B$7*Projects!$I$7,0)+IF(AND(Projects!$G$8="Yes",Projects!$F$8="Yes",82=Projects!$C$8),Projects!$B$8*Projects!$I$8,0)+IF(AND(Projects!$G$9="Yes",Projects!$F$9="Yes",82=Projects!$C$9),Projects!$B$9*Projects!$I$9,0)+IF(AND(Projects!$G$10="Yes",Projects!$F$10="Yes",82=Projects!$C$10),Projects!$B$10*Projects!$I$10,0)+IF(AND(Projects!$G$11="Yes",Projects!$F$11="Yes",82=Projects!$C$11),Projects!$B$11*Projects!$I$11,0)+IF(AND(Projects!$G$12="Yes",Projects!$F$12="Yes",82=Projects!$C$12),Projects!$B$12*Projects!$I$12,0)+IF(AND(Projects!$G$13="Yes",Projects!$F$13="Yes",82=Projects!$C$13),Projects!$B$13*Projects!$I$13,0)+IF(AND(Projects!$G$14="Yes",Projects!$F$14="Yes",82=Projects!$C$14),Projects!$B$14*Projects!$I$14,0)+IF(AND(Projects!$G$15="Yes",Projects!$F$15="Yes",82=Projects!$C$15),Projects!$B$15*Projects!$I$15,0)+IF(AND(Projects!$G$16="Yes",Projects!$F$16="Yes",82=Projects!$C$16),Projects!$B$16*Projects!$I$16,0)+IF(AND(Projects!$G$7="Yes",82=Projects!$C$7),Assumptions!$D$18,0)),Actuals!CI16)</f>
        <v>-0</v>
      </c>
      <c r="CI106" s="14" t="n">
        <f aca="false">IF(ISBLANK(Actuals!CJ16),-(IF(AND(Projects!$G$6="Yes",Projects!$F$6="Yes",83=Projects!$C$6),Projects!$B$6*Projects!$I$6,0)+IF(AND(Projects!$G$7="Yes",Projects!$F$7="Yes",83=Projects!$C$7),Projects!$B$7*Projects!$I$7,0)+IF(AND(Projects!$G$8="Yes",Projects!$F$8="Yes",83=Projects!$C$8),Projects!$B$8*Projects!$I$8,0)+IF(AND(Projects!$G$9="Yes",Projects!$F$9="Yes",83=Projects!$C$9),Projects!$B$9*Projects!$I$9,0)+IF(AND(Projects!$G$10="Yes",Projects!$F$10="Yes",83=Projects!$C$10),Projects!$B$10*Projects!$I$10,0)+IF(AND(Projects!$G$11="Yes",Projects!$F$11="Yes",83=Projects!$C$11),Projects!$B$11*Projects!$I$11,0)+IF(AND(Projects!$G$12="Yes",Projects!$F$12="Yes",83=Projects!$C$12),Projects!$B$12*Projects!$I$12,0)+IF(AND(Projects!$G$13="Yes",Projects!$F$13="Yes",83=Projects!$C$13),Projects!$B$13*Projects!$I$13,0)+IF(AND(Projects!$G$14="Yes",Projects!$F$14="Yes",83=Projects!$C$14),Projects!$B$14*Projects!$I$14,0)+IF(AND(Projects!$G$15="Yes",Projects!$F$15="Yes",83=Projects!$C$15),Projects!$B$15*Projects!$I$15,0)+IF(AND(Projects!$G$16="Yes",Projects!$F$16="Yes",83=Projects!$C$16),Projects!$B$16*Projects!$I$16,0)+IF(AND(Projects!$G$7="Yes",83=Projects!$C$7),Assumptions!$D$18,0)),Actuals!CJ16)</f>
        <v>-0</v>
      </c>
      <c r="CJ106" s="14" t="n">
        <f aca="false">IF(ISBLANK(Actuals!CK16),-(IF(AND(Projects!$G$6="Yes",Projects!$F$6="Yes",84=Projects!$C$6),Projects!$B$6*Projects!$I$6,0)+IF(AND(Projects!$G$7="Yes",Projects!$F$7="Yes",84=Projects!$C$7),Projects!$B$7*Projects!$I$7,0)+IF(AND(Projects!$G$8="Yes",Projects!$F$8="Yes",84=Projects!$C$8),Projects!$B$8*Projects!$I$8,0)+IF(AND(Projects!$G$9="Yes",Projects!$F$9="Yes",84=Projects!$C$9),Projects!$B$9*Projects!$I$9,0)+IF(AND(Projects!$G$10="Yes",Projects!$F$10="Yes",84=Projects!$C$10),Projects!$B$10*Projects!$I$10,0)+IF(AND(Projects!$G$11="Yes",Projects!$F$11="Yes",84=Projects!$C$11),Projects!$B$11*Projects!$I$11,0)+IF(AND(Projects!$G$12="Yes",Projects!$F$12="Yes",84=Projects!$C$12),Projects!$B$12*Projects!$I$12,0)+IF(AND(Projects!$G$13="Yes",Projects!$F$13="Yes",84=Projects!$C$13),Projects!$B$13*Projects!$I$13,0)+IF(AND(Projects!$G$14="Yes",Projects!$F$14="Yes",84=Projects!$C$14),Projects!$B$14*Projects!$I$14,0)+IF(AND(Projects!$G$15="Yes",Projects!$F$15="Yes",84=Projects!$C$15),Projects!$B$15*Projects!$I$15,0)+IF(AND(Projects!$G$16="Yes",Projects!$F$16="Yes",84=Projects!$C$16),Projects!$B$16*Projects!$I$16,0)+IF(AND(Projects!$G$7="Yes",84=Projects!$C$7),Assumptions!$D$18,0)),Actuals!CK16)</f>
        <v>-0</v>
      </c>
      <c r="CK106" s="14" t="n">
        <f aca="false">IF(ISBLANK(Actuals!CL16),-(IF(AND(Projects!$G$6="Yes",Projects!$F$6="Yes",85=Projects!$C$6),Projects!$B$6*Projects!$I$6,0)+IF(AND(Projects!$G$7="Yes",Projects!$F$7="Yes",85=Projects!$C$7),Projects!$B$7*Projects!$I$7,0)+IF(AND(Projects!$G$8="Yes",Projects!$F$8="Yes",85=Projects!$C$8),Projects!$B$8*Projects!$I$8,0)+IF(AND(Projects!$G$9="Yes",Projects!$F$9="Yes",85=Projects!$C$9),Projects!$B$9*Projects!$I$9,0)+IF(AND(Projects!$G$10="Yes",Projects!$F$10="Yes",85=Projects!$C$10),Projects!$B$10*Projects!$I$10,0)+IF(AND(Projects!$G$11="Yes",Projects!$F$11="Yes",85=Projects!$C$11),Projects!$B$11*Projects!$I$11,0)+IF(AND(Projects!$G$12="Yes",Projects!$F$12="Yes",85=Projects!$C$12),Projects!$B$12*Projects!$I$12,0)+IF(AND(Projects!$G$13="Yes",Projects!$F$13="Yes",85=Projects!$C$13),Projects!$B$13*Projects!$I$13,0)+IF(AND(Projects!$G$14="Yes",Projects!$F$14="Yes",85=Projects!$C$14),Projects!$B$14*Projects!$I$14,0)+IF(AND(Projects!$G$15="Yes",Projects!$F$15="Yes",85=Projects!$C$15),Projects!$B$15*Projects!$I$15,0)+IF(AND(Projects!$G$16="Yes",Projects!$F$16="Yes",85=Projects!$C$16),Projects!$B$16*Projects!$I$16,0)+IF(AND(Projects!$G$7="Yes",85=Projects!$C$7),Assumptions!$D$18,0)),Actuals!CL16)</f>
        <v>-0</v>
      </c>
      <c r="CL106" s="14" t="n">
        <f aca="false">IF(ISBLANK(Actuals!CM16),-(IF(AND(Projects!$G$6="Yes",Projects!$F$6="Yes",86=Projects!$C$6),Projects!$B$6*Projects!$I$6,0)+IF(AND(Projects!$G$7="Yes",Projects!$F$7="Yes",86=Projects!$C$7),Projects!$B$7*Projects!$I$7,0)+IF(AND(Projects!$G$8="Yes",Projects!$F$8="Yes",86=Projects!$C$8),Projects!$B$8*Projects!$I$8,0)+IF(AND(Projects!$G$9="Yes",Projects!$F$9="Yes",86=Projects!$C$9),Projects!$B$9*Projects!$I$9,0)+IF(AND(Projects!$G$10="Yes",Projects!$F$10="Yes",86=Projects!$C$10),Projects!$B$10*Projects!$I$10,0)+IF(AND(Projects!$G$11="Yes",Projects!$F$11="Yes",86=Projects!$C$11),Projects!$B$11*Projects!$I$11,0)+IF(AND(Projects!$G$12="Yes",Projects!$F$12="Yes",86=Projects!$C$12),Projects!$B$12*Projects!$I$12,0)+IF(AND(Projects!$G$13="Yes",Projects!$F$13="Yes",86=Projects!$C$13),Projects!$B$13*Projects!$I$13,0)+IF(AND(Projects!$G$14="Yes",Projects!$F$14="Yes",86=Projects!$C$14),Projects!$B$14*Projects!$I$14,0)+IF(AND(Projects!$G$15="Yes",Projects!$F$15="Yes",86=Projects!$C$15),Projects!$B$15*Projects!$I$15,0)+IF(AND(Projects!$G$16="Yes",Projects!$F$16="Yes",86=Projects!$C$16),Projects!$B$16*Projects!$I$16,0)+IF(AND(Projects!$G$7="Yes",86=Projects!$C$7),Assumptions!$D$18,0)),Actuals!CM16)</f>
        <v>-0</v>
      </c>
      <c r="CM106" s="14" t="n">
        <f aca="false">IF(ISBLANK(Actuals!CN16),-(IF(AND(Projects!$G$6="Yes",Projects!$F$6="Yes",87=Projects!$C$6),Projects!$B$6*Projects!$I$6,0)+IF(AND(Projects!$G$7="Yes",Projects!$F$7="Yes",87=Projects!$C$7),Projects!$B$7*Projects!$I$7,0)+IF(AND(Projects!$G$8="Yes",Projects!$F$8="Yes",87=Projects!$C$8),Projects!$B$8*Projects!$I$8,0)+IF(AND(Projects!$G$9="Yes",Projects!$F$9="Yes",87=Projects!$C$9),Projects!$B$9*Projects!$I$9,0)+IF(AND(Projects!$G$10="Yes",Projects!$F$10="Yes",87=Projects!$C$10),Projects!$B$10*Projects!$I$10,0)+IF(AND(Projects!$G$11="Yes",Projects!$F$11="Yes",87=Projects!$C$11),Projects!$B$11*Projects!$I$11,0)+IF(AND(Projects!$G$12="Yes",Projects!$F$12="Yes",87=Projects!$C$12),Projects!$B$12*Projects!$I$12,0)+IF(AND(Projects!$G$13="Yes",Projects!$F$13="Yes",87=Projects!$C$13),Projects!$B$13*Projects!$I$13,0)+IF(AND(Projects!$G$14="Yes",Projects!$F$14="Yes",87=Projects!$C$14),Projects!$B$14*Projects!$I$14,0)+IF(AND(Projects!$G$15="Yes",Projects!$F$15="Yes",87=Projects!$C$15),Projects!$B$15*Projects!$I$15,0)+IF(AND(Projects!$G$16="Yes",Projects!$F$16="Yes",87=Projects!$C$16),Projects!$B$16*Projects!$I$16,0)+IF(AND(Projects!$G$7="Yes",87=Projects!$C$7),Assumptions!$D$18,0)),Actuals!CN16)</f>
        <v>-0</v>
      </c>
      <c r="CN106" s="14" t="n">
        <f aca="false">IF(ISBLANK(Actuals!CO16),-(IF(AND(Projects!$G$6="Yes",Projects!$F$6="Yes",88=Projects!$C$6),Projects!$B$6*Projects!$I$6,0)+IF(AND(Projects!$G$7="Yes",Projects!$F$7="Yes",88=Projects!$C$7),Projects!$B$7*Projects!$I$7,0)+IF(AND(Projects!$G$8="Yes",Projects!$F$8="Yes",88=Projects!$C$8),Projects!$B$8*Projects!$I$8,0)+IF(AND(Projects!$G$9="Yes",Projects!$F$9="Yes",88=Projects!$C$9),Projects!$B$9*Projects!$I$9,0)+IF(AND(Projects!$G$10="Yes",Projects!$F$10="Yes",88=Projects!$C$10),Projects!$B$10*Projects!$I$10,0)+IF(AND(Projects!$G$11="Yes",Projects!$F$11="Yes",88=Projects!$C$11),Projects!$B$11*Projects!$I$11,0)+IF(AND(Projects!$G$12="Yes",Projects!$F$12="Yes",88=Projects!$C$12),Projects!$B$12*Projects!$I$12,0)+IF(AND(Projects!$G$13="Yes",Projects!$F$13="Yes",88=Projects!$C$13),Projects!$B$13*Projects!$I$13,0)+IF(AND(Projects!$G$14="Yes",Projects!$F$14="Yes",88=Projects!$C$14),Projects!$B$14*Projects!$I$14,0)+IF(AND(Projects!$G$15="Yes",Projects!$F$15="Yes",88=Projects!$C$15),Projects!$B$15*Projects!$I$15,0)+IF(AND(Projects!$G$16="Yes",Projects!$F$16="Yes",88=Projects!$C$16),Projects!$B$16*Projects!$I$16,0)+IF(AND(Projects!$G$7="Yes",88=Projects!$C$7),Assumptions!$D$18,0)),Actuals!CO16)</f>
        <v>-0</v>
      </c>
      <c r="CO106" s="14" t="n">
        <f aca="false">IF(ISBLANK(Actuals!CP16),-(IF(AND(Projects!$G$6="Yes",Projects!$F$6="Yes",89=Projects!$C$6),Projects!$B$6*Projects!$I$6,0)+IF(AND(Projects!$G$7="Yes",Projects!$F$7="Yes",89=Projects!$C$7),Projects!$B$7*Projects!$I$7,0)+IF(AND(Projects!$G$8="Yes",Projects!$F$8="Yes",89=Projects!$C$8),Projects!$B$8*Projects!$I$8,0)+IF(AND(Projects!$G$9="Yes",Projects!$F$9="Yes",89=Projects!$C$9),Projects!$B$9*Projects!$I$9,0)+IF(AND(Projects!$G$10="Yes",Projects!$F$10="Yes",89=Projects!$C$10),Projects!$B$10*Projects!$I$10,0)+IF(AND(Projects!$G$11="Yes",Projects!$F$11="Yes",89=Projects!$C$11),Projects!$B$11*Projects!$I$11,0)+IF(AND(Projects!$G$12="Yes",Projects!$F$12="Yes",89=Projects!$C$12),Projects!$B$12*Projects!$I$12,0)+IF(AND(Projects!$G$13="Yes",Projects!$F$13="Yes",89=Projects!$C$13),Projects!$B$13*Projects!$I$13,0)+IF(AND(Projects!$G$14="Yes",Projects!$F$14="Yes",89=Projects!$C$14),Projects!$B$14*Projects!$I$14,0)+IF(AND(Projects!$G$15="Yes",Projects!$F$15="Yes",89=Projects!$C$15),Projects!$B$15*Projects!$I$15,0)+IF(AND(Projects!$G$16="Yes",Projects!$F$16="Yes",89=Projects!$C$16),Projects!$B$16*Projects!$I$16,0)+IF(AND(Projects!$G$7="Yes",89=Projects!$C$7),Assumptions!$D$18,0)),Actuals!CP16)</f>
        <v>-0</v>
      </c>
      <c r="CP106" s="14" t="n">
        <f aca="false">IF(ISBLANK(Actuals!CQ16),-(IF(AND(Projects!$G$6="Yes",Projects!$F$6="Yes",90=Projects!$C$6),Projects!$B$6*Projects!$I$6,0)+IF(AND(Projects!$G$7="Yes",Projects!$F$7="Yes",90=Projects!$C$7),Projects!$B$7*Projects!$I$7,0)+IF(AND(Projects!$G$8="Yes",Projects!$F$8="Yes",90=Projects!$C$8),Projects!$B$8*Projects!$I$8,0)+IF(AND(Projects!$G$9="Yes",Projects!$F$9="Yes",90=Projects!$C$9),Projects!$B$9*Projects!$I$9,0)+IF(AND(Projects!$G$10="Yes",Projects!$F$10="Yes",90=Projects!$C$10),Projects!$B$10*Projects!$I$10,0)+IF(AND(Projects!$G$11="Yes",Projects!$F$11="Yes",90=Projects!$C$11),Projects!$B$11*Projects!$I$11,0)+IF(AND(Projects!$G$12="Yes",Projects!$F$12="Yes",90=Projects!$C$12),Projects!$B$12*Projects!$I$12,0)+IF(AND(Projects!$G$13="Yes",Projects!$F$13="Yes",90=Projects!$C$13),Projects!$B$13*Projects!$I$13,0)+IF(AND(Projects!$G$14="Yes",Projects!$F$14="Yes",90=Projects!$C$14),Projects!$B$14*Projects!$I$14,0)+IF(AND(Projects!$G$15="Yes",Projects!$F$15="Yes",90=Projects!$C$15),Projects!$B$15*Projects!$I$15,0)+IF(AND(Projects!$G$16="Yes",Projects!$F$16="Yes",90=Projects!$C$16),Projects!$B$16*Projects!$I$16,0)+IF(AND(Projects!$G$7="Yes",90=Projects!$C$7),Assumptions!$D$18,0)),Actuals!CQ16)</f>
        <v>-0</v>
      </c>
      <c r="CQ106" s="14" t="n">
        <f aca="false">IF(ISBLANK(Actuals!CR16),-(IF(AND(Projects!$G$6="Yes",Projects!$F$6="Yes",91=Projects!$C$6),Projects!$B$6*Projects!$I$6,0)+IF(AND(Projects!$G$7="Yes",Projects!$F$7="Yes",91=Projects!$C$7),Projects!$B$7*Projects!$I$7,0)+IF(AND(Projects!$G$8="Yes",Projects!$F$8="Yes",91=Projects!$C$8),Projects!$B$8*Projects!$I$8,0)+IF(AND(Projects!$G$9="Yes",Projects!$F$9="Yes",91=Projects!$C$9),Projects!$B$9*Projects!$I$9,0)+IF(AND(Projects!$G$10="Yes",Projects!$F$10="Yes",91=Projects!$C$10),Projects!$B$10*Projects!$I$10,0)+IF(AND(Projects!$G$11="Yes",Projects!$F$11="Yes",91=Projects!$C$11),Projects!$B$11*Projects!$I$11,0)+IF(AND(Projects!$G$12="Yes",Projects!$F$12="Yes",91=Projects!$C$12),Projects!$B$12*Projects!$I$12,0)+IF(AND(Projects!$G$13="Yes",Projects!$F$13="Yes",91=Projects!$C$13),Projects!$B$13*Projects!$I$13,0)+IF(AND(Projects!$G$14="Yes",Projects!$F$14="Yes",91=Projects!$C$14),Projects!$B$14*Projects!$I$14,0)+IF(AND(Projects!$G$15="Yes",Projects!$F$15="Yes",91=Projects!$C$15),Projects!$B$15*Projects!$I$15,0)+IF(AND(Projects!$G$16="Yes",Projects!$F$16="Yes",91=Projects!$C$16),Projects!$B$16*Projects!$I$16,0)+IF(AND(Projects!$G$7="Yes",91=Projects!$C$7),Assumptions!$D$18,0)),Actuals!CR16)</f>
        <v>-0</v>
      </c>
      <c r="CR106" s="14" t="n">
        <f aca="false">IF(ISBLANK(Actuals!CS16),-(IF(AND(Projects!$G$6="Yes",Projects!$F$6="Yes",92=Projects!$C$6),Projects!$B$6*Projects!$I$6,0)+IF(AND(Projects!$G$7="Yes",Projects!$F$7="Yes",92=Projects!$C$7),Projects!$B$7*Projects!$I$7,0)+IF(AND(Projects!$G$8="Yes",Projects!$F$8="Yes",92=Projects!$C$8),Projects!$B$8*Projects!$I$8,0)+IF(AND(Projects!$G$9="Yes",Projects!$F$9="Yes",92=Projects!$C$9),Projects!$B$9*Projects!$I$9,0)+IF(AND(Projects!$G$10="Yes",Projects!$F$10="Yes",92=Projects!$C$10),Projects!$B$10*Projects!$I$10,0)+IF(AND(Projects!$G$11="Yes",Projects!$F$11="Yes",92=Projects!$C$11),Projects!$B$11*Projects!$I$11,0)+IF(AND(Projects!$G$12="Yes",Projects!$F$12="Yes",92=Projects!$C$12),Projects!$B$12*Projects!$I$12,0)+IF(AND(Projects!$G$13="Yes",Projects!$F$13="Yes",92=Projects!$C$13),Projects!$B$13*Projects!$I$13,0)+IF(AND(Projects!$G$14="Yes",Projects!$F$14="Yes",92=Projects!$C$14),Projects!$B$14*Projects!$I$14,0)+IF(AND(Projects!$G$15="Yes",Projects!$F$15="Yes",92=Projects!$C$15),Projects!$B$15*Projects!$I$15,0)+IF(AND(Projects!$G$16="Yes",Projects!$F$16="Yes",92=Projects!$C$16),Projects!$B$16*Projects!$I$16,0)+IF(AND(Projects!$G$7="Yes",92=Projects!$C$7),Assumptions!$D$18,0)),Actuals!CS16)</f>
        <v>-0</v>
      </c>
      <c r="CS106" s="14" t="n">
        <f aca="false">IF(ISBLANK(Actuals!CT16),-(IF(AND(Projects!$G$6="Yes",Projects!$F$6="Yes",93=Projects!$C$6),Projects!$B$6*Projects!$I$6,0)+IF(AND(Projects!$G$7="Yes",Projects!$F$7="Yes",93=Projects!$C$7),Projects!$B$7*Projects!$I$7,0)+IF(AND(Projects!$G$8="Yes",Projects!$F$8="Yes",93=Projects!$C$8),Projects!$B$8*Projects!$I$8,0)+IF(AND(Projects!$G$9="Yes",Projects!$F$9="Yes",93=Projects!$C$9),Projects!$B$9*Projects!$I$9,0)+IF(AND(Projects!$G$10="Yes",Projects!$F$10="Yes",93=Projects!$C$10),Projects!$B$10*Projects!$I$10,0)+IF(AND(Projects!$G$11="Yes",Projects!$F$11="Yes",93=Projects!$C$11),Projects!$B$11*Projects!$I$11,0)+IF(AND(Projects!$G$12="Yes",Projects!$F$12="Yes",93=Projects!$C$12),Projects!$B$12*Projects!$I$12,0)+IF(AND(Projects!$G$13="Yes",Projects!$F$13="Yes",93=Projects!$C$13),Projects!$B$13*Projects!$I$13,0)+IF(AND(Projects!$G$14="Yes",Projects!$F$14="Yes",93=Projects!$C$14),Projects!$B$14*Projects!$I$14,0)+IF(AND(Projects!$G$15="Yes",Projects!$F$15="Yes",93=Projects!$C$15),Projects!$B$15*Projects!$I$15,0)+IF(AND(Projects!$G$16="Yes",Projects!$F$16="Yes",93=Projects!$C$16),Projects!$B$16*Projects!$I$16,0)+IF(AND(Projects!$G$7="Yes",93=Projects!$C$7),Assumptions!$D$18,0)),Actuals!CT16)</f>
        <v>-0</v>
      </c>
      <c r="CT106" s="14" t="n">
        <f aca="false">IF(ISBLANK(Actuals!CU16),-(IF(AND(Projects!$G$6="Yes",Projects!$F$6="Yes",94=Projects!$C$6),Projects!$B$6*Projects!$I$6,0)+IF(AND(Projects!$G$7="Yes",Projects!$F$7="Yes",94=Projects!$C$7),Projects!$B$7*Projects!$I$7,0)+IF(AND(Projects!$G$8="Yes",Projects!$F$8="Yes",94=Projects!$C$8),Projects!$B$8*Projects!$I$8,0)+IF(AND(Projects!$G$9="Yes",Projects!$F$9="Yes",94=Projects!$C$9),Projects!$B$9*Projects!$I$9,0)+IF(AND(Projects!$G$10="Yes",Projects!$F$10="Yes",94=Projects!$C$10),Projects!$B$10*Projects!$I$10,0)+IF(AND(Projects!$G$11="Yes",Projects!$F$11="Yes",94=Projects!$C$11),Projects!$B$11*Projects!$I$11,0)+IF(AND(Projects!$G$12="Yes",Projects!$F$12="Yes",94=Projects!$C$12),Projects!$B$12*Projects!$I$12,0)+IF(AND(Projects!$G$13="Yes",Projects!$F$13="Yes",94=Projects!$C$13),Projects!$B$13*Projects!$I$13,0)+IF(AND(Projects!$G$14="Yes",Projects!$F$14="Yes",94=Projects!$C$14),Projects!$B$14*Projects!$I$14,0)+IF(AND(Projects!$G$15="Yes",Projects!$F$15="Yes",94=Projects!$C$15),Projects!$B$15*Projects!$I$15,0)+IF(AND(Projects!$G$16="Yes",Projects!$F$16="Yes",94=Projects!$C$16),Projects!$B$16*Projects!$I$16,0)+IF(AND(Projects!$G$7="Yes",94=Projects!$C$7),Assumptions!$D$18,0)),Actuals!CU16)</f>
        <v>-0</v>
      </c>
      <c r="CU106" s="14" t="n">
        <f aca="false">IF(ISBLANK(Actuals!CV16),-(IF(AND(Projects!$G$6="Yes",Projects!$F$6="Yes",95=Projects!$C$6),Projects!$B$6*Projects!$I$6,0)+IF(AND(Projects!$G$7="Yes",Projects!$F$7="Yes",95=Projects!$C$7),Projects!$B$7*Projects!$I$7,0)+IF(AND(Projects!$G$8="Yes",Projects!$F$8="Yes",95=Projects!$C$8),Projects!$B$8*Projects!$I$8,0)+IF(AND(Projects!$G$9="Yes",Projects!$F$9="Yes",95=Projects!$C$9),Projects!$B$9*Projects!$I$9,0)+IF(AND(Projects!$G$10="Yes",Projects!$F$10="Yes",95=Projects!$C$10),Projects!$B$10*Projects!$I$10,0)+IF(AND(Projects!$G$11="Yes",Projects!$F$11="Yes",95=Projects!$C$11),Projects!$B$11*Projects!$I$11,0)+IF(AND(Projects!$G$12="Yes",Projects!$F$12="Yes",95=Projects!$C$12),Projects!$B$12*Projects!$I$12,0)+IF(AND(Projects!$G$13="Yes",Projects!$F$13="Yes",95=Projects!$C$13),Projects!$B$13*Projects!$I$13,0)+IF(AND(Projects!$G$14="Yes",Projects!$F$14="Yes",95=Projects!$C$14),Projects!$B$14*Projects!$I$14,0)+IF(AND(Projects!$G$15="Yes",Projects!$F$15="Yes",95=Projects!$C$15),Projects!$B$15*Projects!$I$15,0)+IF(AND(Projects!$G$16="Yes",Projects!$F$16="Yes",95=Projects!$C$16),Projects!$B$16*Projects!$I$16,0)+IF(AND(Projects!$G$7="Yes",95=Projects!$C$7),Assumptions!$D$18,0)),Actuals!CV16)</f>
        <v>-0</v>
      </c>
      <c r="CV106" s="14" t="n">
        <f aca="false">IF(ISBLANK(Actuals!CW16),-(IF(AND(Projects!$G$6="Yes",Projects!$F$6="Yes",96=Projects!$C$6),Projects!$B$6*Projects!$I$6,0)+IF(AND(Projects!$G$7="Yes",Projects!$F$7="Yes",96=Projects!$C$7),Projects!$B$7*Projects!$I$7,0)+IF(AND(Projects!$G$8="Yes",Projects!$F$8="Yes",96=Projects!$C$8),Projects!$B$8*Projects!$I$8,0)+IF(AND(Projects!$G$9="Yes",Projects!$F$9="Yes",96=Projects!$C$9),Projects!$B$9*Projects!$I$9,0)+IF(AND(Projects!$G$10="Yes",Projects!$F$10="Yes",96=Projects!$C$10),Projects!$B$10*Projects!$I$10,0)+IF(AND(Projects!$G$11="Yes",Projects!$F$11="Yes",96=Projects!$C$11),Projects!$B$11*Projects!$I$11,0)+IF(AND(Projects!$G$12="Yes",Projects!$F$12="Yes",96=Projects!$C$12),Projects!$B$12*Projects!$I$12,0)+IF(AND(Projects!$G$13="Yes",Projects!$F$13="Yes",96=Projects!$C$13),Projects!$B$13*Projects!$I$13,0)+IF(AND(Projects!$G$14="Yes",Projects!$F$14="Yes",96=Projects!$C$14),Projects!$B$14*Projects!$I$14,0)+IF(AND(Projects!$G$15="Yes",Projects!$F$15="Yes",96=Projects!$C$15),Projects!$B$15*Projects!$I$15,0)+IF(AND(Projects!$G$16="Yes",Projects!$F$16="Yes",96=Projects!$C$16),Projects!$B$16*Projects!$I$16,0)+IF(AND(Projects!$G$7="Yes",96=Projects!$C$7),Assumptions!$D$18,0)),Actuals!CW16)</f>
        <v>-0</v>
      </c>
      <c r="CW106" s="14" t="n">
        <f aca="false">IF(ISBLANK(Actuals!CX16),-(IF(AND(Projects!$G$6="Yes",Projects!$F$6="Yes",97=Projects!$C$6),Projects!$B$6*Projects!$I$6,0)+IF(AND(Projects!$G$7="Yes",Projects!$F$7="Yes",97=Projects!$C$7),Projects!$B$7*Projects!$I$7,0)+IF(AND(Projects!$G$8="Yes",Projects!$F$8="Yes",97=Projects!$C$8),Projects!$B$8*Projects!$I$8,0)+IF(AND(Projects!$G$9="Yes",Projects!$F$9="Yes",97=Projects!$C$9),Projects!$B$9*Projects!$I$9,0)+IF(AND(Projects!$G$10="Yes",Projects!$F$10="Yes",97=Projects!$C$10),Projects!$B$10*Projects!$I$10,0)+IF(AND(Projects!$G$11="Yes",Projects!$F$11="Yes",97=Projects!$C$11),Projects!$B$11*Projects!$I$11,0)+IF(AND(Projects!$G$12="Yes",Projects!$F$12="Yes",97=Projects!$C$12),Projects!$B$12*Projects!$I$12,0)+IF(AND(Projects!$G$13="Yes",Projects!$F$13="Yes",97=Projects!$C$13),Projects!$B$13*Projects!$I$13,0)+IF(AND(Projects!$G$14="Yes",Projects!$F$14="Yes",97=Projects!$C$14),Projects!$B$14*Projects!$I$14,0)+IF(AND(Projects!$G$15="Yes",Projects!$F$15="Yes",97=Projects!$C$15),Projects!$B$15*Projects!$I$15,0)+IF(AND(Projects!$G$16="Yes",Projects!$F$16="Yes",97=Projects!$C$16),Projects!$B$16*Projects!$I$16,0)+IF(AND(Projects!$G$7="Yes",97=Projects!$C$7),Assumptions!$D$18,0)),Actuals!CX16)</f>
        <v>-0</v>
      </c>
      <c r="CX106" s="14" t="n">
        <f aca="false">IF(ISBLANK(Actuals!CY16),-(IF(AND(Projects!$G$6="Yes",Projects!$F$6="Yes",98=Projects!$C$6),Projects!$B$6*Projects!$I$6,0)+IF(AND(Projects!$G$7="Yes",Projects!$F$7="Yes",98=Projects!$C$7),Projects!$B$7*Projects!$I$7,0)+IF(AND(Projects!$G$8="Yes",Projects!$F$8="Yes",98=Projects!$C$8),Projects!$B$8*Projects!$I$8,0)+IF(AND(Projects!$G$9="Yes",Projects!$F$9="Yes",98=Projects!$C$9),Projects!$B$9*Projects!$I$9,0)+IF(AND(Projects!$G$10="Yes",Projects!$F$10="Yes",98=Projects!$C$10),Projects!$B$10*Projects!$I$10,0)+IF(AND(Projects!$G$11="Yes",Projects!$F$11="Yes",98=Projects!$C$11),Projects!$B$11*Projects!$I$11,0)+IF(AND(Projects!$G$12="Yes",Projects!$F$12="Yes",98=Projects!$C$12),Projects!$B$12*Projects!$I$12,0)+IF(AND(Projects!$G$13="Yes",Projects!$F$13="Yes",98=Projects!$C$13),Projects!$B$13*Projects!$I$13,0)+IF(AND(Projects!$G$14="Yes",Projects!$F$14="Yes",98=Projects!$C$14),Projects!$B$14*Projects!$I$14,0)+IF(AND(Projects!$G$15="Yes",Projects!$F$15="Yes",98=Projects!$C$15),Projects!$B$15*Projects!$I$15,0)+IF(AND(Projects!$G$16="Yes",Projects!$F$16="Yes",98=Projects!$C$16),Projects!$B$16*Projects!$I$16,0)+IF(AND(Projects!$G$7="Yes",98=Projects!$C$7),Assumptions!$D$18,0)),Actuals!CY16)</f>
        <v>-0</v>
      </c>
      <c r="CY106" s="14" t="n">
        <f aca="false">IF(ISBLANK(Actuals!CZ16),-(IF(AND(Projects!$G$6="Yes",Projects!$F$6="Yes",99=Projects!$C$6),Projects!$B$6*Projects!$I$6,0)+IF(AND(Projects!$G$7="Yes",Projects!$F$7="Yes",99=Projects!$C$7),Projects!$B$7*Projects!$I$7,0)+IF(AND(Projects!$G$8="Yes",Projects!$F$8="Yes",99=Projects!$C$8),Projects!$B$8*Projects!$I$8,0)+IF(AND(Projects!$G$9="Yes",Projects!$F$9="Yes",99=Projects!$C$9),Projects!$B$9*Projects!$I$9,0)+IF(AND(Projects!$G$10="Yes",Projects!$F$10="Yes",99=Projects!$C$10),Projects!$B$10*Projects!$I$10,0)+IF(AND(Projects!$G$11="Yes",Projects!$F$11="Yes",99=Projects!$C$11),Projects!$B$11*Projects!$I$11,0)+IF(AND(Projects!$G$12="Yes",Projects!$F$12="Yes",99=Projects!$C$12),Projects!$B$12*Projects!$I$12,0)+IF(AND(Projects!$G$13="Yes",Projects!$F$13="Yes",99=Projects!$C$13),Projects!$B$13*Projects!$I$13,0)+IF(AND(Projects!$G$14="Yes",Projects!$F$14="Yes",99=Projects!$C$14),Projects!$B$14*Projects!$I$14,0)+IF(AND(Projects!$G$15="Yes",Projects!$F$15="Yes",99=Projects!$C$15),Projects!$B$15*Projects!$I$15,0)+IF(AND(Projects!$G$16="Yes",Projects!$F$16="Yes",99=Projects!$C$16),Projects!$B$16*Projects!$I$16,0)+IF(AND(Projects!$G$7="Yes",99=Projects!$C$7),Assumptions!$D$18,0)),Actuals!CZ16)</f>
        <v>-0</v>
      </c>
      <c r="CZ106" s="14" t="n">
        <f aca="false">IF(ISBLANK(Actuals!DA16),-(IF(AND(Projects!$G$6="Yes",Projects!$F$6="Yes",100=Projects!$C$6),Projects!$B$6*Projects!$I$6,0)+IF(AND(Projects!$G$7="Yes",Projects!$F$7="Yes",100=Projects!$C$7),Projects!$B$7*Projects!$I$7,0)+IF(AND(Projects!$G$8="Yes",Projects!$F$8="Yes",100=Projects!$C$8),Projects!$B$8*Projects!$I$8,0)+IF(AND(Projects!$G$9="Yes",Projects!$F$9="Yes",100=Projects!$C$9),Projects!$B$9*Projects!$I$9,0)+IF(AND(Projects!$G$10="Yes",Projects!$F$10="Yes",100=Projects!$C$10),Projects!$B$10*Projects!$I$10,0)+IF(AND(Projects!$G$11="Yes",Projects!$F$11="Yes",100=Projects!$C$11),Projects!$B$11*Projects!$I$11,0)+IF(AND(Projects!$G$12="Yes",Projects!$F$12="Yes",100=Projects!$C$12),Projects!$B$12*Projects!$I$12,0)+IF(AND(Projects!$G$13="Yes",Projects!$F$13="Yes",100=Projects!$C$13),Projects!$B$13*Projects!$I$13,0)+IF(AND(Projects!$G$14="Yes",Projects!$F$14="Yes",100=Projects!$C$14),Projects!$B$14*Projects!$I$14,0)+IF(AND(Projects!$G$15="Yes",Projects!$F$15="Yes",100=Projects!$C$15),Projects!$B$15*Projects!$I$15,0)+IF(AND(Projects!$G$16="Yes",Projects!$F$16="Yes",100=Projects!$C$16),Projects!$B$16*Projects!$I$16,0)+IF(AND(Projects!$G$7="Yes",100=Projects!$C$7),Assumptions!$D$18,0)),Actuals!DA16)</f>
        <v>-0</v>
      </c>
      <c r="DA106" s="14" t="n">
        <f aca="false">IF(ISBLANK(Actuals!DB16),-(IF(AND(Projects!$G$6="Yes",Projects!$F$6="Yes",101=Projects!$C$6),Projects!$B$6*Projects!$I$6,0)+IF(AND(Projects!$G$7="Yes",Projects!$F$7="Yes",101=Projects!$C$7),Projects!$B$7*Projects!$I$7,0)+IF(AND(Projects!$G$8="Yes",Projects!$F$8="Yes",101=Projects!$C$8),Projects!$B$8*Projects!$I$8,0)+IF(AND(Projects!$G$9="Yes",Projects!$F$9="Yes",101=Projects!$C$9),Projects!$B$9*Projects!$I$9,0)+IF(AND(Projects!$G$10="Yes",Projects!$F$10="Yes",101=Projects!$C$10),Projects!$B$10*Projects!$I$10,0)+IF(AND(Projects!$G$11="Yes",Projects!$F$11="Yes",101=Projects!$C$11),Projects!$B$11*Projects!$I$11,0)+IF(AND(Projects!$G$12="Yes",Projects!$F$12="Yes",101=Projects!$C$12),Projects!$B$12*Projects!$I$12,0)+IF(AND(Projects!$G$13="Yes",Projects!$F$13="Yes",101=Projects!$C$13),Projects!$B$13*Projects!$I$13,0)+IF(AND(Projects!$G$14="Yes",Projects!$F$14="Yes",101=Projects!$C$14),Projects!$B$14*Projects!$I$14,0)+IF(AND(Projects!$G$15="Yes",Projects!$F$15="Yes",101=Projects!$C$15),Projects!$B$15*Projects!$I$15,0)+IF(AND(Projects!$G$16="Yes",Projects!$F$16="Yes",101=Projects!$C$16),Projects!$B$16*Projects!$I$16,0)+IF(AND(Projects!$G$7="Yes",101=Projects!$C$7),Assumptions!$D$18,0)),Actuals!DB16)</f>
        <v>-0</v>
      </c>
      <c r="DB106" s="14" t="n">
        <f aca="false">IF(ISBLANK(Actuals!DC16),-(IF(AND(Projects!$G$6="Yes",Projects!$F$6="Yes",102=Projects!$C$6),Projects!$B$6*Projects!$I$6,0)+IF(AND(Projects!$G$7="Yes",Projects!$F$7="Yes",102=Projects!$C$7),Projects!$B$7*Projects!$I$7,0)+IF(AND(Projects!$G$8="Yes",Projects!$F$8="Yes",102=Projects!$C$8),Projects!$B$8*Projects!$I$8,0)+IF(AND(Projects!$G$9="Yes",Projects!$F$9="Yes",102=Projects!$C$9),Projects!$B$9*Projects!$I$9,0)+IF(AND(Projects!$G$10="Yes",Projects!$F$10="Yes",102=Projects!$C$10),Projects!$B$10*Projects!$I$10,0)+IF(AND(Projects!$G$11="Yes",Projects!$F$11="Yes",102=Projects!$C$11),Projects!$B$11*Projects!$I$11,0)+IF(AND(Projects!$G$12="Yes",Projects!$F$12="Yes",102=Projects!$C$12),Projects!$B$12*Projects!$I$12,0)+IF(AND(Projects!$G$13="Yes",Projects!$F$13="Yes",102=Projects!$C$13),Projects!$B$13*Projects!$I$13,0)+IF(AND(Projects!$G$14="Yes",Projects!$F$14="Yes",102=Projects!$C$14),Projects!$B$14*Projects!$I$14,0)+IF(AND(Projects!$G$15="Yes",Projects!$F$15="Yes",102=Projects!$C$15),Projects!$B$15*Projects!$I$15,0)+IF(AND(Projects!$G$16="Yes",Projects!$F$16="Yes",102=Projects!$C$16),Projects!$B$16*Projects!$I$16,0)+IF(AND(Projects!$G$7="Yes",102=Projects!$C$7),Assumptions!$D$18,0)),Actuals!DC16)</f>
        <v>-0</v>
      </c>
      <c r="DC106" s="14" t="n">
        <f aca="false">IF(ISBLANK(Actuals!DD16),-(IF(AND(Projects!$G$6="Yes",Projects!$F$6="Yes",103=Projects!$C$6),Projects!$B$6*Projects!$I$6,0)+IF(AND(Projects!$G$7="Yes",Projects!$F$7="Yes",103=Projects!$C$7),Projects!$B$7*Projects!$I$7,0)+IF(AND(Projects!$G$8="Yes",Projects!$F$8="Yes",103=Projects!$C$8),Projects!$B$8*Projects!$I$8,0)+IF(AND(Projects!$G$9="Yes",Projects!$F$9="Yes",103=Projects!$C$9),Projects!$B$9*Projects!$I$9,0)+IF(AND(Projects!$G$10="Yes",Projects!$F$10="Yes",103=Projects!$C$10),Projects!$B$10*Projects!$I$10,0)+IF(AND(Projects!$G$11="Yes",Projects!$F$11="Yes",103=Projects!$C$11),Projects!$B$11*Projects!$I$11,0)+IF(AND(Projects!$G$12="Yes",Projects!$F$12="Yes",103=Projects!$C$12),Projects!$B$12*Projects!$I$12,0)+IF(AND(Projects!$G$13="Yes",Projects!$F$13="Yes",103=Projects!$C$13),Projects!$B$13*Projects!$I$13,0)+IF(AND(Projects!$G$14="Yes",Projects!$F$14="Yes",103=Projects!$C$14),Projects!$B$14*Projects!$I$14,0)+IF(AND(Projects!$G$15="Yes",Projects!$F$15="Yes",103=Projects!$C$15),Projects!$B$15*Projects!$I$15,0)+IF(AND(Projects!$G$16="Yes",Projects!$F$16="Yes",103=Projects!$C$16),Projects!$B$16*Projects!$I$16,0)+IF(AND(Projects!$G$7="Yes",103=Projects!$C$7),Assumptions!$D$18,0)),Actuals!DD16)</f>
        <v>-0</v>
      </c>
      <c r="DD106" s="14" t="n">
        <f aca="false">IF(ISBLANK(Actuals!DE16),-(IF(AND(Projects!$G$6="Yes",Projects!$F$6="Yes",104=Projects!$C$6),Projects!$B$6*Projects!$I$6,0)+IF(AND(Projects!$G$7="Yes",Projects!$F$7="Yes",104=Projects!$C$7),Projects!$B$7*Projects!$I$7,0)+IF(AND(Projects!$G$8="Yes",Projects!$F$8="Yes",104=Projects!$C$8),Projects!$B$8*Projects!$I$8,0)+IF(AND(Projects!$G$9="Yes",Projects!$F$9="Yes",104=Projects!$C$9),Projects!$B$9*Projects!$I$9,0)+IF(AND(Projects!$G$10="Yes",Projects!$F$10="Yes",104=Projects!$C$10),Projects!$B$10*Projects!$I$10,0)+IF(AND(Projects!$G$11="Yes",Projects!$F$11="Yes",104=Projects!$C$11),Projects!$B$11*Projects!$I$11,0)+IF(AND(Projects!$G$12="Yes",Projects!$F$12="Yes",104=Projects!$C$12),Projects!$B$12*Projects!$I$12,0)+IF(AND(Projects!$G$13="Yes",Projects!$F$13="Yes",104=Projects!$C$13),Projects!$B$13*Projects!$I$13,0)+IF(AND(Projects!$G$14="Yes",Projects!$F$14="Yes",104=Projects!$C$14),Projects!$B$14*Projects!$I$14,0)+IF(AND(Projects!$G$15="Yes",Projects!$F$15="Yes",104=Projects!$C$15),Projects!$B$15*Projects!$I$15,0)+IF(AND(Projects!$G$16="Yes",Projects!$F$16="Yes",104=Projects!$C$16),Projects!$B$16*Projects!$I$16,0)+IF(AND(Projects!$G$7="Yes",104=Projects!$C$7),Assumptions!$D$18,0)),Actuals!DE16)</f>
        <v>-0</v>
      </c>
      <c r="DE106" s="14" t="n">
        <f aca="false">IF(ISBLANK(Actuals!DF16),-(IF(AND(Projects!$G$6="Yes",Projects!$F$6="Yes",105=Projects!$C$6),Projects!$B$6*Projects!$I$6,0)+IF(AND(Projects!$G$7="Yes",Projects!$F$7="Yes",105=Projects!$C$7),Projects!$B$7*Projects!$I$7,0)+IF(AND(Projects!$G$8="Yes",Projects!$F$8="Yes",105=Projects!$C$8),Projects!$B$8*Projects!$I$8,0)+IF(AND(Projects!$G$9="Yes",Projects!$F$9="Yes",105=Projects!$C$9),Projects!$B$9*Projects!$I$9,0)+IF(AND(Projects!$G$10="Yes",Projects!$F$10="Yes",105=Projects!$C$10),Projects!$B$10*Projects!$I$10,0)+IF(AND(Projects!$G$11="Yes",Projects!$F$11="Yes",105=Projects!$C$11),Projects!$B$11*Projects!$I$11,0)+IF(AND(Projects!$G$12="Yes",Projects!$F$12="Yes",105=Projects!$C$12),Projects!$B$12*Projects!$I$12,0)+IF(AND(Projects!$G$13="Yes",Projects!$F$13="Yes",105=Projects!$C$13),Projects!$B$13*Projects!$I$13,0)+IF(AND(Projects!$G$14="Yes",Projects!$F$14="Yes",105=Projects!$C$14),Projects!$B$14*Projects!$I$14,0)+IF(AND(Projects!$G$15="Yes",Projects!$F$15="Yes",105=Projects!$C$15),Projects!$B$15*Projects!$I$15,0)+IF(AND(Projects!$G$16="Yes",Projects!$F$16="Yes",105=Projects!$C$16),Projects!$B$16*Projects!$I$16,0)+IF(AND(Projects!$G$7="Yes",105=Projects!$C$7),Assumptions!$D$18,0)),Actuals!DF16)</f>
        <v>-0</v>
      </c>
    </row>
    <row r="107" customFormat="false" ht="15" hidden="false" customHeight="true" outlineLevel="0" collapsed="false">
      <c r="A107" s="35" t="s">
        <v>57</v>
      </c>
      <c r="B107" s="36" t="n">
        <f aca="false">B10+B11+B57+B104+B105+B106</f>
        <v>218756.86</v>
      </c>
      <c r="C107" s="36" t="n">
        <f aca="false">C10+C11+C57+C104+C105+C106</f>
        <v>-51000.77</v>
      </c>
      <c r="D107" s="36" t="n">
        <f aca="false">D10+D11+D57+D104+D105+D106</f>
        <v>594184.52</v>
      </c>
      <c r="E107" s="36" t="n">
        <f aca="false">E10+E11+E57+E104+E105+E106</f>
        <v>447358.25</v>
      </c>
      <c r="F107" s="36" t="n">
        <f aca="false">F10+F11+F57+F104+F105+F106</f>
        <v>473786.7</v>
      </c>
      <c r="G107" s="36" t="n">
        <f aca="false">G10+G11+G57+G104+G105+G106</f>
        <v>651645.13</v>
      </c>
      <c r="H107" s="36" t="n">
        <f aca="false">H10+H11+H57+H104+H105+H106</f>
        <v>453210.539583304</v>
      </c>
      <c r="I107" s="36" t="n">
        <f aca="false">I10+I11+I57+I104+I105+I106</f>
        <v>780640.358165302</v>
      </c>
      <c r="J107" s="36" t="n">
        <f aca="false">J10+J11+J57+J104+J105+J106</f>
        <v>460189.159719214</v>
      </c>
      <c r="K107" s="36" t="n">
        <f aca="false">K10+K11+K57+K104+K105+K106</f>
        <v>917026.006192911</v>
      </c>
      <c r="L107" s="36" t="n">
        <f aca="false">L10+L11+L57+L104+L105+L106</f>
        <v>893119.652392856</v>
      </c>
      <c r="M107" s="36" t="n">
        <f aca="false">M10+M11+M57+M104+M105+M106</f>
        <v>805010.145927133</v>
      </c>
      <c r="N107" s="36" t="n">
        <f aca="false">N10+N11+N57+N104+N105+N106</f>
        <v>783060.08015205</v>
      </c>
      <c r="O107" s="36" t="n">
        <f aca="false">O10+O11+O57+O104+O105+O106</f>
        <v>757463.405634305</v>
      </c>
      <c r="P107" s="36" t="n">
        <f aca="false">P10+P11+P57+P104+P105+P106</f>
        <v>729536.780992099</v>
      </c>
      <c r="Q107" s="36" t="n">
        <f aca="false">Q10+Q11+Q57+Q104+Q105+Q106</f>
        <v>81016.6818575852</v>
      </c>
      <c r="R107" s="36" t="n">
        <f aca="false">R10+R11+R57+R104+R105+R106</f>
        <v>844476.66374265</v>
      </c>
      <c r="S107" s="36" t="n">
        <f aca="false">S10+S11+S57+S104+S105+S106</f>
        <v>817039.316223796</v>
      </c>
      <c r="T107" s="36" t="n">
        <f aca="false">T10+T11+T57+T104+T105+T106</f>
        <v>741904.177723487</v>
      </c>
      <c r="U107" s="36" t="n">
        <f aca="false">U10+U11+U57+U104+U105+U106</f>
        <v>689345.842642927</v>
      </c>
      <c r="V107" s="36" t="n">
        <f aca="false">V10+V11+V57+V104+V105+V106</f>
        <v>686562.941985288</v>
      </c>
      <c r="W107" s="36" t="n">
        <f aca="false">W10+W11+W57+W104+W105+W106</f>
        <v>683977.548188786</v>
      </c>
      <c r="X107" s="36" t="n">
        <f aca="false">X10+X11+X57+X104+X105+X106</f>
        <v>672997.90576376</v>
      </c>
      <c r="Y107" s="36" t="n">
        <f aca="false">Y10+Y11+Y57+Y104+Y105+Y106</f>
        <v>672997.90576376</v>
      </c>
      <c r="Z107" s="36" t="n">
        <f aca="false">Z10+Z11+Z57+Z104+Z105+Z106</f>
        <v>672997.90576376</v>
      </c>
      <c r="AA107" s="36" t="n">
        <f aca="false">AA10+AA11+AA57+AA104+AA105+AA106</f>
        <v>751214.590385538</v>
      </c>
      <c r="AB107" s="36" t="n">
        <f aca="false">AB10+AB11+AB57+AB104+AB105+AB106</f>
        <v>594781.221141983</v>
      </c>
      <c r="AC107" s="36" t="n">
        <f aca="false">AC10+AC11+AC57+AC104+AC105+AC106</f>
        <v>697849.834341582</v>
      </c>
      <c r="AD107" s="36" t="n">
        <f aca="false">AD10+AD11+AD57+AD104+AD105+AD106</f>
        <v>491712.607942382</v>
      </c>
      <c r="AE107" s="36" t="n">
        <f aca="false">AE10+AE11+AE57+AE104+AE105+AE106</f>
        <v>-74333.8111890708</v>
      </c>
      <c r="AF107" s="36" t="n">
        <f aca="false">AF10+AF11+AF57+AF104+AF105+AF106</f>
        <v>649372.248810929</v>
      </c>
      <c r="AG107" s="36" t="n">
        <f aca="false">AG10+AG11+AG57+AG104+AG105+AG106</f>
        <v>777368.378378679</v>
      </c>
      <c r="AH107" s="36" t="n">
        <f aca="false">AH10+AH11+AH57+AH104+AH105+AH106</f>
        <v>548041.979569794</v>
      </c>
      <c r="AI107" s="36" t="n">
        <f aca="false">AI10+AI11+AI57+AI104+AI105+AI106</f>
        <v>548041.979569794</v>
      </c>
      <c r="AJ107" s="36" t="n">
        <f aca="false">AJ10+AJ11+AJ57+AJ104+AJ105+AJ106</f>
        <v>548041.979569794</v>
      </c>
      <c r="AK107" s="36" t="n">
        <f aca="false">AK10+AK11+AK57+AK104+AK105+AK106</f>
        <v>548041.979569794</v>
      </c>
      <c r="AL107" s="36" t="n">
        <f aca="false">AL10+AL11+AL57+AL104+AL105+AL106</f>
        <v>891949.560586684</v>
      </c>
      <c r="AM107" s="36" t="n">
        <f aca="false">AM10+AM11+AM57+AM104+AM105+AM106</f>
        <v>330233.844925764</v>
      </c>
      <c r="AN107" s="36" t="n">
        <f aca="false">AN10+AN11+AN57+AN104+AN105+AN106</f>
        <v>330233.844925764</v>
      </c>
      <c r="AO107" s="36" t="n">
        <f aca="false">AO10+AO11+AO57+AO104+AO105+AO106</f>
        <v>330233.844925763</v>
      </c>
      <c r="AP107" s="36" t="n">
        <f aca="false">AP10+AP11+AP57+AP104+AP105+AP106</f>
        <v>330233.844925763</v>
      </c>
      <c r="AQ107" s="36" t="n">
        <f aca="false">AQ10+AQ11+AQ57+AQ104+AQ105+AQ106</f>
        <v>330233.844925763</v>
      </c>
      <c r="AR107" s="36" t="n">
        <f aca="false">AR10+AR11+AR57+AR104+AR105+AR106</f>
        <v>330233.844925764</v>
      </c>
      <c r="AS107" s="36" t="n">
        <f aca="false">AS10+AS11+AS57+AS104+AS105+AS106</f>
        <v>330233.844925763</v>
      </c>
      <c r="AT107" s="36" t="n">
        <f aca="false">AT10+AT11+AT57+AT104+AT105+AT106</f>
        <v>602719.430279263</v>
      </c>
      <c r="AU107" s="36" t="n">
        <f aca="false">AU10+AU11+AU57+AU104+AU105+AU106</f>
        <v>157659.640868547</v>
      </c>
      <c r="AV107" s="36" t="n">
        <f aca="false">AV10+AV11+AV57+AV104+AV105+AV106</f>
        <v>157659.640868547</v>
      </c>
      <c r="AW107" s="36" t="n">
        <f aca="false">AW10+AW11+AW57+AW104+AW105+AW106</f>
        <v>157659.640868547</v>
      </c>
      <c r="AX107" s="36" t="n">
        <f aca="false">AX10+AX11+AX57+AX104+AX105+AX106</f>
        <v>157659.640868547</v>
      </c>
      <c r="AY107" s="36" t="n">
        <f aca="false">AY10+AY11+AY57+AY104+AY105+AY106</f>
        <v>157659.640868547</v>
      </c>
      <c r="AZ107" s="36" t="n">
        <f aca="false">AZ10+AZ11+AZ57+AZ104+AZ105+AZ106</f>
        <v>157659.640868547</v>
      </c>
      <c r="BA107" s="36" t="n">
        <f aca="false">BA10+BA11+BA57+BA104+BA105+BA106</f>
        <v>157659.640868547</v>
      </c>
      <c r="BB107" s="36" t="n">
        <f aca="false">BB10+BB11+BB57+BB104+BB105+BB106</f>
        <v>157659.640868547</v>
      </c>
      <c r="BC107" s="36" t="n">
        <f aca="false">BC10+BC11+BC57+BC104+BC105+BC106</f>
        <v>157659.640868547</v>
      </c>
      <c r="BD107" s="36" t="n">
        <f aca="false">BD10+BD11+BD57+BD104+BD105+BD106</f>
        <v>157659.640868547</v>
      </c>
      <c r="BE107" s="36" t="n">
        <f aca="false">BE10+BE11+BE57+BE104+BE105+BE106</f>
        <v>157659.640868547</v>
      </c>
      <c r="BF107" s="36" t="n">
        <f aca="false">BF10+BF11+BF57+BF104+BF105+BF106</f>
        <v>157659.640868547</v>
      </c>
      <c r="BG107" s="36" t="n">
        <f aca="false">BG10+BG11+BG57+BG104+BG105+BG106</f>
        <v>157659.640868547</v>
      </c>
      <c r="BH107" s="36" t="n">
        <f aca="false">BH10+BH11+BH57+BH104+BH105+BH106</f>
        <v>406595.915924147</v>
      </c>
      <c r="BI107" s="36" t="n">
        <f aca="false">BI10+BI11+BI57+BI104+BI105+BI106</f>
        <v>0</v>
      </c>
      <c r="BJ107" s="36" t="n">
        <f aca="false">BJ10+BJ11+BJ57+BJ104+BJ105+BJ106</f>
        <v>0</v>
      </c>
      <c r="BK107" s="36" t="n">
        <f aca="false">BK10+BK11+BK57+BK104+BK105+BK106</f>
        <v>0</v>
      </c>
      <c r="BL107" s="36" t="n">
        <f aca="false">BL10+BL11+BL57+BL104+BL105+BL106</f>
        <v>0</v>
      </c>
      <c r="BM107" s="36" t="n">
        <f aca="false">BM10+BM11+BM57+BM104+BM105+BM106</f>
        <v>0</v>
      </c>
      <c r="BN107" s="36" t="n">
        <f aca="false">BN10+BN11+BN57+BN104+BN105+BN106</f>
        <v>0</v>
      </c>
      <c r="BO107" s="36" t="n">
        <f aca="false">BO10+BO11+BO57+BO104+BO105+BO106</f>
        <v>0</v>
      </c>
      <c r="BP107" s="36" t="n">
        <f aca="false">BP10+BP11+BP57+BP104+BP105+BP106</f>
        <v>0</v>
      </c>
      <c r="BQ107" s="36" t="n">
        <f aca="false">BQ10+BQ11+BQ57+BQ104+BQ105+BQ106</f>
        <v>0</v>
      </c>
      <c r="BR107" s="36" t="n">
        <f aca="false">BR10+BR11+BR57+BR104+BR105+BR106</f>
        <v>0</v>
      </c>
      <c r="BS107" s="36" t="n">
        <f aca="false">BS10+BS11+BS57+BS104+BS105+BS106</f>
        <v>0</v>
      </c>
      <c r="BT107" s="36" t="n">
        <f aca="false">BT10+BT11+BT57+BT104+BT105+BT106</f>
        <v>0</v>
      </c>
      <c r="BU107" s="36" t="n">
        <f aca="false">BU10+BU11+BU57+BU104+BU105+BU106</f>
        <v>0</v>
      </c>
      <c r="BV107" s="36" t="n">
        <f aca="false">BV10+BV11+BV57+BV104+BV105+BV106</f>
        <v>0</v>
      </c>
      <c r="BW107" s="36" t="n">
        <f aca="false">BW10+BW11+BW57+BW104+BW105+BW106</f>
        <v>0</v>
      </c>
      <c r="BX107" s="36" t="n">
        <f aca="false">BX10+BX11+BX57+BX104+BX105+BX106</f>
        <v>0</v>
      </c>
      <c r="BY107" s="36" t="n">
        <f aca="false">BY10+BY11+BY57+BY104+BY105+BY106</f>
        <v>0</v>
      </c>
      <c r="BZ107" s="36" t="n">
        <f aca="false">BZ10+BZ11+BZ57+BZ104+BZ105+BZ106</f>
        <v>0</v>
      </c>
      <c r="CA107" s="36" t="n">
        <f aca="false">CA10+CA11+CA57+CA104+CA105+CA106</f>
        <v>0</v>
      </c>
      <c r="CB107" s="36" t="n">
        <f aca="false">CB10+CB11+CB57+CB104+CB105+CB106</f>
        <v>0</v>
      </c>
      <c r="CC107" s="36" t="n">
        <f aca="false">CC10+CC11+CC57+CC104+CC105+CC106</f>
        <v>0</v>
      </c>
      <c r="CD107" s="36" t="n">
        <f aca="false">CD10+CD11+CD57+CD104+CD105+CD106</f>
        <v>0</v>
      </c>
      <c r="CE107" s="36" t="n">
        <f aca="false">CE10+CE11+CE57+CE104+CE105+CE106</f>
        <v>0</v>
      </c>
      <c r="CF107" s="36" t="n">
        <f aca="false">CF10+CF11+CF57+CF104+CF105+CF106</f>
        <v>0</v>
      </c>
      <c r="CG107" s="36" t="n">
        <f aca="false">CG10+CG11+CG57+CG104+CG105+CG106</f>
        <v>0</v>
      </c>
      <c r="CH107" s="36" t="n">
        <f aca="false">CH10+CH11+CH57+CH104+CH105+CH106</f>
        <v>0</v>
      </c>
      <c r="CI107" s="36" t="n">
        <f aca="false">CI10+CI11+CI57+CI104+CI105+CI106</f>
        <v>0</v>
      </c>
      <c r="CJ107" s="36" t="n">
        <f aca="false">CJ10+CJ11+CJ57+CJ104+CJ105+CJ106</f>
        <v>0</v>
      </c>
      <c r="CK107" s="36" t="n">
        <f aca="false">CK10+CK11+CK57+CK104+CK105+CK106</f>
        <v>0</v>
      </c>
      <c r="CL107" s="36" t="n">
        <f aca="false">CL10+CL11+CL57+CL104+CL105+CL106</f>
        <v>0</v>
      </c>
      <c r="CM107" s="36" t="n">
        <f aca="false">CM10+CM11+CM57+CM104+CM105+CM106</f>
        <v>0</v>
      </c>
      <c r="CN107" s="36" t="n">
        <f aca="false">CN10+CN11+CN57+CN104+CN105+CN106</f>
        <v>0</v>
      </c>
      <c r="CO107" s="36" t="n">
        <f aca="false">CO10+CO11+CO57+CO104+CO105+CO106</f>
        <v>0</v>
      </c>
      <c r="CP107" s="36" t="n">
        <f aca="false">CP10+CP11+CP57+CP104+CP105+CP106</f>
        <v>0</v>
      </c>
      <c r="CQ107" s="36" t="n">
        <f aca="false">CQ10+CQ11+CQ57+CQ104+CQ105+CQ106</f>
        <v>0</v>
      </c>
      <c r="CR107" s="36" t="n">
        <f aca="false">CR10+CR11+CR57+CR104+CR105+CR106</f>
        <v>0</v>
      </c>
      <c r="CS107" s="36" t="n">
        <f aca="false">CS10+CS11+CS57+CS104+CS105+CS106</f>
        <v>0</v>
      </c>
      <c r="CT107" s="36" t="n">
        <f aca="false">CT10+CT11+CT57+CT104+CT105+CT106</f>
        <v>0</v>
      </c>
      <c r="CU107" s="36" t="n">
        <f aca="false">CU10+CU11+CU57+CU104+CU105+CU106</f>
        <v>0</v>
      </c>
      <c r="CV107" s="36" t="n">
        <f aca="false">CV10+CV11+CV57+CV104+CV105+CV106</f>
        <v>0</v>
      </c>
      <c r="CW107" s="36" t="n">
        <f aca="false">CW10+CW11+CW57+CW104+CW105+CW106</f>
        <v>0</v>
      </c>
      <c r="CX107" s="36" t="n">
        <f aca="false">CX10+CX11+CX57+CX104+CX105+CX106</f>
        <v>0</v>
      </c>
      <c r="CY107" s="36" t="n">
        <f aca="false">CY10+CY11+CY57+CY104+CY105+CY106</f>
        <v>0</v>
      </c>
      <c r="CZ107" s="36" t="n">
        <f aca="false">CZ10+CZ11+CZ57+CZ104+CZ105+CZ106</f>
        <v>0</v>
      </c>
      <c r="DA107" s="36" t="n">
        <f aca="false">DA10+DA11+DA57+DA104+DA105+DA106</f>
        <v>0</v>
      </c>
      <c r="DB107" s="36" t="n">
        <f aca="false">DB10+DB11+DB57+DB104+DB105+DB106</f>
        <v>0</v>
      </c>
      <c r="DC107" s="36" t="n">
        <f aca="false">DC10+DC11+DC57+DC104+DC105+DC106</f>
        <v>0</v>
      </c>
      <c r="DD107" s="36" t="n">
        <f aca="false">DD10+DD11+DD57+DD104+DD105+DD106</f>
        <v>0</v>
      </c>
      <c r="DE107" s="36" t="n">
        <f aca="false">DE10+DE11+DE57+DE104+DE105+DE106</f>
        <v>0</v>
      </c>
    </row>
    <row r="108" customFormat="false" ht="15" hidden="false" customHeight="true" outlineLevel="0" collapsed="false">
      <c r="A108" s="29" t="s">
        <v>58</v>
      </c>
      <c r="B108" s="37" t="n">
        <f aca="false">IFERROR(B107/B58,0)</f>
        <v>0.150473411652305</v>
      </c>
      <c r="C108" s="37" t="n">
        <f aca="false">IFERROR(C107/C58,0)</f>
        <v>-0.0168735833579273</v>
      </c>
      <c r="D108" s="37" t="n">
        <f aca="false">IFERROR(D107/D58,0)</f>
        <v>0.222356457869786</v>
      </c>
      <c r="E108" s="37" t="n">
        <f aca="false">IFERROR(E107/E58,0)</f>
        <v>0.121157878546931</v>
      </c>
      <c r="F108" s="37" t="n">
        <f aca="false">IFERROR(F107/F58,0)</f>
        <v>0.107287157584347</v>
      </c>
      <c r="G108" s="37" t="n">
        <f aca="false">IFERROR(G107/G58,0)</f>
        <v>0.104225483170575</v>
      </c>
      <c r="H108" s="37" t="n">
        <f aca="false">IFERROR(H107/H58,0)</f>
        <v>0.0918727592539278</v>
      </c>
      <c r="I108" s="37" t="n">
        <f aca="false">IFERROR(I107/I58,0)</f>
        <v>0.126896442155622</v>
      </c>
      <c r="J108" s="37" t="n">
        <f aca="false">IFERROR(J107/J58,0)</f>
        <v>0.068815349525729</v>
      </c>
      <c r="K108" s="37" t="n">
        <f aca="false">IFERROR(K107/K58,0)</f>
        <v>0.126215048232799</v>
      </c>
      <c r="L108" s="37" t="n">
        <f aca="false">IFERROR(L107/L58,0)</f>
        <v>0.119948579620007</v>
      </c>
      <c r="M108" s="37" t="n">
        <f aca="false">IFERROR(M107/M58,0)</f>
        <v>0.114531510762471</v>
      </c>
      <c r="N108" s="37" t="n">
        <f aca="false">IFERROR(N107/N58,0)</f>
        <v>0.108372306329337</v>
      </c>
      <c r="O108" s="37" t="n">
        <f aca="false">IFERROR(O107/O58,0)</f>
        <v>0.102854711456593</v>
      </c>
      <c r="P108" s="37" t="n">
        <f aca="false">IFERROR(P107/P58,0)</f>
        <v>0.0980192190985211</v>
      </c>
      <c r="Q108" s="37" t="n">
        <f aca="false">IFERROR(Q107/Q58,0)</f>
        <v>0.00989463197043636</v>
      </c>
      <c r="R108" s="37" t="n">
        <f aca="false">IFERROR(R107/R58,0)</f>
        <v>0.102355182542086</v>
      </c>
      <c r="S108" s="37" t="n">
        <f aca="false">IFERROR(S107/S58,0)</f>
        <v>0.0989579962868371</v>
      </c>
      <c r="T108" s="37" t="n">
        <f aca="false">IFERROR(T107/T58,0)</f>
        <v>0.0975735050653808</v>
      </c>
      <c r="U108" s="37" t="n">
        <f aca="false">IFERROR(U107/U58,0)</f>
        <v>0.0962185090562598</v>
      </c>
      <c r="V108" s="37" t="n">
        <f aca="false">IFERROR(V107/V58,0)</f>
        <v>0.0952775521541982</v>
      </c>
      <c r="W108" s="37" t="n">
        <f aca="false">IFERROR(W107/W58,0)</f>
        <v>0.0954540728844427</v>
      </c>
      <c r="X108" s="37" t="n">
        <f aca="false">IFERROR(X107/X58,0)</f>
        <v>0.0963276028843724</v>
      </c>
      <c r="Y108" s="37" t="n">
        <f aca="false">IFERROR(Y107/Y58,0)</f>
        <v>0.0986347839671637</v>
      </c>
      <c r="Z108" s="37" t="n">
        <f aca="false">IFERROR(Z107/Z58,0)</f>
        <v>0.101895007867529</v>
      </c>
      <c r="AA108" s="37" t="n">
        <f aca="false">IFERROR(AA107/AA58,0)</f>
        <v>0.118430092875118</v>
      </c>
      <c r="AB108" s="37" t="n">
        <f aca="false">IFERROR(AB107/AB58,0)</f>
        <v>0.102956439755861</v>
      </c>
      <c r="AC108" s="37" t="n">
        <f aca="false">IFERROR(AC107/AC58,0)</f>
        <v>0.12635492728857</v>
      </c>
      <c r="AD108" s="37" t="n">
        <f aca="false">IFERROR(AD107/AD58,0)</f>
        <v>0.100646764485616</v>
      </c>
      <c r="AE108" s="37" t="n">
        <f aca="false">IFERROR(AE107/AE58,0)</f>
        <v>-0.0139278956749021</v>
      </c>
      <c r="AF108" s="37" t="n">
        <f aca="false">IFERROR(AF107/AF58,0)</f>
        <v>0.124949289925567</v>
      </c>
      <c r="AG108" s="37" t="n">
        <f aca="false">IFERROR(AG107/AG58,0)</f>
        <v>0.154136305789523</v>
      </c>
      <c r="AH108" s="37" t="n">
        <f aca="false">IFERROR(AH107/AH58,0)</f>
        <v>0.121285745061569</v>
      </c>
      <c r="AI108" s="37" t="n">
        <f aca="false">IFERROR(AI107/AI58,0)</f>
        <v>0.124121594530473</v>
      </c>
      <c r="AJ108" s="37" t="n">
        <f aca="false">IFERROR(AJ107/AJ58,0)</f>
        <v>0.12743882012849</v>
      </c>
      <c r="AK108" s="37" t="n">
        <f aca="false">IFERROR(AK107/AK58,0)</f>
        <v>0.131236038635768</v>
      </c>
      <c r="AL108" s="37" t="n">
        <f aca="false">IFERROR(AL107/AL58,0)</f>
        <v>0.220556736659952</v>
      </c>
      <c r="AM108" s="37" t="n">
        <f aca="false">IFERROR(AM107/AM58,0)</f>
        <v>0.106035978023749</v>
      </c>
      <c r="AN108" s="37" t="n">
        <f aca="false">IFERROR(AN107/AN58,0)</f>
        <v>0.106915598291702</v>
      </c>
      <c r="AO108" s="37" t="n">
        <f aca="false">IFERROR(AO107/AO58,0)</f>
        <v>0.108356210267955</v>
      </c>
      <c r="AP108" s="37" t="n">
        <f aca="false">IFERROR(AP107/AP58,0)</f>
        <v>0.110386938481819</v>
      </c>
      <c r="AQ108" s="37" t="n">
        <f aca="false">IFERROR(AQ107/AQ58,0)</f>
        <v>0.113051925396373</v>
      </c>
      <c r="AR108" s="37" t="n">
        <f aca="false">IFERROR(AR107/AR58,0)</f>
        <v>0.116414229487855</v>
      </c>
      <c r="AS108" s="37" t="n">
        <f aca="false">IFERROR(AS107/AS58,0)</f>
        <v>0.120553110248567</v>
      </c>
      <c r="AT108" s="37" t="n">
        <f aca="false">IFERROR(AT107/AT58,0)</f>
        <v>0.229178493647467</v>
      </c>
      <c r="AU108" s="37" t="n">
        <f aca="false">IFERROR(AU107/AU58,0)</f>
        <v>0.0837646752942383</v>
      </c>
      <c r="AV108" s="37" t="n">
        <f aca="false">IFERROR(AV107/AV58,0)</f>
        <v>0.0854545013038053</v>
      </c>
      <c r="AW108" s="37" t="n">
        <f aca="false">IFERROR(AW107/AW58,0)</f>
        <v>0.0880559340955461</v>
      </c>
      <c r="AX108" s="37" t="n">
        <f aca="false">IFERROR(AX107/AX58,0)</f>
        <v>0.0916459930927827</v>
      </c>
      <c r="AY108" s="37" t="n">
        <f aca="false">IFERROR(AY107/AY58,0)</f>
        <v>0.0963403837730382</v>
      </c>
      <c r="AZ108" s="37" t="n">
        <f aca="false">IFERROR(AZ107/AZ58,0)</f>
        <v>0.102293639933099</v>
      </c>
      <c r="BA108" s="37" t="n">
        <f aca="false">IFERROR(BA107/BA58,0)</f>
        <v>0.109702511126458</v>
      </c>
      <c r="BB108" s="37" t="n">
        <f aca="false">IFERROR(BB107/BB58,0)</f>
        <v>0.118832419009621</v>
      </c>
      <c r="BC108" s="37" t="n">
        <f aca="false">IFERROR(BC107/BC58,0)</f>
        <v>0.130013356978026</v>
      </c>
      <c r="BD108" s="37" t="n">
        <f aca="false">IFERROR(BD107/BD58,0)</f>
        <v>0.143673701400666</v>
      </c>
      <c r="BE108" s="37" t="n">
        <f aca="false">IFERROR(BE107/BE58,0)</f>
        <v>0.160366031492309</v>
      </c>
      <c r="BF108" s="37" t="n">
        <f aca="false">IFERROR(BF107/BF58,0)</f>
        <v>0.180792984619276</v>
      </c>
      <c r="BG108" s="37" t="n">
        <f aca="false">IFERROR(BG107/BG58,0)</f>
        <v>0.205874374482486</v>
      </c>
      <c r="BH108" s="37" t="n">
        <f aca="false">IFERROR(BH107/BH58,0)</f>
        <v>0.610641057491253</v>
      </c>
      <c r="BI108" s="37" t="n">
        <f aca="false">IFERROR(BI107/BI58,0)</f>
        <v>0</v>
      </c>
      <c r="BJ108" s="37" t="n">
        <f aca="false">IFERROR(BJ107/BJ58,0)</f>
        <v>0</v>
      </c>
      <c r="BK108" s="37" t="n">
        <f aca="false">IFERROR(BK107/BK58,0)</f>
        <v>0</v>
      </c>
      <c r="BL108" s="37" t="n">
        <f aca="false">IFERROR(BL107/BL58,0)</f>
        <v>0</v>
      </c>
      <c r="BM108" s="37" t="n">
        <f aca="false">IFERROR(BM107/BM58,0)</f>
        <v>0</v>
      </c>
      <c r="BN108" s="37" t="n">
        <f aca="false">IFERROR(BN107/BN58,0)</f>
        <v>0</v>
      </c>
      <c r="BO108" s="37" t="n">
        <f aca="false">IFERROR(BO107/BO58,0)</f>
        <v>0</v>
      </c>
      <c r="BP108" s="37" t="n">
        <f aca="false">IFERROR(BP107/BP58,0)</f>
        <v>0</v>
      </c>
      <c r="BQ108" s="37" t="n">
        <f aca="false">IFERROR(BQ107/BQ58,0)</f>
        <v>0</v>
      </c>
      <c r="BR108" s="37" t="n">
        <f aca="false">IFERROR(BR107/BR58,0)</f>
        <v>0</v>
      </c>
      <c r="BS108" s="37" t="n">
        <f aca="false">IFERROR(BS107/BS58,0)</f>
        <v>0</v>
      </c>
      <c r="BT108" s="37" t="n">
        <f aca="false">IFERROR(BT107/BT58,0)</f>
        <v>0</v>
      </c>
      <c r="BU108" s="37" t="n">
        <f aca="false">IFERROR(BU107/BU58,0)</f>
        <v>0</v>
      </c>
      <c r="BV108" s="37" t="n">
        <f aca="false">IFERROR(BV107/BV58,0)</f>
        <v>0</v>
      </c>
      <c r="BW108" s="37" t="n">
        <f aca="false">IFERROR(BW107/BW58,0)</f>
        <v>0</v>
      </c>
      <c r="BX108" s="37" t="n">
        <f aca="false">IFERROR(BX107/BX58,0)</f>
        <v>0</v>
      </c>
      <c r="BY108" s="37" t="n">
        <f aca="false">IFERROR(BY107/BY58,0)</f>
        <v>0</v>
      </c>
      <c r="BZ108" s="37" t="n">
        <f aca="false">IFERROR(BZ107/BZ58,0)</f>
        <v>0</v>
      </c>
      <c r="CA108" s="37" t="n">
        <f aca="false">IFERROR(CA107/CA58,0)</f>
        <v>0</v>
      </c>
      <c r="CB108" s="37" t="n">
        <f aca="false">IFERROR(CB107/CB58,0)</f>
        <v>0</v>
      </c>
      <c r="CC108" s="37" t="n">
        <f aca="false">IFERROR(CC107/CC58,0)</f>
        <v>0</v>
      </c>
      <c r="CD108" s="37" t="n">
        <f aca="false">IFERROR(CD107/CD58,0)</f>
        <v>0</v>
      </c>
      <c r="CE108" s="37" t="n">
        <f aca="false">IFERROR(CE107/CE58,0)</f>
        <v>0</v>
      </c>
      <c r="CF108" s="37" t="n">
        <f aca="false">IFERROR(CF107/CF58,0)</f>
        <v>0</v>
      </c>
      <c r="CG108" s="37" t="n">
        <f aca="false">IFERROR(CG107/CG58,0)</f>
        <v>0</v>
      </c>
      <c r="CH108" s="37" t="n">
        <f aca="false">IFERROR(CH107/CH58,0)</f>
        <v>0</v>
      </c>
      <c r="CI108" s="37" t="n">
        <f aca="false">IFERROR(CI107/CI58,0)</f>
        <v>0</v>
      </c>
      <c r="CJ108" s="37" t="n">
        <f aca="false">IFERROR(CJ107/CJ58,0)</f>
        <v>0</v>
      </c>
      <c r="CK108" s="37" t="n">
        <f aca="false">IFERROR(CK107/CK58,0)</f>
        <v>0</v>
      </c>
      <c r="CL108" s="37" t="n">
        <f aca="false">IFERROR(CL107/CL58,0)</f>
        <v>0</v>
      </c>
      <c r="CM108" s="37" t="n">
        <f aca="false">IFERROR(CM107/CM58,0)</f>
        <v>0</v>
      </c>
      <c r="CN108" s="37" t="n">
        <f aca="false">IFERROR(CN107/CN58,0)</f>
        <v>0</v>
      </c>
      <c r="CO108" s="37" t="n">
        <f aca="false">IFERROR(CO107/CO58,0)</f>
        <v>0</v>
      </c>
      <c r="CP108" s="37" t="n">
        <f aca="false">IFERROR(CP107/CP58,0)</f>
        <v>0</v>
      </c>
      <c r="CQ108" s="37" t="n">
        <f aca="false">IFERROR(CQ107/CQ58,0)</f>
        <v>0</v>
      </c>
      <c r="CR108" s="37" t="n">
        <f aca="false">IFERROR(CR107/CR58,0)</f>
        <v>0</v>
      </c>
      <c r="CS108" s="37" t="n">
        <f aca="false">IFERROR(CS107/CS58,0)</f>
        <v>0</v>
      </c>
      <c r="CT108" s="37" t="n">
        <f aca="false">IFERROR(CT107/CT58,0)</f>
        <v>0</v>
      </c>
      <c r="CU108" s="37" t="n">
        <f aca="false">IFERROR(CU107/CU58,0)</f>
        <v>0</v>
      </c>
      <c r="CV108" s="37" t="n">
        <f aca="false">IFERROR(CV107/CV58,0)</f>
        <v>0</v>
      </c>
      <c r="CW108" s="37" t="n">
        <f aca="false">IFERROR(CW107/CW58,0)</f>
        <v>0</v>
      </c>
      <c r="CX108" s="37" t="n">
        <f aca="false">IFERROR(CX107/CX58,0)</f>
        <v>0</v>
      </c>
      <c r="CY108" s="37" t="n">
        <f aca="false">IFERROR(CY107/CY58,0)</f>
        <v>0</v>
      </c>
      <c r="CZ108" s="37" t="n">
        <f aca="false">IFERROR(CZ107/CZ58,0)</f>
        <v>0</v>
      </c>
      <c r="DA108" s="37" t="n">
        <f aca="false">IFERROR(DA107/DA58,0)</f>
        <v>0</v>
      </c>
      <c r="DB108" s="37" t="n">
        <f aca="false">IFERROR(DB107/DB58,0)</f>
        <v>0</v>
      </c>
      <c r="DC108" s="37" t="n">
        <f aca="false">IFERROR(DC107/DC58,0)</f>
        <v>0</v>
      </c>
      <c r="DD108" s="37" t="n">
        <f aca="false">IFERROR(DD107/DD58,0)</f>
        <v>0</v>
      </c>
      <c r="DE108" s="37" t="n">
        <f aca="false">IFERROR(DE107/DE58,0)</f>
        <v>0</v>
      </c>
    </row>
    <row r="109" customFormat="false" ht="15" hidden="false" customHeight="true" outlineLevel="0" collapsed="false">
      <c r="A109" s="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customFormat="false" ht="15" hidden="false" customHeight="true" outlineLevel="0" collapsed="false">
      <c r="A110" s="38" t="s">
        <v>59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</row>
    <row r="111" customFormat="false" ht="15" hidden="false" customHeight="true" outlineLevel="0" collapsed="false">
      <c r="A111" s="29" t="s">
        <v>60</v>
      </c>
      <c r="B111" s="14" t="n">
        <f aca="false">IF(ISBLANK(Actuals!C21),0,Actuals!C21)</f>
        <v>-144550.9</v>
      </c>
      <c r="C111" s="14" t="n">
        <f aca="false">IF(ISBLANK(Actuals!D21),0,Actuals!D21)</f>
        <v>-150672.84</v>
      </c>
      <c r="D111" s="14" t="n">
        <f aca="false">IF(ISBLANK(Actuals!E21),0,Actuals!E21)</f>
        <v>-178867.86</v>
      </c>
      <c r="E111" s="14" t="n">
        <f aca="false">IF(ISBLANK(Actuals!F21),(-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))*Escalation!$B$2,Actuals!F21)</f>
        <v>-187693.63</v>
      </c>
      <c r="F111" s="14" t="n">
        <f aca="false">IF(ISBLANK(Actuals!G21),(-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))*Escalation!$B$3,Actuals!G21)</f>
        <v>-295949.1</v>
      </c>
      <c r="G111" s="14" t="n">
        <f aca="false">IF(ISBLANK(Actuals!H21),(-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))*Escalation!$B$4,Actuals!H21)</f>
        <v>-198645.92</v>
      </c>
      <c r="H111" s="14" t="n">
        <f aca="false">IF(ISBLANK(Actuals!I21),(-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))*Escalation!$B$5,Actuals!I21)</f>
        <v>-245625</v>
      </c>
      <c r="I111" s="14" t="n">
        <f aca="false">IF(ISBLANK(Actuals!J21),(-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))*Escalation!$B$6,Actuals!J21)</f>
        <v>-245625</v>
      </c>
      <c r="J111" s="14" t="n">
        <f aca="false">IF(ISBLANK(Actuals!K21),(-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))*Escalation!$B$7,Actuals!K21)</f>
        <v>-258958.333333333</v>
      </c>
      <c r="K111" s="14" t="n">
        <f aca="false">IF(ISBLANK(Actuals!L21),(-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))*Escalation!$B$8,Actuals!L21)</f>
        <v>-258958.333333333</v>
      </c>
      <c r="L111" s="14" t="n">
        <f aca="false">IF(ISBLANK(Actuals!M21),(-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))*Escalation!$B$9,Actuals!M21)</f>
        <v>-258958.333333333</v>
      </c>
      <c r="M111" s="14" t="n">
        <f aca="false">IF(ISBLANK(Actuals!N21),(-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))*Escalation!$B$10,Actuals!N21)</f>
        <v>-269791.666666667</v>
      </c>
      <c r="N111" s="14" t="n">
        <f aca="false">IF(ISBLANK(Actuals!O21),(-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))*Escalation!$B$11,Actuals!O21)</f>
        <v>-259375</v>
      </c>
      <c r="O111" s="14" t="n">
        <f aca="false">IF(ISBLANK(Actuals!P21),(-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))*Escalation!$B$12,Actuals!P21)</f>
        <v>-259375</v>
      </c>
      <c r="P111" s="14" t="n">
        <f aca="false">IF(ISBLANK(Actuals!Q21),(-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))*Escalation!$B$13,Actuals!Q21)</f>
        <v>-259375</v>
      </c>
      <c r="Q111" s="14" t="n">
        <f aca="false">IF(ISBLANK(Actuals!R21),(-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))*Escalation!$B$14,Actuals!R21)</f>
        <v>-278162.5</v>
      </c>
      <c r="R111" s="14" t="n">
        <f aca="false">IF(ISBLANK(Actuals!S21),(-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))*Escalation!$B$15,Actuals!S21)</f>
        <v>-278162.5</v>
      </c>
      <c r="S111" s="14" t="n">
        <f aca="false">IF(ISBLANK(Actuals!T21),(-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))*Escalation!$B$16,Actuals!T21)</f>
        <v>-278162.5</v>
      </c>
      <c r="T111" s="14" t="n">
        <f aca="false">IF(ISBLANK(Actuals!U21),(-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))*Escalation!$B$17,Actuals!U21)</f>
        <v>-278162.5</v>
      </c>
      <c r="U111" s="14" t="n">
        <f aca="false">IF(ISBLANK(Actuals!V21),(-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))*Escalation!$B$18,Actuals!V21)</f>
        <v>-278162.5</v>
      </c>
      <c r="V111" s="14" t="n">
        <f aca="false">IF(ISBLANK(Actuals!W21),(-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))*Escalation!$B$19,Actuals!W21)</f>
        <v>-278162.5</v>
      </c>
      <c r="W111" s="14" t="n">
        <f aca="false">IF(ISBLANK(Actuals!X21),(-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))*Escalation!$B$20,Actuals!X21)</f>
        <v>-278162.5</v>
      </c>
      <c r="X111" s="14" t="n">
        <f aca="false">IF(ISBLANK(Actuals!Y21),(-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))*Escalation!$B$21,Actuals!Y21)</f>
        <v>-278162.5</v>
      </c>
      <c r="Y111" s="14" t="n">
        <f aca="false">IF(ISBLANK(Actuals!Z21),(-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))*Escalation!$B$22,Actuals!Z21)</f>
        <v>-278162.5</v>
      </c>
      <c r="Z111" s="14" t="n">
        <f aca="false">IF(ISBLANK(Actuals!AA21),(-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))*Escalation!$B$23,Actuals!AA21)</f>
        <v>-278162.5</v>
      </c>
      <c r="AA111" s="14" t="n">
        <f aca="false">IF(ISBLANK(Actuals!AB21),(-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))*Escalation!$B$24,Actuals!AB21)</f>
        <v>-278162.5</v>
      </c>
      <c r="AB111" s="14" t="n">
        <f aca="false">IF(ISBLANK(Actuals!AC21),(-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))*Escalation!$B$25,Actuals!AC21)</f>
        <v>-278162.5</v>
      </c>
      <c r="AC111" s="14" t="n">
        <f aca="false">IF(ISBLANK(Actuals!AD21),(-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))*Escalation!$B$26,Actuals!AD21)</f>
        <v>-283725.75</v>
      </c>
      <c r="AD111" s="14" t="n">
        <f aca="false">IF(ISBLANK(Actuals!AE21),(-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))*Escalation!$B$27,Actuals!AE21)</f>
        <v>-283725.75</v>
      </c>
      <c r="AE111" s="14" t="n">
        <f aca="false">IF(ISBLANK(Actuals!AF21),(-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))*Escalation!$B$28,Actuals!AF21)</f>
        <v>-283725.75</v>
      </c>
      <c r="AF111" s="14" t="n">
        <f aca="false">IF(ISBLANK(Actuals!AG21),(-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))*Escalation!$B$29,Actuals!AG21)</f>
        <v>-283725.75</v>
      </c>
      <c r="AG111" s="14" t="n">
        <f aca="false">IF(ISBLANK(Actuals!AH21),(-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))*Escalation!$B$30,Actuals!AH21)</f>
        <v>-283725.75</v>
      </c>
      <c r="AH111" s="14" t="n">
        <f aca="false">IF(ISBLANK(Actuals!AI21),(-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))*Escalation!$B$31,Actuals!AI21)</f>
        <v>-283725.75</v>
      </c>
      <c r="AI111" s="14" t="n">
        <f aca="false">IF(ISBLANK(Actuals!AJ21),(-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))*Escalation!$B$32,Actuals!AJ21)</f>
        <v>-283725.75</v>
      </c>
      <c r="AJ111" s="14" t="n">
        <f aca="false">IF(ISBLANK(Actuals!AK21),(-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))*Escalation!$B$33,Actuals!AK21)</f>
        <v>-283725.75</v>
      </c>
      <c r="AK111" s="14" t="n">
        <f aca="false">IF(ISBLANK(Actuals!AL21),(-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))*Escalation!$B$34,Actuals!AL21)</f>
        <v>-283725.75</v>
      </c>
      <c r="AL111" s="14" t="n">
        <f aca="false">IF(ISBLANK(Actuals!AM21),(-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))*Escalation!$B$35,Actuals!AM21)</f>
        <v>-283725.75</v>
      </c>
      <c r="AM111" s="14" t="n">
        <f aca="false">IF(ISBLANK(Actuals!AN21),(-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))*Escalation!$B$36,Actuals!AN21)</f>
        <v>-283725.75</v>
      </c>
      <c r="AN111" s="14" t="n">
        <f aca="false">IF(ISBLANK(Actuals!AO21),(-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))*Escalation!$B$37,Actuals!AO21)</f>
        <v>-283725.75</v>
      </c>
      <c r="AO111" s="14" t="n">
        <f aca="false">IF(ISBLANK(Actuals!AP21),(-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))*Escalation!$B$38,Actuals!AP21)</f>
        <v>-289400.265</v>
      </c>
      <c r="AP111" s="14" t="n">
        <f aca="false">IF(ISBLANK(Actuals!AQ21),(-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))*Escalation!$B$39,Actuals!AQ21)</f>
        <v>-289400.265</v>
      </c>
      <c r="AQ111" s="14" t="n">
        <f aca="false">IF(ISBLANK(Actuals!AR21),(-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))*Escalation!$B$40,Actuals!AR21)</f>
        <v>-289400.265</v>
      </c>
      <c r="AR111" s="14" t="n">
        <f aca="false">IF(ISBLANK(Actuals!AS21),(-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))*Escalation!$B$41,Actuals!AS21)</f>
        <v>-289400.265</v>
      </c>
      <c r="AS111" s="14" t="n">
        <f aca="false">IF(ISBLANK(Actuals!AT21),(-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))*Escalation!$B$42,Actuals!AT21)</f>
        <v>-289400.265</v>
      </c>
      <c r="AT111" s="14" t="n">
        <f aca="false">IF(ISBLANK(Actuals!AU21),(-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))*Escalation!$B$43,Actuals!AU21)</f>
        <v>-289400.265</v>
      </c>
      <c r="AU111" s="14" t="n">
        <f aca="false">IF(ISBLANK(Actuals!AV21),(-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))*Escalation!$B$44,Actuals!AV21)</f>
        <v>-289400.265</v>
      </c>
      <c r="AV111" s="14" t="n">
        <f aca="false">IF(ISBLANK(Actuals!AW21),(-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))*Escalation!$B$45,Actuals!AW21)</f>
        <v>-289400.265</v>
      </c>
      <c r="AW111" s="14" t="n">
        <f aca="false">IF(ISBLANK(Actuals!AX21),(-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))*Escalation!$B$46,Actuals!AX21)</f>
        <v>-289400.265</v>
      </c>
      <c r="AX111" s="14" t="n">
        <f aca="false">IF(ISBLANK(Actuals!AY21),(-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))*Escalation!$B$47,Actuals!AY21)</f>
        <v>-289400.265</v>
      </c>
      <c r="AY111" s="14" t="n">
        <f aca="false">IF(ISBLANK(Actuals!AZ21),(-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))*Escalation!$B$48,Actuals!AZ21)</f>
        <v>-289400.265</v>
      </c>
      <c r="AZ111" s="14" t="n">
        <f aca="false">IF(ISBLANK(Actuals!BA21),(-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))*Escalation!$B$49,Actuals!BA21)</f>
        <v>-289400.265</v>
      </c>
      <c r="BA111" s="14" t="n">
        <f aca="false">IF(ISBLANK(Actuals!BB21),(-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))*Escalation!$B$50,Actuals!BB21)</f>
        <v>-295188.2703</v>
      </c>
      <c r="BB111" s="14" t="n">
        <f aca="false">IF(ISBLANK(Actuals!BC21),(-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))*Escalation!$B$51,Actuals!BC21)</f>
        <v>-295188.2703</v>
      </c>
      <c r="BC111" s="14" t="n">
        <f aca="false">IF(ISBLANK(Actuals!BD21),(-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))*Escalation!$B$52,Actuals!BD21)</f>
        <v>-295188.2703</v>
      </c>
      <c r="BD111" s="14" t="n">
        <f aca="false">IF(ISBLANK(Actuals!BE21),(-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))*Escalation!$B$53,Actuals!BE21)</f>
        <v>-295188.2703</v>
      </c>
      <c r="BE111" s="14" t="n">
        <f aca="false">IF(ISBLANK(Actuals!BF21),(-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))*Escalation!$B$54,Actuals!BF21)</f>
        <v>-295188.2703</v>
      </c>
      <c r="BF111" s="14" t="n">
        <f aca="false">IF(ISBLANK(Actuals!BG21),(-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))*Escalation!$B$55,Actuals!BG21)</f>
        <v>-295188.2703</v>
      </c>
      <c r="BG111" s="14" t="n">
        <f aca="false">IF(ISBLANK(Actuals!BH21),(-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))*Escalation!$B$56,Actuals!BH21)</f>
        <v>-295188.2703</v>
      </c>
      <c r="BH111" s="14" t="n">
        <f aca="false">IF(ISBLANK(Actuals!BI21),(-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))*Escalation!$B$57,Actuals!BI21)</f>
        <v>-295188.2703</v>
      </c>
      <c r="BI111" s="14" t="n">
        <f aca="false">IF(ISBLANK(Actuals!BJ21),(-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))*Escalation!$B$58,Actuals!BJ21)</f>
        <v>-295188.2703</v>
      </c>
      <c r="BJ111" s="14" t="n">
        <f aca="false">IF(ISBLANK(Actuals!BK21),(-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))*Escalation!$B$59,Actuals!BK21)</f>
        <v>-295188.2703</v>
      </c>
      <c r="BK111" s="14" t="n">
        <f aca="false">IF(ISBLANK(Actuals!BL21),(-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))*Escalation!$B$60,Actuals!BL21)</f>
        <v>-295188.2703</v>
      </c>
      <c r="BL111" s="14" t="n">
        <f aca="false">IF(ISBLANK(Actuals!BM21),(-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))*Escalation!$B$61,Actuals!BM21)</f>
        <v>-295188.2703</v>
      </c>
      <c r="BM111" s="14" t="n">
        <f aca="false">IF(ISBLANK(Actuals!BN21),(-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))*Escalation!$B$62,Actuals!BN21)</f>
        <v>-301092.035706</v>
      </c>
      <c r="BN111" s="14" t="n">
        <f aca="false">IF(ISBLANK(Actuals!BO21),(-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))*Escalation!$B$63,Actuals!BO21)</f>
        <v>-301092.035706</v>
      </c>
      <c r="BO111" s="14" t="n">
        <f aca="false">IF(ISBLANK(Actuals!BP21),(-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))*Escalation!$B$64,Actuals!BP21)</f>
        <v>-301092.035706</v>
      </c>
      <c r="BP111" s="14" t="n">
        <f aca="false">IF(ISBLANK(Actuals!BQ21),(-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))*Escalation!$B$65,Actuals!BQ21)</f>
        <v>-301092.035706</v>
      </c>
      <c r="BQ111" s="14" t="n">
        <f aca="false">IF(ISBLANK(Actuals!BR21),(-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))*Escalation!$B$66,Actuals!BR21)</f>
        <v>-301092.035706</v>
      </c>
      <c r="BR111" s="14" t="n">
        <f aca="false">IF(ISBLANK(Actuals!BS21),(-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))*Escalation!$B$67,Actuals!BS21)</f>
        <v>-301092.035706</v>
      </c>
      <c r="BS111" s="14" t="n">
        <f aca="false">IF(ISBLANK(Actuals!BT21),(-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))*Escalation!$B$68,Actuals!BT21)</f>
        <v>-301092.035706</v>
      </c>
      <c r="BT111" s="14" t="n">
        <f aca="false">IF(ISBLANK(Actuals!BU21),(-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))*Escalation!$B$69,Actuals!BU21)</f>
        <v>-301092.035706</v>
      </c>
      <c r="BU111" s="14" t="n">
        <f aca="false">IF(ISBLANK(Actuals!BV21),(-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))*Escalation!$B$70,Actuals!BV21)</f>
        <v>-301092.035706</v>
      </c>
      <c r="BV111" s="14" t="n">
        <f aca="false">IF(ISBLANK(Actuals!BW21),(-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))*Escalation!$B$71,Actuals!BW21)</f>
        <v>-301092.035706</v>
      </c>
      <c r="BW111" s="14" t="n">
        <f aca="false">IF(ISBLANK(Actuals!BX21),(-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))*Escalation!$B$72,Actuals!BX21)</f>
        <v>-301092.035706</v>
      </c>
      <c r="BX111" s="14" t="n">
        <f aca="false">IF(ISBLANK(Actuals!BY21),(-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))*Escalation!$B$73,Actuals!BY21)</f>
        <v>-301092.035706</v>
      </c>
      <c r="BY111" s="14" t="n">
        <f aca="false">IF(ISBLANK(Actuals!BZ21),(-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))*Escalation!$B$74,Actuals!BZ21)</f>
        <v>-307113.87642012</v>
      </c>
      <c r="BZ111" s="14" t="n">
        <f aca="false">IF(ISBLANK(Actuals!CA21),(-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))*Escalation!$B$75,Actuals!CA21)</f>
        <v>-307113.87642012</v>
      </c>
      <c r="CA111" s="14" t="n">
        <f aca="false">IF(ISBLANK(Actuals!CB21),(-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))*Escalation!$B$76,Actuals!CB21)</f>
        <v>-307113.87642012</v>
      </c>
      <c r="CB111" s="14" t="n">
        <f aca="false">IF(ISBLANK(Actuals!CC21),(-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))*Escalation!$B$77,Actuals!CC21)</f>
        <v>-307113.87642012</v>
      </c>
      <c r="CC111" s="14" t="n">
        <f aca="false">IF(ISBLANK(Actuals!CD21),(-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))*Escalation!$B$78,Actuals!CD21)</f>
        <v>-307113.87642012</v>
      </c>
      <c r="CD111" s="14" t="n">
        <f aca="false">IF(ISBLANK(Actuals!CE21),(-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))*Escalation!$B$79,Actuals!CE21)</f>
        <v>-307113.87642012</v>
      </c>
      <c r="CE111" s="14" t="n">
        <f aca="false">IF(ISBLANK(Actuals!CF21),(-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))*Escalation!$B$80,Actuals!CF21)</f>
        <v>-307113.87642012</v>
      </c>
      <c r="CF111" s="14" t="n">
        <f aca="false">IF(ISBLANK(Actuals!CG21),(-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))*Escalation!$B$81,Actuals!CG21)</f>
        <v>-307113.87642012</v>
      </c>
      <c r="CG111" s="14" t="n">
        <f aca="false">IF(ISBLANK(Actuals!CH21),(-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))*Escalation!$B$82,Actuals!CH21)</f>
        <v>-307113.87642012</v>
      </c>
      <c r="CH111" s="14" t="n">
        <f aca="false">IF(ISBLANK(Actuals!CI21),(-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))*Escalation!$B$83,Actuals!CI21)</f>
        <v>-307113.87642012</v>
      </c>
      <c r="CI111" s="14" t="n">
        <f aca="false">IF(ISBLANK(Actuals!CJ21),(-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))*Escalation!$B$84,Actuals!CJ21)</f>
        <v>-307113.87642012</v>
      </c>
      <c r="CJ111" s="14" t="n">
        <f aca="false">IF(ISBLANK(Actuals!CK21),(-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))*Escalation!$B$85,Actuals!CK21)</f>
        <v>-307113.87642012</v>
      </c>
      <c r="CK111" s="14" t="n">
        <f aca="false">IF(ISBLANK(Actuals!CL21),(-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))*Escalation!$B$86,Actuals!CL21)</f>
        <v>-313256.153948522</v>
      </c>
      <c r="CL111" s="14" t="n">
        <f aca="false">IF(ISBLANK(Actuals!CM21),(-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))*Escalation!$B$87,Actuals!CM21)</f>
        <v>-313256.153948522</v>
      </c>
      <c r="CM111" s="14" t="n">
        <f aca="false">IF(ISBLANK(Actuals!CN21),(-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))*Escalation!$B$88,Actuals!CN21)</f>
        <v>-313256.153948522</v>
      </c>
      <c r="CN111" s="14" t="n">
        <f aca="false">IF(ISBLANK(Actuals!CO21),(-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))*Escalation!$B$89,Actuals!CO21)</f>
        <v>-313256.153948522</v>
      </c>
      <c r="CO111" s="14" t="n">
        <f aca="false">IF(ISBLANK(Actuals!CP21),(-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))*Escalation!$B$90,Actuals!CP21)</f>
        <v>-313256.153948522</v>
      </c>
      <c r="CP111" s="14" t="n">
        <f aca="false">IF(ISBLANK(Actuals!CQ21),(-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))*Escalation!$B$91,Actuals!CQ21)</f>
        <v>-313256.153948522</v>
      </c>
      <c r="CQ111" s="14" t="n">
        <f aca="false">IF(ISBLANK(Actuals!CR21),(-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))*Escalation!$B$92,Actuals!CR21)</f>
        <v>-313256.153948522</v>
      </c>
      <c r="CR111" s="14" t="n">
        <f aca="false">IF(ISBLANK(Actuals!CS21),(-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))*Escalation!$B$93,Actuals!CS21)</f>
        <v>-313256.153948522</v>
      </c>
      <c r="CS111" s="14" t="n">
        <f aca="false">IF(ISBLANK(Actuals!CT21),(-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))*Escalation!$B$94,Actuals!CT21)</f>
        <v>-313256.153948522</v>
      </c>
      <c r="CT111" s="14" t="n">
        <f aca="false">IF(ISBLANK(Actuals!CU21),(-(IF(AND(94&gt;=Personnel!$E$2,Personnel!$G$2="Yes"),Personnel!$D$2*(1-Personnel!$H$2),0)+IF(AND(94&gt;=Personnel!$E$3,Personnel!$G$3="Yes"),Personnel!$D$3*(1-Personnel!$H$3),0)+IF(AND(94&gt;=Personnel!$E$4,94&lt;=Personnel!$K$4,Personnel!$G$4="Yes"),Personnel!$D$4*(1-Personnel!$H$4),0)+IF(AND(94&gt;=Personnel!$E$5,Personnel!$G$5="Yes"),Personnel!$D$5*(1-Personnel!$H$5),0)+IF(AND(94&gt;=Personnel!$E$6,Personnel!$G$6="Yes"),Personnel!$D$6*(1-Personnel!$H$6),0)+IF(AND(94&gt;=Personnel!$E$7,Personnel!$G$7="Yes"),Personnel!$D$7*(1-Personnel!$H$7),0)+IF(AND(94&gt;=Personnel!$E$8,94&lt;=Personnel!$K$8,Personnel!$G$8="Yes"),Personnel!$D$8*(1-Personnel!$H$8),0)+IF(AND(94&gt;=Personnel!$E$9,Personnel!$G$9="Yes"),Personnel!$D$9*(1-Personnel!$H$9),0)+IF(AND(94&gt;=Personnel!$E$10,Personnel!$G$10="Yes"),Personnel!$D$10*(1-Personnel!$H$10),0)+IF(AND(94&gt;=Personnel!$E$11,Personnel!$G$11="Yes"),Personnel!$D$11*(1-Personnel!$H$11),0)+IF(AND(94&gt;=Personnel!$E$12,Personnel!$G$12="Yes"),Personnel!$D$12*(1-Personnel!$H$12),0)+IF(AND(94&gt;=Personnel!$E$13,Personnel!$G$13="Yes"),Personnel!$D$13*(1-Personnel!$H$13),0)+IF(AND(94&gt;=Personnel!$E$14,Personnel!$G$14="Yes"),Personnel!$D$14*(1-Personnel!$H$14),0)+IF(AND(94&gt;=Personnel!$E$15,Personnel!$G$15="Yes"),Personnel!$D$15*(1-Personnel!$H$15),0)+IF(AND(94&gt;=Personnel!$E$16,Personnel!$G$16="Yes"),Personnel!$D$16*(1-Personnel!$H$16),0)+IF(AND(94&gt;=Personnel!$E$17,Personnel!$G$17="Yes"),Personnel!$D$17*(1-Personnel!$H$17),0)+IF(AND(94&gt;=Personnel!$E$18,Personnel!$G$18="Yes"),Personnel!$D$18*(1-Personnel!$H$18),0)+IF(AND(94&gt;=Personnel!$E$19,Personnel!$G$19="Yes"),Personnel!$D$19*(1-Personnel!$H$19),0)+IF(AND(94&gt;=Personnel!$E$20,Personnel!$G$20="Yes"),Personnel!$D$20*(1-Personnel!$H$20),0)+IF(AND(94&gt;=Personnel!$E$21,Personnel!$G$21="Yes"),Personnel!$D$21*(1-Personnel!$H$21),0)+IF(AND(94&gt;=Personnel!$E$22,Personnel!$G$22="Yes"),Personnel!$D$22*(1-Personnel!$H$22),0)+IF(AND(94&gt;=Personnel!$E$23,Personnel!$G$23="Yes"),Personnel!$D$23*(1-Personnel!$H$23),0)+IF(AND(94&gt;=Personnel!$E$24,Personnel!$G$24="Yes"),Personnel!$D$24*(1-Personnel!$H$24),0)+IF(AND(94&gt;=Personnel!$E$25,Personnel!$G$25="Yes"),Personnel!$D$25*(1-Personnel!$H$25),0)+IF(AND(94&gt;=Personnel!$E$26,Personnel!$G$26="Yes"),Personnel!$D$26*(1-Personnel!$H$26),0)+IF(AND(94&gt;=Personnel!$E$27,Personnel!$G$27="Yes"),Personnel!$D$27*(1-Personnel!$H$27),0)+IF(AND(94&gt;=Personnel!$E$28,Personnel!$G$28="Yes"),Personnel!$D$28*(1-Personnel!$H$28),0)+IF(AND(94&gt;=Personnel!$E$29,Personnel!$G$29="Yes"),Personnel!$D$29*(1-Personnel!$H$29),0)+IF(AND(94&gt;=Personnel!$E$30,Personnel!$G$30="Yes"),Personnel!$D$30*(1-Personnel!$H$30),0)+IF(AND(94&gt;=Personnel!$E$31,Personnel!$G$31="Yes"),Personnel!$D$31*(1-Personnel!$H$31),0)+IF(AND(94&gt;=Personnel!$E$32,Personnel!$G$32="Yes"),Personnel!$D$32*(1-Personnel!$H$32),0)+IF(AND(94&gt;=Personnel!$E$33,Personnel!$G$33="Yes"),Personnel!$D$33*(1-Personnel!$H$33),0)))*Escalation!$B$95,Actuals!CU21)</f>
        <v>-313256.153948522</v>
      </c>
      <c r="CU111" s="14" t="n">
        <f aca="false">IF(ISBLANK(Actuals!CV21),(-(IF(AND(95&gt;=Personnel!$E$2,Personnel!$G$2="Yes"),Personnel!$D$2*(1-Personnel!$H$2),0)+IF(AND(95&gt;=Personnel!$E$3,Personnel!$G$3="Yes"),Personnel!$D$3*(1-Personnel!$H$3),0)+IF(AND(95&gt;=Personnel!$E$4,95&lt;=Personnel!$K$4,Personnel!$G$4="Yes"),Personnel!$D$4*(1-Personnel!$H$4),0)+IF(AND(95&gt;=Personnel!$E$5,Personnel!$G$5="Yes"),Personnel!$D$5*(1-Personnel!$H$5),0)+IF(AND(95&gt;=Personnel!$E$6,Personnel!$G$6="Yes"),Personnel!$D$6*(1-Personnel!$H$6),0)+IF(AND(95&gt;=Personnel!$E$7,Personnel!$G$7="Yes"),Personnel!$D$7*(1-Personnel!$H$7),0)+IF(AND(95&gt;=Personnel!$E$8,95&lt;=Personnel!$K$8,Personnel!$G$8="Yes"),Personnel!$D$8*(1-Personnel!$H$8),0)+IF(AND(95&gt;=Personnel!$E$9,Personnel!$G$9="Yes"),Personnel!$D$9*(1-Personnel!$H$9),0)+IF(AND(95&gt;=Personnel!$E$10,Personnel!$G$10="Yes"),Personnel!$D$10*(1-Personnel!$H$10),0)+IF(AND(95&gt;=Personnel!$E$11,Personnel!$G$11="Yes"),Personnel!$D$11*(1-Personnel!$H$11),0)+IF(AND(95&gt;=Personnel!$E$12,Personnel!$G$12="Yes"),Personnel!$D$12*(1-Personnel!$H$12),0)+IF(AND(95&gt;=Personnel!$E$13,Personnel!$G$13="Yes"),Personnel!$D$13*(1-Personnel!$H$13),0)+IF(AND(95&gt;=Personnel!$E$14,Personnel!$G$14="Yes"),Personnel!$D$14*(1-Personnel!$H$14),0)+IF(AND(95&gt;=Personnel!$E$15,Personnel!$G$15="Yes"),Personnel!$D$15*(1-Personnel!$H$15),0)+IF(AND(95&gt;=Personnel!$E$16,Personnel!$G$16="Yes"),Personnel!$D$16*(1-Personnel!$H$16),0)+IF(AND(95&gt;=Personnel!$E$17,Personnel!$G$17="Yes"),Personnel!$D$17*(1-Personnel!$H$17),0)+IF(AND(95&gt;=Personnel!$E$18,Personnel!$G$18="Yes"),Personnel!$D$18*(1-Personnel!$H$18),0)+IF(AND(95&gt;=Personnel!$E$19,Personnel!$G$19="Yes"),Personnel!$D$19*(1-Personnel!$H$19),0)+IF(AND(95&gt;=Personnel!$E$20,Personnel!$G$20="Yes"),Personnel!$D$20*(1-Personnel!$H$20),0)+IF(AND(95&gt;=Personnel!$E$21,Personnel!$G$21="Yes"),Personnel!$D$21*(1-Personnel!$H$21),0)+IF(AND(95&gt;=Personnel!$E$22,Personnel!$G$22="Yes"),Personnel!$D$22*(1-Personnel!$H$22),0)+IF(AND(95&gt;=Personnel!$E$23,Personnel!$G$23="Yes"),Personnel!$D$23*(1-Personnel!$H$23),0)+IF(AND(95&gt;=Personnel!$E$24,Personnel!$G$24="Yes"),Personnel!$D$24*(1-Personnel!$H$24),0)+IF(AND(95&gt;=Personnel!$E$25,Personnel!$G$25="Yes"),Personnel!$D$25*(1-Personnel!$H$25),0)+IF(AND(95&gt;=Personnel!$E$26,Personnel!$G$26="Yes"),Personnel!$D$26*(1-Personnel!$H$26),0)+IF(AND(95&gt;=Personnel!$E$27,Personnel!$G$27="Yes"),Personnel!$D$27*(1-Personnel!$H$27),0)+IF(AND(95&gt;=Personnel!$E$28,Personnel!$G$28="Yes"),Personnel!$D$28*(1-Personnel!$H$28),0)+IF(AND(95&gt;=Personnel!$E$29,Personnel!$G$29="Yes"),Personnel!$D$29*(1-Personnel!$H$29),0)+IF(AND(95&gt;=Personnel!$E$30,Personnel!$G$30="Yes"),Personnel!$D$30*(1-Personnel!$H$30),0)+IF(AND(95&gt;=Personnel!$E$31,Personnel!$G$31="Yes"),Personnel!$D$31*(1-Personnel!$H$31),0)+IF(AND(95&gt;=Personnel!$E$32,Personnel!$G$32="Yes"),Personnel!$D$32*(1-Personnel!$H$32),0)+IF(AND(95&gt;=Personnel!$E$33,Personnel!$G$33="Yes"),Personnel!$D$33*(1-Personnel!$H$33),0)))*Escalation!$B$96,Actuals!CV21)</f>
        <v>-313256.153948522</v>
      </c>
      <c r="CV111" s="14" t="n">
        <f aca="false">IF(ISBLANK(Actuals!CW21),(-(IF(AND(96&gt;=Personnel!$E$2,Personnel!$G$2="Yes"),Personnel!$D$2*(1-Personnel!$H$2),0)+IF(AND(96&gt;=Personnel!$E$3,Personnel!$G$3="Yes"),Personnel!$D$3*(1-Personnel!$H$3),0)+IF(AND(96&gt;=Personnel!$E$4,96&lt;=Personnel!$K$4,Personnel!$G$4="Yes"),Personnel!$D$4*(1-Personnel!$H$4),0)+IF(AND(96&gt;=Personnel!$E$5,Personnel!$G$5="Yes"),Personnel!$D$5*(1-Personnel!$H$5),0)+IF(AND(96&gt;=Personnel!$E$6,Personnel!$G$6="Yes"),Personnel!$D$6*(1-Personnel!$H$6),0)+IF(AND(96&gt;=Personnel!$E$7,Personnel!$G$7="Yes"),Personnel!$D$7*(1-Personnel!$H$7),0)+IF(AND(96&gt;=Personnel!$E$8,96&lt;=Personnel!$K$8,Personnel!$G$8="Yes"),Personnel!$D$8*(1-Personnel!$H$8),0)+IF(AND(96&gt;=Personnel!$E$9,Personnel!$G$9="Yes"),Personnel!$D$9*(1-Personnel!$H$9),0)+IF(AND(96&gt;=Personnel!$E$10,Personnel!$G$10="Yes"),Personnel!$D$10*(1-Personnel!$H$10),0)+IF(AND(96&gt;=Personnel!$E$11,Personnel!$G$11="Yes"),Personnel!$D$11*(1-Personnel!$H$11),0)+IF(AND(96&gt;=Personnel!$E$12,Personnel!$G$12="Yes"),Personnel!$D$12*(1-Personnel!$H$12),0)+IF(AND(96&gt;=Personnel!$E$13,Personnel!$G$13="Yes"),Personnel!$D$13*(1-Personnel!$H$13),0)+IF(AND(96&gt;=Personnel!$E$14,Personnel!$G$14="Yes"),Personnel!$D$14*(1-Personnel!$H$14),0)+IF(AND(96&gt;=Personnel!$E$15,Personnel!$G$15="Yes"),Personnel!$D$15*(1-Personnel!$H$15),0)+IF(AND(96&gt;=Personnel!$E$16,Personnel!$G$16="Yes"),Personnel!$D$16*(1-Personnel!$H$16),0)+IF(AND(96&gt;=Personnel!$E$17,Personnel!$G$17="Yes"),Personnel!$D$17*(1-Personnel!$H$17),0)+IF(AND(96&gt;=Personnel!$E$18,Personnel!$G$18="Yes"),Personnel!$D$18*(1-Personnel!$H$18),0)+IF(AND(96&gt;=Personnel!$E$19,Personnel!$G$19="Yes"),Personnel!$D$19*(1-Personnel!$H$19),0)+IF(AND(96&gt;=Personnel!$E$20,Personnel!$G$20="Yes"),Personnel!$D$20*(1-Personnel!$H$20),0)+IF(AND(96&gt;=Personnel!$E$21,Personnel!$G$21="Yes"),Personnel!$D$21*(1-Personnel!$H$21),0)+IF(AND(96&gt;=Personnel!$E$22,Personnel!$G$22="Yes"),Personnel!$D$22*(1-Personnel!$H$22),0)+IF(AND(96&gt;=Personnel!$E$23,Personnel!$G$23="Yes"),Personnel!$D$23*(1-Personnel!$H$23),0)+IF(AND(96&gt;=Personnel!$E$24,Personnel!$G$24="Yes"),Personnel!$D$24*(1-Personnel!$H$24),0)+IF(AND(96&gt;=Personnel!$E$25,Personnel!$G$25="Yes"),Personnel!$D$25*(1-Personnel!$H$25),0)+IF(AND(96&gt;=Personnel!$E$26,Personnel!$G$26="Yes"),Personnel!$D$26*(1-Personnel!$H$26),0)+IF(AND(96&gt;=Personnel!$E$27,Personnel!$G$27="Yes"),Personnel!$D$27*(1-Personnel!$H$27),0)+IF(AND(96&gt;=Personnel!$E$28,Personnel!$G$28="Yes"),Personnel!$D$28*(1-Personnel!$H$28),0)+IF(AND(96&gt;=Personnel!$E$29,Personnel!$G$29="Yes"),Personnel!$D$29*(1-Personnel!$H$29),0)+IF(AND(96&gt;=Personnel!$E$30,Personnel!$G$30="Yes"),Personnel!$D$30*(1-Personnel!$H$30),0)+IF(AND(96&gt;=Personnel!$E$31,Personnel!$G$31="Yes"),Personnel!$D$31*(1-Personnel!$H$31),0)+IF(AND(96&gt;=Personnel!$E$32,Personnel!$G$32="Yes"),Personnel!$D$32*(1-Personnel!$H$32),0)+IF(AND(96&gt;=Personnel!$E$33,Personnel!$G$33="Yes"),Personnel!$D$33*(1-Personnel!$H$33),0)))*Escalation!$B$97,Actuals!CW21)</f>
        <v>-313256.153948522</v>
      </c>
      <c r="CW111" s="14" t="n">
        <f aca="false">IF(ISBLANK(Actuals!CX21),(-(IF(AND(97&gt;=Personnel!$E$2,Personnel!$G$2="Yes"),Personnel!$D$2*(1-Personnel!$H$2),0)+IF(AND(97&gt;=Personnel!$E$3,Personnel!$G$3="Yes"),Personnel!$D$3*(1-Personnel!$H$3),0)+IF(AND(97&gt;=Personnel!$E$4,97&lt;=Personnel!$K$4,Personnel!$G$4="Yes"),Personnel!$D$4*(1-Personnel!$H$4),0)+IF(AND(97&gt;=Personnel!$E$5,Personnel!$G$5="Yes"),Personnel!$D$5*(1-Personnel!$H$5),0)+IF(AND(97&gt;=Personnel!$E$6,Personnel!$G$6="Yes"),Personnel!$D$6*(1-Personnel!$H$6),0)+IF(AND(97&gt;=Personnel!$E$7,Personnel!$G$7="Yes"),Personnel!$D$7*(1-Personnel!$H$7),0)+IF(AND(97&gt;=Personnel!$E$8,97&lt;=Personnel!$K$8,Personnel!$G$8="Yes"),Personnel!$D$8*(1-Personnel!$H$8),0)+IF(AND(97&gt;=Personnel!$E$9,Personnel!$G$9="Yes"),Personnel!$D$9*(1-Personnel!$H$9),0)+IF(AND(97&gt;=Personnel!$E$10,Personnel!$G$10="Yes"),Personnel!$D$10*(1-Personnel!$H$10),0)+IF(AND(97&gt;=Personnel!$E$11,Personnel!$G$11="Yes"),Personnel!$D$11*(1-Personnel!$H$11),0)+IF(AND(97&gt;=Personnel!$E$12,Personnel!$G$12="Yes"),Personnel!$D$12*(1-Personnel!$H$12),0)+IF(AND(97&gt;=Personnel!$E$13,Personnel!$G$13="Yes"),Personnel!$D$13*(1-Personnel!$H$13),0)+IF(AND(97&gt;=Personnel!$E$14,Personnel!$G$14="Yes"),Personnel!$D$14*(1-Personnel!$H$14),0)+IF(AND(97&gt;=Personnel!$E$15,Personnel!$G$15="Yes"),Personnel!$D$15*(1-Personnel!$H$15),0)+IF(AND(97&gt;=Personnel!$E$16,Personnel!$G$16="Yes"),Personnel!$D$16*(1-Personnel!$H$16),0)+IF(AND(97&gt;=Personnel!$E$17,Personnel!$G$17="Yes"),Personnel!$D$17*(1-Personnel!$H$17),0)+IF(AND(97&gt;=Personnel!$E$18,Personnel!$G$18="Yes"),Personnel!$D$18*(1-Personnel!$H$18),0)+IF(AND(97&gt;=Personnel!$E$19,Personnel!$G$19="Yes"),Personnel!$D$19*(1-Personnel!$H$19),0)+IF(AND(97&gt;=Personnel!$E$20,Personnel!$G$20="Yes"),Personnel!$D$20*(1-Personnel!$H$20),0)+IF(AND(97&gt;=Personnel!$E$21,Personnel!$G$21="Yes"),Personnel!$D$21*(1-Personnel!$H$21),0)+IF(AND(97&gt;=Personnel!$E$22,Personnel!$G$22="Yes"),Personnel!$D$22*(1-Personnel!$H$22),0)+IF(AND(97&gt;=Personnel!$E$23,Personnel!$G$23="Yes"),Personnel!$D$23*(1-Personnel!$H$23),0)+IF(AND(97&gt;=Personnel!$E$24,Personnel!$G$24="Yes"),Personnel!$D$24*(1-Personnel!$H$24),0)+IF(AND(97&gt;=Personnel!$E$25,Personnel!$G$25="Yes"),Personnel!$D$25*(1-Personnel!$H$25),0)+IF(AND(97&gt;=Personnel!$E$26,Personnel!$G$26="Yes"),Personnel!$D$26*(1-Personnel!$H$26),0)+IF(AND(97&gt;=Personnel!$E$27,Personnel!$G$27="Yes"),Personnel!$D$27*(1-Personnel!$H$27),0)+IF(AND(97&gt;=Personnel!$E$28,Personnel!$G$28="Yes"),Personnel!$D$28*(1-Personnel!$H$28),0)+IF(AND(97&gt;=Personnel!$E$29,Personnel!$G$29="Yes"),Personnel!$D$29*(1-Personnel!$H$29),0)+IF(AND(97&gt;=Personnel!$E$30,Personnel!$G$30="Yes"),Personnel!$D$30*(1-Personnel!$H$30),0)+IF(AND(97&gt;=Personnel!$E$31,Personnel!$G$31="Yes"),Personnel!$D$31*(1-Personnel!$H$31),0)+IF(AND(97&gt;=Personnel!$E$32,Personnel!$G$32="Yes"),Personnel!$D$32*(1-Personnel!$H$32),0)+IF(AND(97&gt;=Personnel!$E$33,Personnel!$G$33="Yes"),Personnel!$D$33*(1-Personnel!$H$33),0)))*Escalation!$B$98,Actuals!CX21)</f>
        <v>-319521.277027493</v>
      </c>
      <c r="CX111" s="14" t="n">
        <f aca="false">IF(ISBLANK(Actuals!CY21),(-(IF(AND(98&gt;=Personnel!$E$2,Personnel!$G$2="Yes"),Personnel!$D$2*(1-Personnel!$H$2),0)+IF(AND(98&gt;=Personnel!$E$3,Personnel!$G$3="Yes"),Personnel!$D$3*(1-Personnel!$H$3),0)+IF(AND(98&gt;=Personnel!$E$4,98&lt;=Personnel!$K$4,Personnel!$G$4="Yes"),Personnel!$D$4*(1-Personnel!$H$4),0)+IF(AND(98&gt;=Personnel!$E$5,Personnel!$G$5="Yes"),Personnel!$D$5*(1-Personnel!$H$5),0)+IF(AND(98&gt;=Personnel!$E$6,Personnel!$G$6="Yes"),Personnel!$D$6*(1-Personnel!$H$6),0)+IF(AND(98&gt;=Personnel!$E$7,Personnel!$G$7="Yes"),Personnel!$D$7*(1-Personnel!$H$7),0)+IF(AND(98&gt;=Personnel!$E$8,98&lt;=Personnel!$K$8,Personnel!$G$8="Yes"),Personnel!$D$8*(1-Personnel!$H$8),0)+IF(AND(98&gt;=Personnel!$E$9,Personnel!$G$9="Yes"),Personnel!$D$9*(1-Personnel!$H$9),0)+IF(AND(98&gt;=Personnel!$E$10,Personnel!$G$10="Yes"),Personnel!$D$10*(1-Personnel!$H$10),0)+IF(AND(98&gt;=Personnel!$E$11,Personnel!$G$11="Yes"),Personnel!$D$11*(1-Personnel!$H$11),0)+IF(AND(98&gt;=Personnel!$E$12,Personnel!$G$12="Yes"),Personnel!$D$12*(1-Personnel!$H$12),0)+IF(AND(98&gt;=Personnel!$E$13,Personnel!$G$13="Yes"),Personnel!$D$13*(1-Personnel!$H$13),0)+IF(AND(98&gt;=Personnel!$E$14,Personnel!$G$14="Yes"),Personnel!$D$14*(1-Personnel!$H$14),0)+IF(AND(98&gt;=Personnel!$E$15,Personnel!$G$15="Yes"),Personnel!$D$15*(1-Personnel!$H$15),0)+IF(AND(98&gt;=Personnel!$E$16,Personnel!$G$16="Yes"),Personnel!$D$16*(1-Personnel!$H$16),0)+IF(AND(98&gt;=Personnel!$E$17,Personnel!$G$17="Yes"),Personnel!$D$17*(1-Personnel!$H$17),0)+IF(AND(98&gt;=Personnel!$E$18,Personnel!$G$18="Yes"),Personnel!$D$18*(1-Personnel!$H$18),0)+IF(AND(98&gt;=Personnel!$E$19,Personnel!$G$19="Yes"),Personnel!$D$19*(1-Personnel!$H$19),0)+IF(AND(98&gt;=Personnel!$E$20,Personnel!$G$20="Yes"),Personnel!$D$20*(1-Personnel!$H$20),0)+IF(AND(98&gt;=Personnel!$E$21,Personnel!$G$21="Yes"),Personnel!$D$21*(1-Personnel!$H$21),0)+IF(AND(98&gt;=Personnel!$E$22,Personnel!$G$22="Yes"),Personnel!$D$22*(1-Personnel!$H$22),0)+IF(AND(98&gt;=Personnel!$E$23,Personnel!$G$23="Yes"),Personnel!$D$23*(1-Personnel!$H$23),0)+IF(AND(98&gt;=Personnel!$E$24,Personnel!$G$24="Yes"),Personnel!$D$24*(1-Personnel!$H$24),0)+IF(AND(98&gt;=Personnel!$E$25,Personnel!$G$25="Yes"),Personnel!$D$25*(1-Personnel!$H$25),0)+IF(AND(98&gt;=Personnel!$E$26,Personnel!$G$26="Yes"),Personnel!$D$26*(1-Personnel!$H$26),0)+IF(AND(98&gt;=Personnel!$E$27,Personnel!$G$27="Yes"),Personnel!$D$27*(1-Personnel!$H$27),0)+IF(AND(98&gt;=Personnel!$E$28,Personnel!$G$28="Yes"),Personnel!$D$28*(1-Personnel!$H$28),0)+IF(AND(98&gt;=Personnel!$E$29,Personnel!$G$29="Yes"),Personnel!$D$29*(1-Personnel!$H$29),0)+IF(AND(98&gt;=Personnel!$E$30,Personnel!$G$30="Yes"),Personnel!$D$30*(1-Personnel!$H$30),0)+IF(AND(98&gt;=Personnel!$E$31,Personnel!$G$31="Yes"),Personnel!$D$31*(1-Personnel!$H$31),0)+IF(AND(98&gt;=Personnel!$E$32,Personnel!$G$32="Yes"),Personnel!$D$32*(1-Personnel!$H$32),0)+IF(AND(98&gt;=Personnel!$E$33,Personnel!$G$33="Yes"),Personnel!$D$33*(1-Personnel!$H$33),0)))*Escalation!$B$99,Actuals!CY21)</f>
        <v>-319521.277027493</v>
      </c>
      <c r="CY111" s="14" t="n">
        <f aca="false">IF(ISBLANK(Actuals!CZ21),(-(IF(AND(99&gt;=Personnel!$E$2,Personnel!$G$2="Yes"),Personnel!$D$2*(1-Personnel!$H$2),0)+IF(AND(99&gt;=Personnel!$E$3,Personnel!$G$3="Yes"),Personnel!$D$3*(1-Personnel!$H$3),0)+IF(AND(99&gt;=Personnel!$E$4,99&lt;=Personnel!$K$4,Personnel!$G$4="Yes"),Personnel!$D$4*(1-Personnel!$H$4),0)+IF(AND(99&gt;=Personnel!$E$5,Personnel!$G$5="Yes"),Personnel!$D$5*(1-Personnel!$H$5),0)+IF(AND(99&gt;=Personnel!$E$6,Personnel!$G$6="Yes"),Personnel!$D$6*(1-Personnel!$H$6),0)+IF(AND(99&gt;=Personnel!$E$7,Personnel!$G$7="Yes"),Personnel!$D$7*(1-Personnel!$H$7),0)+IF(AND(99&gt;=Personnel!$E$8,99&lt;=Personnel!$K$8,Personnel!$G$8="Yes"),Personnel!$D$8*(1-Personnel!$H$8),0)+IF(AND(99&gt;=Personnel!$E$9,Personnel!$G$9="Yes"),Personnel!$D$9*(1-Personnel!$H$9),0)+IF(AND(99&gt;=Personnel!$E$10,Personnel!$G$10="Yes"),Personnel!$D$10*(1-Personnel!$H$10),0)+IF(AND(99&gt;=Personnel!$E$11,Personnel!$G$11="Yes"),Personnel!$D$11*(1-Personnel!$H$11),0)+IF(AND(99&gt;=Personnel!$E$12,Personnel!$G$12="Yes"),Personnel!$D$12*(1-Personnel!$H$12),0)+IF(AND(99&gt;=Personnel!$E$13,Personnel!$G$13="Yes"),Personnel!$D$13*(1-Personnel!$H$13),0)+IF(AND(99&gt;=Personnel!$E$14,Personnel!$G$14="Yes"),Personnel!$D$14*(1-Personnel!$H$14),0)+IF(AND(99&gt;=Personnel!$E$15,Personnel!$G$15="Yes"),Personnel!$D$15*(1-Personnel!$H$15),0)+IF(AND(99&gt;=Personnel!$E$16,Personnel!$G$16="Yes"),Personnel!$D$16*(1-Personnel!$H$16),0)+IF(AND(99&gt;=Personnel!$E$17,Personnel!$G$17="Yes"),Personnel!$D$17*(1-Personnel!$H$17),0)+IF(AND(99&gt;=Personnel!$E$18,Personnel!$G$18="Yes"),Personnel!$D$18*(1-Personnel!$H$18),0)+IF(AND(99&gt;=Personnel!$E$19,Personnel!$G$19="Yes"),Personnel!$D$19*(1-Personnel!$H$19),0)+IF(AND(99&gt;=Personnel!$E$20,Personnel!$G$20="Yes"),Personnel!$D$20*(1-Personnel!$H$20),0)+IF(AND(99&gt;=Personnel!$E$21,Personnel!$G$21="Yes"),Personnel!$D$21*(1-Personnel!$H$21),0)+IF(AND(99&gt;=Personnel!$E$22,Personnel!$G$22="Yes"),Personnel!$D$22*(1-Personnel!$H$22),0)+IF(AND(99&gt;=Personnel!$E$23,Personnel!$G$23="Yes"),Personnel!$D$23*(1-Personnel!$H$23),0)+IF(AND(99&gt;=Personnel!$E$24,Personnel!$G$24="Yes"),Personnel!$D$24*(1-Personnel!$H$24),0)+IF(AND(99&gt;=Personnel!$E$25,Personnel!$G$25="Yes"),Personnel!$D$25*(1-Personnel!$H$25),0)+IF(AND(99&gt;=Personnel!$E$26,Personnel!$G$26="Yes"),Personnel!$D$26*(1-Personnel!$H$26),0)+IF(AND(99&gt;=Personnel!$E$27,Personnel!$G$27="Yes"),Personnel!$D$27*(1-Personnel!$H$27),0)+IF(AND(99&gt;=Personnel!$E$28,Personnel!$G$28="Yes"),Personnel!$D$28*(1-Personnel!$H$28),0)+IF(AND(99&gt;=Personnel!$E$29,Personnel!$G$29="Yes"),Personnel!$D$29*(1-Personnel!$H$29),0)+IF(AND(99&gt;=Personnel!$E$30,Personnel!$G$30="Yes"),Personnel!$D$30*(1-Personnel!$H$30),0)+IF(AND(99&gt;=Personnel!$E$31,Personnel!$G$31="Yes"),Personnel!$D$31*(1-Personnel!$H$31),0)+IF(AND(99&gt;=Personnel!$E$32,Personnel!$G$32="Yes"),Personnel!$D$32*(1-Personnel!$H$32),0)+IF(AND(99&gt;=Personnel!$E$33,Personnel!$G$33="Yes"),Personnel!$D$33*(1-Personnel!$H$33),0)))*Escalation!$B$100,Actuals!CZ21)</f>
        <v>-319521.277027493</v>
      </c>
      <c r="CZ111" s="14" t="n">
        <f aca="false">IF(ISBLANK(Actuals!DA21),(-(IF(AND(100&gt;=Personnel!$E$2,Personnel!$G$2="Yes"),Personnel!$D$2*(1-Personnel!$H$2),0)+IF(AND(100&gt;=Personnel!$E$3,Personnel!$G$3="Yes"),Personnel!$D$3*(1-Personnel!$H$3),0)+IF(AND(100&gt;=Personnel!$E$4,100&lt;=Personnel!$K$4,Personnel!$G$4="Yes"),Personnel!$D$4*(1-Personnel!$H$4),0)+IF(AND(100&gt;=Personnel!$E$5,Personnel!$G$5="Yes"),Personnel!$D$5*(1-Personnel!$H$5),0)+IF(AND(100&gt;=Personnel!$E$6,Personnel!$G$6="Yes"),Personnel!$D$6*(1-Personnel!$H$6),0)+IF(AND(100&gt;=Personnel!$E$7,Personnel!$G$7="Yes"),Personnel!$D$7*(1-Personnel!$H$7),0)+IF(AND(100&gt;=Personnel!$E$8,100&lt;=Personnel!$K$8,Personnel!$G$8="Yes"),Personnel!$D$8*(1-Personnel!$H$8),0)+IF(AND(100&gt;=Personnel!$E$9,Personnel!$G$9="Yes"),Personnel!$D$9*(1-Personnel!$H$9),0)+IF(AND(100&gt;=Personnel!$E$10,Personnel!$G$10="Yes"),Personnel!$D$10*(1-Personnel!$H$10),0)+IF(AND(100&gt;=Personnel!$E$11,Personnel!$G$11="Yes"),Personnel!$D$11*(1-Personnel!$H$11),0)+IF(AND(100&gt;=Personnel!$E$12,Personnel!$G$12="Yes"),Personnel!$D$12*(1-Personnel!$H$12),0)+IF(AND(100&gt;=Personnel!$E$13,Personnel!$G$13="Yes"),Personnel!$D$13*(1-Personnel!$H$13),0)+IF(AND(100&gt;=Personnel!$E$14,Personnel!$G$14="Yes"),Personnel!$D$14*(1-Personnel!$H$14),0)+IF(AND(100&gt;=Personnel!$E$15,Personnel!$G$15="Yes"),Personnel!$D$15*(1-Personnel!$H$15),0)+IF(AND(100&gt;=Personnel!$E$16,Personnel!$G$16="Yes"),Personnel!$D$16*(1-Personnel!$H$16),0)+IF(AND(100&gt;=Personnel!$E$17,Personnel!$G$17="Yes"),Personnel!$D$17*(1-Personnel!$H$17),0)+IF(AND(100&gt;=Personnel!$E$18,Personnel!$G$18="Yes"),Personnel!$D$18*(1-Personnel!$H$18),0)+IF(AND(100&gt;=Personnel!$E$19,Personnel!$G$19="Yes"),Personnel!$D$19*(1-Personnel!$H$19),0)+IF(AND(100&gt;=Personnel!$E$20,Personnel!$G$20="Yes"),Personnel!$D$20*(1-Personnel!$H$20),0)+IF(AND(100&gt;=Personnel!$E$21,Personnel!$G$21="Yes"),Personnel!$D$21*(1-Personnel!$H$21),0)+IF(AND(100&gt;=Personnel!$E$22,Personnel!$G$22="Yes"),Personnel!$D$22*(1-Personnel!$H$22),0)+IF(AND(100&gt;=Personnel!$E$23,Personnel!$G$23="Yes"),Personnel!$D$23*(1-Personnel!$H$23),0)+IF(AND(100&gt;=Personnel!$E$24,Personnel!$G$24="Yes"),Personnel!$D$24*(1-Personnel!$H$24),0)+IF(AND(100&gt;=Personnel!$E$25,Personnel!$G$25="Yes"),Personnel!$D$25*(1-Personnel!$H$25),0)+IF(AND(100&gt;=Personnel!$E$26,Personnel!$G$26="Yes"),Personnel!$D$26*(1-Personnel!$H$26),0)+IF(AND(100&gt;=Personnel!$E$27,Personnel!$G$27="Yes"),Personnel!$D$27*(1-Personnel!$H$27),0)+IF(AND(100&gt;=Personnel!$E$28,Personnel!$G$28="Yes"),Personnel!$D$28*(1-Personnel!$H$28),0)+IF(AND(100&gt;=Personnel!$E$29,Personnel!$G$29="Yes"),Personnel!$D$29*(1-Personnel!$H$29),0)+IF(AND(100&gt;=Personnel!$E$30,Personnel!$G$30="Yes"),Personnel!$D$30*(1-Personnel!$H$30),0)+IF(AND(100&gt;=Personnel!$E$31,Personnel!$G$31="Yes"),Personnel!$D$31*(1-Personnel!$H$31),0)+IF(AND(100&gt;=Personnel!$E$32,Personnel!$G$32="Yes"),Personnel!$D$32*(1-Personnel!$H$32),0)+IF(AND(100&gt;=Personnel!$E$33,Personnel!$G$33="Yes"),Personnel!$D$33*(1-Personnel!$H$33),0)))*Escalation!$B$101,Actuals!DA21)</f>
        <v>-319521.277027493</v>
      </c>
      <c r="DA111" s="14" t="n">
        <f aca="false">IF(ISBLANK(Actuals!DB21),(-(IF(AND(101&gt;=Personnel!$E$2,Personnel!$G$2="Yes"),Personnel!$D$2*(1-Personnel!$H$2),0)+IF(AND(101&gt;=Personnel!$E$3,Personnel!$G$3="Yes"),Personnel!$D$3*(1-Personnel!$H$3),0)+IF(AND(101&gt;=Personnel!$E$4,101&lt;=Personnel!$K$4,Personnel!$G$4="Yes"),Personnel!$D$4*(1-Personnel!$H$4),0)+IF(AND(101&gt;=Personnel!$E$5,Personnel!$G$5="Yes"),Personnel!$D$5*(1-Personnel!$H$5),0)+IF(AND(101&gt;=Personnel!$E$6,Personnel!$G$6="Yes"),Personnel!$D$6*(1-Personnel!$H$6),0)+IF(AND(101&gt;=Personnel!$E$7,Personnel!$G$7="Yes"),Personnel!$D$7*(1-Personnel!$H$7),0)+IF(AND(101&gt;=Personnel!$E$8,101&lt;=Personnel!$K$8,Personnel!$G$8="Yes"),Personnel!$D$8*(1-Personnel!$H$8),0)+IF(AND(101&gt;=Personnel!$E$9,Personnel!$G$9="Yes"),Personnel!$D$9*(1-Personnel!$H$9),0)+IF(AND(101&gt;=Personnel!$E$10,Personnel!$G$10="Yes"),Personnel!$D$10*(1-Personnel!$H$10),0)+IF(AND(101&gt;=Personnel!$E$11,Personnel!$G$11="Yes"),Personnel!$D$11*(1-Personnel!$H$11),0)+IF(AND(101&gt;=Personnel!$E$12,Personnel!$G$12="Yes"),Personnel!$D$12*(1-Personnel!$H$12),0)+IF(AND(101&gt;=Personnel!$E$13,Personnel!$G$13="Yes"),Personnel!$D$13*(1-Personnel!$H$13),0)+IF(AND(101&gt;=Personnel!$E$14,Personnel!$G$14="Yes"),Personnel!$D$14*(1-Personnel!$H$14),0)+IF(AND(101&gt;=Personnel!$E$15,Personnel!$G$15="Yes"),Personnel!$D$15*(1-Personnel!$H$15),0)+IF(AND(101&gt;=Personnel!$E$16,Personnel!$G$16="Yes"),Personnel!$D$16*(1-Personnel!$H$16),0)+IF(AND(101&gt;=Personnel!$E$17,Personnel!$G$17="Yes"),Personnel!$D$17*(1-Personnel!$H$17),0)+IF(AND(101&gt;=Personnel!$E$18,Personnel!$G$18="Yes"),Personnel!$D$18*(1-Personnel!$H$18),0)+IF(AND(101&gt;=Personnel!$E$19,Personnel!$G$19="Yes"),Personnel!$D$19*(1-Personnel!$H$19),0)+IF(AND(101&gt;=Personnel!$E$20,Personnel!$G$20="Yes"),Personnel!$D$20*(1-Personnel!$H$20),0)+IF(AND(101&gt;=Personnel!$E$21,Personnel!$G$21="Yes"),Personnel!$D$21*(1-Personnel!$H$21),0)+IF(AND(101&gt;=Personnel!$E$22,Personnel!$G$22="Yes"),Personnel!$D$22*(1-Personnel!$H$22),0)+IF(AND(101&gt;=Personnel!$E$23,Personnel!$G$23="Yes"),Personnel!$D$23*(1-Personnel!$H$23),0)+IF(AND(101&gt;=Personnel!$E$24,Personnel!$G$24="Yes"),Personnel!$D$24*(1-Personnel!$H$24),0)+IF(AND(101&gt;=Personnel!$E$25,Personnel!$G$25="Yes"),Personnel!$D$25*(1-Personnel!$H$25),0)+IF(AND(101&gt;=Personnel!$E$26,Personnel!$G$26="Yes"),Personnel!$D$26*(1-Personnel!$H$26),0)+IF(AND(101&gt;=Personnel!$E$27,Personnel!$G$27="Yes"),Personnel!$D$27*(1-Personnel!$H$27),0)+IF(AND(101&gt;=Personnel!$E$28,Personnel!$G$28="Yes"),Personnel!$D$28*(1-Personnel!$H$28),0)+IF(AND(101&gt;=Personnel!$E$29,Personnel!$G$29="Yes"),Personnel!$D$29*(1-Personnel!$H$29),0)+IF(AND(101&gt;=Personnel!$E$30,Personnel!$G$30="Yes"),Personnel!$D$30*(1-Personnel!$H$30),0)+IF(AND(101&gt;=Personnel!$E$31,Personnel!$G$31="Yes"),Personnel!$D$31*(1-Personnel!$H$31),0)+IF(AND(101&gt;=Personnel!$E$32,Personnel!$G$32="Yes"),Personnel!$D$32*(1-Personnel!$H$32),0)+IF(AND(101&gt;=Personnel!$E$33,Personnel!$G$33="Yes"),Personnel!$D$33*(1-Personnel!$H$33),0)))*Escalation!$B$102,Actuals!DB21)</f>
        <v>-319521.277027493</v>
      </c>
      <c r="DB111" s="14" t="n">
        <f aca="false">IF(ISBLANK(Actuals!DC21),(-(IF(AND(102&gt;=Personnel!$E$2,Personnel!$G$2="Yes"),Personnel!$D$2*(1-Personnel!$H$2),0)+IF(AND(102&gt;=Personnel!$E$3,Personnel!$G$3="Yes"),Personnel!$D$3*(1-Personnel!$H$3),0)+IF(AND(102&gt;=Personnel!$E$4,102&lt;=Personnel!$K$4,Personnel!$G$4="Yes"),Personnel!$D$4*(1-Personnel!$H$4),0)+IF(AND(102&gt;=Personnel!$E$5,Personnel!$G$5="Yes"),Personnel!$D$5*(1-Personnel!$H$5),0)+IF(AND(102&gt;=Personnel!$E$6,Personnel!$G$6="Yes"),Personnel!$D$6*(1-Personnel!$H$6),0)+IF(AND(102&gt;=Personnel!$E$7,Personnel!$G$7="Yes"),Personnel!$D$7*(1-Personnel!$H$7),0)+IF(AND(102&gt;=Personnel!$E$8,102&lt;=Personnel!$K$8,Personnel!$G$8="Yes"),Personnel!$D$8*(1-Personnel!$H$8),0)+IF(AND(102&gt;=Personnel!$E$9,Personnel!$G$9="Yes"),Personnel!$D$9*(1-Personnel!$H$9),0)+IF(AND(102&gt;=Personnel!$E$10,Personnel!$G$10="Yes"),Personnel!$D$10*(1-Personnel!$H$10),0)+IF(AND(102&gt;=Personnel!$E$11,Personnel!$G$11="Yes"),Personnel!$D$11*(1-Personnel!$H$11),0)+IF(AND(102&gt;=Personnel!$E$12,Personnel!$G$12="Yes"),Personnel!$D$12*(1-Personnel!$H$12),0)+IF(AND(102&gt;=Personnel!$E$13,Personnel!$G$13="Yes"),Personnel!$D$13*(1-Personnel!$H$13),0)+IF(AND(102&gt;=Personnel!$E$14,Personnel!$G$14="Yes"),Personnel!$D$14*(1-Personnel!$H$14),0)+IF(AND(102&gt;=Personnel!$E$15,Personnel!$G$15="Yes"),Personnel!$D$15*(1-Personnel!$H$15),0)+IF(AND(102&gt;=Personnel!$E$16,Personnel!$G$16="Yes"),Personnel!$D$16*(1-Personnel!$H$16),0)+IF(AND(102&gt;=Personnel!$E$17,Personnel!$G$17="Yes"),Personnel!$D$17*(1-Personnel!$H$17),0)+IF(AND(102&gt;=Personnel!$E$18,Personnel!$G$18="Yes"),Personnel!$D$18*(1-Personnel!$H$18),0)+IF(AND(102&gt;=Personnel!$E$19,Personnel!$G$19="Yes"),Personnel!$D$19*(1-Personnel!$H$19),0)+IF(AND(102&gt;=Personnel!$E$20,Personnel!$G$20="Yes"),Personnel!$D$20*(1-Personnel!$H$20),0)+IF(AND(102&gt;=Personnel!$E$21,Personnel!$G$21="Yes"),Personnel!$D$21*(1-Personnel!$H$21),0)+IF(AND(102&gt;=Personnel!$E$22,Personnel!$G$22="Yes"),Personnel!$D$22*(1-Personnel!$H$22),0)+IF(AND(102&gt;=Personnel!$E$23,Personnel!$G$23="Yes"),Personnel!$D$23*(1-Personnel!$H$23),0)+IF(AND(102&gt;=Personnel!$E$24,Personnel!$G$24="Yes"),Personnel!$D$24*(1-Personnel!$H$24),0)+IF(AND(102&gt;=Personnel!$E$25,Personnel!$G$25="Yes"),Personnel!$D$25*(1-Personnel!$H$25),0)+IF(AND(102&gt;=Personnel!$E$26,Personnel!$G$26="Yes"),Personnel!$D$26*(1-Personnel!$H$26),0)+IF(AND(102&gt;=Personnel!$E$27,Personnel!$G$27="Yes"),Personnel!$D$27*(1-Personnel!$H$27),0)+IF(AND(102&gt;=Personnel!$E$28,Personnel!$G$28="Yes"),Personnel!$D$28*(1-Personnel!$H$28),0)+IF(AND(102&gt;=Personnel!$E$29,Personnel!$G$29="Yes"),Personnel!$D$29*(1-Personnel!$H$29),0)+IF(AND(102&gt;=Personnel!$E$30,Personnel!$G$30="Yes"),Personnel!$D$30*(1-Personnel!$H$30),0)+IF(AND(102&gt;=Personnel!$E$31,Personnel!$G$31="Yes"),Personnel!$D$31*(1-Personnel!$H$31),0)+IF(AND(102&gt;=Personnel!$E$32,Personnel!$G$32="Yes"),Personnel!$D$32*(1-Personnel!$H$32),0)+IF(AND(102&gt;=Personnel!$E$33,Personnel!$G$33="Yes"),Personnel!$D$33*(1-Personnel!$H$33),0)))*Escalation!$B$103,Actuals!DC21)</f>
        <v>-319521.277027493</v>
      </c>
      <c r="DC111" s="14" t="n">
        <f aca="false">IF(ISBLANK(Actuals!DD21),(-(IF(AND(103&gt;=Personnel!$E$2,Personnel!$G$2="Yes"),Personnel!$D$2*(1-Personnel!$H$2),0)+IF(AND(103&gt;=Personnel!$E$3,Personnel!$G$3="Yes"),Personnel!$D$3*(1-Personnel!$H$3),0)+IF(AND(103&gt;=Personnel!$E$4,103&lt;=Personnel!$K$4,Personnel!$G$4="Yes"),Personnel!$D$4*(1-Personnel!$H$4),0)+IF(AND(103&gt;=Personnel!$E$5,Personnel!$G$5="Yes"),Personnel!$D$5*(1-Personnel!$H$5),0)+IF(AND(103&gt;=Personnel!$E$6,Personnel!$G$6="Yes"),Personnel!$D$6*(1-Personnel!$H$6),0)+IF(AND(103&gt;=Personnel!$E$7,Personnel!$G$7="Yes"),Personnel!$D$7*(1-Personnel!$H$7),0)+IF(AND(103&gt;=Personnel!$E$8,103&lt;=Personnel!$K$8,Personnel!$G$8="Yes"),Personnel!$D$8*(1-Personnel!$H$8),0)+IF(AND(103&gt;=Personnel!$E$9,Personnel!$G$9="Yes"),Personnel!$D$9*(1-Personnel!$H$9),0)+IF(AND(103&gt;=Personnel!$E$10,Personnel!$G$10="Yes"),Personnel!$D$10*(1-Personnel!$H$10),0)+IF(AND(103&gt;=Personnel!$E$11,Personnel!$G$11="Yes"),Personnel!$D$11*(1-Personnel!$H$11),0)+IF(AND(103&gt;=Personnel!$E$12,Personnel!$G$12="Yes"),Personnel!$D$12*(1-Personnel!$H$12),0)+IF(AND(103&gt;=Personnel!$E$13,Personnel!$G$13="Yes"),Personnel!$D$13*(1-Personnel!$H$13),0)+IF(AND(103&gt;=Personnel!$E$14,Personnel!$G$14="Yes"),Personnel!$D$14*(1-Personnel!$H$14),0)+IF(AND(103&gt;=Personnel!$E$15,Personnel!$G$15="Yes"),Personnel!$D$15*(1-Personnel!$H$15),0)+IF(AND(103&gt;=Personnel!$E$16,Personnel!$G$16="Yes"),Personnel!$D$16*(1-Personnel!$H$16),0)+IF(AND(103&gt;=Personnel!$E$17,Personnel!$G$17="Yes"),Personnel!$D$17*(1-Personnel!$H$17),0)+IF(AND(103&gt;=Personnel!$E$18,Personnel!$G$18="Yes"),Personnel!$D$18*(1-Personnel!$H$18),0)+IF(AND(103&gt;=Personnel!$E$19,Personnel!$G$19="Yes"),Personnel!$D$19*(1-Personnel!$H$19),0)+IF(AND(103&gt;=Personnel!$E$20,Personnel!$G$20="Yes"),Personnel!$D$20*(1-Personnel!$H$20),0)+IF(AND(103&gt;=Personnel!$E$21,Personnel!$G$21="Yes"),Personnel!$D$21*(1-Personnel!$H$21),0)+IF(AND(103&gt;=Personnel!$E$22,Personnel!$G$22="Yes"),Personnel!$D$22*(1-Personnel!$H$22),0)+IF(AND(103&gt;=Personnel!$E$23,Personnel!$G$23="Yes"),Personnel!$D$23*(1-Personnel!$H$23),0)+IF(AND(103&gt;=Personnel!$E$24,Personnel!$G$24="Yes"),Personnel!$D$24*(1-Personnel!$H$24),0)+IF(AND(103&gt;=Personnel!$E$25,Personnel!$G$25="Yes"),Personnel!$D$25*(1-Personnel!$H$25),0)+IF(AND(103&gt;=Personnel!$E$26,Personnel!$G$26="Yes"),Personnel!$D$26*(1-Personnel!$H$26),0)+IF(AND(103&gt;=Personnel!$E$27,Personnel!$G$27="Yes"),Personnel!$D$27*(1-Personnel!$H$27),0)+IF(AND(103&gt;=Personnel!$E$28,Personnel!$G$28="Yes"),Personnel!$D$28*(1-Personnel!$H$28),0)+IF(AND(103&gt;=Personnel!$E$29,Personnel!$G$29="Yes"),Personnel!$D$29*(1-Personnel!$H$29),0)+IF(AND(103&gt;=Personnel!$E$30,Personnel!$G$30="Yes"),Personnel!$D$30*(1-Personnel!$H$30),0)+IF(AND(103&gt;=Personnel!$E$31,Personnel!$G$31="Yes"),Personnel!$D$31*(1-Personnel!$H$31),0)+IF(AND(103&gt;=Personnel!$E$32,Personnel!$G$32="Yes"),Personnel!$D$32*(1-Personnel!$H$32),0)+IF(AND(103&gt;=Personnel!$E$33,Personnel!$G$33="Yes"),Personnel!$D$33*(1-Personnel!$H$33),0)))*Escalation!$B$104,Actuals!DD21)</f>
        <v>-319521.277027493</v>
      </c>
      <c r="DD111" s="14" t="n">
        <f aca="false">IF(ISBLANK(Actuals!DE21),(-(IF(AND(104&gt;=Personnel!$E$2,Personnel!$G$2="Yes"),Personnel!$D$2*(1-Personnel!$H$2),0)+IF(AND(104&gt;=Personnel!$E$3,Personnel!$G$3="Yes"),Personnel!$D$3*(1-Personnel!$H$3),0)+IF(AND(104&gt;=Personnel!$E$4,104&lt;=Personnel!$K$4,Personnel!$G$4="Yes"),Personnel!$D$4*(1-Personnel!$H$4),0)+IF(AND(104&gt;=Personnel!$E$5,Personnel!$G$5="Yes"),Personnel!$D$5*(1-Personnel!$H$5),0)+IF(AND(104&gt;=Personnel!$E$6,Personnel!$G$6="Yes"),Personnel!$D$6*(1-Personnel!$H$6),0)+IF(AND(104&gt;=Personnel!$E$7,Personnel!$G$7="Yes"),Personnel!$D$7*(1-Personnel!$H$7),0)+IF(AND(104&gt;=Personnel!$E$8,104&lt;=Personnel!$K$8,Personnel!$G$8="Yes"),Personnel!$D$8*(1-Personnel!$H$8),0)+IF(AND(104&gt;=Personnel!$E$9,Personnel!$G$9="Yes"),Personnel!$D$9*(1-Personnel!$H$9),0)+IF(AND(104&gt;=Personnel!$E$10,Personnel!$G$10="Yes"),Personnel!$D$10*(1-Personnel!$H$10),0)+IF(AND(104&gt;=Personnel!$E$11,Personnel!$G$11="Yes"),Personnel!$D$11*(1-Personnel!$H$11),0)+IF(AND(104&gt;=Personnel!$E$12,Personnel!$G$12="Yes"),Personnel!$D$12*(1-Personnel!$H$12),0)+IF(AND(104&gt;=Personnel!$E$13,Personnel!$G$13="Yes"),Personnel!$D$13*(1-Personnel!$H$13),0)+IF(AND(104&gt;=Personnel!$E$14,Personnel!$G$14="Yes"),Personnel!$D$14*(1-Personnel!$H$14),0)+IF(AND(104&gt;=Personnel!$E$15,Personnel!$G$15="Yes"),Personnel!$D$15*(1-Personnel!$H$15),0)+IF(AND(104&gt;=Personnel!$E$16,Personnel!$G$16="Yes"),Personnel!$D$16*(1-Personnel!$H$16),0)+IF(AND(104&gt;=Personnel!$E$17,Personnel!$G$17="Yes"),Personnel!$D$17*(1-Personnel!$H$17),0)+IF(AND(104&gt;=Personnel!$E$18,Personnel!$G$18="Yes"),Personnel!$D$18*(1-Personnel!$H$18),0)+IF(AND(104&gt;=Personnel!$E$19,Personnel!$G$19="Yes"),Personnel!$D$19*(1-Personnel!$H$19),0)+IF(AND(104&gt;=Personnel!$E$20,Personnel!$G$20="Yes"),Personnel!$D$20*(1-Personnel!$H$20),0)+IF(AND(104&gt;=Personnel!$E$21,Personnel!$G$21="Yes"),Personnel!$D$21*(1-Personnel!$H$21),0)+IF(AND(104&gt;=Personnel!$E$22,Personnel!$G$22="Yes"),Personnel!$D$22*(1-Personnel!$H$22),0)+IF(AND(104&gt;=Personnel!$E$23,Personnel!$G$23="Yes"),Personnel!$D$23*(1-Personnel!$H$23),0)+IF(AND(104&gt;=Personnel!$E$24,Personnel!$G$24="Yes"),Personnel!$D$24*(1-Personnel!$H$24),0)+IF(AND(104&gt;=Personnel!$E$25,Personnel!$G$25="Yes"),Personnel!$D$25*(1-Personnel!$H$25),0)+IF(AND(104&gt;=Personnel!$E$26,Personnel!$G$26="Yes"),Personnel!$D$26*(1-Personnel!$H$26),0)+IF(AND(104&gt;=Personnel!$E$27,Personnel!$G$27="Yes"),Personnel!$D$27*(1-Personnel!$H$27),0)+IF(AND(104&gt;=Personnel!$E$28,Personnel!$G$28="Yes"),Personnel!$D$28*(1-Personnel!$H$28),0)+IF(AND(104&gt;=Personnel!$E$29,Personnel!$G$29="Yes"),Personnel!$D$29*(1-Personnel!$H$29),0)+IF(AND(104&gt;=Personnel!$E$30,Personnel!$G$30="Yes"),Personnel!$D$30*(1-Personnel!$H$30),0)+IF(AND(104&gt;=Personnel!$E$31,Personnel!$G$31="Yes"),Personnel!$D$31*(1-Personnel!$H$31),0)+IF(AND(104&gt;=Personnel!$E$32,Personnel!$G$32="Yes"),Personnel!$D$32*(1-Personnel!$H$32),0)+IF(AND(104&gt;=Personnel!$E$33,Personnel!$G$33="Yes"),Personnel!$D$33*(1-Personnel!$H$33),0)))*Escalation!$B$105,Actuals!DE21)</f>
        <v>-319521.277027493</v>
      </c>
      <c r="DE111" s="14" t="n">
        <f aca="false">IF(ISBLANK(Actuals!DF21),(-(IF(AND(105&gt;=Personnel!$E$2,Personnel!$G$2="Yes"),Personnel!$D$2*(1-Personnel!$H$2),0)+IF(AND(105&gt;=Personnel!$E$3,Personnel!$G$3="Yes"),Personnel!$D$3*(1-Personnel!$H$3),0)+IF(AND(105&gt;=Personnel!$E$4,105&lt;=Personnel!$K$4,Personnel!$G$4="Yes"),Personnel!$D$4*(1-Personnel!$H$4),0)+IF(AND(105&gt;=Personnel!$E$5,Personnel!$G$5="Yes"),Personnel!$D$5*(1-Personnel!$H$5),0)+IF(AND(105&gt;=Personnel!$E$6,Personnel!$G$6="Yes"),Personnel!$D$6*(1-Personnel!$H$6),0)+IF(AND(105&gt;=Personnel!$E$7,Personnel!$G$7="Yes"),Personnel!$D$7*(1-Personnel!$H$7),0)+IF(AND(105&gt;=Personnel!$E$8,105&lt;=Personnel!$K$8,Personnel!$G$8="Yes"),Personnel!$D$8*(1-Personnel!$H$8),0)+IF(AND(105&gt;=Personnel!$E$9,Personnel!$G$9="Yes"),Personnel!$D$9*(1-Personnel!$H$9),0)+IF(AND(105&gt;=Personnel!$E$10,Personnel!$G$10="Yes"),Personnel!$D$10*(1-Personnel!$H$10),0)+IF(AND(105&gt;=Personnel!$E$11,Personnel!$G$11="Yes"),Personnel!$D$11*(1-Personnel!$H$11),0)+IF(AND(105&gt;=Personnel!$E$12,Personnel!$G$12="Yes"),Personnel!$D$12*(1-Personnel!$H$12),0)+IF(AND(105&gt;=Personnel!$E$13,Personnel!$G$13="Yes"),Personnel!$D$13*(1-Personnel!$H$13),0)+IF(AND(105&gt;=Personnel!$E$14,Personnel!$G$14="Yes"),Personnel!$D$14*(1-Personnel!$H$14),0)+IF(AND(105&gt;=Personnel!$E$15,Personnel!$G$15="Yes"),Personnel!$D$15*(1-Personnel!$H$15),0)+IF(AND(105&gt;=Personnel!$E$16,Personnel!$G$16="Yes"),Personnel!$D$16*(1-Personnel!$H$16),0)+IF(AND(105&gt;=Personnel!$E$17,Personnel!$G$17="Yes"),Personnel!$D$17*(1-Personnel!$H$17),0)+IF(AND(105&gt;=Personnel!$E$18,Personnel!$G$18="Yes"),Personnel!$D$18*(1-Personnel!$H$18),0)+IF(AND(105&gt;=Personnel!$E$19,Personnel!$G$19="Yes"),Personnel!$D$19*(1-Personnel!$H$19),0)+IF(AND(105&gt;=Personnel!$E$20,Personnel!$G$20="Yes"),Personnel!$D$20*(1-Personnel!$H$20),0)+IF(AND(105&gt;=Personnel!$E$21,Personnel!$G$21="Yes"),Personnel!$D$21*(1-Personnel!$H$21),0)+IF(AND(105&gt;=Personnel!$E$22,Personnel!$G$22="Yes"),Personnel!$D$22*(1-Personnel!$H$22),0)+IF(AND(105&gt;=Personnel!$E$23,Personnel!$G$23="Yes"),Personnel!$D$23*(1-Personnel!$H$23),0)+IF(AND(105&gt;=Personnel!$E$24,Personnel!$G$24="Yes"),Personnel!$D$24*(1-Personnel!$H$24),0)+IF(AND(105&gt;=Personnel!$E$25,Personnel!$G$25="Yes"),Personnel!$D$25*(1-Personnel!$H$25),0)+IF(AND(105&gt;=Personnel!$E$26,Personnel!$G$26="Yes"),Personnel!$D$26*(1-Personnel!$H$26),0)+IF(AND(105&gt;=Personnel!$E$27,Personnel!$G$27="Yes"),Personnel!$D$27*(1-Personnel!$H$27),0)+IF(AND(105&gt;=Personnel!$E$28,Personnel!$G$28="Yes"),Personnel!$D$28*(1-Personnel!$H$28),0)+IF(AND(105&gt;=Personnel!$E$29,Personnel!$G$29="Yes"),Personnel!$D$29*(1-Personnel!$H$29),0)+IF(AND(105&gt;=Personnel!$E$30,Personnel!$G$30="Yes"),Personnel!$D$30*(1-Personnel!$H$30),0)+IF(AND(105&gt;=Personnel!$E$31,Personnel!$G$31="Yes"),Personnel!$D$31*(1-Personnel!$H$31),0)+IF(AND(105&gt;=Personnel!$E$32,Personnel!$G$32="Yes"),Personnel!$D$32*(1-Personnel!$H$32),0)+IF(AND(105&gt;=Personnel!$E$33,Personnel!$G$33="Yes"),Personnel!$D$33*(1-Personnel!$H$33),0)))*Escalation!$B$106,Actuals!DF21)</f>
        <v>-319521.277027493</v>
      </c>
    </row>
    <row r="112" customFormat="false" ht="15" hidden="false" customHeight="true" outlineLevel="0" collapsed="false">
      <c r="A112" s="29" t="s">
        <v>61</v>
      </c>
      <c r="B112" s="14" t="n">
        <f aca="false">IF(ISBLANK(Actuals!C22),0,Actuals!C22)</f>
        <v>-7450.37</v>
      </c>
      <c r="C112" s="14" t="n">
        <f aca="false">IF(ISBLANK(Actuals!D22),0,Actuals!D22)</f>
        <v>-10567.2</v>
      </c>
      <c r="D112" s="14" t="n">
        <f aca="false">IF(ISBLANK(Actuals!E22),0,Actuals!E22)</f>
        <v>-17033.3</v>
      </c>
      <c r="E112" s="14" t="n">
        <f aca="false">IF(ISBLANK(Actuals!F22),-Helpers!C4*Assumptions!$B$20,Actuals!F22)</f>
        <v>-14599.57</v>
      </c>
      <c r="F112" s="14" t="n">
        <f aca="false">IF(ISBLANK(Actuals!G22),-Helpers!D4*Assumptions!$B$20,Actuals!G22)</f>
        <v>-23689.02</v>
      </c>
      <c r="G112" s="14" t="n">
        <f aca="false">IF(ISBLANK(Actuals!H22),-Helpers!E4*Assumptions!$B$20,Actuals!H22)</f>
        <v>-14793.67</v>
      </c>
      <c r="H112" s="14" t="n">
        <f aca="false">IF(ISBLANK(Actuals!I22),-Helpers!F4*Assumptions!$B$20,Actuals!I22)</f>
        <v>-20985.4166666667</v>
      </c>
      <c r="I112" s="14" t="n">
        <f aca="false">IF(ISBLANK(Actuals!J22),-Helpers!G4*Assumptions!$B$20,Actuals!J22)</f>
        <v>-20985.4166666667</v>
      </c>
      <c r="J112" s="14" t="n">
        <f aca="false">IF(ISBLANK(Actuals!K22),-Helpers!H4*Assumptions!$B$20,Actuals!K22)</f>
        <v>-21918.75</v>
      </c>
      <c r="K112" s="14" t="n">
        <f aca="false">IF(ISBLANK(Actuals!L22),-Helpers!I4*Assumptions!$B$20,Actuals!L22)</f>
        <v>-21918.75</v>
      </c>
      <c r="L112" s="14" t="n">
        <f aca="false">IF(ISBLANK(Actuals!M22),-Helpers!J4*Assumptions!$B$20,Actuals!M22)</f>
        <v>-21918.75</v>
      </c>
      <c r="M112" s="14" t="n">
        <f aca="false">IF(ISBLANK(Actuals!N22),-Helpers!K4*Assumptions!$B$20,Actuals!N22)</f>
        <v>-22677.0833333333</v>
      </c>
      <c r="N112" s="14" t="n">
        <f aca="false">IF(ISBLANK(Actuals!O22),-Helpers!L4*Assumptions!$B$20,Actuals!O22)</f>
        <v>-21947.9166666667</v>
      </c>
      <c r="O112" s="14" t="n">
        <f aca="false">IF(ISBLANK(Actuals!P22),-Helpers!M4*Assumptions!$B$20,Actuals!P22)</f>
        <v>-21947.9166666667</v>
      </c>
      <c r="P112" s="14" t="n">
        <f aca="false">IF(ISBLANK(Actuals!Q22),-Helpers!N4*Assumptions!$B$20,Actuals!Q22)</f>
        <v>-21947.9166666667</v>
      </c>
      <c r="Q112" s="14" t="n">
        <f aca="false">IF(ISBLANK(Actuals!R22),-Helpers!O4*Assumptions!$B$20,Actuals!R22)</f>
        <v>-23338.875</v>
      </c>
      <c r="R112" s="14" t="n">
        <f aca="false">IF(ISBLANK(Actuals!S22),-Helpers!P4*Assumptions!$B$20,Actuals!S22)</f>
        <v>-23338.875</v>
      </c>
      <c r="S112" s="14" t="n">
        <f aca="false">IF(ISBLANK(Actuals!T22),-Helpers!Q4*Assumptions!$B$20,Actuals!T22)</f>
        <v>-23338.875</v>
      </c>
      <c r="T112" s="14" t="n">
        <f aca="false">IF(ISBLANK(Actuals!U22),-Helpers!R4*Assumptions!$B$20,Actuals!U22)</f>
        <v>-23338.875</v>
      </c>
      <c r="U112" s="14" t="n">
        <f aca="false">IF(ISBLANK(Actuals!V22),-Helpers!S4*Assumptions!$B$20,Actuals!V22)</f>
        <v>-23338.875</v>
      </c>
      <c r="V112" s="14" t="n">
        <f aca="false">IF(ISBLANK(Actuals!W22),-Helpers!T4*Assumptions!$B$20,Actuals!W22)</f>
        <v>-23338.875</v>
      </c>
      <c r="W112" s="14" t="n">
        <f aca="false">IF(ISBLANK(Actuals!X22),-Helpers!U4*Assumptions!$B$20,Actuals!X22)</f>
        <v>-23338.875</v>
      </c>
      <c r="X112" s="14" t="n">
        <f aca="false">IF(ISBLANK(Actuals!Y22),-Helpers!V4*Assumptions!$B$20,Actuals!Y22)</f>
        <v>-23338.875</v>
      </c>
      <c r="Y112" s="14" t="n">
        <f aca="false">IF(ISBLANK(Actuals!Z22),-Helpers!W4*Assumptions!$B$20,Actuals!Z22)</f>
        <v>-23338.875</v>
      </c>
      <c r="Z112" s="14" t="n">
        <f aca="false">IF(ISBLANK(Actuals!AA22),-Helpers!X4*Assumptions!$B$20,Actuals!AA22)</f>
        <v>-23338.875</v>
      </c>
      <c r="AA112" s="14" t="n">
        <f aca="false">IF(ISBLANK(Actuals!AB22),-Helpers!Y4*Assumptions!$B$20,Actuals!AB22)</f>
        <v>-23338.875</v>
      </c>
      <c r="AB112" s="14" t="n">
        <f aca="false">IF(ISBLANK(Actuals!AC22),-Helpers!Z4*Assumptions!$B$20,Actuals!AC22)</f>
        <v>-23338.875</v>
      </c>
      <c r="AC112" s="14" t="n">
        <f aca="false">IF(ISBLANK(Actuals!AD22),-Helpers!AA4*Assumptions!$B$20,Actuals!AD22)</f>
        <v>-23805.6525</v>
      </c>
      <c r="AD112" s="14" t="n">
        <f aca="false">IF(ISBLANK(Actuals!AE22),-Helpers!AB4*Assumptions!$B$20,Actuals!AE22)</f>
        <v>-23805.6525</v>
      </c>
      <c r="AE112" s="14" t="n">
        <f aca="false">IF(ISBLANK(Actuals!AF22),-Helpers!AC4*Assumptions!$B$20,Actuals!AF22)</f>
        <v>-23805.6525</v>
      </c>
      <c r="AF112" s="14" t="n">
        <f aca="false">IF(ISBLANK(Actuals!AG22),-Helpers!AD4*Assumptions!$B$20,Actuals!AG22)</f>
        <v>-23805.6525</v>
      </c>
      <c r="AG112" s="14" t="n">
        <f aca="false">IF(ISBLANK(Actuals!AH22),-Helpers!AE4*Assumptions!$B$20,Actuals!AH22)</f>
        <v>-23805.6525</v>
      </c>
      <c r="AH112" s="14" t="n">
        <f aca="false">IF(ISBLANK(Actuals!AI22),-Helpers!AF4*Assumptions!$B$20,Actuals!AI22)</f>
        <v>-23805.6525</v>
      </c>
      <c r="AI112" s="14" t="n">
        <f aca="false">IF(ISBLANK(Actuals!AJ22),-Helpers!AG4*Assumptions!$B$20,Actuals!AJ22)</f>
        <v>-23805.6525</v>
      </c>
      <c r="AJ112" s="14" t="n">
        <f aca="false">IF(ISBLANK(Actuals!AK22),-Helpers!AH4*Assumptions!$B$20,Actuals!AK22)</f>
        <v>-23805.6525</v>
      </c>
      <c r="AK112" s="14" t="n">
        <f aca="false">IF(ISBLANK(Actuals!AL22),-Helpers!AI4*Assumptions!$B$20,Actuals!AL22)</f>
        <v>-23805.6525</v>
      </c>
      <c r="AL112" s="14" t="n">
        <f aca="false">IF(ISBLANK(Actuals!AM22),-Helpers!AJ4*Assumptions!$B$20,Actuals!AM22)</f>
        <v>-23805.6525</v>
      </c>
      <c r="AM112" s="14" t="n">
        <f aca="false">IF(ISBLANK(Actuals!AN22),-Helpers!AK4*Assumptions!$B$20,Actuals!AN22)</f>
        <v>-23805.6525</v>
      </c>
      <c r="AN112" s="14" t="n">
        <f aca="false">IF(ISBLANK(Actuals!AO22),-Helpers!AL4*Assumptions!$B$20,Actuals!AO22)</f>
        <v>-23805.6525</v>
      </c>
      <c r="AO112" s="14" t="n">
        <f aca="false">IF(ISBLANK(Actuals!AP22),-Helpers!AM4*Assumptions!$B$20,Actuals!AP22)</f>
        <v>-24281.76555</v>
      </c>
      <c r="AP112" s="14" t="n">
        <f aca="false">IF(ISBLANK(Actuals!AQ22),-Helpers!AN4*Assumptions!$B$20,Actuals!AQ22)</f>
        <v>-24281.76555</v>
      </c>
      <c r="AQ112" s="14" t="n">
        <f aca="false">IF(ISBLANK(Actuals!AR22),-Helpers!AO4*Assumptions!$B$20,Actuals!AR22)</f>
        <v>-24281.76555</v>
      </c>
      <c r="AR112" s="14" t="n">
        <f aca="false">IF(ISBLANK(Actuals!AS22),-Helpers!AP4*Assumptions!$B$20,Actuals!AS22)</f>
        <v>-24281.76555</v>
      </c>
      <c r="AS112" s="14" t="n">
        <f aca="false">IF(ISBLANK(Actuals!AT22),-Helpers!AQ4*Assumptions!$B$20,Actuals!AT22)</f>
        <v>-24281.76555</v>
      </c>
      <c r="AT112" s="14" t="n">
        <f aca="false">IF(ISBLANK(Actuals!AU22),-Helpers!AR4*Assumptions!$B$20,Actuals!AU22)</f>
        <v>-24281.76555</v>
      </c>
      <c r="AU112" s="14" t="n">
        <f aca="false">IF(ISBLANK(Actuals!AV22),-Helpers!AS4*Assumptions!$B$20,Actuals!AV22)</f>
        <v>-24281.76555</v>
      </c>
      <c r="AV112" s="14" t="n">
        <f aca="false">IF(ISBLANK(Actuals!AW22),-Helpers!AT4*Assumptions!$B$20,Actuals!AW22)</f>
        <v>-24281.76555</v>
      </c>
      <c r="AW112" s="14" t="n">
        <f aca="false">IF(ISBLANK(Actuals!AX22),-Helpers!AU4*Assumptions!$B$20,Actuals!AX22)</f>
        <v>-24281.76555</v>
      </c>
      <c r="AX112" s="14" t="n">
        <f aca="false">IF(ISBLANK(Actuals!AY22),-Helpers!AV4*Assumptions!$B$20,Actuals!AY22)</f>
        <v>-24281.76555</v>
      </c>
      <c r="AY112" s="14" t="n">
        <f aca="false">IF(ISBLANK(Actuals!AZ22),-Helpers!AW4*Assumptions!$B$20,Actuals!AZ22)</f>
        <v>-24281.76555</v>
      </c>
      <c r="AZ112" s="14" t="n">
        <f aca="false">IF(ISBLANK(Actuals!BA22),-Helpers!AX4*Assumptions!$B$20,Actuals!BA22)</f>
        <v>-24281.76555</v>
      </c>
      <c r="BA112" s="14" t="n">
        <f aca="false">IF(ISBLANK(Actuals!BB22),-Helpers!AY4*Assumptions!$B$20,Actuals!BB22)</f>
        <v>-24767.400861</v>
      </c>
      <c r="BB112" s="14" t="n">
        <f aca="false">IF(ISBLANK(Actuals!BC22),-Helpers!AZ4*Assumptions!$B$20,Actuals!BC22)</f>
        <v>-24767.400861</v>
      </c>
      <c r="BC112" s="14" t="n">
        <f aca="false">IF(ISBLANK(Actuals!BD22),-Helpers!BA4*Assumptions!$B$20,Actuals!BD22)</f>
        <v>-24767.400861</v>
      </c>
      <c r="BD112" s="14" t="n">
        <f aca="false">IF(ISBLANK(Actuals!BE22),-Helpers!BB4*Assumptions!$B$20,Actuals!BE22)</f>
        <v>-24767.400861</v>
      </c>
      <c r="BE112" s="14" t="n">
        <f aca="false">IF(ISBLANK(Actuals!BF22),-Helpers!BC4*Assumptions!$B$20,Actuals!BF22)</f>
        <v>-24767.400861</v>
      </c>
      <c r="BF112" s="14" t="n">
        <f aca="false">IF(ISBLANK(Actuals!BG22),-Helpers!BD4*Assumptions!$B$20,Actuals!BG22)</f>
        <v>-24767.400861</v>
      </c>
      <c r="BG112" s="14" t="n">
        <f aca="false">IF(ISBLANK(Actuals!BH22),-Helpers!BE4*Assumptions!$B$20,Actuals!BH22)</f>
        <v>-24767.400861</v>
      </c>
      <c r="BH112" s="14" t="n">
        <f aca="false">IF(ISBLANK(Actuals!BI22),-Helpers!BF4*Assumptions!$B$20,Actuals!BI22)</f>
        <v>-24767.400861</v>
      </c>
      <c r="BI112" s="14" t="n">
        <f aca="false">IF(ISBLANK(Actuals!BJ22),-Helpers!BG4*Assumptions!$B$20,Actuals!BJ22)</f>
        <v>-24767.400861</v>
      </c>
      <c r="BJ112" s="14" t="n">
        <f aca="false">IF(ISBLANK(Actuals!BK22),-Helpers!BH4*Assumptions!$B$20,Actuals!BK22)</f>
        <v>-24767.400861</v>
      </c>
      <c r="BK112" s="14" t="n">
        <f aca="false">IF(ISBLANK(Actuals!BL22),-Helpers!BI4*Assumptions!$B$20,Actuals!BL22)</f>
        <v>-24767.400861</v>
      </c>
      <c r="BL112" s="14" t="n">
        <f aca="false">IF(ISBLANK(Actuals!BM22),-Helpers!BJ4*Assumptions!$B$20,Actuals!BM22)</f>
        <v>-24767.400861</v>
      </c>
      <c r="BM112" s="14" t="n">
        <f aca="false">IF(ISBLANK(Actuals!BN22),-Helpers!BK4*Assumptions!$B$20,Actuals!BN22)</f>
        <v>-25262.74887822</v>
      </c>
      <c r="BN112" s="14" t="n">
        <f aca="false">IF(ISBLANK(Actuals!BO22),-Helpers!BL4*Assumptions!$B$20,Actuals!BO22)</f>
        <v>-25262.74887822</v>
      </c>
      <c r="BO112" s="14" t="n">
        <f aca="false">IF(ISBLANK(Actuals!BP22),-Helpers!BM4*Assumptions!$B$20,Actuals!BP22)</f>
        <v>-25262.74887822</v>
      </c>
      <c r="BP112" s="14" t="n">
        <f aca="false">IF(ISBLANK(Actuals!BQ22),-Helpers!BN4*Assumptions!$B$20,Actuals!BQ22)</f>
        <v>-25262.74887822</v>
      </c>
      <c r="BQ112" s="14" t="n">
        <f aca="false">IF(ISBLANK(Actuals!BR22),-Helpers!BO4*Assumptions!$B$20,Actuals!BR22)</f>
        <v>-25262.74887822</v>
      </c>
      <c r="BR112" s="14" t="n">
        <f aca="false">IF(ISBLANK(Actuals!BS22),-Helpers!BP4*Assumptions!$B$20,Actuals!BS22)</f>
        <v>-25262.74887822</v>
      </c>
      <c r="BS112" s="14" t="n">
        <f aca="false">IF(ISBLANK(Actuals!BT22),-Helpers!BQ4*Assumptions!$B$20,Actuals!BT22)</f>
        <v>-25262.74887822</v>
      </c>
      <c r="BT112" s="14" t="n">
        <f aca="false">IF(ISBLANK(Actuals!BU22),-Helpers!BR4*Assumptions!$B$20,Actuals!BU22)</f>
        <v>-25262.74887822</v>
      </c>
      <c r="BU112" s="14" t="n">
        <f aca="false">IF(ISBLANK(Actuals!BV22),-Helpers!BS4*Assumptions!$B$20,Actuals!BV22)</f>
        <v>-25262.74887822</v>
      </c>
      <c r="BV112" s="14" t="n">
        <f aca="false">IF(ISBLANK(Actuals!BW22),-Helpers!BT4*Assumptions!$B$20,Actuals!BW22)</f>
        <v>-25262.74887822</v>
      </c>
      <c r="BW112" s="14" t="n">
        <f aca="false">IF(ISBLANK(Actuals!BX22),-Helpers!BU4*Assumptions!$B$20,Actuals!BX22)</f>
        <v>-25262.74887822</v>
      </c>
      <c r="BX112" s="14" t="n">
        <f aca="false">IF(ISBLANK(Actuals!BY22),-Helpers!BV4*Assumptions!$B$20,Actuals!BY22)</f>
        <v>-25262.74887822</v>
      </c>
      <c r="BY112" s="14" t="n">
        <f aca="false">IF(ISBLANK(Actuals!BZ22),-Helpers!BW4*Assumptions!$B$20,Actuals!BZ22)</f>
        <v>-25768.0038557844</v>
      </c>
      <c r="BZ112" s="14" t="n">
        <f aca="false">IF(ISBLANK(Actuals!CA22),-Helpers!BX4*Assumptions!$B$20,Actuals!CA22)</f>
        <v>-25768.0038557844</v>
      </c>
      <c r="CA112" s="14" t="n">
        <f aca="false">IF(ISBLANK(Actuals!CB22),-Helpers!BY4*Assumptions!$B$20,Actuals!CB22)</f>
        <v>-25768.0038557844</v>
      </c>
      <c r="CB112" s="14" t="n">
        <f aca="false">IF(ISBLANK(Actuals!CC22),-Helpers!BZ4*Assumptions!$B$20,Actuals!CC22)</f>
        <v>-25768.0038557844</v>
      </c>
      <c r="CC112" s="14" t="n">
        <f aca="false">IF(ISBLANK(Actuals!CD22),-Helpers!CA4*Assumptions!$B$20,Actuals!CD22)</f>
        <v>-25768.0038557844</v>
      </c>
      <c r="CD112" s="14" t="n">
        <f aca="false">IF(ISBLANK(Actuals!CE22),-Helpers!CB4*Assumptions!$B$20,Actuals!CE22)</f>
        <v>-25768.0038557844</v>
      </c>
      <c r="CE112" s="14" t="n">
        <f aca="false">IF(ISBLANK(Actuals!CF22),-Helpers!CC4*Assumptions!$B$20,Actuals!CF22)</f>
        <v>-25768.0038557844</v>
      </c>
      <c r="CF112" s="14" t="n">
        <f aca="false">IF(ISBLANK(Actuals!CG22),-Helpers!CD4*Assumptions!$B$20,Actuals!CG22)</f>
        <v>-25768.0038557844</v>
      </c>
      <c r="CG112" s="14" t="n">
        <f aca="false">IF(ISBLANK(Actuals!CH22),-Helpers!CE4*Assumptions!$B$20,Actuals!CH22)</f>
        <v>-25768.0038557844</v>
      </c>
      <c r="CH112" s="14" t="n">
        <f aca="false">IF(ISBLANK(Actuals!CI22),-Helpers!CF4*Assumptions!$B$20,Actuals!CI22)</f>
        <v>-25768.0038557844</v>
      </c>
      <c r="CI112" s="14" t="n">
        <f aca="false">IF(ISBLANK(Actuals!CJ22),-Helpers!CG4*Assumptions!$B$20,Actuals!CJ22)</f>
        <v>-25768.0038557844</v>
      </c>
      <c r="CJ112" s="14" t="n">
        <f aca="false">IF(ISBLANK(Actuals!CK22),-Helpers!CH4*Assumptions!$B$20,Actuals!CK22)</f>
        <v>-25768.0038557844</v>
      </c>
      <c r="CK112" s="14" t="n">
        <f aca="false">IF(ISBLANK(Actuals!CL22),-Helpers!CI4*Assumptions!$B$20,Actuals!CL22)</f>
        <v>-26283.3639329001</v>
      </c>
      <c r="CL112" s="14" t="n">
        <f aca="false">IF(ISBLANK(Actuals!CM22),-Helpers!CJ4*Assumptions!$B$20,Actuals!CM22)</f>
        <v>-26283.3639329001</v>
      </c>
      <c r="CM112" s="14" t="n">
        <f aca="false">IF(ISBLANK(Actuals!CN22),-Helpers!CK4*Assumptions!$B$20,Actuals!CN22)</f>
        <v>-26283.3639329001</v>
      </c>
      <c r="CN112" s="14" t="n">
        <f aca="false">IF(ISBLANK(Actuals!CO22),-Helpers!CL4*Assumptions!$B$20,Actuals!CO22)</f>
        <v>-26283.3639329001</v>
      </c>
      <c r="CO112" s="14" t="n">
        <f aca="false">IF(ISBLANK(Actuals!CP22),-Helpers!CM4*Assumptions!$B$20,Actuals!CP22)</f>
        <v>-26283.3639329001</v>
      </c>
      <c r="CP112" s="14" t="n">
        <f aca="false">IF(ISBLANK(Actuals!CQ22),-Helpers!CN4*Assumptions!$B$20,Actuals!CQ22)</f>
        <v>-26283.3639329001</v>
      </c>
      <c r="CQ112" s="14" t="n">
        <f aca="false">IF(ISBLANK(Actuals!CR22),-Helpers!CO4*Assumptions!$B$20,Actuals!CR22)</f>
        <v>-26283.3639329001</v>
      </c>
      <c r="CR112" s="14" t="n">
        <f aca="false">IF(ISBLANK(Actuals!CS22),-Helpers!CP4*Assumptions!$B$20,Actuals!CS22)</f>
        <v>-26283.3639329001</v>
      </c>
      <c r="CS112" s="14" t="n">
        <f aca="false">IF(ISBLANK(Actuals!CT22),-Helpers!CQ4*Assumptions!$B$20,Actuals!CT22)</f>
        <v>-26283.3639329001</v>
      </c>
      <c r="CT112" s="14" t="n">
        <f aca="false">IF(ISBLANK(Actuals!CU22),-Helpers!CR4*Assumptions!$B$20,Actuals!CU22)</f>
        <v>-0</v>
      </c>
      <c r="CU112" s="14" t="n">
        <f aca="false">IF(ISBLANK(Actuals!CV22),-Helpers!CS4*Assumptions!$B$20,Actuals!CV22)</f>
        <v>-0</v>
      </c>
      <c r="CV112" s="14" t="n">
        <f aca="false">IF(ISBLANK(Actuals!CW22),-Helpers!CT4*Assumptions!$B$20,Actuals!CW22)</f>
        <v>-0</v>
      </c>
      <c r="CW112" s="14" t="n">
        <f aca="false">IF(ISBLANK(Actuals!CX22),-Helpers!CU4*Assumptions!$B$20,Actuals!CX22)</f>
        <v>-0</v>
      </c>
      <c r="CX112" s="14" t="n">
        <f aca="false">IF(ISBLANK(Actuals!CY22),-Helpers!CV4*Assumptions!$B$20,Actuals!CY22)</f>
        <v>-0</v>
      </c>
      <c r="CY112" s="14" t="n">
        <f aca="false">IF(ISBLANK(Actuals!CZ22),-Helpers!CW4*Assumptions!$B$20,Actuals!CZ22)</f>
        <v>-0</v>
      </c>
      <c r="CZ112" s="14" t="n">
        <f aca="false">IF(ISBLANK(Actuals!DA22),-Helpers!CX4*Assumptions!$B$20,Actuals!DA22)</f>
        <v>-0</v>
      </c>
      <c r="DA112" s="14" t="n">
        <f aca="false">IF(ISBLANK(Actuals!DB22),-Helpers!CY4*Assumptions!$B$20,Actuals!DB22)</f>
        <v>-0</v>
      </c>
      <c r="DB112" s="14" t="n">
        <f aca="false">IF(ISBLANK(Actuals!DC22),-Helpers!CZ4*Assumptions!$B$20,Actuals!DC22)</f>
        <v>-0</v>
      </c>
      <c r="DC112" s="14" t="n">
        <f aca="false">IF(ISBLANK(Actuals!DD22),-Helpers!DA4*Assumptions!$B$20,Actuals!DD22)</f>
        <v>-0</v>
      </c>
      <c r="DD112" s="14" t="n">
        <f aca="false">IF(ISBLANK(Actuals!DE22),-Helpers!DB4*Assumptions!$B$20,Actuals!DE22)</f>
        <v>-0</v>
      </c>
      <c r="DE112" s="14" t="n">
        <f aca="false">IF(ISBLANK(Actuals!DF22),-Helpers!DC4*Assumptions!$B$20,Actuals!DF22)</f>
        <v>-0</v>
      </c>
    </row>
    <row r="113" customFormat="false" ht="15" hidden="false" customHeight="true" outlineLevel="0" collapsed="false">
      <c r="A113" s="29" t="s">
        <v>62</v>
      </c>
      <c r="B113" s="14" t="n">
        <f aca="false">IF(ISBLANK(Actuals!C23),0,Actuals!C23)</f>
        <v>0</v>
      </c>
      <c r="C113" s="14" t="n">
        <f aca="false">IF(ISBLANK(Actuals!D23),0,Actuals!D23)</f>
        <v>0</v>
      </c>
      <c r="D113" s="14" t="n">
        <f aca="false">IF(ISBLANK(Actuals!E23),0,Actuals!E23)</f>
        <v>0</v>
      </c>
      <c r="E113" s="14" t="n">
        <f aca="false">IF(ISBLANK(Actuals!F23),-(IF(AND(1&gt;=Personnel!$E$36,Personnel!$G$36="Yes"),Personnel!$D$36*Personnel!$I$36,0)+IF(AND(1&gt;=Personnel!$E$37,Personnel!$G$37="Yes"),Personnel!$D$37*Personnel!$I$37,0)+IF(AND(1&gt;=Personnel!$E$38,Personnel!$G$38="Yes"),Personnel!$D$38*Personnel!$I$38,0)+IF(AND(1&gt;=Personnel!$E$39,Personnel!$G$39="Yes"),Personnel!$D$39*Personnel!$I$39,0)+IF(AND(1&gt;=Personnel!$E$40,Personnel!$G$40="Yes"),Personnel!$D$40*Personnel!$I$40,0)+IF(AND(1&gt;=Personnel!$E$41,Personnel!$G$41="Yes"),Personnel!$D$41*Personnel!$I$41,0)+IF(AND(1&gt;=Personnel!$E$42,Personnel!$G$42="Yes"),Personnel!$D$42*Personnel!$I$42,0)),Actuals!F23)</f>
        <v>0</v>
      </c>
      <c r="F113" s="14" t="n">
        <f aca="false">IF(ISBLANK(Actuals!G23),-(IF(AND(2&gt;=Personnel!$E$36,Personnel!$G$36="Yes"),Personnel!$D$36*Personnel!$I$36,0)+IF(AND(2&gt;=Personnel!$E$37,Personnel!$G$37="Yes"),Personnel!$D$37*Personnel!$I$37,0)+IF(AND(2&gt;=Personnel!$E$38,Personnel!$G$38="Yes"),Personnel!$D$38*Personnel!$I$38,0)+IF(AND(2&gt;=Personnel!$E$39,Personnel!$G$39="Yes"),Personnel!$D$39*Personnel!$I$39,0)+IF(AND(2&gt;=Personnel!$E$40,Personnel!$G$40="Yes"),Personnel!$D$40*Personnel!$I$40,0)+IF(AND(2&gt;=Personnel!$E$41,Personnel!$G$41="Yes"),Personnel!$D$41*Personnel!$I$41,0)+IF(AND(2&gt;=Personnel!$E$42,Personnel!$G$42="Yes"),Personnel!$D$42*Personnel!$I$42,0)),Actuals!G23)</f>
        <v>0</v>
      </c>
      <c r="G113" s="14" t="n">
        <f aca="false">IF(ISBLANK(Actuals!H23),-(IF(AND(3&gt;=Personnel!$E$36,Personnel!$G$36="Yes"),Personnel!$D$36*Personnel!$I$36,0)+IF(AND(3&gt;=Personnel!$E$37,Personnel!$G$37="Yes"),Personnel!$D$37*Personnel!$I$37,0)+IF(AND(3&gt;=Personnel!$E$38,Personnel!$G$38="Yes"),Personnel!$D$38*Personnel!$I$38,0)+IF(AND(3&gt;=Personnel!$E$39,Personnel!$G$39="Yes"),Personnel!$D$39*Personnel!$I$39,0)+IF(AND(3&gt;=Personnel!$E$40,Personnel!$G$40="Yes"),Personnel!$D$40*Personnel!$I$40,0)+IF(AND(3&gt;=Personnel!$E$41,Personnel!$G$41="Yes"),Personnel!$D$41*Personnel!$I$41,0)+IF(AND(3&gt;=Personnel!$E$42,Personnel!$G$42="Yes"),Personnel!$D$42*Personnel!$I$42,0)),Actuals!H23)</f>
        <v>-103833.333333333</v>
      </c>
      <c r="H113" s="14" t="n">
        <f aca="false">IF(ISBLANK(Actuals!I23),-(IF(AND(4&gt;=Personnel!$E$36,Personnel!$G$36="Yes"),Personnel!$D$36*Personnel!$I$36,0)+IF(AND(4&gt;=Personnel!$E$37,Personnel!$G$37="Yes"),Personnel!$D$37*Personnel!$I$37,0)+IF(AND(4&gt;=Personnel!$E$38,Personnel!$G$38="Yes"),Personnel!$D$38*Personnel!$I$38,0)+IF(AND(4&gt;=Personnel!$E$39,Personnel!$G$39="Yes"),Personnel!$D$39*Personnel!$I$39,0)+IF(AND(4&gt;=Personnel!$E$40,Personnel!$G$40="Yes"),Personnel!$D$40*Personnel!$I$40,0)+IF(AND(4&gt;=Personnel!$E$41,Personnel!$G$41="Yes"),Personnel!$D$41*Personnel!$I$41,0)+IF(AND(4&gt;=Personnel!$E$42,Personnel!$G$42="Yes"),Personnel!$D$42*Personnel!$I$42,0)),Actuals!I23)</f>
        <v>-103833.333333333</v>
      </c>
      <c r="I113" s="14" t="n">
        <f aca="false">IF(ISBLANK(Actuals!J23),-(IF(AND(5&gt;=Personnel!$E$36,Personnel!$G$36="Yes"),Personnel!$D$36*Personnel!$I$36,0)+IF(AND(5&gt;=Personnel!$E$37,Personnel!$G$37="Yes"),Personnel!$D$37*Personnel!$I$37,0)+IF(AND(5&gt;=Personnel!$E$38,Personnel!$G$38="Yes"),Personnel!$D$38*Personnel!$I$38,0)+IF(AND(5&gt;=Personnel!$E$39,Personnel!$G$39="Yes"),Personnel!$D$39*Personnel!$I$39,0)+IF(AND(5&gt;=Personnel!$E$40,Personnel!$G$40="Yes"),Personnel!$D$40*Personnel!$I$40,0)+IF(AND(5&gt;=Personnel!$E$41,Personnel!$G$41="Yes"),Personnel!$D$41*Personnel!$I$41,0)+IF(AND(5&gt;=Personnel!$E$42,Personnel!$G$42="Yes"),Personnel!$D$42*Personnel!$I$42,0)),Actuals!J23)</f>
        <v>-103833.333333333</v>
      </c>
      <c r="J113" s="14" t="n">
        <f aca="false">IF(ISBLANK(Actuals!K23),-(IF(AND(6&gt;=Personnel!$E$36,Personnel!$G$36="Yes"),Personnel!$D$36*Personnel!$I$36,0)+IF(AND(6&gt;=Personnel!$E$37,Personnel!$G$37="Yes"),Personnel!$D$37*Personnel!$I$37,0)+IF(AND(6&gt;=Personnel!$E$38,Personnel!$G$38="Yes"),Personnel!$D$38*Personnel!$I$38,0)+IF(AND(6&gt;=Personnel!$E$39,Personnel!$G$39="Yes"),Personnel!$D$39*Personnel!$I$39,0)+IF(AND(6&gt;=Personnel!$E$40,Personnel!$G$40="Yes"),Personnel!$D$40*Personnel!$I$40,0)+IF(AND(6&gt;=Personnel!$E$41,Personnel!$G$41="Yes"),Personnel!$D$41*Personnel!$I$41,0)+IF(AND(6&gt;=Personnel!$E$42,Personnel!$G$42="Yes"),Personnel!$D$42*Personnel!$I$42,0)),Actuals!K23)</f>
        <v>-103833.333333333</v>
      </c>
      <c r="K113" s="14" t="n">
        <f aca="false">IF(ISBLANK(Actuals!L23),-(IF(AND(7&gt;=Personnel!$E$36,Personnel!$G$36="Yes"),Personnel!$D$36*Personnel!$I$36,0)+IF(AND(7&gt;=Personnel!$E$37,Personnel!$G$37="Yes"),Personnel!$D$37*Personnel!$I$37,0)+IF(AND(7&gt;=Personnel!$E$38,Personnel!$G$38="Yes"),Personnel!$D$38*Personnel!$I$38,0)+IF(AND(7&gt;=Personnel!$E$39,Personnel!$G$39="Yes"),Personnel!$D$39*Personnel!$I$39,0)+IF(AND(7&gt;=Personnel!$E$40,Personnel!$G$40="Yes"),Personnel!$D$40*Personnel!$I$40,0)+IF(AND(7&gt;=Personnel!$E$41,Personnel!$G$41="Yes"),Personnel!$D$41*Personnel!$I$41,0)+IF(AND(7&gt;=Personnel!$E$42,Personnel!$G$42="Yes"),Personnel!$D$42*Personnel!$I$42,0)),Actuals!L23)</f>
        <v>-103833.333333333</v>
      </c>
      <c r="L113" s="14" t="n">
        <f aca="false">IF(ISBLANK(Actuals!M23),-(IF(AND(8&gt;=Personnel!$E$36,Personnel!$G$36="Yes"),Personnel!$D$36*Personnel!$I$36,0)+IF(AND(8&gt;=Personnel!$E$37,Personnel!$G$37="Yes"),Personnel!$D$37*Personnel!$I$37,0)+IF(AND(8&gt;=Personnel!$E$38,Personnel!$G$38="Yes"),Personnel!$D$38*Personnel!$I$38,0)+IF(AND(8&gt;=Personnel!$E$39,Personnel!$G$39="Yes"),Personnel!$D$39*Personnel!$I$39,0)+IF(AND(8&gt;=Personnel!$E$40,Personnel!$G$40="Yes"),Personnel!$D$40*Personnel!$I$40,0)+IF(AND(8&gt;=Personnel!$E$41,Personnel!$G$41="Yes"),Personnel!$D$41*Personnel!$I$41,0)+IF(AND(8&gt;=Personnel!$E$42,Personnel!$G$42="Yes"),Personnel!$D$42*Personnel!$I$42,0)),Actuals!M23)</f>
        <v>-103833.333333333</v>
      </c>
      <c r="M113" s="14" t="n">
        <f aca="false">IF(ISBLANK(Actuals!N23),-(IF(AND(9&gt;=Personnel!$E$36,Personnel!$G$36="Yes"),Personnel!$D$36*Personnel!$I$36,0)+IF(AND(9&gt;=Personnel!$E$37,Personnel!$G$37="Yes"),Personnel!$D$37*Personnel!$I$37,0)+IF(AND(9&gt;=Personnel!$E$38,Personnel!$G$38="Yes"),Personnel!$D$38*Personnel!$I$38,0)+IF(AND(9&gt;=Personnel!$E$39,Personnel!$G$39="Yes"),Personnel!$D$39*Personnel!$I$39,0)+IF(AND(9&gt;=Personnel!$E$40,Personnel!$G$40="Yes"),Personnel!$D$40*Personnel!$I$40,0)+IF(AND(9&gt;=Personnel!$E$41,Personnel!$G$41="Yes"),Personnel!$D$41*Personnel!$I$41,0)+IF(AND(9&gt;=Personnel!$E$42,Personnel!$G$42="Yes"),Personnel!$D$42*Personnel!$I$42,0)),Actuals!N23)</f>
        <v>-103833.333333333</v>
      </c>
      <c r="N113" s="14" t="n">
        <f aca="false">IF(ISBLANK(Actuals!O23),-(IF(AND(10&gt;=Personnel!$E$36,Personnel!$G$36="Yes"),Personnel!$D$36*Personnel!$I$36,0)+IF(AND(10&gt;=Personnel!$E$37,Personnel!$G$37="Yes"),Personnel!$D$37*Personnel!$I$37,0)+IF(AND(10&gt;=Personnel!$E$38,Personnel!$G$38="Yes"),Personnel!$D$38*Personnel!$I$38,0)+IF(AND(10&gt;=Personnel!$E$39,Personnel!$G$39="Yes"),Personnel!$D$39*Personnel!$I$39,0)+IF(AND(10&gt;=Personnel!$E$40,Personnel!$G$40="Yes"),Personnel!$D$40*Personnel!$I$40,0)+IF(AND(10&gt;=Personnel!$E$41,Personnel!$G$41="Yes"),Personnel!$D$41*Personnel!$I$41,0)+IF(AND(10&gt;=Personnel!$E$42,Personnel!$G$42="Yes"),Personnel!$D$42*Personnel!$I$42,0)),Actuals!O23)</f>
        <v>-103833.333333333</v>
      </c>
      <c r="O113" s="14" t="n">
        <f aca="false">IF(ISBLANK(Actuals!P23),-(IF(AND(11&gt;=Personnel!$E$36,Personnel!$G$36="Yes"),Personnel!$D$36*Personnel!$I$36,0)+IF(AND(11&gt;=Personnel!$E$37,Personnel!$G$37="Yes"),Personnel!$D$37*Personnel!$I$37,0)+IF(AND(11&gt;=Personnel!$E$38,Personnel!$G$38="Yes"),Personnel!$D$38*Personnel!$I$38,0)+IF(AND(11&gt;=Personnel!$E$39,Personnel!$G$39="Yes"),Personnel!$D$39*Personnel!$I$39,0)+IF(AND(11&gt;=Personnel!$E$40,Personnel!$G$40="Yes"),Personnel!$D$40*Personnel!$I$40,0)+IF(AND(11&gt;=Personnel!$E$41,Personnel!$G$41="Yes"),Personnel!$D$41*Personnel!$I$41,0)+IF(AND(11&gt;=Personnel!$E$42,Personnel!$G$42="Yes"),Personnel!$D$42*Personnel!$I$42,0)),Actuals!P23)</f>
        <v>-103833.333333333</v>
      </c>
      <c r="P113" s="14" t="n">
        <f aca="false">IF(ISBLANK(Actuals!Q23),-(IF(AND(12&gt;=Personnel!$E$36,Personnel!$G$36="Yes"),Personnel!$D$36*Personnel!$I$36,0)+IF(AND(12&gt;=Personnel!$E$37,Personnel!$G$37="Yes"),Personnel!$D$37*Personnel!$I$37,0)+IF(AND(12&gt;=Personnel!$E$38,Personnel!$G$38="Yes"),Personnel!$D$38*Personnel!$I$38,0)+IF(AND(12&gt;=Personnel!$E$39,Personnel!$G$39="Yes"),Personnel!$D$39*Personnel!$I$39,0)+IF(AND(12&gt;=Personnel!$E$40,Personnel!$G$40="Yes"),Personnel!$D$40*Personnel!$I$40,0)+IF(AND(12&gt;=Personnel!$E$41,Personnel!$G$41="Yes"),Personnel!$D$41*Personnel!$I$41,0)+IF(AND(12&gt;=Personnel!$E$42,Personnel!$G$42="Yes"),Personnel!$D$42*Personnel!$I$42,0)),Actuals!Q23)</f>
        <v>-103833.333333333</v>
      </c>
      <c r="Q113" s="14" t="n">
        <f aca="false">IF(ISBLANK(Actuals!R23),-(IF(AND(13&gt;=Personnel!$E$36,Personnel!$G$36="Yes"),Personnel!$D$36*Personnel!$I$36,0)+IF(AND(13&gt;=Personnel!$E$37,Personnel!$G$37="Yes"),Personnel!$D$37*Personnel!$I$37,0)+IF(AND(13&gt;=Personnel!$E$38,Personnel!$G$38="Yes"),Personnel!$D$38*Personnel!$I$38,0)+IF(AND(13&gt;=Personnel!$E$39,Personnel!$G$39="Yes"),Personnel!$D$39*Personnel!$I$39,0)+IF(AND(13&gt;=Personnel!$E$40,Personnel!$G$40="Yes"),Personnel!$D$40*Personnel!$I$40,0)+IF(AND(13&gt;=Personnel!$E$41,Personnel!$G$41="Yes"),Personnel!$D$41*Personnel!$I$41,0)+IF(AND(13&gt;=Personnel!$E$42,Personnel!$G$42="Yes"),Personnel!$D$42*Personnel!$I$42,0)),Actuals!R23)</f>
        <v>-103833.333333333</v>
      </c>
      <c r="R113" s="14" t="n">
        <f aca="false">IF(ISBLANK(Actuals!S23),-(IF(AND(14&gt;=Personnel!$E$36,Personnel!$G$36="Yes"),Personnel!$D$36*Personnel!$I$36,0)+IF(AND(14&gt;=Personnel!$E$37,Personnel!$G$37="Yes"),Personnel!$D$37*Personnel!$I$37,0)+IF(AND(14&gt;=Personnel!$E$38,Personnel!$G$38="Yes"),Personnel!$D$38*Personnel!$I$38,0)+IF(AND(14&gt;=Personnel!$E$39,Personnel!$G$39="Yes"),Personnel!$D$39*Personnel!$I$39,0)+IF(AND(14&gt;=Personnel!$E$40,Personnel!$G$40="Yes"),Personnel!$D$40*Personnel!$I$40,0)+IF(AND(14&gt;=Personnel!$E$41,Personnel!$G$41="Yes"),Personnel!$D$41*Personnel!$I$41,0)+IF(AND(14&gt;=Personnel!$E$42,Personnel!$G$42="Yes"),Personnel!$D$42*Personnel!$I$42,0)),Actuals!S23)</f>
        <v>-103833.333333333</v>
      </c>
      <c r="S113" s="14" t="n">
        <f aca="false">IF(ISBLANK(Actuals!T23),-(IF(AND(15&gt;=Personnel!$E$36,Personnel!$G$36="Yes"),Personnel!$D$36*Personnel!$I$36,0)+IF(AND(15&gt;=Personnel!$E$37,Personnel!$G$37="Yes"),Personnel!$D$37*Personnel!$I$37,0)+IF(AND(15&gt;=Personnel!$E$38,Personnel!$G$38="Yes"),Personnel!$D$38*Personnel!$I$38,0)+IF(AND(15&gt;=Personnel!$E$39,Personnel!$G$39="Yes"),Personnel!$D$39*Personnel!$I$39,0)+IF(AND(15&gt;=Personnel!$E$40,Personnel!$G$40="Yes"),Personnel!$D$40*Personnel!$I$40,0)+IF(AND(15&gt;=Personnel!$E$41,Personnel!$G$41="Yes"),Personnel!$D$41*Personnel!$I$41,0)+IF(AND(15&gt;=Personnel!$E$42,Personnel!$G$42="Yes"),Personnel!$D$42*Personnel!$I$42,0)),Actuals!T23)</f>
        <v>-103833.333333333</v>
      </c>
      <c r="T113" s="14" t="n">
        <f aca="false">IF(ISBLANK(Actuals!U23),-(IF(AND(16&gt;=Personnel!$E$36,Personnel!$G$36="Yes"),Personnel!$D$36*Personnel!$I$36,0)+IF(AND(16&gt;=Personnel!$E$37,Personnel!$G$37="Yes"),Personnel!$D$37*Personnel!$I$37,0)+IF(AND(16&gt;=Personnel!$E$38,Personnel!$G$38="Yes"),Personnel!$D$38*Personnel!$I$38,0)+IF(AND(16&gt;=Personnel!$E$39,Personnel!$G$39="Yes"),Personnel!$D$39*Personnel!$I$39,0)+IF(AND(16&gt;=Personnel!$E$40,Personnel!$G$40="Yes"),Personnel!$D$40*Personnel!$I$40,0)+IF(AND(16&gt;=Personnel!$E$41,Personnel!$G$41="Yes"),Personnel!$D$41*Personnel!$I$41,0)+IF(AND(16&gt;=Personnel!$E$42,Personnel!$G$42="Yes"),Personnel!$D$42*Personnel!$I$42,0)),Actuals!U23)</f>
        <v>-103833.333333333</v>
      </c>
      <c r="U113" s="14" t="n">
        <f aca="false">IF(ISBLANK(Actuals!V23),-(IF(AND(17&gt;=Personnel!$E$36,Personnel!$G$36="Yes"),Personnel!$D$36*Personnel!$I$36,0)+IF(AND(17&gt;=Personnel!$E$37,Personnel!$G$37="Yes"),Personnel!$D$37*Personnel!$I$37,0)+IF(AND(17&gt;=Personnel!$E$38,Personnel!$G$38="Yes"),Personnel!$D$38*Personnel!$I$38,0)+IF(AND(17&gt;=Personnel!$E$39,Personnel!$G$39="Yes"),Personnel!$D$39*Personnel!$I$39,0)+IF(AND(17&gt;=Personnel!$E$40,Personnel!$G$40="Yes"),Personnel!$D$40*Personnel!$I$40,0)+IF(AND(17&gt;=Personnel!$E$41,Personnel!$G$41="Yes"),Personnel!$D$41*Personnel!$I$41,0)+IF(AND(17&gt;=Personnel!$E$42,Personnel!$G$42="Yes"),Personnel!$D$42*Personnel!$I$42,0)),Actuals!V23)</f>
        <v>-103833.333333333</v>
      </c>
      <c r="V113" s="14" t="n">
        <f aca="false">IF(ISBLANK(Actuals!W23),-(IF(AND(18&gt;=Personnel!$E$36,Personnel!$G$36="Yes"),Personnel!$D$36*Personnel!$I$36,0)+IF(AND(18&gt;=Personnel!$E$37,Personnel!$G$37="Yes"),Personnel!$D$37*Personnel!$I$37,0)+IF(AND(18&gt;=Personnel!$E$38,Personnel!$G$38="Yes"),Personnel!$D$38*Personnel!$I$38,0)+IF(AND(18&gt;=Personnel!$E$39,Personnel!$G$39="Yes"),Personnel!$D$39*Personnel!$I$39,0)+IF(AND(18&gt;=Personnel!$E$40,Personnel!$G$40="Yes"),Personnel!$D$40*Personnel!$I$40,0)+IF(AND(18&gt;=Personnel!$E$41,Personnel!$G$41="Yes"),Personnel!$D$41*Personnel!$I$41,0)+IF(AND(18&gt;=Personnel!$E$42,Personnel!$G$42="Yes"),Personnel!$D$42*Personnel!$I$42,0)),Actuals!W23)</f>
        <v>-103833.333333333</v>
      </c>
      <c r="W113" s="14" t="n">
        <f aca="false">IF(ISBLANK(Actuals!X23),-(IF(AND(19&gt;=Personnel!$E$36,Personnel!$G$36="Yes"),Personnel!$D$36*Personnel!$I$36,0)+IF(AND(19&gt;=Personnel!$E$37,Personnel!$G$37="Yes"),Personnel!$D$37*Personnel!$I$37,0)+IF(AND(19&gt;=Personnel!$E$38,Personnel!$G$38="Yes"),Personnel!$D$38*Personnel!$I$38,0)+IF(AND(19&gt;=Personnel!$E$39,Personnel!$G$39="Yes"),Personnel!$D$39*Personnel!$I$39,0)+IF(AND(19&gt;=Personnel!$E$40,Personnel!$G$40="Yes"),Personnel!$D$40*Personnel!$I$40,0)+IF(AND(19&gt;=Personnel!$E$41,Personnel!$G$41="Yes"),Personnel!$D$41*Personnel!$I$41,0)+IF(AND(19&gt;=Personnel!$E$42,Personnel!$G$42="Yes"),Personnel!$D$42*Personnel!$I$42,0)),Actuals!X23)</f>
        <v>-103833.333333333</v>
      </c>
      <c r="X113" s="14" t="n">
        <f aca="false">IF(ISBLANK(Actuals!Y23),-(IF(AND(20&gt;=Personnel!$E$36,Personnel!$G$36="Yes"),Personnel!$D$36*Personnel!$I$36,0)+IF(AND(20&gt;=Personnel!$E$37,Personnel!$G$37="Yes"),Personnel!$D$37*Personnel!$I$37,0)+IF(AND(20&gt;=Personnel!$E$38,Personnel!$G$38="Yes"),Personnel!$D$38*Personnel!$I$38,0)+IF(AND(20&gt;=Personnel!$E$39,Personnel!$G$39="Yes"),Personnel!$D$39*Personnel!$I$39,0)+IF(AND(20&gt;=Personnel!$E$40,Personnel!$G$40="Yes"),Personnel!$D$40*Personnel!$I$40,0)+IF(AND(20&gt;=Personnel!$E$41,Personnel!$G$41="Yes"),Personnel!$D$41*Personnel!$I$41,0)+IF(AND(20&gt;=Personnel!$E$42,Personnel!$G$42="Yes"),Personnel!$D$42*Personnel!$I$42,0)),Actuals!Y23)</f>
        <v>-103833.333333333</v>
      </c>
      <c r="Y113" s="14" t="n">
        <f aca="false">IF(ISBLANK(Actuals!Z23),-(IF(AND(21&gt;=Personnel!$E$36,Personnel!$G$36="Yes"),Personnel!$D$36*Personnel!$I$36,0)+IF(AND(21&gt;=Personnel!$E$37,Personnel!$G$37="Yes"),Personnel!$D$37*Personnel!$I$37,0)+IF(AND(21&gt;=Personnel!$E$38,Personnel!$G$38="Yes"),Personnel!$D$38*Personnel!$I$38,0)+IF(AND(21&gt;=Personnel!$E$39,Personnel!$G$39="Yes"),Personnel!$D$39*Personnel!$I$39,0)+IF(AND(21&gt;=Personnel!$E$40,Personnel!$G$40="Yes"),Personnel!$D$40*Personnel!$I$40,0)+IF(AND(21&gt;=Personnel!$E$41,Personnel!$G$41="Yes"),Personnel!$D$41*Personnel!$I$41,0)+IF(AND(21&gt;=Personnel!$E$42,Personnel!$G$42="Yes"),Personnel!$D$42*Personnel!$I$42,0)),Actuals!Z23)</f>
        <v>-103833.333333333</v>
      </c>
      <c r="Z113" s="14" t="n">
        <f aca="false">IF(ISBLANK(Actuals!AA23),-(IF(AND(22&gt;=Personnel!$E$36,Personnel!$G$36="Yes"),Personnel!$D$36*Personnel!$I$36,0)+IF(AND(22&gt;=Personnel!$E$37,Personnel!$G$37="Yes"),Personnel!$D$37*Personnel!$I$37,0)+IF(AND(22&gt;=Personnel!$E$38,Personnel!$G$38="Yes"),Personnel!$D$38*Personnel!$I$38,0)+IF(AND(22&gt;=Personnel!$E$39,Personnel!$G$39="Yes"),Personnel!$D$39*Personnel!$I$39,0)+IF(AND(22&gt;=Personnel!$E$40,Personnel!$G$40="Yes"),Personnel!$D$40*Personnel!$I$40,0)+IF(AND(22&gt;=Personnel!$E$41,Personnel!$G$41="Yes"),Personnel!$D$41*Personnel!$I$41,0)+IF(AND(22&gt;=Personnel!$E$42,Personnel!$G$42="Yes"),Personnel!$D$42*Personnel!$I$42,0)),Actuals!AA23)</f>
        <v>-103833.333333333</v>
      </c>
      <c r="AA113" s="14" t="n">
        <f aca="false">IF(ISBLANK(Actuals!AB23),-(IF(AND(23&gt;=Personnel!$E$36,Personnel!$G$36="Yes"),Personnel!$D$36*Personnel!$I$36,0)+IF(AND(23&gt;=Personnel!$E$37,Personnel!$G$37="Yes"),Personnel!$D$37*Personnel!$I$37,0)+IF(AND(23&gt;=Personnel!$E$38,Personnel!$G$38="Yes"),Personnel!$D$38*Personnel!$I$38,0)+IF(AND(23&gt;=Personnel!$E$39,Personnel!$G$39="Yes"),Personnel!$D$39*Personnel!$I$39,0)+IF(AND(23&gt;=Personnel!$E$40,Personnel!$G$40="Yes"),Personnel!$D$40*Personnel!$I$40,0)+IF(AND(23&gt;=Personnel!$E$41,Personnel!$G$41="Yes"),Personnel!$D$41*Personnel!$I$41,0)+IF(AND(23&gt;=Personnel!$E$42,Personnel!$G$42="Yes"),Personnel!$D$42*Personnel!$I$42,0)),Actuals!AB23)</f>
        <v>-103833.333333333</v>
      </c>
      <c r="AB113" s="14" t="n">
        <f aca="false">IF(ISBLANK(Actuals!AC23),-(IF(AND(24&gt;=Personnel!$E$36,Personnel!$G$36="Yes"),Personnel!$D$36*Personnel!$I$36,0)+IF(AND(24&gt;=Personnel!$E$37,Personnel!$G$37="Yes"),Personnel!$D$37*Personnel!$I$37,0)+IF(AND(24&gt;=Personnel!$E$38,Personnel!$G$38="Yes"),Personnel!$D$38*Personnel!$I$38,0)+IF(AND(24&gt;=Personnel!$E$39,Personnel!$G$39="Yes"),Personnel!$D$39*Personnel!$I$39,0)+IF(AND(24&gt;=Personnel!$E$40,Personnel!$G$40="Yes"),Personnel!$D$40*Personnel!$I$40,0)+IF(AND(24&gt;=Personnel!$E$41,Personnel!$G$41="Yes"),Personnel!$D$41*Personnel!$I$41,0)+IF(AND(24&gt;=Personnel!$E$42,Personnel!$G$42="Yes"),Personnel!$D$42*Personnel!$I$42,0)),Actuals!AC23)</f>
        <v>-103833.333333333</v>
      </c>
      <c r="AC113" s="14" t="n">
        <f aca="false">IF(ISBLANK(Actuals!AD23),-(IF(AND(25&gt;=Personnel!$E$36,Personnel!$G$36="Yes"),Personnel!$D$36*Personnel!$I$36,0)+IF(AND(25&gt;=Personnel!$E$37,Personnel!$G$37="Yes"),Personnel!$D$37*Personnel!$I$37,0)+IF(AND(25&gt;=Personnel!$E$38,Personnel!$G$38="Yes"),Personnel!$D$38*Personnel!$I$38,0)+IF(AND(25&gt;=Personnel!$E$39,Personnel!$G$39="Yes"),Personnel!$D$39*Personnel!$I$39,0)+IF(AND(25&gt;=Personnel!$E$40,Personnel!$G$40="Yes"),Personnel!$D$40*Personnel!$I$40,0)+IF(AND(25&gt;=Personnel!$E$41,Personnel!$G$41="Yes"),Personnel!$D$41*Personnel!$I$41,0)+IF(AND(25&gt;=Personnel!$E$42,Personnel!$G$42="Yes"),Personnel!$D$42*Personnel!$I$42,0)),Actuals!AD23)</f>
        <v>-103833.333333333</v>
      </c>
      <c r="AD113" s="14" t="n">
        <f aca="false">IF(ISBLANK(Actuals!AE23),-(IF(AND(26&gt;=Personnel!$E$36,Personnel!$G$36="Yes"),Personnel!$D$36*Personnel!$I$36,0)+IF(AND(26&gt;=Personnel!$E$37,Personnel!$G$37="Yes"),Personnel!$D$37*Personnel!$I$37,0)+IF(AND(26&gt;=Personnel!$E$38,Personnel!$G$38="Yes"),Personnel!$D$38*Personnel!$I$38,0)+IF(AND(26&gt;=Personnel!$E$39,Personnel!$G$39="Yes"),Personnel!$D$39*Personnel!$I$39,0)+IF(AND(26&gt;=Personnel!$E$40,Personnel!$G$40="Yes"),Personnel!$D$40*Personnel!$I$40,0)+IF(AND(26&gt;=Personnel!$E$41,Personnel!$G$41="Yes"),Personnel!$D$41*Personnel!$I$41,0)+IF(AND(26&gt;=Personnel!$E$42,Personnel!$G$42="Yes"),Personnel!$D$42*Personnel!$I$42,0)),Actuals!AE23)</f>
        <v>-103833.333333333</v>
      </c>
      <c r="AE113" s="14" t="n">
        <f aca="false">IF(ISBLANK(Actuals!AF23),-(IF(AND(27&gt;=Personnel!$E$36,Personnel!$G$36="Yes"),Personnel!$D$36*Personnel!$I$36,0)+IF(AND(27&gt;=Personnel!$E$37,Personnel!$G$37="Yes"),Personnel!$D$37*Personnel!$I$37,0)+IF(AND(27&gt;=Personnel!$E$38,Personnel!$G$38="Yes"),Personnel!$D$38*Personnel!$I$38,0)+IF(AND(27&gt;=Personnel!$E$39,Personnel!$G$39="Yes"),Personnel!$D$39*Personnel!$I$39,0)+IF(AND(27&gt;=Personnel!$E$40,Personnel!$G$40="Yes"),Personnel!$D$40*Personnel!$I$40,0)+IF(AND(27&gt;=Personnel!$E$41,Personnel!$G$41="Yes"),Personnel!$D$41*Personnel!$I$41,0)+IF(AND(27&gt;=Personnel!$E$42,Personnel!$G$42="Yes"),Personnel!$D$42*Personnel!$I$42,0)),Actuals!AF23)</f>
        <v>-103833.333333333</v>
      </c>
      <c r="AF113" s="14" t="n">
        <f aca="false">IF(ISBLANK(Actuals!AG23),-(IF(AND(28&gt;=Personnel!$E$36,Personnel!$G$36="Yes"),Personnel!$D$36*Personnel!$I$36,0)+IF(AND(28&gt;=Personnel!$E$37,Personnel!$G$37="Yes"),Personnel!$D$37*Personnel!$I$37,0)+IF(AND(28&gt;=Personnel!$E$38,Personnel!$G$38="Yes"),Personnel!$D$38*Personnel!$I$38,0)+IF(AND(28&gt;=Personnel!$E$39,Personnel!$G$39="Yes"),Personnel!$D$39*Personnel!$I$39,0)+IF(AND(28&gt;=Personnel!$E$40,Personnel!$G$40="Yes"),Personnel!$D$40*Personnel!$I$40,0)+IF(AND(28&gt;=Personnel!$E$41,Personnel!$G$41="Yes"),Personnel!$D$41*Personnel!$I$41,0)+IF(AND(28&gt;=Personnel!$E$42,Personnel!$G$42="Yes"),Personnel!$D$42*Personnel!$I$42,0)),Actuals!AG23)</f>
        <v>-103833.333333333</v>
      </c>
      <c r="AG113" s="14" t="n">
        <f aca="false">IF(ISBLANK(Actuals!AH23),-(IF(AND(29&gt;=Personnel!$E$36,Personnel!$G$36="Yes"),Personnel!$D$36*Personnel!$I$36,0)+IF(AND(29&gt;=Personnel!$E$37,Personnel!$G$37="Yes"),Personnel!$D$37*Personnel!$I$37,0)+IF(AND(29&gt;=Personnel!$E$38,Personnel!$G$38="Yes"),Personnel!$D$38*Personnel!$I$38,0)+IF(AND(29&gt;=Personnel!$E$39,Personnel!$G$39="Yes"),Personnel!$D$39*Personnel!$I$39,0)+IF(AND(29&gt;=Personnel!$E$40,Personnel!$G$40="Yes"),Personnel!$D$40*Personnel!$I$40,0)+IF(AND(29&gt;=Personnel!$E$41,Personnel!$G$41="Yes"),Personnel!$D$41*Personnel!$I$41,0)+IF(AND(29&gt;=Personnel!$E$42,Personnel!$G$42="Yes"),Personnel!$D$42*Personnel!$I$42,0)),Actuals!AH23)</f>
        <v>-103833.333333333</v>
      </c>
      <c r="AH113" s="14" t="n">
        <f aca="false">IF(ISBLANK(Actuals!AI23),-(IF(AND(30&gt;=Personnel!$E$36,Personnel!$G$36="Yes"),Personnel!$D$36*Personnel!$I$36,0)+IF(AND(30&gt;=Personnel!$E$37,Personnel!$G$37="Yes"),Personnel!$D$37*Personnel!$I$37,0)+IF(AND(30&gt;=Personnel!$E$38,Personnel!$G$38="Yes"),Personnel!$D$38*Personnel!$I$38,0)+IF(AND(30&gt;=Personnel!$E$39,Personnel!$G$39="Yes"),Personnel!$D$39*Personnel!$I$39,0)+IF(AND(30&gt;=Personnel!$E$40,Personnel!$G$40="Yes"),Personnel!$D$40*Personnel!$I$40,0)+IF(AND(30&gt;=Personnel!$E$41,Personnel!$G$41="Yes"),Personnel!$D$41*Personnel!$I$41,0)+IF(AND(30&gt;=Personnel!$E$42,Personnel!$G$42="Yes"),Personnel!$D$42*Personnel!$I$42,0)),Actuals!AI23)</f>
        <v>-103833.333333333</v>
      </c>
      <c r="AI113" s="14" t="n">
        <f aca="false">IF(ISBLANK(Actuals!AJ23),-(IF(AND(31&gt;=Personnel!$E$36,Personnel!$G$36="Yes"),Personnel!$D$36*Personnel!$I$36,0)+IF(AND(31&gt;=Personnel!$E$37,Personnel!$G$37="Yes"),Personnel!$D$37*Personnel!$I$37,0)+IF(AND(31&gt;=Personnel!$E$38,Personnel!$G$38="Yes"),Personnel!$D$38*Personnel!$I$38,0)+IF(AND(31&gt;=Personnel!$E$39,Personnel!$G$39="Yes"),Personnel!$D$39*Personnel!$I$39,0)+IF(AND(31&gt;=Personnel!$E$40,Personnel!$G$40="Yes"),Personnel!$D$40*Personnel!$I$40,0)+IF(AND(31&gt;=Personnel!$E$41,Personnel!$G$41="Yes"),Personnel!$D$41*Personnel!$I$41,0)+IF(AND(31&gt;=Personnel!$E$42,Personnel!$G$42="Yes"),Personnel!$D$42*Personnel!$I$42,0)),Actuals!AJ23)</f>
        <v>-103833.333333333</v>
      </c>
      <c r="AJ113" s="14" t="n">
        <f aca="false">IF(ISBLANK(Actuals!AK23),-(IF(AND(32&gt;=Personnel!$E$36,Personnel!$G$36="Yes"),Personnel!$D$36*Personnel!$I$36,0)+IF(AND(32&gt;=Personnel!$E$37,Personnel!$G$37="Yes"),Personnel!$D$37*Personnel!$I$37,0)+IF(AND(32&gt;=Personnel!$E$38,Personnel!$G$38="Yes"),Personnel!$D$38*Personnel!$I$38,0)+IF(AND(32&gt;=Personnel!$E$39,Personnel!$G$39="Yes"),Personnel!$D$39*Personnel!$I$39,0)+IF(AND(32&gt;=Personnel!$E$40,Personnel!$G$40="Yes"),Personnel!$D$40*Personnel!$I$40,0)+IF(AND(32&gt;=Personnel!$E$41,Personnel!$G$41="Yes"),Personnel!$D$41*Personnel!$I$41,0)+IF(AND(32&gt;=Personnel!$E$42,Personnel!$G$42="Yes"),Personnel!$D$42*Personnel!$I$42,0)),Actuals!AK23)</f>
        <v>-103833.333333333</v>
      </c>
      <c r="AK113" s="14" t="n">
        <f aca="false">IF(ISBLANK(Actuals!AL23),-(IF(AND(33&gt;=Personnel!$E$36,Personnel!$G$36="Yes"),Personnel!$D$36*Personnel!$I$36,0)+IF(AND(33&gt;=Personnel!$E$37,Personnel!$G$37="Yes"),Personnel!$D$37*Personnel!$I$37,0)+IF(AND(33&gt;=Personnel!$E$38,Personnel!$G$38="Yes"),Personnel!$D$38*Personnel!$I$38,0)+IF(AND(33&gt;=Personnel!$E$39,Personnel!$G$39="Yes"),Personnel!$D$39*Personnel!$I$39,0)+IF(AND(33&gt;=Personnel!$E$40,Personnel!$G$40="Yes"),Personnel!$D$40*Personnel!$I$40,0)+IF(AND(33&gt;=Personnel!$E$41,Personnel!$G$41="Yes"),Personnel!$D$41*Personnel!$I$41,0)+IF(AND(33&gt;=Personnel!$E$42,Personnel!$G$42="Yes"),Personnel!$D$42*Personnel!$I$42,0)),Actuals!AL23)</f>
        <v>-103833.333333333</v>
      </c>
      <c r="AL113" s="14" t="n">
        <f aca="false">IF(ISBLANK(Actuals!AM23),-(IF(AND(34&gt;=Personnel!$E$36,Personnel!$G$36="Yes"),Personnel!$D$36*Personnel!$I$36,0)+IF(AND(34&gt;=Personnel!$E$37,Personnel!$G$37="Yes"),Personnel!$D$37*Personnel!$I$37,0)+IF(AND(34&gt;=Personnel!$E$38,Personnel!$G$38="Yes"),Personnel!$D$38*Personnel!$I$38,0)+IF(AND(34&gt;=Personnel!$E$39,Personnel!$G$39="Yes"),Personnel!$D$39*Personnel!$I$39,0)+IF(AND(34&gt;=Personnel!$E$40,Personnel!$G$40="Yes"),Personnel!$D$40*Personnel!$I$40,0)+IF(AND(34&gt;=Personnel!$E$41,Personnel!$G$41="Yes"),Personnel!$D$41*Personnel!$I$41,0)+IF(AND(34&gt;=Personnel!$E$42,Personnel!$G$42="Yes"),Personnel!$D$42*Personnel!$I$42,0)),Actuals!AM23)</f>
        <v>-103833.333333333</v>
      </c>
      <c r="AM113" s="14" t="n">
        <f aca="false">IF(ISBLANK(Actuals!AN23),-(IF(AND(35&gt;=Personnel!$E$36,Personnel!$G$36="Yes"),Personnel!$D$36*Personnel!$I$36,0)+IF(AND(35&gt;=Personnel!$E$37,Personnel!$G$37="Yes"),Personnel!$D$37*Personnel!$I$37,0)+IF(AND(35&gt;=Personnel!$E$38,Personnel!$G$38="Yes"),Personnel!$D$38*Personnel!$I$38,0)+IF(AND(35&gt;=Personnel!$E$39,Personnel!$G$39="Yes"),Personnel!$D$39*Personnel!$I$39,0)+IF(AND(35&gt;=Personnel!$E$40,Personnel!$G$40="Yes"),Personnel!$D$40*Personnel!$I$40,0)+IF(AND(35&gt;=Personnel!$E$41,Personnel!$G$41="Yes"),Personnel!$D$41*Personnel!$I$41,0)+IF(AND(35&gt;=Personnel!$E$42,Personnel!$G$42="Yes"),Personnel!$D$42*Personnel!$I$42,0)),Actuals!AN23)</f>
        <v>-103833.333333333</v>
      </c>
      <c r="AN113" s="14" t="n">
        <f aca="false">IF(ISBLANK(Actuals!AO23),-(IF(AND(36&gt;=Personnel!$E$36,Personnel!$G$36="Yes"),Personnel!$D$36*Personnel!$I$36,0)+IF(AND(36&gt;=Personnel!$E$37,Personnel!$G$37="Yes"),Personnel!$D$37*Personnel!$I$37,0)+IF(AND(36&gt;=Personnel!$E$38,Personnel!$G$38="Yes"),Personnel!$D$38*Personnel!$I$38,0)+IF(AND(36&gt;=Personnel!$E$39,Personnel!$G$39="Yes"),Personnel!$D$39*Personnel!$I$39,0)+IF(AND(36&gt;=Personnel!$E$40,Personnel!$G$40="Yes"),Personnel!$D$40*Personnel!$I$40,0)+IF(AND(36&gt;=Personnel!$E$41,Personnel!$G$41="Yes"),Personnel!$D$41*Personnel!$I$41,0)+IF(AND(36&gt;=Personnel!$E$42,Personnel!$G$42="Yes"),Personnel!$D$42*Personnel!$I$42,0)),Actuals!AO23)</f>
        <v>-103833.333333333</v>
      </c>
      <c r="AO113" s="14" t="n">
        <f aca="false">IF(ISBLANK(Actuals!AP23),-(IF(AND(37&gt;=Personnel!$E$36,Personnel!$G$36="Yes"),Personnel!$D$36*Personnel!$I$36,0)+IF(AND(37&gt;=Personnel!$E$37,Personnel!$G$37="Yes"),Personnel!$D$37*Personnel!$I$37,0)+IF(AND(37&gt;=Personnel!$E$38,Personnel!$G$38="Yes"),Personnel!$D$38*Personnel!$I$38,0)+IF(AND(37&gt;=Personnel!$E$39,Personnel!$G$39="Yes"),Personnel!$D$39*Personnel!$I$39,0)+IF(AND(37&gt;=Personnel!$E$40,Personnel!$G$40="Yes"),Personnel!$D$40*Personnel!$I$40,0)+IF(AND(37&gt;=Personnel!$E$41,Personnel!$G$41="Yes"),Personnel!$D$41*Personnel!$I$41,0)+IF(AND(37&gt;=Personnel!$E$42,Personnel!$G$42="Yes"),Personnel!$D$42*Personnel!$I$42,0)),Actuals!AP23)</f>
        <v>-103833.333333333</v>
      </c>
      <c r="AP113" s="14" t="n">
        <f aca="false">IF(ISBLANK(Actuals!AQ23),-(IF(AND(38&gt;=Personnel!$E$36,Personnel!$G$36="Yes"),Personnel!$D$36*Personnel!$I$36,0)+IF(AND(38&gt;=Personnel!$E$37,Personnel!$G$37="Yes"),Personnel!$D$37*Personnel!$I$37,0)+IF(AND(38&gt;=Personnel!$E$38,Personnel!$G$38="Yes"),Personnel!$D$38*Personnel!$I$38,0)+IF(AND(38&gt;=Personnel!$E$39,Personnel!$G$39="Yes"),Personnel!$D$39*Personnel!$I$39,0)+IF(AND(38&gt;=Personnel!$E$40,Personnel!$G$40="Yes"),Personnel!$D$40*Personnel!$I$40,0)+IF(AND(38&gt;=Personnel!$E$41,Personnel!$G$41="Yes"),Personnel!$D$41*Personnel!$I$41,0)+IF(AND(38&gt;=Personnel!$E$42,Personnel!$G$42="Yes"),Personnel!$D$42*Personnel!$I$42,0)),Actuals!AQ23)</f>
        <v>-103833.333333333</v>
      </c>
      <c r="AQ113" s="14" t="n">
        <f aca="false">IF(ISBLANK(Actuals!AR23),-(IF(AND(39&gt;=Personnel!$E$36,Personnel!$G$36="Yes"),Personnel!$D$36*Personnel!$I$36,0)+IF(AND(39&gt;=Personnel!$E$37,Personnel!$G$37="Yes"),Personnel!$D$37*Personnel!$I$37,0)+IF(AND(39&gt;=Personnel!$E$38,Personnel!$G$38="Yes"),Personnel!$D$38*Personnel!$I$38,0)+IF(AND(39&gt;=Personnel!$E$39,Personnel!$G$39="Yes"),Personnel!$D$39*Personnel!$I$39,0)+IF(AND(39&gt;=Personnel!$E$40,Personnel!$G$40="Yes"),Personnel!$D$40*Personnel!$I$40,0)+IF(AND(39&gt;=Personnel!$E$41,Personnel!$G$41="Yes"),Personnel!$D$41*Personnel!$I$41,0)+IF(AND(39&gt;=Personnel!$E$42,Personnel!$G$42="Yes"),Personnel!$D$42*Personnel!$I$42,0)),Actuals!AR23)</f>
        <v>-103833.333333333</v>
      </c>
      <c r="AR113" s="14" t="n">
        <f aca="false">IF(ISBLANK(Actuals!AS23),-(IF(AND(40&gt;=Personnel!$E$36,Personnel!$G$36="Yes"),Personnel!$D$36*Personnel!$I$36,0)+IF(AND(40&gt;=Personnel!$E$37,Personnel!$G$37="Yes"),Personnel!$D$37*Personnel!$I$37,0)+IF(AND(40&gt;=Personnel!$E$38,Personnel!$G$38="Yes"),Personnel!$D$38*Personnel!$I$38,0)+IF(AND(40&gt;=Personnel!$E$39,Personnel!$G$39="Yes"),Personnel!$D$39*Personnel!$I$39,0)+IF(AND(40&gt;=Personnel!$E$40,Personnel!$G$40="Yes"),Personnel!$D$40*Personnel!$I$40,0)+IF(AND(40&gt;=Personnel!$E$41,Personnel!$G$41="Yes"),Personnel!$D$41*Personnel!$I$41,0)+IF(AND(40&gt;=Personnel!$E$42,Personnel!$G$42="Yes"),Personnel!$D$42*Personnel!$I$42,0)),Actuals!AS23)</f>
        <v>-103833.333333333</v>
      </c>
      <c r="AS113" s="14" t="n">
        <f aca="false">IF(ISBLANK(Actuals!AT23),-(IF(AND(41&gt;=Personnel!$E$36,Personnel!$G$36="Yes"),Personnel!$D$36*Personnel!$I$36,0)+IF(AND(41&gt;=Personnel!$E$37,Personnel!$G$37="Yes"),Personnel!$D$37*Personnel!$I$37,0)+IF(AND(41&gt;=Personnel!$E$38,Personnel!$G$38="Yes"),Personnel!$D$38*Personnel!$I$38,0)+IF(AND(41&gt;=Personnel!$E$39,Personnel!$G$39="Yes"),Personnel!$D$39*Personnel!$I$39,0)+IF(AND(41&gt;=Personnel!$E$40,Personnel!$G$40="Yes"),Personnel!$D$40*Personnel!$I$40,0)+IF(AND(41&gt;=Personnel!$E$41,Personnel!$G$41="Yes"),Personnel!$D$41*Personnel!$I$41,0)+IF(AND(41&gt;=Personnel!$E$42,Personnel!$G$42="Yes"),Personnel!$D$42*Personnel!$I$42,0)),Actuals!AT23)</f>
        <v>-103833.333333333</v>
      </c>
      <c r="AT113" s="14" t="n">
        <f aca="false">IF(ISBLANK(Actuals!AU23),-(IF(AND(42&gt;=Personnel!$E$36,Personnel!$G$36="Yes"),Personnel!$D$36*Personnel!$I$36,0)+IF(AND(42&gt;=Personnel!$E$37,Personnel!$G$37="Yes"),Personnel!$D$37*Personnel!$I$37,0)+IF(AND(42&gt;=Personnel!$E$38,Personnel!$G$38="Yes"),Personnel!$D$38*Personnel!$I$38,0)+IF(AND(42&gt;=Personnel!$E$39,Personnel!$G$39="Yes"),Personnel!$D$39*Personnel!$I$39,0)+IF(AND(42&gt;=Personnel!$E$40,Personnel!$G$40="Yes"),Personnel!$D$40*Personnel!$I$40,0)+IF(AND(42&gt;=Personnel!$E$41,Personnel!$G$41="Yes"),Personnel!$D$41*Personnel!$I$41,0)+IF(AND(42&gt;=Personnel!$E$42,Personnel!$G$42="Yes"),Personnel!$D$42*Personnel!$I$42,0)),Actuals!AU23)</f>
        <v>-103833.333333333</v>
      </c>
      <c r="AU113" s="14" t="n">
        <f aca="false">IF(ISBLANK(Actuals!AV23),-(IF(AND(43&gt;=Personnel!$E$36,Personnel!$G$36="Yes"),Personnel!$D$36*Personnel!$I$36,0)+IF(AND(43&gt;=Personnel!$E$37,Personnel!$G$37="Yes"),Personnel!$D$37*Personnel!$I$37,0)+IF(AND(43&gt;=Personnel!$E$38,Personnel!$G$38="Yes"),Personnel!$D$38*Personnel!$I$38,0)+IF(AND(43&gt;=Personnel!$E$39,Personnel!$G$39="Yes"),Personnel!$D$39*Personnel!$I$39,0)+IF(AND(43&gt;=Personnel!$E$40,Personnel!$G$40="Yes"),Personnel!$D$40*Personnel!$I$40,0)+IF(AND(43&gt;=Personnel!$E$41,Personnel!$G$41="Yes"),Personnel!$D$41*Personnel!$I$41,0)+IF(AND(43&gt;=Personnel!$E$42,Personnel!$G$42="Yes"),Personnel!$D$42*Personnel!$I$42,0)),Actuals!AV23)</f>
        <v>-103833.333333333</v>
      </c>
      <c r="AV113" s="14" t="n">
        <f aca="false">IF(ISBLANK(Actuals!AW23),-(IF(AND(44&gt;=Personnel!$E$36,Personnel!$G$36="Yes"),Personnel!$D$36*Personnel!$I$36,0)+IF(AND(44&gt;=Personnel!$E$37,Personnel!$G$37="Yes"),Personnel!$D$37*Personnel!$I$37,0)+IF(AND(44&gt;=Personnel!$E$38,Personnel!$G$38="Yes"),Personnel!$D$38*Personnel!$I$38,0)+IF(AND(44&gt;=Personnel!$E$39,Personnel!$G$39="Yes"),Personnel!$D$39*Personnel!$I$39,0)+IF(AND(44&gt;=Personnel!$E$40,Personnel!$G$40="Yes"),Personnel!$D$40*Personnel!$I$40,0)+IF(AND(44&gt;=Personnel!$E$41,Personnel!$G$41="Yes"),Personnel!$D$41*Personnel!$I$41,0)+IF(AND(44&gt;=Personnel!$E$42,Personnel!$G$42="Yes"),Personnel!$D$42*Personnel!$I$42,0)),Actuals!AW23)</f>
        <v>-103833.333333333</v>
      </c>
      <c r="AW113" s="14" t="n">
        <f aca="false">IF(ISBLANK(Actuals!AX23),-(IF(AND(45&gt;=Personnel!$E$36,Personnel!$G$36="Yes"),Personnel!$D$36*Personnel!$I$36,0)+IF(AND(45&gt;=Personnel!$E$37,Personnel!$G$37="Yes"),Personnel!$D$37*Personnel!$I$37,0)+IF(AND(45&gt;=Personnel!$E$38,Personnel!$G$38="Yes"),Personnel!$D$38*Personnel!$I$38,0)+IF(AND(45&gt;=Personnel!$E$39,Personnel!$G$39="Yes"),Personnel!$D$39*Personnel!$I$39,0)+IF(AND(45&gt;=Personnel!$E$40,Personnel!$G$40="Yes"),Personnel!$D$40*Personnel!$I$40,0)+IF(AND(45&gt;=Personnel!$E$41,Personnel!$G$41="Yes"),Personnel!$D$41*Personnel!$I$41,0)+IF(AND(45&gt;=Personnel!$E$42,Personnel!$G$42="Yes"),Personnel!$D$42*Personnel!$I$42,0)),Actuals!AX23)</f>
        <v>-103833.333333333</v>
      </c>
      <c r="AX113" s="14" t="n">
        <f aca="false">IF(ISBLANK(Actuals!AY23),-(IF(AND(46&gt;=Personnel!$E$36,Personnel!$G$36="Yes"),Personnel!$D$36*Personnel!$I$36,0)+IF(AND(46&gt;=Personnel!$E$37,Personnel!$G$37="Yes"),Personnel!$D$37*Personnel!$I$37,0)+IF(AND(46&gt;=Personnel!$E$38,Personnel!$G$38="Yes"),Personnel!$D$38*Personnel!$I$38,0)+IF(AND(46&gt;=Personnel!$E$39,Personnel!$G$39="Yes"),Personnel!$D$39*Personnel!$I$39,0)+IF(AND(46&gt;=Personnel!$E$40,Personnel!$G$40="Yes"),Personnel!$D$40*Personnel!$I$40,0)+IF(AND(46&gt;=Personnel!$E$41,Personnel!$G$41="Yes"),Personnel!$D$41*Personnel!$I$41,0)+IF(AND(46&gt;=Personnel!$E$42,Personnel!$G$42="Yes"),Personnel!$D$42*Personnel!$I$42,0)),Actuals!AY23)</f>
        <v>-103833.333333333</v>
      </c>
      <c r="AY113" s="14" t="n">
        <f aca="false">IF(ISBLANK(Actuals!AZ23),-(IF(AND(47&gt;=Personnel!$E$36,Personnel!$G$36="Yes"),Personnel!$D$36*Personnel!$I$36,0)+IF(AND(47&gt;=Personnel!$E$37,Personnel!$G$37="Yes"),Personnel!$D$37*Personnel!$I$37,0)+IF(AND(47&gt;=Personnel!$E$38,Personnel!$G$38="Yes"),Personnel!$D$38*Personnel!$I$38,0)+IF(AND(47&gt;=Personnel!$E$39,Personnel!$G$39="Yes"),Personnel!$D$39*Personnel!$I$39,0)+IF(AND(47&gt;=Personnel!$E$40,Personnel!$G$40="Yes"),Personnel!$D$40*Personnel!$I$40,0)+IF(AND(47&gt;=Personnel!$E$41,Personnel!$G$41="Yes"),Personnel!$D$41*Personnel!$I$41,0)+IF(AND(47&gt;=Personnel!$E$42,Personnel!$G$42="Yes"),Personnel!$D$42*Personnel!$I$42,0)),Actuals!AZ23)</f>
        <v>-103833.333333333</v>
      </c>
      <c r="AZ113" s="14" t="n">
        <f aca="false">IF(ISBLANK(Actuals!BA23),-(IF(AND(48&gt;=Personnel!$E$36,Personnel!$G$36="Yes"),Personnel!$D$36*Personnel!$I$36,0)+IF(AND(48&gt;=Personnel!$E$37,Personnel!$G$37="Yes"),Personnel!$D$37*Personnel!$I$37,0)+IF(AND(48&gt;=Personnel!$E$38,Personnel!$G$38="Yes"),Personnel!$D$38*Personnel!$I$38,0)+IF(AND(48&gt;=Personnel!$E$39,Personnel!$G$39="Yes"),Personnel!$D$39*Personnel!$I$39,0)+IF(AND(48&gt;=Personnel!$E$40,Personnel!$G$40="Yes"),Personnel!$D$40*Personnel!$I$40,0)+IF(AND(48&gt;=Personnel!$E$41,Personnel!$G$41="Yes"),Personnel!$D$41*Personnel!$I$41,0)+IF(AND(48&gt;=Personnel!$E$42,Personnel!$G$42="Yes"),Personnel!$D$42*Personnel!$I$42,0)),Actuals!BA23)</f>
        <v>-103833.333333333</v>
      </c>
      <c r="BA113" s="14" t="n">
        <f aca="false">IF(ISBLANK(Actuals!BB23),-(IF(AND(49&gt;=Personnel!$E$36,Personnel!$G$36="Yes"),Personnel!$D$36*Personnel!$I$36,0)+IF(AND(49&gt;=Personnel!$E$37,Personnel!$G$37="Yes"),Personnel!$D$37*Personnel!$I$37,0)+IF(AND(49&gt;=Personnel!$E$38,Personnel!$G$38="Yes"),Personnel!$D$38*Personnel!$I$38,0)+IF(AND(49&gt;=Personnel!$E$39,Personnel!$G$39="Yes"),Personnel!$D$39*Personnel!$I$39,0)+IF(AND(49&gt;=Personnel!$E$40,Personnel!$G$40="Yes"),Personnel!$D$40*Personnel!$I$40,0)+IF(AND(49&gt;=Personnel!$E$41,Personnel!$G$41="Yes"),Personnel!$D$41*Personnel!$I$41,0)+IF(AND(49&gt;=Personnel!$E$42,Personnel!$G$42="Yes"),Personnel!$D$42*Personnel!$I$42,0)),Actuals!BB23)</f>
        <v>-103833.333333333</v>
      </c>
      <c r="BB113" s="14" t="n">
        <f aca="false">IF(ISBLANK(Actuals!BC23),-(IF(AND(50&gt;=Personnel!$E$36,Personnel!$G$36="Yes"),Personnel!$D$36*Personnel!$I$36,0)+IF(AND(50&gt;=Personnel!$E$37,Personnel!$G$37="Yes"),Personnel!$D$37*Personnel!$I$37,0)+IF(AND(50&gt;=Personnel!$E$38,Personnel!$G$38="Yes"),Personnel!$D$38*Personnel!$I$38,0)+IF(AND(50&gt;=Personnel!$E$39,Personnel!$G$39="Yes"),Personnel!$D$39*Personnel!$I$39,0)+IF(AND(50&gt;=Personnel!$E$40,Personnel!$G$40="Yes"),Personnel!$D$40*Personnel!$I$40,0)+IF(AND(50&gt;=Personnel!$E$41,Personnel!$G$41="Yes"),Personnel!$D$41*Personnel!$I$41,0)+IF(AND(50&gt;=Personnel!$E$42,Personnel!$G$42="Yes"),Personnel!$D$42*Personnel!$I$42,0)),Actuals!BC23)</f>
        <v>-103833.333333333</v>
      </c>
      <c r="BC113" s="14" t="n">
        <f aca="false">IF(ISBLANK(Actuals!BD23),-(IF(AND(51&gt;=Personnel!$E$36,Personnel!$G$36="Yes"),Personnel!$D$36*Personnel!$I$36,0)+IF(AND(51&gt;=Personnel!$E$37,Personnel!$G$37="Yes"),Personnel!$D$37*Personnel!$I$37,0)+IF(AND(51&gt;=Personnel!$E$38,Personnel!$G$38="Yes"),Personnel!$D$38*Personnel!$I$38,0)+IF(AND(51&gt;=Personnel!$E$39,Personnel!$G$39="Yes"),Personnel!$D$39*Personnel!$I$39,0)+IF(AND(51&gt;=Personnel!$E$40,Personnel!$G$40="Yes"),Personnel!$D$40*Personnel!$I$40,0)+IF(AND(51&gt;=Personnel!$E$41,Personnel!$G$41="Yes"),Personnel!$D$41*Personnel!$I$41,0)+IF(AND(51&gt;=Personnel!$E$42,Personnel!$G$42="Yes"),Personnel!$D$42*Personnel!$I$42,0)),Actuals!BD23)</f>
        <v>-103833.333333333</v>
      </c>
      <c r="BD113" s="14" t="n">
        <f aca="false">IF(ISBLANK(Actuals!BE23),-(IF(AND(52&gt;=Personnel!$E$36,Personnel!$G$36="Yes"),Personnel!$D$36*Personnel!$I$36,0)+IF(AND(52&gt;=Personnel!$E$37,Personnel!$G$37="Yes"),Personnel!$D$37*Personnel!$I$37,0)+IF(AND(52&gt;=Personnel!$E$38,Personnel!$G$38="Yes"),Personnel!$D$38*Personnel!$I$38,0)+IF(AND(52&gt;=Personnel!$E$39,Personnel!$G$39="Yes"),Personnel!$D$39*Personnel!$I$39,0)+IF(AND(52&gt;=Personnel!$E$40,Personnel!$G$40="Yes"),Personnel!$D$40*Personnel!$I$40,0)+IF(AND(52&gt;=Personnel!$E$41,Personnel!$G$41="Yes"),Personnel!$D$41*Personnel!$I$41,0)+IF(AND(52&gt;=Personnel!$E$42,Personnel!$G$42="Yes"),Personnel!$D$42*Personnel!$I$42,0)),Actuals!BE23)</f>
        <v>-103833.333333333</v>
      </c>
      <c r="BE113" s="14" t="n">
        <f aca="false">IF(ISBLANK(Actuals!BF23),-(IF(AND(53&gt;=Personnel!$E$36,Personnel!$G$36="Yes"),Personnel!$D$36*Personnel!$I$36,0)+IF(AND(53&gt;=Personnel!$E$37,Personnel!$G$37="Yes"),Personnel!$D$37*Personnel!$I$37,0)+IF(AND(53&gt;=Personnel!$E$38,Personnel!$G$38="Yes"),Personnel!$D$38*Personnel!$I$38,0)+IF(AND(53&gt;=Personnel!$E$39,Personnel!$G$39="Yes"),Personnel!$D$39*Personnel!$I$39,0)+IF(AND(53&gt;=Personnel!$E$40,Personnel!$G$40="Yes"),Personnel!$D$40*Personnel!$I$40,0)+IF(AND(53&gt;=Personnel!$E$41,Personnel!$G$41="Yes"),Personnel!$D$41*Personnel!$I$41,0)+IF(AND(53&gt;=Personnel!$E$42,Personnel!$G$42="Yes"),Personnel!$D$42*Personnel!$I$42,0)),Actuals!BF23)</f>
        <v>-103833.333333333</v>
      </c>
      <c r="BF113" s="14" t="n">
        <f aca="false">IF(ISBLANK(Actuals!BG23),-(IF(AND(54&gt;=Personnel!$E$36,Personnel!$G$36="Yes"),Personnel!$D$36*Personnel!$I$36,0)+IF(AND(54&gt;=Personnel!$E$37,Personnel!$G$37="Yes"),Personnel!$D$37*Personnel!$I$37,0)+IF(AND(54&gt;=Personnel!$E$38,Personnel!$G$38="Yes"),Personnel!$D$38*Personnel!$I$38,0)+IF(AND(54&gt;=Personnel!$E$39,Personnel!$G$39="Yes"),Personnel!$D$39*Personnel!$I$39,0)+IF(AND(54&gt;=Personnel!$E$40,Personnel!$G$40="Yes"),Personnel!$D$40*Personnel!$I$40,0)+IF(AND(54&gt;=Personnel!$E$41,Personnel!$G$41="Yes"),Personnel!$D$41*Personnel!$I$41,0)+IF(AND(54&gt;=Personnel!$E$42,Personnel!$G$42="Yes"),Personnel!$D$42*Personnel!$I$42,0)),Actuals!BG23)</f>
        <v>-103833.333333333</v>
      </c>
      <c r="BG113" s="14" t="n">
        <f aca="false">IF(ISBLANK(Actuals!BH23),-(IF(AND(55&gt;=Personnel!$E$36,Personnel!$G$36="Yes"),Personnel!$D$36*Personnel!$I$36,0)+IF(AND(55&gt;=Personnel!$E$37,Personnel!$G$37="Yes"),Personnel!$D$37*Personnel!$I$37,0)+IF(AND(55&gt;=Personnel!$E$38,Personnel!$G$38="Yes"),Personnel!$D$38*Personnel!$I$38,0)+IF(AND(55&gt;=Personnel!$E$39,Personnel!$G$39="Yes"),Personnel!$D$39*Personnel!$I$39,0)+IF(AND(55&gt;=Personnel!$E$40,Personnel!$G$40="Yes"),Personnel!$D$40*Personnel!$I$40,0)+IF(AND(55&gt;=Personnel!$E$41,Personnel!$G$41="Yes"),Personnel!$D$41*Personnel!$I$41,0)+IF(AND(55&gt;=Personnel!$E$42,Personnel!$G$42="Yes"),Personnel!$D$42*Personnel!$I$42,0)),Actuals!BH23)</f>
        <v>-103833.333333333</v>
      </c>
      <c r="BH113" s="14" t="n">
        <f aca="false">IF(ISBLANK(Actuals!BI23),-(IF(AND(56&gt;=Personnel!$E$36,Personnel!$G$36="Yes"),Personnel!$D$36*Personnel!$I$36,0)+IF(AND(56&gt;=Personnel!$E$37,Personnel!$G$37="Yes"),Personnel!$D$37*Personnel!$I$37,0)+IF(AND(56&gt;=Personnel!$E$38,Personnel!$G$38="Yes"),Personnel!$D$38*Personnel!$I$38,0)+IF(AND(56&gt;=Personnel!$E$39,Personnel!$G$39="Yes"),Personnel!$D$39*Personnel!$I$39,0)+IF(AND(56&gt;=Personnel!$E$40,Personnel!$G$40="Yes"),Personnel!$D$40*Personnel!$I$40,0)+IF(AND(56&gt;=Personnel!$E$41,Personnel!$G$41="Yes"),Personnel!$D$41*Personnel!$I$41,0)+IF(AND(56&gt;=Personnel!$E$42,Personnel!$G$42="Yes"),Personnel!$D$42*Personnel!$I$42,0)),Actuals!BI23)</f>
        <v>-103833.333333333</v>
      </c>
      <c r="BI113" s="14" t="n">
        <f aca="false">IF(ISBLANK(Actuals!BJ23),-(IF(AND(57&gt;=Personnel!$E$36,Personnel!$G$36="Yes"),Personnel!$D$36*Personnel!$I$36,0)+IF(AND(57&gt;=Personnel!$E$37,Personnel!$G$37="Yes"),Personnel!$D$37*Personnel!$I$37,0)+IF(AND(57&gt;=Personnel!$E$38,Personnel!$G$38="Yes"),Personnel!$D$38*Personnel!$I$38,0)+IF(AND(57&gt;=Personnel!$E$39,Personnel!$G$39="Yes"),Personnel!$D$39*Personnel!$I$39,0)+IF(AND(57&gt;=Personnel!$E$40,Personnel!$G$40="Yes"),Personnel!$D$40*Personnel!$I$40,0)+IF(AND(57&gt;=Personnel!$E$41,Personnel!$G$41="Yes"),Personnel!$D$41*Personnel!$I$41,0)+IF(AND(57&gt;=Personnel!$E$42,Personnel!$G$42="Yes"),Personnel!$D$42*Personnel!$I$42,0)),Actuals!BJ23)</f>
        <v>-103833.333333333</v>
      </c>
      <c r="BJ113" s="14" t="n">
        <f aca="false">IF(ISBLANK(Actuals!BK23),-(IF(AND(58&gt;=Personnel!$E$36,Personnel!$G$36="Yes"),Personnel!$D$36*Personnel!$I$36,0)+IF(AND(58&gt;=Personnel!$E$37,Personnel!$G$37="Yes"),Personnel!$D$37*Personnel!$I$37,0)+IF(AND(58&gt;=Personnel!$E$38,Personnel!$G$38="Yes"),Personnel!$D$38*Personnel!$I$38,0)+IF(AND(58&gt;=Personnel!$E$39,Personnel!$G$39="Yes"),Personnel!$D$39*Personnel!$I$39,0)+IF(AND(58&gt;=Personnel!$E$40,Personnel!$G$40="Yes"),Personnel!$D$40*Personnel!$I$40,0)+IF(AND(58&gt;=Personnel!$E$41,Personnel!$G$41="Yes"),Personnel!$D$41*Personnel!$I$41,0)+IF(AND(58&gt;=Personnel!$E$42,Personnel!$G$42="Yes"),Personnel!$D$42*Personnel!$I$42,0)),Actuals!BK23)</f>
        <v>-103833.333333333</v>
      </c>
      <c r="BK113" s="14" t="n">
        <f aca="false">IF(ISBLANK(Actuals!BL23),-(IF(AND(59&gt;=Personnel!$E$36,Personnel!$G$36="Yes"),Personnel!$D$36*Personnel!$I$36,0)+IF(AND(59&gt;=Personnel!$E$37,Personnel!$G$37="Yes"),Personnel!$D$37*Personnel!$I$37,0)+IF(AND(59&gt;=Personnel!$E$38,Personnel!$G$38="Yes"),Personnel!$D$38*Personnel!$I$38,0)+IF(AND(59&gt;=Personnel!$E$39,Personnel!$G$39="Yes"),Personnel!$D$39*Personnel!$I$39,0)+IF(AND(59&gt;=Personnel!$E$40,Personnel!$G$40="Yes"),Personnel!$D$40*Personnel!$I$40,0)+IF(AND(59&gt;=Personnel!$E$41,Personnel!$G$41="Yes"),Personnel!$D$41*Personnel!$I$41,0)+IF(AND(59&gt;=Personnel!$E$42,Personnel!$G$42="Yes"),Personnel!$D$42*Personnel!$I$42,0)),Actuals!BL23)</f>
        <v>-103833.333333333</v>
      </c>
      <c r="BL113" s="14" t="n">
        <f aca="false">IF(ISBLANK(Actuals!BM23),-(IF(AND(60&gt;=Personnel!$E$36,Personnel!$G$36="Yes"),Personnel!$D$36*Personnel!$I$36,0)+IF(AND(60&gt;=Personnel!$E$37,Personnel!$G$37="Yes"),Personnel!$D$37*Personnel!$I$37,0)+IF(AND(60&gt;=Personnel!$E$38,Personnel!$G$38="Yes"),Personnel!$D$38*Personnel!$I$38,0)+IF(AND(60&gt;=Personnel!$E$39,Personnel!$G$39="Yes"),Personnel!$D$39*Personnel!$I$39,0)+IF(AND(60&gt;=Personnel!$E$40,Personnel!$G$40="Yes"),Personnel!$D$40*Personnel!$I$40,0)+IF(AND(60&gt;=Personnel!$E$41,Personnel!$G$41="Yes"),Personnel!$D$41*Personnel!$I$41,0)+IF(AND(60&gt;=Personnel!$E$42,Personnel!$G$42="Yes"),Personnel!$D$42*Personnel!$I$42,0)),Actuals!BM23)</f>
        <v>-103833.333333333</v>
      </c>
      <c r="BM113" s="14" t="n">
        <f aca="false">IF(ISBLANK(Actuals!BN23),-(IF(AND(61&gt;=Personnel!$E$36,Personnel!$G$36="Yes"),Personnel!$D$36*Personnel!$I$36,0)+IF(AND(61&gt;=Personnel!$E$37,Personnel!$G$37="Yes"),Personnel!$D$37*Personnel!$I$37,0)+IF(AND(61&gt;=Personnel!$E$38,Personnel!$G$38="Yes"),Personnel!$D$38*Personnel!$I$38,0)+IF(AND(61&gt;=Personnel!$E$39,Personnel!$G$39="Yes"),Personnel!$D$39*Personnel!$I$39,0)+IF(AND(61&gt;=Personnel!$E$40,Personnel!$G$40="Yes"),Personnel!$D$40*Personnel!$I$40,0)+IF(AND(61&gt;=Personnel!$E$41,Personnel!$G$41="Yes"),Personnel!$D$41*Personnel!$I$41,0)+IF(AND(61&gt;=Personnel!$E$42,Personnel!$G$42="Yes"),Personnel!$D$42*Personnel!$I$42,0)),Actuals!BN23)</f>
        <v>-103833.333333333</v>
      </c>
      <c r="BN113" s="14" t="n">
        <f aca="false">IF(ISBLANK(Actuals!BO23),-(IF(AND(62&gt;=Personnel!$E$36,Personnel!$G$36="Yes"),Personnel!$D$36*Personnel!$I$36,0)+IF(AND(62&gt;=Personnel!$E$37,Personnel!$G$37="Yes"),Personnel!$D$37*Personnel!$I$37,0)+IF(AND(62&gt;=Personnel!$E$38,Personnel!$G$38="Yes"),Personnel!$D$38*Personnel!$I$38,0)+IF(AND(62&gt;=Personnel!$E$39,Personnel!$G$39="Yes"),Personnel!$D$39*Personnel!$I$39,0)+IF(AND(62&gt;=Personnel!$E$40,Personnel!$G$40="Yes"),Personnel!$D$40*Personnel!$I$40,0)+IF(AND(62&gt;=Personnel!$E$41,Personnel!$G$41="Yes"),Personnel!$D$41*Personnel!$I$41,0)+IF(AND(62&gt;=Personnel!$E$42,Personnel!$G$42="Yes"),Personnel!$D$42*Personnel!$I$42,0)),Actuals!BO23)</f>
        <v>-103833.333333333</v>
      </c>
      <c r="BO113" s="14" t="n">
        <f aca="false">IF(ISBLANK(Actuals!BP23),-(IF(AND(63&gt;=Personnel!$E$36,Personnel!$G$36="Yes"),Personnel!$D$36*Personnel!$I$36,0)+IF(AND(63&gt;=Personnel!$E$37,Personnel!$G$37="Yes"),Personnel!$D$37*Personnel!$I$37,0)+IF(AND(63&gt;=Personnel!$E$38,Personnel!$G$38="Yes"),Personnel!$D$38*Personnel!$I$38,0)+IF(AND(63&gt;=Personnel!$E$39,Personnel!$G$39="Yes"),Personnel!$D$39*Personnel!$I$39,0)+IF(AND(63&gt;=Personnel!$E$40,Personnel!$G$40="Yes"),Personnel!$D$40*Personnel!$I$40,0)+IF(AND(63&gt;=Personnel!$E$41,Personnel!$G$41="Yes"),Personnel!$D$41*Personnel!$I$41,0)+IF(AND(63&gt;=Personnel!$E$42,Personnel!$G$42="Yes"),Personnel!$D$42*Personnel!$I$42,0)),Actuals!BP23)</f>
        <v>-103833.333333333</v>
      </c>
      <c r="BP113" s="14" t="n">
        <f aca="false">IF(ISBLANK(Actuals!BQ23),-(IF(AND(64&gt;=Personnel!$E$36,Personnel!$G$36="Yes"),Personnel!$D$36*Personnel!$I$36,0)+IF(AND(64&gt;=Personnel!$E$37,Personnel!$G$37="Yes"),Personnel!$D$37*Personnel!$I$37,0)+IF(AND(64&gt;=Personnel!$E$38,Personnel!$G$38="Yes"),Personnel!$D$38*Personnel!$I$38,0)+IF(AND(64&gt;=Personnel!$E$39,Personnel!$G$39="Yes"),Personnel!$D$39*Personnel!$I$39,0)+IF(AND(64&gt;=Personnel!$E$40,Personnel!$G$40="Yes"),Personnel!$D$40*Personnel!$I$40,0)+IF(AND(64&gt;=Personnel!$E$41,Personnel!$G$41="Yes"),Personnel!$D$41*Personnel!$I$41,0)+IF(AND(64&gt;=Personnel!$E$42,Personnel!$G$42="Yes"),Personnel!$D$42*Personnel!$I$42,0)),Actuals!BQ23)</f>
        <v>-103833.333333333</v>
      </c>
      <c r="BQ113" s="14" t="n">
        <f aca="false">IF(ISBLANK(Actuals!BR23),-(IF(AND(65&gt;=Personnel!$E$36,Personnel!$G$36="Yes"),Personnel!$D$36*Personnel!$I$36,0)+IF(AND(65&gt;=Personnel!$E$37,Personnel!$G$37="Yes"),Personnel!$D$37*Personnel!$I$37,0)+IF(AND(65&gt;=Personnel!$E$38,Personnel!$G$38="Yes"),Personnel!$D$38*Personnel!$I$38,0)+IF(AND(65&gt;=Personnel!$E$39,Personnel!$G$39="Yes"),Personnel!$D$39*Personnel!$I$39,0)+IF(AND(65&gt;=Personnel!$E$40,Personnel!$G$40="Yes"),Personnel!$D$40*Personnel!$I$40,0)+IF(AND(65&gt;=Personnel!$E$41,Personnel!$G$41="Yes"),Personnel!$D$41*Personnel!$I$41,0)+IF(AND(65&gt;=Personnel!$E$42,Personnel!$G$42="Yes"),Personnel!$D$42*Personnel!$I$42,0)),Actuals!BR23)</f>
        <v>-103833.333333333</v>
      </c>
      <c r="BR113" s="14" t="n">
        <f aca="false">IF(ISBLANK(Actuals!BS23),-(IF(AND(66&gt;=Personnel!$E$36,Personnel!$G$36="Yes"),Personnel!$D$36*Personnel!$I$36,0)+IF(AND(66&gt;=Personnel!$E$37,Personnel!$G$37="Yes"),Personnel!$D$37*Personnel!$I$37,0)+IF(AND(66&gt;=Personnel!$E$38,Personnel!$G$38="Yes"),Personnel!$D$38*Personnel!$I$38,0)+IF(AND(66&gt;=Personnel!$E$39,Personnel!$G$39="Yes"),Personnel!$D$39*Personnel!$I$39,0)+IF(AND(66&gt;=Personnel!$E$40,Personnel!$G$40="Yes"),Personnel!$D$40*Personnel!$I$40,0)+IF(AND(66&gt;=Personnel!$E$41,Personnel!$G$41="Yes"),Personnel!$D$41*Personnel!$I$41,0)+IF(AND(66&gt;=Personnel!$E$42,Personnel!$G$42="Yes"),Personnel!$D$42*Personnel!$I$42,0)),Actuals!BS23)</f>
        <v>-103833.333333333</v>
      </c>
      <c r="BS113" s="14" t="n">
        <f aca="false">IF(ISBLANK(Actuals!BT23),-(IF(AND(67&gt;=Personnel!$E$36,Personnel!$G$36="Yes"),Personnel!$D$36*Personnel!$I$36,0)+IF(AND(67&gt;=Personnel!$E$37,Personnel!$G$37="Yes"),Personnel!$D$37*Personnel!$I$37,0)+IF(AND(67&gt;=Personnel!$E$38,Personnel!$G$38="Yes"),Personnel!$D$38*Personnel!$I$38,0)+IF(AND(67&gt;=Personnel!$E$39,Personnel!$G$39="Yes"),Personnel!$D$39*Personnel!$I$39,0)+IF(AND(67&gt;=Personnel!$E$40,Personnel!$G$40="Yes"),Personnel!$D$40*Personnel!$I$40,0)+IF(AND(67&gt;=Personnel!$E$41,Personnel!$G$41="Yes"),Personnel!$D$41*Personnel!$I$41,0)+IF(AND(67&gt;=Personnel!$E$42,Personnel!$G$42="Yes"),Personnel!$D$42*Personnel!$I$42,0)),Actuals!BT23)</f>
        <v>-103833.333333333</v>
      </c>
      <c r="BT113" s="14" t="n">
        <f aca="false">IF(ISBLANK(Actuals!BU23),-(IF(AND(68&gt;=Personnel!$E$36,Personnel!$G$36="Yes"),Personnel!$D$36*Personnel!$I$36,0)+IF(AND(68&gt;=Personnel!$E$37,Personnel!$G$37="Yes"),Personnel!$D$37*Personnel!$I$37,0)+IF(AND(68&gt;=Personnel!$E$38,Personnel!$G$38="Yes"),Personnel!$D$38*Personnel!$I$38,0)+IF(AND(68&gt;=Personnel!$E$39,Personnel!$G$39="Yes"),Personnel!$D$39*Personnel!$I$39,0)+IF(AND(68&gt;=Personnel!$E$40,Personnel!$G$40="Yes"),Personnel!$D$40*Personnel!$I$40,0)+IF(AND(68&gt;=Personnel!$E$41,Personnel!$G$41="Yes"),Personnel!$D$41*Personnel!$I$41,0)+IF(AND(68&gt;=Personnel!$E$42,Personnel!$G$42="Yes"),Personnel!$D$42*Personnel!$I$42,0)),Actuals!BU23)</f>
        <v>-103833.333333333</v>
      </c>
      <c r="BU113" s="14" t="n">
        <f aca="false">IF(ISBLANK(Actuals!BV23),-(IF(AND(69&gt;=Personnel!$E$36,Personnel!$G$36="Yes"),Personnel!$D$36*Personnel!$I$36,0)+IF(AND(69&gt;=Personnel!$E$37,Personnel!$G$37="Yes"),Personnel!$D$37*Personnel!$I$37,0)+IF(AND(69&gt;=Personnel!$E$38,Personnel!$G$38="Yes"),Personnel!$D$38*Personnel!$I$38,0)+IF(AND(69&gt;=Personnel!$E$39,Personnel!$G$39="Yes"),Personnel!$D$39*Personnel!$I$39,0)+IF(AND(69&gt;=Personnel!$E$40,Personnel!$G$40="Yes"),Personnel!$D$40*Personnel!$I$40,0)+IF(AND(69&gt;=Personnel!$E$41,Personnel!$G$41="Yes"),Personnel!$D$41*Personnel!$I$41,0)+IF(AND(69&gt;=Personnel!$E$42,Personnel!$G$42="Yes"),Personnel!$D$42*Personnel!$I$42,0)),Actuals!BV23)</f>
        <v>-103833.333333333</v>
      </c>
      <c r="BV113" s="14" t="n">
        <f aca="false">IF(ISBLANK(Actuals!BW23),-(IF(AND(70&gt;=Personnel!$E$36,Personnel!$G$36="Yes"),Personnel!$D$36*Personnel!$I$36,0)+IF(AND(70&gt;=Personnel!$E$37,Personnel!$G$37="Yes"),Personnel!$D$37*Personnel!$I$37,0)+IF(AND(70&gt;=Personnel!$E$38,Personnel!$G$38="Yes"),Personnel!$D$38*Personnel!$I$38,0)+IF(AND(70&gt;=Personnel!$E$39,Personnel!$G$39="Yes"),Personnel!$D$39*Personnel!$I$39,0)+IF(AND(70&gt;=Personnel!$E$40,Personnel!$G$40="Yes"),Personnel!$D$40*Personnel!$I$40,0)+IF(AND(70&gt;=Personnel!$E$41,Personnel!$G$41="Yes"),Personnel!$D$41*Personnel!$I$41,0)+IF(AND(70&gt;=Personnel!$E$42,Personnel!$G$42="Yes"),Personnel!$D$42*Personnel!$I$42,0)),Actuals!BW23)</f>
        <v>-103833.333333333</v>
      </c>
      <c r="BW113" s="14" t="n">
        <f aca="false">IF(ISBLANK(Actuals!BX23),-(IF(AND(71&gt;=Personnel!$E$36,Personnel!$G$36="Yes"),Personnel!$D$36*Personnel!$I$36,0)+IF(AND(71&gt;=Personnel!$E$37,Personnel!$G$37="Yes"),Personnel!$D$37*Personnel!$I$37,0)+IF(AND(71&gt;=Personnel!$E$38,Personnel!$G$38="Yes"),Personnel!$D$38*Personnel!$I$38,0)+IF(AND(71&gt;=Personnel!$E$39,Personnel!$G$39="Yes"),Personnel!$D$39*Personnel!$I$39,0)+IF(AND(71&gt;=Personnel!$E$40,Personnel!$G$40="Yes"),Personnel!$D$40*Personnel!$I$40,0)+IF(AND(71&gt;=Personnel!$E$41,Personnel!$G$41="Yes"),Personnel!$D$41*Personnel!$I$41,0)+IF(AND(71&gt;=Personnel!$E$42,Personnel!$G$42="Yes"),Personnel!$D$42*Personnel!$I$42,0)),Actuals!BX23)</f>
        <v>-103833.333333333</v>
      </c>
      <c r="BX113" s="14" t="n">
        <f aca="false">IF(ISBLANK(Actuals!BY23),-(IF(AND(72&gt;=Personnel!$E$36,Personnel!$G$36="Yes"),Personnel!$D$36*Personnel!$I$36,0)+IF(AND(72&gt;=Personnel!$E$37,Personnel!$G$37="Yes"),Personnel!$D$37*Personnel!$I$37,0)+IF(AND(72&gt;=Personnel!$E$38,Personnel!$G$38="Yes"),Personnel!$D$38*Personnel!$I$38,0)+IF(AND(72&gt;=Personnel!$E$39,Personnel!$G$39="Yes"),Personnel!$D$39*Personnel!$I$39,0)+IF(AND(72&gt;=Personnel!$E$40,Personnel!$G$40="Yes"),Personnel!$D$40*Personnel!$I$40,0)+IF(AND(72&gt;=Personnel!$E$41,Personnel!$G$41="Yes"),Personnel!$D$41*Personnel!$I$41,0)+IF(AND(72&gt;=Personnel!$E$42,Personnel!$G$42="Yes"),Personnel!$D$42*Personnel!$I$42,0)),Actuals!BY23)</f>
        <v>-103833.333333333</v>
      </c>
      <c r="BY113" s="14" t="n">
        <f aca="false">IF(ISBLANK(Actuals!BZ23),-(IF(AND(73&gt;=Personnel!$E$36,Personnel!$G$36="Yes"),Personnel!$D$36*Personnel!$I$36,0)+IF(AND(73&gt;=Personnel!$E$37,Personnel!$G$37="Yes"),Personnel!$D$37*Personnel!$I$37,0)+IF(AND(73&gt;=Personnel!$E$38,Personnel!$G$38="Yes"),Personnel!$D$38*Personnel!$I$38,0)+IF(AND(73&gt;=Personnel!$E$39,Personnel!$G$39="Yes"),Personnel!$D$39*Personnel!$I$39,0)+IF(AND(73&gt;=Personnel!$E$40,Personnel!$G$40="Yes"),Personnel!$D$40*Personnel!$I$40,0)+IF(AND(73&gt;=Personnel!$E$41,Personnel!$G$41="Yes"),Personnel!$D$41*Personnel!$I$41,0)+IF(AND(73&gt;=Personnel!$E$42,Personnel!$G$42="Yes"),Personnel!$D$42*Personnel!$I$42,0)),Actuals!BZ23)</f>
        <v>-103833.333333333</v>
      </c>
      <c r="BZ113" s="14" t="n">
        <f aca="false">IF(ISBLANK(Actuals!CA23),-(IF(AND(74&gt;=Personnel!$E$36,Personnel!$G$36="Yes"),Personnel!$D$36*Personnel!$I$36,0)+IF(AND(74&gt;=Personnel!$E$37,Personnel!$G$37="Yes"),Personnel!$D$37*Personnel!$I$37,0)+IF(AND(74&gt;=Personnel!$E$38,Personnel!$G$38="Yes"),Personnel!$D$38*Personnel!$I$38,0)+IF(AND(74&gt;=Personnel!$E$39,Personnel!$G$39="Yes"),Personnel!$D$39*Personnel!$I$39,0)+IF(AND(74&gt;=Personnel!$E$40,Personnel!$G$40="Yes"),Personnel!$D$40*Personnel!$I$40,0)+IF(AND(74&gt;=Personnel!$E$41,Personnel!$G$41="Yes"),Personnel!$D$41*Personnel!$I$41,0)+IF(AND(74&gt;=Personnel!$E$42,Personnel!$G$42="Yes"),Personnel!$D$42*Personnel!$I$42,0)),Actuals!CA23)</f>
        <v>-103833.333333333</v>
      </c>
      <c r="CA113" s="14" t="n">
        <f aca="false">IF(ISBLANK(Actuals!CB23),-(IF(AND(75&gt;=Personnel!$E$36,Personnel!$G$36="Yes"),Personnel!$D$36*Personnel!$I$36,0)+IF(AND(75&gt;=Personnel!$E$37,Personnel!$G$37="Yes"),Personnel!$D$37*Personnel!$I$37,0)+IF(AND(75&gt;=Personnel!$E$38,Personnel!$G$38="Yes"),Personnel!$D$38*Personnel!$I$38,0)+IF(AND(75&gt;=Personnel!$E$39,Personnel!$G$39="Yes"),Personnel!$D$39*Personnel!$I$39,0)+IF(AND(75&gt;=Personnel!$E$40,Personnel!$G$40="Yes"),Personnel!$D$40*Personnel!$I$40,0)+IF(AND(75&gt;=Personnel!$E$41,Personnel!$G$41="Yes"),Personnel!$D$41*Personnel!$I$41,0)+IF(AND(75&gt;=Personnel!$E$42,Personnel!$G$42="Yes"),Personnel!$D$42*Personnel!$I$42,0)),Actuals!CB23)</f>
        <v>-103833.333333333</v>
      </c>
      <c r="CB113" s="14" t="n">
        <f aca="false">IF(ISBLANK(Actuals!CC23),-(IF(AND(76&gt;=Personnel!$E$36,Personnel!$G$36="Yes"),Personnel!$D$36*Personnel!$I$36,0)+IF(AND(76&gt;=Personnel!$E$37,Personnel!$G$37="Yes"),Personnel!$D$37*Personnel!$I$37,0)+IF(AND(76&gt;=Personnel!$E$38,Personnel!$G$38="Yes"),Personnel!$D$38*Personnel!$I$38,0)+IF(AND(76&gt;=Personnel!$E$39,Personnel!$G$39="Yes"),Personnel!$D$39*Personnel!$I$39,0)+IF(AND(76&gt;=Personnel!$E$40,Personnel!$G$40="Yes"),Personnel!$D$40*Personnel!$I$40,0)+IF(AND(76&gt;=Personnel!$E$41,Personnel!$G$41="Yes"),Personnel!$D$41*Personnel!$I$41,0)+IF(AND(76&gt;=Personnel!$E$42,Personnel!$G$42="Yes"),Personnel!$D$42*Personnel!$I$42,0)),Actuals!CC23)</f>
        <v>-103833.333333333</v>
      </c>
      <c r="CC113" s="14" t="n">
        <f aca="false">IF(ISBLANK(Actuals!CD23),-(IF(AND(77&gt;=Personnel!$E$36,Personnel!$G$36="Yes"),Personnel!$D$36*Personnel!$I$36,0)+IF(AND(77&gt;=Personnel!$E$37,Personnel!$G$37="Yes"),Personnel!$D$37*Personnel!$I$37,0)+IF(AND(77&gt;=Personnel!$E$38,Personnel!$G$38="Yes"),Personnel!$D$38*Personnel!$I$38,0)+IF(AND(77&gt;=Personnel!$E$39,Personnel!$G$39="Yes"),Personnel!$D$39*Personnel!$I$39,0)+IF(AND(77&gt;=Personnel!$E$40,Personnel!$G$40="Yes"),Personnel!$D$40*Personnel!$I$40,0)+IF(AND(77&gt;=Personnel!$E$41,Personnel!$G$41="Yes"),Personnel!$D$41*Personnel!$I$41,0)+IF(AND(77&gt;=Personnel!$E$42,Personnel!$G$42="Yes"),Personnel!$D$42*Personnel!$I$42,0)),Actuals!CD23)</f>
        <v>-103833.333333333</v>
      </c>
      <c r="CD113" s="14" t="n">
        <f aca="false">IF(ISBLANK(Actuals!CE23),-(IF(AND(78&gt;=Personnel!$E$36,Personnel!$G$36="Yes"),Personnel!$D$36*Personnel!$I$36,0)+IF(AND(78&gt;=Personnel!$E$37,Personnel!$G$37="Yes"),Personnel!$D$37*Personnel!$I$37,0)+IF(AND(78&gt;=Personnel!$E$38,Personnel!$G$38="Yes"),Personnel!$D$38*Personnel!$I$38,0)+IF(AND(78&gt;=Personnel!$E$39,Personnel!$G$39="Yes"),Personnel!$D$39*Personnel!$I$39,0)+IF(AND(78&gt;=Personnel!$E$40,Personnel!$G$40="Yes"),Personnel!$D$40*Personnel!$I$40,0)+IF(AND(78&gt;=Personnel!$E$41,Personnel!$G$41="Yes"),Personnel!$D$41*Personnel!$I$41,0)+IF(AND(78&gt;=Personnel!$E$42,Personnel!$G$42="Yes"),Personnel!$D$42*Personnel!$I$42,0)),Actuals!CE23)</f>
        <v>-103833.333333333</v>
      </c>
      <c r="CE113" s="14" t="n">
        <f aca="false">IF(ISBLANK(Actuals!CF23),-(IF(AND(79&gt;=Personnel!$E$36,Personnel!$G$36="Yes"),Personnel!$D$36*Personnel!$I$36,0)+IF(AND(79&gt;=Personnel!$E$37,Personnel!$G$37="Yes"),Personnel!$D$37*Personnel!$I$37,0)+IF(AND(79&gt;=Personnel!$E$38,Personnel!$G$38="Yes"),Personnel!$D$38*Personnel!$I$38,0)+IF(AND(79&gt;=Personnel!$E$39,Personnel!$G$39="Yes"),Personnel!$D$39*Personnel!$I$39,0)+IF(AND(79&gt;=Personnel!$E$40,Personnel!$G$40="Yes"),Personnel!$D$40*Personnel!$I$40,0)+IF(AND(79&gt;=Personnel!$E$41,Personnel!$G$41="Yes"),Personnel!$D$41*Personnel!$I$41,0)+IF(AND(79&gt;=Personnel!$E$42,Personnel!$G$42="Yes"),Personnel!$D$42*Personnel!$I$42,0)),Actuals!CF23)</f>
        <v>-103833.333333333</v>
      </c>
      <c r="CF113" s="14" t="n">
        <f aca="false">IF(ISBLANK(Actuals!CG23),-(IF(AND(80&gt;=Personnel!$E$36,Personnel!$G$36="Yes"),Personnel!$D$36*Personnel!$I$36,0)+IF(AND(80&gt;=Personnel!$E$37,Personnel!$G$37="Yes"),Personnel!$D$37*Personnel!$I$37,0)+IF(AND(80&gt;=Personnel!$E$38,Personnel!$G$38="Yes"),Personnel!$D$38*Personnel!$I$38,0)+IF(AND(80&gt;=Personnel!$E$39,Personnel!$G$39="Yes"),Personnel!$D$39*Personnel!$I$39,0)+IF(AND(80&gt;=Personnel!$E$40,Personnel!$G$40="Yes"),Personnel!$D$40*Personnel!$I$40,0)+IF(AND(80&gt;=Personnel!$E$41,Personnel!$G$41="Yes"),Personnel!$D$41*Personnel!$I$41,0)+IF(AND(80&gt;=Personnel!$E$42,Personnel!$G$42="Yes"),Personnel!$D$42*Personnel!$I$42,0)),Actuals!CG23)</f>
        <v>-103833.333333333</v>
      </c>
      <c r="CG113" s="14" t="n">
        <f aca="false">IF(ISBLANK(Actuals!CH23),-(IF(AND(81&gt;=Personnel!$E$36,Personnel!$G$36="Yes"),Personnel!$D$36*Personnel!$I$36,0)+IF(AND(81&gt;=Personnel!$E$37,Personnel!$G$37="Yes"),Personnel!$D$37*Personnel!$I$37,0)+IF(AND(81&gt;=Personnel!$E$38,Personnel!$G$38="Yes"),Personnel!$D$38*Personnel!$I$38,0)+IF(AND(81&gt;=Personnel!$E$39,Personnel!$G$39="Yes"),Personnel!$D$39*Personnel!$I$39,0)+IF(AND(81&gt;=Personnel!$E$40,Personnel!$G$40="Yes"),Personnel!$D$40*Personnel!$I$40,0)+IF(AND(81&gt;=Personnel!$E$41,Personnel!$G$41="Yes"),Personnel!$D$41*Personnel!$I$41,0)+IF(AND(81&gt;=Personnel!$E$42,Personnel!$G$42="Yes"),Personnel!$D$42*Personnel!$I$42,0)),Actuals!CH23)</f>
        <v>-103833.333333333</v>
      </c>
      <c r="CH113" s="14" t="n">
        <f aca="false">IF(ISBLANK(Actuals!CI23),-(IF(AND(82&gt;=Personnel!$E$36,Personnel!$G$36="Yes"),Personnel!$D$36*Personnel!$I$36,0)+IF(AND(82&gt;=Personnel!$E$37,Personnel!$G$37="Yes"),Personnel!$D$37*Personnel!$I$37,0)+IF(AND(82&gt;=Personnel!$E$38,Personnel!$G$38="Yes"),Personnel!$D$38*Personnel!$I$38,0)+IF(AND(82&gt;=Personnel!$E$39,Personnel!$G$39="Yes"),Personnel!$D$39*Personnel!$I$39,0)+IF(AND(82&gt;=Personnel!$E$40,Personnel!$G$40="Yes"),Personnel!$D$40*Personnel!$I$40,0)+IF(AND(82&gt;=Personnel!$E$41,Personnel!$G$41="Yes"),Personnel!$D$41*Personnel!$I$41,0)+IF(AND(82&gt;=Personnel!$E$42,Personnel!$G$42="Yes"),Personnel!$D$42*Personnel!$I$42,0)),Actuals!CI23)</f>
        <v>-103833.333333333</v>
      </c>
      <c r="CI113" s="14" t="n">
        <f aca="false">IF(ISBLANK(Actuals!CJ23),-(IF(AND(83&gt;=Personnel!$E$36,Personnel!$G$36="Yes"),Personnel!$D$36*Personnel!$I$36,0)+IF(AND(83&gt;=Personnel!$E$37,Personnel!$G$37="Yes"),Personnel!$D$37*Personnel!$I$37,0)+IF(AND(83&gt;=Personnel!$E$38,Personnel!$G$38="Yes"),Personnel!$D$38*Personnel!$I$38,0)+IF(AND(83&gt;=Personnel!$E$39,Personnel!$G$39="Yes"),Personnel!$D$39*Personnel!$I$39,0)+IF(AND(83&gt;=Personnel!$E$40,Personnel!$G$40="Yes"),Personnel!$D$40*Personnel!$I$40,0)+IF(AND(83&gt;=Personnel!$E$41,Personnel!$G$41="Yes"),Personnel!$D$41*Personnel!$I$41,0)+IF(AND(83&gt;=Personnel!$E$42,Personnel!$G$42="Yes"),Personnel!$D$42*Personnel!$I$42,0)),Actuals!CJ23)</f>
        <v>-103833.333333333</v>
      </c>
      <c r="CJ113" s="14" t="n">
        <f aca="false">IF(ISBLANK(Actuals!CK23),-(IF(AND(84&gt;=Personnel!$E$36,Personnel!$G$36="Yes"),Personnel!$D$36*Personnel!$I$36,0)+IF(AND(84&gt;=Personnel!$E$37,Personnel!$G$37="Yes"),Personnel!$D$37*Personnel!$I$37,0)+IF(AND(84&gt;=Personnel!$E$38,Personnel!$G$38="Yes"),Personnel!$D$38*Personnel!$I$38,0)+IF(AND(84&gt;=Personnel!$E$39,Personnel!$G$39="Yes"),Personnel!$D$39*Personnel!$I$39,0)+IF(AND(84&gt;=Personnel!$E$40,Personnel!$G$40="Yes"),Personnel!$D$40*Personnel!$I$40,0)+IF(AND(84&gt;=Personnel!$E$41,Personnel!$G$41="Yes"),Personnel!$D$41*Personnel!$I$41,0)+IF(AND(84&gt;=Personnel!$E$42,Personnel!$G$42="Yes"),Personnel!$D$42*Personnel!$I$42,0)),Actuals!CK23)</f>
        <v>-103833.333333333</v>
      </c>
      <c r="CK113" s="14" t="n">
        <f aca="false">IF(ISBLANK(Actuals!CL23),-(IF(AND(85&gt;=Personnel!$E$36,Personnel!$G$36="Yes"),Personnel!$D$36*Personnel!$I$36,0)+IF(AND(85&gt;=Personnel!$E$37,Personnel!$G$37="Yes"),Personnel!$D$37*Personnel!$I$37,0)+IF(AND(85&gt;=Personnel!$E$38,Personnel!$G$38="Yes"),Personnel!$D$38*Personnel!$I$38,0)+IF(AND(85&gt;=Personnel!$E$39,Personnel!$G$39="Yes"),Personnel!$D$39*Personnel!$I$39,0)+IF(AND(85&gt;=Personnel!$E$40,Personnel!$G$40="Yes"),Personnel!$D$40*Personnel!$I$40,0)+IF(AND(85&gt;=Personnel!$E$41,Personnel!$G$41="Yes"),Personnel!$D$41*Personnel!$I$41,0)+IF(AND(85&gt;=Personnel!$E$42,Personnel!$G$42="Yes"),Personnel!$D$42*Personnel!$I$42,0)),Actuals!CL23)</f>
        <v>-103833.333333333</v>
      </c>
      <c r="CL113" s="14" t="n">
        <f aca="false">IF(ISBLANK(Actuals!CM23),-(IF(AND(86&gt;=Personnel!$E$36,Personnel!$G$36="Yes"),Personnel!$D$36*Personnel!$I$36,0)+IF(AND(86&gt;=Personnel!$E$37,Personnel!$G$37="Yes"),Personnel!$D$37*Personnel!$I$37,0)+IF(AND(86&gt;=Personnel!$E$38,Personnel!$G$38="Yes"),Personnel!$D$38*Personnel!$I$38,0)+IF(AND(86&gt;=Personnel!$E$39,Personnel!$G$39="Yes"),Personnel!$D$39*Personnel!$I$39,0)+IF(AND(86&gt;=Personnel!$E$40,Personnel!$G$40="Yes"),Personnel!$D$40*Personnel!$I$40,0)+IF(AND(86&gt;=Personnel!$E$41,Personnel!$G$41="Yes"),Personnel!$D$41*Personnel!$I$41,0)+IF(AND(86&gt;=Personnel!$E$42,Personnel!$G$42="Yes"),Personnel!$D$42*Personnel!$I$42,0)),Actuals!CM23)</f>
        <v>-103833.333333333</v>
      </c>
      <c r="CM113" s="14" t="n">
        <f aca="false">IF(ISBLANK(Actuals!CN23),-(IF(AND(87&gt;=Personnel!$E$36,Personnel!$G$36="Yes"),Personnel!$D$36*Personnel!$I$36,0)+IF(AND(87&gt;=Personnel!$E$37,Personnel!$G$37="Yes"),Personnel!$D$37*Personnel!$I$37,0)+IF(AND(87&gt;=Personnel!$E$38,Personnel!$G$38="Yes"),Personnel!$D$38*Personnel!$I$38,0)+IF(AND(87&gt;=Personnel!$E$39,Personnel!$G$39="Yes"),Personnel!$D$39*Personnel!$I$39,0)+IF(AND(87&gt;=Personnel!$E$40,Personnel!$G$40="Yes"),Personnel!$D$40*Personnel!$I$40,0)+IF(AND(87&gt;=Personnel!$E$41,Personnel!$G$41="Yes"),Personnel!$D$41*Personnel!$I$41,0)+IF(AND(87&gt;=Personnel!$E$42,Personnel!$G$42="Yes"),Personnel!$D$42*Personnel!$I$42,0)),Actuals!CN23)</f>
        <v>-103833.333333333</v>
      </c>
      <c r="CN113" s="14" t="n">
        <f aca="false">IF(ISBLANK(Actuals!CO23),-(IF(AND(88&gt;=Personnel!$E$36,Personnel!$G$36="Yes"),Personnel!$D$36*Personnel!$I$36,0)+IF(AND(88&gt;=Personnel!$E$37,Personnel!$G$37="Yes"),Personnel!$D$37*Personnel!$I$37,0)+IF(AND(88&gt;=Personnel!$E$38,Personnel!$G$38="Yes"),Personnel!$D$38*Personnel!$I$38,0)+IF(AND(88&gt;=Personnel!$E$39,Personnel!$G$39="Yes"),Personnel!$D$39*Personnel!$I$39,0)+IF(AND(88&gt;=Personnel!$E$40,Personnel!$G$40="Yes"),Personnel!$D$40*Personnel!$I$40,0)+IF(AND(88&gt;=Personnel!$E$41,Personnel!$G$41="Yes"),Personnel!$D$41*Personnel!$I$41,0)+IF(AND(88&gt;=Personnel!$E$42,Personnel!$G$42="Yes"),Personnel!$D$42*Personnel!$I$42,0)),Actuals!CO23)</f>
        <v>-103833.333333333</v>
      </c>
      <c r="CO113" s="14" t="n">
        <f aca="false">IF(ISBLANK(Actuals!CP23),-(IF(AND(89&gt;=Personnel!$E$36,Personnel!$G$36="Yes"),Personnel!$D$36*Personnel!$I$36,0)+IF(AND(89&gt;=Personnel!$E$37,Personnel!$G$37="Yes"),Personnel!$D$37*Personnel!$I$37,0)+IF(AND(89&gt;=Personnel!$E$38,Personnel!$G$38="Yes"),Personnel!$D$38*Personnel!$I$38,0)+IF(AND(89&gt;=Personnel!$E$39,Personnel!$G$39="Yes"),Personnel!$D$39*Personnel!$I$39,0)+IF(AND(89&gt;=Personnel!$E$40,Personnel!$G$40="Yes"),Personnel!$D$40*Personnel!$I$40,0)+IF(AND(89&gt;=Personnel!$E$41,Personnel!$G$41="Yes"),Personnel!$D$41*Personnel!$I$41,0)+IF(AND(89&gt;=Personnel!$E$42,Personnel!$G$42="Yes"),Personnel!$D$42*Personnel!$I$42,0)),Actuals!CP23)</f>
        <v>-103833.333333333</v>
      </c>
      <c r="CP113" s="14" t="n">
        <f aca="false">IF(ISBLANK(Actuals!CQ23),-(IF(AND(90&gt;=Personnel!$E$36,Personnel!$G$36="Yes"),Personnel!$D$36*Personnel!$I$36,0)+IF(AND(90&gt;=Personnel!$E$37,Personnel!$G$37="Yes"),Personnel!$D$37*Personnel!$I$37,0)+IF(AND(90&gt;=Personnel!$E$38,Personnel!$G$38="Yes"),Personnel!$D$38*Personnel!$I$38,0)+IF(AND(90&gt;=Personnel!$E$39,Personnel!$G$39="Yes"),Personnel!$D$39*Personnel!$I$39,0)+IF(AND(90&gt;=Personnel!$E$40,Personnel!$G$40="Yes"),Personnel!$D$40*Personnel!$I$40,0)+IF(AND(90&gt;=Personnel!$E$41,Personnel!$G$41="Yes"),Personnel!$D$41*Personnel!$I$41,0)+IF(AND(90&gt;=Personnel!$E$42,Personnel!$G$42="Yes"),Personnel!$D$42*Personnel!$I$42,0)),Actuals!CQ23)</f>
        <v>-103833.333333333</v>
      </c>
      <c r="CQ113" s="14" t="n">
        <f aca="false">IF(ISBLANK(Actuals!CR23),-(IF(AND(91&gt;=Personnel!$E$36,Personnel!$G$36="Yes"),Personnel!$D$36*Personnel!$I$36,0)+IF(AND(91&gt;=Personnel!$E$37,Personnel!$G$37="Yes"),Personnel!$D$37*Personnel!$I$37,0)+IF(AND(91&gt;=Personnel!$E$38,Personnel!$G$38="Yes"),Personnel!$D$38*Personnel!$I$38,0)+IF(AND(91&gt;=Personnel!$E$39,Personnel!$G$39="Yes"),Personnel!$D$39*Personnel!$I$39,0)+IF(AND(91&gt;=Personnel!$E$40,Personnel!$G$40="Yes"),Personnel!$D$40*Personnel!$I$40,0)+IF(AND(91&gt;=Personnel!$E$41,Personnel!$G$41="Yes"),Personnel!$D$41*Personnel!$I$41,0)+IF(AND(91&gt;=Personnel!$E$42,Personnel!$G$42="Yes"),Personnel!$D$42*Personnel!$I$42,0)),Actuals!CR23)</f>
        <v>-103833.333333333</v>
      </c>
      <c r="CR113" s="14" t="n">
        <f aca="false">IF(ISBLANK(Actuals!CS23),-(IF(AND(92&gt;=Personnel!$E$36,Personnel!$G$36="Yes"),Personnel!$D$36*Personnel!$I$36,0)+IF(AND(92&gt;=Personnel!$E$37,Personnel!$G$37="Yes"),Personnel!$D$37*Personnel!$I$37,0)+IF(AND(92&gt;=Personnel!$E$38,Personnel!$G$38="Yes"),Personnel!$D$38*Personnel!$I$38,0)+IF(AND(92&gt;=Personnel!$E$39,Personnel!$G$39="Yes"),Personnel!$D$39*Personnel!$I$39,0)+IF(AND(92&gt;=Personnel!$E$40,Personnel!$G$40="Yes"),Personnel!$D$40*Personnel!$I$40,0)+IF(AND(92&gt;=Personnel!$E$41,Personnel!$G$41="Yes"),Personnel!$D$41*Personnel!$I$41,0)+IF(AND(92&gt;=Personnel!$E$42,Personnel!$G$42="Yes"),Personnel!$D$42*Personnel!$I$42,0)),Actuals!CS23)</f>
        <v>-103833.333333333</v>
      </c>
      <c r="CS113" s="14" t="n">
        <f aca="false">IF(ISBLANK(Actuals!CT23),-(IF(AND(93&gt;=Personnel!$E$36,Personnel!$G$36="Yes"),Personnel!$D$36*Personnel!$I$36,0)+IF(AND(93&gt;=Personnel!$E$37,Personnel!$G$37="Yes"),Personnel!$D$37*Personnel!$I$37,0)+IF(AND(93&gt;=Personnel!$E$38,Personnel!$G$38="Yes"),Personnel!$D$38*Personnel!$I$38,0)+IF(AND(93&gt;=Personnel!$E$39,Personnel!$G$39="Yes"),Personnel!$D$39*Personnel!$I$39,0)+IF(AND(93&gt;=Personnel!$E$40,Personnel!$G$40="Yes"),Personnel!$D$40*Personnel!$I$40,0)+IF(AND(93&gt;=Personnel!$E$41,Personnel!$G$41="Yes"),Personnel!$D$41*Personnel!$I$41,0)+IF(AND(93&gt;=Personnel!$E$42,Personnel!$G$42="Yes"),Personnel!$D$42*Personnel!$I$42,0)),Actuals!CT23)</f>
        <v>-103833.333333333</v>
      </c>
      <c r="CT113" s="14" t="n">
        <f aca="false">IF(ISBLANK(Actuals!CU23),-(IF(AND(94&gt;=Personnel!$E$36,Personnel!$G$36="Yes"),Personnel!$D$36*Personnel!$I$36,0)+IF(AND(94&gt;=Personnel!$E$37,Personnel!$G$37="Yes"),Personnel!$D$37*Personnel!$I$37,0)+IF(AND(94&gt;=Personnel!$E$38,Personnel!$G$38="Yes"),Personnel!$D$38*Personnel!$I$38,0)+IF(AND(94&gt;=Personnel!$E$39,Personnel!$G$39="Yes"),Personnel!$D$39*Personnel!$I$39,0)+IF(AND(94&gt;=Personnel!$E$40,Personnel!$G$40="Yes"),Personnel!$D$40*Personnel!$I$40,0)+IF(AND(94&gt;=Personnel!$E$41,Personnel!$G$41="Yes"),Personnel!$D$41*Personnel!$I$41,0)+IF(AND(94&gt;=Personnel!$E$42,Personnel!$G$42="Yes"),Personnel!$D$42*Personnel!$I$42,0)),Actuals!CU23)</f>
        <v>-103833.333333333</v>
      </c>
      <c r="CU113" s="14" t="n">
        <f aca="false">IF(ISBLANK(Actuals!CV23),-(IF(AND(95&gt;=Personnel!$E$36,Personnel!$G$36="Yes"),Personnel!$D$36*Personnel!$I$36,0)+IF(AND(95&gt;=Personnel!$E$37,Personnel!$G$37="Yes"),Personnel!$D$37*Personnel!$I$37,0)+IF(AND(95&gt;=Personnel!$E$38,Personnel!$G$38="Yes"),Personnel!$D$38*Personnel!$I$38,0)+IF(AND(95&gt;=Personnel!$E$39,Personnel!$G$39="Yes"),Personnel!$D$39*Personnel!$I$39,0)+IF(AND(95&gt;=Personnel!$E$40,Personnel!$G$40="Yes"),Personnel!$D$40*Personnel!$I$40,0)+IF(AND(95&gt;=Personnel!$E$41,Personnel!$G$41="Yes"),Personnel!$D$41*Personnel!$I$41,0)+IF(AND(95&gt;=Personnel!$E$42,Personnel!$G$42="Yes"),Personnel!$D$42*Personnel!$I$42,0)),Actuals!CV23)</f>
        <v>-103833.333333333</v>
      </c>
      <c r="CV113" s="14" t="n">
        <f aca="false">IF(ISBLANK(Actuals!CW23),-(IF(AND(96&gt;=Personnel!$E$36,Personnel!$G$36="Yes"),Personnel!$D$36*Personnel!$I$36,0)+IF(AND(96&gt;=Personnel!$E$37,Personnel!$G$37="Yes"),Personnel!$D$37*Personnel!$I$37,0)+IF(AND(96&gt;=Personnel!$E$38,Personnel!$G$38="Yes"),Personnel!$D$38*Personnel!$I$38,0)+IF(AND(96&gt;=Personnel!$E$39,Personnel!$G$39="Yes"),Personnel!$D$39*Personnel!$I$39,0)+IF(AND(96&gt;=Personnel!$E$40,Personnel!$G$40="Yes"),Personnel!$D$40*Personnel!$I$40,0)+IF(AND(96&gt;=Personnel!$E$41,Personnel!$G$41="Yes"),Personnel!$D$41*Personnel!$I$41,0)+IF(AND(96&gt;=Personnel!$E$42,Personnel!$G$42="Yes"),Personnel!$D$42*Personnel!$I$42,0)),Actuals!CW23)</f>
        <v>-103833.333333333</v>
      </c>
      <c r="CW113" s="14" t="n">
        <f aca="false">IF(ISBLANK(Actuals!CX23),-(IF(AND(97&gt;=Personnel!$E$36,Personnel!$G$36="Yes"),Personnel!$D$36*Personnel!$I$36,0)+IF(AND(97&gt;=Personnel!$E$37,Personnel!$G$37="Yes"),Personnel!$D$37*Personnel!$I$37,0)+IF(AND(97&gt;=Personnel!$E$38,Personnel!$G$38="Yes"),Personnel!$D$38*Personnel!$I$38,0)+IF(AND(97&gt;=Personnel!$E$39,Personnel!$G$39="Yes"),Personnel!$D$39*Personnel!$I$39,0)+IF(AND(97&gt;=Personnel!$E$40,Personnel!$G$40="Yes"),Personnel!$D$40*Personnel!$I$40,0)+IF(AND(97&gt;=Personnel!$E$41,Personnel!$G$41="Yes"),Personnel!$D$41*Personnel!$I$41,0)+IF(AND(97&gt;=Personnel!$E$42,Personnel!$G$42="Yes"),Personnel!$D$42*Personnel!$I$42,0)),Actuals!CX23)</f>
        <v>-103833.333333333</v>
      </c>
      <c r="CX113" s="14" t="n">
        <f aca="false">IF(ISBLANK(Actuals!CY23),-(IF(AND(98&gt;=Personnel!$E$36,Personnel!$G$36="Yes"),Personnel!$D$36*Personnel!$I$36,0)+IF(AND(98&gt;=Personnel!$E$37,Personnel!$G$37="Yes"),Personnel!$D$37*Personnel!$I$37,0)+IF(AND(98&gt;=Personnel!$E$38,Personnel!$G$38="Yes"),Personnel!$D$38*Personnel!$I$38,0)+IF(AND(98&gt;=Personnel!$E$39,Personnel!$G$39="Yes"),Personnel!$D$39*Personnel!$I$39,0)+IF(AND(98&gt;=Personnel!$E$40,Personnel!$G$40="Yes"),Personnel!$D$40*Personnel!$I$40,0)+IF(AND(98&gt;=Personnel!$E$41,Personnel!$G$41="Yes"),Personnel!$D$41*Personnel!$I$41,0)+IF(AND(98&gt;=Personnel!$E$42,Personnel!$G$42="Yes"),Personnel!$D$42*Personnel!$I$42,0)),Actuals!CY23)</f>
        <v>-103833.333333333</v>
      </c>
      <c r="CY113" s="14" t="n">
        <f aca="false">IF(ISBLANK(Actuals!CZ23),-(IF(AND(99&gt;=Personnel!$E$36,Personnel!$G$36="Yes"),Personnel!$D$36*Personnel!$I$36,0)+IF(AND(99&gt;=Personnel!$E$37,Personnel!$G$37="Yes"),Personnel!$D$37*Personnel!$I$37,0)+IF(AND(99&gt;=Personnel!$E$38,Personnel!$G$38="Yes"),Personnel!$D$38*Personnel!$I$38,0)+IF(AND(99&gt;=Personnel!$E$39,Personnel!$G$39="Yes"),Personnel!$D$39*Personnel!$I$39,0)+IF(AND(99&gt;=Personnel!$E$40,Personnel!$G$40="Yes"),Personnel!$D$40*Personnel!$I$40,0)+IF(AND(99&gt;=Personnel!$E$41,Personnel!$G$41="Yes"),Personnel!$D$41*Personnel!$I$41,0)+IF(AND(99&gt;=Personnel!$E$42,Personnel!$G$42="Yes"),Personnel!$D$42*Personnel!$I$42,0)),Actuals!CZ23)</f>
        <v>-103833.333333333</v>
      </c>
      <c r="CZ113" s="14" t="n">
        <f aca="false">IF(ISBLANK(Actuals!DA23),-(IF(AND(100&gt;=Personnel!$E$36,Personnel!$G$36="Yes"),Personnel!$D$36*Personnel!$I$36,0)+IF(AND(100&gt;=Personnel!$E$37,Personnel!$G$37="Yes"),Personnel!$D$37*Personnel!$I$37,0)+IF(AND(100&gt;=Personnel!$E$38,Personnel!$G$38="Yes"),Personnel!$D$38*Personnel!$I$38,0)+IF(AND(100&gt;=Personnel!$E$39,Personnel!$G$39="Yes"),Personnel!$D$39*Personnel!$I$39,0)+IF(AND(100&gt;=Personnel!$E$40,Personnel!$G$40="Yes"),Personnel!$D$40*Personnel!$I$40,0)+IF(AND(100&gt;=Personnel!$E$41,Personnel!$G$41="Yes"),Personnel!$D$41*Personnel!$I$41,0)+IF(AND(100&gt;=Personnel!$E$42,Personnel!$G$42="Yes"),Personnel!$D$42*Personnel!$I$42,0)),Actuals!DA23)</f>
        <v>-103833.333333333</v>
      </c>
      <c r="DA113" s="14" t="n">
        <f aca="false">IF(ISBLANK(Actuals!DB23),-(IF(AND(101&gt;=Personnel!$E$36,Personnel!$G$36="Yes"),Personnel!$D$36*Personnel!$I$36,0)+IF(AND(101&gt;=Personnel!$E$37,Personnel!$G$37="Yes"),Personnel!$D$37*Personnel!$I$37,0)+IF(AND(101&gt;=Personnel!$E$38,Personnel!$G$38="Yes"),Personnel!$D$38*Personnel!$I$38,0)+IF(AND(101&gt;=Personnel!$E$39,Personnel!$G$39="Yes"),Personnel!$D$39*Personnel!$I$39,0)+IF(AND(101&gt;=Personnel!$E$40,Personnel!$G$40="Yes"),Personnel!$D$40*Personnel!$I$40,0)+IF(AND(101&gt;=Personnel!$E$41,Personnel!$G$41="Yes"),Personnel!$D$41*Personnel!$I$41,0)+IF(AND(101&gt;=Personnel!$E$42,Personnel!$G$42="Yes"),Personnel!$D$42*Personnel!$I$42,0)),Actuals!DB23)</f>
        <v>-103833.333333333</v>
      </c>
      <c r="DB113" s="14" t="n">
        <f aca="false">IF(ISBLANK(Actuals!DC23),-(IF(AND(102&gt;=Personnel!$E$36,Personnel!$G$36="Yes"),Personnel!$D$36*Personnel!$I$36,0)+IF(AND(102&gt;=Personnel!$E$37,Personnel!$G$37="Yes"),Personnel!$D$37*Personnel!$I$37,0)+IF(AND(102&gt;=Personnel!$E$38,Personnel!$G$38="Yes"),Personnel!$D$38*Personnel!$I$38,0)+IF(AND(102&gt;=Personnel!$E$39,Personnel!$G$39="Yes"),Personnel!$D$39*Personnel!$I$39,0)+IF(AND(102&gt;=Personnel!$E$40,Personnel!$G$40="Yes"),Personnel!$D$40*Personnel!$I$40,0)+IF(AND(102&gt;=Personnel!$E$41,Personnel!$G$41="Yes"),Personnel!$D$41*Personnel!$I$41,0)+IF(AND(102&gt;=Personnel!$E$42,Personnel!$G$42="Yes"),Personnel!$D$42*Personnel!$I$42,0)),Actuals!DC23)</f>
        <v>-103833.333333333</v>
      </c>
      <c r="DC113" s="14" t="n">
        <f aca="false">IF(ISBLANK(Actuals!DD23),-(IF(AND(103&gt;=Personnel!$E$36,Personnel!$G$36="Yes"),Personnel!$D$36*Personnel!$I$36,0)+IF(AND(103&gt;=Personnel!$E$37,Personnel!$G$37="Yes"),Personnel!$D$37*Personnel!$I$37,0)+IF(AND(103&gt;=Personnel!$E$38,Personnel!$G$38="Yes"),Personnel!$D$38*Personnel!$I$38,0)+IF(AND(103&gt;=Personnel!$E$39,Personnel!$G$39="Yes"),Personnel!$D$39*Personnel!$I$39,0)+IF(AND(103&gt;=Personnel!$E$40,Personnel!$G$40="Yes"),Personnel!$D$40*Personnel!$I$40,0)+IF(AND(103&gt;=Personnel!$E$41,Personnel!$G$41="Yes"),Personnel!$D$41*Personnel!$I$41,0)+IF(AND(103&gt;=Personnel!$E$42,Personnel!$G$42="Yes"),Personnel!$D$42*Personnel!$I$42,0)),Actuals!DD23)</f>
        <v>-103833.333333333</v>
      </c>
      <c r="DD113" s="14" t="n">
        <f aca="false">IF(ISBLANK(Actuals!DE23),-(IF(AND(104&gt;=Personnel!$E$36,Personnel!$G$36="Yes"),Personnel!$D$36*Personnel!$I$36,0)+IF(AND(104&gt;=Personnel!$E$37,Personnel!$G$37="Yes"),Personnel!$D$37*Personnel!$I$37,0)+IF(AND(104&gt;=Personnel!$E$38,Personnel!$G$38="Yes"),Personnel!$D$38*Personnel!$I$38,0)+IF(AND(104&gt;=Personnel!$E$39,Personnel!$G$39="Yes"),Personnel!$D$39*Personnel!$I$39,0)+IF(AND(104&gt;=Personnel!$E$40,Personnel!$G$40="Yes"),Personnel!$D$40*Personnel!$I$40,0)+IF(AND(104&gt;=Personnel!$E$41,Personnel!$G$41="Yes"),Personnel!$D$41*Personnel!$I$41,0)+IF(AND(104&gt;=Personnel!$E$42,Personnel!$G$42="Yes"),Personnel!$D$42*Personnel!$I$42,0)),Actuals!DE23)</f>
        <v>-103833.333333333</v>
      </c>
      <c r="DE113" s="14" t="n">
        <f aca="false">IF(ISBLANK(Actuals!DF23),-(IF(AND(105&gt;=Personnel!$E$36,Personnel!$G$36="Yes"),Personnel!$D$36*Personnel!$I$36,0)+IF(AND(105&gt;=Personnel!$E$37,Personnel!$G$37="Yes"),Personnel!$D$37*Personnel!$I$37,0)+IF(AND(105&gt;=Personnel!$E$38,Personnel!$G$38="Yes"),Personnel!$D$38*Personnel!$I$38,0)+IF(AND(105&gt;=Personnel!$E$39,Personnel!$G$39="Yes"),Personnel!$D$39*Personnel!$I$39,0)+IF(AND(105&gt;=Personnel!$E$40,Personnel!$G$40="Yes"),Personnel!$D$40*Personnel!$I$40,0)+IF(AND(105&gt;=Personnel!$E$41,Personnel!$G$41="Yes"),Personnel!$D$41*Personnel!$I$41,0)+IF(AND(105&gt;=Personnel!$E$42,Personnel!$G$42="Yes"),Personnel!$D$42*Personnel!$I$42,0)),Actuals!DF23)</f>
        <v>-103833.333333333</v>
      </c>
    </row>
    <row r="114" customFormat="false" ht="15" hidden="false" customHeight="true" outlineLevel="0" collapsed="false">
      <c r="A114" s="29" t="s">
        <v>63</v>
      </c>
      <c r="B114" s="14" t="n">
        <f aca="false">IF(ISBLANK(Actuals!C24),0,Actuals!C24)</f>
        <v>-9482.97</v>
      </c>
      <c r="C114" s="14" t="n">
        <f aca="false">IF(ISBLANK(Actuals!D24),0,Actuals!D24)</f>
        <v>-10343.29</v>
      </c>
      <c r="D114" s="14" t="n">
        <f aca="false">IF(ISBLANK(Actuals!E24),0,Actuals!E24)</f>
        <v>-3729.48</v>
      </c>
      <c r="E114" s="14" t="n">
        <f aca="false">IF(ISBLANK(Actuals!F24),-Helpers!C4*Assumptions!$B$22,Actuals!F24)</f>
        <v>-3206.79</v>
      </c>
      <c r="F114" s="14" t="n">
        <f aca="false">IF(ISBLANK(Actuals!G24),-Helpers!D4*Assumptions!$B$22,Actuals!G24)</f>
        <v>10942.55</v>
      </c>
      <c r="G114" s="14" t="n">
        <f aca="false">IF(ISBLANK(Actuals!H24),-Helpers!E4*Assumptions!$B$22,Actuals!H24)</f>
        <v>-8982.91</v>
      </c>
      <c r="H114" s="14" t="n">
        <f aca="false">IF(ISBLANK(Actuals!I24),-Helpers!F4*Assumptions!$B$22,Actuals!I24)</f>
        <v>-14989.5833333333</v>
      </c>
      <c r="I114" s="14" t="n">
        <f aca="false">IF(ISBLANK(Actuals!J24),-Helpers!G4*Assumptions!$B$22,Actuals!J24)</f>
        <v>-14989.5833333333</v>
      </c>
      <c r="J114" s="14" t="n">
        <f aca="false">IF(ISBLANK(Actuals!K24),-Helpers!H4*Assumptions!$B$22,Actuals!K24)</f>
        <v>-15656.25</v>
      </c>
      <c r="K114" s="14" t="n">
        <f aca="false">IF(ISBLANK(Actuals!L24),-Helpers!I4*Assumptions!$B$22,Actuals!L24)</f>
        <v>-15656.25</v>
      </c>
      <c r="L114" s="14" t="n">
        <f aca="false">IF(ISBLANK(Actuals!M24),-Helpers!J4*Assumptions!$B$22,Actuals!M24)</f>
        <v>-15656.25</v>
      </c>
      <c r="M114" s="14" t="n">
        <f aca="false">IF(ISBLANK(Actuals!N24),-Helpers!K4*Assumptions!$B$22,Actuals!N24)</f>
        <v>-16197.9166666667</v>
      </c>
      <c r="N114" s="14" t="n">
        <f aca="false">IF(ISBLANK(Actuals!O24),-Helpers!L4*Assumptions!$B$22,Actuals!O24)</f>
        <v>-15677.0833333333</v>
      </c>
      <c r="O114" s="14" t="n">
        <f aca="false">IF(ISBLANK(Actuals!P24),-Helpers!M4*Assumptions!$B$22,Actuals!P24)</f>
        <v>-15677.0833333333</v>
      </c>
      <c r="P114" s="14" t="n">
        <f aca="false">IF(ISBLANK(Actuals!Q24),-Helpers!N4*Assumptions!$B$22,Actuals!Q24)</f>
        <v>-15677.0833333333</v>
      </c>
      <c r="Q114" s="14" t="n">
        <f aca="false">IF(ISBLANK(Actuals!R24),-Helpers!O4*Assumptions!$B$22,Actuals!R24)</f>
        <v>-16670.625</v>
      </c>
      <c r="R114" s="14" t="n">
        <f aca="false">IF(ISBLANK(Actuals!S24),-Helpers!P4*Assumptions!$B$22,Actuals!S24)</f>
        <v>-16670.625</v>
      </c>
      <c r="S114" s="14" t="n">
        <f aca="false">IF(ISBLANK(Actuals!T24),-Helpers!Q4*Assumptions!$B$22,Actuals!T24)</f>
        <v>-16670.625</v>
      </c>
      <c r="T114" s="14" t="n">
        <f aca="false">IF(ISBLANK(Actuals!U24),-Helpers!R4*Assumptions!$B$22,Actuals!U24)</f>
        <v>-16670.625</v>
      </c>
      <c r="U114" s="14" t="n">
        <f aca="false">IF(ISBLANK(Actuals!V24),-Helpers!S4*Assumptions!$B$22,Actuals!V24)</f>
        <v>-16670.625</v>
      </c>
      <c r="V114" s="14" t="n">
        <f aca="false">IF(ISBLANK(Actuals!W24),-Helpers!T4*Assumptions!$B$22,Actuals!W24)</f>
        <v>-16670.625</v>
      </c>
      <c r="W114" s="14" t="n">
        <f aca="false">IF(ISBLANK(Actuals!X24),-Helpers!U4*Assumptions!$B$22,Actuals!X24)</f>
        <v>-16670.625</v>
      </c>
      <c r="X114" s="14" t="n">
        <f aca="false">IF(ISBLANK(Actuals!Y24),-Helpers!V4*Assumptions!$B$22,Actuals!Y24)</f>
        <v>-16670.625</v>
      </c>
      <c r="Y114" s="14" t="n">
        <f aca="false">IF(ISBLANK(Actuals!Z24),-Helpers!W4*Assumptions!$B$22,Actuals!Z24)</f>
        <v>-16670.625</v>
      </c>
      <c r="Z114" s="14" t="n">
        <f aca="false">IF(ISBLANK(Actuals!AA24),-Helpers!X4*Assumptions!$B$22,Actuals!AA24)</f>
        <v>-16670.625</v>
      </c>
      <c r="AA114" s="14" t="n">
        <f aca="false">IF(ISBLANK(Actuals!AB24),-Helpers!Y4*Assumptions!$B$22,Actuals!AB24)</f>
        <v>-16670.625</v>
      </c>
      <c r="AB114" s="14" t="n">
        <f aca="false">IF(ISBLANK(Actuals!AC24),-Helpers!Z4*Assumptions!$B$22,Actuals!AC24)</f>
        <v>-16670.625</v>
      </c>
      <c r="AC114" s="14" t="n">
        <f aca="false">IF(ISBLANK(Actuals!AD24),-Helpers!AA4*Assumptions!$B$22,Actuals!AD24)</f>
        <v>-17004.0375</v>
      </c>
      <c r="AD114" s="14" t="n">
        <f aca="false">IF(ISBLANK(Actuals!AE24),-Helpers!AB4*Assumptions!$B$22,Actuals!AE24)</f>
        <v>-17004.0375</v>
      </c>
      <c r="AE114" s="14" t="n">
        <f aca="false">IF(ISBLANK(Actuals!AF24),-Helpers!AC4*Assumptions!$B$22,Actuals!AF24)</f>
        <v>-17004.0375</v>
      </c>
      <c r="AF114" s="14" t="n">
        <f aca="false">IF(ISBLANK(Actuals!AG24),-Helpers!AD4*Assumptions!$B$22,Actuals!AG24)</f>
        <v>-17004.0375</v>
      </c>
      <c r="AG114" s="14" t="n">
        <f aca="false">IF(ISBLANK(Actuals!AH24),-Helpers!AE4*Assumptions!$B$22,Actuals!AH24)</f>
        <v>-17004.0375</v>
      </c>
      <c r="AH114" s="14" t="n">
        <f aca="false">IF(ISBLANK(Actuals!AI24),-Helpers!AF4*Assumptions!$B$22,Actuals!AI24)</f>
        <v>-17004.0375</v>
      </c>
      <c r="AI114" s="14" t="n">
        <f aca="false">IF(ISBLANK(Actuals!AJ24),-Helpers!AG4*Assumptions!$B$22,Actuals!AJ24)</f>
        <v>-17004.0375</v>
      </c>
      <c r="AJ114" s="14" t="n">
        <f aca="false">IF(ISBLANK(Actuals!AK24),-Helpers!AH4*Assumptions!$B$22,Actuals!AK24)</f>
        <v>-17004.0375</v>
      </c>
      <c r="AK114" s="14" t="n">
        <f aca="false">IF(ISBLANK(Actuals!AL24),-Helpers!AI4*Assumptions!$B$22,Actuals!AL24)</f>
        <v>-17004.0375</v>
      </c>
      <c r="AL114" s="14" t="n">
        <f aca="false">IF(ISBLANK(Actuals!AM24),-Helpers!AJ4*Assumptions!$B$22,Actuals!AM24)</f>
        <v>-17004.0375</v>
      </c>
      <c r="AM114" s="14" t="n">
        <f aca="false">IF(ISBLANK(Actuals!AN24),-Helpers!AK4*Assumptions!$B$22,Actuals!AN24)</f>
        <v>-17004.0375</v>
      </c>
      <c r="AN114" s="14" t="n">
        <f aca="false">IF(ISBLANK(Actuals!AO24),-Helpers!AL4*Assumptions!$B$22,Actuals!AO24)</f>
        <v>-17004.0375</v>
      </c>
      <c r="AO114" s="14" t="n">
        <f aca="false">IF(ISBLANK(Actuals!AP24),-Helpers!AM4*Assumptions!$B$22,Actuals!AP24)</f>
        <v>-17344.11825</v>
      </c>
      <c r="AP114" s="14" t="n">
        <f aca="false">IF(ISBLANK(Actuals!AQ24),-Helpers!AN4*Assumptions!$B$22,Actuals!AQ24)</f>
        <v>-17344.11825</v>
      </c>
      <c r="AQ114" s="14" t="n">
        <f aca="false">IF(ISBLANK(Actuals!AR24),-Helpers!AO4*Assumptions!$B$22,Actuals!AR24)</f>
        <v>-17344.11825</v>
      </c>
      <c r="AR114" s="14" t="n">
        <f aca="false">IF(ISBLANK(Actuals!AS24),-Helpers!AP4*Assumptions!$B$22,Actuals!AS24)</f>
        <v>-17344.11825</v>
      </c>
      <c r="AS114" s="14" t="n">
        <f aca="false">IF(ISBLANK(Actuals!AT24),-Helpers!AQ4*Assumptions!$B$22,Actuals!AT24)</f>
        <v>-17344.11825</v>
      </c>
      <c r="AT114" s="14" t="n">
        <f aca="false">IF(ISBLANK(Actuals!AU24),-Helpers!AR4*Assumptions!$B$22,Actuals!AU24)</f>
        <v>-17344.11825</v>
      </c>
      <c r="AU114" s="14" t="n">
        <f aca="false">IF(ISBLANK(Actuals!AV24),-Helpers!AS4*Assumptions!$B$22,Actuals!AV24)</f>
        <v>-17344.11825</v>
      </c>
      <c r="AV114" s="14" t="n">
        <f aca="false">IF(ISBLANK(Actuals!AW24),-Helpers!AT4*Assumptions!$B$22,Actuals!AW24)</f>
        <v>-17344.11825</v>
      </c>
      <c r="AW114" s="14" t="n">
        <f aca="false">IF(ISBLANK(Actuals!AX24),-Helpers!AU4*Assumptions!$B$22,Actuals!AX24)</f>
        <v>-17344.11825</v>
      </c>
      <c r="AX114" s="14" t="n">
        <f aca="false">IF(ISBLANK(Actuals!AY24),-Helpers!AV4*Assumptions!$B$22,Actuals!AY24)</f>
        <v>-17344.11825</v>
      </c>
      <c r="AY114" s="14" t="n">
        <f aca="false">IF(ISBLANK(Actuals!AZ24),-Helpers!AW4*Assumptions!$B$22,Actuals!AZ24)</f>
        <v>-17344.11825</v>
      </c>
      <c r="AZ114" s="14" t="n">
        <f aca="false">IF(ISBLANK(Actuals!BA24),-Helpers!AX4*Assumptions!$B$22,Actuals!BA24)</f>
        <v>-17344.11825</v>
      </c>
      <c r="BA114" s="14" t="n">
        <f aca="false">IF(ISBLANK(Actuals!BB24),-Helpers!AY4*Assumptions!$B$22,Actuals!BB24)</f>
        <v>-17691.000615</v>
      </c>
      <c r="BB114" s="14" t="n">
        <f aca="false">IF(ISBLANK(Actuals!BC24),-Helpers!AZ4*Assumptions!$B$22,Actuals!BC24)</f>
        <v>-17691.000615</v>
      </c>
      <c r="BC114" s="14" t="n">
        <f aca="false">IF(ISBLANK(Actuals!BD24),-Helpers!BA4*Assumptions!$B$22,Actuals!BD24)</f>
        <v>-17691.000615</v>
      </c>
      <c r="BD114" s="14" t="n">
        <f aca="false">IF(ISBLANK(Actuals!BE24),-Helpers!BB4*Assumptions!$B$22,Actuals!BE24)</f>
        <v>-17691.000615</v>
      </c>
      <c r="BE114" s="14" t="n">
        <f aca="false">IF(ISBLANK(Actuals!BF24),-Helpers!BC4*Assumptions!$B$22,Actuals!BF24)</f>
        <v>-17691.000615</v>
      </c>
      <c r="BF114" s="14" t="n">
        <f aca="false">IF(ISBLANK(Actuals!BG24),-Helpers!BD4*Assumptions!$B$22,Actuals!BG24)</f>
        <v>-17691.000615</v>
      </c>
      <c r="BG114" s="14" t="n">
        <f aca="false">IF(ISBLANK(Actuals!BH24),-Helpers!BE4*Assumptions!$B$22,Actuals!BH24)</f>
        <v>-17691.000615</v>
      </c>
      <c r="BH114" s="14" t="n">
        <f aca="false">IF(ISBLANK(Actuals!BI24),-Helpers!BF4*Assumptions!$B$22,Actuals!BI24)</f>
        <v>-17691.000615</v>
      </c>
      <c r="BI114" s="14" t="n">
        <f aca="false">IF(ISBLANK(Actuals!BJ24),-Helpers!BG4*Assumptions!$B$22,Actuals!BJ24)</f>
        <v>-17691.000615</v>
      </c>
      <c r="BJ114" s="14" t="n">
        <f aca="false">IF(ISBLANK(Actuals!BK24),-Helpers!BH4*Assumptions!$B$22,Actuals!BK24)</f>
        <v>-17691.000615</v>
      </c>
      <c r="BK114" s="14" t="n">
        <f aca="false">IF(ISBLANK(Actuals!BL24),-Helpers!BI4*Assumptions!$B$22,Actuals!BL24)</f>
        <v>-17691.000615</v>
      </c>
      <c r="BL114" s="14" t="n">
        <f aca="false">IF(ISBLANK(Actuals!BM24),-Helpers!BJ4*Assumptions!$B$22,Actuals!BM24)</f>
        <v>-17691.000615</v>
      </c>
      <c r="BM114" s="14" t="n">
        <f aca="false">IF(ISBLANK(Actuals!BN24),-Helpers!BK4*Assumptions!$B$22,Actuals!BN24)</f>
        <v>-18044.8206273</v>
      </c>
      <c r="BN114" s="14" t="n">
        <f aca="false">IF(ISBLANK(Actuals!BO24),-Helpers!BL4*Assumptions!$B$22,Actuals!BO24)</f>
        <v>-18044.8206273</v>
      </c>
      <c r="BO114" s="14" t="n">
        <f aca="false">IF(ISBLANK(Actuals!BP24),-Helpers!BM4*Assumptions!$B$22,Actuals!BP24)</f>
        <v>-18044.8206273</v>
      </c>
      <c r="BP114" s="14" t="n">
        <f aca="false">IF(ISBLANK(Actuals!BQ24),-Helpers!BN4*Assumptions!$B$22,Actuals!BQ24)</f>
        <v>-18044.8206273</v>
      </c>
      <c r="BQ114" s="14" t="n">
        <f aca="false">IF(ISBLANK(Actuals!BR24),-Helpers!BO4*Assumptions!$B$22,Actuals!BR24)</f>
        <v>-18044.8206273</v>
      </c>
      <c r="BR114" s="14" t="n">
        <f aca="false">IF(ISBLANK(Actuals!BS24),-Helpers!BP4*Assumptions!$B$22,Actuals!BS24)</f>
        <v>-18044.8206273</v>
      </c>
      <c r="BS114" s="14" t="n">
        <f aca="false">IF(ISBLANK(Actuals!BT24),-Helpers!BQ4*Assumptions!$B$22,Actuals!BT24)</f>
        <v>-18044.8206273</v>
      </c>
      <c r="BT114" s="14" t="n">
        <f aca="false">IF(ISBLANK(Actuals!BU24),-Helpers!BR4*Assumptions!$B$22,Actuals!BU24)</f>
        <v>-18044.8206273</v>
      </c>
      <c r="BU114" s="14" t="n">
        <f aca="false">IF(ISBLANK(Actuals!BV24),-Helpers!BS4*Assumptions!$B$22,Actuals!BV24)</f>
        <v>-18044.8206273</v>
      </c>
      <c r="BV114" s="14" t="n">
        <f aca="false">IF(ISBLANK(Actuals!BW24),-Helpers!BT4*Assumptions!$B$22,Actuals!BW24)</f>
        <v>-18044.8206273</v>
      </c>
      <c r="BW114" s="14" t="n">
        <f aca="false">IF(ISBLANK(Actuals!BX24),-Helpers!BU4*Assumptions!$B$22,Actuals!BX24)</f>
        <v>-18044.8206273</v>
      </c>
      <c r="BX114" s="14" t="n">
        <f aca="false">IF(ISBLANK(Actuals!BY24),-Helpers!BV4*Assumptions!$B$22,Actuals!BY24)</f>
        <v>-18044.8206273</v>
      </c>
      <c r="BY114" s="14" t="n">
        <f aca="false">IF(ISBLANK(Actuals!BZ24),-Helpers!BW4*Assumptions!$B$22,Actuals!BZ24)</f>
        <v>-18405.717039846</v>
      </c>
      <c r="BZ114" s="14" t="n">
        <f aca="false">IF(ISBLANK(Actuals!CA24),-Helpers!BX4*Assumptions!$B$22,Actuals!CA24)</f>
        <v>-18405.717039846</v>
      </c>
      <c r="CA114" s="14" t="n">
        <f aca="false">IF(ISBLANK(Actuals!CB24),-Helpers!BY4*Assumptions!$B$22,Actuals!CB24)</f>
        <v>-18405.717039846</v>
      </c>
      <c r="CB114" s="14" t="n">
        <f aca="false">IF(ISBLANK(Actuals!CC24),-Helpers!BZ4*Assumptions!$B$22,Actuals!CC24)</f>
        <v>-18405.717039846</v>
      </c>
      <c r="CC114" s="14" t="n">
        <f aca="false">IF(ISBLANK(Actuals!CD24),-Helpers!CA4*Assumptions!$B$22,Actuals!CD24)</f>
        <v>-18405.717039846</v>
      </c>
      <c r="CD114" s="14" t="n">
        <f aca="false">IF(ISBLANK(Actuals!CE24),-Helpers!CB4*Assumptions!$B$22,Actuals!CE24)</f>
        <v>-18405.717039846</v>
      </c>
      <c r="CE114" s="14" t="n">
        <f aca="false">IF(ISBLANK(Actuals!CF24),-Helpers!CC4*Assumptions!$B$22,Actuals!CF24)</f>
        <v>-18405.717039846</v>
      </c>
      <c r="CF114" s="14" t="n">
        <f aca="false">IF(ISBLANK(Actuals!CG24),-Helpers!CD4*Assumptions!$B$22,Actuals!CG24)</f>
        <v>-18405.717039846</v>
      </c>
      <c r="CG114" s="14" t="n">
        <f aca="false">IF(ISBLANK(Actuals!CH24),-Helpers!CE4*Assumptions!$B$22,Actuals!CH24)</f>
        <v>-18405.717039846</v>
      </c>
      <c r="CH114" s="14" t="n">
        <f aca="false">IF(ISBLANK(Actuals!CI24),-Helpers!CF4*Assumptions!$B$22,Actuals!CI24)</f>
        <v>-18405.717039846</v>
      </c>
      <c r="CI114" s="14" t="n">
        <f aca="false">IF(ISBLANK(Actuals!CJ24),-Helpers!CG4*Assumptions!$B$22,Actuals!CJ24)</f>
        <v>-18405.717039846</v>
      </c>
      <c r="CJ114" s="14" t="n">
        <f aca="false">IF(ISBLANK(Actuals!CK24),-Helpers!CH4*Assumptions!$B$22,Actuals!CK24)</f>
        <v>-18405.717039846</v>
      </c>
      <c r="CK114" s="14" t="n">
        <f aca="false">IF(ISBLANK(Actuals!CL24),-Helpers!CI4*Assumptions!$B$22,Actuals!CL24)</f>
        <v>-18773.8313806429</v>
      </c>
      <c r="CL114" s="14" t="n">
        <f aca="false">IF(ISBLANK(Actuals!CM24),-Helpers!CJ4*Assumptions!$B$22,Actuals!CM24)</f>
        <v>-18773.8313806429</v>
      </c>
      <c r="CM114" s="14" t="n">
        <f aca="false">IF(ISBLANK(Actuals!CN24),-Helpers!CK4*Assumptions!$B$22,Actuals!CN24)</f>
        <v>-18773.8313806429</v>
      </c>
      <c r="CN114" s="14" t="n">
        <f aca="false">IF(ISBLANK(Actuals!CO24),-Helpers!CL4*Assumptions!$B$22,Actuals!CO24)</f>
        <v>-18773.8313806429</v>
      </c>
      <c r="CO114" s="14" t="n">
        <f aca="false">IF(ISBLANK(Actuals!CP24),-Helpers!CM4*Assumptions!$B$22,Actuals!CP24)</f>
        <v>-18773.8313806429</v>
      </c>
      <c r="CP114" s="14" t="n">
        <f aca="false">IF(ISBLANK(Actuals!CQ24),-Helpers!CN4*Assumptions!$B$22,Actuals!CQ24)</f>
        <v>-18773.8313806429</v>
      </c>
      <c r="CQ114" s="14" t="n">
        <f aca="false">IF(ISBLANK(Actuals!CR24),-Helpers!CO4*Assumptions!$B$22,Actuals!CR24)</f>
        <v>-18773.8313806429</v>
      </c>
      <c r="CR114" s="14" t="n">
        <f aca="false">IF(ISBLANK(Actuals!CS24),-Helpers!CP4*Assumptions!$B$22,Actuals!CS24)</f>
        <v>-18773.8313806429</v>
      </c>
      <c r="CS114" s="14" t="n">
        <f aca="false">IF(ISBLANK(Actuals!CT24),-Helpers!CQ4*Assumptions!$B$22,Actuals!CT24)</f>
        <v>-18773.8313806429</v>
      </c>
      <c r="CT114" s="14" t="n">
        <f aca="false">IF(ISBLANK(Actuals!CU24),-Helpers!CR4*Assumptions!$B$22,Actuals!CU24)</f>
        <v>-0</v>
      </c>
      <c r="CU114" s="14" t="n">
        <f aca="false">IF(ISBLANK(Actuals!CV24),-Helpers!CS4*Assumptions!$B$22,Actuals!CV24)</f>
        <v>-0</v>
      </c>
      <c r="CV114" s="14" t="n">
        <f aca="false">IF(ISBLANK(Actuals!CW24),-Helpers!CT4*Assumptions!$B$22,Actuals!CW24)</f>
        <v>-0</v>
      </c>
      <c r="CW114" s="14" t="n">
        <f aca="false">IF(ISBLANK(Actuals!CX24),-Helpers!CU4*Assumptions!$B$22,Actuals!CX24)</f>
        <v>-0</v>
      </c>
      <c r="CX114" s="14" t="n">
        <f aca="false">IF(ISBLANK(Actuals!CY24),-Helpers!CV4*Assumptions!$B$22,Actuals!CY24)</f>
        <v>-0</v>
      </c>
      <c r="CY114" s="14" t="n">
        <f aca="false">IF(ISBLANK(Actuals!CZ24),-Helpers!CW4*Assumptions!$B$22,Actuals!CZ24)</f>
        <v>-0</v>
      </c>
      <c r="CZ114" s="14" t="n">
        <f aca="false">IF(ISBLANK(Actuals!DA24),-Helpers!CX4*Assumptions!$B$22,Actuals!DA24)</f>
        <v>-0</v>
      </c>
      <c r="DA114" s="14" t="n">
        <f aca="false">IF(ISBLANK(Actuals!DB24),-Helpers!CY4*Assumptions!$B$22,Actuals!DB24)</f>
        <v>-0</v>
      </c>
      <c r="DB114" s="14" t="n">
        <f aca="false">IF(ISBLANK(Actuals!DC24),-Helpers!CZ4*Assumptions!$B$22,Actuals!DC24)</f>
        <v>-0</v>
      </c>
      <c r="DC114" s="14" t="n">
        <f aca="false">IF(ISBLANK(Actuals!DD24),-Helpers!DA4*Assumptions!$B$22,Actuals!DD24)</f>
        <v>-0</v>
      </c>
      <c r="DD114" s="14" t="n">
        <f aca="false">IF(ISBLANK(Actuals!DE24),-Helpers!DB4*Assumptions!$B$22,Actuals!DE24)</f>
        <v>-0</v>
      </c>
      <c r="DE114" s="14" t="n">
        <f aca="false">IF(ISBLANK(Actuals!DF24),-Helpers!DC4*Assumptions!$B$22,Actuals!DF24)</f>
        <v>-0</v>
      </c>
    </row>
    <row r="115" customFormat="false" ht="15" hidden="false" customHeight="true" outlineLevel="0" collapsed="false">
      <c r="A115" s="29" t="s">
        <v>64</v>
      </c>
      <c r="B115" s="14" t="n">
        <f aca="false">IF(ISBLANK(Actuals!C25),0,Actuals!C25)</f>
        <v>-2542.47</v>
      </c>
      <c r="C115" s="14" t="n">
        <f aca="false">IF(ISBLANK(Actuals!D25),0,Actuals!D25)</f>
        <v>-1618.75</v>
      </c>
      <c r="D115" s="14" t="n">
        <f aca="false">IF(ISBLANK(Actuals!E25),0,Actuals!E25)</f>
        <v>3406.77</v>
      </c>
      <c r="E115" s="14" t="n">
        <f aca="false">IF(ISBLANK(Actuals!F25),-Helpers!C4*Assumptions!$B$23,Actuals!F25)</f>
        <v>2575.42</v>
      </c>
      <c r="F115" s="14" t="n">
        <f aca="false">IF(ISBLANK(Actuals!G25),-Helpers!D4*Assumptions!$B$23,Actuals!G25)</f>
        <v>-1896.11</v>
      </c>
      <c r="G115" s="14" t="n">
        <f aca="false">IF(ISBLANK(Actuals!H25),-Helpers!E4*Assumptions!$B$23,Actuals!H25)</f>
        <v>-2888.37</v>
      </c>
      <c r="H115" s="14" t="n">
        <f aca="false">IF(ISBLANK(Actuals!I25),-Helpers!F4*Assumptions!$B$23,Actuals!I25)</f>
        <v>-5995.83333333333</v>
      </c>
      <c r="I115" s="14" t="n">
        <f aca="false">IF(ISBLANK(Actuals!J25),-Helpers!G4*Assumptions!$B$23,Actuals!J25)</f>
        <v>-5995.83333333333</v>
      </c>
      <c r="J115" s="14" t="n">
        <f aca="false">IF(ISBLANK(Actuals!K25),-Helpers!H4*Assumptions!$B$23,Actuals!K25)</f>
        <v>-6262.5</v>
      </c>
      <c r="K115" s="14" t="n">
        <f aca="false">IF(ISBLANK(Actuals!L25),-Helpers!I4*Assumptions!$B$23,Actuals!L25)</f>
        <v>-6262.5</v>
      </c>
      <c r="L115" s="14" t="n">
        <f aca="false">IF(ISBLANK(Actuals!M25),-Helpers!J4*Assumptions!$B$23,Actuals!M25)</f>
        <v>-6262.5</v>
      </c>
      <c r="M115" s="14" t="n">
        <f aca="false">IF(ISBLANK(Actuals!N25),-Helpers!K4*Assumptions!$B$23,Actuals!N25)</f>
        <v>-6479.16666666667</v>
      </c>
      <c r="N115" s="14" t="n">
        <f aca="false">IF(ISBLANK(Actuals!O25),-Helpers!L4*Assumptions!$B$23,Actuals!O25)</f>
        <v>-6270.83333333333</v>
      </c>
      <c r="O115" s="14" t="n">
        <f aca="false">IF(ISBLANK(Actuals!P25),-Helpers!M4*Assumptions!$B$23,Actuals!P25)</f>
        <v>-6270.83333333333</v>
      </c>
      <c r="P115" s="14" t="n">
        <f aca="false">IF(ISBLANK(Actuals!Q25),-Helpers!N4*Assumptions!$B$23,Actuals!Q25)</f>
        <v>-6270.83333333333</v>
      </c>
      <c r="Q115" s="14" t="n">
        <f aca="false">IF(ISBLANK(Actuals!R25),-Helpers!O4*Assumptions!$B$23,Actuals!R25)</f>
        <v>-6668.25</v>
      </c>
      <c r="R115" s="14" t="n">
        <f aca="false">IF(ISBLANK(Actuals!S25),-Helpers!P4*Assumptions!$B$23,Actuals!S25)</f>
        <v>-6668.25</v>
      </c>
      <c r="S115" s="14" t="n">
        <f aca="false">IF(ISBLANK(Actuals!T25),-Helpers!Q4*Assumptions!$B$23,Actuals!T25)</f>
        <v>-6668.25</v>
      </c>
      <c r="T115" s="14" t="n">
        <f aca="false">IF(ISBLANK(Actuals!U25),-Helpers!R4*Assumptions!$B$23,Actuals!U25)</f>
        <v>-6668.25</v>
      </c>
      <c r="U115" s="14" t="n">
        <f aca="false">IF(ISBLANK(Actuals!V25),-Helpers!S4*Assumptions!$B$23,Actuals!V25)</f>
        <v>-6668.25</v>
      </c>
      <c r="V115" s="14" t="n">
        <f aca="false">IF(ISBLANK(Actuals!W25),-Helpers!T4*Assumptions!$B$23,Actuals!W25)</f>
        <v>-6668.25</v>
      </c>
      <c r="W115" s="14" t="n">
        <f aca="false">IF(ISBLANK(Actuals!X25),-Helpers!U4*Assumptions!$B$23,Actuals!X25)</f>
        <v>-6668.25</v>
      </c>
      <c r="X115" s="14" t="n">
        <f aca="false">IF(ISBLANK(Actuals!Y25),-Helpers!V4*Assumptions!$B$23,Actuals!Y25)</f>
        <v>-6668.25</v>
      </c>
      <c r="Y115" s="14" t="n">
        <f aca="false">IF(ISBLANK(Actuals!Z25),-Helpers!W4*Assumptions!$B$23,Actuals!Z25)</f>
        <v>-6668.25</v>
      </c>
      <c r="Z115" s="14" t="n">
        <f aca="false">IF(ISBLANK(Actuals!AA25),-Helpers!X4*Assumptions!$B$23,Actuals!AA25)</f>
        <v>-6668.25</v>
      </c>
      <c r="AA115" s="14" t="n">
        <f aca="false">IF(ISBLANK(Actuals!AB25),-Helpers!Y4*Assumptions!$B$23,Actuals!AB25)</f>
        <v>-6668.25</v>
      </c>
      <c r="AB115" s="14" t="n">
        <f aca="false">IF(ISBLANK(Actuals!AC25),-Helpers!Z4*Assumptions!$B$23,Actuals!AC25)</f>
        <v>-6668.25</v>
      </c>
      <c r="AC115" s="14" t="n">
        <f aca="false">IF(ISBLANK(Actuals!AD25),-Helpers!AA4*Assumptions!$B$23,Actuals!AD25)</f>
        <v>-6801.615</v>
      </c>
      <c r="AD115" s="14" t="n">
        <f aca="false">IF(ISBLANK(Actuals!AE25),-Helpers!AB4*Assumptions!$B$23,Actuals!AE25)</f>
        <v>-6801.615</v>
      </c>
      <c r="AE115" s="14" t="n">
        <f aca="false">IF(ISBLANK(Actuals!AF25),-Helpers!AC4*Assumptions!$B$23,Actuals!AF25)</f>
        <v>-6801.615</v>
      </c>
      <c r="AF115" s="14" t="n">
        <f aca="false">IF(ISBLANK(Actuals!AG25),-Helpers!AD4*Assumptions!$B$23,Actuals!AG25)</f>
        <v>-6801.615</v>
      </c>
      <c r="AG115" s="14" t="n">
        <f aca="false">IF(ISBLANK(Actuals!AH25),-Helpers!AE4*Assumptions!$B$23,Actuals!AH25)</f>
        <v>-6801.615</v>
      </c>
      <c r="AH115" s="14" t="n">
        <f aca="false">IF(ISBLANK(Actuals!AI25),-Helpers!AF4*Assumptions!$B$23,Actuals!AI25)</f>
        <v>-6801.615</v>
      </c>
      <c r="AI115" s="14" t="n">
        <f aca="false">IF(ISBLANK(Actuals!AJ25),-Helpers!AG4*Assumptions!$B$23,Actuals!AJ25)</f>
        <v>-6801.615</v>
      </c>
      <c r="AJ115" s="14" t="n">
        <f aca="false">IF(ISBLANK(Actuals!AK25),-Helpers!AH4*Assumptions!$B$23,Actuals!AK25)</f>
        <v>-6801.615</v>
      </c>
      <c r="AK115" s="14" t="n">
        <f aca="false">IF(ISBLANK(Actuals!AL25),-Helpers!AI4*Assumptions!$B$23,Actuals!AL25)</f>
        <v>-6801.615</v>
      </c>
      <c r="AL115" s="14" t="n">
        <f aca="false">IF(ISBLANK(Actuals!AM25),-Helpers!AJ4*Assumptions!$B$23,Actuals!AM25)</f>
        <v>-6801.615</v>
      </c>
      <c r="AM115" s="14" t="n">
        <f aca="false">IF(ISBLANK(Actuals!AN25),-Helpers!AK4*Assumptions!$B$23,Actuals!AN25)</f>
        <v>-6801.615</v>
      </c>
      <c r="AN115" s="14" t="n">
        <f aca="false">IF(ISBLANK(Actuals!AO25),-Helpers!AL4*Assumptions!$B$23,Actuals!AO25)</f>
        <v>-6801.615</v>
      </c>
      <c r="AO115" s="14" t="n">
        <f aca="false">IF(ISBLANK(Actuals!AP25),-Helpers!AM4*Assumptions!$B$23,Actuals!AP25)</f>
        <v>-6937.6473</v>
      </c>
      <c r="AP115" s="14" t="n">
        <f aca="false">IF(ISBLANK(Actuals!AQ25),-Helpers!AN4*Assumptions!$B$23,Actuals!AQ25)</f>
        <v>-6937.6473</v>
      </c>
      <c r="AQ115" s="14" t="n">
        <f aca="false">IF(ISBLANK(Actuals!AR25),-Helpers!AO4*Assumptions!$B$23,Actuals!AR25)</f>
        <v>-6937.6473</v>
      </c>
      <c r="AR115" s="14" t="n">
        <f aca="false">IF(ISBLANK(Actuals!AS25),-Helpers!AP4*Assumptions!$B$23,Actuals!AS25)</f>
        <v>-6937.6473</v>
      </c>
      <c r="AS115" s="14" t="n">
        <f aca="false">IF(ISBLANK(Actuals!AT25),-Helpers!AQ4*Assumptions!$B$23,Actuals!AT25)</f>
        <v>-6937.6473</v>
      </c>
      <c r="AT115" s="14" t="n">
        <f aca="false">IF(ISBLANK(Actuals!AU25),-Helpers!AR4*Assumptions!$B$23,Actuals!AU25)</f>
        <v>-6937.6473</v>
      </c>
      <c r="AU115" s="14" t="n">
        <f aca="false">IF(ISBLANK(Actuals!AV25),-Helpers!AS4*Assumptions!$B$23,Actuals!AV25)</f>
        <v>-6937.6473</v>
      </c>
      <c r="AV115" s="14" t="n">
        <f aca="false">IF(ISBLANK(Actuals!AW25),-Helpers!AT4*Assumptions!$B$23,Actuals!AW25)</f>
        <v>-6937.6473</v>
      </c>
      <c r="AW115" s="14" t="n">
        <f aca="false">IF(ISBLANK(Actuals!AX25),-Helpers!AU4*Assumptions!$B$23,Actuals!AX25)</f>
        <v>-6937.6473</v>
      </c>
      <c r="AX115" s="14" t="n">
        <f aca="false">IF(ISBLANK(Actuals!AY25),-Helpers!AV4*Assumptions!$B$23,Actuals!AY25)</f>
        <v>-6937.6473</v>
      </c>
      <c r="AY115" s="14" t="n">
        <f aca="false">IF(ISBLANK(Actuals!AZ25),-Helpers!AW4*Assumptions!$B$23,Actuals!AZ25)</f>
        <v>-6937.6473</v>
      </c>
      <c r="AZ115" s="14" t="n">
        <f aca="false">IF(ISBLANK(Actuals!BA25),-Helpers!AX4*Assumptions!$B$23,Actuals!BA25)</f>
        <v>-6937.6473</v>
      </c>
      <c r="BA115" s="14" t="n">
        <f aca="false">IF(ISBLANK(Actuals!BB25),-Helpers!AY4*Assumptions!$B$23,Actuals!BB25)</f>
        <v>-7076.400246</v>
      </c>
      <c r="BB115" s="14" t="n">
        <f aca="false">IF(ISBLANK(Actuals!BC25),-Helpers!AZ4*Assumptions!$B$23,Actuals!BC25)</f>
        <v>-7076.400246</v>
      </c>
      <c r="BC115" s="14" t="n">
        <f aca="false">IF(ISBLANK(Actuals!BD25),-Helpers!BA4*Assumptions!$B$23,Actuals!BD25)</f>
        <v>-7076.400246</v>
      </c>
      <c r="BD115" s="14" t="n">
        <f aca="false">IF(ISBLANK(Actuals!BE25),-Helpers!BB4*Assumptions!$B$23,Actuals!BE25)</f>
        <v>-7076.400246</v>
      </c>
      <c r="BE115" s="14" t="n">
        <f aca="false">IF(ISBLANK(Actuals!BF25),-Helpers!BC4*Assumptions!$B$23,Actuals!BF25)</f>
        <v>-7076.400246</v>
      </c>
      <c r="BF115" s="14" t="n">
        <f aca="false">IF(ISBLANK(Actuals!BG25),-Helpers!BD4*Assumptions!$B$23,Actuals!BG25)</f>
        <v>-7076.400246</v>
      </c>
      <c r="BG115" s="14" t="n">
        <f aca="false">IF(ISBLANK(Actuals!BH25),-Helpers!BE4*Assumptions!$B$23,Actuals!BH25)</f>
        <v>-7076.400246</v>
      </c>
      <c r="BH115" s="14" t="n">
        <f aca="false">IF(ISBLANK(Actuals!BI25),-Helpers!BF4*Assumptions!$B$23,Actuals!BI25)</f>
        <v>-7076.400246</v>
      </c>
      <c r="BI115" s="14" t="n">
        <f aca="false">IF(ISBLANK(Actuals!BJ25),-Helpers!BG4*Assumptions!$B$23,Actuals!BJ25)</f>
        <v>-7076.400246</v>
      </c>
      <c r="BJ115" s="14" t="n">
        <f aca="false">IF(ISBLANK(Actuals!BK25),-Helpers!BH4*Assumptions!$B$23,Actuals!BK25)</f>
        <v>-7076.400246</v>
      </c>
      <c r="BK115" s="14" t="n">
        <f aca="false">IF(ISBLANK(Actuals!BL25),-Helpers!BI4*Assumptions!$B$23,Actuals!BL25)</f>
        <v>-7076.400246</v>
      </c>
      <c r="BL115" s="14" t="n">
        <f aca="false">IF(ISBLANK(Actuals!BM25),-Helpers!BJ4*Assumptions!$B$23,Actuals!BM25)</f>
        <v>-7076.400246</v>
      </c>
      <c r="BM115" s="14" t="n">
        <f aca="false">IF(ISBLANK(Actuals!BN25),-Helpers!BK4*Assumptions!$B$23,Actuals!BN25)</f>
        <v>-7217.92825092</v>
      </c>
      <c r="BN115" s="14" t="n">
        <f aca="false">IF(ISBLANK(Actuals!BO25),-Helpers!BL4*Assumptions!$B$23,Actuals!BO25)</f>
        <v>-7217.92825092</v>
      </c>
      <c r="BO115" s="14" t="n">
        <f aca="false">IF(ISBLANK(Actuals!BP25),-Helpers!BM4*Assumptions!$B$23,Actuals!BP25)</f>
        <v>-7217.92825092</v>
      </c>
      <c r="BP115" s="14" t="n">
        <f aca="false">IF(ISBLANK(Actuals!BQ25),-Helpers!BN4*Assumptions!$B$23,Actuals!BQ25)</f>
        <v>-7217.92825092</v>
      </c>
      <c r="BQ115" s="14" t="n">
        <f aca="false">IF(ISBLANK(Actuals!BR25),-Helpers!BO4*Assumptions!$B$23,Actuals!BR25)</f>
        <v>-7217.92825092</v>
      </c>
      <c r="BR115" s="14" t="n">
        <f aca="false">IF(ISBLANK(Actuals!BS25),-Helpers!BP4*Assumptions!$B$23,Actuals!BS25)</f>
        <v>-7217.92825092</v>
      </c>
      <c r="BS115" s="14" t="n">
        <f aca="false">IF(ISBLANK(Actuals!BT25),-Helpers!BQ4*Assumptions!$B$23,Actuals!BT25)</f>
        <v>-7217.92825092</v>
      </c>
      <c r="BT115" s="14" t="n">
        <f aca="false">IF(ISBLANK(Actuals!BU25),-Helpers!BR4*Assumptions!$B$23,Actuals!BU25)</f>
        <v>-7217.92825092</v>
      </c>
      <c r="BU115" s="14" t="n">
        <f aca="false">IF(ISBLANK(Actuals!BV25),-Helpers!BS4*Assumptions!$B$23,Actuals!BV25)</f>
        <v>-7217.92825092</v>
      </c>
      <c r="BV115" s="14" t="n">
        <f aca="false">IF(ISBLANK(Actuals!BW25),-Helpers!BT4*Assumptions!$B$23,Actuals!BW25)</f>
        <v>-7217.92825092</v>
      </c>
      <c r="BW115" s="14" t="n">
        <f aca="false">IF(ISBLANK(Actuals!BX25),-Helpers!BU4*Assumptions!$B$23,Actuals!BX25)</f>
        <v>-7217.92825092</v>
      </c>
      <c r="BX115" s="14" t="n">
        <f aca="false">IF(ISBLANK(Actuals!BY25),-Helpers!BV4*Assumptions!$B$23,Actuals!BY25)</f>
        <v>-7217.92825092</v>
      </c>
      <c r="BY115" s="14" t="n">
        <f aca="false">IF(ISBLANK(Actuals!BZ25),-Helpers!BW4*Assumptions!$B$23,Actuals!BZ25)</f>
        <v>-7362.2868159384</v>
      </c>
      <c r="BZ115" s="14" t="n">
        <f aca="false">IF(ISBLANK(Actuals!CA25),-Helpers!BX4*Assumptions!$B$23,Actuals!CA25)</f>
        <v>-7362.2868159384</v>
      </c>
      <c r="CA115" s="14" t="n">
        <f aca="false">IF(ISBLANK(Actuals!CB25),-Helpers!BY4*Assumptions!$B$23,Actuals!CB25)</f>
        <v>-7362.2868159384</v>
      </c>
      <c r="CB115" s="14" t="n">
        <f aca="false">IF(ISBLANK(Actuals!CC25),-Helpers!BZ4*Assumptions!$B$23,Actuals!CC25)</f>
        <v>-7362.2868159384</v>
      </c>
      <c r="CC115" s="14" t="n">
        <f aca="false">IF(ISBLANK(Actuals!CD25),-Helpers!CA4*Assumptions!$B$23,Actuals!CD25)</f>
        <v>-7362.2868159384</v>
      </c>
      <c r="CD115" s="14" t="n">
        <f aca="false">IF(ISBLANK(Actuals!CE25),-Helpers!CB4*Assumptions!$B$23,Actuals!CE25)</f>
        <v>-7362.2868159384</v>
      </c>
      <c r="CE115" s="14" t="n">
        <f aca="false">IF(ISBLANK(Actuals!CF25),-Helpers!CC4*Assumptions!$B$23,Actuals!CF25)</f>
        <v>-7362.2868159384</v>
      </c>
      <c r="CF115" s="14" t="n">
        <f aca="false">IF(ISBLANK(Actuals!CG25),-Helpers!CD4*Assumptions!$B$23,Actuals!CG25)</f>
        <v>-7362.2868159384</v>
      </c>
      <c r="CG115" s="14" t="n">
        <f aca="false">IF(ISBLANK(Actuals!CH25),-Helpers!CE4*Assumptions!$B$23,Actuals!CH25)</f>
        <v>-7362.2868159384</v>
      </c>
      <c r="CH115" s="14" t="n">
        <f aca="false">IF(ISBLANK(Actuals!CI25),-Helpers!CF4*Assumptions!$B$23,Actuals!CI25)</f>
        <v>-7362.2868159384</v>
      </c>
      <c r="CI115" s="14" t="n">
        <f aca="false">IF(ISBLANK(Actuals!CJ25),-Helpers!CG4*Assumptions!$B$23,Actuals!CJ25)</f>
        <v>-7362.2868159384</v>
      </c>
      <c r="CJ115" s="14" t="n">
        <f aca="false">IF(ISBLANK(Actuals!CK25),-Helpers!CH4*Assumptions!$B$23,Actuals!CK25)</f>
        <v>-7362.2868159384</v>
      </c>
      <c r="CK115" s="14" t="n">
        <f aca="false">IF(ISBLANK(Actuals!CL25),-Helpers!CI4*Assumptions!$B$23,Actuals!CL25)</f>
        <v>-7509.53255225717</v>
      </c>
      <c r="CL115" s="14" t="n">
        <f aca="false">IF(ISBLANK(Actuals!CM25),-Helpers!CJ4*Assumptions!$B$23,Actuals!CM25)</f>
        <v>-7509.53255225717</v>
      </c>
      <c r="CM115" s="14" t="n">
        <f aca="false">IF(ISBLANK(Actuals!CN25),-Helpers!CK4*Assumptions!$B$23,Actuals!CN25)</f>
        <v>-7509.53255225717</v>
      </c>
      <c r="CN115" s="14" t="n">
        <f aca="false">IF(ISBLANK(Actuals!CO25),-Helpers!CL4*Assumptions!$B$23,Actuals!CO25)</f>
        <v>-7509.53255225717</v>
      </c>
      <c r="CO115" s="14" t="n">
        <f aca="false">IF(ISBLANK(Actuals!CP25),-Helpers!CM4*Assumptions!$B$23,Actuals!CP25)</f>
        <v>-7509.53255225717</v>
      </c>
      <c r="CP115" s="14" t="n">
        <f aca="false">IF(ISBLANK(Actuals!CQ25),-Helpers!CN4*Assumptions!$B$23,Actuals!CQ25)</f>
        <v>-7509.53255225717</v>
      </c>
      <c r="CQ115" s="14" t="n">
        <f aca="false">IF(ISBLANK(Actuals!CR25),-Helpers!CO4*Assumptions!$B$23,Actuals!CR25)</f>
        <v>-7509.53255225717</v>
      </c>
      <c r="CR115" s="14" t="n">
        <f aca="false">IF(ISBLANK(Actuals!CS25),-Helpers!CP4*Assumptions!$B$23,Actuals!CS25)</f>
        <v>-7509.53255225717</v>
      </c>
      <c r="CS115" s="14" t="n">
        <f aca="false">IF(ISBLANK(Actuals!CT25),-Helpers!CQ4*Assumptions!$B$23,Actuals!CT25)</f>
        <v>-7509.53255225717</v>
      </c>
      <c r="CT115" s="14" t="n">
        <f aca="false">IF(ISBLANK(Actuals!CU25),-Helpers!CR4*Assumptions!$B$23,Actuals!CU25)</f>
        <v>-0</v>
      </c>
      <c r="CU115" s="14" t="n">
        <f aca="false">IF(ISBLANK(Actuals!CV25),-Helpers!CS4*Assumptions!$B$23,Actuals!CV25)</f>
        <v>-0</v>
      </c>
      <c r="CV115" s="14" t="n">
        <f aca="false">IF(ISBLANK(Actuals!CW25),-Helpers!CT4*Assumptions!$B$23,Actuals!CW25)</f>
        <v>-0</v>
      </c>
      <c r="CW115" s="14" t="n">
        <f aca="false">IF(ISBLANK(Actuals!CX25),-Helpers!CU4*Assumptions!$B$23,Actuals!CX25)</f>
        <v>-0</v>
      </c>
      <c r="CX115" s="14" t="n">
        <f aca="false">IF(ISBLANK(Actuals!CY25),-Helpers!CV4*Assumptions!$B$23,Actuals!CY25)</f>
        <v>-0</v>
      </c>
      <c r="CY115" s="14" t="n">
        <f aca="false">IF(ISBLANK(Actuals!CZ25),-Helpers!CW4*Assumptions!$B$23,Actuals!CZ25)</f>
        <v>-0</v>
      </c>
      <c r="CZ115" s="14" t="n">
        <f aca="false">IF(ISBLANK(Actuals!DA25),-Helpers!CX4*Assumptions!$B$23,Actuals!DA25)</f>
        <v>-0</v>
      </c>
      <c r="DA115" s="14" t="n">
        <f aca="false">IF(ISBLANK(Actuals!DB25),-Helpers!CY4*Assumptions!$B$23,Actuals!DB25)</f>
        <v>-0</v>
      </c>
      <c r="DB115" s="14" t="n">
        <f aca="false">IF(ISBLANK(Actuals!DC25),-Helpers!CZ4*Assumptions!$B$23,Actuals!DC25)</f>
        <v>-0</v>
      </c>
      <c r="DC115" s="14" t="n">
        <f aca="false">IF(ISBLANK(Actuals!DD25),-Helpers!DA4*Assumptions!$B$23,Actuals!DD25)</f>
        <v>-0</v>
      </c>
      <c r="DD115" s="14" t="n">
        <f aca="false">IF(ISBLANK(Actuals!DE25),-Helpers!DB4*Assumptions!$B$23,Actuals!DE25)</f>
        <v>-0</v>
      </c>
      <c r="DE115" s="14" t="n">
        <f aca="false">IF(ISBLANK(Actuals!DF25),-Helpers!DC4*Assumptions!$B$23,Actuals!DF25)</f>
        <v>-0</v>
      </c>
    </row>
    <row r="116" customFormat="false" ht="15" hidden="false" customHeight="true" outlineLevel="0" collapsed="false">
      <c r="A116" s="29" t="s">
        <v>65</v>
      </c>
      <c r="B116" s="14" t="n">
        <f aca="false">IF(ISBLANK(Actuals!C26),0,Actuals!C26)</f>
        <v>-195</v>
      </c>
      <c r="C116" s="14" t="n">
        <f aca="false">IF(ISBLANK(Actuals!D26),0,Actuals!D26)</f>
        <v>-200</v>
      </c>
      <c r="D116" s="14" t="n">
        <f aca="false">IF(ISBLANK(Actuals!E26),0,Actuals!E26)</f>
        <v>0</v>
      </c>
      <c r="E116" s="14" t="n">
        <f aca="false">IF(ISBLANK(Actuals!F26),-Helpers!C4*Assumptions!$B$21,Actuals!F26)</f>
        <v>0</v>
      </c>
      <c r="F116" s="14" t="n">
        <f aca="false">IF(ISBLANK(Actuals!G26),-Helpers!D4*Assumptions!$B$21,Actuals!G26)</f>
        <v>0</v>
      </c>
      <c r="G116" s="14" t="n">
        <f aca="false">IF(ISBLANK(Actuals!H26),-Helpers!E4*Assumptions!$B$21,Actuals!H26)</f>
        <v>0</v>
      </c>
      <c r="H116" s="14" t="n">
        <f aca="false">IF(ISBLANK(Actuals!I26),-Helpers!F4*Assumptions!$B$21,Actuals!I26)</f>
        <v>-1498.95833333333</v>
      </c>
      <c r="I116" s="14" t="n">
        <f aca="false">IF(ISBLANK(Actuals!J26),-Helpers!G4*Assumptions!$B$21,Actuals!J26)</f>
        <v>-1498.95833333333</v>
      </c>
      <c r="J116" s="14" t="n">
        <f aca="false">IF(ISBLANK(Actuals!K26),-Helpers!H4*Assumptions!$B$21,Actuals!K26)</f>
        <v>-1565.625</v>
      </c>
      <c r="K116" s="14" t="n">
        <f aca="false">IF(ISBLANK(Actuals!L26),-Helpers!I4*Assumptions!$B$21,Actuals!L26)</f>
        <v>-1565.625</v>
      </c>
      <c r="L116" s="14" t="n">
        <f aca="false">IF(ISBLANK(Actuals!M26),-Helpers!J4*Assumptions!$B$21,Actuals!M26)</f>
        <v>-1565.625</v>
      </c>
      <c r="M116" s="14" t="n">
        <f aca="false">IF(ISBLANK(Actuals!N26),-Helpers!K4*Assumptions!$B$21,Actuals!N26)</f>
        <v>-1619.79166666667</v>
      </c>
      <c r="N116" s="14" t="n">
        <f aca="false">IF(ISBLANK(Actuals!O26),-Helpers!L4*Assumptions!$B$21,Actuals!O26)</f>
        <v>-1567.70833333333</v>
      </c>
      <c r="O116" s="14" t="n">
        <f aca="false">IF(ISBLANK(Actuals!P26),-Helpers!M4*Assumptions!$B$21,Actuals!P26)</f>
        <v>-1567.70833333333</v>
      </c>
      <c r="P116" s="14" t="n">
        <f aca="false">IF(ISBLANK(Actuals!Q26),-Helpers!N4*Assumptions!$B$21,Actuals!Q26)</f>
        <v>-1567.70833333333</v>
      </c>
      <c r="Q116" s="14" t="n">
        <f aca="false">IF(ISBLANK(Actuals!R26),-Helpers!O4*Assumptions!$B$21,Actuals!R26)</f>
        <v>-1667.0625</v>
      </c>
      <c r="R116" s="14" t="n">
        <f aca="false">IF(ISBLANK(Actuals!S26),-Helpers!P4*Assumptions!$B$21,Actuals!S26)</f>
        <v>-1667.0625</v>
      </c>
      <c r="S116" s="14" t="n">
        <f aca="false">IF(ISBLANK(Actuals!T26),-Helpers!Q4*Assumptions!$B$21,Actuals!T26)</f>
        <v>-1667.0625</v>
      </c>
      <c r="T116" s="14" t="n">
        <f aca="false">IF(ISBLANK(Actuals!U26),-Helpers!R4*Assumptions!$B$21,Actuals!U26)</f>
        <v>-1667.0625</v>
      </c>
      <c r="U116" s="14" t="n">
        <f aca="false">IF(ISBLANK(Actuals!V26),-Helpers!S4*Assumptions!$B$21,Actuals!V26)</f>
        <v>-1667.0625</v>
      </c>
      <c r="V116" s="14" t="n">
        <f aca="false">IF(ISBLANK(Actuals!W26),-Helpers!T4*Assumptions!$B$21,Actuals!W26)</f>
        <v>-1667.0625</v>
      </c>
      <c r="W116" s="14" t="n">
        <f aca="false">IF(ISBLANK(Actuals!X26),-Helpers!U4*Assumptions!$B$21,Actuals!X26)</f>
        <v>-1667.0625</v>
      </c>
      <c r="X116" s="14" t="n">
        <f aca="false">IF(ISBLANK(Actuals!Y26),-Helpers!V4*Assumptions!$B$21,Actuals!Y26)</f>
        <v>-1667.0625</v>
      </c>
      <c r="Y116" s="14" t="n">
        <f aca="false">IF(ISBLANK(Actuals!Z26),-Helpers!W4*Assumptions!$B$21,Actuals!Z26)</f>
        <v>-1667.0625</v>
      </c>
      <c r="Z116" s="14" t="n">
        <f aca="false">IF(ISBLANK(Actuals!AA26),-Helpers!X4*Assumptions!$B$21,Actuals!AA26)</f>
        <v>-1667.0625</v>
      </c>
      <c r="AA116" s="14" t="n">
        <f aca="false">IF(ISBLANK(Actuals!AB26),-Helpers!Y4*Assumptions!$B$21,Actuals!AB26)</f>
        <v>-1667.0625</v>
      </c>
      <c r="AB116" s="14" t="n">
        <f aca="false">IF(ISBLANK(Actuals!AC26),-Helpers!Z4*Assumptions!$B$21,Actuals!AC26)</f>
        <v>-1667.0625</v>
      </c>
      <c r="AC116" s="14" t="n">
        <f aca="false">IF(ISBLANK(Actuals!AD26),-Helpers!AA4*Assumptions!$B$21,Actuals!AD26)</f>
        <v>-1700.40375</v>
      </c>
      <c r="AD116" s="14" t="n">
        <f aca="false">IF(ISBLANK(Actuals!AE26),-Helpers!AB4*Assumptions!$B$21,Actuals!AE26)</f>
        <v>-1700.40375</v>
      </c>
      <c r="AE116" s="14" t="n">
        <f aca="false">IF(ISBLANK(Actuals!AF26),-Helpers!AC4*Assumptions!$B$21,Actuals!AF26)</f>
        <v>-1700.40375</v>
      </c>
      <c r="AF116" s="14" t="n">
        <f aca="false">IF(ISBLANK(Actuals!AG26),-Helpers!AD4*Assumptions!$B$21,Actuals!AG26)</f>
        <v>-1700.40375</v>
      </c>
      <c r="AG116" s="14" t="n">
        <f aca="false">IF(ISBLANK(Actuals!AH26),-Helpers!AE4*Assumptions!$B$21,Actuals!AH26)</f>
        <v>-1700.40375</v>
      </c>
      <c r="AH116" s="14" t="n">
        <f aca="false">IF(ISBLANK(Actuals!AI26),-Helpers!AF4*Assumptions!$B$21,Actuals!AI26)</f>
        <v>-1700.40375</v>
      </c>
      <c r="AI116" s="14" t="n">
        <f aca="false">IF(ISBLANK(Actuals!AJ26),-Helpers!AG4*Assumptions!$B$21,Actuals!AJ26)</f>
        <v>-1700.40375</v>
      </c>
      <c r="AJ116" s="14" t="n">
        <f aca="false">IF(ISBLANK(Actuals!AK26),-Helpers!AH4*Assumptions!$B$21,Actuals!AK26)</f>
        <v>-1700.40375</v>
      </c>
      <c r="AK116" s="14" t="n">
        <f aca="false">IF(ISBLANK(Actuals!AL26),-Helpers!AI4*Assumptions!$B$21,Actuals!AL26)</f>
        <v>-1700.40375</v>
      </c>
      <c r="AL116" s="14" t="n">
        <f aca="false">IF(ISBLANK(Actuals!AM26),-Helpers!AJ4*Assumptions!$B$21,Actuals!AM26)</f>
        <v>-1700.40375</v>
      </c>
      <c r="AM116" s="14" t="n">
        <f aca="false">IF(ISBLANK(Actuals!AN26),-Helpers!AK4*Assumptions!$B$21,Actuals!AN26)</f>
        <v>-1700.40375</v>
      </c>
      <c r="AN116" s="14" t="n">
        <f aca="false">IF(ISBLANK(Actuals!AO26),-Helpers!AL4*Assumptions!$B$21,Actuals!AO26)</f>
        <v>-1700.40375</v>
      </c>
      <c r="AO116" s="14" t="n">
        <f aca="false">IF(ISBLANK(Actuals!AP26),-Helpers!AM4*Assumptions!$B$21,Actuals!AP26)</f>
        <v>-1734.411825</v>
      </c>
      <c r="AP116" s="14" t="n">
        <f aca="false">IF(ISBLANK(Actuals!AQ26),-Helpers!AN4*Assumptions!$B$21,Actuals!AQ26)</f>
        <v>-1734.411825</v>
      </c>
      <c r="AQ116" s="14" t="n">
        <f aca="false">IF(ISBLANK(Actuals!AR26),-Helpers!AO4*Assumptions!$B$21,Actuals!AR26)</f>
        <v>-1734.411825</v>
      </c>
      <c r="AR116" s="14" t="n">
        <f aca="false">IF(ISBLANK(Actuals!AS26),-Helpers!AP4*Assumptions!$B$21,Actuals!AS26)</f>
        <v>-1734.411825</v>
      </c>
      <c r="AS116" s="14" t="n">
        <f aca="false">IF(ISBLANK(Actuals!AT26),-Helpers!AQ4*Assumptions!$B$21,Actuals!AT26)</f>
        <v>-1734.411825</v>
      </c>
      <c r="AT116" s="14" t="n">
        <f aca="false">IF(ISBLANK(Actuals!AU26),-Helpers!AR4*Assumptions!$B$21,Actuals!AU26)</f>
        <v>-1734.411825</v>
      </c>
      <c r="AU116" s="14" t="n">
        <f aca="false">IF(ISBLANK(Actuals!AV26),-Helpers!AS4*Assumptions!$B$21,Actuals!AV26)</f>
        <v>-1734.411825</v>
      </c>
      <c r="AV116" s="14" t="n">
        <f aca="false">IF(ISBLANK(Actuals!AW26),-Helpers!AT4*Assumptions!$B$21,Actuals!AW26)</f>
        <v>-1734.411825</v>
      </c>
      <c r="AW116" s="14" t="n">
        <f aca="false">IF(ISBLANK(Actuals!AX26),-Helpers!AU4*Assumptions!$B$21,Actuals!AX26)</f>
        <v>-1734.411825</v>
      </c>
      <c r="AX116" s="14" t="n">
        <f aca="false">IF(ISBLANK(Actuals!AY26),-Helpers!AV4*Assumptions!$B$21,Actuals!AY26)</f>
        <v>-1734.411825</v>
      </c>
      <c r="AY116" s="14" t="n">
        <f aca="false">IF(ISBLANK(Actuals!AZ26),-Helpers!AW4*Assumptions!$B$21,Actuals!AZ26)</f>
        <v>-1734.411825</v>
      </c>
      <c r="AZ116" s="14" t="n">
        <f aca="false">IF(ISBLANK(Actuals!BA26),-Helpers!AX4*Assumptions!$B$21,Actuals!BA26)</f>
        <v>-1734.411825</v>
      </c>
      <c r="BA116" s="14" t="n">
        <f aca="false">IF(ISBLANK(Actuals!BB26),-Helpers!AY4*Assumptions!$B$21,Actuals!BB26)</f>
        <v>-1769.1000615</v>
      </c>
      <c r="BB116" s="14" t="n">
        <f aca="false">IF(ISBLANK(Actuals!BC26),-Helpers!AZ4*Assumptions!$B$21,Actuals!BC26)</f>
        <v>-1769.1000615</v>
      </c>
      <c r="BC116" s="14" t="n">
        <f aca="false">IF(ISBLANK(Actuals!BD26),-Helpers!BA4*Assumptions!$B$21,Actuals!BD26)</f>
        <v>-1769.1000615</v>
      </c>
      <c r="BD116" s="14" t="n">
        <f aca="false">IF(ISBLANK(Actuals!BE26),-Helpers!BB4*Assumptions!$B$21,Actuals!BE26)</f>
        <v>-1769.1000615</v>
      </c>
      <c r="BE116" s="14" t="n">
        <f aca="false">IF(ISBLANK(Actuals!BF26),-Helpers!BC4*Assumptions!$B$21,Actuals!BF26)</f>
        <v>-1769.1000615</v>
      </c>
      <c r="BF116" s="14" t="n">
        <f aca="false">IF(ISBLANK(Actuals!BG26),-Helpers!BD4*Assumptions!$B$21,Actuals!BG26)</f>
        <v>-1769.1000615</v>
      </c>
      <c r="BG116" s="14" t="n">
        <f aca="false">IF(ISBLANK(Actuals!BH26),-Helpers!BE4*Assumptions!$B$21,Actuals!BH26)</f>
        <v>-1769.1000615</v>
      </c>
      <c r="BH116" s="14" t="n">
        <f aca="false">IF(ISBLANK(Actuals!BI26),-Helpers!BF4*Assumptions!$B$21,Actuals!BI26)</f>
        <v>-1769.1000615</v>
      </c>
      <c r="BI116" s="14" t="n">
        <f aca="false">IF(ISBLANK(Actuals!BJ26),-Helpers!BG4*Assumptions!$B$21,Actuals!BJ26)</f>
        <v>-1769.1000615</v>
      </c>
      <c r="BJ116" s="14" t="n">
        <f aca="false">IF(ISBLANK(Actuals!BK26),-Helpers!BH4*Assumptions!$B$21,Actuals!BK26)</f>
        <v>-1769.1000615</v>
      </c>
      <c r="BK116" s="14" t="n">
        <f aca="false">IF(ISBLANK(Actuals!BL26),-Helpers!BI4*Assumptions!$B$21,Actuals!BL26)</f>
        <v>-1769.1000615</v>
      </c>
      <c r="BL116" s="14" t="n">
        <f aca="false">IF(ISBLANK(Actuals!BM26),-Helpers!BJ4*Assumptions!$B$21,Actuals!BM26)</f>
        <v>-1769.1000615</v>
      </c>
      <c r="BM116" s="14" t="n">
        <f aca="false">IF(ISBLANK(Actuals!BN26),-Helpers!BK4*Assumptions!$B$21,Actuals!BN26)</f>
        <v>-1804.48206273</v>
      </c>
      <c r="BN116" s="14" t="n">
        <f aca="false">IF(ISBLANK(Actuals!BO26),-Helpers!BL4*Assumptions!$B$21,Actuals!BO26)</f>
        <v>-1804.48206273</v>
      </c>
      <c r="BO116" s="14" t="n">
        <f aca="false">IF(ISBLANK(Actuals!BP26),-Helpers!BM4*Assumptions!$B$21,Actuals!BP26)</f>
        <v>-1804.48206273</v>
      </c>
      <c r="BP116" s="14" t="n">
        <f aca="false">IF(ISBLANK(Actuals!BQ26),-Helpers!BN4*Assumptions!$B$21,Actuals!BQ26)</f>
        <v>-1804.48206273</v>
      </c>
      <c r="BQ116" s="14" t="n">
        <f aca="false">IF(ISBLANK(Actuals!BR26),-Helpers!BO4*Assumptions!$B$21,Actuals!BR26)</f>
        <v>-1804.48206273</v>
      </c>
      <c r="BR116" s="14" t="n">
        <f aca="false">IF(ISBLANK(Actuals!BS26),-Helpers!BP4*Assumptions!$B$21,Actuals!BS26)</f>
        <v>-1804.48206273</v>
      </c>
      <c r="BS116" s="14" t="n">
        <f aca="false">IF(ISBLANK(Actuals!BT26),-Helpers!BQ4*Assumptions!$B$21,Actuals!BT26)</f>
        <v>-1804.48206273</v>
      </c>
      <c r="BT116" s="14" t="n">
        <f aca="false">IF(ISBLANK(Actuals!BU26),-Helpers!BR4*Assumptions!$B$21,Actuals!BU26)</f>
        <v>-1804.48206273</v>
      </c>
      <c r="BU116" s="14" t="n">
        <f aca="false">IF(ISBLANK(Actuals!BV26),-Helpers!BS4*Assumptions!$B$21,Actuals!BV26)</f>
        <v>-1804.48206273</v>
      </c>
      <c r="BV116" s="14" t="n">
        <f aca="false">IF(ISBLANK(Actuals!BW26),-Helpers!BT4*Assumptions!$B$21,Actuals!BW26)</f>
        <v>-1804.48206273</v>
      </c>
      <c r="BW116" s="14" t="n">
        <f aca="false">IF(ISBLANK(Actuals!BX26),-Helpers!BU4*Assumptions!$B$21,Actuals!BX26)</f>
        <v>-1804.48206273</v>
      </c>
      <c r="BX116" s="14" t="n">
        <f aca="false">IF(ISBLANK(Actuals!BY26),-Helpers!BV4*Assumptions!$B$21,Actuals!BY26)</f>
        <v>-1804.48206273</v>
      </c>
      <c r="BY116" s="14" t="n">
        <f aca="false">IF(ISBLANK(Actuals!BZ26),-Helpers!BW4*Assumptions!$B$21,Actuals!BZ26)</f>
        <v>-1840.5717039846</v>
      </c>
      <c r="BZ116" s="14" t="n">
        <f aca="false">IF(ISBLANK(Actuals!CA26),-Helpers!BX4*Assumptions!$B$21,Actuals!CA26)</f>
        <v>-1840.5717039846</v>
      </c>
      <c r="CA116" s="14" t="n">
        <f aca="false">IF(ISBLANK(Actuals!CB26),-Helpers!BY4*Assumptions!$B$21,Actuals!CB26)</f>
        <v>-1840.5717039846</v>
      </c>
      <c r="CB116" s="14" t="n">
        <f aca="false">IF(ISBLANK(Actuals!CC26),-Helpers!BZ4*Assumptions!$B$21,Actuals!CC26)</f>
        <v>-1840.5717039846</v>
      </c>
      <c r="CC116" s="14" t="n">
        <f aca="false">IF(ISBLANK(Actuals!CD26),-Helpers!CA4*Assumptions!$B$21,Actuals!CD26)</f>
        <v>-1840.5717039846</v>
      </c>
      <c r="CD116" s="14" t="n">
        <f aca="false">IF(ISBLANK(Actuals!CE26),-Helpers!CB4*Assumptions!$B$21,Actuals!CE26)</f>
        <v>-1840.5717039846</v>
      </c>
      <c r="CE116" s="14" t="n">
        <f aca="false">IF(ISBLANK(Actuals!CF26),-Helpers!CC4*Assumptions!$B$21,Actuals!CF26)</f>
        <v>-1840.5717039846</v>
      </c>
      <c r="CF116" s="14" t="n">
        <f aca="false">IF(ISBLANK(Actuals!CG26),-Helpers!CD4*Assumptions!$B$21,Actuals!CG26)</f>
        <v>-1840.5717039846</v>
      </c>
      <c r="CG116" s="14" t="n">
        <f aca="false">IF(ISBLANK(Actuals!CH26),-Helpers!CE4*Assumptions!$B$21,Actuals!CH26)</f>
        <v>-1840.5717039846</v>
      </c>
      <c r="CH116" s="14" t="n">
        <f aca="false">IF(ISBLANK(Actuals!CI26),-Helpers!CF4*Assumptions!$B$21,Actuals!CI26)</f>
        <v>-1840.5717039846</v>
      </c>
      <c r="CI116" s="14" t="n">
        <f aca="false">IF(ISBLANK(Actuals!CJ26),-Helpers!CG4*Assumptions!$B$21,Actuals!CJ26)</f>
        <v>-1840.5717039846</v>
      </c>
      <c r="CJ116" s="14" t="n">
        <f aca="false">IF(ISBLANK(Actuals!CK26),-Helpers!CH4*Assumptions!$B$21,Actuals!CK26)</f>
        <v>-1840.5717039846</v>
      </c>
      <c r="CK116" s="14" t="n">
        <f aca="false">IF(ISBLANK(Actuals!CL26),-Helpers!CI4*Assumptions!$B$21,Actuals!CL26)</f>
        <v>-1877.38313806429</v>
      </c>
      <c r="CL116" s="14" t="n">
        <f aca="false">IF(ISBLANK(Actuals!CM26),-Helpers!CJ4*Assumptions!$B$21,Actuals!CM26)</f>
        <v>-1877.38313806429</v>
      </c>
      <c r="CM116" s="14" t="n">
        <f aca="false">IF(ISBLANK(Actuals!CN26),-Helpers!CK4*Assumptions!$B$21,Actuals!CN26)</f>
        <v>-1877.38313806429</v>
      </c>
      <c r="CN116" s="14" t="n">
        <f aca="false">IF(ISBLANK(Actuals!CO26),-Helpers!CL4*Assumptions!$B$21,Actuals!CO26)</f>
        <v>-1877.38313806429</v>
      </c>
      <c r="CO116" s="14" t="n">
        <f aca="false">IF(ISBLANK(Actuals!CP26),-Helpers!CM4*Assumptions!$B$21,Actuals!CP26)</f>
        <v>-1877.38313806429</v>
      </c>
      <c r="CP116" s="14" t="n">
        <f aca="false">IF(ISBLANK(Actuals!CQ26),-Helpers!CN4*Assumptions!$B$21,Actuals!CQ26)</f>
        <v>-1877.38313806429</v>
      </c>
      <c r="CQ116" s="14" t="n">
        <f aca="false">IF(ISBLANK(Actuals!CR26),-Helpers!CO4*Assumptions!$B$21,Actuals!CR26)</f>
        <v>-1877.38313806429</v>
      </c>
      <c r="CR116" s="14" t="n">
        <f aca="false">IF(ISBLANK(Actuals!CS26),-Helpers!CP4*Assumptions!$B$21,Actuals!CS26)</f>
        <v>-1877.38313806429</v>
      </c>
      <c r="CS116" s="14" t="n">
        <f aca="false">IF(ISBLANK(Actuals!CT26),-Helpers!CQ4*Assumptions!$B$21,Actuals!CT26)</f>
        <v>-1877.38313806429</v>
      </c>
      <c r="CT116" s="14" t="n">
        <f aca="false">IF(ISBLANK(Actuals!CU26),-Helpers!CR4*Assumptions!$B$21,Actuals!CU26)</f>
        <v>-0</v>
      </c>
      <c r="CU116" s="14" t="n">
        <f aca="false">IF(ISBLANK(Actuals!CV26),-Helpers!CS4*Assumptions!$B$21,Actuals!CV26)</f>
        <v>-0</v>
      </c>
      <c r="CV116" s="14" t="n">
        <f aca="false">IF(ISBLANK(Actuals!CW26),-Helpers!CT4*Assumptions!$B$21,Actuals!CW26)</f>
        <v>-0</v>
      </c>
      <c r="CW116" s="14" t="n">
        <f aca="false">IF(ISBLANK(Actuals!CX26),-Helpers!CU4*Assumptions!$B$21,Actuals!CX26)</f>
        <v>-0</v>
      </c>
      <c r="CX116" s="14" t="n">
        <f aca="false">IF(ISBLANK(Actuals!CY26),-Helpers!CV4*Assumptions!$B$21,Actuals!CY26)</f>
        <v>-0</v>
      </c>
      <c r="CY116" s="14" t="n">
        <f aca="false">IF(ISBLANK(Actuals!CZ26),-Helpers!CW4*Assumptions!$B$21,Actuals!CZ26)</f>
        <v>-0</v>
      </c>
      <c r="CZ116" s="14" t="n">
        <f aca="false">IF(ISBLANK(Actuals!DA26),-Helpers!CX4*Assumptions!$B$21,Actuals!DA26)</f>
        <v>-0</v>
      </c>
      <c r="DA116" s="14" t="n">
        <f aca="false">IF(ISBLANK(Actuals!DB26),-Helpers!CY4*Assumptions!$B$21,Actuals!DB26)</f>
        <v>-0</v>
      </c>
      <c r="DB116" s="14" t="n">
        <f aca="false">IF(ISBLANK(Actuals!DC26),-Helpers!CZ4*Assumptions!$B$21,Actuals!DC26)</f>
        <v>-0</v>
      </c>
      <c r="DC116" s="14" t="n">
        <f aca="false">IF(ISBLANK(Actuals!DD26),-Helpers!DA4*Assumptions!$B$21,Actuals!DD26)</f>
        <v>-0</v>
      </c>
      <c r="DD116" s="14" t="n">
        <f aca="false">IF(ISBLANK(Actuals!DE26),-Helpers!DB4*Assumptions!$B$21,Actuals!DE26)</f>
        <v>-0</v>
      </c>
      <c r="DE116" s="14" t="n">
        <f aca="false">IF(ISBLANK(Actuals!DF26),-Helpers!DC4*Assumptions!$B$21,Actuals!DF26)</f>
        <v>-0</v>
      </c>
    </row>
    <row r="117" customFormat="false" ht="15" hidden="false" customHeight="true" outlineLevel="0" collapsed="false">
      <c r="A117" s="29" t="s">
        <v>66</v>
      </c>
      <c r="B117" s="14" t="n">
        <f aca="false">IF(ISBLANK(Actuals!C27),0,Actuals!C27)</f>
        <v>-33002.28</v>
      </c>
      <c r="C117" s="14" t="n">
        <f aca="false">IF(ISBLANK(Actuals!D27),0,Actuals!D27)</f>
        <v>-29166.66</v>
      </c>
      <c r="D117" s="14" t="n">
        <f aca="false">IF(ISBLANK(Actuals!E27),0,Actuals!E27)</f>
        <v>-41666.66</v>
      </c>
      <c r="E117" s="14" t="n">
        <f aca="false">IF(ISBLANK(Actuals!F27),-29166.66*Escalation!$B$2,Actuals!F27)</f>
        <v>-29166.66</v>
      </c>
      <c r="F117" s="14" t="n">
        <f aca="false">IF(ISBLANK(Actuals!G27),-29166.66*Escalation!$B$3,Actuals!G27)</f>
        <v>-29166.66</v>
      </c>
      <c r="G117" s="14" t="n">
        <f aca="false">IF(ISBLANK(Actuals!H27),-29166.66*Escalation!$B$4,Actuals!H27)</f>
        <v>-29166.66</v>
      </c>
      <c r="H117" s="14" t="n">
        <f aca="false">IF(ISBLANK(Actuals!I27),-29166.66*Escalation!$B$5,Actuals!I27)</f>
        <v>-29166.66</v>
      </c>
      <c r="I117" s="14" t="n">
        <f aca="false">IF(ISBLANK(Actuals!J27),-29166.66*Escalation!$B$6,Actuals!J27)</f>
        <v>-29166.66</v>
      </c>
      <c r="J117" s="14" t="n">
        <f aca="false">IF(ISBLANK(Actuals!K27),-29166.66*Escalation!$B$7,Actuals!K27)</f>
        <v>-29166.66</v>
      </c>
      <c r="K117" s="14" t="n">
        <f aca="false">IF(ISBLANK(Actuals!L27),-29166.66*Escalation!$B$8,Actuals!L27)</f>
        <v>-29166.66</v>
      </c>
      <c r="L117" s="14" t="n">
        <f aca="false">IF(ISBLANK(Actuals!M27),-29166.66*Escalation!$B$9,Actuals!M27)</f>
        <v>-29166.66</v>
      </c>
      <c r="M117" s="14" t="n">
        <f aca="false">IF(ISBLANK(Actuals!N27),-29166.66*Escalation!$B$10,Actuals!N27)</f>
        <v>-29166.66</v>
      </c>
      <c r="N117" s="14" t="n">
        <f aca="false">IF(ISBLANK(Actuals!O27),-18750*Escalation!$B$11,Actuals!O27)</f>
        <v>-18750</v>
      </c>
      <c r="O117" s="14" t="n">
        <f aca="false">IF(ISBLANK(Actuals!P27),-18750*Escalation!$B$12,Actuals!P27)</f>
        <v>-18750</v>
      </c>
      <c r="P117" s="14" t="n">
        <f aca="false">IF(ISBLANK(Actuals!Q27),-18750*Escalation!$B$13,Actuals!Q27)</f>
        <v>-18750</v>
      </c>
      <c r="Q117" s="14" t="n">
        <f aca="false">IF(ISBLANK(Actuals!R27),-18750*Escalation!$B$14,Actuals!R27)</f>
        <v>-19125</v>
      </c>
      <c r="R117" s="14" t="n">
        <f aca="false">IF(ISBLANK(Actuals!S27),-18750*Escalation!$B$15,Actuals!S27)</f>
        <v>-19125</v>
      </c>
      <c r="S117" s="14" t="n">
        <f aca="false">IF(ISBLANK(Actuals!T27),-18750*Escalation!$B$16,Actuals!T27)</f>
        <v>-19125</v>
      </c>
      <c r="T117" s="14" t="n">
        <f aca="false">IF(ISBLANK(Actuals!U27),-18750*Escalation!$B$17,Actuals!U27)</f>
        <v>-19125</v>
      </c>
      <c r="U117" s="14" t="n">
        <f aca="false">IF(ISBLANK(Actuals!V27),-18750*Escalation!$B$18,Actuals!V27)</f>
        <v>-19125</v>
      </c>
      <c r="V117" s="14" t="n">
        <f aca="false">IF(ISBLANK(Actuals!W27),-18750*Escalation!$B$19,Actuals!W27)</f>
        <v>-19125</v>
      </c>
      <c r="W117" s="14" t="n">
        <f aca="false">IF(ISBLANK(Actuals!X27),-18750*Escalation!$B$20,Actuals!X27)</f>
        <v>-19125</v>
      </c>
      <c r="X117" s="14" t="n">
        <f aca="false">IF(ISBLANK(Actuals!Y27),-18750*Escalation!$B$21,Actuals!Y27)</f>
        <v>-19125</v>
      </c>
      <c r="Y117" s="14" t="n">
        <f aca="false">IF(ISBLANK(Actuals!Z27),-18750*Escalation!$B$22,Actuals!Z27)</f>
        <v>-19125</v>
      </c>
      <c r="Z117" s="14" t="n">
        <f aca="false">IF(ISBLANK(Actuals!AA27),-18750*Escalation!$B$23,Actuals!AA27)</f>
        <v>-19125</v>
      </c>
      <c r="AA117" s="14" t="n">
        <f aca="false">IF(ISBLANK(Actuals!AB27),-18750*Escalation!$B$24,Actuals!AB27)</f>
        <v>-19125</v>
      </c>
      <c r="AB117" s="14" t="n">
        <f aca="false">IF(ISBLANK(Actuals!AC27),-18750*Escalation!$B$25,Actuals!AC27)</f>
        <v>-19125</v>
      </c>
      <c r="AC117" s="14" t="n">
        <f aca="false">IF(ISBLANK(Actuals!AD27),-18750*Escalation!$B$26,Actuals!AD27)</f>
        <v>-19507.5</v>
      </c>
      <c r="AD117" s="14" t="n">
        <f aca="false">IF(ISBLANK(Actuals!AE27),-18750*Escalation!$B$27,Actuals!AE27)</f>
        <v>-19507.5</v>
      </c>
      <c r="AE117" s="14" t="n">
        <f aca="false">IF(ISBLANK(Actuals!AF27),-18750*Escalation!$B$28,Actuals!AF27)</f>
        <v>-19507.5</v>
      </c>
      <c r="AF117" s="14" t="n">
        <f aca="false">IF(ISBLANK(Actuals!AG27),-18750*Escalation!$B$29,Actuals!AG27)</f>
        <v>-19507.5</v>
      </c>
      <c r="AG117" s="14" t="n">
        <f aca="false">IF(ISBLANK(Actuals!AH27),-18750*Escalation!$B$30,Actuals!AH27)</f>
        <v>-19507.5</v>
      </c>
      <c r="AH117" s="14" t="n">
        <f aca="false">IF(ISBLANK(Actuals!AI27),-18750*Escalation!$B$31,Actuals!AI27)</f>
        <v>-19507.5</v>
      </c>
      <c r="AI117" s="14" t="n">
        <f aca="false">IF(ISBLANK(Actuals!AJ27),-18750*Escalation!$B$32,Actuals!AJ27)</f>
        <v>-19507.5</v>
      </c>
      <c r="AJ117" s="14" t="n">
        <f aca="false">IF(ISBLANK(Actuals!AK27),-18750*Escalation!$B$33,Actuals!AK27)</f>
        <v>-19507.5</v>
      </c>
      <c r="AK117" s="14" t="n">
        <f aca="false">IF(ISBLANK(Actuals!AL27),-18750*Escalation!$B$34,Actuals!AL27)</f>
        <v>-19507.5</v>
      </c>
      <c r="AL117" s="14" t="n">
        <f aca="false">IF(ISBLANK(Actuals!AM27),-18750*Escalation!$B$35,Actuals!AM27)</f>
        <v>-19507.5</v>
      </c>
      <c r="AM117" s="14" t="n">
        <f aca="false">IF(ISBLANK(Actuals!AN27),-18750*Escalation!$B$36,Actuals!AN27)</f>
        <v>-19507.5</v>
      </c>
      <c r="AN117" s="14" t="n">
        <f aca="false">IF(ISBLANK(Actuals!AO27),-18750*Escalation!$B$37,Actuals!AO27)</f>
        <v>-19507.5</v>
      </c>
      <c r="AO117" s="14" t="n">
        <f aca="false">IF(ISBLANK(Actuals!AP27),-18750*Escalation!$B$38,Actuals!AP27)</f>
        <v>-19897.65</v>
      </c>
      <c r="AP117" s="14" t="n">
        <f aca="false">IF(ISBLANK(Actuals!AQ27),-18750*Escalation!$B$39,Actuals!AQ27)</f>
        <v>-19897.65</v>
      </c>
      <c r="AQ117" s="14" t="n">
        <f aca="false">IF(ISBLANK(Actuals!AR27),-18750*Escalation!$B$40,Actuals!AR27)</f>
        <v>-19897.65</v>
      </c>
      <c r="AR117" s="14" t="n">
        <f aca="false">IF(ISBLANK(Actuals!AS27),-18750*Escalation!$B$41,Actuals!AS27)</f>
        <v>-19897.65</v>
      </c>
      <c r="AS117" s="14" t="n">
        <f aca="false">IF(ISBLANK(Actuals!AT27),-18750*Escalation!$B$42,Actuals!AT27)</f>
        <v>-19897.65</v>
      </c>
      <c r="AT117" s="14" t="n">
        <f aca="false">IF(ISBLANK(Actuals!AU27),-18750*Escalation!$B$43,Actuals!AU27)</f>
        <v>-19897.65</v>
      </c>
      <c r="AU117" s="14" t="n">
        <f aca="false">IF(ISBLANK(Actuals!AV27),-18750*Escalation!$B$44,Actuals!AV27)</f>
        <v>-19897.65</v>
      </c>
      <c r="AV117" s="14" t="n">
        <f aca="false">IF(ISBLANK(Actuals!AW27),-18750*Escalation!$B$45,Actuals!AW27)</f>
        <v>-19897.65</v>
      </c>
      <c r="AW117" s="14" t="n">
        <f aca="false">IF(ISBLANK(Actuals!AX27),-18750*Escalation!$B$46,Actuals!AX27)</f>
        <v>-19897.65</v>
      </c>
      <c r="AX117" s="14" t="n">
        <f aca="false">IF(ISBLANK(Actuals!AY27),-18750*Escalation!$B$47,Actuals!AY27)</f>
        <v>-19897.65</v>
      </c>
      <c r="AY117" s="14" t="n">
        <f aca="false">IF(ISBLANK(Actuals!AZ27),-18750*Escalation!$B$48,Actuals!AZ27)</f>
        <v>-19897.65</v>
      </c>
      <c r="AZ117" s="14" t="n">
        <f aca="false">IF(ISBLANK(Actuals!BA27),-18750*Escalation!$B$49,Actuals!BA27)</f>
        <v>-19897.65</v>
      </c>
      <c r="BA117" s="14" t="n">
        <f aca="false">IF(ISBLANK(Actuals!BB27),-18750*Escalation!$B$50,Actuals!BB27)</f>
        <v>-20295.603</v>
      </c>
      <c r="BB117" s="14" t="n">
        <f aca="false">IF(ISBLANK(Actuals!BC27),-18750*Escalation!$B$51,Actuals!BC27)</f>
        <v>-20295.603</v>
      </c>
      <c r="BC117" s="14" t="n">
        <f aca="false">IF(ISBLANK(Actuals!BD27),-18750*Escalation!$B$52,Actuals!BD27)</f>
        <v>-20295.603</v>
      </c>
      <c r="BD117" s="14" t="n">
        <f aca="false">IF(ISBLANK(Actuals!BE27),-18750*Escalation!$B$53,Actuals!BE27)</f>
        <v>-20295.603</v>
      </c>
      <c r="BE117" s="14" t="n">
        <f aca="false">IF(ISBLANK(Actuals!BF27),-18750*Escalation!$B$54,Actuals!BF27)</f>
        <v>-20295.603</v>
      </c>
      <c r="BF117" s="14" t="n">
        <f aca="false">IF(ISBLANK(Actuals!BG27),-18750*Escalation!$B$55,Actuals!BG27)</f>
        <v>-20295.603</v>
      </c>
      <c r="BG117" s="14" t="n">
        <f aca="false">IF(ISBLANK(Actuals!BH27),-18750*Escalation!$B$56,Actuals!BH27)</f>
        <v>-20295.603</v>
      </c>
      <c r="BH117" s="14" t="n">
        <f aca="false">IF(ISBLANK(Actuals!BI27),-18750*Escalation!$B$57,Actuals!BI27)</f>
        <v>-20295.603</v>
      </c>
      <c r="BI117" s="14" t="n">
        <f aca="false">IF(ISBLANK(Actuals!BJ27),-18750*Escalation!$B$58,Actuals!BJ27)</f>
        <v>-20295.603</v>
      </c>
      <c r="BJ117" s="14" t="n">
        <f aca="false">IF(ISBLANK(Actuals!BK27),-18750*Escalation!$B$59,Actuals!BK27)</f>
        <v>-20295.603</v>
      </c>
      <c r="BK117" s="14" t="n">
        <f aca="false">IF(ISBLANK(Actuals!BL27),-18750*Escalation!$B$60,Actuals!BL27)</f>
        <v>-20295.603</v>
      </c>
      <c r="BL117" s="14" t="n">
        <f aca="false">IF(ISBLANK(Actuals!BM27),-18750*Escalation!$B$61,Actuals!BM27)</f>
        <v>-20295.603</v>
      </c>
      <c r="BM117" s="14" t="n">
        <f aca="false">IF(ISBLANK(Actuals!BN27),-18750*Escalation!$B$62,Actuals!BN27)</f>
        <v>-20701.51506</v>
      </c>
      <c r="BN117" s="14" t="n">
        <f aca="false">IF(ISBLANK(Actuals!BO27),-18750*Escalation!$B$63,Actuals!BO27)</f>
        <v>-20701.51506</v>
      </c>
      <c r="BO117" s="14" t="n">
        <f aca="false">IF(ISBLANK(Actuals!BP27),-18750*Escalation!$B$64,Actuals!BP27)</f>
        <v>-20701.51506</v>
      </c>
      <c r="BP117" s="14" t="n">
        <f aca="false">IF(ISBLANK(Actuals!BQ27),-18750*Escalation!$B$65,Actuals!BQ27)</f>
        <v>-20701.51506</v>
      </c>
      <c r="BQ117" s="14" t="n">
        <f aca="false">IF(ISBLANK(Actuals!BR27),-18750*Escalation!$B$66,Actuals!BR27)</f>
        <v>-20701.51506</v>
      </c>
      <c r="BR117" s="14" t="n">
        <f aca="false">IF(ISBLANK(Actuals!BS27),-18750*Escalation!$B$67,Actuals!BS27)</f>
        <v>-20701.51506</v>
      </c>
      <c r="BS117" s="14" t="n">
        <f aca="false">IF(ISBLANK(Actuals!BT27),-18750*Escalation!$B$68,Actuals!BT27)</f>
        <v>-20701.51506</v>
      </c>
      <c r="BT117" s="14" t="n">
        <f aca="false">IF(ISBLANK(Actuals!BU27),-18750*Escalation!$B$69,Actuals!BU27)</f>
        <v>-20701.51506</v>
      </c>
      <c r="BU117" s="14" t="n">
        <f aca="false">IF(ISBLANK(Actuals!BV27),-18750*Escalation!$B$70,Actuals!BV27)</f>
        <v>-20701.51506</v>
      </c>
      <c r="BV117" s="14" t="n">
        <f aca="false">IF(ISBLANK(Actuals!BW27),-18750*Escalation!$B$71,Actuals!BW27)</f>
        <v>-20701.51506</v>
      </c>
      <c r="BW117" s="14" t="n">
        <f aca="false">IF(ISBLANK(Actuals!BX27),-18750*Escalation!$B$72,Actuals!BX27)</f>
        <v>-20701.51506</v>
      </c>
      <c r="BX117" s="14" t="n">
        <f aca="false">IF(ISBLANK(Actuals!BY27),-18750*Escalation!$B$73,Actuals!BY27)</f>
        <v>-20701.51506</v>
      </c>
      <c r="BY117" s="14" t="n">
        <f aca="false">IF(ISBLANK(Actuals!BZ27),-18750*Escalation!$B$74,Actuals!BZ27)</f>
        <v>-21115.5453612</v>
      </c>
      <c r="BZ117" s="14" t="n">
        <f aca="false">IF(ISBLANK(Actuals!CA27),-18750*Escalation!$B$75,Actuals!CA27)</f>
        <v>-21115.5453612</v>
      </c>
      <c r="CA117" s="14" t="n">
        <f aca="false">IF(ISBLANK(Actuals!CB27),-18750*Escalation!$B$76,Actuals!CB27)</f>
        <v>-21115.5453612</v>
      </c>
      <c r="CB117" s="14" t="n">
        <f aca="false">IF(ISBLANK(Actuals!CC27),-18750*Escalation!$B$77,Actuals!CC27)</f>
        <v>-21115.5453612</v>
      </c>
      <c r="CC117" s="14" t="n">
        <f aca="false">IF(ISBLANK(Actuals!CD27),-18750*Escalation!$B$78,Actuals!CD27)</f>
        <v>-21115.5453612</v>
      </c>
      <c r="CD117" s="14" t="n">
        <f aca="false">IF(ISBLANK(Actuals!CE27),-18750*Escalation!$B$79,Actuals!CE27)</f>
        <v>-21115.5453612</v>
      </c>
      <c r="CE117" s="14" t="n">
        <f aca="false">IF(ISBLANK(Actuals!CF27),-18750*Escalation!$B$80,Actuals!CF27)</f>
        <v>-21115.5453612</v>
      </c>
      <c r="CF117" s="14" t="n">
        <f aca="false">IF(ISBLANK(Actuals!CG27),-18750*Escalation!$B$81,Actuals!CG27)</f>
        <v>-21115.5453612</v>
      </c>
      <c r="CG117" s="14" t="n">
        <f aca="false">IF(ISBLANK(Actuals!CH27),-18750*Escalation!$B$82,Actuals!CH27)</f>
        <v>-21115.5453612</v>
      </c>
      <c r="CH117" s="14" t="n">
        <f aca="false">IF(ISBLANK(Actuals!CI27),-18750*Escalation!$B$83,Actuals!CI27)</f>
        <v>-21115.5453612</v>
      </c>
      <c r="CI117" s="14" t="n">
        <f aca="false">IF(ISBLANK(Actuals!CJ27),-18750*Escalation!$B$84,Actuals!CJ27)</f>
        <v>-21115.5453612</v>
      </c>
      <c r="CJ117" s="14" t="n">
        <f aca="false">IF(ISBLANK(Actuals!CK27),-18750*Escalation!$B$85,Actuals!CK27)</f>
        <v>-21115.5453612</v>
      </c>
      <c r="CK117" s="14" t="n">
        <f aca="false">IF(ISBLANK(Actuals!CL27),-18750*Escalation!$B$86,Actuals!CL27)</f>
        <v>-21537.856268424</v>
      </c>
      <c r="CL117" s="14" t="n">
        <f aca="false">IF(ISBLANK(Actuals!CM27),-18750*Escalation!$B$87,Actuals!CM27)</f>
        <v>-21537.856268424</v>
      </c>
      <c r="CM117" s="14" t="n">
        <f aca="false">IF(ISBLANK(Actuals!CN27),-18750*Escalation!$B$88,Actuals!CN27)</f>
        <v>-21537.856268424</v>
      </c>
      <c r="CN117" s="14" t="n">
        <f aca="false">IF(ISBLANK(Actuals!CO27),-18750*Escalation!$B$89,Actuals!CO27)</f>
        <v>-21537.856268424</v>
      </c>
      <c r="CO117" s="14" t="n">
        <f aca="false">IF(ISBLANK(Actuals!CP27),-18750*Escalation!$B$90,Actuals!CP27)</f>
        <v>-21537.856268424</v>
      </c>
      <c r="CP117" s="14" t="n">
        <f aca="false">IF(ISBLANK(Actuals!CQ27),-18750*Escalation!$B$91,Actuals!CQ27)</f>
        <v>-21537.856268424</v>
      </c>
      <c r="CQ117" s="14" t="n">
        <f aca="false">IF(ISBLANK(Actuals!CR27),-18750*Escalation!$B$92,Actuals!CR27)</f>
        <v>-21537.856268424</v>
      </c>
      <c r="CR117" s="14" t="n">
        <f aca="false">IF(ISBLANK(Actuals!CS27),-18750*Escalation!$B$93,Actuals!CS27)</f>
        <v>-21537.856268424</v>
      </c>
      <c r="CS117" s="14" t="n">
        <f aca="false">IF(ISBLANK(Actuals!CT27),-18750*Escalation!$B$94,Actuals!CT27)</f>
        <v>-21537.856268424</v>
      </c>
      <c r="CT117" s="14" t="n">
        <f aca="false">IF(ISBLANK(Actuals!CU27),-18750*Escalation!$B$95,Actuals!CU27)</f>
        <v>-21537.856268424</v>
      </c>
      <c r="CU117" s="14" t="n">
        <f aca="false">IF(ISBLANK(Actuals!CV27),-18750*Escalation!$B$96,Actuals!CV27)</f>
        <v>-21537.856268424</v>
      </c>
      <c r="CV117" s="14" t="n">
        <f aca="false">IF(ISBLANK(Actuals!CW27),-18750*Escalation!$B$97,Actuals!CW27)</f>
        <v>-21537.856268424</v>
      </c>
      <c r="CW117" s="14" t="n">
        <f aca="false">IF(ISBLANK(Actuals!CX27),-18750*Escalation!$B$98,Actuals!CX27)</f>
        <v>-21968.6133937925</v>
      </c>
      <c r="CX117" s="14" t="n">
        <f aca="false">IF(ISBLANK(Actuals!CY27),-18750*Escalation!$B$99,Actuals!CY27)</f>
        <v>-21968.6133937925</v>
      </c>
      <c r="CY117" s="14" t="n">
        <f aca="false">IF(ISBLANK(Actuals!CZ27),-18750*Escalation!$B$100,Actuals!CZ27)</f>
        <v>-21968.6133937925</v>
      </c>
      <c r="CZ117" s="14" t="n">
        <f aca="false">IF(ISBLANK(Actuals!DA27),-18750*Escalation!$B$101,Actuals!DA27)</f>
        <v>-21968.6133937925</v>
      </c>
      <c r="DA117" s="14" t="n">
        <f aca="false">IF(ISBLANK(Actuals!DB27),-18750*Escalation!$B$102,Actuals!DB27)</f>
        <v>-21968.6133937925</v>
      </c>
      <c r="DB117" s="14" t="n">
        <f aca="false">IF(ISBLANK(Actuals!DC27),-18750*Escalation!$B$103,Actuals!DC27)</f>
        <v>-21968.6133937925</v>
      </c>
      <c r="DC117" s="14" t="n">
        <f aca="false">IF(ISBLANK(Actuals!DD27),-18750*Escalation!$B$104,Actuals!DD27)</f>
        <v>-21968.6133937925</v>
      </c>
      <c r="DD117" s="14" t="n">
        <f aca="false">IF(ISBLANK(Actuals!DE27),-18750*Escalation!$B$105,Actuals!DE27)</f>
        <v>-21968.6133937925</v>
      </c>
      <c r="DE117" s="14" t="n">
        <f aca="false">IF(ISBLANK(Actuals!DF27),-18750*Escalation!$B$106,Actuals!DF27)</f>
        <v>-21968.6133937925</v>
      </c>
    </row>
    <row r="118" customFormat="false" ht="15" hidden="false" customHeight="true" outlineLevel="0" collapsed="false">
      <c r="A118" s="29" t="s">
        <v>67</v>
      </c>
      <c r="B118" s="14" t="n">
        <f aca="false">IF(ISBLANK(Actuals!C28),0,Actuals!C28)</f>
        <v>0</v>
      </c>
      <c r="C118" s="14" t="n">
        <f aca="false">IF(ISBLANK(Actuals!D28),0,Actuals!D28)</f>
        <v>0</v>
      </c>
      <c r="D118" s="14" t="n">
        <f aca="false">IF(ISBLANK(Actuals!E28),0,Actuals!E28)</f>
        <v>0</v>
      </c>
      <c r="E118" s="14" t="n">
        <f aca="false">IF(ISBLANK(Actuals!F28),0*Escalation!$B$2,Actuals!F28)</f>
        <v>251304.48</v>
      </c>
      <c r="F118" s="14" t="n">
        <f aca="false">IF(ISBLANK(Actuals!G28),0*Escalation!$B$3,Actuals!G28)</f>
        <v>81510</v>
      </c>
      <c r="G118" s="14" t="n">
        <f aca="false">IF(ISBLANK(Actuals!H28),0*Escalation!$B$4,Actuals!H28)</f>
        <v>0</v>
      </c>
      <c r="H118" s="14" t="n">
        <f aca="false">IF(ISBLANK(Actuals!I28),0*Escalation!$B$5,Actuals!I28)</f>
        <v>0</v>
      </c>
      <c r="I118" s="14" t="n">
        <f aca="false">IF(ISBLANK(Actuals!J28),0*Escalation!$B$6,Actuals!J28)</f>
        <v>0</v>
      </c>
      <c r="J118" s="14" t="n">
        <f aca="false">IF(ISBLANK(Actuals!K28),0*Escalation!$B$7,Actuals!K28)</f>
        <v>0</v>
      </c>
      <c r="K118" s="14" t="n">
        <f aca="false">IF(ISBLANK(Actuals!L28),0*Escalation!$B$8,Actuals!L28)</f>
        <v>0</v>
      </c>
      <c r="L118" s="14" t="n">
        <f aca="false">IF(ISBLANK(Actuals!M28),0*Escalation!$B$9,Actuals!M28)</f>
        <v>0</v>
      </c>
      <c r="M118" s="14" t="n">
        <f aca="false">IF(ISBLANK(Actuals!N28),0*Escalation!$B$10,Actuals!N28)</f>
        <v>0</v>
      </c>
      <c r="N118" s="14" t="n">
        <f aca="false">IF(ISBLANK(Actuals!O28),0*Escalation!$B$11,Actuals!O28)</f>
        <v>0</v>
      </c>
      <c r="O118" s="14" t="n">
        <f aca="false">IF(ISBLANK(Actuals!P28),0*Escalation!$B$12,Actuals!P28)</f>
        <v>0</v>
      </c>
      <c r="P118" s="14" t="n">
        <f aca="false">IF(ISBLANK(Actuals!Q28),0*Escalation!$B$13,Actuals!Q28)</f>
        <v>0</v>
      </c>
      <c r="Q118" s="14" t="n">
        <f aca="false">IF(ISBLANK(Actuals!R28),0*Escalation!$B$14,Actuals!R28)</f>
        <v>0</v>
      </c>
      <c r="R118" s="14" t="n">
        <f aca="false">IF(ISBLANK(Actuals!S28),0*Escalation!$B$15,Actuals!S28)</f>
        <v>0</v>
      </c>
      <c r="S118" s="14" t="n">
        <f aca="false">IF(ISBLANK(Actuals!T28),0*Escalation!$B$16,Actuals!T28)</f>
        <v>0</v>
      </c>
      <c r="T118" s="14" t="n">
        <f aca="false">IF(ISBLANK(Actuals!U28),0*Escalation!$B$17,Actuals!U28)</f>
        <v>0</v>
      </c>
      <c r="U118" s="14" t="n">
        <f aca="false">IF(ISBLANK(Actuals!V28),0*Escalation!$B$18,Actuals!V28)</f>
        <v>0</v>
      </c>
      <c r="V118" s="14" t="n">
        <f aca="false">IF(ISBLANK(Actuals!W28),0*Escalation!$B$19,Actuals!W28)</f>
        <v>0</v>
      </c>
      <c r="W118" s="14" t="n">
        <f aca="false">IF(ISBLANK(Actuals!X28),0*Escalation!$B$20,Actuals!X28)</f>
        <v>0</v>
      </c>
      <c r="X118" s="14" t="n">
        <f aca="false">IF(ISBLANK(Actuals!Y28),0*Escalation!$B$21,Actuals!Y28)</f>
        <v>0</v>
      </c>
      <c r="Y118" s="14" t="n">
        <f aca="false">IF(ISBLANK(Actuals!Z28),0*Escalation!$B$22,Actuals!Z28)</f>
        <v>0</v>
      </c>
      <c r="Z118" s="14" t="n">
        <f aca="false">IF(ISBLANK(Actuals!AA28),0*Escalation!$B$23,Actuals!AA28)</f>
        <v>0</v>
      </c>
      <c r="AA118" s="14" t="n">
        <f aca="false">IF(ISBLANK(Actuals!AB28),0*Escalation!$B$24,Actuals!AB28)</f>
        <v>0</v>
      </c>
      <c r="AB118" s="14" t="n">
        <f aca="false">IF(ISBLANK(Actuals!AC28),0*Escalation!$B$25,Actuals!AC28)</f>
        <v>0</v>
      </c>
      <c r="AC118" s="14" t="n">
        <f aca="false">IF(ISBLANK(Actuals!AD28),0*Escalation!$B$26,Actuals!AD28)</f>
        <v>0</v>
      </c>
      <c r="AD118" s="14" t="n">
        <f aca="false">IF(ISBLANK(Actuals!AE28),0*Escalation!$B$27,Actuals!AE28)</f>
        <v>0</v>
      </c>
      <c r="AE118" s="14" t="n">
        <f aca="false">IF(ISBLANK(Actuals!AF28),0*Escalation!$B$28,Actuals!AF28)</f>
        <v>0</v>
      </c>
      <c r="AF118" s="14" t="n">
        <f aca="false">IF(ISBLANK(Actuals!AG28),0*Escalation!$B$29,Actuals!AG28)</f>
        <v>0</v>
      </c>
      <c r="AG118" s="14" t="n">
        <f aca="false">IF(ISBLANK(Actuals!AH28),0*Escalation!$B$30,Actuals!AH28)</f>
        <v>0</v>
      </c>
      <c r="AH118" s="14" t="n">
        <f aca="false">IF(ISBLANK(Actuals!AI28),0*Escalation!$B$31,Actuals!AI28)</f>
        <v>0</v>
      </c>
      <c r="AI118" s="14" t="n">
        <f aca="false">IF(ISBLANK(Actuals!AJ28),0*Escalation!$B$32,Actuals!AJ28)</f>
        <v>0</v>
      </c>
      <c r="AJ118" s="14" t="n">
        <f aca="false">IF(ISBLANK(Actuals!AK28),0*Escalation!$B$33,Actuals!AK28)</f>
        <v>0</v>
      </c>
      <c r="AK118" s="14" t="n">
        <f aca="false">IF(ISBLANK(Actuals!AL28),0*Escalation!$B$34,Actuals!AL28)</f>
        <v>0</v>
      </c>
      <c r="AL118" s="14" t="n">
        <f aca="false">IF(ISBLANK(Actuals!AM28),0*Escalation!$B$35,Actuals!AM28)</f>
        <v>0</v>
      </c>
      <c r="AM118" s="14" t="n">
        <f aca="false">IF(ISBLANK(Actuals!AN28),0*Escalation!$B$36,Actuals!AN28)</f>
        <v>0</v>
      </c>
      <c r="AN118" s="14" t="n">
        <f aca="false">IF(ISBLANK(Actuals!AO28),0*Escalation!$B$37,Actuals!AO28)</f>
        <v>0</v>
      </c>
      <c r="AO118" s="14" t="n">
        <f aca="false">IF(ISBLANK(Actuals!AP28),0*Escalation!$B$38,Actuals!AP28)</f>
        <v>0</v>
      </c>
      <c r="AP118" s="14" t="n">
        <f aca="false">IF(ISBLANK(Actuals!AQ28),0*Escalation!$B$39,Actuals!AQ28)</f>
        <v>0</v>
      </c>
      <c r="AQ118" s="14" t="n">
        <f aca="false">IF(ISBLANK(Actuals!AR28),0*Escalation!$B$40,Actuals!AR28)</f>
        <v>0</v>
      </c>
      <c r="AR118" s="14" t="n">
        <f aca="false">IF(ISBLANK(Actuals!AS28),0*Escalation!$B$41,Actuals!AS28)</f>
        <v>0</v>
      </c>
      <c r="AS118" s="14" t="n">
        <f aca="false">IF(ISBLANK(Actuals!AT28),0*Escalation!$B$42,Actuals!AT28)</f>
        <v>0</v>
      </c>
      <c r="AT118" s="14" t="n">
        <f aca="false">IF(ISBLANK(Actuals!AU28),0*Escalation!$B$43,Actuals!AU28)</f>
        <v>0</v>
      </c>
      <c r="AU118" s="14" t="n">
        <f aca="false">IF(ISBLANK(Actuals!AV28),0*Escalation!$B$44,Actuals!AV28)</f>
        <v>0</v>
      </c>
      <c r="AV118" s="14" t="n">
        <f aca="false">IF(ISBLANK(Actuals!AW28),0*Escalation!$B$45,Actuals!AW28)</f>
        <v>0</v>
      </c>
      <c r="AW118" s="14" t="n">
        <f aca="false">IF(ISBLANK(Actuals!AX28),0*Escalation!$B$46,Actuals!AX28)</f>
        <v>0</v>
      </c>
      <c r="AX118" s="14" t="n">
        <f aca="false">IF(ISBLANK(Actuals!AY28),0*Escalation!$B$47,Actuals!AY28)</f>
        <v>0</v>
      </c>
      <c r="AY118" s="14" t="n">
        <f aca="false">IF(ISBLANK(Actuals!AZ28),0*Escalation!$B$48,Actuals!AZ28)</f>
        <v>0</v>
      </c>
      <c r="AZ118" s="14" t="n">
        <f aca="false">IF(ISBLANK(Actuals!BA28),0*Escalation!$B$49,Actuals!BA28)</f>
        <v>0</v>
      </c>
      <c r="BA118" s="14" t="n">
        <f aca="false">IF(ISBLANK(Actuals!BB28),0*Escalation!$B$50,Actuals!BB28)</f>
        <v>0</v>
      </c>
      <c r="BB118" s="14" t="n">
        <f aca="false">IF(ISBLANK(Actuals!BC28),0*Escalation!$B$51,Actuals!BC28)</f>
        <v>0</v>
      </c>
      <c r="BC118" s="14" t="n">
        <f aca="false">IF(ISBLANK(Actuals!BD28),0*Escalation!$B$52,Actuals!BD28)</f>
        <v>0</v>
      </c>
      <c r="BD118" s="14" t="n">
        <f aca="false">IF(ISBLANK(Actuals!BE28),0*Escalation!$B$53,Actuals!BE28)</f>
        <v>0</v>
      </c>
      <c r="BE118" s="14" t="n">
        <f aca="false">IF(ISBLANK(Actuals!BF28),0*Escalation!$B$54,Actuals!BF28)</f>
        <v>0</v>
      </c>
      <c r="BF118" s="14" t="n">
        <f aca="false">IF(ISBLANK(Actuals!BG28),0*Escalation!$B$55,Actuals!BG28)</f>
        <v>0</v>
      </c>
      <c r="BG118" s="14" t="n">
        <f aca="false">IF(ISBLANK(Actuals!BH28),0*Escalation!$B$56,Actuals!BH28)</f>
        <v>0</v>
      </c>
      <c r="BH118" s="14" t="n">
        <f aca="false">IF(ISBLANK(Actuals!BI28),0*Escalation!$B$57,Actuals!BI28)</f>
        <v>0</v>
      </c>
      <c r="BI118" s="14" t="n">
        <f aca="false">IF(ISBLANK(Actuals!BJ28),0*Escalation!$B$58,Actuals!BJ28)</f>
        <v>0</v>
      </c>
      <c r="BJ118" s="14" t="n">
        <f aca="false">IF(ISBLANK(Actuals!BK28),0*Escalation!$B$59,Actuals!BK28)</f>
        <v>0</v>
      </c>
      <c r="BK118" s="14" t="n">
        <f aca="false">IF(ISBLANK(Actuals!BL28),0*Escalation!$B$60,Actuals!BL28)</f>
        <v>0</v>
      </c>
      <c r="BL118" s="14" t="n">
        <f aca="false">IF(ISBLANK(Actuals!BM28),0*Escalation!$B$61,Actuals!BM28)</f>
        <v>0</v>
      </c>
      <c r="BM118" s="14" t="n">
        <f aca="false">IF(ISBLANK(Actuals!BN28),0*Escalation!$B$62,Actuals!BN28)</f>
        <v>0</v>
      </c>
      <c r="BN118" s="14" t="n">
        <f aca="false">IF(ISBLANK(Actuals!BO28),0*Escalation!$B$63,Actuals!BO28)</f>
        <v>0</v>
      </c>
      <c r="BO118" s="14" t="n">
        <f aca="false">IF(ISBLANK(Actuals!BP28),0*Escalation!$B$64,Actuals!BP28)</f>
        <v>0</v>
      </c>
      <c r="BP118" s="14" t="n">
        <f aca="false">IF(ISBLANK(Actuals!BQ28),0*Escalation!$B$65,Actuals!BQ28)</f>
        <v>0</v>
      </c>
      <c r="BQ118" s="14" t="n">
        <f aca="false">IF(ISBLANK(Actuals!BR28),0*Escalation!$B$66,Actuals!BR28)</f>
        <v>0</v>
      </c>
      <c r="BR118" s="14" t="n">
        <f aca="false">IF(ISBLANK(Actuals!BS28),0*Escalation!$B$67,Actuals!BS28)</f>
        <v>0</v>
      </c>
      <c r="BS118" s="14" t="n">
        <f aca="false">IF(ISBLANK(Actuals!BT28),0*Escalation!$B$68,Actuals!BT28)</f>
        <v>0</v>
      </c>
      <c r="BT118" s="14" t="n">
        <f aca="false">IF(ISBLANK(Actuals!BU28),0*Escalation!$B$69,Actuals!BU28)</f>
        <v>0</v>
      </c>
      <c r="BU118" s="14" t="n">
        <f aca="false">IF(ISBLANK(Actuals!BV28),0*Escalation!$B$70,Actuals!BV28)</f>
        <v>0</v>
      </c>
      <c r="BV118" s="14" t="n">
        <f aca="false">IF(ISBLANK(Actuals!BW28),0*Escalation!$B$71,Actuals!BW28)</f>
        <v>0</v>
      </c>
      <c r="BW118" s="14" t="n">
        <f aca="false">IF(ISBLANK(Actuals!BX28),0*Escalation!$B$72,Actuals!BX28)</f>
        <v>0</v>
      </c>
      <c r="BX118" s="14" t="n">
        <f aca="false">IF(ISBLANK(Actuals!BY28),0*Escalation!$B$73,Actuals!BY28)</f>
        <v>0</v>
      </c>
      <c r="BY118" s="14" t="n">
        <f aca="false">IF(ISBLANK(Actuals!BZ28),0*Escalation!$B$74,Actuals!BZ28)</f>
        <v>0</v>
      </c>
      <c r="BZ118" s="14" t="n">
        <f aca="false">IF(ISBLANK(Actuals!CA28),0*Escalation!$B$75,Actuals!CA28)</f>
        <v>0</v>
      </c>
      <c r="CA118" s="14" t="n">
        <f aca="false">IF(ISBLANK(Actuals!CB28),0*Escalation!$B$76,Actuals!CB28)</f>
        <v>0</v>
      </c>
      <c r="CB118" s="14" t="n">
        <f aca="false">IF(ISBLANK(Actuals!CC28),0*Escalation!$B$77,Actuals!CC28)</f>
        <v>0</v>
      </c>
      <c r="CC118" s="14" t="n">
        <f aca="false">IF(ISBLANK(Actuals!CD28),0*Escalation!$B$78,Actuals!CD28)</f>
        <v>0</v>
      </c>
      <c r="CD118" s="14" t="n">
        <f aca="false">IF(ISBLANK(Actuals!CE28),0*Escalation!$B$79,Actuals!CE28)</f>
        <v>0</v>
      </c>
      <c r="CE118" s="14" t="n">
        <f aca="false">IF(ISBLANK(Actuals!CF28),0*Escalation!$B$80,Actuals!CF28)</f>
        <v>0</v>
      </c>
      <c r="CF118" s="14" t="n">
        <f aca="false">IF(ISBLANK(Actuals!CG28),0*Escalation!$B$81,Actuals!CG28)</f>
        <v>0</v>
      </c>
      <c r="CG118" s="14" t="n">
        <f aca="false">IF(ISBLANK(Actuals!CH28),0*Escalation!$B$82,Actuals!CH28)</f>
        <v>0</v>
      </c>
      <c r="CH118" s="14" t="n">
        <f aca="false">IF(ISBLANK(Actuals!CI28),0*Escalation!$B$83,Actuals!CI28)</f>
        <v>0</v>
      </c>
      <c r="CI118" s="14" t="n">
        <f aca="false">IF(ISBLANK(Actuals!CJ28),0*Escalation!$B$84,Actuals!CJ28)</f>
        <v>0</v>
      </c>
      <c r="CJ118" s="14" t="n">
        <f aca="false">IF(ISBLANK(Actuals!CK28),0*Escalation!$B$85,Actuals!CK28)</f>
        <v>0</v>
      </c>
      <c r="CK118" s="14" t="n">
        <f aca="false">IF(ISBLANK(Actuals!CL28),0*Escalation!$B$86,Actuals!CL28)</f>
        <v>0</v>
      </c>
      <c r="CL118" s="14" t="n">
        <f aca="false">IF(ISBLANK(Actuals!CM28),0*Escalation!$B$87,Actuals!CM28)</f>
        <v>0</v>
      </c>
      <c r="CM118" s="14" t="n">
        <f aca="false">IF(ISBLANK(Actuals!CN28),0*Escalation!$B$88,Actuals!CN28)</f>
        <v>0</v>
      </c>
      <c r="CN118" s="14" t="n">
        <f aca="false">IF(ISBLANK(Actuals!CO28),0*Escalation!$B$89,Actuals!CO28)</f>
        <v>0</v>
      </c>
      <c r="CO118" s="14" t="n">
        <f aca="false">IF(ISBLANK(Actuals!CP28),0*Escalation!$B$90,Actuals!CP28)</f>
        <v>0</v>
      </c>
      <c r="CP118" s="14" t="n">
        <f aca="false">IF(ISBLANK(Actuals!CQ28),0*Escalation!$B$91,Actuals!CQ28)</f>
        <v>0</v>
      </c>
      <c r="CQ118" s="14" t="n">
        <f aca="false">IF(ISBLANK(Actuals!CR28),0*Escalation!$B$92,Actuals!CR28)</f>
        <v>0</v>
      </c>
      <c r="CR118" s="14" t="n">
        <f aca="false">IF(ISBLANK(Actuals!CS28),0*Escalation!$B$93,Actuals!CS28)</f>
        <v>0</v>
      </c>
      <c r="CS118" s="14" t="n">
        <f aca="false">IF(ISBLANK(Actuals!CT28),0*Escalation!$B$94,Actuals!CT28)</f>
        <v>0</v>
      </c>
      <c r="CT118" s="14" t="n">
        <f aca="false">IF(ISBLANK(Actuals!CU28),0*Escalation!$B$95,Actuals!CU28)</f>
        <v>0</v>
      </c>
      <c r="CU118" s="14" t="n">
        <f aca="false">IF(ISBLANK(Actuals!CV28),0*Escalation!$B$96,Actuals!CV28)</f>
        <v>0</v>
      </c>
      <c r="CV118" s="14" t="n">
        <f aca="false">IF(ISBLANK(Actuals!CW28),0*Escalation!$B$97,Actuals!CW28)</f>
        <v>0</v>
      </c>
      <c r="CW118" s="14" t="n">
        <f aca="false">IF(ISBLANK(Actuals!CX28),0*Escalation!$B$98,Actuals!CX28)</f>
        <v>0</v>
      </c>
      <c r="CX118" s="14" t="n">
        <f aca="false">IF(ISBLANK(Actuals!CY28),0*Escalation!$B$99,Actuals!CY28)</f>
        <v>0</v>
      </c>
      <c r="CY118" s="14" t="n">
        <f aca="false">IF(ISBLANK(Actuals!CZ28),0*Escalation!$B$100,Actuals!CZ28)</f>
        <v>0</v>
      </c>
      <c r="CZ118" s="14" t="n">
        <f aca="false">IF(ISBLANK(Actuals!DA28),0*Escalation!$B$101,Actuals!DA28)</f>
        <v>0</v>
      </c>
      <c r="DA118" s="14" t="n">
        <f aca="false">IF(ISBLANK(Actuals!DB28),0*Escalation!$B$102,Actuals!DB28)</f>
        <v>0</v>
      </c>
      <c r="DB118" s="14" t="n">
        <f aca="false">IF(ISBLANK(Actuals!DC28),0*Escalation!$B$103,Actuals!DC28)</f>
        <v>0</v>
      </c>
      <c r="DC118" s="14" t="n">
        <f aca="false">IF(ISBLANK(Actuals!DD28),0*Escalation!$B$104,Actuals!DD28)</f>
        <v>0</v>
      </c>
      <c r="DD118" s="14" t="n">
        <f aca="false">IF(ISBLANK(Actuals!DE28),0*Escalation!$B$105,Actuals!DE28)</f>
        <v>0</v>
      </c>
      <c r="DE118" s="14" t="n">
        <f aca="false">IF(ISBLANK(Actuals!DF28),0*Escalation!$B$106,Actuals!DF28)</f>
        <v>0</v>
      </c>
    </row>
    <row r="119" customFormat="false" ht="15" hidden="false" customHeight="true" outlineLevel="0" collapsed="false">
      <c r="A119" s="29" t="s">
        <v>68</v>
      </c>
      <c r="B119" s="14" t="n">
        <f aca="false">IF(ISBLANK(Actuals!C29),0,Actuals!C29)</f>
        <v>-10400</v>
      </c>
      <c r="C119" s="14" t="n">
        <f aca="false">IF(ISBLANK(Actuals!D29),0,Actuals!D29)</f>
        <v>-10400</v>
      </c>
      <c r="D119" s="14" t="n">
        <f aca="false">IF(ISBLANK(Actuals!E29),0,Actuals!E29)</f>
        <v>-400</v>
      </c>
      <c r="E119" s="14" t="n">
        <f aca="false">IF(ISBLANK(Actuals!F29),-10400*Escalation!$B$2,Actuals!F29)</f>
        <v>-10400</v>
      </c>
      <c r="F119" s="14" t="n">
        <f aca="false">IF(ISBLANK(Actuals!G29),-10400*Escalation!$B$3,Actuals!G29)</f>
        <v>-20400</v>
      </c>
      <c r="G119" s="14" t="n">
        <f aca="false">IF(ISBLANK(Actuals!H29),-10400*Escalation!$B$4,Actuals!H29)</f>
        <v>-20405</v>
      </c>
      <c r="H119" s="14" t="n">
        <f aca="false">IF(ISBLANK(Actuals!I29),-10400*Escalation!$B$5,Actuals!I29)</f>
        <v>-10400</v>
      </c>
      <c r="I119" s="14" t="n">
        <f aca="false">IF(ISBLANK(Actuals!J29),-10400*Escalation!$B$6,Actuals!J29)</f>
        <v>-10400</v>
      </c>
      <c r="J119" s="14" t="n">
        <f aca="false">IF(ISBLANK(Actuals!K29),-10400*Escalation!$B$7,Actuals!K29)</f>
        <v>-10400</v>
      </c>
      <c r="K119" s="14" t="n">
        <f aca="false">IF(ISBLANK(Actuals!L29),-10400*Escalation!$B$8,Actuals!L29)</f>
        <v>-10400</v>
      </c>
      <c r="L119" s="14" t="n">
        <f aca="false">IF(ISBLANK(Actuals!M29),-10400*Escalation!$B$9,Actuals!M29)</f>
        <v>-10400</v>
      </c>
      <c r="M119" s="14" t="n">
        <f aca="false">IF(ISBLANK(Actuals!N29),-10400*Escalation!$B$10,Actuals!N29)</f>
        <v>-10400</v>
      </c>
      <c r="N119" s="14" t="n">
        <f aca="false">IF(ISBLANK(Actuals!O29),-10400*Escalation!$B$11,Actuals!O29)</f>
        <v>-10400</v>
      </c>
      <c r="O119" s="14" t="n">
        <f aca="false">IF(ISBLANK(Actuals!P29),-10400*Escalation!$B$12,Actuals!P29)</f>
        <v>-10400</v>
      </c>
      <c r="P119" s="14" t="n">
        <f aca="false">IF(ISBLANK(Actuals!Q29),-10400*Escalation!$B$13,Actuals!Q29)</f>
        <v>-10400</v>
      </c>
      <c r="Q119" s="14" t="n">
        <f aca="false">IF(ISBLANK(Actuals!R29),-10400*Escalation!$B$14,Actuals!R29)</f>
        <v>-10608</v>
      </c>
      <c r="R119" s="14" t="n">
        <f aca="false">IF(ISBLANK(Actuals!S29),-10400*Escalation!$B$15,Actuals!S29)</f>
        <v>-10608</v>
      </c>
      <c r="S119" s="14" t="n">
        <f aca="false">IF(ISBLANK(Actuals!T29),-10400*Escalation!$B$16,Actuals!T29)</f>
        <v>-10608</v>
      </c>
      <c r="T119" s="14" t="n">
        <f aca="false">IF(ISBLANK(Actuals!U29),-10400*Escalation!$B$17,Actuals!U29)</f>
        <v>-10608</v>
      </c>
      <c r="U119" s="14" t="n">
        <f aca="false">IF(ISBLANK(Actuals!V29),-10400*Escalation!$B$18,Actuals!V29)</f>
        <v>-10608</v>
      </c>
      <c r="V119" s="14" t="n">
        <f aca="false">IF(ISBLANK(Actuals!W29),-10400*Escalation!$B$19,Actuals!W29)</f>
        <v>-10608</v>
      </c>
      <c r="W119" s="14" t="n">
        <f aca="false">IF(ISBLANK(Actuals!X29),-10400*Escalation!$B$20,Actuals!X29)</f>
        <v>-10608</v>
      </c>
      <c r="X119" s="14" t="n">
        <f aca="false">IF(ISBLANK(Actuals!Y29),-10400*Escalation!$B$21,Actuals!Y29)</f>
        <v>-10608</v>
      </c>
      <c r="Y119" s="14" t="n">
        <f aca="false">IF(ISBLANK(Actuals!Z29),-10400*Escalation!$B$22,Actuals!Z29)</f>
        <v>-10608</v>
      </c>
      <c r="Z119" s="14" t="n">
        <f aca="false">IF(ISBLANK(Actuals!AA29),-10400*Escalation!$B$23,Actuals!AA29)</f>
        <v>-10608</v>
      </c>
      <c r="AA119" s="14" t="n">
        <f aca="false">IF(ISBLANK(Actuals!AB29),-10400*Escalation!$B$24,Actuals!AB29)</f>
        <v>-10608</v>
      </c>
      <c r="AB119" s="14" t="n">
        <f aca="false">IF(ISBLANK(Actuals!AC29),-10400*Escalation!$B$25,Actuals!AC29)</f>
        <v>-10608</v>
      </c>
      <c r="AC119" s="14" t="n">
        <f aca="false">IF(ISBLANK(Actuals!AD29),-10400*Escalation!$B$26,Actuals!AD29)</f>
        <v>-10820.16</v>
      </c>
      <c r="AD119" s="14" t="n">
        <f aca="false">IF(ISBLANK(Actuals!AE29),-10400*Escalation!$B$27,Actuals!AE29)</f>
        <v>-10820.16</v>
      </c>
      <c r="AE119" s="14" t="n">
        <f aca="false">IF(ISBLANK(Actuals!AF29),-10400*Escalation!$B$28,Actuals!AF29)</f>
        <v>-10820.16</v>
      </c>
      <c r="AF119" s="14" t="n">
        <f aca="false">IF(ISBLANK(Actuals!AG29),-10400*Escalation!$B$29,Actuals!AG29)</f>
        <v>-10820.16</v>
      </c>
      <c r="AG119" s="14" t="n">
        <f aca="false">IF(ISBLANK(Actuals!AH29),-10400*Escalation!$B$30,Actuals!AH29)</f>
        <v>-10820.16</v>
      </c>
      <c r="AH119" s="14" t="n">
        <f aca="false">IF(ISBLANK(Actuals!AI29),-10400*Escalation!$B$31,Actuals!AI29)</f>
        <v>-10820.16</v>
      </c>
      <c r="AI119" s="14" t="n">
        <f aca="false">IF(ISBLANK(Actuals!AJ29),-10400*Escalation!$B$32,Actuals!AJ29)</f>
        <v>-10820.16</v>
      </c>
      <c r="AJ119" s="14" t="n">
        <f aca="false">IF(ISBLANK(Actuals!AK29),-10400*Escalation!$B$33,Actuals!AK29)</f>
        <v>-10820.16</v>
      </c>
      <c r="AK119" s="14" t="n">
        <f aca="false">IF(ISBLANK(Actuals!AL29),-10400*Escalation!$B$34,Actuals!AL29)</f>
        <v>-10820.16</v>
      </c>
      <c r="AL119" s="14" t="n">
        <f aca="false">IF(ISBLANK(Actuals!AM29),-10400*Escalation!$B$35,Actuals!AM29)</f>
        <v>-10820.16</v>
      </c>
      <c r="AM119" s="14" t="n">
        <f aca="false">IF(ISBLANK(Actuals!AN29),-10400*Escalation!$B$36,Actuals!AN29)</f>
        <v>-10820.16</v>
      </c>
      <c r="AN119" s="14" t="n">
        <f aca="false">IF(ISBLANK(Actuals!AO29),-10400*Escalation!$B$37,Actuals!AO29)</f>
        <v>-10820.16</v>
      </c>
      <c r="AO119" s="14" t="n">
        <f aca="false">IF(ISBLANK(Actuals!AP29),-10400*Escalation!$B$38,Actuals!AP29)</f>
        <v>-11036.5632</v>
      </c>
      <c r="AP119" s="14" t="n">
        <f aca="false">IF(ISBLANK(Actuals!AQ29),-10400*Escalation!$B$39,Actuals!AQ29)</f>
        <v>-11036.5632</v>
      </c>
      <c r="AQ119" s="14" t="n">
        <f aca="false">IF(ISBLANK(Actuals!AR29),-10400*Escalation!$B$40,Actuals!AR29)</f>
        <v>-11036.5632</v>
      </c>
      <c r="AR119" s="14" t="n">
        <f aca="false">IF(ISBLANK(Actuals!AS29),-10400*Escalation!$B$41,Actuals!AS29)</f>
        <v>-11036.5632</v>
      </c>
      <c r="AS119" s="14" t="n">
        <f aca="false">IF(ISBLANK(Actuals!AT29),-10400*Escalation!$B$42,Actuals!AT29)</f>
        <v>-11036.5632</v>
      </c>
      <c r="AT119" s="14" t="n">
        <f aca="false">IF(ISBLANK(Actuals!AU29),-10400*Escalation!$B$43,Actuals!AU29)</f>
        <v>-11036.5632</v>
      </c>
      <c r="AU119" s="14" t="n">
        <f aca="false">IF(ISBLANK(Actuals!AV29),-10400*Escalation!$B$44,Actuals!AV29)</f>
        <v>-11036.5632</v>
      </c>
      <c r="AV119" s="14" t="n">
        <f aca="false">IF(ISBLANK(Actuals!AW29),-10400*Escalation!$B$45,Actuals!AW29)</f>
        <v>-11036.5632</v>
      </c>
      <c r="AW119" s="14" t="n">
        <f aca="false">IF(ISBLANK(Actuals!AX29),-10400*Escalation!$B$46,Actuals!AX29)</f>
        <v>-11036.5632</v>
      </c>
      <c r="AX119" s="14" t="n">
        <f aca="false">IF(ISBLANK(Actuals!AY29),-10400*Escalation!$B$47,Actuals!AY29)</f>
        <v>-11036.5632</v>
      </c>
      <c r="AY119" s="14" t="n">
        <f aca="false">IF(ISBLANK(Actuals!AZ29),-10400*Escalation!$B$48,Actuals!AZ29)</f>
        <v>-11036.5632</v>
      </c>
      <c r="AZ119" s="14" t="n">
        <f aca="false">IF(ISBLANK(Actuals!BA29),-10400*Escalation!$B$49,Actuals!BA29)</f>
        <v>-11036.5632</v>
      </c>
      <c r="BA119" s="14" t="n">
        <f aca="false">IF(ISBLANK(Actuals!BB29),-10400*Escalation!$B$50,Actuals!BB29)</f>
        <v>-11257.294464</v>
      </c>
      <c r="BB119" s="14" t="n">
        <f aca="false">IF(ISBLANK(Actuals!BC29),-10400*Escalation!$B$51,Actuals!BC29)</f>
        <v>-11257.294464</v>
      </c>
      <c r="BC119" s="14" t="n">
        <f aca="false">IF(ISBLANK(Actuals!BD29),-10400*Escalation!$B$52,Actuals!BD29)</f>
        <v>-11257.294464</v>
      </c>
      <c r="BD119" s="14" t="n">
        <f aca="false">IF(ISBLANK(Actuals!BE29),-10400*Escalation!$B$53,Actuals!BE29)</f>
        <v>-11257.294464</v>
      </c>
      <c r="BE119" s="14" t="n">
        <f aca="false">IF(ISBLANK(Actuals!BF29),-10400*Escalation!$B$54,Actuals!BF29)</f>
        <v>-11257.294464</v>
      </c>
      <c r="BF119" s="14" t="n">
        <f aca="false">IF(ISBLANK(Actuals!BG29),-10400*Escalation!$B$55,Actuals!BG29)</f>
        <v>-11257.294464</v>
      </c>
      <c r="BG119" s="14" t="n">
        <f aca="false">IF(ISBLANK(Actuals!BH29),-10400*Escalation!$B$56,Actuals!BH29)</f>
        <v>-11257.294464</v>
      </c>
      <c r="BH119" s="14" t="n">
        <f aca="false">IF(ISBLANK(Actuals!BI29),-10400*Escalation!$B$57,Actuals!BI29)</f>
        <v>-11257.294464</v>
      </c>
      <c r="BI119" s="14" t="n">
        <f aca="false">IF(ISBLANK(Actuals!BJ29),-10400*Escalation!$B$58,Actuals!BJ29)</f>
        <v>-11257.294464</v>
      </c>
      <c r="BJ119" s="14" t="n">
        <f aca="false">IF(ISBLANK(Actuals!BK29),-10400*Escalation!$B$59,Actuals!BK29)</f>
        <v>-11257.294464</v>
      </c>
      <c r="BK119" s="14" t="n">
        <f aca="false">IF(ISBLANK(Actuals!BL29),-10400*Escalation!$B$60,Actuals!BL29)</f>
        <v>-11257.294464</v>
      </c>
      <c r="BL119" s="14" t="n">
        <f aca="false">IF(ISBLANK(Actuals!BM29),-10400*Escalation!$B$61,Actuals!BM29)</f>
        <v>-11257.294464</v>
      </c>
      <c r="BM119" s="14" t="n">
        <f aca="false">IF(ISBLANK(Actuals!BN29),-10400*Escalation!$B$62,Actuals!BN29)</f>
        <v>-11482.44035328</v>
      </c>
      <c r="BN119" s="14" t="n">
        <f aca="false">IF(ISBLANK(Actuals!BO29),-10400*Escalation!$B$63,Actuals!BO29)</f>
        <v>-11482.44035328</v>
      </c>
      <c r="BO119" s="14" t="n">
        <f aca="false">IF(ISBLANK(Actuals!BP29),-10400*Escalation!$B$64,Actuals!BP29)</f>
        <v>-11482.44035328</v>
      </c>
      <c r="BP119" s="14" t="n">
        <f aca="false">IF(ISBLANK(Actuals!BQ29),-10400*Escalation!$B$65,Actuals!BQ29)</f>
        <v>-11482.44035328</v>
      </c>
      <c r="BQ119" s="14" t="n">
        <f aca="false">IF(ISBLANK(Actuals!BR29),-10400*Escalation!$B$66,Actuals!BR29)</f>
        <v>-11482.44035328</v>
      </c>
      <c r="BR119" s="14" t="n">
        <f aca="false">IF(ISBLANK(Actuals!BS29),-10400*Escalation!$B$67,Actuals!BS29)</f>
        <v>-11482.44035328</v>
      </c>
      <c r="BS119" s="14" t="n">
        <f aca="false">IF(ISBLANK(Actuals!BT29),-10400*Escalation!$B$68,Actuals!BT29)</f>
        <v>-11482.44035328</v>
      </c>
      <c r="BT119" s="14" t="n">
        <f aca="false">IF(ISBLANK(Actuals!BU29),-10400*Escalation!$B$69,Actuals!BU29)</f>
        <v>-11482.44035328</v>
      </c>
      <c r="BU119" s="14" t="n">
        <f aca="false">IF(ISBLANK(Actuals!BV29),-10400*Escalation!$B$70,Actuals!BV29)</f>
        <v>-11482.44035328</v>
      </c>
      <c r="BV119" s="14" t="n">
        <f aca="false">IF(ISBLANK(Actuals!BW29),-10400*Escalation!$B$71,Actuals!BW29)</f>
        <v>-11482.44035328</v>
      </c>
      <c r="BW119" s="14" t="n">
        <f aca="false">IF(ISBLANK(Actuals!BX29),-10400*Escalation!$B$72,Actuals!BX29)</f>
        <v>-11482.44035328</v>
      </c>
      <c r="BX119" s="14" t="n">
        <f aca="false">IF(ISBLANK(Actuals!BY29),-10400*Escalation!$B$73,Actuals!BY29)</f>
        <v>-11482.44035328</v>
      </c>
      <c r="BY119" s="14" t="n">
        <f aca="false">IF(ISBLANK(Actuals!BZ29),-10400*Escalation!$B$74,Actuals!BZ29)</f>
        <v>-11712.0891603456</v>
      </c>
      <c r="BZ119" s="14" t="n">
        <f aca="false">IF(ISBLANK(Actuals!CA29),-10400*Escalation!$B$75,Actuals!CA29)</f>
        <v>-11712.0891603456</v>
      </c>
      <c r="CA119" s="14" t="n">
        <f aca="false">IF(ISBLANK(Actuals!CB29),-10400*Escalation!$B$76,Actuals!CB29)</f>
        <v>-11712.0891603456</v>
      </c>
      <c r="CB119" s="14" t="n">
        <f aca="false">IF(ISBLANK(Actuals!CC29),-10400*Escalation!$B$77,Actuals!CC29)</f>
        <v>-11712.0891603456</v>
      </c>
      <c r="CC119" s="14" t="n">
        <f aca="false">IF(ISBLANK(Actuals!CD29),-10400*Escalation!$B$78,Actuals!CD29)</f>
        <v>-11712.0891603456</v>
      </c>
      <c r="CD119" s="14" t="n">
        <f aca="false">IF(ISBLANK(Actuals!CE29),-10400*Escalation!$B$79,Actuals!CE29)</f>
        <v>-11712.0891603456</v>
      </c>
      <c r="CE119" s="14" t="n">
        <f aca="false">IF(ISBLANK(Actuals!CF29),-10400*Escalation!$B$80,Actuals!CF29)</f>
        <v>-11712.0891603456</v>
      </c>
      <c r="CF119" s="14" t="n">
        <f aca="false">IF(ISBLANK(Actuals!CG29),-10400*Escalation!$B$81,Actuals!CG29)</f>
        <v>-11712.0891603456</v>
      </c>
      <c r="CG119" s="14" t="n">
        <f aca="false">IF(ISBLANK(Actuals!CH29),-10400*Escalation!$B$82,Actuals!CH29)</f>
        <v>-11712.0891603456</v>
      </c>
      <c r="CH119" s="14" t="n">
        <f aca="false">IF(ISBLANK(Actuals!CI29),-10400*Escalation!$B$83,Actuals!CI29)</f>
        <v>-11712.0891603456</v>
      </c>
      <c r="CI119" s="14" t="n">
        <f aca="false">IF(ISBLANK(Actuals!CJ29),-10400*Escalation!$B$84,Actuals!CJ29)</f>
        <v>-11712.0891603456</v>
      </c>
      <c r="CJ119" s="14" t="n">
        <f aca="false">IF(ISBLANK(Actuals!CK29),-10400*Escalation!$B$85,Actuals!CK29)</f>
        <v>-11712.0891603456</v>
      </c>
      <c r="CK119" s="14" t="n">
        <f aca="false">IF(ISBLANK(Actuals!CL29),-10400*Escalation!$B$86,Actuals!CL29)</f>
        <v>-11946.3309435525</v>
      </c>
      <c r="CL119" s="14" t="n">
        <f aca="false">IF(ISBLANK(Actuals!CM29),-10400*Escalation!$B$87,Actuals!CM29)</f>
        <v>-11946.3309435525</v>
      </c>
      <c r="CM119" s="14" t="n">
        <f aca="false">IF(ISBLANK(Actuals!CN29),-10400*Escalation!$B$88,Actuals!CN29)</f>
        <v>-11946.3309435525</v>
      </c>
      <c r="CN119" s="14" t="n">
        <f aca="false">IF(ISBLANK(Actuals!CO29),-10400*Escalation!$B$89,Actuals!CO29)</f>
        <v>-11946.3309435525</v>
      </c>
      <c r="CO119" s="14" t="n">
        <f aca="false">IF(ISBLANK(Actuals!CP29),-10400*Escalation!$B$90,Actuals!CP29)</f>
        <v>-11946.3309435525</v>
      </c>
      <c r="CP119" s="14" t="n">
        <f aca="false">IF(ISBLANK(Actuals!CQ29),-10400*Escalation!$B$91,Actuals!CQ29)</f>
        <v>-11946.3309435525</v>
      </c>
      <c r="CQ119" s="14" t="n">
        <f aca="false">IF(ISBLANK(Actuals!CR29),-10400*Escalation!$B$92,Actuals!CR29)</f>
        <v>-11946.3309435525</v>
      </c>
      <c r="CR119" s="14" t="n">
        <f aca="false">IF(ISBLANK(Actuals!CS29),-10400*Escalation!$B$93,Actuals!CS29)</f>
        <v>-11946.3309435525</v>
      </c>
      <c r="CS119" s="14" t="n">
        <f aca="false">IF(ISBLANK(Actuals!CT29),-10400*Escalation!$B$94,Actuals!CT29)</f>
        <v>-11946.3309435525</v>
      </c>
      <c r="CT119" s="14" t="n">
        <f aca="false">IF(ISBLANK(Actuals!CU29),-10400*Escalation!$B$95,Actuals!CU29)</f>
        <v>-11946.3309435525</v>
      </c>
      <c r="CU119" s="14" t="n">
        <f aca="false">IF(ISBLANK(Actuals!CV29),-10400*Escalation!$B$96,Actuals!CV29)</f>
        <v>-11946.3309435525</v>
      </c>
      <c r="CV119" s="14" t="n">
        <f aca="false">IF(ISBLANK(Actuals!CW29),-10400*Escalation!$B$97,Actuals!CW29)</f>
        <v>-11946.3309435525</v>
      </c>
      <c r="CW119" s="14" t="n">
        <f aca="false">IF(ISBLANK(Actuals!CX29),-10400*Escalation!$B$98,Actuals!CX29)</f>
        <v>-12185.2575624236</v>
      </c>
      <c r="CX119" s="14" t="n">
        <f aca="false">IF(ISBLANK(Actuals!CY29),-10400*Escalation!$B$99,Actuals!CY29)</f>
        <v>-12185.2575624236</v>
      </c>
      <c r="CY119" s="14" t="n">
        <f aca="false">IF(ISBLANK(Actuals!CZ29),-10400*Escalation!$B$100,Actuals!CZ29)</f>
        <v>-12185.2575624236</v>
      </c>
      <c r="CZ119" s="14" t="n">
        <f aca="false">IF(ISBLANK(Actuals!DA29),-10400*Escalation!$B$101,Actuals!DA29)</f>
        <v>-12185.2575624236</v>
      </c>
      <c r="DA119" s="14" t="n">
        <f aca="false">IF(ISBLANK(Actuals!DB29),-10400*Escalation!$B$102,Actuals!DB29)</f>
        <v>-12185.2575624236</v>
      </c>
      <c r="DB119" s="14" t="n">
        <f aca="false">IF(ISBLANK(Actuals!DC29),-10400*Escalation!$B$103,Actuals!DC29)</f>
        <v>-12185.2575624236</v>
      </c>
      <c r="DC119" s="14" t="n">
        <f aca="false">IF(ISBLANK(Actuals!DD29),-10400*Escalation!$B$104,Actuals!DD29)</f>
        <v>-12185.2575624236</v>
      </c>
      <c r="DD119" s="14" t="n">
        <f aca="false">IF(ISBLANK(Actuals!DE29),-10400*Escalation!$B$105,Actuals!DE29)</f>
        <v>-12185.2575624236</v>
      </c>
      <c r="DE119" s="14" t="n">
        <f aca="false">IF(ISBLANK(Actuals!DF29),-10400*Escalation!$B$106,Actuals!DF29)</f>
        <v>-12185.2575624236</v>
      </c>
    </row>
    <row r="120" customFormat="false" ht="15" hidden="false" customHeight="true" outlineLevel="0" collapsed="false">
      <c r="A120" s="29" t="s">
        <v>69</v>
      </c>
      <c r="B120" s="14" t="n">
        <f aca="false">IF(ISBLANK(Actuals!C30),0,Actuals!C30)</f>
        <v>-1988</v>
      </c>
      <c r="C120" s="14" t="n">
        <f aca="false">IF(ISBLANK(Actuals!D30),0,Actuals!D30)</f>
        <v>-955.32</v>
      </c>
      <c r="D120" s="14" t="n">
        <f aca="false">IF(ISBLANK(Actuals!E30),0,Actuals!E30)</f>
        <v>-9130.61</v>
      </c>
      <c r="E120" s="14" t="n">
        <f aca="false">IF(ISBLANK(Actuals!F30),-4024.64*Escalation!$B$2,Actuals!F30)</f>
        <v>-1028.89</v>
      </c>
      <c r="F120" s="14" t="n">
        <f aca="false">IF(ISBLANK(Actuals!G30),-4024.64*Escalation!$B$3,Actuals!G30)</f>
        <v>-7005.14</v>
      </c>
      <c r="G120" s="14" t="n">
        <f aca="false">IF(ISBLANK(Actuals!H30),-4024.64*Escalation!$B$4,Actuals!H30)</f>
        <v>-4121.06</v>
      </c>
      <c r="H120" s="14" t="n">
        <f aca="false">IF(ISBLANK(Actuals!I30),-4024.64*Escalation!$B$5,Actuals!I30)</f>
        <v>-4024.64</v>
      </c>
      <c r="I120" s="14" t="n">
        <f aca="false">IF(ISBLANK(Actuals!J30),-4024.64*Escalation!$B$6,Actuals!J30)</f>
        <v>-4024.64</v>
      </c>
      <c r="J120" s="14" t="n">
        <f aca="false">IF(ISBLANK(Actuals!K30),-4024.64*Escalation!$B$7,Actuals!K30)</f>
        <v>-4024.64</v>
      </c>
      <c r="K120" s="14" t="n">
        <f aca="false">IF(ISBLANK(Actuals!L30),-4024.64*Escalation!$B$8,Actuals!L30)</f>
        <v>-4024.64</v>
      </c>
      <c r="L120" s="14" t="n">
        <f aca="false">IF(ISBLANK(Actuals!M30),-4024.64*Escalation!$B$9,Actuals!M30)</f>
        <v>-4024.64</v>
      </c>
      <c r="M120" s="14" t="n">
        <f aca="false">IF(ISBLANK(Actuals!N30),-4024.64*Escalation!$B$10,Actuals!N30)</f>
        <v>-4024.64</v>
      </c>
      <c r="N120" s="14" t="n">
        <f aca="false">IF(ISBLANK(Actuals!O30),-4024.64*Escalation!$B$11,Actuals!O30)</f>
        <v>-4024.64</v>
      </c>
      <c r="O120" s="14" t="n">
        <f aca="false">IF(ISBLANK(Actuals!P30),-4024.64*Escalation!$B$12,Actuals!P30)</f>
        <v>-4024.64</v>
      </c>
      <c r="P120" s="14" t="n">
        <f aca="false">IF(ISBLANK(Actuals!Q30),-4024.64*Escalation!$B$13,Actuals!Q30)</f>
        <v>-4024.64</v>
      </c>
      <c r="Q120" s="14" t="n">
        <f aca="false">IF(ISBLANK(Actuals!R30),-4024.64*Escalation!$B$14,Actuals!R30)</f>
        <v>-4105.1328</v>
      </c>
      <c r="R120" s="14" t="n">
        <f aca="false">IF(ISBLANK(Actuals!S30),-4024.64*Escalation!$B$15,Actuals!S30)</f>
        <v>-4105.1328</v>
      </c>
      <c r="S120" s="14" t="n">
        <f aca="false">IF(ISBLANK(Actuals!T30),-4024.64*Escalation!$B$16,Actuals!T30)</f>
        <v>-4105.1328</v>
      </c>
      <c r="T120" s="14" t="n">
        <f aca="false">IF(ISBLANK(Actuals!U30),-4024.64*Escalation!$B$17,Actuals!U30)</f>
        <v>-4105.1328</v>
      </c>
      <c r="U120" s="14" t="n">
        <f aca="false">IF(ISBLANK(Actuals!V30),-4024.64*Escalation!$B$18,Actuals!V30)</f>
        <v>-4105.1328</v>
      </c>
      <c r="V120" s="14" t="n">
        <f aca="false">IF(ISBLANK(Actuals!W30),-4024.64*Escalation!$B$19,Actuals!W30)</f>
        <v>-4105.1328</v>
      </c>
      <c r="W120" s="14" t="n">
        <f aca="false">IF(ISBLANK(Actuals!X30),-4024.64*Escalation!$B$20,Actuals!X30)</f>
        <v>-4105.1328</v>
      </c>
      <c r="X120" s="14" t="n">
        <f aca="false">IF(ISBLANK(Actuals!Y30),-4024.64*Escalation!$B$21,Actuals!Y30)</f>
        <v>-4105.1328</v>
      </c>
      <c r="Y120" s="14" t="n">
        <f aca="false">IF(ISBLANK(Actuals!Z30),-4024.64*Escalation!$B$22,Actuals!Z30)</f>
        <v>-4105.1328</v>
      </c>
      <c r="Z120" s="14" t="n">
        <f aca="false">IF(ISBLANK(Actuals!AA30),-4024.64*Escalation!$B$23,Actuals!AA30)</f>
        <v>-4105.1328</v>
      </c>
      <c r="AA120" s="14" t="n">
        <f aca="false">IF(ISBLANK(Actuals!AB30),-4024.64*Escalation!$B$24,Actuals!AB30)</f>
        <v>-4105.1328</v>
      </c>
      <c r="AB120" s="14" t="n">
        <f aca="false">IF(ISBLANK(Actuals!AC30),-4024.64*Escalation!$B$25,Actuals!AC30)</f>
        <v>-4105.1328</v>
      </c>
      <c r="AC120" s="14" t="n">
        <f aca="false">IF(ISBLANK(Actuals!AD30),-4024.64*Escalation!$B$26,Actuals!AD30)</f>
        <v>-4187.235456</v>
      </c>
      <c r="AD120" s="14" t="n">
        <f aca="false">IF(ISBLANK(Actuals!AE30),-4024.64*Escalation!$B$27,Actuals!AE30)</f>
        <v>-4187.235456</v>
      </c>
      <c r="AE120" s="14" t="n">
        <f aca="false">IF(ISBLANK(Actuals!AF30),-4024.64*Escalation!$B$28,Actuals!AF30)</f>
        <v>-4187.235456</v>
      </c>
      <c r="AF120" s="14" t="n">
        <f aca="false">IF(ISBLANK(Actuals!AG30),-4024.64*Escalation!$B$29,Actuals!AG30)</f>
        <v>-4187.235456</v>
      </c>
      <c r="AG120" s="14" t="n">
        <f aca="false">IF(ISBLANK(Actuals!AH30),-4024.64*Escalation!$B$30,Actuals!AH30)</f>
        <v>-4187.235456</v>
      </c>
      <c r="AH120" s="14" t="n">
        <f aca="false">IF(ISBLANK(Actuals!AI30),-4024.64*Escalation!$B$31,Actuals!AI30)</f>
        <v>-4187.235456</v>
      </c>
      <c r="AI120" s="14" t="n">
        <f aca="false">IF(ISBLANK(Actuals!AJ30),-4024.64*Escalation!$B$32,Actuals!AJ30)</f>
        <v>-4187.235456</v>
      </c>
      <c r="AJ120" s="14" t="n">
        <f aca="false">IF(ISBLANK(Actuals!AK30),-4024.64*Escalation!$B$33,Actuals!AK30)</f>
        <v>-4187.235456</v>
      </c>
      <c r="AK120" s="14" t="n">
        <f aca="false">IF(ISBLANK(Actuals!AL30),-4024.64*Escalation!$B$34,Actuals!AL30)</f>
        <v>-4187.235456</v>
      </c>
      <c r="AL120" s="14" t="n">
        <f aca="false">IF(ISBLANK(Actuals!AM30),-4024.64*Escalation!$B$35,Actuals!AM30)</f>
        <v>-4187.235456</v>
      </c>
      <c r="AM120" s="14" t="n">
        <f aca="false">IF(ISBLANK(Actuals!AN30),-4024.64*Escalation!$B$36,Actuals!AN30)</f>
        <v>-4187.235456</v>
      </c>
      <c r="AN120" s="14" t="n">
        <f aca="false">IF(ISBLANK(Actuals!AO30),-4024.64*Escalation!$B$37,Actuals!AO30)</f>
        <v>-4187.235456</v>
      </c>
      <c r="AO120" s="14" t="n">
        <f aca="false">IF(ISBLANK(Actuals!AP30),-4024.64*Escalation!$B$38,Actuals!AP30)</f>
        <v>-4270.98016512</v>
      </c>
      <c r="AP120" s="14" t="n">
        <f aca="false">IF(ISBLANK(Actuals!AQ30),-4024.64*Escalation!$B$39,Actuals!AQ30)</f>
        <v>-4270.98016512</v>
      </c>
      <c r="AQ120" s="14" t="n">
        <f aca="false">IF(ISBLANK(Actuals!AR30),-4024.64*Escalation!$B$40,Actuals!AR30)</f>
        <v>-4270.98016512</v>
      </c>
      <c r="AR120" s="14" t="n">
        <f aca="false">IF(ISBLANK(Actuals!AS30),-4024.64*Escalation!$B$41,Actuals!AS30)</f>
        <v>-4270.98016512</v>
      </c>
      <c r="AS120" s="14" t="n">
        <f aca="false">IF(ISBLANK(Actuals!AT30),-4024.64*Escalation!$B$42,Actuals!AT30)</f>
        <v>-4270.98016512</v>
      </c>
      <c r="AT120" s="14" t="n">
        <f aca="false">IF(ISBLANK(Actuals!AU30),-4024.64*Escalation!$B$43,Actuals!AU30)</f>
        <v>-4270.98016512</v>
      </c>
      <c r="AU120" s="14" t="n">
        <f aca="false">IF(ISBLANK(Actuals!AV30),-4024.64*Escalation!$B$44,Actuals!AV30)</f>
        <v>-4270.98016512</v>
      </c>
      <c r="AV120" s="14" t="n">
        <f aca="false">IF(ISBLANK(Actuals!AW30),-4024.64*Escalation!$B$45,Actuals!AW30)</f>
        <v>-4270.98016512</v>
      </c>
      <c r="AW120" s="14" t="n">
        <f aca="false">IF(ISBLANK(Actuals!AX30),-4024.64*Escalation!$B$46,Actuals!AX30)</f>
        <v>-4270.98016512</v>
      </c>
      <c r="AX120" s="14" t="n">
        <f aca="false">IF(ISBLANK(Actuals!AY30),-4024.64*Escalation!$B$47,Actuals!AY30)</f>
        <v>-4270.98016512</v>
      </c>
      <c r="AY120" s="14" t="n">
        <f aca="false">IF(ISBLANK(Actuals!AZ30),-4024.64*Escalation!$B$48,Actuals!AZ30)</f>
        <v>-4270.98016512</v>
      </c>
      <c r="AZ120" s="14" t="n">
        <f aca="false">IF(ISBLANK(Actuals!BA30),-4024.64*Escalation!$B$49,Actuals!BA30)</f>
        <v>-4270.98016512</v>
      </c>
      <c r="BA120" s="14" t="n">
        <f aca="false">IF(ISBLANK(Actuals!BB30),-4024.64*Escalation!$B$50,Actuals!BB30)</f>
        <v>-4356.3997684224</v>
      </c>
      <c r="BB120" s="14" t="n">
        <f aca="false">IF(ISBLANK(Actuals!BC30),-4024.64*Escalation!$B$51,Actuals!BC30)</f>
        <v>-4356.3997684224</v>
      </c>
      <c r="BC120" s="14" t="n">
        <f aca="false">IF(ISBLANK(Actuals!BD30),-4024.64*Escalation!$B$52,Actuals!BD30)</f>
        <v>-4356.3997684224</v>
      </c>
      <c r="BD120" s="14" t="n">
        <f aca="false">IF(ISBLANK(Actuals!BE30),-4024.64*Escalation!$B$53,Actuals!BE30)</f>
        <v>-4356.3997684224</v>
      </c>
      <c r="BE120" s="14" t="n">
        <f aca="false">IF(ISBLANK(Actuals!BF30),-4024.64*Escalation!$B$54,Actuals!BF30)</f>
        <v>-4356.3997684224</v>
      </c>
      <c r="BF120" s="14" t="n">
        <f aca="false">IF(ISBLANK(Actuals!BG30),-4024.64*Escalation!$B$55,Actuals!BG30)</f>
        <v>-4356.3997684224</v>
      </c>
      <c r="BG120" s="14" t="n">
        <f aca="false">IF(ISBLANK(Actuals!BH30),-4024.64*Escalation!$B$56,Actuals!BH30)</f>
        <v>-4356.3997684224</v>
      </c>
      <c r="BH120" s="14" t="n">
        <f aca="false">IF(ISBLANK(Actuals!BI30),-4024.64*Escalation!$B$57,Actuals!BI30)</f>
        <v>-4356.3997684224</v>
      </c>
      <c r="BI120" s="14" t="n">
        <f aca="false">IF(ISBLANK(Actuals!BJ30),-4024.64*Escalation!$B$58,Actuals!BJ30)</f>
        <v>-4356.3997684224</v>
      </c>
      <c r="BJ120" s="14" t="n">
        <f aca="false">IF(ISBLANK(Actuals!BK30),-4024.64*Escalation!$B$59,Actuals!BK30)</f>
        <v>-4356.3997684224</v>
      </c>
      <c r="BK120" s="14" t="n">
        <f aca="false">IF(ISBLANK(Actuals!BL30),-4024.64*Escalation!$B$60,Actuals!BL30)</f>
        <v>-4356.3997684224</v>
      </c>
      <c r="BL120" s="14" t="n">
        <f aca="false">IF(ISBLANK(Actuals!BM30),-4024.64*Escalation!$B$61,Actuals!BM30)</f>
        <v>-4356.3997684224</v>
      </c>
      <c r="BM120" s="14" t="n">
        <f aca="false">IF(ISBLANK(Actuals!BN30),-4024.64*Escalation!$B$62,Actuals!BN30)</f>
        <v>-4443.52776379085</v>
      </c>
      <c r="BN120" s="14" t="n">
        <f aca="false">IF(ISBLANK(Actuals!BO30),-4024.64*Escalation!$B$63,Actuals!BO30)</f>
        <v>-4443.52776379085</v>
      </c>
      <c r="BO120" s="14" t="n">
        <f aca="false">IF(ISBLANK(Actuals!BP30),-4024.64*Escalation!$B$64,Actuals!BP30)</f>
        <v>-4443.52776379085</v>
      </c>
      <c r="BP120" s="14" t="n">
        <f aca="false">IF(ISBLANK(Actuals!BQ30),-4024.64*Escalation!$B$65,Actuals!BQ30)</f>
        <v>-4443.52776379085</v>
      </c>
      <c r="BQ120" s="14" t="n">
        <f aca="false">IF(ISBLANK(Actuals!BR30),-4024.64*Escalation!$B$66,Actuals!BR30)</f>
        <v>-4443.52776379085</v>
      </c>
      <c r="BR120" s="14" t="n">
        <f aca="false">IF(ISBLANK(Actuals!BS30),-4024.64*Escalation!$B$67,Actuals!BS30)</f>
        <v>-4443.52776379085</v>
      </c>
      <c r="BS120" s="14" t="n">
        <f aca="false">IF(ISBLANK(Actuals!BT30),-4024.64*Escalation!$B$68,Actuals!BT30)</f>
        <v>-4443.52776379085</v>
      </c>
      <c r="BT120" s="14" t="n">
        <f aca="false">IF(ISBLANK(Actuals!BU30),-4024.64*Escalation!$B$69,Actuals!BU30)</f>
        <v>-4443.52776379085</v>
      </c>
      <c r="BU120" s="14" t="n">
        <f aca="false">IF(ISBLANK(Actuals!BV30),-4024.64*Escalation!$B$70,Actuals!BV30)</f>
        <v>-4443.52776379085</v>
      </c>
      <c r="BV120" s="14" t="n">
        <f aca="false">IF(ISBLANK(Actuals!BW30),-4024.64*Escalation!$B$71,Actuals!BW30)</f>
        <v>-4443.52776379085</v>
      </c>
      <c r="BW120" s="14" t="n">
        <f aca="false">IF(ISBLANK(Actuals!BX30),-4024.64*Escalation!$B$72,Actuals!BX30)</f>
        <v>-4443.52776379085</v>
      </c>
      <c r="BX120" s="14" t="n">
        <f aca="false">IF(ISBLANK(Actuals!BY30),-4024.64*Escalation!$B$73,Actuals!BY30)</f>
        <v>-4443.52776379085</v>
      </c>
      <c r="BY120" s="14" t="n">
        <f aca="false">IF(ISBLANK(Actuals!BZ30),-4024.64*Escalation!$B$74,Actuals!BZ30)</f>
        <v>-4532.39831906667</v>
      </c>
      <c r="BZ120" s="14" t="n">
        <f aca="false">IF(ISBLANK(Actuals!CA30),-4024.64*Escalation!$B$75,Actuals!CA30)</f>
        <v>-4532.39831906667</v>
      </c>
      <c r="CA120" s="14" t="n">
        <f aca="false">IF(ISBLANK(Actuals!CB30),-4024.64*Escalation!$B$76,Actuals!CB30)</f>
        <v>-4532.39831906667</v>
      </c>
      <c r="CB120" s="14" t="n">
        <f aca="false">IF(ISBLANK(Actuals!CC30),-4024.64*Escalation!$B$77,Actuals!CC30)</f>
        <v>-4532.39831906667</v>
      </c>
      <c r="CC120" s="14" t="n">
        <f aca="false">IF(ISBLANK(Actuals!CD30),-4024.64*Escalation!$B$78,Actuals!CD30)</f>
        <v>-4532.39831906667</v>
      </c>
      <c r="CD120" s="14" t="n">
        <f aca="false">IF(ISBLANK(Actuals!CE30),-4024.64*Escalation!$B$79,Actuals!CE30)</f>
        <v>-4532.39831906667</v>
      </c>
      <c r="CE120" s="14" t="n">
        <f aca="false">IF(ISBLANK(Actuals!CF30),-4024.64*Escalation!$B$80,Actuals!CF30)</f>
        <v>-4532.39831906667</v>
      </c>
      <c r="CF120" s="14" t="n">
        <f aca="false">IF(ISBLANK(Actuals!CG30),-4024.64*Escalation!$B$81,Actuals!CG30)</f>
        <v>-4532.39831906667</v>
      </c>
      <c r="CG120" s="14" t="n">
        <f aca="false">IF(ISBLANK(Actuals!CH30),-4024.64*Escalation!$B$82,Actuals!CH30)</f>
        <v>-4532.39831906667</v>
      </c>
      <c r="CH120" s="14" t="n">
        <f aca="false">IF(ISBLANK(Actuals!CI30),-4024.64*Escalation!$B$83,Actuals!CI30)</f>
        <v>-4532.39831906667</v>
      </c>
      <c r="CI120" s="14" t="n">
        <f aca="false">IF(ISBLANK(Actuals!CJ30),-4024.64*Escalation!$B$84,Actuals!CJ30)</f>
        <v>-4532.39831906667</v>
      </c>
      <c r="CJ120" s="14" t="n">
        <f aca="false">IF(ISBLANK(Actuals!CK30),-4024.64*Escalation!$B$85,Actuals!CK30)</f>
        <v>-4532.39831906667</v>
      </c>
      <c r="CK120" s="14" t="n">
        <f aca="false">IF(ISBLANK(Actuals!CL30),-4024.64*Escalation!$B$86,Actuals!CL30)</f>
        <v>-4623.046285448</v>
      </c>
      <c r="CL120" s="14" t="n">
        <f aca="false">IF(ISBLANK(Actuals!CM30),-4024.64*Escalation!$B$87,Actuals!CM30)</f>
        <v>-4623.046285448</v>
      </c>
      <c r="CM120" s="14" t="n">
        <f aca="false">IF(ISBLANK(Actuals!CN30),-4024.64*Escalation!$B$88,Actuals!CN30)</f>
        <v>-4623.046285448</v>
      </c>
      <c r="CN120" s="14" t="n">
        <f aca="false">IF(ISBLANK(Actuals!CO30),-4024.64*Escalation!$B$89,Actuals!CO30)</f>
        <v>-4623.046285448</v>
      </c>
      <c r="CO120" s="14" t="n">
        <f aca="false">IF(ISBLANK(Actuals!CP30),-4024.64*Escalation!$B$90,Actuals!CP30)</f>
        <v>-4623.046285448</v>
      </c>
      <c r="CP120" s="14" t="n">
        <f aca="false">IF(ISBLANK(Actuals!CQ30),-4024.64*Escalation!$B$91,Actuals!CQ30)</f>
        <v>-4623.046285448</v>
      </c>
      <c r="CQ120" s="14" t="n">
        <f aca="false">IF(ISBLANK(Actuals!CR30),-4024.64*Escalation!$B$92,Actuals!CR30)</f>
        <v>-4623.046285448</v>
      </c>
      <c r="CR120" s="14" t="n">
        <f aca="false">IF(ISBLANK(Actuals!CS30),-4024.64*Escalation!$B$93,Actuals!CS30)</f>
        <v>-4623.046285448</v>
      </c>
      <c r="CS120" s="14" t="n">
        <f aca="false">IF(ISBLANK(Actuals!CT30),-4024.64*Escalation!$B$94,Actuals!CT30)</f>
        <v>-4623.046285448</v>
      </c>
      <c r="CT120" s="14" t="n">
        <f aca="false">IF(ISBLANK(Actuals!CU30),-4024.64*Escalation!$B$95,Actuals!CU30)</f>
        <v>-4623.046285448</v>
      </c>
      <c r="CU120" s="14" t="n">
        <f aca="false">IF(ISBLANK(Actuals!CV30),-4024.64*Escalation!$B$96,Actuals!CV30)</f>
        <v>-4623.046285448</v>
      </c>
      <c r="CV120" s="14" t="n">
        <f aca="false">IF(ISBLANK(Actuals!CW30),-4024.64*Escalation!$B$97,Actuals!CW30)</f>
        <v>-4623.046285448</v>
      </c>
      <c r="CW120" s="14" t="n">
        <f aca="false">IF(ISBLANK(Actuals!CX30),-4024.64*Escalation!$B$98,Actuals!CX30)</f>
        <v>-4715.50721115696</v>
      </c>
      <c r="CX120" s="14" t="n">
        <f aca="false">IF(ISBLANK(Actuals!CY30),-4024.64*Escalation!$B$99,Actuals!CY30)</f>
        <v>-4715.50721115696</v>
      </c>
      <c r="CY120" s="14" t="n">
        <f aca="false">IF(ISBLANK(Actuals!CZ30),-4024.64*Escalation!$B$100,Actuals!CZ30)</f>
        <v>-4715.50721115696</v>
      </c>
      <c r="CZ120" s="14" t="n">
        <f aca="false">IF(ISBLANK(Actuals!DA30),-4024.64*Escalation!$B$101,Actuals!DA30)</f>
        <v>-4715.50721115696</v>
      </c>
      <c r="DA120" s="14" t="n">
        <f aca="false">IF(ISBLANK(Actuals!DB30),-4024.64*Escalation!$B$102,Actuals!DB30)</f>
        <v>-4715.50721115696</v>
      </c>
      <c r="DB120" s="14" t="n">
        <f aca="false">IF(ISBLANK(Actuals!DC30),-4024.64*Escalation!$B$103,Actuals!DC30)</f>
        <v>-4715.50721115696</v>
      </c>
      <c r="DC120" s="14" t="n">
        <f aca="false">IF(ISBLANK(Actuals!DD30),-4024.64*Escalation!$B$104,Actuals!DD30)</f>
        <v>-4715.50721115696</v>
      </c>
      <c r="DD120" s="14" t="n">
        <f aca="false">IF(ISBLANK(Actuals!DE30),-4024.64*Escalation!$B$105,Actuals!DE30)</f>
        <v>-4715.50721115696</v>
      </c>
      <c r="DE120" s="14" t="n">
        <f aca="false">IF(ISBLANK(Actuals!DF30),-4024.64*Escalation!$B$106,Actuals!DF30)</f>
        <v>-4715.50721115696</v>
      </c>
    </row>
    <row r="121" customFormat="false" ht="15" hidden="false" customHeight="true" outlineLevel="0" collapsed="false">
      <c r="A121" s="29" t="s">
        <v>70</v>
      </c>
      <c r="B121" s="14" t="n">
        <f aca="false">IF(ISBLANK(Actuals!C31),0,Actuals!C31)</f>
        <v>0</v>
      </c>
      <c r="C121" s="14" t="n">
        <f aca="false">IF(ISBLANK(Actuals!D31),0,Actuals!D31)</f>
        <v>0</v>
      </c>
      <c r="D121" s="14" t="n">
        <f aca="false">IF(ISBLANK(Actuals!E31),0,Actuals!E31)</f>
        <v>-1077.38</v>
      </c>
      <c r="E121" s="14" t="n">
        <f aca="false">IF(ISBLANK(Actuals!F31),-359.13*Escalation!$B$2,Actuals!F31)</f>
        <v>-211.28</v>
      </c>
      <c r="F121" s="14" t="n">
        <f aca="false">IF(ISBLANK(Actuals!G31),-359.13*Escalation!$B$3,Actuals!G31)</f>
        <v>-1254.17</v>
      </c>
      <c r="G121" s="14" t="n">
        <f aca="false">IF(ISBLANK(Actuals!H31),-359.13*Escalation!$B$4,Actuals!H31)</f>
        <v>0</v>
      </c>
      <c r="H121" s="14" t="n">
        <f aca="false">IF(ISBLANK(Actuals!I31),-359.13*Escalation!$B$5,Actuals!I31)</f>
        <v>-359.13</v>
      </c>
      <c r="I121" s="14" t="n">
        <f aca="false">IF(ISBLANK(Actuals!J31),-359.13*Escalation!$B$6,Actuals!J31)</f>
        <v>-359.13</v>
      </c>
      <c r="J121" s="14" t="n">
        <f aca="false">IF(ISBLANK(Actuals!K31),-359.13*Escalation!$B$7,Actuals!K31)</f>
        <v>-359.13</v>
      </c>
      <c r="K121" s="14" t="n">
        <f aca="false">IF(ISBLANK(Actuals!L31),-359.13*Escalation!$B$8,Actuals!L31)</f>
        <v>-359.13</v>
      </c>
      <c r="L121" s="14" t="n">
        <f aca="false">IF(ISBLANK(Actuals!M31),-359.13*Escalation!$B$9,Actuals!M31)</f>
        <v>-359.13</v>
      </c>
      <c r="M121" s="14" t="n">
        <f aca="false">IF(ISBLANK(Actuals!N31),-359.13*Escalation!$B$10,Actuals!N31)</f>
        <v>-359.13</v>
      </c>
      <c r="N121" s="14" t="n">
        <f aca="false">IF(ISBLANK(Actuals!O31),-359.13*Escalation!$B$11,Actuals!O31)</f>
        <v>-359.13</v>
      </c>
      <c r="O121" s="14" t="n">
        <f aca="false">IF(ISBLANK(Actuals!P31),-359.13*Escalation!$B$12,Actuals!P31)</f>
        <v>-359.13</v>
      </c>
      <c r="P121" s="14" t="n">
        <f aca="false">IF(ISBLANK(Actuals!Q31),-359.13*Escalation!$B$13,Actuals!Q31)</f>
        <v>-359.13</v>
      </c>
      <c r="Q121" s="14" t="n">
        <f aca="false">IF(ISBLANK(Actuals!R31),-359.13*Escalation!$B$14,Actuals!R31)</f>
        <v>-366.3126</v>
      </c>
      <c r="R121" s="14" t="n">
        <f aca="false">IF(ISBLANK(Actuals!S31),-359.13*Escalation!$B$15,Actuals!S31)</f>
        <v>-366.3126</v>
      </c>
      <c r="S121" s="14" t="n">
        <f aca="false">IF(ISBLANK(Actuals!T31),-359.13*Escalation!$B$16,Actuals!T31)</f>
        <v>-366.3126</v>
      </c>
      <c r="T121" s="14" t="n">
        <f aca="false">IF(ISBLANK(Actuals!U31),-359.13*Escalation!$B$17,Actuals!U31)</f>
        <v>-366.3126</v>
      </c>
      <c r="U121" s="14" t="n">
        <f aca="false">IF(ISBLANK(Actuals!V31),-359.13*Escalation!$B$18,Actuals!V31)</f>
        <v>-366.3126</v>
      </c>
      <c r="V121" s="14" t="n">
        <f aca="false">IF(ISBLANK(Actuals!W31),-359.13*Escalation!$B$19,Actuals!W31)</f>
        <v>-366.3126</v>
      </c>
      <c r="W121" s="14" t="n">
        <f aca="false">IF(ISBLANK(Actuals!X31),-359.13*Escalation!$B$20,Actuals!X31)</f>
        <v>-366.3126</v>
      </c>
      <c r="X121" s="14" t="n">
        <f aca="false">IF(ISBLANK(Actuals!Y31),-359.13*Escalation!$B$21,Actuals!Y31)</f>
        <v>-366.3126</v>
      </c>
      <c r="Y121" s="14" t="n">
        <f aca="false">IF(ISBLANK(Actuals!Z31),-359.13*Escalation!$B$22,Actuals!Z31)</f>
        <v>-366.3126</v>
      </c>
      <c r="Z121" s="14" t="n">
        <f aca="false">IF(ISBLANK(Actuals!AA31),-359.13*Escalation!$B$23,Actuals!AA31)</f>
        <v>-366.3126</v>
      </c>
      <c r="AA121" s="14" t="n">
        <f aca="false">IF(ISBLANK(Actuals!AB31),-359.13*Escalation!$B$24,Actuals!AB31)</f>
        <v>-366.3126</v>
      </c>
      <c r="AB121" s="14" t="n">
        <f aca="false">IF(ISBLANK(Actuals!AC31),-359.13*Escalation!$B$25,Actuals!AC31)</f>
        <v>-366.3126</v>
      </c>
      <c r="AC121" s="14" t="n">
        <f aca="false">IF(ISBLANK(Actuals!AD31),-359.13*Escalation!$B$26,Actuals!AD31)</f>
        <v>-373.638852</v>
      </c>
      <c r="AD121" s="14" t="n">
        <f aca="false">IF(ISBLANK(Actuals!AE31),-359.13*Escalation!$B$27,Actuals!AE31)</f>
        <v>-373.638852</v>
      </c>
      <c r="AE121" s="14" t="n">
        <f aca="false">IF(ISBLANK(Actuals!AF31),-359.13*Escalation!$B$28,Actuals!AF31)</f>
        <v>-373.638852</v>
      </c>
      <c r="AF121" s="14" t="n">
        <f aca="false">IF(ISBLANK(Actuals!AG31),-359.13*Escalation!$B$29,Actuals!AG31)</f>
        <v>-373.638852</v>
      </c>
      <c r="AG121" s="14" t="n">
        <f aca="false">IF(ISBLANK(Actuals!AH31),-359.13*Escalation!$B$30,Actuals!AH31)</f>
        <v>-373.638852</v>
      </c>
      <c r="AH121" s="14" t="n">
        <f aca="false">IF(ISBLANK(Actuals!AI31),-359.13*Escalation!$B$31,Actuals!AI31)</f>
        <v>-373.638852</v>
      </c>
      <c r="AI121" s="14" t="n">
        <f aca="false">IF(ISBLANK(Actuals!AJ31),-359.13*Escalation!$B$32,Actuals!AJ31)</f>
        <v>-373.638852</v>
      </c>
      <c r="AJ121" s="14" t="n">
        <f aca="false">IF(ISBLANK(Actuals!AK31),-359.13*Escalation!$B$33,Actuals!AK31)</f>
        <v>-373.638852</v>
      </c>
      <c r="AK121" s="14" t="n">
        <f aca="false">IF(ISBLANK(Actuals!AL31),-359.13*Escalation!$B$34,Actuals!AL31)</f>
        <v>-373.638852</v>
      </c>
      <c r="AL121" s="14" t="n">
        <f aca="false">IF(ISBLANK(Actuals!AM31),-359.13*Escalation!$B$35,Actuals!AM31)</f>
        <v>-373.638852</v>
      </c>
      <c r="AM121" s="14" t="n">
        <f aca="false">IF(ISBLANK(Actuals!AN31),-359.13*Escalation!$B$36,Actuals!AN31)</f>
        <v>-373.638852</v>
      </c>
      <c r="AN121" s="14" t="n">
        <f aca="false">IF(ISBLANK(Actuals!AO31),-359.13*Escalation!$B$37,Actuals!AO31)</f>
        <v>-373.638852</v>
      </c>
      <c r="AO121" s="14" t="n">
        <f aca="false">IF(ISBLANK(Actuals!AP31),-359.13*Escalation!$B$38,Actuals!AP31)</f>
        <v>-381.11162904</v>
      </c>
      <c r="AP121" s="14" t="n">
        <f aca="false">IF(ISBLANK(Actuals!AQ31),-359.13*Escalation!$B$39,Actuals!AQ31)</f>
        <v>-381.11162904</v>
      </c>
      <c r="AQ121" s="14" t="n">
        <f aca="false">IF(ISBLANK(Actuals!AR31),-359.13*Escalation!$B$40,Actuals!AR31)</f>
        <v>-381.11162904</v>
      </c>
      <c r="AR121" s="14" t="n">
        <f aca="false">IF(ISBLANK(Actuals!AS31),-359.13*Escalation!$B$41,Actuals!AS31)</f>
        <v>-381.11162904</v>
      </c>
      <c r="AS121" s="14" t="n">
        <f aca="false">IF(ISBLANK(Actuals!AT31),-359.13*Escalation!$B$42,Actuals!AT31)</f>
        <v>-381.11162904</v>
      </c>
      <c r="AT121" s="14" t="n">
        <f aca="false">IF(ISBLANK(Actuals!AU31),-359.13*Escalation!$B$43,Actuals!AU31)</f>
        <v>-381.11162904</v>
      </c>
      <c r="AU121" s="14" t="n">
        <f aca="false">IF(ISBLANK(Actuals!AV31),-359.13*Escalation!$B$44,Actuals!AV31)</f>
        <v>-381.11162904</v>
      </c>
      <c r="AV121" s="14" t="n">
        <f aca="false">IF(ISBLANK(Actuals!AW31),-359.13*Escalation!$B$45,Actuals!AW31)</f>
        <v>-381.11162904</v>
      </c>
      <c r="AW121" s="14" t="n">
        <f aca="false">IF(ISBLANK(Actuals!AX31),-359.13*Escalation!$B$46,Actuals!AX31)</f>
        <v>-381.11162904</v>
      </c>
      <c r="AX121" s="14" t="n">
        <f aca="false">IF(ISBLANK(Actuals!AY31),-359.13*Escalation!$B$47,Actuals!AY31)</f>
        <v>-381.11162904</v>
      </c>
      <c r="AY121" s="14" t="n">
        <f aca="false">IF(ISBLANK(Actuals!AZ31),-359.13*Escalation!$B$48,Actuals!AZ31)</f>
        <v>-381.11162904</v>
      </c>
      <c r="AZ121" s="14" t="n">
        <f aca="false">IF(ISBLANK(Actuals!BA31),-359.13*Escalation!$B$49,Actuals!BA31)</f>
        <v>-381.11162904</v>
      </c>
      <c r="BA121" s="14" t="n">
        <f aca="false">IF(ISBLANK(Actuals!BB31),-359.13*Escalation!$B$50,Actuals!BB31)</f>
        <v>-388.7338616208</v>
      </c>
      <c r="BB121" s="14" t="n">
        <f aca="false">IF(ISBLANK(Actuals!BC31),-359.13*Escalation!$B$51,Actuals!BC31)</f>
        <v>-388.7338616208</v>
      </c>
      <c r="BC121" s="14" t="n">
        <f aca="false">IF(ISBLANK(Actuals!BD31),-359.13*Escalation!$B$52,Actuals!BD31)</f>
        <v>-388.7338616208</v>
      </c>
      <c r="BD121" s="14" t="n">
        <f aca="false">IF(ISBLANK(Actuals!BE31),-359.13*Escalation!$B$53,Actuals!BE31)</f>
        <v>-388.7338616208</v>
      </c>
      <c r="BE121" s="14" t="n">
        <f aca="false">IF(ISBLANK(Actuals!BF31),-359.13*Escalation!$B$54,Actuals!BF31)</f>
        <v>-388.7338616208</v>
      </c>
      <c r="BF121" s="14" t="n">
        <f aca="false">IF(ISBLANK(Actuals!BG31),-359.13*Escalation!$B$55,Actuals!BG31)</f>
        <v>-388.7338616208</v>
      </c>
      <c r="BG121" s="14" t="n">
        <f aca="false">IF(ISBLANK(Actuals!BH31),-359.13*Escalation!$B$56,Actuals!BH31)</f>
        <v>-388.7338616208</v>
      </c>
      <c r="BH121" s="14" t="n">
        <f aca="false">IF(ISBLANK(Actuals!BI31),-359.13*Escalation!$B$57,Actuals!BI31)</f>
        <v>-388.7338616208</v>
      </c>
      <c r="BI121" s="14" t="n">
        <f aca="false">IF(ISBLANK(Actuals!BJ31),-359.13*Escalation!$B$58,Actuals!BJ31)</f>
        <v>-388.7338616208</v>
      </c>
      <c r="BJ121" s="14" t="n">
        <f aca="false">IF(ISBLANK(Actuals!BK31),-359.13*Escalation!$B$59,Actuals!BK31)</f>
        <v>-388.7338616208</v>
      </c>
      <c r="BK121" s="14" t="n">
        <f aca="false">IF(ISBLANK(Actuals!BL31),-359.13*Escalation!$B$60,Actuals!BL31)</f>
        <v>-388.7338616208</v>
      </c>
      <c r="BL121" s="14" t="n">
        <f aca="false">IF(ISBLANK(Actuals!BM31),-359.13*Escalation!$B$61,Actuals!BM31)</f>
        <v>-388.7338616208</v>
      </c>
      <c r="BM121" s="14" t="n">
        <f aca="false">IF(ISBLANK(Actuals!BN31),-359.13*Escalation!$B$62,Actuals!BN31)</f>
        <v>-396.508538853216</v>
      </c>
      <c r="BN121" s="14" t="n">
        <f aca="false">IF(ISBLANK(Actuals!BO31),-359.13*Escalation!$B$63,Actuals!BO31)</f>
        <v>-396.508538853216</v>
      </c>
      <c r="BO121" s="14" t="n">
        <f aca="false">IF(ISBLANK(Actuals!BP31),-359.13*Escalation!$B$64,Actuals!BP31)</f>
        <v>-396.508538853216</v>
      </c>
      <c r="BP121" s="14" t="n">
        <f aca="false">IF(ISBLANK(Actuals!BQ31),-359.13*Escalation!$B$65,Actuals!BQ31)</f>
        <v>-396.508538853216</v>
      </c>
      <c r="BQ121" s="14" t="n">
        <f aca="false">IF(ISBLANK(Actuals!BR31),-359.13*Escalation!$B$66,Actuals!BR31)</f>
        <v>-396.508538853216</v>
      </c>
      <c r="BR121" s="14" t="n">
        <f aca="false">IF(ISBLANK(Actuals!BS31),-359.13*Escalation!$B$67,Actuals!BS31)</f>
        <v>-396.508538853216</v>
      </c>
      <c r="BS121" s="14" t="n">
        <f aca="false">IF(ISBLANK(Actuals!BT31),-359.13*Escalation!$B$68,Actuals!BT31)</f>
        <v>-396.508538853216</v>
      </c>
      <c r="BT121" s="14" t="n">
        <f aca="false">IF(ISBLANK(Actuals!BU31),-359.13*Escalation!$B$69,Actuals!BU31)</f>
        <v>-396.508538853216</v>
      </c>
      <c r="BU121" s="14" t="n">
        <f aca="false">IF(ISBLANK(Actuals!BV31),-359.13*Escalation!$B$70,Actuals!BV31)</f>
        <v>-396.508538853216</v>
      </c>
      <c r="BV121" s="14" t="n">
        <f aca="false">IF(ISBLANK(Actuals!BW31),-359.13*Escalation!$B$71,Actuals!BW31)</f>
        <v>-396.508538853216</v>
      </c>
      <c r="BW121" s="14" t="n">
        <f aca="false">IF(ISBLANK(Actuals!BX31),-359.13*Escalation!$B$72,Actuals!BX31)</f>
        <v>-396.508538853216</v>
      </c>
      <c r="BX121" s="14" t="n">
        <f aca="false">IF(ISBLANK(Actuals!BY31),-359.13*Escalation!$B$73,Actuals!BY31)</f>
        <v>-396.508538853216</v>
      </c>
      <c r="BY121" s="14" t="n">
        <f aca="false">IF(ISBLANK(Actuals!BZ31),-359.13*Escalation!$B$74,Actuals!BZ31)</f>
        <v>-404.43870963028</v>
      </c>
      <c r="BZ121" s="14" t="n">
        <f aca="false">IF(ISBLANK(Actuals!CA31),-359.13*Escalation!$B$75,Actuals!CA31)</f>
        <v>-404.43870963028</v>
      </c>
      <c r="CA121" s="14" t="n">
        <f aca="false">IF(ISBLANK(Actuals!CB31),-359.13*Escalation!$B$76,Actuals!CB31)</f>
        <v>-404.43870963028</v>
      </c>
      <c r="CB121" s="14" t="n">
        <f aca="false">IF(ISBLANK(Actuals!CC31),-359.13*Escalation!$B$77,Actuals!CC31)</f>
        <v>-404.43870963028</v>
      </c>
      <c r="CC121" s="14" t="n">
        <f aca="false">IF(ISBLANK(Actuals!CD31),-359.13*Escalation!$B$78,Actuals!CD31)</f>
        <v>-404.43870963028</v>
      </c>
      <c r="CD121" s="14" t="n">
        <f aca="false">IF(ISBLANK(Actuals!CE31),-359.13*Escalation!$B$79,Actuals!CE31)</f>
        <v>-404.43870963028</v>
      </c>
      <c r="CE121" s="14" t="n">
        <f aca="false">IF(ISBLANK(Actuals!CF31),-359.13*Escalation!$B$80,Actuals!CF31)</f>
        <v>-404.43870963028</v>
      </c>
      <c r="CF121" s="14" t="n">
        <f aca="false">IF(ISBLANK(Actuals!CG31),-359.13*Escalation!$B$81,Actuals!CG31)</f>
        <v>-404.43870963028</v>
      </c>
      <c r="CG121" s="14" t="n">
        <f aca="false">IF(ISBLANK(Actuals!CH31),-359.13*Escalation!$B$82,Actuals!CH31)</f>
        <v>-404.43870963028</v>
      </c>
      <c r="CH121" s="14" t="n">
        <f aca="false">IF(ISBLANK(Actuals!CI31),-359.13*Escalation!$B$83,Actuals!CI31)</f>
        <v>-404.43870963028</v>
      </c>
      <c r="CI121" s="14" t="n">
        <f aca="false">IF(ISBLANK(Actuals!CJ31),-359.13*Escalation!$B$84,Actuals!CJ31)</f>
        <v>-404.43870963028</v>
      </c>
      <c r="CJ121" s="14" t="n">
        <f aca="false">IF(ISBLANK(Actuals!CK31),-359.13*Escalation!$B$85,Actuals!CK31)</f>
        <v>-404.43870963028</v>
      </c>
      <c r="CK121" s="14" t="n">
        <f aca="false">IF(ISBLANK(Actuals!CL31),-359.13*Escalation!$B$86,Actuals!CL31)</f>
        <v>-412.527483822886</v>
      </c>
      <c r="CL121" s="14" t="n">
        <f aca="false">IF(ISBLANK(Actuals!CM31),-359.13*Escalation!$B$87,Actuals!CM31)</f>
        <v>-412.527483822886</v>
      </c>
      <c r="CM121" s="14" t="n">
        <f aca="false">IF(ISBLANK(Actuals!CN31),-359.13*Escalation!$B$88,Actuals!CN31)</f>
        <v>-412.527483822886</v>
      </c>
      <c r="CN121" s="14" t="n">
        <f aca="false">IF(ISBLANK(Actuals!CO31),-359.13*Escalation!$B$89,Actuals!CO31)</f>
        <v>-412.527483822886</v>
      </c>
      <c r="CO121" s="14" t="n">
        <f aca="false">IF(ISBLANK(Actuals!CP31),-359.13*Escalation!$B$90,Actuals!CP31)</f>
        <v>-412.527483822886</v>
      </c>
      <c r="CP121" s="14" t="n">
        <f aca="false">IF(ISBLANK(Actuals!CQ31),-359.13*Escalation!$B$91,Actuals!CQ31)</f>
        <v>-412.527483822886</v>
      </c>
      <c r="CQ121" s="14" t="n">
        <f aca="false">IF(ISBLANK(Actuals!CR31),-359.13*Escalation!$B$92,Actuals!CR31)</f>
        <v>-412.527483822886</v>
      </c>
      <c r="CR121" s="14" t="n">
        <f aca="false">IF(ISBLANK(Actuals!CS31),-359.13*Escalation!$B$93,Actuals!CS31)</f>
        <v>-412.527483822886</v>
      </c>
      <c r="CS121" s="14" t="n">
        <f aca="false">IF(ISBLANK(Actuals!CT31),-359.13*Escalation!$B$94,Actuals!CT31)</f>
        <v>-412.527483822886</v>
      </c>
      <c r="CT121" s="14" t="n">
        <f aca="false">IF(ISBLANK(Actuals!CU31),-359.13*Escalation!$B$95,Actuals!CU31)</f>
        <v>-412.527483822886</v>
      </c>
      <c r="CU121" s="14" t="n">
        <f aca="false">IF(ISBLANK(Actuals!CV31),-359.13*Escalation!$B$96,Actuals!CV31)</f>
        <v>-412.527483822886</v>
      </c>
      <c r="CV121" s="14" t="n">
        <f aca="false">IF(ISBLANK(Actuals!CW31),-359.13*Escalation!$B$97,Actuals!CW31)</f>
        <v>-412.527483822886</v>
      </c>
      <c r="CW121" s="14" t="n">
        <f aca="false">IF(ISBLANK(Actuals!CX31),-359.13*Escalation!$B$98,Actuals!CX31)</f>
        <v>-420.778033499344</v>
      </c>
      <c r="CX121" s="14" t="n">
        <f aca="false">IF(ISBLANK(Actuals!CY31),-359.13*Escalation!$B$99,Actuals!CY31)</f>
        <v>-420.778033499344</v>
      </c>
      <c r="CY121" s="14" t="n">
        <f aca="false">IF(ISBLANK(Actuals!CZ31),-359.13*Escalation!$B$100,Actuals!CZ31)</f>
        <v>-420.778033499344</v>
      </c>
      <c r="CZ121" s="14" t="n">
        <f aca="false">IF(ISBLANK(Actuals!DA31),-359.13*Escalation!$B$101,Actuals!DA31)</f>
        <v>-420.778033499344</v>
      </c>
      <c r="DA121" s="14" t="n">
        <f aca="false">IF(ISBLANK(Actuals!DB31),-359.13*Escalation!$B$102,Actuals!DB31)</f>
        <v>-420.778033499344</v>
      </c>
      <c r="DB121" s="14" t="n">
        <f aca="false">IF(ISBLANK(Actuals!DC31),-359.13*Escalation!$B$103,Actuals!DC31)</f>
        <v>-420.778033499344</v>
      </c>
      <c r="DC121" s="14" t="n">
        <f aca="false">IF(ISBLANK(Actuals!DD31),-359.13*Escalation!$B$104,Actuals!DD31)</f>
        <v>-420.778033499344</v>
      </c>
      <c r="DD121" s="14" t="n">
        <f aca="false">IF(ISBLANK(Actuals!DE31),-359.13*Escalation!$B$105,Actuals!DE31)</f>
        <v>-420.778033499344</v>
      </c>
      <c r="DE121" s="14" t="n">
        <f aca="false">IF(ISBLANK(Actuals!DF31),-359.13*Escalation!$B$106,Actuals!DF31)</f>
        <v>-420.778033499344</v>
      </c>
    </row>
    <row r="122" customFormat="false" ht="15" hidden="false" customHeight="true" outlineLevel="0" collapsed="false">
      <c r="A122" s="29" t="s">
        <v>71</v>
      </c>
      <c r="B122" s="14" t="n">
        <f aca="false">IF(ISBLANK(Actuals!C32),0,Actuals!C32)</f>
        <v>-79</v>
      </c>
      <c r="C122" s="14" t="n">
        <f aca="false">IF(ISBLANK(Actuals!D32),0,Actuals!D32)</f>
        <v>0</v>
      </c>
      <c r="D122" s="14" t="n">
        <f aca="false">IF(ISBLANK(Actuals!E32),0,Actuals!E32)</f>
        <v>0</v>
      </c>
      <c r="E122" s="14" t="n">
        <f aca="false">IF(ISBLANK(Actuals!F32),-26.33*Escalation!$B$2,Actuals!F32)</f>
        <v>0</v>
      </c>
      <c r="F122" s="14" t="n">
        <f aca="false">IF(ISBLANK(Actuals!G32),-26.33*Escalation!$B$3,Actuals!G32)</f>
        <v>0</v>
      </c>
      <c r="G122" s="14" t="n">
        <f aca="false">IF(ISBLANK(Actuals!H32),-26.33*Escalation!$B$4,Actuals!H32)</f>
        <v>0</v>
      </c>
      <c r="H122" s="14" t="n">
        <f aca="false">IF(ISBLANK(Actuals!I32),-26.33*Escalation!$B$5,Actuals!I32)</f>
        <v>-26.33</v>
      </c>
      <c r="I122" s="14" t="n">
        <f aca="false">IF(ISBLANK(Actuals!J32),-26.33*Escalation!$B$6,Actuals!J32)</f>
        <v>-26.33</v>
      </c>
      <c r="J122" s="14" t="n">
        <f aca="false">IF(ISBLANK(Actuals!K32),-26.33*Escalation!$B$7,Actuals!K32)</f>
        <v>-26.33</v>
      </c>
      <c r="K122" s="14" t="n">
        <f aca="false">IF(ISBLANK(Actuals!L32),-26.33*Escalation!$B$8,Actuals!L32)</f>
        <v>-26.33</v>
      </c>
      <c r="L122" s="14" t="n">
        <f aca="false">IF(ISBLANK(Actuals!M32),-26.33*Escalation!$B$9,Actuals!M32)</f>
        <v>-26.33</v>
      </c>
      <c r="M122" s="14" t="n">
        <f aca="false">IF(ISBLANK(Actuals!N32),-26.33*Escalation!$B$10,Actuals!N32)</f>
        <v>-26.33</v>
      </c>
      <c r="N122" s="14" t="n">
        <f aca="false">IF(ISBLANK(Actuals!O32),-26.33*Escalation!$B$11,Actuals!O32)</f>
        <v>-26.33</v>
      </c>
      <c r="O122" s="14" t="n">
        <f aca="false">IF(ISBLANK(Actuals!P32),-26.33*Escalation!$B$12,Actuals!P32)</f>
        <v>-26.33</v>
      </c>
      <c r="P122" s="14" t="n">
        <f aca="false">IF(ISBLANK(Actuals!Q32),-26.33*Escalation!$B$13,Actuals!Q32)</f>
        <v>-26.33</v>
      </c>
      <c r="Q122" s="14" t="n">
        <f aca="false">IF(ISBLANK(Actuals!R32),-26.33*Escalation!$B$14,Actuals!R32)</f>
        <v>-26.8566</v>
      </c>
      <c r="R122" s="14" t="n">
        <f aca="false">IF(ISBLANK(Actuals!S32),-26.33*Escalation!$B$15,Actuals!S32)</f>
        <v>-26.8566</v>
      </c>
      <c r="S122" s="14" t="n">
        <f aca="false">IF(ISBLANK(Actuals!T32),-26.33*Escalation!$B$16,Actuals!T32)</f>
        <v>-26.8566</v>
      </c>
      <c r="T122" s="14" t="n">
        <f aca="false">IF(ISBLANK(Actuals!U32),-26.33*Escalation!$B$17,Actuals!U32)</f>
        <v>-26.8566</v>
      </c>
      <c r="U122" s="14" t="n">
        <f aca="false">IF(ISBLANK(Actuals!V32),-26.33*Escalation!$B$18,Actuals!V32)</f>
        <v>-26.8566</v>
      </c>
      <c r="V122" s="14" t="n">
        <f aca="false">IF(ISBLANK(Actuals!W32),-26.33*Escalation!$B$19,Actuals!W32)</f>
        <v>-26.8566</v>
      </c>
      <c r="W122" s="14" t="n">
        <f aca="false">IF(ISBLANK(Actuals!X32),-26.33*Escalation!$B$20,Actuals!X32)</f>
        <v>-26.8566</v>
      </c>
      <c r="X122" s="14" t="n">
        <f aca="false">IF(ISBLANK(Actuals!Y32),-26.33*Escalation!$B$21,Actuals!Y32)</f>
        <v>-26.8566</v>
      </c>
      <c r="Y122" s="14" t="n">
        <f aca="false">IF(ISBLANK(Actuals!Z32),-26.33*Escalation!$B$22,Actuals!Z32)</f>
        <v>-26.8566</v>
      </c>
      <c r="Z122" s="14" t="n">
        <f aca="false">IF(ISBLANK(Actuals!AA32),-26.33*Escalation!$B$23,Actuals!AA32)</f>
        <v>-26.8566</v>
      </c>
      <c r="AA122" s="14" t="n">
        <f aca="false">IF(ISBLANK(Actuals!AB32),-26.33*Escalation!$B$24,Actuals!AB32)</f>
        <v>-26.8566</v>
      </c>
      <c r="AB122" s="14" t="n">
        <f aca="false">IF(ISBLANK(Actuals!AC32),-26.33*Escalation!$B$25,Actuals!AC32)</f>
        <v>-26.8566</v>
      </c>
      <c r="AC122" s="14" t="n">
        <f aca="false">IF(ISBLANK(Actuals!AD32),-26.33*Escalation!$B$26,Actuals!AD32)</f>
        <v>-27.393732</v>
      </c>
      <c r="AD122" s="14" t="n">
        <f aca="false">IF(ISBLANK(Actuals!AE32),-26.33*Escalation!$B$27,Actuals!AE32)</f>
        <v>-27.393732</v>
      </c>
      <c r="AE122" s="14" t="n">
        <f aca="false">IF(ISBLANK(Actuals!AF32),-26.33*Escalation!$B$28,Actuals!AF32)</f>
        <v>-27.393732</v>
      </c>
      <c r="AF122" s="14" t="n">
        <f aca="false">IF(ISBLANK(Actuals!AG32),-26.33*Escalation!$B$29,Actuals!AG32)</f>
        <v>-27.393732</v>
      </c>
      <c r="AG122" s="14" t="n">
        <f aca="false">IF(ISBLANK(Actuals!AH32),-26.33*Escalation!$B$30,Actuals!AH32)</f>
        <v>-27.393732</v>
      </c>
      <c r="AH122" s="14" t="n">
        <f aca="false">IF(ISBLANK(Actuals!AI32),-26.33*Escalation!$B$31,Actuals!AI32)</f>
        <v>-27.393732</v>
      </c>
      <c r="AI122" s="14" t="n">
        <f aca="false">IF(ISBLANK(Actuals!AJ32),-26.33*Escalation!$B$32,Actuals!AJ32)</f>
        <v>-27.393732</v>
      </c>
      <c r="AJ122" s="14" t="n">
        <f aca="false">IF(ISBLANK(Actuals!AK32),-26.33*Escalation!$B$33,Actuals!AK32)</f>
        <v>-27.393732</v>
      </c>
      <c r="AK122" s="14" t="n">
        <f aca="false">IF(ISBLANK(Actuals!AL32),-26.33*Escalation!$B$34,Actuals!AL32)</f>
        <v>-27.393732</v>
      </c>
      <c r="AL122" s="14" t="n">
        <f aca="false">IF(ISBLANK(Actuals!AM32),-26.33*Escalation!$B$35,Actuals!AM32)</f>
        <v>-27.393732</v>
      </c>
      <c r="AM122" s="14" t="n">
        <f aca="false">IF(ISBLANK(Actuals!AN32),-26.33*Escalation!$B$36,Actuals!AN32)</f>
        <v>-27.393732</v>
      </c>
      <c r="AN122" s="14" t="n">
        <f aca="false">IF(ISBLANK(Actuals!AO32),-26.33*Escalation!$B$37,Actuals!AO32)</f>
        <v>-27.393732</v>
      </c>
      <c r="AO122" s="14" t="n">
        <f aca="false">IF(ISBLANK(Actuals!AP32),-26.33*Escalation!$B$38,Actuals!AP32)</f>
        <v>-27.94160664</v>
      </c>
      <c r="AP122" s="14" t="n">
        <f aca="false">IF(ISBLANK(Actuals!AQ32),-26.33*Escalation!$B$39,Actuals!AQ32)</f>
        <v>-27.94160664</v>
      </c>
      <c r="AQ122" s="14" t="n">
        <f aca="false">IF(ISBLANK(Actuals!AR32),-26.33*Escalation!$B$40,Actuals!AR32)</f>
        <v>-27.94160664</v>
      </c>
      <c r="AR122" s="14" t="n">
        <f aca="false">IF(ISBLANK(Actuals!AS32),-26.33*Escalation!$B$41,Actuals!AS32)</f>
        <v>-27.94160664</v>
      </c>
      <c r="AS122" s="14" t="n">
        <f aca="false">IF(ISBLANK(Actuals!AT32),-26.33*Escalation!$B$42,Actuals!AT32)</f>
        <v>-27.94160664</v>
      </c>
      <c r="AT122" s="14" t="n">
        <f aca="false">IF(ISBLANK(Actuals!AU32),-26.33*Escalation!$B$43,Actuals!AU32)</f>
        <v>-27.94160664</v>
      </c>
      <c r="AU122" s="14" t="n">
        <f aca="false">IF(ISBLANK(Actuals!AV32),-26.33*Escalation!$B$44,Actuals!AV32)</f>
        <v>-27.94160664</v>
      </c>
      <c r="AV122" s="14" t="n">
        <f aca="false">IF(ISBLANK(Actuals!AW32),-26.33*Escalation!$B$45,Actuals!AW32)</f>
        <v>-27.94160664</v>
      </c>
      <c r="AW122" s="14" t="n">
        <f aca="false">IF(ISBLANK(Actuals!AX32),-26.33*Escalation!$B$46,Actuals!AX32)</f>
        <v>-27.94160664</v>
      </c>
      <c r="AX122" s="14" t="n">
        <f aca="false">IF(ISBLANK(Actuals!AY32),-26.33*Escalation!$B$47,Actuals!AY32)</f>
        <v>-27.94160664</v>
      </c>
      <c r="AY122" s="14" t="n">
        <f aca="false">IF(ISBLANK(Actuals!AZ32),-26.33*Escalation!$B$48,Actuals!AZ32)</f>
        <v>-27.94160664</v>
      </c>
      <c r="AZ122" s="14" t="n">
        <f aca="false">IF(ISBLANK(Actuals!BA32),-26.33*Escalation!$B$49,Actuals!BA32)</f>
        <v>-27.94160664</v>
      </c>
      <c r="BA122" s="14" t="n">
        <f aca="false">IF(ISBLANK(Actuals!BB32),-26.33*Escalation!$B$50,Actuals!BB32)</f>
        <v>-28.5004387728</v>
      </c>
      <c r="BB122" s="14" t="n">
        <f aca="false">IF(ISBLANK(Actuals!BC32),-26.33*Escalation!$B$51,Actuals!BC32)</f>
        <v>-28.5004387728</v>
      </c>
      <c r="BC122" s="14" t="n">
        <f aca="false">IF(ISBLANK(Actuals!BD32),-26.33*Escalation!$B$52,Actuals!BD32)</f>
        <v>-28.5004387728</v>
      </c>
      <c r="BD122" s="14" t="n">
        <f aca="false">IF(ISBLANK(Actuals!BE32),-26.33*Escalation!$B$53,Actuals!BE32)</f>
        <v>-28.5004387728</v>
      </c>
      <c r="BE122" s="14" t="n">
        <f aca="false">IF(ISBLANK(Actuals!BF32),-26.33*Escalation!$B$54,Actuals!BF32)</f>
        <v>-28.5004387728</v>
      </c>
      <c r="BF122" s="14" t="n">
        <f aca="false">IF(ISBLANK(Actuals!BG32),-26.33*Escalation!$B$55,Actuals!BG32)</f>
        <v>-28.5004387728</v>
      </c>
      <c r="BG122" s="14" t="n">
        <f aca="false">IF(ISBLANK(Actuals!BH32),-26.33*Escalation!$B$56,Actuals!BH32)</f>
        <v>-28.5004387728</v>
      </c>
      <c r="BH122" s="14" t="n">
        <f aca="false">IF(ISBLANK(Actuals!BI32),-26.33*Escalation!$B$57,Actuals!BI32)</f>
        <v>-28.5004387728</v>
      </c>
      <c r="BI122" s="14" t="n">
        <f aca="false">IF(ISBLANK(Actuals!BJ32),-26.33*Escalation!$B$58,Actuals!BJ32)</f>
        <v>-28.5004387728</v>
      </c>
      <c r="BJ122" s="14" t="n">
        <f aca="false">IF(ISBLANK(Actuals!BK32),-26.33*Escalation!$B$59,Actuals!BK32)</f>
        <v>-28.5004387728</v>
      </c>
      <c r="BK122" s="14" t="n">
        <f aca="false">IF(ISBLANK(Actuals!BL32),-26.33*Escalation!$B$60,Actuals!BL32)</f>
        <v>-28.5004387728</v>
      </c>
      <c r="BL122" s="14" t="n">
        <f aca="false">IF(ISBLANK(Actuals!BM32),-26.33*Escalation!$B$61,Actuals!BM32)</f>
        <v>-28.5004387728</v>
      </c>
      <c r="BM122" s="14" t="n">
        <f aca="false">IF(ISBLANK(Actuals!BN32),-26.33*Escalation!$B$62,Actuals!BN32)</f>
        <v>-29.070447548256</v>
      </c>
      <c r="BN122" s="14" t="n">
        <f aca="false">IF(ISBLANK(Actuals!BO32),-26.33*Escalation!$B$63,Actuals!BO32)</f>
        <v>-29.070447548256</v>
      </c>
      <c r="BO122" s="14" t="n">
        <f aca="false">IF(ISBLANK(Actuals!BP32),-26.33*Escalation!$B$64,Actuals!BP32)</f>
        <v>-29.070447548256</v>
      </c>
      <c r="BP122" s="14" t="n">
        <f aca="false">IF(ISBLANK(Actuals!BQ32),-26.33*Escalation!$B$65,Actuals!BQ32)</f>
        <v>-29.070447548256</v>
      </c>
      <c r="BQ122" s="14" t="n">
        <f aca="false">IF(ISBLANK(Actuals!BR32),-26.33*Escalation!$B$66,Actuals!BR32)</f>
        <v>-29.070447548256</v>
      </c>
      <c r="BR122" s="14" t="n">
        <f aca="false">IF(ISBLANK(Actuals!BS32),-26.33*Escalation!$B$67,Actuals!BS32)</f>
        <v>-29.070447548256</v>
      </c>
      <c r="BS122" s="14" t="n">
        <f aca="false">IF(ISBLANK(Actuals!BT32),-26.33*Escalation!$B$68,Actuals!BT32)</f>
        <v>-29.070447548256</v>
      </c>
      <c r="BT122" s="14" t="n">
        <f aca="false">IF(ISBLANK(Actuals!BU32),-26.33*Escalation!$B$69,Actuals!BU32)</f>
        <v>-29.070447548256</v>
      </c>
      <c r="BU122" s="14" t="n">
        <f aca="false">IF(ISBLANK(Actuals!BV32),-26.33*Escalation!$B$70,Actuals!BV32)</f>
        <v>-29.070447548256</v>
      </c>
      <c r="BV122" s="14" t="n">
        <f aca="false">IF(ISBLANK(Actuals!BW32),-26.33*Escalation!$B$71,Actuals!BW32)</f>
        <v>-29.070447548256</v>
      </c>
      <c r="BW122" s="14" t="n">
        <f aca="false">IF(ISBLANK(Actuals!BX32),-26.33*Escalation!$B$72,Actuals!BX32)</f>
        <v>-29.070447548256</v>
      </c>
      <c r="BX122" s="14" t="n">
        <f aca="false">IF(ISBLANK(Actuals!BY32),-26.33*Escalation!$B$73,Actuals!BY32)</f>
        <v>-29.070447548256</v>
      </c>
      <c r="BY122" s="14" t="n">
        <f aca="false">IF(ISBLANK(Actuals!BZ32),-26.33*Escalation!$B$74,Actuals!BZ32)</f>
        <v>-29.6518564992211</v>
      </c>
      <c r="BZ122" s="14" t="n">
        <f aca="false">IF(ISBLANK(Actuals!CA32),-26.33*Escalation!$B$75,Actuals!CA32)</f>
        <v>-29.6518564992211</v>
      </c>
      <c r="CA122" s="14" t="n">
        <f aca="false">IF(ISBLANK(Actuals!CB32),-26.33*Escalation!$B$76,Actuals!CB32)</f>
        <v>-29.6518564992211</v>
      </c>
      <c r="CB122" s="14" t="n">
        <f aca="false">IF(ISBLANK(Actuals!CC32),-26.33*Escalation!$B$77,Actuals!CC32)</f>
        <v>-29.6518564992211</v>
      </c>
      <c r="CC122" s="14" t="n">
        <f aca="false">IF(ISBLANK(Actuals!CD32),-26.33*Escalation!$B$78,Actuals!CD32)</f>
        <v>-29.6518564992211</v>
      </c>
      <c r="CD122" s="14" t="n">
        <f aca="false">IF(ISBLANK(Actuals!CE32),-26.33*Escalation!$B$79,Actuals!CE32)</f>
        <v>-29.6518564992211</v>
      </c>
      <c r="CE122" s="14" t="n">
        <f aca="false">IF(ISBLANK(Actuals!CF32),-26.33*Escalation!$B$80,Actuals!CF32)</f>
        <v>-29.6518564992211</v>
      </c>
      <c r="CF122" s="14" t="n">
        <f aca="false">IF(ISBLANK(Actuals!CG32),-26.33*Escalation!$B$81,Actuals!CG32)</f>
        <v>-29.6518564992211</v>
      </c>
      <c r="CG122" s="14" t="n">
        <f aca="false">IF(ISBLANK(Actuals!CH32),-26.33*Escalation!$B$82,Actuals!CH32)</f>
        <v>-29.6518564992211</v>
      </c>
      <c r="CH122" s="14" t="n">
        <f aca="false">IF(ISBLANK(Actuals!CI32),-26.33*Escalation!$B$83,Actuals!CI32)</f>
        <v>-29.6518564992211</v>
      </c>
      <c r="CI122" s="14" t="n">
        <f aca="false">IF(ISBLANK(Actuals!CJ32),-26.33*Escalation!$B$84,Actuals!CJ32)</f>
        <v>-29.6518564992211</v>
      </c>
      <c r="CJ122" s="14" t="n">
        <f aca="false">IF(ISBLANK(Actuals!CK32),-26.33*Escalation!$B$85,Actuals!CK32)</f>
        <v>-29.6518564992211</v>
      </c>
      <c r="CK122" s="14" t="n">
        <f aca="false">IF(ISBLANK(Actuals!CL32),-26.33*Escalation!$B$86,Actuals!CL32)</f>
        <v>-30.2448936292055</v>
      </c>
      <c r="CL122" s="14" t="n">
        <f aca="false">IF(ISBLANK(Actuals!CM32),-26.33*Escalation!$B$87,Actuals!CM32)</f>
        <v>-30.2448936292055</v>
      </c>
      <c r="CM122" s="14" t="n">
        <f aca="false">IF(ISBLANK(Actuals!CN32),-26.33*Escalation!$B$88,Actuals!CN32)</f>
        <v>-30.2448936292055</v>
      </c>
      <c r="CN122" s="14" t="n">
        <f aca="false">IF(ISBLANK(Actuals!CO32),-26.33*Escalation!$B$89,Actuals!CO32)</f>
        <v>-30.2448936292055</v>
      </c>
      <c r="CO122" s="14" t="n">
        <f aca="false">IF(ISBLANK(Actuals!CP32),-26.33*Escalation!$B$90,Actuals!CP32)</f>
        <v>-30.2448936292055</v>
      </c>
      <c r="CP122" s="14" t="n">
        <f aca="false">IF(ISBLANK(Actuals!CQ32),-26.33*Escalation!$B$91,Actuals!CQ32)</f>
        <v>-30.2448936292055</v>
      </c>
      <c r="CQ122" s="14" t="n">
        <f aca="false">IF(ISBLANK(Actuals!CR32),-26.33*Escalation!$B$92,Actuals!CR32)</f>
        <v>-30.2448936292055</v>
      </c>
      <c r="CR122" s="14" t="n">
        <f aca="false">IF(ISBLANK(Actuals!CS32),-26.33*Escalation!$B$93,Actuals!CS32)</f>
        <v>-30.2448936292055</v>
      </c>
      <c r="CS122" s="14" t="n">
        <f aca="false">IF(ISBLANK(Actuals!CT32),-26.33*Escalation!$B$94,Actuals!CT32)</f>
        <v>-30.2448936292055</v>
      </c>
      <c r="CT122" s="14" t="n">
        <f aca="false">IF(ISBLANK(Actuals!CU32),-26.33*Escalation!$B$95,Actuals!CU32)</f>
        <v>-30.2448936292055</v>
      </c>
      <c r="CU122" s="14" t="n">
        <f aca="false">IF(ISBLANK(Actuals!CV32),-26.33*Escalation!$B$96,Actuals!CV32)</f>
        <v>-30.2448936292055</v>
      </c>
      <c r="CV122" s="14" t="n">
        <f aca="false">IF(ISBLANK(Actuals!CW32),-26.33*Escalation!$B$97,Actuals!CW32)</f>
        <v>-30.2448936292055</v>
      </c>
      <c r="CW122" s="14" t="n">
        <f aca="false">IF(ISBLANK(Actuals!CX32),-26.33*Escalation!$B$98,Actuals!CX32)</f>
        <v>-30.8497915017897</v>
      </c>
      <c r="CX122" s="14" t="n">
        <f aca="false">IF(ISBLANK(Actuals!CY32),-26.33*Escalation!$B$99,Actuals!CY32)</f>
        <v>-30.8497915017897</v>
      </c>
      <c r="CY122" s="14" t="n">
        <f aca="false">IF(ISBLANK(Actuals!CZ32),-26.33*Escalation!$B$100,Actuals!CZ32)</f>
        <v>-30.8497915017897</v>
      </c>
      <c r="CZ122" s="14" t="n">
        <f aca="false">IF(ISBLANK(Actuals!DA32),-26.33*Escalation!$B$101,Actuals!DA32)</f>
        <v>-30.8497915017897</v>
      </c>
      <c r="DA122" s="14" t="n">
        <f aca="false">IF(ISBLANK(Actuals!DB32),-26.33*Escalation!$B$102,Actuals!DB32)</f>
        <v>-30.8497915017897</v>
      </c>
      <c r="DB122" s="14" t="n">
        <f aca="false">IF(ISBLANK(Actuals!DC32),-26.33*Escalation!$B$103,Actuals!DC32)</f>
        <v>-30.8497915017897</v>
      </c>
      <c r="DC122" s="14" t="n">
        <f aca="false">IF(ISBLANK(Actuals!DD32),-26.33*Escalation!$B$104,Actuals!DD32)</f>
        <v>-30.8497915017897</v>
      </c>
      <c r="DD122" s="14" t="n">
        <f aca="false">IF(ISBLANK(Actuals!DE32),-26.33*Escalation!$B$105,Actuals!DE32)</f>
        <v>-30.8497915017897</v>
      </c>
      <c r="DE122" s="14" t="n">
        <f aca="false">IF(ISBLANK(Actuals!DF32),-26.33*Escalation!$B$106,Actuals!DF32)</f>
        <v>-30.8497915017897</v>
      </c>
    </row>
    <row r="123" customFormat="false" ht="15" hidden="false" customHeight="true" outlineLevel="0" collapsed="false">
      <c r="A123" s="29" t="s">
        <v>72</v>
      </c>
      <c r="B123" s="14" t="n">
        <f aca="false">IF(ISBLANK(Actuals!C33),0,Actuals!C33)</f>
        <v>-3405.64</v>
      </c>
      <c r="C123" s="14" t="n">
        <f aca="false">IF(ISBLANK(Actuals!D33),0,Actuals!D33)</f>
        <v>-5015.38</v>
      </c>
      <c r="D123" s="14" t="n">
        <f aca="false">IF(ISBLANK(Actuals!E33),0,Actuals!E33)</f>
        <v>-7481.39</v>
      </c>
      <c r="E123" s="14" t="n">
        <f aca="false">IF(ISBLANK(Actuals!F33),-5300.8*Escalation!$B$2,Actuals!F33)</f>
        <v>-5111.12</v>
      </c>
      <c r="F123" s="14" t="n">
        <f aca="false">IF(ISBLANK(Actuals!G33),-5300.8*Escalation!$B$3,Actuals!G33)</f>
        <v>-4038.48</v>
      </c>
      <c r="G123" s="14" t="n">
        <f aca="false">IF(ISBLANK(Actuals!H33),-5300.8*Escalation!$B$4,Actuals!H33)</f>
        <v>-6114.98</v>
      </c>
      <c r="H123" s="14" t="n">
        <f aca="false">IF(ISBLANK(Actuals!I33),-5300.8*Escalation!$B$5,Actuals!I33)</f>
        <v>-5300.8</v>
      </c>
      <c r="I123" s="14" t="n">
        <f aca="false">IF(ISBLANK(Actuals!J33),-5300.8*Escalation!$B$6,Actuals!J33)</f>
        <v>-5300.8</v>
      </c>
      <c r="J123" s="14" t="n">
        <f aca="false">IF(ISBLANK(Actuals!K33),-5300.8*Escalation!$B$7,Actuals!K33)</f>
        <v>-5300.8</v>
      </c>
      <c r="K123" s="14" t="n">
        <f aca="false">IF(ISBLANK(Actuals!L33),-5300.8*Escalation!$B$8,Actuals!L33)</f>
        <v>-5300.8</v>
      </c>
      <c r="L123" s="14" t="n">
        <f aca="false">IF(ISBLANK(Actuals!M33),-5300.8*Escalation!$B$9,Actuals!M33)</f>
        <v>-5300.8</v>
      </c>
      <c r="M123" s="14" t="n">
        <f aca="false">IF(ISBLANK(Actuals!N33),-5300.8*Escalation!$B$10,Actuals!N33)</f>
        <v>-5300.8</v>
      </c>
      <c r="N123" s="14" t="n">
        <f aca="false">IF(ISBLANK(Actuals!O33),-5300.8*Escalation!$B$11,Actuals!O33)</f>
        <v>-5300.8</v>
      </c>
      <c r="O123" s="14" t="n">
        <f aca="false">IF(ISBLANK(Actuals!P33),-5300.8*Escalation!$B$12,Actuals!P33)</f>
        <v>-5300.8</v>
      </c>
      <c r="P123" s="14" t="n">
        <f aca="false">IF(ISBLANK(Actuals!Q33),-5300.8*Escalation!$B$13,Actuals!Q33)</f>
        <v>-5300.8</v>
      </c>
      <c r="Q123" s="14" t="n">
        <f aca="false">IF(ISBLANK(Actuals!R33),-5300.8*Escalation!$B$14,Actuals!R33)</f>
        <v>-5406.816</v>
      </c>
      <c r="R123" s="14" t="n">
        <f aca="false">IF(ISBLANK(Actuals!S33),-5300.8*Escalation!$B$15,Actuals!S33)</f>
        <v>-5406.816</v>
      </c>
      <c r="S123" s="14" t="n">
        <f aca="false">IF(ISBLANK(Actuals!T33),-5300.8*Escalation!$B$16,Actuals!T33)</f>
        <v>-5406.816</v>
      </c>
      <c r="T123" s="14" t="n">
        <f aca="false">IF(ISBLANK(Actuals!U33),-5300.8*Escalation!$B$17,Actuals!U33)</f>
        <v>-5406.816</v>
      </c>
      <c r="U123" s="14" t="n">
        <f aca="false">IF(ISBLANK(Actuals!V33),-5300.8*Escalation!$B$18,Actuals!V33)</f>
        <v>-5406.816</v>
      </c>
      <c r="V123" s="14" t="n">
        <f aca="false">IF(ISBLANK(Actuals!W33),-5300.8*Escalation!$B$19,Actuals!W33)</f>
        <v>-5406.816</v>
      </c>
      <c r="W123" s="14" t="n">
        <f aca="false">IF(ISBLANK(Actuals!X33),-5300.8*Escalation!$B$20,Actuals!X33)</f>
        <v>-5406.816</v>
      </c>
      <c r="X123" s="14" t="n">
        <f aca="false">IF(ISBLANK(Actuals!Y33),-5300.8*Escalation!$B$21,Actuals!Y33)</f>
        <v>-5406.816</v>
      </c>
      <c r="Y123" s="14" t="n">
        <f aca="false">IF(ISBLANK(Actuals!Z33),-5300.8*Escalation!$B$22,Actuals!Z33)</f>
        <v>-5406.816</v>
      </c>
      <c r="Z123" s="14" t="n">
        <f aca="false">IF(ISBLANK(Actuals!AA33),-5300.8*Escalation!$B$23,Actuals!AA33)</f>
        <v>-5406.816</v>
      </c>
      <c r="AA123" s="14" t="n">
        <f aca="false">IF(ISBLANK(Actuals!AB33),-5300.8*Escalation!$B$24,Actuals!AB33)</f>
        <v>-5406.816</v>
      </c>
      <c r="AB123" s="14" t="n">
        <f aca="false">IF(ISBLANK(Actuals!AC33),-5300.8*Escalation!$B$25,Actuals!AC33)</f>
        <v>-5406.816</v>
      </c>
      <c r="AC123" s="14" t="n">
        <f aca="false">IF(ISBLANK(Actuals!AD33),-5300.8*Escalation!$B$26,Actuals!AD33)</f>
        <v>-5514.95232</v>
      </c>
      <c r="AD123" s="14" t="n">
        <f aca="false">IF(ISBLANK(Actuals!AE33),-5300.8*Escalation!$B$27,Actuals!AE33)</f>
        <v>-5514.95232</v>
      </c>
      <c r="AE123" s="14" t="n">
        <f aca="false">IF(ISBLANK(Actuals!AF33),-5300.8*Escalation!$B$28,Actuals!AF33)</f>
        <v>-5514.95232</v>
      </c>
      <c r="AF123" s="14" t="n">
        <f aca="false">IF(ISBLANK(Actuals!AG33),-5300.8*Escalation!$B$29,Actuals!AG33)</f>
        <v>-5514.95232</v>
      </c>
      <c r="AG123" s="14" t="n">
        <f aca="false">IF(ISBLANK(Actuals!AH33),-5300.8*Escalation!$B$30,Actuals!AH33)</f>
        <v>-5514.95232</v>
      </c>
      <c r="AH123" s="14" t="n">
        <f aca="false">IF(ISBLANK(Actuals!AI33),-5300.8*Escalation!$B$31,Actuals!AI33)</f>
        <v>-5514.95232</v>
      </c>
      <c r="AI123" s="14" t="n">
        <f aca="false">IF(ISBLANK(Actuals!AJ33),-5300.8*Escalation!$B$32,Actuals!AJ33)</f>
        <v>-5514.95232</v>
      </c>
      <c r="AJ123" s="14" t="n">
        <f aca="false">IF(ISBLANK(Actuals!AK33),-5300.8*Escalation!$B$33,Actuals!AK33)</f>
        <v>-5514.95232</v>
      </c>
      <c r="AK123" s="14" t="n">
        <f aca="false">IF(ISBLANK(Actuals!AL33),-5300.8*Escalation!$B$34,Actuals!AL33)</f>
        <v>-5514.95232</v>
      </c>
      <c r="AL123" s="14" t="n">
        <f aca="false">IF(ISBLANK(Actuals!AM33),-5300.8*Escalation!$B$35,Actuals!AM33)</f>
        <v>-5514.95232</v>
      </c>
      <c r="AM123" s="14" t="n">
        <f aca="false">IF(ISBLANK(Actuals!AN33),-5300.8*Escalation!$B$36,Actuals!AN33)</f>
        <v>-5514.95232</v>
      </c>
      <c r="AN123" s="14" t="n">
        <f aca="false">IF(ISBLANK(Actuals!AO33),-5300.8*Escalation!$B$37,Actuals!AO33)</f>
        <v>-5514.95232</v>
      </c>
      <c r="AO123" s="14" t="n">
        <f aca="false">IF(ISBLANK(Actuals!AP33),-5300.8*Escalation!$B$38,Actuals!AP33)</f>
        <v>-5625.2513664</v>
      </c>
      <c r="AP123" s="14" t="n">
        <f aca="false">IF(ISBLANK(Actuals!AQ33),-5300.8*Escalation!$B$39,Actuals!AQ33)</f>
        <v>-5625.2513664</v>
      </c>
      <c r="AQ123" s="14" t="n">
        <f aca="false">IF(ISBLANK(Actuals!AR33),-5300.8*Escalation!$B$40,Actuals!AR33)</f>
        <v>-5625.2513664</v>
      </c>
      <c r="AR123" s="14" t="n">
        <f aca="false">IF(ISBLANK(Actuals!AS33),-5300.8*Escalation!$B$41,Actuals!AS33)</f>
        <v>-5625.2513664</v>
      </c>
      <c r="AS123" s="14" t="n">
        <f aca="false">IF(ISBLANK(Actuals!AT33),-5300.8*Escalation!$B$42,Actuals!AT33)</f>
        <v>-5625.2513664</v>
      </c>
      <c r="AT123" s="14" t="n">
        <f aca="false">IF(ISBLANK(Actuals!AU33),-5300.8*Escalation!$B$43,Actuals!AU33)</f>
        <v>-5625.2513664</v>
      </c>
      <c r="AU123" s="14" t="n">
        <f aca="false">IF(ISBLANK(Actuals!AV33),-5300.8*Escalation!$B$44,Actuals!AV33)</f>
        <v>-5625.2513664</v>
      </c>
      <c r="AV123" s="14" t="n">
        <f aca="false">IF(ISBLANK(Actuals!AW33),-5300.8*Escalation!$B$45,Actuals!AW33)</f>
        <v>-5625.2513664</v>
      </c>
      <c r="AW123" s="14" t="n">
        <f aca="false">IF(ISBLANK(Actuals!AX33),-5300.8*Escalation!$B$46,Actuals!AX33)</f>
        <v>-5625.2513664</v>
      </c>
      <c r="AX123" s="14" t="n">
        <f aca="false">IF(ISBLANK(Actuals!AY33),-5300.8*Escalation!$B$47,Actuals!AY33)</f>
        <v>-5625.2513664</v>
      </c>
      <c r="AY123" s="14" t="n">
        <f aca="false">IF(ISBLANK(Actuals!AZ33),-5300.8*Escalation!$B$48,Actuals!AZ33)</f>
        <v>-5625.2513664</v>
      </c>
      <c r="AZ123" s="14" t="n">
        <f aca="false">IF(ISBLANK(Actuals!BA33),-5300.8*Escalation!$B$49,Actuals!BA33)</f>
        <v>-5625.2513664</v>
      </c>
      <c r="BA123" s="14" t="n">
        <f aca="false">IF(ISBLANK(Actuals!BB33),-5300.8*Escalation!$B$50,Actuals!BB33)</f>
        <v>-5737.756393728</v>
      </c>
      <c r="BB123" s="14" t="n">
        <f aca="false">IF(ISBLANK(Actuals!BC33),-5300.8*Escalation!$B$51,Actuals!BC33)</f>
        <v>-5737.756393728</v>
      </c>
      <c r="BC123" s="14" t="n">
        <f aca="false">IF(ISBLANK(Actuals!BD33),-5300.8*Escalation!$B$52,Actuals!BD33)</f>
        <v>-5737.756393728</v>
      </c>
      <c r="BD123" s="14" t="n">
        <f aca="false">IF(ISBLANK(Actuals!BE33),-5300.8*Escalation!$B$53,Actuals!BE33)</f>
        <v>-5737.756393728</v>
      </c>
      <c r="BE123" s="14" t="n">
        <f aca="false">IF(ISBLANK(Actuals!BF33),-5300.8*Escalation!$B$54,Actuals!BF33)</f>
        <v>-5737.756393728</v>
      </c>
      <c r="BF123" s="14" t="n">
        <f aca="false">IF(ISBLANK(Actuals!BG33),-5300.8*Escalation!$B$55,Actuals!BG33)</f>
        <v>-5737.756393728</v>
      </c>
      <c r="BG123" s="14" t="n">
        <f aca="false">IF(ISBLANK(Actuals!BH33),-5300.8*Escalation!$B$56,Actuals!BH33)</f>
        <v>-5737.756393728</v>
      </c>
      <c r="BH123" s="14" t="n">
        <f aca="false">IF(ISBLANK(Actuals!BI33),-5300.8*Escalation!$B$57,Actuals!BI33)</f>
        <v>-5737.756393728</v>
      </c>
      <c r="BI123" s="14" t="n">
        <f aca="false">IF(ISBLANK(Actuals!BJ33),-5300.8*Escalation!$B$58,Actuals!BJ33)</f>
        <v>-5737.756393728</v>
      </c>
      <c r="BJ123" s="14" t="n">
        <f aca="false">IF(ISBLANK(Actuals!BK33),-5300.8*Escalation!$B$59,Actuals!BK33)</f>
        <v>-5737.756393728</v>
      </c>
      <c r="BK123" s="14" t="n">
        <f aca="false">IF(ISBLANK(Actuals!BL33),-5300.8*Escalation!$B$60,Actuals!BL33)</f>
        <v>-5737.756393728</v>
      </c>
      <c r="BL123" s="14" t="n">
        <f aca="false">IF(ISBLANK(Actuals!BM33),-5300.8*Escalation!$B$61,Actuals!BM33)</f>
        <v>-5737.756393728</v>
      </c>
      <c r="BM123" s="14" t="n">
        <f aca="false">IF(ISBLANK(Actuals!BN33),-5300.8*Escalation!$B$62,Actuals!BN33)</f>
        <v>-5852.51152160256</v>
      </c>
      <c r="BN123" s="14" t="n">
        <f aca="false">IF(ISBLANK(Actuals!BO33),-5300.8*Escalation!$B$63,Actuals!BO33)</f>
        <v>-5852.51152160256</v>
      </c>
      <c r="BO123" s="14" t="n">
        <f aca="false">IF(ISBLANK(Actuals!BP33),-5300.8*Escalation!$B$64,Actuals!BP33)</f>
        <v>-5852.51152160256</v>
      </c>
      <c r="BP123" s="14" t="n">
        <f aca="false">IF(ISBLANK(Actuals!BQ33),-5300.8*Escalation!$B$65,Actuals!BQ33)</f>
        <v>-5852.51152160256</v>
      </c>
      <c r="BQ123" s="14" t="n">
        <f aca="false">IF(ISBLANK(Actuals!BR33),-5300.8*Escalation!$B$66,Actuals!BR33)</f>
        <v>-5852.51152160256</v>
      </c>
      <c r="BR123" s="14" t="n">
        <f aca="false">IF(ISBLANK(Actuals!BS33),-5300.8*Escalation!$B$67,Actuals!BS33)</f>
        <v>-5852.51152160256</v>
      </c>
      <c r="BS123" s="14" t="n">
        <f aca="false">IF(ISBLANK(Actuals!BT33),-5300.8*Escalation!$B$68,Actuals!BT33)</f>
        <v>-5852.51152160256</v>
      </c>
      <c r="BT123" s="14" t="n">
        <f aca="false">IF(ISBLANK(Actuals!BU33),-5300.8*Escalation!$B$69,Actuals!BU33)</f>
        <v>-5852.51152160256</v>
      </c>
      <c r="BU123" s="14" t="n">
        <f aca="false">IF(ISBLANK(Actuals!BV33),-5300.8*Escalation!$B$70,Actuals!BV33)</f>
        <v>-5852.51152160256</v>
      </c>
      <c r="BV123" s="14" t="n">
        <f aca="false">IF(ISBLANK(Actuals!BW33),-5300.8*Escalation!$B$71,Actuals!BW33)</f>
        <v>-5852.51152160256</v>
      </c>
      <c r="BW123" s="14" t="n">
        <f aca="false">IF(ISBLANK(Actuals!BX33),-5300.8*Escalation!$B$72,Actuals!BX33)</f>
        <v>-5852.51152160256</v>
      </c>
      <c r="BX123" s="14" t="n">
        <f aca="false">IF(ISBLANK(Actuals!BY33),-5300.8*Escalation!$B$73,Actuals!BY33)</f>
        <v>-5852.51152160256</v>
      </c>
      <c r="BY123" s="14" t="n">
        <f aca="false">IF(ISBLANK(Actuals!BZ33),-5300.8*Escalation!$B$74,Actuals!BZ33)</f>
        <v>-5969.56175203461</v>
      </c>
      <c r="BZ123" s="14" t="n">
        <f aca="false">IF(ISBLANK(Actuals!CA33),-5300.8*Escalation!$B$75,Actuals!CA33)</f>
        <v>-5969.56175203461</v>
      </c>
      <c r="CA123" s="14" t="n">
        <f aca="false">IF(ISBLANK(Actuals!CB33),-5300.8*Escalation!$B$76,Actuals!CB33)</f>
        <v>-5969.56175203461</v>
      </c>
      <c r="CB123" s="14" t="n">
        <f aca="false">IF(ISBLANK(Actuals!CC33),-5300.8*Escalation!$B$77,Actuals!CC33)</f>
        <v>-5969.56175203461</v>
      </c>
      <c r="CC123" s="14" t="n">
        <f aca="false">IF(ISBLANK(Actuals!CD33),-5300.8*Escalation!$B$78,Actuals!CD33)</f>
        <v>-5969.56175203461</v>
      </c>
      <c r="CD123" s="14" t="n">
        <f aca="false">IF(ISBLANK(Actuals!CE33),-5300.8*Escalation!$B$79,Actuals!CE33)</f>
        <v>-5969.56175203461</v>
      </c>
      <c r="CE123" s="14" t="n">
        <f aca="false">IF(ISBLANK(Actuals!CF33),-5300.8*Escalation!$B$80,Actuals!CF33)</f>
        <v>-5969.56175203461</v>
      </c>
      <c r="CF123" s="14" t="n">
        <f aca="false">IF(ISBLANK(Actuals!CG33),-5300.8*Escalation!$B$81,Actuals!CG33)</f>
        <v>-5969.56175203461</v>
      </c>
      <c r="CG123" s="14" t="n">
        <f aca="false">IF(ISBLANK(Actuals!CH33),-5300.8*Escalation!$B$82,Actuals!CH33)</f>
        <v>-5969.56175203461</v>
      </c>
      <c r="CH123" s="14" t="n">
        <f aca="false">IF(ISBLANK(Actuals!CI33),-5300.8*Escalation!$B$83,Actuals!CI33)</f>
        <v>-5969.56175203461</v>
      </c>
      <c r="CI123" s="14" t="n">
        <f aca="false">IF(ISBLANK(Actuals!CJ33),-5300.8*Escalation!$B$84,Actuals!CJ33)</f>
        <v>-5969.56175203461</v>
      </c>
      <c r="CJ123" s="14" t="n">
        <f aca="false">IF(ISBLANK(Actuals!CK33),-5300.8*Escalation!$B$85,Actuals!CK33)</f>
        <v>-5969.56175203461</v>
      </c>
      <c r="CK123" s="14" t="n">
        <f aca="false">IF(ISBLANK(Actuals!CL33),-5300.8*Escalation!$B$86,Actuals!CL33)</f>
        <v>-6088.9529870753</v>
      </c>
      <c r="CL123" s="14" t="n">
        <f aca="false">IF(ISBLANK(Actuals!CM33),-5300.8*Escalation!$B$87,Actuals!CM33)</f>
        <v>-6088.9529870753</v>
      </c>
      <c r="CM123" s="14" t="n">
        <f aca="false">IF(ISBLANK(Actuals!CN33),-5300.8*Escalation!$B$88,Actuals!CN33)</f>
        <v>-6088.9529870753</v>
      </c>
      <c r="CN123" s="14" t="n">
        <f aca="false">IF(ISBLANK(Actuals!CO33),-5300.8*Escalation!$B$89,Actuals!CO33)</f>
        <v>-6088.9529870753</v>
      </c>
      <c r="CO123" s="14" t="n">
        <f aca="false">IF(ISBLANK(Actuals!CP33),-5300.8*Escalation!$B$90,Actuals!CP33)</f>
        <v>-6088.9529870753</v>
      </c>
      <c r="CP123" s="14" t="n">
        <f aca="false">IF(ISBLANK(Actuals!CQ33),-5300.8*Escalation!$B$91,Actuals!CQ33)</f>
        <v>-6088.9529870753</v>
      </c>
      <c r="CQ123" s="14" t="n">
        <f aca="false">IF(ISBLANK(Actuals!CR33),-5300.8*Escalation!$B$92,Actuals!CR33)</f>
        <v>-6088.9529870753</v>
      </c>
      <c r="CR123" s="14" t="n">
        <f aca="false">IF(ISBLANK(Actuals!CS33),-5300.8*Escalation!$B$93,Actuals!CS33)</f>
        <v>-6088.9529870753</v>
      </c>
      <c r="CS123" s="14" t="n">
        <f aca="false">IF(ISBLANK(Actuals!CT33),-5300.8*Escalation!$B$94,Actuals!CT33)</f>
        <v>-6088.9529870753</v>
      </c>
      <c r="CT123" s="14" t="n">
        <f aca="false">IF(ISBLANK(Actuals!CU33),-5300.8*Escalation!$B$95,Actuals!CU33)</f>
        <v>-6088.9529870753</v>
      </c>
      <c r="CU123" s="14" t="n">
        <f aca="false">IF(ISBLANK(Actuals!CV33),-5300.8*Escalation!$B$96,Actuals!CV33)</f>
        <v>-6088.9529870753</v>
      </c>
      <c r="CV123" s="14" t="n">
        <f aca="false">IF(ISBLANK(Actuals!CW33),-5300.8*Escalation!$B$97,Actuals!CW33)</f>
        <v>-6088.9529870753</v>
      </c>
      <c r="CW123" s="14" t="n">
        <f aca="false">IF(ISBLANK(Actuals!CX33),-5300.8*Escalation!$B$98,Actuals!CX33)</f>
        <v>-6210.73204681681</v>
      </c>
      <c r="CX123" s="14" t="n">
        <f aca="false">IF(ISBLANK(Actuals!CY33),-5300.8*Escalation!$B$99,Actuals!CY33)</f>
        <v>-6210.73204681681</v>
      </c>
      <c r="CY123" s="14" t="n">
        <f aca="false">IF(ISBLANK(Actuals!CZ33),-5300.8*Escalation!$B$100,Actuals!CZ33)</f>
        <v>-6210.73204681681</v>
      </c>
      <c r="CZ123" s="14" t="n">
        <f aca="false">IF(ISBLANK(Actuals!DA33),-5300.8*Escalation!$B$101,Actuals!DA33)</f>
        <v>-6210.73204681681</v>
      </c>
      <c r="DA123" s="14" t="n">
        <f aca="false">IF(ISBLANK(Actuals!DB33),-5300.8*Escalation!$B$102,Actuals!DB33)</f>
        <v>-6210.73204681681</v>
      </c>
      <c r="DB123" s="14" t="n">
        <f aca="false">IF(ISBLANK(Actuals!DC33),-5300.8*Escalation!$B$103,Actuals!DC33)</f>
        <v>-6210.73204681681</v>
      </c>
      <c r="DC123" s="14" t="n">
        <f aca="false">IF(ISBLANK(Actuals!DD33),-5300.8*Escalation!$B$104,Actuals!DD33)</f>
        <v>-6210.73204681681</v>
      </c>
      <c r="DD123" s="14" t="n">
        <f aca="false">IF(ISBLANK(Actuals!DE33),-5300.8*Escalation!$B$105,Actuals!DE33)</f>
        <v>-6210.73204681681</v>
      </c>
      <c r="DE123" s="14" t="n">
        <f aca="false">IF(ISBLANK(Actuals!DF33),-5300.8*Escalation!$B$106,Actuals!DF33)</f>
        <v>-6210.73204681681</v>
      </c>
    </row>
    <row r="124" customFormat="false" ht="15" hidden="false" customHeight="true" outlineLevel="0" collapsed="false">
      <c r="A124" s="29" t="s">
        <v>73</v>
      </c>
      <c r="B124" s="14" t="n">
        <f aca="false">IF(ISBLANK(Actuals!C34),0,Actuals!C34)</f>
        <v>0</v>
      </c>
      <c r="C124" s="14" t="n">
        <f aca="false">IF(ISBLANK(Actuals!D34),0,Actuals!D34)</f>
        <v>-1766.48</v>
      </c>
      <c r="D124" s="14" t="n">
        <f aca="false">IF(ISBLANK(Actuals!E34),0,Actuals!E34)</f>
        <v>-441.62</v>
      </c>
      <c r="E124" s="14" t="n">
        <f aca="false">IF(ISBLANK(Actuals!F34),-736.03*Escalation!$B$2,Actuals!F34)</f>
        <v>-441.62</v>
      </c>
      <c r="F124" s="14" t="n">
        <f aca="false">IF(ISBLANK(Actuals!G34),-736.03*Escalation!$B$3,Actuals!G34)</f>
        <v>-578.62</v>
      </c>
      <c r="G124" s="14" t="n">
        <f aca="false">IF(ISBLANK(Actuals!H34),-736.03*Escalation!$B$4,Actuals!H34)</f>
        <v>-491.62</v>
      </c>
      <c r="H124" s="14" t="n">
        <f aca="false">IF(ISBLANK(Actuals!I34),-736.03*Escalation!$B$5,Actuals!I34)</f>
        <v>-736.03</v>
      </c>
      <c r="I124" s="14" t="n">
        <f aca="false">IF(ISBLANK(Actuals!J34),-736.03*Escalation!$B$6,Actuals!J34)</f>
        <v>-736.03</v>
      </c>
      <c r="J124" s="14" t="n">
        <f aca="false">IF(ISBLANK(Actuals!K34),-736.03*Escalation!$B$7,Actuals!K34)</f>
        <v>-736.03</v>
      </c>
      <c r="K124" s="14" t="n">
        <f aca="false">IF(ISBLANK(Actuals!L34),-736.03*Escalation!$B$8,Actuals!L34)</f>
        <v>-736.03</v>
      </c>
      <c r="L124" s="14" t="n">
        <f aca="false">IF(ISBLANK(Actuals!M34),-736.03*Escalation!$B$9,Actuals!M34)</f>
        <v>-736.03</v>
      </c>
      <c r="M124" s="14" t="n">
        <f aca="false">IF(ISBLANK(Actuals!N34),-736.03*Escalation!$B$10,Actuals!N34)</f>
        <v>-736.03</v>
      </c>
      <c r="N124" s="14" t="n">
        <f aca="false">IF(ISBLANK(Actuals!O34),-736.03*Escalation!$B$11,Actuals!O34)</f>
        <v>-736.03</v>
      </c>
      <c r="O124" s="14" t="n">
        <f aca="false">IF(ISBLANK(Actuals!P34),-736.03*Escalation!$B$12,Actuals!P34)</f>
        <v>-736.03</v>
      </c>
      <c r="P124" s="14" t="n">
        <f aca="false">IF(ISBLANK(Actuals!Q34),-736.03*Escalation!$B$13,Actuals!Q34)</f>
        <v>-736.03</v>
      </c>
      <c r="Q124" s="14" t="n">
        <f aca="false">IF(ISBLANK(Actuals!R34),-736.03*Escalation!$B$14,Actuals!R34)</f>
        <v>-750.7506</v>
      </c>
      <c r="R124" s="14" t="n">
        <f aca="false">IF(ISBLANK(Actuals!S34),-736.03*Escalation!$B$15,Actuals!S34)</f>
        <v>-750.7506</v>
      </c>
      <c r="S124" s="14" t="n">
        <f aca="false">IF(ISBLANK(Actuals!T34),-736.03*Escalation!$B$16,Actuals!T34)</f>
        <v>-750.7506</v>
      </c>
      <c r="T124" s="14" t="n">
        <f aca="false">IF(ISBLANK(Actuals!U34),-736.03*Escalation!$B$17,Actuals!U34)</f>
        <v>-750.7506</v>
      </c>
      <c r="U124" s="14" t="n">
        <f aca="false">IF(ISBLANK(Actuals!V34),-736.03*Escalation!$B$18,Actuals!V34)</f>
        <v>-750.7506</v>
      </c>
      <c r="V124" s="14" t="n">
        <f aca="false">IF(ISBLANK(Actuals!W34),-736.03*Escalation!$B$19,Actuals!W34)</f>
        <v>-750.7506</v>
      </c>
      <c r="W124" s="14" t="n">
        <f aca="false">IF(ISBLANK(Actuals!X34),-736.03*Escalation!$B$20,Actuals!X34)</f>
        <v>-750.7506</v>
      </c>
      <c r="X124" s="14" t="n">
        <f aca="false">IF(ISBLANK(Actuals!Y34),-736.03*Escalation!$B$21,Actuals!Y34)</f>
        <v>-750.7506</v>
      </c>
      <c r="Y124" s="14" t="n">
        <f aca="false">IF(ISBLANK(Actuals!Z34),-736.03*Escalation!$B$22,Actuals!Z34)</f>
        <v>-750.7506</v>
      </c>
      <c r="Z124" s="14" t="n">
        <f aca="false">IF(ISBLANK(Actuals!AA34),-736.03*Escalation!$B$23,Actuals!AA34)</f>
        <v>-750.7506</v>
      </c>
      <c r="AA124" s="14" t="n">
        <f aca="false">IF(ISBLANK(Actuals!AB34),-736.03*Escalation!$B$24,Actuals!AB34)</f>
        <v>-750.7506</v>
      </c>
      <c r="AB124" s="14" t="n">
        <f aca="false">IF(ISBLANK(Actuals!AC34),-736.03*Escalation!$B$25,Actuals!AC34)</f>
        <v>-750.7506</v>
      </c>
      <c r="AC124" s="14" t="n">
        <f aca="false">IF(ISBLANK(Actuals!AD34),-736.03*Escalation!$B$26,Actuals!AD34)</f>
        <v>-765.765612</v>
      </c>
      <c r="AD124" s="14" t="n">
        <f aca="false">IF(ISBLANK(Actuals!AE34),-736.03*Escalation!$B$27,Actuals!AE34)</f>
        <v>-765.765612</v>
      </c>
      <c r="AE124" s="14" t="n">
        <f aca="false">IF(ISBLANK(Actuals!AF34),-736.03*Escalation!$B$28,Actuals!AF34)</f>
        <v>-765.765612</v>
      </c>
      <c r="AF124" s="14" t="n">
        <f aca="false">IF(ISBLANK(Actuals!AG34),-736.03*Escalation!$B$29,Actuals!AG34)</f>
        <v>-765.765612</v>
      </c>
      <c r="AG124" s="14" t="n">
        <f aca="false">IF(ISBLANK(Actuals!AH34),-736.03*Escalation!$B$30,Actuals!AH34)</f>
        <v>-765.765612</v>
      </c>
      <c r="AH124" s="14" t="n">
        <f aca="false">IF(ISBLANK(Actuals!AI34),-736.03*Escalation!$B$31,Actuals!AI34)</f>
        <v>-765.765612</v>
      </c>
      <c r="AI124" s="14" t="n">
        <f aca="false">IF(ISBLANK(Actuals!AJ34),-736.03*Escalation!$B$32,Actuals!AJ34)</f>
        <v>-765.765612</v>
      </c>
      <c r="AJ124" s="14" t="n">
        <f aca="false">IF(ISBLANK(Actuals!AK34),-736.03*Escalation!$B$33,Actuals!AK34)</f>
        <v>-765.765612</v>
      </c>
      <c r="AK124" s="14" t="n">
        <f aca="false">IF(ISBLANK(Actuals!AL34),-736.03*Escalation!$B$34,Actuals!AL34)</f>
        <v>-765.765612</v>
      </c>
      <c r="AL124" s="14" t="n">
        <f aca="false">IF(ISBLANK(Actuals!AM34),-736.03*Escalation!$B$35,Actuals!AM34)</f>
        <v>-765.765612</v>
      </c>
      <c r="AM124" s="14" t="n">
        <f aca="false">IF(ISBLANK(Actuals!AN34),-736.03*Escalation!$B$36,Actuals!AN34)</f>
        <v>-765.765612</v>
      </c>
      <c r="AN124" s="14" t="n">
        <f aca="false">IF(ISBLANK(Actuals!AO34),-736.03*Escalation!$B$37,Actuals!AO34)</f>
        <v>-765.765612</v>
      </c>
      <c r="AO124" s="14" t="n">
        <f aca="false">IF(ISBLANK(Actuals!AP34),-736.03*Escalation!$B$38,Actuals!AP34)</f>
        <v>-781.08092424</v>
      </c>
      <c r="AP124" s="14" t="n">
        <f aca="false">IF(ISBLANK(Actuals!AQ34),-736.03*Escalation!$B$39,Actuals!AQ34)</f>
        <v>-781.08092424</v>
      </c>
      <c r="AQ124" s="14" t="n">
        <f aca="false">IF(ISBLANK(Actuals!AR34),-736.03*Escalation!$B$40,Actuals!AR34)</f>
        <v>-781.08092424</v>
      </c>
      <c r="AR124" s="14" t="n">
        <f aca="false">IF(ISBLANK(Actuals!AS34),-736.03*Escalation!$B$41,Actuals!AS34)</f>
        <v>-781.08092424</v>
      </c>
      <c r="AS124" s="14" t="n">
        <f aca="false">IF(ISBLANK(Actuals!AT34),-736.03*Escalation!$B$42,Actuals!AT34)</f>
        <v>-781.08092424</v>
      </c>
      <c r="AT124" s="14" t="n">
        <f aca="false">IF(ISBLANK(Actuals!AU34),-736.03*Escalation!$B$43,Actuals!AU34)</f>
        <v>-781.08092424</v>
      </c>
      <c r="AU124" s="14" t="n">
        <f aca="false">IF(ISBLANK(Actuals!AV34),-736.03*Escalation!$B$44,Actuals!AV34)</f>
        <v>-781.08092424</v>
      </c>
      <c r="AV124" s="14" t="n">
        <f aca="false">IF(ISBLANK(Actuals!AW34),-736.03*Escalation!$B$45,Actuals!AW34)</f>
        <v>-781.08092424</v>
      </c>
      <c r="AW124" s="14" t="n">
        <f aca="false">IF(ISBLANK(Actuals!AX34),-736.03*Escalation!$B$46,Actuals!AX34)</f>
        <v>-781.08092424</v>
      </c>
      <c r="AX124" s="14" t="n">
        <f aca="false">IF(ISBLANK(Actuals!AY34),-736.03*Escalation!$B$47,Actuals!AY34)</f>
        <v>-781.08092424</v>
      </c>
      <c r="AY124" s="14" t="n">
        <f aca="false">IF(ISBLANK(Actuals!AZ34),-736.03*Escalation!$B$48,Actuals!AZ34)</f>
        <v>-781.08092424</v>
      </c>
      <c r="AZ124" s="14" t="n">
        <f aca="false">IF(ISBLANK(Actuals!BA34),-736.03*Escalation!$B$49,Actuals!BA34)</f>
        <v>-781.08092424</v>
      </c>
      <c r="BA124" s="14" t="n">
        <f aca="false">IF(ISBLANK(Actuals!BB34),-736.03*Escalation!$B$50,Actuals!BB34)</f>
        <v>-796.7025427248</v>
      </c>
      <c r="BB124" s="14" t="n">
        <f aca="false">IF(ISBLANK(Actuals!BC34),-736.03*Escalation!$B$51,Actuals!BC34)</f>
        <v>-796.7025427248</v>
      </c>
      <c r="BC124" s="14" t="n">
        <f aca="false">IF(ISBLANK(Actuals!BD34),-736.03*Escalation!$B$52,Actuals!BD34)</f>
        <v>-796.7025427248</v>
      </c>
      <c r="BD124" s="14" t="n">
        <f aca="false">IF(ISBLANK(Actuals!BE34),-736.03*Escalation!$B$53,Actuals!BE34)</f>
        <v>-796.7025427248</v>
      </c>
      <c r="BE124" s="14" t="n">
        <f aca="false">IF(ISBLANK(Actuals!BF34),-736.03*Escalation!$B$54,Actuals!BF34)</f>
        <v>-796.7025427248</v>
      </c>
      <c r="BF124" s="14" t="n">
        <f aca="false">IF(ISBLANK(Actuals!BG34),-736.03*Escalation!$B$55,Actuals!BG34)</f>
        <v>-796.7025427248</v>
      </c>
      <c r="BG124" s="14" t="n">
        <f aca="false">IF(ISBLANK(Actuals!BH34),-736.03*Escalation!$B$56,Actuals!BH34)</f>
        <v>-796.7025427248</v>
      </c>
      <c r="BH124" s="14" t="n">
        <f aca="false">IF(ISBLANK(Actuals!BI34),-736.03*Escalation!$B$57,Actuals!BI34)</f>
        <v>-796.7025427248</v>
      </c>
      <c r="BI124" s="14" t="n">
        <f aca="false">IF(ISBLANK(Actuals!BJ34),-736.03*Escalation!$B$58,Actuals!BJ34)</f>
        <v>-796.7025427248</v>
      </c>
      <c r="BJ124" s="14" t="n">
        <f aca="false">IF(ISBLANK(Actuals!BK34),-736.03*Escalation!$B$59,Actuals!BK34)</f>
        <v>-796.7025427248</v>
      </c>
      <c r="BK124" s="14" t="n">
        <f aca="false">IF(ISBLANK(Actuals!BL34),-736.03*Escalation!$B$60,Actuals!BL34)</f>
        <v>-796.7025427248</v>
      </c>
      <c r="BL124" s="14" t="n">
        <f aca="false">IF(ISBLANK(Actuals!BM34),-736.03*Escalation!$B$61,Actuals!BM34)</f>
        <v>-796.7025427248</v>
      </c>
      <c r="BM124" s="14" t="n">
        <f aca="false">IF(ISBLANK(Actuals!BN34),-736.03*Escalation!$B$62,Actuals!BN34)</f>
        <v>-812.636593579296</v>
      </c>
      <c r="BN124" s="14" t="n">
        <f aca="false">IF(ISBLANK(Actuals!BO34),-736.03*Escalation!$B$63,Actuals!BO34)</f>
        <v>-812.636593579296</v>
      </c>
      <c r="BO124" s="14" t="n">
        <f aca="false">IF(ISBLANK(Actuals!BP34),-736.03*Escalation!$B$64,Actuals!BP34)</f>
        <v>-812.636593579296</v>
      </c>
      <c r="BP124" s="14" t="n">
        <f aca="false">IF(ISBLANK(Actuals!BQ34),-736.03*Escalation!$B$65,Actuals!BQ34)</f>
        <v>-812.636593579296</v>
      </c>
      <c r="BQ124" s="14" t="n">
        <f aca="false">IF(ISBLANK(Actuals!BR34),-736.03*Escalation!$B$66,Actuals!BR34)</f>
        <v>-812.636593579296</v>
      </c>
      <c r="BR124" s="14" t="n">
        <f aca="false">IF(ISBLANK(Actuals!BS34),-736.03*Escalation!$B$67,Actuals!BS34)</f>
        <v>-812.636593579296</v>
      </c>
      <c r="BS124" s="14" t="n">
        <f aca="false">IF(ISBLANK(Actuals!BT34),-736.03*Escalation!$B$68,Actuals!BT34)</f>
        <v>-812.636593579296</v>
      </c>
      <c r="BT124" s="14" t="n">
        <f aca="false">IF(ISBLANK(Actuals!BU34),-736.03*Escalation!$B$69,Actuals!BU34)</f>
        <v>-812.636593579296</v>
      </c>
      <c r="BU124" s="14" t="n">
        <f aca="false">IF(ISBLANK(Actuals!BV34),-736.03*Escalation!$B$70,Actuals!BV34)</f>
        <v>-812.636593579296</v>
      </c>
      <c r="BV124" s="14" t="n">
        <f aca="false">IF(ISBLANK(Actuals!BW34),-736.03*Escalation!$B$71,Actuals!BW34)</f>
        <v>-812.636593579296</v>
      </c>
      <c r="BW124" s="14" t="n">
        <f aca="false">IF(ISBLANK(Actuals!BX34),-736.03*Escalation!$B$72,Actuals!BX34)</f>
        <v>-812.636593579296</v>
      </c>
      <c r="BX124" s="14" t="n">
        <f aca="false">IF(ISBLANK(Actuals!BY34),-736.03*Escalation!$B$73,Actuals!BY34)</f>
        <v>-812.636593579296</v>
      </c>
      <c r="BY124" s="14" t="n">
        <f aca="false">IF(ISBLANK(Actuals!BZ34),-736.03*Escalation!$B$74,Actuals!BZ34)</f>
        <v>-828.889325450882</v>
      </c>
      <c r="BZ124" s="14" t="n">
        <f aca="false">IF(ISBLANK(Actuals!CA34),-736.03*Escalation!$B$75,Actuals!CA34)</f>
        <v>-828.889325450882</v>
      </c>
      <c r="CA124" s="14" t="n">
        <f aca="false">IF(ISBLANK(Actuals!CB34),-736.03*Escalation!$B$76,Actuals!CB34)</f>
        <v>-828.889325450882</v>
      </c>
      <c r="CB124" s="14" t="n">
        <f aca="false">IF(ISBLANK(Actuals!CC34),-736.03*Escalation!$B$77,Actuals!CC34)</f>
        <v>-828.889325450882</v>
      </c>
      <c r="CC124" s="14" t="n">
        <f aca="false">IF(ISBLANK(Actuals!CD34),-736.03*Escalation!$B$78,Actuals!CD34)</f>
        <v>-828.889325450882</v>
      </c>
      <c r="CD124" s="14" t="n">
        <f aca="false">IF(ISBLANK(Actuals!CE34),-736.03*Escalation!$B$79,Actuals!CE34)</f>
        <v>-828.889325450882</v>
      </c>
      <c r="CE124" s="14" t="n">
        <f aca="false">IF(ISBLANK(Actuals!CF34),-736.03*Escalation!$B$80,Actuals!CF34)</f>
        <v>-828.889325450882</v>
      </c>
      <c r="CF124" s="14" t="n">
        <f aca="false">IF(ISBLANK(Actuals!CG34),-736.03*Escalation!$B$81,Actuals!CG34)</f>
        <v>-828.889325450882</v>
      </c>
      <c r="CG124" s="14" t="n">
        <f aca="false">IF(ISBLANK(Actuals!CH34),-736.03*Escalation!$B$82,Actuals!CH34)</f>
        <v>-828.889325450882</v>
      </c>
      <c r="CH124" s="14" t="n">
        <f aca="false">IF(ISBLANK(Actuals!CI34),-736.03*Escalation!$B$83,Actuals!CI34)</f>
        <v>-828.889325450882</v>
      </c>
      <c r="CI124" s="14" t="n">
        <f aca="false">IF(ISBLANK(Actuals!CJ34),-736.03*Escalation!$B$84,Actuals!CJ34)</f>
        <v>-828.889325450882</v>
      </c>
      <c r="CJ124" s="14" t="n">
        <f aca="false">IF(ISBLANK(Actuals!CK34),-736.03*Escalation!$B$85,Actuals!CK34)</f>
        <v>-828.889325450882</v>
      </c>
      <c r="CK124" s="14" t="n">
        <f aca="false">IF(ISBLANK(Actuals!CL34),-736.03*Escalation!$B$86,Actuals!CL34)</f>
        <v>-845.4671119599</v>
      </c>
      <c r="CL124" s="14" t="n">
        <f aca="false">IF(ISBLANK(Actuals!CM34),-736.03*Escalation!$B$87,Actuals!CM34)</f>
        <v>-845.4671119599</v>
      </c>
      <c r="CM124" s="14" t="n">
        <f aca="false">IF(ISBLANK(Actuals!CN34),-736.03*Escalation!$B$88,Actuals!CN34)</f>
        <v>-845.4671119599</v>
      </c>
      <c r="CN124" s="14" t="n">
        <f aca="false">IF(ISBLANK(Actuals!CO34),-736.03*Escalation!$B$89,Actuals!CO34)</f>
        <v>-845.4671119599</v>
      </c>
      <c r="CO124" s="14" t="n">
        <f aca="false">IF(ISBLANK(Actuals!CP34),-736.03*Escalation!$B$90,Actuals!CP34)</f>
        <v>-845.4671119599</v>
      </c>
      <c r="CP124" s="14" t="n">
        <f aca="false">IF(ISBLANK(Actuals!CQ34),-736.03*Escalation!$B$91,Actuals!CQ34)</f>
        <v>-845.4671119599</v>
      </c>
      <c r="CQ124" s="14" t="n">
        <f aca="false">IF(ISBLANK(Actuals!CR34),-736.03*Escalation!$B$92,Actuals!CR34)</f>
        <v>-845.4671119599</v>
      </c>
      <c r="CR124" s="14" t="n">
        <f aca="false">IF(ISBLANK(Actuals!CS34),-736.03*Escalation!$B$93,Actuals!CS34)</f>
        <v>-845.4671119599</v>
      </c>
      <c r="CS124" s="14" t="n">
        <f aca="false">IF(ISBLANK(Actuals!CT34),-736.03*Escalation!$B$94,Actuals!CT34)</f>
        <v>-845.4671119599</v>
      </c>
      <c r="CT124" s="14" t="n">
        <f aca="false">IF(ISBLANK(Actuals!CU34),-736.03*Escalation!$B$95,Actuals!CU34)</f>
        <v>-845.4671119599</v>
      </c>
      <c r="CU124" s="14" t="n">
        <f aca="false">IF(ISBLANK(Actuals!CV34),-736.03*Escalation!$B$96,Actuals!CV34)</f>
        <v>-845.4671119599</v>
      </c>
      <c r="CV124" s="14" t="n">
        <f aca="false">IF(ISBLANK(Actuals!CW34),-736.03*Escalation!$B$97,Actuals!CW34)</f>
        <v>-845.4671119599</v>
      </c>
      <c r="CW124" s="14" t="n">
        <f aca="false">IF(ISBLANK(Actuals!CX34),-736.03*Escalation!$B$98,Actuals!CX34)</f>
        <v>-862.376454199098</v>
      </c>
      <c r="CX124" s="14" t="n">
        <f aca="false">IF(ISBLANK(Actuals!CY34),-736.03*Escalation!$B$99,Actuals!CY34)</f>
        <v>-862.376454199098</v>
      </c>
      <c r="CY124" s="14" t="n">
        <f aca="false">IF(ISBLANK(Actuals!CZ34),-736.03*Escalation!$B$100,Actuals!CZ34)</f>
        <v>-862.376454199098</v>
      </c>
      <c r="CZ124" s="14" t="n">
        <f aca="false">IF(ISBLANK(Actuals!DA34),-736.03*Escalation!$B$101,Actuals!DA34)</f>
        <v>-862.376454199098</v>
      </c>
      <c r="DA124" s="14" t="n">
        <f aca="false">IF(ISBLANK(Actuals!DB34),-736.03*Escalation!$B$102,Actuals!DB34)</f>
        <v>-862.376454199098</v>
      </c>
      <c r="DB124" s="14" t="n">
        <f aca="false">IF(ISBLANK(Actuals!DC34),-736.03*Escalation!$B$103,Actuals!DC34)</f>
        <v>-862.376454199098</v>
      </c>
      <c r="DC124" s="14" t="n">
        <f aca="false">IF(ISBLANK(Actuals!DD34),-736.03*Escalation!$B$104,Actuals!DD34)</f>
        <v>-862.376454199098</v>
      </c>
      <c r="DD124" s="14" t="n">
        <f aca="false">IF(ISBLANK(Actuals!DE34),-736.03*Escalation!$B$105,Actuals!DE34)</f>
        <v>-862.376454199098</v>
      </c>
      <c r="DE124" s="14" t="n">
        <f aca="false">IF(ISBLANK(Actuals!DF34),-736.03*Escalation!$B$106,Actuals!DF34)</f>
        <v>-862.376454199098</v>
      </c>
    </row>
    <row r="125" customFormat="false" ht="15" hidden="false" customHeight="true" outlineLevel="0" collapsed="false">
      <c r="A125" s="29" t="s">
        <v>74</v>
      </c>
      <c r="B125" s="14" t="n">
        <f aca="false">IF(ISBLANK(Actuals!C35),0,Actuals!C35)</f>
        <v>-681.77</v>
      </c>
      <c r="C125" s="14" t="n">
        <f aca="false">IF(ISBLANK(Actuals!D35),0,Actuals!D35)</f>
        <v>-600.14</v>
      </c>
      <c r="D125" s="14" t="n">
        <f aca="false">IF(ISBLANK(Actuals!E35),0,Actuals!E35)</f>
        <v>-2121.95</v>
      </c>
      <c r="E125" s="14" t="n">
        <f aca="false">IF(ISBLANK(Actuals!F35),-1134.62*Escalation!$B$2,Actuals!F35)</f>
        <v>-840.49</v>
      </c>
      <c r="F125" s="14" t="n">
        <f aca="false">IF(ISBLANK(Actuals!G35),-1134.62*Escalation!$B$3,Actuals!G35)</f>
        <v>-847.85</v>
      </c>
      <c r="G125" s="14" t="n">
        <f aca="false">IF(ISBLANK(Actuals!H35),-1134.62*Escalation!$B$4,Actuals!H35)</f>
        <v>-486.63</v>
      </c>
      <c r="H125" s="14" t="n">
        <f aca="false">IF(ISBLANK(Actuals!I35),-1134.62*Escalation!$B$5,Actuals!I35)</f>
        <v>-1134.62</v>
      </c>
      <c r="I125" s="14" t="n">
        <f aca="false">IF(ISBLANK(Actuals!J35),-1134.62*Escalation!$B$6,Actuals!J35)</f>
        <v>-1134.62</v>
      </c>
      <c r="J125" s="14" t="n">
        <f aca="false">IF(ISBLANK(Actuals!K35),-1134.62*Escalation!$B$7,Actuals!K35)</f>
        <v>-1134.62</v>
      </c>
      <c r="K125" s="14" t="n">
        <f aca="false">IF(ISBLANK(Actuals!L35),-1134.62*Escalation!$B$8,Actuals!L35)</f>
        <v>-1134.62</v>
      </c>
      <c r="L125" s="14" t="n">
        <f aca="false">IF(ISBLANK(Actuals!M35),-1134.62*Escalation!$B$9,Actuals!M35)</f>
        <v>-1134.62</v>
      </c>
      <c r="M125" s="14" t="n">
        <f aca="false">IF(ISBLANK(Actuals!N35),-1134.62*Escalation!$B$10,Actuals!N35)</f>
        <v>-1134.62</v>
      </c>
      <c r="N125" s="14" t="n">
        <f aca="false">IF(ISBLANK(Actuals!O35),-1134.62*Escalation!$B$11,Actuals!O35)</f>
        <v>-1134.62</v>
      </c>
      <c r="O125" s="14" t="n">
        <f aca="false">IF(ISBLANK(Actuals!P35),-1134.62*Escalation!$B$12,Actuals!P35)</f>
        <v>-1134.62</v>
      </c>
      <c r="P125" s="14" t="n">
        <f aca="false">IF(ISBLANK(Actuals!Q35),-1134.62*Escalation!$B$13,Actuals!Q35)</f>
        <v>-1134.62</v>
      </c>
      <c r="Q125" s="14" t="n">
        <f aca="false">IF(ISBLANK(Actuals!R35),-1134.62*Escalation!$B$14,Actuals!R35)</f>
        <v>-1157.3124</v>
      </c>
      <c r="R125" s="14" t="n">
        <f aca="false">IF(ISBLANK(Actuals!S35),-1134.62*Escalation!$B$15,Actuals!S35)</f>
        <v>-1157.3124</v>
      </c>
      <c r="S125" s="14" t="n">
        <f aca="false">IF(ISBLANK(Actuals!T35),-1134.62*Escalation!$B$16,Actuals!T35)</f>
        <v>-1157.3124</v>
      </c>
      <c r="T125" s="14" t="n">
        <f aca="false">IF(ISBLANK(Actuals!U35),-1134.62*Escalation!$B$17,Actuals!U35)</f>
        <v>-1157.3124</v>
      </c>
      <c r="U125" s="14" t="n">
        <f aca="false">IF(ISBLANK(Actuals!V35),-1134.62*Escalation!$B$18,Actuals!V35)</f>
        <v>-1157.3124</v>
      </c>
      <c r="V125" s="14" t="n">
        <f aca="false">IF(ISBLANK(Actuals!W35),-1134.62*Escalation!$B$19,Actuals!W35)</f>
        <v>-1157.3124</v>
      </c>
      <c r="W125" s="14" t="n">
        <f aca="false">IF(ISBLANK(Actuals!X35),-1134.62*Escalation!$B$20,Actuals!X35)</f>
        <v>-1157.3124</v>
      </c>
      <c r="X125" s="14" t="n">
        <f aca="false">IF(ISBLANK(Actuals!Y35),-1134.62*Escalation!$B$21,Actuals!Y35)</f>
        <v>-1157.3124</v>
      </c>
      <c r="Y125" s="14" t="n">
        <f aca="false">IF(ISBLANK(Actuals!Z35),-1134.62*Escalation!$B$22,Actuals!Z35)</f>
        <v>-1157.3124</v>
      </c>
      <c r="Z125" s="14" t="n">
        <f aca="false">IF(ISBLANK(Actuals!AA35),-1134.62*Escalation!$B$23,Actuals!AA35)</f>
        <v>-1157.3124</v>
      </c>
      <c r="AA125" s="14" t="n">
        <f aca="false">IF(ISBLANK(Actuals!AB35),-1134.62*Escalation!$B$24,Actuals!AB35)</f>
        <v>-1157.3124</v>
      </c>
      <c r="AB125" s="14" t="n">
        <f aca="false">IF(ISBLANK(Actuals!AC35),-1134.62*Escalation!$B$25,Actuals!AC35)</f>
        <v>-1157.3124</v>
      </c>
      <c r="AC125" s="14" t="n">
        <f aca="false">IF(ISBLANK(Actuals!AD35),-1134.62*Escalation!$B$26,Actuals!AD35)</f>
        <v>-1180.458648</v>
      </c>
      <c r="AD125" s="14" t="n">
        <f aca="false">IF(ISBLANK(Actuals!AE35),-1134.62*Escalation!$B$27,Actuals!AE35)</f>
        <v>-1180.458648</v>
      </c>
      <c r="AE125" s="14" t="n">
        <f aca="false">IF(ISBLANK(Actuals!AF35),-1134.62*Escalation!$B$28,Actuals!AF35)</f>
        <v>-1180.458648</v>
      </c>
      <c r="AF125" s="14" t="n">
        <f aca="false">IF(ISBLANK(Actuals!AG35),-1134.62*Escalation!$B$29,Actuals!AG35)</f>
        <v>-1180.458648</v>
      </c>
      <c r="AG125" s="14" t="n">
        <f aca="false">IF(ISBLANK(Actuals!AH35),-1134.62*Escalation!$B$30,Actuals!AH35)</f>
        <v>-1180.458648</v>
      </c>
      <c r="AH125" s="14" t="n">
        <f aca="false">IF(ISBLANK(Actuals!AI35),-1134.62*Escalation!$B$31,Actuals!AI35)</f>
        <v>-1180.458648</v>
      </c>
      <c r="AI125" s="14" t="n">
        <f aca="false">IF(ISBLANK(Actuals!AJ35),-1134.62*Escalation!$B$32,Actuals!AJ35)</f>
        <v>-1180.458648</v>
      </c>
      <c r="AJ125" s="14" t="n">
        <f aca="false">IF(ISBLANK(Actuals!AK35),-1134.62*Escalation!$B$33,Actuals!AK35)</f>
        <v>-1180.458648</v>
      </c>
      <c r="AK125" s="14" t="n">
        <f aca="false">IF(ISBLANK(Actuals!AL35),-1134.62*Escalation!$B$34,Actuals!AL35)</f>
        <v>-1180.458648</v>
      </c>
      <c r="AL125" s="14" t="n">
        <f aca="false">IF(ISBLANK(Actuals!AM35),-1134.62*Escalation!$B$35,Actuals!AM35)</f>
        <v>-1180.458648</v>
      </c>
      <c r="AM125" s="14" t="n">
        <f aca="false">IF(ISBLANK(Actuals!AN35),-1134.62*Escalation!$B$36,Actuals!AN35)</f>
        <v>-1180.458648</v>
      </c>
      <c r="AN125" s="14" t="n">
        <f aca="false">IF(ISBLANK(Actuals!AO35),-1134.62*Escalation!$B$37,Actuals!AO35)</f>
        <v>-1180.458648</v>
      </c>
      <c r="AO125" s="14" t="n">
        <f aca="false">IF(ISBLANK(Actuals!AP35),-1134.62*Escalation!$B$38,Actuals!AP35)</f>
        <v>-1204.06782096</v>
      </c>
      <c r="AP125" s="14" t="n">
        <f aca="false">IF(ISBLANK(Actuals!AQ35),-1134.62*Escalation!$B$39,Actuals!AQ35)</f>
        <v>-1204.06782096</v>
      </c>
      <c r="AQ125" s="14" t="n">
        <f aca="false">IF(ISBLANK(Actuals!AR35),-1134.62*Escalation!$B$40,Actuals!AR35)</f>
        <v>-1204.06782096</v>
      </c>
      <c r="AR125" s="14" t="n">
        <f aca="false">IF(ISBLANK(Actuals!AS35),-1134.62*Escalation!$B$41,Actuals!AS35)</f>
        <v>-1204.06782096</v>
      </c>
      <c r="AS125" s="14" t="n">
        <f aca="false">IF(ISBLANK(Actuals!AT35),-1134.62*Escalation!$B$42,Actuals!AT35)</f>
        <v>-1204.06782096</v>
      </c>
      <c r="AT125" s="14" t="n">
        <f aca="false">IF(ISBLANK(Actuals!AU35),-1134.62*Escalation!$B$43,Actuals!AU35)</f>
        <v>-1204.06782096</v>
      </c>
      <c r="AU125" s="14" t="n">
        <f aca="false">IF(ISBLANK(Actuals!AV35),-1134.62*Escalation!$B$44,Actuals!AV35)</f>
        <v>-1204.06782096</v>
      </c>
      <c r="AV125" s="14" t="n">
        <f aca="false">IF(ISBLANK(Actuals!AW35),-1134.62*Escalation!$B$45,Actuals!AW35)</f>
        <v>-1204.06782096</v>
      </c>
      <c r="AW125" s="14" t="n">
        <f aca="false">IF(ISBLANK(Actuals!AX35),-1134.62*Escalation!$B$46,Actuals!AX35)</f>
        <v>-1204.06782096</v>
      </c>
      <c r="AX125" s="14" t="n">
        <f aca="false">IF(ISBLANK(Actuals!AY35),-1134.62*Escalation!$B$47,Actuals!AY35)</f>
        <v>-1204.06782096</v>
      </c>
      <c r="AY125" s="14" t="n">
        <f aca="false">IF(ISBLANK(Actuals!AZ35),-1134.62*Escalation!$B$48,Actuals!AZ35)</f>
        <v>-1204.06782096</v>
      </c>
      <c r="AZ125" s="14" t="n">
        <f aca="false">IF(ISBLANK(Actuals!BA35),-1134.62*Escalation!$B$49,Actuals!BA35)</f>
        <v>-1204.06782096</v>
      </c>
      <c r="BA125" s="14" t="n">
        <f aca="false">IF(ISBLANK(Actuals!BB35),-1134.62*Escalation!$B$50,Actuals!BB35)</f>
        <v>-1228.1491773792</v>
      </c>
      <c r="BB125" s="14" t="n">
        <f aca="false">IF(ISBLANK(Actuals!BC35),-1134.62*Escalation!$B$51,Actuals!BC35)</f>
        <v>-1228.1491773792</v>
      </c>
      <c r="BC125" s="14" t="n">
        <f aca="false">IF(ISBLANK(Actuals!BD35),-1134.62*Escalation!$B$52,Actuals!BD35)</f>
        <v>-1228.1491773792</v>
      </c>
      <c r="BD125" s="14" t="n">
        <f aca="false">IF(ISBLANK(Actuals!BE35),-1134.62*Escalation!$B$53,Actuals!BE35)</f>
        <v>-1228.1491773792</v>
      </c>
      <c r="BE125" s="14" t="n">
        <f aca="false">IF(ISBLANK(Actuals!BF35),-1134.62*Escalation!$B$54,Actuals!BF35)</f>
        <v>-1228.1491773792</v>
      </c>
      <c r="BF125" s="14" t="n">
        <f aca="false">IF(ISBLANK(Actuals!BG35),-1134.62*Escalation!$B$55,Actuals!BG35)</f>
        <v>-1228.1491773792</v>
      </c>
      <c r="BG125" s="14" t="n">
        <f aca="false">IF(ISBLANK(Actuals!BH35),-1134.62*Escalation!$B$56,Actuals!BH35)</f>
        <v>-1228.1491773792</v>
      </c>
      <c r="BH125" s="14" t="n">
        <f aca="false">IF(ISBLANK(Actuals!BI35),-1134.62*Escalation!$B$57,Actuals!BI35)</f>
        <v>-1228.1491773792</v>
      </c>
      <c r="BI125" s="14" t="n">
        <f aca="false">IF(ISBLANK(Actuals!BJ35),-1134.62*Escalation!$B$58,Actuals!BJ35)</f>
        <v>-1228.1491773792</v>
      </c>
      <c r="BJ125" s="14" t="n">
        <f aca="false">IF(ISBLANK(Actuals!BK35),-1134.62*Escalation!$B$59,Actuals!BK35)</f>
        <v>-1228.1491773792</v>
      </c>
      <c r="BK125" s="14" t="n">
        <f aca="false">IF(ISBLANK(Actuals!BL35),-1134.62*Escalation!$B$60,Actuals!BL35)</f>
        <v>-1228.1491773792</v>
      </c>
      <c r="BL125" s="14" t="n">
        <f aca="false">IF(ISBLANK(Actuals!BM35),-1134.62*Escalation!$B$61,Actuals!BM35)</f>
        <v>-1228.1491773792</v>
      </c>
      <c r="BM125" s="14" t="n">
        <f aca="false">IF(ISBLANK(Actuals!BN35),-1134.62*Escalation!$B$62,Actuals!BN35)</f>
        <v>-1252.71216092678</v>
      </c>
      <c r="BN125" s="14" t="n">
        <f aca="false">IF(ISBLANK(Actuals!BO35),-1134.62*Escalation!$B$63,Actuals!BO35)</f>
        <v>-1252.71216092678</v>
      </c>
      <c r="BO125" s="14" t="n">
        <f aca="false">IF(ISBLANK(Actuals!BP35),-1134.62*Escalation!$B$64,Actuals!BP35)</f>
        <v>-1252.71216092678</v>
      </c>
      <c r="BP125" s="14" t="n">
        <f aca="false">IF(ISBLANK(Actuals!BQ35),-1134.62*Escalation!$B$65,Actuals!BQ35)</f>
        <v>-1252.71216092678</v>
      </c>
      <c r="BQ125" s="14" t="n">
        <f aca="false">IF(ISBLANK(Actuals!BR35),-1134.62*Escalation!$B$66,Actuals!BR35)</f>
        <v>-1252.71216092678</v>
      </c>
      <c r="BR125" s="14" t="n">
        <f aca="false">IF(ISBLANK(Actuals!BS35),-1134.62*Escalation!$B$67,Actuals!BS35)</f>
        <v>-1252.71216092678</v>
      </c>
      <c r="BS125" s="14" t="n">
        <f aca="false">IF(ISBLANK(Actuals!BT35),-1134.62*Escalation!$B$68,Actuals!BT35)</f>
        <v>-1252.71216092678</v>
      </c>
      <c r="BT125" s="14" t="n">
        <f aca="false">IF(ISBLANK(Actuals!BU35),-1134.62*Escalation!$B$69,Actuals!BU35)</f>
        <v>-1252.71216092678</v>
      </c>
      <c r="BU125" s="14" t="n">
        <f aca="false">IF(ISBLANK(Actuals!BV35),-1134.62*Escalation!$B$70,Actuals!BV35)</f>
        <v>-1252.71216092678</v>
      </c>
      <c r="BV125" s="14" t="n">
        <f aca="false">IF(ISBLANK(Actuals!BW35),-1134.62*Escalation!$B$71,Actuals!BW35)</f>
        <v>-1252.71216092678</v>
      </c>
      <c r="BW125" s="14" t="n">
        <f aca="false">IF(ISBLANK(Actuals!BX35),-1134.62*Escalation!$B$72,Actuals!BX35)</f>
        <v>-1252.71216092678</v>
      </c>
      <c r="BX125" s="14" t="n">
        <f aca="false">IF(ISBLANK(Actuals!BY35),-1134.62*Escalation!$B$73,Actuals!BY35)</f>
        <v>-1252.71216092678</v>
      </c>
      <c r="BY125" s="14" t="n">
        <f aca="false">IF(ISBLANK(Actuals!BZ35),-1134.62*Escalation!$B$74,Actuals!BZ35)</f>
        <v>-1277.76640414532</v>
      </c>
      <c r="BZ125" s="14" t="n">
        <f aca="false">IF(ISBLANK(Actuals!CA35),-1134.62*Escalation!$B$75,Actuals!CA35)</f>
        <v>-1277.76640414532</v>
      </c>
      <c r="CA125" s="14" t="n">
        <f aca="false">IF(ISBLANK(Actuals!CB35),-1134.62*Escalation!$B$76,Actuals!CB35)</f>
        <v>-1277.76640414532</v>
      </c>
      <c r="CB125" s="14" t="n">
        <f aca="false">IF(ISBLANK(Actuals!CC35),-1134.62*Escalation!$B$77,Actuals!CC35)</f>
        <v>-1277.76640414532</v>
      </c>
      <c r="CC125" s="14" t="n">
        <f aca="false">IF(ISBLANK(Actuals!CD35),-1134.62*Escalation!$B$78,Actuals!CD35)</f>
        <v>-1277.76640414532</v>
      </c>
      <c r="CD125" s="14" t="n">
        <f aca="false">IF(ISBLANK(Actuals!CE35),-1134.62*Escalation!$B$79,Actuals!CE35)</f>
        <v>-1277.76640414532</v>
      </c>
      <c r="CE125" s="14" t="n">
        <f aca="false">IF(ISBLANK(Actuals!CF35),-1134.62*Escalation!$B$80,Actuals!CF35)</f>
        <v>-1277.76640414532</v>
      </c>
      <c r="CF125" s="14" t="n">
        <f aca="false">IF(ISBLANK(Actuals!CG35),-1134.62*Escalation!$B$81,Actuals!CG35)</f>
        <v>-1277.76640414532</v>
      </c>
      <c r="CG125" s="14" t="n">
        <f aca="false">IF(ISBLANK(Actuals!CH35),-1134.62*Escalation!$B$82,Actuals!CH35)</f>
        <v>-1277.76640414532</v>
      </c>
      <c r="CH125" s="14" t="n">
        <f aca="false">IF(ISBLANK(Actuals!CI35),-1134.62*Escalation!$B$83,Actuals!CI35)</f>
        <v>-1277.76640414532</v>
      </c>
      <c r="CI125" s="14" t="n">
        <f aca="false">IF(ISBLANK(Actuals!CJ35),-1134.62*Escalation!$B$84,Actuals!CJ35)</f>
        <v>-1277.76640414532</v>
      </c>
      <c r="CJ125" s="14" t="n">
        <f aca="false">IF(ISBLANK(Actuals!CK35),-1134.62*Escalation!$B$85,Actuals!CK35)</f>
        <v>-1277.76640414532</v>
      </c>
      <c r="CK125" s="14" t="n">
        <f aca="false">IF(ISBLANK(Actuals!CL35),-1134.62*Escalation!$B$86,Actuals!CL35)</f>
        <v>-1303.32173222823</v>
      </c>
      <c r="CL125" s="14" t="n">
        <f aca="false">IF(ISBLANK(Actuals!CM35),-1134.62*Escalation!$B$87,Actuals!CM35)</f>
        <v>-1303.32173222823</v>
      </c>
      <c r="CM125" s="14" t="n">
        <f aca="false">IF(ISBLANK(Actuals!CN35),-1134.62*Escalation!$B$88,Actuals!CN35)</f>
        <v>-1303.32173222823</v>
      </c>
      <c r="CN125" s="14" t="n">
        <f aca="false">IF(ISBLANK(Actuals!CO35),-1134.62*Escalation!$B$89,Actuals!CO35)</f>
        <v>-1303.32173222823</v>
      </c>
      <c r="CO125" s="14" t="n">
        <f aca="false">IF(ISBLANK(Actuals!CP35),-1134.62*Escalation!$B$90,Actuals!CP35)</f>
        <v>-1303.32173222823</v>
      </c>
      <c r="CP125" s="14" t="n">
        <f aca="false">IF(ISBLANK(Actuals!CQ35),-1134.62*Escalation!$B$91,Actuals!CQ35)</f>
        <v>-1303.32173222823</v>
      </c>
      <c r="CQ125" s="14" t="n">
        <f aca="false">IF(ISBLANK(Actuals!CR35),-1134.62*Escalation!$B$92,Actuals!CR35)</f>
        <v>-1303.32173222823</v>
      </c>
      <c r="CR125" s="14" t="n">
        <f aca="false">IF(ISBLANK(Actuals!CS35),-1134.62*Escalation!$B$93,Actuals!CS35)</f>
        <v>-1303.32173222823</v>
      </c>
      <c r="CS125" s="14" t="n">
        <f aca="false">IF(ISBLANK(Actuals!CT35),-1134.62*Escalation!$B$94,Actuals!CT35)</f>
        <v>-1303.32173222823</v>
      </c>
      <c r="CT125" s="14" t="n">
        <f aca="false">IF(ISBLANK(Actuals!CU35),-1134.62*Escalation!$B$95,Actuals!CU35)</f>
        <v>-1303.32173222823</v>
      </c>
      <c r="CU125" s="14" t="n">
        <f aca="false">IF(ISBLANK(Actuals!CV35),-1134.62*Escalation!$B$96,Actuals!CV35)</f>
        <v>-1303.32173222823</v>
      </c>
      <c r="CV125" s="14" t="n">
        <f aca="false">IF(ISBLANK(Actuals!CW35),-1134.62*Escalation!$B$97,Actuals!CW35)</f>
        <v>-1303.32173222823</v>
      </c>
      <c r="CW125" s="14" t="n">
        <f aca="false">IF(ISBLANK(Actuals!CX35),-1134.62*Escalation!$B$98,Actuals!CX35)</f>
        <v>-1329.38816687279</v>
      </c>
      <c r="CX125" s="14" t="n">
        <f aca="false">IF(ISBLANK(Actuals!CY35),-1134.62*Escalation!$B$99,Actuals!CY35)</f>
        <v>-1329.38816687279</v>
      </c>
      <c r="CY125" s="14" t="n">
        <f aca="false">IF(ISBLANK(Actuals!CZ35),-1134.62*Escalation!$B$100,Actuals!CZ35)</f>
        <v>-1329.38816687279</v>
      </c>
      <c r="CZ125" s="14" t="n">
        <f aca="false">IF(ISBLANK(Actuals!DA35),-1134.62*Escalation!$B$101,Actuals!DA35)</f>
        <v>-1329.38816687279</v>
      </c>
      <c r="DA125" s="14" t="n">
        <f aca="false">IF(ISBLANK(Actuals!DB35),-1134.62*Escalation!$B$102,Actuals!DB35)</f>
        <v>-1329.38816687279</v>
      </c>
      <c r="DB125" s="14" t="n">
        <f aca="false">IF(ISBLANK(Actuals!DC35),-1134.62*Escalation!$B$103,Actuals!DC35)</f>
        <v>-1329.38816687279</v>
      </c>
      <c r="DC125" s="14" t="n">
        <f aca="false">IF(ISBLANK(Actuals!DD35),-1134.62*Escalation!$B$104,Actuals!DD35)</f>
        <v>-1329.38816687279</v>
      </c>
      <c r="DD125" s="14" t="n">
        <f aca="false">IF(ISBLANK(Actuals!DE35),-1134.62*Escalation!$B$105,Actuals!DE35)</f>
        <v>-1329.38816687279</v>
      </c>
      <c r="DE125" s="14" t="n">
        <f aca="false">IF(ISBLANK(Actuals!DF35),-1134.62*Escalation!$B$106,Actuals!DF35)</f>
        <v>-1329.38816687279</v>
      </c>
    </row>
    <row r="126" customFormat="false" ht="15" hidden="false" customHeight="true" outlineLevel="0" collapsed="false">
      <c r="A126" s="29" t="s">
        <v>75</v>
      </c>
      <c r="B126" s="14" t="n">
        <f aca="false">IF(ISBLANK(Actuals!C36),0,Actuals!C36)</f>
        <v>-2187.5</v>
      </c>
      <c r="C126" s="14" t="n">
        <f aca="false">IF(ISBLANK(Actuals!D36),0,Actuals!D36)</f>
        <v>0</v>
      </c>
      <c r="D126" s="14" t="n">
        <f aca="false">IF(ISBLANK(Actuals!E36),0,Actuals!E36)</f>
        <v>-1625</v>
      </c>
      <c r="E126" s="14" t="n">
        <f aca="false">IF(ISBLANK(Actuals!F36),-1270.83*Escalation!$B$2,Actuals!F36)</f>
        <v>0</v>
      </c>
      <c r="F126" s="14" t="n">
        <f aca="false">IF(ISBLANK(Actuals!G36),-1270.83*Escalation!$B$3,Actuals!G36)</f>
        <v>0</v>
      </c>
      <c r="G126" s="14" t="n">
        <f aca="false">IF(ISBLANK(Actuals!H36),-1270.83*Escalation!$B$4,Actuals!H36)</f>
        <v>0</v>
      </c>
      <c r="H126" s="14" t="n">
        <f aca="false">IF(ISBLANK(Actuals!I36),-1270.83*Escalation!$B$5,Actuals!I36)</f>
        <v>-1270.83</v>
      </c>
      <c r="I126" s="14" t="n">
        <f aca="false">IF(ISBLANK(Actuals!J36),-1270.83*Escalation!$B$6,Actuals!J36)</f>
        <v>-1270.83</v>
      </c>
      <c r="J126" s="14" t="n">
        <f aca="false">IF(ISBLANK(Actuals!K36),-1270.83*Escalation!$B$7,Actuals!K36)</f>
        <v>-1270.83</v>
      </c>
      <c r="K126" s="14" t="n">
        <f aca="false">IF(ISBLANK(Actuals!L36),-1270.83*Escalation!$B$8,Actuals!L36)</f>
        <v>-1270.83</v>
      </c>
      <c r="L126" s="14" t="n">
        <f aca="false">IF(ISBLANK(Actuals!M36),-1270.83*Escalation!$B$9,Actuals!M36)</f>
        <v>-1270.83</v>
      </c>
      <c r="M126" s="14" t="n">
        <f aca="false">IF(ISBLANK(Actuals!N36),-1270.83*Escalation!$B$10,Actuals!N36)</f>
        <v>-1270.83</v>
      </c>
      <c r="N126" s="14" t="n">
        <f aca="false">IF(ISBLANK(Actuals!O36),-1270.83*Escalation!$B$11,Actuals!O36)</f>
        <v>-1270.83</v>
      </c>
      <c r="O126" s="14" t="n">
        <f aca="false">IF(ISBLANK(Actuals!P36),-1270.83*Escalation!$B$12,Actuals!P36)</f>
        <v>-1270.83</v>
      </c>
      <c r="P126" s="14" t="n">
        <f aca="false">IF(ISBLANK(Actuals!Q36),-1270.83*Escalation!$B$13,Actuals!Q36)</f>
        <v>-1270.83</v>
      </c>
      <c r="Q126" s="14" t="n">
        <f aca="false">IF(ISBLANK(Actuals!R36),-1270.83*Escalation!$B$14,Actuals!R36)</f>
        <v>-1296.2466</v>
      </c>
      <c r="R126" s="14" t="n">
        <f aca="false">IF(ISBLANK(Actuals!S36),-1270.83*Escalation!$B$15,Actuals!S36)</f>
        <v>-1296.2466</v>
      </c>
      <c r="S126" s="14" t="n">
        <f aca="false">IF(ISBLANK(Actuals!T36),-1270.83*Escalation!$B$16,Actuals!T36)</f>
        <v>-1296.2466</v>
      </c>
      <c r="T126" s="14" t="n">
        <f aca="false">IF(ISBLANK(Actuals!U36),-1270.83*Escalation!$B$17,Actuals!U36)</f>
        <v>-1296.2466</v>
      </c>
      <c r="U126" s="14" t="n">
        <f aca="false">IF(ISBLANK(Actuals!V36),-1270.83*Escalation!$B$18,Actuals!V36)</f>
        <v>-1296.2466</v>
      </c>
      <c r="V126" s="14" t="n">
        <f aca="false">IF(ISBLANK(Actuals!W36),-1270.83*Escalation!$B$19,Actuals!W36)</f>
        <v>-1296.2466</v>
      </c>
      <c r="W126" s="14" t="n">
        <f aca="false">IF(ISBLANK(Actuals!X36),-1270.83*Escalation!$B$20,Actuals!X36)</f>
        <v>-1296.2466</v>
      </c>
      <c r="X126" s="14" t="n">
        <f aca="false">IF(ISBLANK(Actuals!Y36),-1270.83*Escalation!$B$21,Actuals!Y36)</f>
        <v>-1296.2466</v>
      </c>
      <c r="Y126" s="14" t="n">
        <f aca="false">IF(ISBLANK(Actuals!Z36),-1270.83*Escalation!$B$22,Actuals!Z36)</f>
        <v>-1296.2466</v>
      </c>
      <c r="Z126" s="14" t="n">
        <f aca="false">IF(ISBLANK(Actuals!AA36),-1270.83*Escalation!$B$23,Actuals!AA36)</f>
        <v>-1296.2466</v>
      </c>
      <c r="AA126" s="14" t="n">
        <f aca="false">IF(ISBLANK(Actuals!AB36),-1270.83*Escalation!$B$24,Actuals!AB36)</f>
        <v>-1296.2466</v>
      </c>
      <c r="AB126" s="14" t="n">
        <f aca="false">IF(ISBLANK(Actuals!AC36),-1270.83*Escalation!$B$25,Actuals!AC36)</f>
        <v>-1296.2466</v>
      </c>
      <c r="AC126" s="14" t="n">
        <f aca="false">IF(ISBLANK(Actuals!AD36),-1270.83*Escalation!$B$26,Actuals!AD36)</f>
        <v>-1322.171532</v>
      </c>
      <c r="AD126" s="14" t="n">
        <f aca="false">IF(ISBLANK(Actuals!AE36),-1270.83*Escalation!$B$27,Actuals!AE36)</f>
        <v>-1322.171532</v>
      </c>
      <c r="AE126" s="14" t="n">
        <f aca="false">IF(ISBLANK(Actuals!AF36),-1270.83*Escalation!$B$28,Actuals!AF36)</f>
        <v>-1322.171532</v>
      </c>
      <c r="AF126" s="14" t="n">
        <f aca="false">IF(ISBLANK(Actuals!AG36),-1270.83*Escalation!$B$29,Actuals!AG36)</f>
        <v>-1322.171532</v>
      </c>
      <c r="AG126" s="14" t="n">
        <f aca="false">IF(ISBLANK(Actuals!AH36),-1270.83*Escalation!$B$30,Actuals!AH36)</f>
        <v>-1322.171532</v>
      </c>
      <c r="AH126" s="14" t="n">
        <f aca="false">IF(ISBLANK(Actuals!AI36),-1270.83*Escalation!$B$31,Actuals!AI36)</f>
        <v>-1322.171532</v>
      </c>
      <c r="AI126" s="14" t="n">
        <f aca="false">IF(ISBLANK(Actuals!AJ36),-1270.83*Escalation!$B$32,Actuals!AJ36)</f>
        <v>-1322.171532</v>
      </c>
      <c r="AJ126" s="14" t="n">
        <f aca="false">IF(ISBLANK(Actuals!AK36),-1270.83*Escalation!$B$33,Actuals!AK36)</f>
        <v>-1322.171532</v>
      </c>
      <c r="AK126" s="14" t="n">
        <f aca="false">IF(ISBLANK(Actuals!AL36),-1270.83*Escalation!$B$34,Actuals!AL36)</f>
        <v>-1322.171532</v>
      </c>
      <c r="AL126" s="14" t="n">
        <f aca="false">IF(ISBLANK(Actuals!AM36),-1270.83*Escalation!$B$35,Actuals!AM36)</f>
        <v>-1322.171532</v>
      </c>
      <c r="AM126" s="14" t="n">
        <f aca="false">IF(ISBLANK(Actuals!AN36),-1270.83*Escalation!$B$36,Actuals!AN36)</f>
        <v>-1322.171532</v>
      </c>
      <c r="AN126" s="14" t="n">
        <f aca="false">IF(ISBLANK(Actuals!AO36),-1270.83*Escalation!$B$37,Actuals!AO36)</f>
        <v>-1322.171532</v>
      </c>
      <c r="AO126" s="14" t="n">
        <f aca="false">IF(ISBLANK(Actuals!AP36),-1270.83*Escalation!$B$38,Actuals!AP36)</f>
        <v>-1348.61496264</v>
      </c>
      <c r="AP126" s="14" t="n">
        <f aca="false">IF(ISBLANK(Actuals!AQ36),-1270.83*Escalation!$B$39,Actuals!AQ36)</f>
        <v>-1348.61496264</v>
      </c>
      <c r="AQ126" s="14" t="n">
        <f aca="false">IF(ISBLANK(Actuals!AR36),-1270.83*Escalation!$B$40,Actuals!AR36)</f>
        <v>-1348.61496264</v>
      </c>
      <c r="AR126" s="14" t="n">
        <f aca="false">IF(ISBLANK(Actuals!AS36),-1270.83*Escalation!$B$41,Actuals!AS36)</f>
        <v>-1348.61496264</v>
      </c>
      <c r="AS126" s="14" t="n">
        <f aca="false">IF(ISBLANK(Actuals!AT36),-1270.83*Escalation!$B$42,Actuals!AT36)</f>
        <v>-1348.61496264</v>
      </c>
      <c r="AT126" s="14" t="n">
        <f aca="false">IF(ISBLANK(Actuals!AU36),-1270.83*Escalation!$B$43,Actuals!AU36)</f>
        <v>-1348.61496264</v>
      </c>
      <c r="AU126" s="14" t="n">
        <f aca="false">IF(ISBLANK(Actuals!AV36),-1270.83*Escalation!$B$44,Actuals!AV36)</f>
        <v>-1348.61496264</v>
      </c>
      <c r="AV126" s="14" t="n">
        <f aca="false">IF(ISBLANK(Actuals!AW36),-1270.83*Escalation!$B$45,Actuals!AW36)</f>
        <v>-1348.61496264</v>
      </c>
      <c r="AW126" s="14" t="n">
        <f aca="false">IF(ISBLANK(Actuals!AX36),-1270.83*Escalation!$B$46,Actuals!AX36)</f>
        <v>-1348.61496264</v>
      </c>
      <c r="AX126" s="14" t="n">
        <f aca="false">IF(ISBLANK(Actuals!AY36),-1270.83*Escalation!$B$47,Actuals!AY36)</f>
        <v>-1348.61496264</v>
      </c>
      <c r="AY126" s="14" t="n">
        <f aca="false">IF(ISBLANK(Actuals!AZ36),-1270.83*Escalation!$B$48,Actuals!AZ36)</f>
        <v>-1348.61496264</v>
      </c>
      <c r="AZ126" s="14" t="n">
        <f aca="false">IF(ISBLANK(Actuals!BA36),-1270.83*Escalation!$B$49,Actuals!BA36)</f>
        <v>-1348.61496264</v>
      </c>
      <c r="BA126" s="14" t="n">
        <f aca="false">IF(ISBLANK(Actuals!BB36),-1270.83*Escalation!$B$50,Actuals!BB36)</f>
        <v>-1375.5872618928</v>
      </c>
      <c r="BB126" s="14" t="n">
        <f aca="false">IF(ISBLANK(Actuals!BC36),-1270.83*Escalation!$B$51,Actuals!BC36)</f>
        <v>-1375.5872618928</v>
      </c>
      <c r="BC126" s="14" t="n">
        <f aca="false">IF(ISBLANK(Actuals!BD36),-1270.83*Escalation!$B$52,Actuals!BD36)</f>
        <v>-1375.5872618928</v>
      </c>
      <c r="BD126" s="14" t="n">
        <f aca="false">IF(ISBLANK(Actuals!BE36),-1270.83*Escalation!$B$53,Actuals!BE36)</f>
        <v>-1375.5872618928</v>
      </c>
      <c r="BE126" s="14" t="n">
        <f aca="false">IF(ISBLANK(Actuals!BF36),-1270.83*Escalation!$B$54,Actuals!BF36)</f>
        <v>-1375.5872618928</v>
      </c>
      <c r="BF126" s="14" t="n">
        <f aca="false">IF(ISBLANK(Actuals!BG36),-1270.83*Escalation!$B$55,Actuals!BG36)</f>
        <v>-1375.5872618928</v>
      </c>
      <c r="BG126" s="14" t="n">
        <f aca="false">IF(ISBLANK(Actuals!BH36),-1270.83*Escalation!$B$56,Actuals!BH36)</f>
        <v>-1375.5872618928</v>
      </c>
      <c r="BH126" s="14" t="n">
        <f aca="false">IF(ISBLANK(Actuals!BI36),-1270.83*Escalation!$B$57,Actuals!BI36)</f>
        <v>-1375.5872618928</v>
      </c>
      <c r="BI126" s="14" t="n">
        <f aca="false">IF(ISBLANK(Actuals!BJ36),-1270.83*Escalation!$B$58,Actuals!BJ36)</f>
        <v>-1375.5872618928</v>
      </c>
      <c r="BJ126" s="14" t="n">
        <f aca="false">IF(ISBLANK(Actuals!BK36),-1270.83*Escalation!$B$59,Actuals!BK36)</f>
        <v>-1375.5872618928</v>
      </c>
      <c r="BK126" s="14" t="n">
        <f aca="false">IF(ISBLANK(Actuals!BL36),-1270.83*Escalation!$B$60,Actuals!BL36)</f>
        <v>-1375.5872618928</v>
      </c>
      <c r="BL126" s="14" t="n">
        <f aca="false">IF(ISBLANK(Actuals!BM36),-1270.83*Escalation!$B$61,Actuals!BM36)</f>
        <v>-1375.5872618928</v>
      </c>
      <c r="BM126" s="14" t="n">
        <f aca="false">IF(ISBLANK(Actuals!BN36),-1270.83*Escalation!$B$62,Actuals!BN36)</f>
        <v>-1403.09900713066</v>
      </c>
      <c r="BN126" s="14" t="n">
        <f aca="false">IF(ISBLANK(Actuals!BO36),-1270.83*Escalation!$B$63,Actuals!BO36)</f>
        <v>-1403.09900713066</v>
      </c>
      <c r="BO126" s="14" t="n">
        <f aca="false">IF(ISBLANK(Actuals!BP36),-1270.83*Escalation!$B$64,Actuals!BP36)</f>
        <v>-1403.09900713066</v>
      </c>
      <c r="BP126" s="14" t="n">
        <f aca="false">IF(ISBLANK(Actuals!BQ36),-1270.83*Escalation!$B$65,Actuals!BQ36)</f>
        <v>-1403.09900713066</v>
      </c>
      <c r="BQ126" s="14" t="n">
        <f aca="false">IF(ISBLANK(Actuals!BR36),-1270.83*Escalation!$B$66,Actuals!BR36)</f>
        <v>-1403.09900713066</v>
      </c>
      <c r="BR126" s="14" t="n">
        <f aca="false">IF(ISBLANK(Actuals!BS36),-1270.83*Escalation!$B$67,Actuals!BS36)</f>
        <v>-1403.09900713066</v>
      </c>
      <c r="BS126" s="14" t="n">
        <f aca="false">IF(ISBLANK(Actuals!BT36),-1270.83*Escalation!$B$68,Actuals!BT36)</f>
        <v>-1403.09900713066</v>
      </c>
      <c r="BT126" s="14" t="n">
        <f aca="false">IF(ISBLANK(Actuals!BU36),-1270.83*Escalation!$B$69,Actuals!BU36)</f>
        <v>-1403.09900713066</v>
      </c>
      <c r="BU126" s="14" t="n">
        <f aca="false">IF(ISBLANK(Actuals!BV36),-1270.83*Escalation!$B$70,Actuals!BV36)</f>
        <v>-1403.09900713066</v>
      </c>
      <c r="BV126" s="14" t="n">
        <f aca="false">IF(ISBLANK(Actuals!BW36),-1270.83*Escalation!$B$71,Actuals!BW36)</f>
        <v>-1403.09900713066</v>
      </c>
      <c r="BW126" s="14" t="n">
        <f aca="false">IF(ISBLANK(Actuals!BX36),-1270.83*Escalation!$B$72,Actuals!BX36)</f>
        <v>-1403.09900713066</v>
      </c>
      <c r="BX126" s="14" t="n">
        <f aca="false">IF(ISBLANK(Actuals!BY36),-1270.83*Escalation!$B$73,Actuals!BY36)</f>
        <v>-1403.09900713066</v>
      </c>
      <c r="BY126" s="14" t="n">
        <f aca="false">IF(ISBLANK(Actuals!BZ36),-1270.83*Escalation!$B$74,Actuals!BZ36)</f>
        <v>-1431.16098727327</v>
      </c>
      <c r="BZ126" s="14" t="n">
        <f aca="false">IF(ISBLANK(Actuals!CA36),-1270.83*Escalation!$B$75,Actuals!CA36)</f>
        <v>-1431.16098727327</v>
      </c>
      <c r="CA126" s="14" t="n">
        <f aca="false">IF(ISBLANK(Actuals!CB36),-1270.83*Escalation!$B$76,Actuals!CB36)</f>
        <v>-1431.16098727327</v>
      </c>
      <c r="CB126" s="14" t="n">
        <f aca="false">IF(ISBLANK(Actuals!CC36),-1270.83*Escalation!$B$77,Actuals!CC36)</f>
        <v>-1431.16098727327</v>
      </c>
      <c r="CC126" s="14" t="n">
        <f aca="false">IF(ISBLANK(Actuals!CD36),-1270.83*Escalation!$B$78,Actuals!CD36)</f>
        <v>-1431.16098727327</v>
      </c>
      <c r="CD126" s="14" t="n">
        <f aca="false">IF(ISBLANK(Actuals!CE36),-1270.83*Escalation!$B$79,Actuals!CE36)</f>
        <v>-1431.16098727327</v>
      </c>
      <c r="CE126" s="14" t="n">
        <f aca="false">IF(ISBLANK(Actuals!CF36),-1270.83*Escalation!$B$80,Actuals!CF36)</f>
        <v>-1431.16098727327</v>
      </c>
      <c r="CF126" s="14" t="n">
        <f aca="false">IF(ISBLANK(Actuals!CG36),-1270.83*Escalation!$B$81,Actuals!CG36)</f>
        <v>-1431.16098727327</v>
      </c>
      <c r="CG126" s="14" t="n">
        <f aca="false">IF(ISBLANK(Actuals!CH36),-1270.83*Escalation!$B$82,Actuals!CH36)</f>
        <v>-1431.16098727327</v>
      </c>
      <c r="CH126" s="14" t="n">
        <f aca="false">IF(ISBLANK(Actuals!CI36),-1270.83*Escalation!$B$83,Actuals!CI36)</f>
        <v>-1431.16098727327</v>
      </c>
      <c r="CI126" s="14" t="n">
        <f aca="false">IF(ISBLANK(Actuals!CJ36),-1270.83*Escalation!$B$84,Actuals!CJ36)</f>
        <v>-1431.16098727327</v>
      </c>
      <c r="CJ126" s="14" t="n">
        <f aca="false">IF(ISBLANK(Actuals!CK36),-1270.83*Escalation!$B$85,Actuals!CK36)</f>
        <v>-1431.16098727327</v>
      </c>
      <c r="CK126" s="14" t="n">
        <f aca="false">IF(ISBLANK(Actuals!CL36),-1270.83*Escalation!$B$86,Actuals!CL36)</f>
        <v>-1459.78420701873</v>
      </c>
      <c r="CL126" s="14" t="n">
        <f aca="false">IF(ISBLANK(Actuals!CM36),-1270.83*Escalation!$B$87,Actuals!CM36)</f>
        <v>-1459.78420701873</v>
      </c>
      <c r="CM126" s="14" t="n">
        <f aca="false">IF(ISBLANK(Actuals!CN36),-1270.83*Escalation!$B$88,Actuals!CN36)</f>
        <v>-1459.78420701873</v>
      </c>
      <c r="CN126" s="14" t="n">
        <f aca="false">IF(ISBLANK(Actuals!CO36),-1270.83*Escalation!$B$89,Actuals!CO36)</f>
        <v>-1459.78420701873</v>
      </c>
      <c r="CO126" s="14" t="n">
        <f aca="false">IF(ISBLANK(Actuals!CP36),-1270.83*Escalation!$B$90,Actuals!CP36)</f>
        <v>-1459.78420701873</v>
      </c>
      <c r="CP126" s="14" t="n">
        <f aca="false">IF(ISBLANK(Actuals!CQ36),-1270.83*Escalation!$B$91,Actuals!CQ36)</f>
        <v>-1459.78420701873</v>
      </c>
      <c r="CQ126" s="14" t="n">
        <f aca="false">IF(ISBLANK(Actuals!CR36),-1270.83*Escalation!$B$92,Actuals!CR36)</f>
        <v>-1459.78420701873</v>
      </c>
      <c r="CR126" s="14" t="n">
        <f aca="false">IF(ISBLANK(Actuals!CS36),-1270.83*Escalation!$B$93,Actuals!CS36)</f>
        <v>-1459.78420701873</v>
      </c>
      <c r="CS126" s="14" t="n">
        <f aca="false">IF(ISBLANK(Actuals!CT36),-1270.83*Escalation!$B$94,Actuals!CT36)</f>
        <v>-1459.78420701873</v>
      </c>
      <c r="CT126" s="14" t="n">
        <f aca="false">IF(ISBLANK(Actuals!CU36),-1270.83*Escalation!$B$95,Actuals!CU36)</f>
        <v>-1459.78420701873</v>
      </c>
      <c r="CU126" s="14" t="n">
        <f aca="false">IF(ISBLANK(Actuals!CV36),-1270.83*Escalation!$B$96,Actuals!CV36)</f>
        <v>-1459.78420701873</v>
      </c>
      <c r="CV126" s="14" t="n">
        <f aca="false">IF(ISBLANK(Actuals!CW36),-1270.83*Escalation!$B$97,Actuals!CW36)</f>
        <v>-1459.78420701873</v>
      </c>
      <c r="CW126" s="14" t="n">
        <f aca="false">IF(ISBLANK(Actuals!CX36),-1270.83*Escalation!$B$98,Actuals!CX36)</f>
        <v>-1488.97989115911</v>
      </c>
      <c r="CX126" s="14" t="n">
        <f aca="false">IF(ISBLANK(Actuals!CY36),-1270.83*Escalation!$B$99,Actuals!CY36)</f>
        <v>-1488.97989115911</v>
      </c>
      <c r="CY126" s="14" t="n">
        <f aca="false">IF(ISBLANK(Actuals!CZ36),-1270.83*Escalation!$B$100,Actuals!CZ36)</f>
        <v>-1488.97989115911</v>
      </c>
      <c r="CZ126" s="14" t="n">
        <f aca="false">IF(ISBLANK(Actuals!DA36),-1270.83*Escalation!$B$101,Actuals!DA36)</f>
        <v>-1488.97989115911</v>
      </c>
      <c r="DA126" s="14" t="n">
        <f aca="false">IF(ISBLANK(Actuals!DB36),-1270.83*Escalation!$B$102,Actuals!DB36)</f>
        <v>-1488.97989115911</v>
      </c>
      <c r="DB126" s="14" t="n">
        <f aca="false">IF(ISBLANK(Actuals!DC36),-1270.83*Escalation!$B$103,Actuals!DC36)</f>
        <v>-1488.97989115911</v>
      </c>
      <c r="DC126" s="14" t="n">
        <f aca="false">IF(ISBLANK(Actuals!DD36),-1270.83*Escalation!$B$104,Actuals!DD36)</f>
        <v>-1488.97989115911</v>
      </c>
      <c r="DD126" s="14" t="n">
        <f aca="false">IF(ISBLANK(Actuals!DE36),-1270.83*Escalation!$B$105,Actuals!DE36)</f>
        <v>-1488.97989115911</v>
      </c>
      <c r="DE126" s="14" t="n">
        <f aca="false">IF(ISBLANK(Actuals!DF36),-1270.83*Escalation!$B$106,Actuals!DF36)</f>
        <v>-1488.97989115911</v>
      </c>
    </row>
    <row r="127" customFormat="false" ht="15" hidden="false" customHeight="true" outlineLevel="0" collapsed="false">
      <c r="A127" s="29" t="s">
        <v>76</v>
      </c>
      <c r="B127" s="14" t="n">
        <f aca="false">IF(ISBLANK(Actuals!C37),0,Actuals!C37)</f>
        <v>0</v>
      </c>
      <c r="C127" s="14" t="n">
        <f aca="false">IF(ISBLANK(Actuals!D37),0,Actuals!D37)</f>
        <v>-12349</v>
      </c>
      <c r="D127" s="14" t="n">
        <f aca="false">IF(ISBLANK(Actuals!E37),0,Actuals!E37)</f>
        <v>-5400</v>
      </c>
      <c r="E127" s="14" t="n">
        <f aca="false">IF(ISBLANK(Actuals!F37),-5916.33*Escalation!$B$2,Actuals!F37)</f>
        <v>-4377</v>
      </c>
      <c r="F127" s="14" t="n">
        <f aca="false">IF(ISBLANK(Actuals!G37),-5916.33*Escalation!$B$3,Actuals!G37)</f>
        <v>-11750</v>
      </c>
      <c r="G127" s="14" t="n">
        <f aca="false">IF(ISBLANK(Actuals!H37),-5916.33*Escalation!$B$4,Actuals!H37)</f>
        <v>0</v>
      </c>
      <c r="H127" s="14" t="n">
        <f aca="false">IF(ISBLANK(Actuals!I37),-5916.33*Escalation!$B$5,Actuals!I37)</f>
        <v>-5916.33</v>
      </c>
      <c r="I127" s="14" t="n">
        <f aca="false">IF(ISBLANK(Actuals!J37),-5916.33*Escalation!$B$6,Actuals!J37)</f>
        <v>-5916.33</v>
      </c>
      <c r="J127" s="14" t="n">
        <f aca="false">IF(ISBLANK(Actuals!K37),-5916.33*Escalation!$B$7,Actuals!K37)</f>
        <v>-5916.33</v>
      </c>
      <c r="K127" s="14" t="n">
        <f aca="false">IF(ISBLANK(Actuals!L37),-5916.33*Escalation!$B$8,Actuals!L37)</f>
        <v>-5916.33</v>
      </c>
      <c r="L127" s="14" t="n">
        <f aca="false">IF(ISBLANK(Actuals!M37),-5916.33*Escalation!$B$9,Actuals!M37)</f>
        <v>-5916.33</v>
      </c>
      <c r="M127" s="14" t="n">
        <f aca="false">IF(ISBLANK(Actuals!N37),-5916.33*Escalation!$B$10,Actuals!N37)</f>
        <v>-5916.33</v>
      </c>
      <c r="N127" s="14" t="n">
        <f aca="false">IF(ISBLANK(Actuals!O37),-5916.33*Escalation!$B$11,Actuals!O37)</f>
        <v>-5916.33</v>
      </c>
      <c r="O127" s="14" t="n">
        <f aca="false">IF(ISBLANK(Actuals!P37),-5916.33*Escalation!$B$12,Actuals!P37)</f>
        <v>-5916.33</v>
      </c>
      <c r="P127" s="14" t="n">
        <f aca="false">IF(ISBLANK(Actuals!Q37),-5916.33*Escalation!$B$13,Actuals!Q37)</f>
        <v>-5916.33</v>
      </c>
      <c r="Q127" s="14" t="n">
        <f aca="false">IF(ISBLANK(Actuals!R37),-5916.33*Escalation!$B$14,Actuals!R37)</f>
        <v>-6034.6566</v>
      </c>
      <c r="R127" s="14" t="n">
        <f aca="false">IF(ISBLANK(Actuals!S37),-5916.33*Escalation!$B$15,Actuals!S37)</f>
        <v>-6034.6566</v>
      </c>
      <c r="S127" s="14" t="n">
        <f aca="false">IF(ISBLANK(Actuals!T37),-5916.33*Escalation!$B$16,Actuals!T37)</f>
        <v>-6034.6566</v>
      </c>
      <c r="T127" s="14" t="n">
        <f aca="false">IF(ISBLANK(Actuals!U37),-5916.33*Escalation!$B$17,Actuals!U37)</f>
        <v>-6034.6566</v>
      </c>
      <c r="U127" s="14" t="n">
        <f aca="false">IF(ISBLANK(Actuals!V37),-5916.33*Escalation!$B$18,Actuals!V37)</f>
        <v>-6034.6566</v>
      </c>
      <c r="V127" s="14" t="n">
        <f aca="false">IF(ISBLANK(Actuals!W37),-5916.33*Escalation!$B$19,Actuals!W37)</f>
        <v>-6034.6566</v>
      </c>
      <c r="W127" s="14" t="n">
        <f aca="false">IF(ISBLANK(Actuals!X37),-5916.33*Escalation!$B$20,Actuals!X37)</f>
        <v>-6034.6566</v>
      </c>
      <c r="X127" s="14" t="n">
        <f aca="false">IF(ISBLANK(Actuals!Y37),-5916.33*Escalation!$B$21,Actuals!Y37)</f>
        <v>-6034.6566</v>
      </c>
      <c r="Y127" s="14" t="n">
        <f aca="false">IF(ISBLANK(Actuals!Z37),-5916.33*Escalation!$B$22,Actuals!Z37)</f>
        <v>-6034.6566</v>
      </c>
      <c r="Z127" s="14" t="n">
        <f aca="false">IF(ISBLANK(Actuals!AA37),-5916.33*Escalation!$B$23,Actuals!AA37)</f>
        <v>-6034.6566</v>
      </c>
      <c r="AA127" s="14" t="n">
        <f aca="false">IF(ISBLANK(Actuals!AB37),-5916.33*Escalation!$B$24,Actuals!AB37)</f>
        <v>-6034.6566</v>
      </c>
      <c r="AB127" s="14" t="n">
        <f aca="false">IF(ISBLANK(Actuals!AC37),-5916.33*Escalation!$B$25,Actuals!AC37)</f>
        <v>-6034.6566</v>
      </c>
      <c r="AC127" s="14" t="n">
        <f aca="false">IF(ISBLANK(Actuals!AD37),-5916.33*Escalation!$B$26,Actuals!AD37)</f>
        <v>-6155.349732</v>
      </c>
      <c r="AD127" s="14" t="n">
        <f aca="false">IF(ISBLANK(Actuals!AE37),-5916.33*Escalation!$B$27,Actuals!AE37)</f>
        <v>-6155.349732</v>
      </c>
      <c r="AE127" s="14" t="n">
        <f aca="false">IF(ISBLANK(Actuals!AF37),-5916.33*Escalation!$B$28,Actuals!AF37)</f>
        <v>-6155.349732</v>
      </c>
      <c r="AF127" s="14" t="n">
        <f aca="false">IF(ISBLANK(Actuals!AG37),-5916.33*Escalation!$B$29,Actuals!AG37)</f>
        <v>-6155.349732</v>
      </c>
      <c r="AG127" s="14" t="n">
        <f aca="false">IF(ISBLANK(Actuals!AH37),-5916.33*Escalation!$B$30,Actuals!AH37)</f>
        <v>-6155.349732</v>
      </c>
      <c r="AH127" s="14" t="n">
        <f aca="false">IF(ISBLANK(Actuals!AI37),-5916.33*Escalation!$B$31,Actuals!AI37)</f>
        <v>-6155.349732</v>
      </c>
      <c r="AI127" s="14" t="n">
        <f aca="false">IF(ISBLANK(Actuals!AJ37),-5916.33*Escalation!$B$32,Actuals!AJ37)</f>
        <v>-6155.349732</v>
      </c>
      <c r="AJ127" s="14" t="n">
        <f aca="false">IF(ISBLANK(Actuals!AK37),-5916.33*Escalation!$B$33,Actuals!AK37)</f>
        <v>-6155.349732</v>
      </c>
      <c r="AK127" s="14" t="n">
        <f aca="false">IF(ISBLANK(Actuals!AL37),-5916.33*Escalation!$B$34,Actuals!AL37)</f>
        <v>-6155.349732</v>
      </c>
      <c r="AL127" s="14" t="n">
        <f aca="false">IF(ISBLANK(Actuals!AM37),-5916.33*Escalation!$B$35,Actuals!AM37)</f>
        <v>-6155.349732</v>
      </c>
      <c r="AM127" s="14" t="n">
        <f aca="false">IF(ISBLANK(Actuals!AN37),-5916.33*Escalation!$B$36,Actuals!AN37)</f>
        <v>-6155.349732</v>
      </c>
      <c r="AN127" s="14" t="n">
        <f aca="false">IF(ISBLANK(Actuals!AO37),-5916.33*Escalation!$B$37,Actuals!AO37)</f>
        <v>-6155.349732</v>
      </c>
      <c r="AO127" s="14" t="n">
        <f aca="false">IF(ISBLANK(Actuals!AP37),-5916.33*Escalation!$B$38,Actuals!AP37)</f>
        <v>-6278.45672664</v>
      </c>
      <c r="AP127" s="14" t="n">
        <f aca="false">IF(ISBLANK(Actuals!AQ37),-5916.33*Escalation!$B$39,Actuals!AQ37)</f>
        <v>-6278.45672664</v>
      </c>
      <c r="AQ127" s="14" t="n">
        <f aca="false">IF(ISBLANK(Actuals!AR37),-5916.33*Escalation!$B$40,Actuals!AR37)</f>
        <v>-6278.45672664</v>
      </c>
      <c r="AR127" s="14" t="n">
        <f aca="false">IF(ISBLANK(Actuals!AS37),-5916.33*Escalation!$B$41,Actuals!AS37)</f>
        <v>-6278.45672664</v>
      </c>
      <c r="AS127" s="14" t="n">
        <f aca="false">IF(ISBLANK(Actuals!AT37),-5916.33*Escalation!$B$42,Actuals!AT37)</f>
        <v>-6278.45672664</v>
      </c>
      <c r="AT127" s="14" t="n">
        <f aca="false">IF(ISBLANK(Actuals!AU37),-5916.33*Escalation!$B$43,Actuals!AU37)</f>
        <v>-6278.45672664</v>
      </c>
      <c r="AU127" s="14" t="n">
        <f aca="false">IF(ISBLANK(Actuals!AV37),-5916.33*Escalation!$B$44,Actuals!AV37)</f>
        <v>-6278.45672664</v>
      </c>
      <c r="AV127" s="14" t="n">
        <f aca="false">IF(ISBLANK(Actuals!AW37),-5916.33*Escalation!$B$45,Actuals!AW37)</f>
        <v>-6278.45672664</v>
      </c>
      <c r="AW127" s="14" t="n">
        <f aca="false">IF(ISBLANK(Actuals!AX37),-5916.33*Escalation!$B$46,Actuals!AX37)</f>
        <v>-6278.45672664</v>
      </c>
      <c r="AX127" s="14" t="n">
        <f aca="false">IF(ISBLANK(Actuals!AY37),-5916.33*Escalation!$B$47,Actuals!AY37)</f>
        <v>-6278.45672664</v>
      </c>
      <c r="AY127" s="14" t="n">
        <f aca="false">IF(ISBLANK(Actuals!AZ37),-5916.33*Escalation!$B$48,Actuals!AZ37)</f>
        <v>-6278.45672664</v>
      </c>
      <c r="AZ127" s="14" t="n">
        <f aca="false">IF(ISBLANK(Actuals!BA37),-5916.33*Escalation!$B$49,Actuals!BA37)</f>
        <v>-6278.45672664</v>
      </c>
      <c r="BA127" s="14" t="n">
        <f aca="false">IF(ISBLANK(Actuals!BB37),-5916.33*Escalation!$B$50,Actuals!BB37)</f>
        <v>-6404.0258611728</v>
      </c>
      <c r="BB127" s="14" t="n">
        <f aca="false">IF(ISBLANK(Actuals!BC37),-5916.33*Escalation!$B$51,Actuals!BC37)</f>
        <v>-6404.0258611728</v>
      </c>
      <c r="BC127" s="14" t="n">
        <f aca="false">IF(ISBLANK(Actuals!BD37),-5916.33*Escalation!$B$52,Actuals!BD37)</f>
        <v>-6404.0258611728</v>
      </c>
      <c r="BD127" s="14" t="n">
        <f aca="false">IF(ISBLANK(Actuals!BE37),-5916.33*Escalation!$B$53,Actuals!BE37)</f>
        <v>-6404.0258611728</v>
      </c>
      <c r="BE127" s="14" t="n">
        <f aca="false">IF(ISBLANK(Actuals!BF37),-5916.33*Escalation!$B$54,Actuals!BF37)</f>
        <v>-6404.0258611728</v>
      </c>
      <c r="BF127" s="14" t="n">
        <f aca="false">IF(ISBLANK(Actuals!BG37),-5916.33*Escalation!$B$55,Actuals!BG37)</f>
        <v>-6404.0258611728</v>
      </c>
      <c r="BG127" s="14" t="n">
        <f aca="false">IF(ISBLANK(Actuals!BH37),-5916.33*Escalation!$B$56,Actuals!BH37)</f>
        <v>-6404.0258611728</v>
      </c>
      <c r="BH127" s="14" t="n">
        <f aca="false">IF(ISBLANK(Actuals!BI37),-5916.33*Escalation!$B$57,Actuals!BI37)</f>
        <v>-6404.0258611728</v>
      </c>
      <c r="BI127" s="14" t="n">
        <f aca="false">IF(ISBLANK(Actuals!BJ37),-5916.33*Escalation!$B$58,Actuals!BJ37)</f>
        <v>-6404.0258611728</v>
      </c>
      <c r="BJ127" s="14" t="n">
        <f aca="false">IF(ISBLANK(Actuals!BK37),-5916.33*Escalation!$B$59,Actuals!BK37)</f>
        <v>-6404.0258611728</v>
      </c>
      <c r="BK127" s="14" t="n">
        <f aca="false">IF(ISBLANK(Actuals!BL37),-5916.33*Escalation!$B$60,Actuals!BL37)</f>
        <v>-6404.0258611728</v>
      </c>
      <c r="BL127" s="14" t="n">
        <f aca="false">IF(ISBLANK(Actuals!BM37),-5916.33*Escalation!$B$61,Actuals!BM37)</f>
        <v>-6404.0258611728</v>
      </c>
      <c r="BM127" s="14" t="n">
        <f aca="false">IF(ISBLANK(Actuals!BN37),-5916.33*Escalation!$B$62,Actuals!BN37)</f>
        <v>-6532.10637839626</v>
      </c>
      <c r="BN127" s="14" t="n">
        <f aca="false">IF(ISBLANK(Actuals!BO37),-5916.33*Escalation!$B$63,Actuals!BO37)</f>
        <v>-6532.10637839626</v>
      </c>
      <c r="BO127" s="14" t="n">
        <f aca="false">IF(ISBLANK(Actuals!BP37),-5916.33*Escalation!$B$64,Actuals!BP37)</f>
        <v>-6532.10637839626</v>
      </c>
      <c r="BP127" s="14" t="n">
        <f aca="false">IF(ISBLANK(Actuals!BQ37),-5916.33*Escalation!$B$65,Actuals!BQ37)</f>
        <v>-6532.10637839626</v>
      </c>
      <c r="BQ127" s="14" t="n">
        <f aca="false">IF(ISBLANK(Actuals!BR37),-5916.33*Escalation!$B$66,Actuals!BR37)</f>
        <v>-6532.10637839626</v>
      </c>
      <c r="BR127" s="14" t="n">
        <f aca="false">IF(ISBLANK(Actuals!BS37),-5916.33*Escalation!$B$67,Actuals!BS37)</f>
        <v>-6532.10637839626</v>
      </c>
      <c r="BS127" s="14" t="n">
        <f aca="false">IF(ISBLANK(Actuals!BT37),-5916.33*Escalation!$B$68,Actuals!BT37)</f>
        <v>-6532.10637839626</v>
      </c>
      <c r="BT127" s="14" t="n">
        <f aca="false">IF(ISBLANK(Actuals!BU37),-5916.33*Escalation!$B$69,Actuals!BU37)</f>
        <v>-6532.10637839626</v>
      </c>
      <c r="BU127" s="14" t="n">
        <f aca="false">IF(ISBLANK(Actuals!BV37),-5916.33*Escalation!$B$70,Actuals!BV37)</f>
        <v>-6532.10637839626</v>
      </c>
      <c r="BV127" s="14" t="n">
        <f aca="false">IF(ISBLANK(Actuals!BW37),-5916.33*Escalation!$B$71,Actuals!BW37)</f>
        <v>-6532.10637839626</v>
      </c>
      <c r="BW127" s="14" t="n">
        <f aca="false">IF(ISBLANK(Actuals!BX37),-5916.33*Escalation!$B$72,Actuals!BX37)</f>
        <v>-6532.10637839626</v>
      </c>
      <c r="BX127" s="14" t="n">
        <f aca="false">IF(ISBLANK(Actuals!BY37),-5916.33*Escalation!$B$73,Actuals!BY37)</f>
        <v>-6532.10637839626</v>
      </c>
      <c r="BY127" s="14" t="n">
        <f aca="false">IF(ISBLANK(Actuals!BZ37),-5916.33*Escalation!$B$74,Actuals!BZ37)</f>
        <v>-6662.74850596418</v>
      </c>
      <c r="BZ127" s="14" t="n">
        <f aca="false">IF(ISBLANK(Actuals!CA37),-5916.33*Escalation!$B$75,Actuals!CA37)</f>
        <v>-6662.74850596418</v>
      </c>
      <c r="CA127" s="14" t="n">
        <f aca="false">IF(ISBLANK(Actuals!CB37),-5916.33*Escalation!$B$76,Actuals!CB37)</f>
        <v>-6662.74850596418</v>
      </c>
      <c r="CB127" s="14" t="n">
        <f aca="false">IF(ISBLANK(Actuals!CC37),-5916.33*Escalation!$B$77,Actuals!CC37)</f>
        <v>-6662.74850596418</v>
      </c>
      <c r="CC127" s="14" t="n">
        <f aca="false">IF(ISBLANK(Actuals!CD37),-5916.33*Escalation!$B$78,Actuals!CD37)</f>
        <v>-6662.74850596418</v>
      </c>
      <c r="CD127" s="14" t="n">
        <f aca="false">IF(ISBLANK(Actuals!CE37),-5916.33*Escalation!$B$79,Actuals!CE37)</f>
        <v>-6662.74850596418</v>
      </c>
      <c r="CE127" s="14" t="n">
        <f aca="false">IF(ISBLANK(Actuals!CF37),-5916.33*Escalation!$B$80,Actuals!CF37)</f>
        <v>-6662.74850596418</v>
      </c>
      <c r="CF127" s="14" t="n">
        <f aca="false">IF(ISBLANK(Actuals!CG37),-5916.33*Escalation!$B$81,Actuals!CG37)</f>
        <v>-6662.74850596418</v>
      </c>
      <c r="CG127" s="14" t="n">
        <f aca="false">IF(ISBLANK(Actuals!CH37),-5916.33*Escalation!$B$82,Actuals!CH37)</f>
        <v>-6662.74850596418</v>
      </c>
      <c r="CH127" s="14" t="n">
        <f aca="false">IF(ISBLANK(Actuals!CI37),-5916.33*Escalation!$B$83,Actuals!CI37)</f>
        <v>-6662.74850596418</v>
      </c>
      <c r="CI127" s="14" t="n">
        <f aca="false">IF(ISBLANK(Actuals!CJ37),-5916.33*Escalation!$B$84,Actuals!CJ37)</f>
        <v>-6662.74850596418</v>
      </c>
      <c r="CJ127" s="14" t="n">
        <f aca="false">IF(ISBLANK(Actuals!CK37),-5916.33*Escalation!$B$85,Actuals!CK37)</f>
        <v>-6662.74850596418</v>
      </c>
      <c r="CK127" s="14" t="n">
        <f aca="false">IF(ISBLANK(Actuals!CL37),-5916.33*Escalation!$B$86,Actuals!CL37)</f>
        <v>-6796.00347608347</v>
      </c>
      <c r="CL127" s="14" t="n">
        <f aca="false">IF(ISBLANK(Actuals!CM37),-5916.33*Escalation!$B$87,Actuals!CM37)</f>
        <v>-6796.00347608347</v>
      </c>
      <c r="CM127" s="14" t="n">
        <f aca="false">IF(ISBLANK(Actuals!CN37),-5916.33*Escalation!$B$88,Actuals!CN37)</f>
        <v>-6796.00347608347</v>
      </c>
      <c r="CN127" s="14" t="n">
        <f aca="false">IF(ISBLANK(Actuals!CO37),-5916.33*Escalation!$B$89,Actuals!CO37)</f>
        <v>-6796.00347608347</v>
      </c>
      <c r="CO127" s="14" t="n">
        <f aca="false">IF(ISBLANK(Actuals!CP37),-5916.33*Escalation!$B$90,Actuals!CP37)</f>
        <v>-6796.00347608347</v>
      </c>
      <c r="CP127" s="14" t="n">
        <f aca="false">IF(ISBLANK(Actuals!CQ37),-5916.33*Escalation!$B$91,Actuals!CQ37)</f>
        <v>-6796.00347608347</v>
      </c>
      <c r="CQ127" s="14" t="n">
        <f aca="false">IF(ISBLANK(Actuals!CR37),-5916.33*Escalation!$B$92,Actuals!CR37)</f>
        <v>-6796.00347608347</v>
      </c>
      <c r="CR127" s="14" t="n">
        <f aca="false">IF(ISBLANK(Actuals!CS37),-5916.33*Escalation!$B$93,Actuals!CS37)</f>
        <v>-6796.00347608347</v>
      </c>
      <c r="CS127" s="14" t="n">
        <f aca="false">IF(ISBLANK(Actuals!CT37),-5916.33*Escalation!$B$94,Actuals!CT37)</f>
        <v>-6796.00347608347</v>
      </c>
      <c r="CT127" s="14" t="n">
        <f aca="false">IF(ISBLANK(Actuals!CU37),-5916.33*Escalation!$B$95,Actuals!CU37)</f>
        <v>-6796.00347608347</v>
      </c>
      <c r="CU127" s="14" t="n">
        <f aca="false">IF(ISBLANK(Actuals!CV37),-5916.33*Escalation!$B$96,Actuals!CV37)</f>
        <v>-6796.00347608347</v>
      </c>
      <c r="CV127" s="14" t="n">
        <f aca="false">IF(ISBLANK(Actuals!CW37),-5916.33*Escalation!$B$97,Actuals!CW37)</f>
        <v>-6796.00347608347</v>
      </c>
      <c r="CW127" s="14" t="n">
        <f aca="false">IF(ISBLANK(Actuals!CX37),-5916.33*Escalation!$B$98,Actuals!CX37)</f>
        <v>-6931.92354560514</v>
      </c>
      <c r="CX127" s="14" t="n">
        <f aca="false">IF(ISBLANK(Actuals!CY37),-5916.33*Escalation!$B$99,Actuals!CY37)</f>
        <v>-6931.92354560514</v>
      </c>
      <c r="CY127" s="14" t="n">
        <f aca="false">IF(ISBLANK(Actuals!CZ37),-5916.33*Escalation!$B$100,Actuals!CZ37)</f>
        <v>-6931.92354560514</v>
      </c>
      <c r="CZ127" s="14" t="n">
        <f aca="false">IF(ISBLANK(Actuals!DA37),-5916.33*Escalation!$B$101,Actuals!DA37)</f>
        <v>-6931.92354560514</v>
      </c>
      <c r="DA127" s="14" t="n">
        <f aca="false">IF(ISBLANK(Actuals!DB37),-5916.33*Escalation!$B$102,Actuals!DB37)</f>
        <v>-6931.92354560514</v>
      </c>
      <c r="DB127" s="14" t="n">
        <f aca="false">IF(ISBLANK(Actuals!DC37),-5916.33*Escalation!$B$103,Actuals!DC37)</f>
        <v>-6931.92354560514</v>
      </c>
      <c r="DC127" s="14" t="n">
        <f aca="false">IF(ISBLANK(Actuals!DD37),-5916.33*Escalation!$B$104,Actuals!DD37)</f>
        <v>-6931.92354560514</v>
      </c>
      <c r="DD127" s="14" t="n">
        <f aca="false">IF(ISBLANK(Actuals!DE37),-5916.33*Escalation!$B$105,Actuals!DE37)</f>
        <v>-6931.92354560514</v>
      </c>
      <c r="DE127" s="14" t="n">
        <f aca="false">IF(ISBLANK(Actuals!DF37),-5916.33*Escalation!$B$106,Actuals!DF37)</f>
        <v>-6931.92354560514</v>
      </c>
    </row>
    <row r="128" customFormat="false" ht="15" hidden="false" customHeight="true" outlineLevel="0" collapsed="false">
      <c r="A128" s="29" t="s">
        <v>77</v>
      </c>
      <c r="B128" s="14" t="n">
        <f aca="false">IF(ISBLANK(Actuals!C38),0,Actuals!C38)</f>
        <v>0</v>
      </c>
      <c r="C128" s="14" t="n">
        <f aca="false">IF(ISBLANK(Actuals!D38),0,Actuals!D38)</f>
        <v>0</v>
      </c>
      <c r="D128" s="14" t="n">
        <f aca="false">IF(ISBLANK(Actuals!E38),0,Actuals!E38)</f>
        <v>-750.4</v>
      </c>
      <c r="E128" s="14" t="n">
        <f aca="false">IF(ISBLANK(Actuals!F38),-250.13*Escalation!$B$2,Actuals!F38)</f>
        <v>0</v>
      </c>
      <c r="F128" s="14" t="n">
        <f aca="false">IF(ISBLANK(Actuals!G38),-250.13*Escalation!$B$3,Actuals!G38)</f>
        <v>0</v>
      </c>
      <c r="G128" s="14" t="n">
        <f aca="false">IF(ISBLANK(Actuals!H38),-250.13*Escalation!$B$4,Actuals!H38)</f>
        <v>0</v>
      </c>
      <c r="H128" s="14" t="n">
        <f aca="false">IF(ISBLANK(Actuals!I38),-250.13*Escalation!$B$5,Actuals!I38)</f>
        <v>-250.13</v>
      </c>
      <c r="I128" s="14" t="n">
        <f aca="false">IF(ISBLANK(Actuals!J38),-250.13*Escalation!$B$6,Actuals!J38)</f>
        <v>-250.13</v>
      </c>
      <c r="J128" s="14" t="n">
        <f aca="false">IF(ISBLANK(Actuals!K38),-250.13*Escalation!$B$7,Actuals!K38)</f>
        <v>-250.13</v>
      </c>
      <c r="K128" s="14" t="n">
        <f aca="false">IF(ISBLANK(Actuals!L38),-250.13*Escalation!$B$8,Actuals!L38)</f>
        <v>-250.13</v>
      </c>
      <c r="L128" s="14" t="n">
        <f aca="false">IF(ISBLANK(Actuals!M38),-250.13*Escalation!$B$9,Actuals!M38)</f>
        <v>-250.13</v>
      </c>
      <c r="M128" s="14" t="n">
        <f aca="false">IF(ISBLANK(Actuals!N38),-250.13*Escalation!$B$10,Actuals!N38)</f>
        <v>-250.13</v>
      </c>
      <c r="N128" s="14" t="n">
        <f aca="false">IF(ISBLANK(Actuals!O38),-250.13*Escalation!$B$11,Actuals!O38)</f>
        <v>-250.13</v>
      </c>
      <c r="O128" s="14" t="n">
        <f aca="false">IF(ISBLANK(Actuals!P38),-250.13*Escalation!$B$12,Actuals!P38)</f>
        <v>-250.13</v>
      </c>
      <c r="P128" s="14" t="n">
        <f aca="false">IF(ISBLANK(Actuals!Q38),-250.13*Escalation!$B$13,Actuals!Q38)</f>
        <v>-250.13</v>
      </c>
      <c r="Q128" s="14" t="n">
        <f aca="false">IF(ISBLANK(Actuals!R38),-250.13*Escalation!$B$14,Actuals!R38)</f>
        <v>-255.1326</v>
      </c>
      <c r="R128" s="14" t="n">
        <f aca="false">IF(ISBLANK(Actuals!S38),-250.13*Escalation!$B$15,Actuals!S38)</f>
        <v>-255.1326</v>
      </c>
      <c r="S128" s="14" t="n">
        <f aca="false">IF(ISBLANK(Actuals!T38),-250.13*Escalation!$B$16,Actuals!T38)</f>
        <v>-255.1326</v>
      </c>
      <c r="T128" s="14" t="n">
        <f aca="false">IF(ISBLANK(Actuals!U38),-250.13*Escalation!$B$17,Actuals!U38)</f>
        <v>-255.1326</v>
      </c>
      <c r="U128" s="14" t="n">
        <f aca="false">IF(ISBLANK(Actuals!V38),-250.13*Escalation!$B$18,Actuals!V38)</f>
        <v>-255.1326</v>
      </c>
      <c r="V128" s="14" t="n">
        <f aca="false">IF(ISBLANK(Actuals!W38),-250.13*Escalation!$B$19,Actuals!W38)</f>
        <v>-255.1326</v>
      </c>
      <c r="W128" s="14" t="n">
        <f aca="false">IF(ISBLANK(Actuals!X38),-250.13*Escalation!$B$20,Actuals!X38)</f>
        <v>-255.1326</v>
      </c>
      <c r="X128" s="14" t="n">
        <f aca="false">IF(ISBLANK(Actuals!Y38),-250.13*Escalation!$B$21,Actuals!Y38)</f>
        <v>-255.1326</v>
      </c>
      <c r="Y128" s="14" t="n">
        <f aca="false">IF(ISBLANK(Actuals!Z38),-250.13*Escalation!$B$22,Actuals!Z38)</f>
        <v>-255.1326</v>
      </c>
      <c r="Z128" s="14" t="n">
        <f aca="false">IF(ISBLANK(Actuals!AA38),-250.13*Escalation!$B$23,Actuals!AA38)</f>
        <v>-255.1326</v>
      </c>
      <c r="AA128" s="14" t="n">
        <f aca="false">IF(ISBLANK(Actuals!AB38),-250.13*Escalation!$B$24,Actuals!AB38)</f>
        <v>-255.1326</v>
      </c>
      <c r="AB128" s="14" t="n">
        <f aca="false">IF(ISBLANK(Actuals!AC38),-250.13*Escalation!$B$25,Actuals!AC38)</f>
        <v>-255.1326</v>
      </c>
      <c r="AC128" s="14" t="n">
        <f aca="false">IF(ISBLANK(Actuals!AD38),-250.13*Escalation!$B$26,Actuals!AD38)</f>
        <v>-260.235252</v>
      </c>
      <c r="AD128" s="14" t="n">
        <f aca="false">IF(ISBLANK(Actuals!AE38),-250.13*Escalation!$B$27,Actuals!AE38)</f>
        <v>-260.235252</v>
      </c>
      <c r="AE128" s="14" t="n">
        <f aca="false">IF(ISBLANK(Actuals!AF38),-250.13*Escalation!$B$28,Actuals!AF38)</f>
        <v>-260.235252</v>
      </c>
      <c r="AF128" s="14" t="n">
        <f aca="false">IF(ISBLANK(Actuals!AG38),-250.13*Escalation!$B$29,Actuals!AG38)</f>
        <v>-260.235252</v>
      </c>
      <c r="AG128" s="14" t="n">
        <f aca="false">IF(ISBLANK(Actuals!AH38),-250.13*Escalation!$B$30,Actuals!AH38)</f>
        <v>-260.235252</v>
      </c>
      <c r="AH128" s="14" t="n">
        <f aca="false">IF(ISBLANK(Actuals!AI38),-250.13*Escalation!$B$31,Actuals!AI38)</f>
        <v>-260.235252</v>
      </c>
      <c r="AI128" s="14" t="n">
        <f aca="false">IF(ISBLANK(Actuals!AJ38),-250.13*Escalation!$B$32,Actuals!AJ38)</f>
        <v>-260.235252</v>
      </c>
      <c r="AJ128" s="14" t="n">
        <f aca="false">IF(ISBLANK(Actuals!AK38),-250.13*Escalation!$B$33,Actuals!AK38)</f>
        <v>-260.235252</v>
      </c>
      <c r="AK128" s="14" t="n">
        <f aca="false">IF(ISBLANK(Actuals!AL38),-250.13*Escalation!$B$34,Actuals!AL38)</f>
        <v>-260.235252</v>
      </c>
      <c r="AL128" s="14" t="n">
        <f aca="false">IF(ISBLANK(Actuals!AM38),-250.13*Escalation!$B$35,Actuals!AM38)</f>
        <v>-260.235252</v>
      </c>
      <c r="AM128" s="14" t="n">
        <f aca="false">IF(ISBLANK(Actuals!AN38),-250.13*Escalation!$B$36,Actuals!AN38)</f>
        <v>-260.235252</v>
      </c>
      <c r="AN128" s="14" t="n">
        <f aca="false">IF(ISBLANK(Actuals!AO38),-250.13*Escalation!$B$37,Actuals!AO38)</f>
        <v>-260.235252</v>
      </c>
      <c r="AO128" s="14" t="n">
        <f aca="false">IF(ISBLANK(Actuals!AP38),-250.13*Escalation!$B$38,Actuals!AP38)</f>
        <v>-265.43995704</v>
      </c>
      <c r="AP128" s="14" t="n">
        <f aca="false">IF(ISBLANK(Actuals!AQ38),-250.13*Escalation!$B$39,Actuals!AQ38)</f>
        <v>-265.43995704</v>
      </c>
      <c r="AQ128" s="14" t="n">
        <f aca="false">IF(ISBLANK(Actuals!AR38),-250.13*Escalation!$B$40,Actuals!AR38)</f>
        <v>-265.43995704</v>
      </c>
      <c r="AR128" s="14" t="n">
        <f aca="false">IF(ISBLANK(Actuals!AS38),-250.13*Escalation!$B$41,Actuals!AS38)</f>
        <v>-265.43995704</v>
      </c>
      <c r="AS128" s="14" t="n">
        <f aca="false">IF(ISBLANK(Actuals!AT38),-250.13*Escalation!$B$42,Actuals!AT38)</f>
        <v>-265.43995704</v>
      </c>
      <c r="AT128" s="14" t="n">
        <f aca="false">IF(ISBLANK(Actuals!AU38),-250.13*Escalation!$B$43,Actuals!AU38)</f>
        <v>-265.43995704</v>
      </c>
      <c r="AU128" s="14" t="n">
        <f aca="false">IF(ISBLANK(Actuals!AV38),-250.13*Escalation!$B$44,Actuals!AV38)</f>
        <v>-265.43995704</v>
      </c>
      <c r="AV128" s="14" t="n">
        <f aca="false">IF(ISBLANK(Actuals!AW38),-250.13*Escalation!$B$45,Actuals!AW38)</f>
        <v>-265.43995704</v>
      </c>
      <c r="AW128" s="14" t="n">
        <f aca="false">IF(ISBLANK(Actuals!AX38),-250.13*Escalation!$B$46,Actuals!AX38)</f>
        <v>-265.43995704</v>
      </c>
      <c r="AX128" s="14" t="n">
        <f aca="false">IF(ISBLANK(Actuals!AY38),-250.13*Escalation!$B$47,Actuals!AY38)</f>
        <v>-265.43995704</v>
      </c>
      <c r="AY128" s="14" t="n">
        <f aca="false">IF(ISBLANK(Actuals!AZ38),-250.13*Escalation!$B$48,Actuals!AZ38)</f>
        <v>-265.43995704</v>
      </c>
      <c r="AZ128" s="14" t="n">
        <f aca="false">IF(ISBLANK(Actuals!BA38),-250.13*Escalation!$B$49,Actuals!BA38)</f>
        <v>-265.43995704</v>
      </c>
      <c r="BA128" s="14" t="n">
        <f aca="false">IF(ISBLANK(Actuals!BB38),-250.13*Escalation!$B$50,Actuals!BB38)</f>
        <v>-270.7487561808</v>
      </c>
      <c r="BB128" s="14" t="n">
        <f aca="false">IF(ISBLANK(Actuals!BC38),-250.13*Escalation!$B$51,Actuals!BC38)</f>
        <v>-270.7487561808</v>
      </c>
      <c r="BC128" s="14" t="n">
        <f aca="false">IF(ISBLANK(Actuals!BD38),-250.13*Escalation!$B$52,Actuals!BD38)</f>
        <v>-270.7487561808</v>
      </c>
      <c r="BD128" s="14" t="n">
        <f aca="false">IF(ISBLANK(Actuals!BE38),-250.13*Escalation!$B$53,Actuals!BE38)</f>
        <v>-270.7487561808</v>
      </c>
      <c r="BE128" s="14" t="n">
        <f aca="false">IF(ISBLANK(Actuals!BF38),-250.13*Escalation!$B$54,Actuals!BF38)</f>
        <v>-270.7487561808</v>
      </c>
      <c r="BF128" s="14" t="n">
        <f aca="false">IF(ISBLANK(Actuals!BG38),-250.13*Escalation!$B$55,Actuals!BG38)</f>
        <v>-270.7487561808</v>
      </c>
      <c r="BG128" s="14" t="n">
        <f aca="false">IF(ISBLANK(Actuals!BH38),-250.13*Escalation!$B$56,Actuals!BH38)</f>
        <v>-270.7487561808</v>
      </c>
      <c r="BH128" s="14" t="n">
        <f aca="false">IF(ISBLANK(Actuals!BI38),-250.13*Escalation!$B$57,Actuals!BI38)</f>
        <v>-270.7487561808</v>
      </c>
      <c r="BI128" s="14" t="n">
        <f aca="false">IF(ISBLANK(Actuals!BJ38),-250.13*Escalation!$B$58,Actuals!BJ38)</f>
        <v>-270.7487561808</v>
      </c>
      <c r="BJ128" s="14" t="n">
        <f aca="false">IF(ISBLANK(Actuals!BK38),-250.13*Escalation!$B$59,Actuals!BK38)</f>
        <v>-270.7487561808</v>
      </c>
      <c r="BK128" s="14" t="n">
        <f aca="false">IF(ISBLANK(Actuals!BL38),-250.13*Escalation!$B$60,Actuals!BL38)</f>
        <v>-270.7487561808</v>
      </c>
      <c r="BL128" s="14" t="n">
        <f aca="false">IF(ISBLANK(Actuals!BM38),-250.13*Escalation!$B$61,Actuals!BM38)</f>
        <v>-270.7487561808</v>
      </c>
      <c r="BM128" s="14" t="n">
        <f aca="false">IF(ISBLANK(Actuals!BN38),-250.13*Escalation!$B$62,Actuals!BN38)</f>
        <v>-276.163731304416</v>
      </c>
      <c r="BN128" s="14" t="n">
        <f aca="false">IF(ISBLANK(Actuals!BO38),-250.13*Escalation!$B$63,Actuals!BO38)</f>
        <v>-276.163731304416</v>
      </c>
      <c r="BO128" s="14" t="n">
        <f aca="false">IF(ISBLANK(Actuals!BP38),-250.13*Escalation!$B$64,Actuals!BP38)</f>
        <v>-276.163731304416</v>
      </c>
      <c r="BP128" s="14" t="n">
        <f aca="false">IF(ISBLANK(Actuals!BQ38),-250.13*Escalation!$B$65,Actuals!BQ38)</f>
        <v>-276.163731304416</v>
      </c>
      <c r="BQ128" s="14" t="n">
        <f aca="false">IF(ISBLANK(Actuals!BR38),-250.13*Escalation!$B$66,Actuals!BR38)</f>
        <v>-276.163731304416</v>
      </c>
      <c r="BR128" s="14" t="n">
        <f aca="false">IF(ISBLANK(Actuals!BS38),-250.13*Escalation!$B$67,Actuals!BS38)</f>
        <v>-276.163731304416</v>
      </c>
      <c r="BS128" s="14" t="n">
        <f aca="false">IF(ISBLANK(Actuals!BT38),-250.13*Escalation!$B$68,Actuals!BT38)</f>
        <v>-276.163731304416</v>
      </c>
      <c r="BT128" s="14" t="n">
        <f aca="false">IF(ISBLANK(Actuals!BU38),-250.13*Escalation!$B$69,Actuals!BU38)</f>
        <v>-276.163731304416</v>
      </c>
      <c r="BU128" s="14" t="n">
        <f aca="false">IF(ISBLANK(Actuals!BV38),-250.13*Escalation!$B$70,Actuals!BV38)</f>
        <v>-276.163731304416</v>
      </c>
      <c r="BV128" s="14" t="n">
        <f aca="false">IF(ISBLANK(Actuals!BW38),-250.13*Escalation!$B$71,Actuals!BW38)</f>
        <v>-276.163731304416</v>
      </c>
      <c r="BW128" s="14" t="n">
        <f aca="false">IF(ISBLANK(Actuals!BX38),-250.13*Escalation!$B$72,Actuals!BX38)</f>
        <v>-276.163731304416</v>
      </c>
      <c r="BX128" s="14" t="n">
        <f aca="false">IF(ISBLANK(Actuals!BY38),-250.13*Escalation!$B$73,Actuals!BY38)</f>
        <v>-276.163731304416</v>
      </c>
      <c r="BY128" s="14" t="n">
        <f aca="false">IF(ISBLANK(Actuals!BZ38),-250.13*Escalation!$B$74,Actuals!BZ38)</f>
        <v>-281.687005930504</v>
      </c>
      <c r="BZ128" s="14" t="n">
        <f aca="false">IF(ISBLANK(Actuals!CA38),-250.13*Escalation!$B$75,Actuals!CA38)</f>
        <v>-281.687005930504</v>
      </c>
      <c r="CA128" s="14" t="n">
        <f aca="false">IF(ISBLANK(Actuals!CB38),-250.13*Escalation!$B$76,Actuals!CB38)</f>
        <v>-281.687005930504</v>
      </c>
      <c r="CB128" s="14" t="n">
        <f aca="false">IF(ISBLANK(Actuals!CC38),-250.13*Escalation!$B$77,Actuals!CC38)</f>
        <v>-281.687005930504</v>
      </c>
      <c r="CC128" s="14" t="n">
        <f aca="false">IF(ISBLANK(Actuals!CD38),-250.13*Escalation!$B$78,Actuals!CD38)</f>
        <v>-281.687005930504</v>
      </c>
      <c r="CD128" s="14" t="n">
        <f aca="false">IF(ISBLANK(Actuals!CE38),-250.13*Escalation!$B$79,Actuals!CE38)</f>
        <v>-281.687005930504</v>
      </c>
      <c r="CE128" s="14" t="n">
        <f aca="false">IF(ISBLANK(Actuals!CF38),-250.13*Escalation!$B$80,Actuals!CF38)</f>
        <v>-281.687005930504</v>
      </c>
      <c r="CF128" s="14" t="n">
        <f aca="false">IF(ISBLANK(Actuals!CG38),-250.13*Escalation!$B$81,Actuals!CG38)</f>
        <v>-281.687005930504</v>
      </c>
      <c r="CG128" s="14" t="n">
        <f aca="false">IF(ISBLANK(Actuals!CH38),-250.13*Escalation!$B$82,Actuals!CH38)</f>
        <v>-281.687005930504</v>
      </c>
      <c r="CH128" s="14" t="n">
        <f aca="false">IF(ISBLANK(Actuals!CI38),-250.13*Escalation!$B$83,Actuals!CI38)</f>
        <v>-281.687005930504</v>
      </c>
      <c r="CI128" s="14" t="n">
        <f aca="false">IF(ISBLANK(Actuals!CJ38),-250.13*Escalation!$B$84,Actuals!CJ38)</f>
        <v>-281.687005930504</v>
      </c>
      <c r="CJ128" s="14" t="n">
        <f aca="false">IF(ISBLANK(Actuals!CK38),-250.13*Escalation!$B$85,Actuals!CK38)</f>
        <v>-281.687005930504</v>
      </c>
      <c r="CK128" s="14" t="n">
        <f aca="false">IF(ISBLANK(Actuals!CL38),-250.13*Escalation!$B$86,Actuals!CL38)</f>
        <v>-287.320746049114</v>
      </c>
      <c r="CL128" s="14" t="n">
        <f aca="false">IF(ISBLANK(Actuals!CM38),-250.13*Escalation!$B$87,Actuals!CM38)</f>
        <v>-287.320746049114</v>
      </c>
      <c r="CM128" s="14" t="n">
        <f aca="false">IF(ISBLANK(Actuals!CN38),-250.13*Escalation!$B$88,Actuals!CN38)</f>
        <v>-287.320746049114</v>
      </c>
      <c r="CN128" s="14" t="n">
        <f aca="false">IF(ISBLANK(Actuals!CO38),-250.13*Escalation!$B$89,Actuals!CO38)</f>
        <v>-287.320746049114</v>
      </c>
      <c r="CO128" s="14" t="n">
        <f aca="false">IF(ISBLANK(Actuals!CP38),-250.13*Escalation!$B$90,Actuals!CP38)</f>
        <v>-287.320746049114</v>
      </c>
      <c r="CP128" s="14" t="n">
        <f aca="false">IF(ISBLANK(Actuals!CQ38),-250.13*Escalation!$B$91,Actuals!CQ38)</f>
        <v>-287.320746049114</v>
      </c>
      <c r="CQ128" s="14" t="n">
        <f aca="false">IF(ISBLANK(Actuals!CR38),-250.13*Escalation!$B$92,Actuals!CR38)</f>
        <v>-287.320746049114</v>
      </c>
      <c r="CR128" s="14" t="n">
        <f aca="false">IF(ISBLANK(Actuals!CS38),-250.13*Escalation!$B$93,Actuals!CS38)</f>
        <v>-287.320746049114</v>
      </c>
      <c r="CS128" s="14" t="n">
        <f aca="false">IF(ISBLANK(Actuals!CT38),-250.13*Escalation!$B$94,Actuals!CT38)</f>
        <v>-287.320746049114</v>
      </c>
      <c r="CT128" s="14" t="n">
        <f aca="false">IF(ISBLANK(Actuals!CU38),-250.13*Escalation!$B$95,Actuals!CU38)</f>
        <v>-287.320746049114</v>
      </c>
      <c r="CU128" s="14" t="n">
        <f aca="false">IF(ISBLANK(Actuals!CV38),-250.13*Escalation!$B$96,Actuals!CV38)</f>
        <v>-287.320746049114</v>
      </c>
      <c r="CV128" s="14" t="n">
        <f aca="false">IF(ISBLANK(Actuals!CW38),-250.13*Escalation!$B$97,Actuals!CW38)</f>
        <v>-287.320746049114</v>
      </c>
      <c r="CW128" s="14" t="n">
        <f aca="false">IF(ISBLANK(Actuals!CX38),-250.13*Escalation!$B$98,Actuals!CX38)</f>
        <v>-293.067160970097</v>
      </c>
      <c r="CX128" s="14" t="n">
        <f aca="false">IF(ISBLANK(Actuals!CY38),-250.13*Escalation!$B$99,Actuals!CY38)</f>
        <v>-293.067160970097</v>
      </c>
      <c r="CY128" s="14" t="n">
        <f aca="false">IF(ISBLANK(Actuals!CZ38),-250.13*Escalation!$B$100,Actuals!CZ38)</f>
        <v>-293.067160970097</v>
      </c>
      <c r="CZ128" s="14" t="n">
        <f aca="false">IF(ISBLANK(Actuals!DA38),-250.13*Escalation!$B$101,Actuals!DA38)</f>
        <v>-293.067160970097</v>
      </c>
      <c r="DA128" s="14" t="n">
        <f aca="false">IF(ISBLANK(Actuals!DB38),-250.13*Escalation!$B$102,Actuals!DB38)</f>
        <v>-293.067160970097</v>
      </c>
      <c r="DB128" s="14" t="n">
        <f aca="false">IF(ISBLANK(Actuals!DC38),-250.13*Escalation!$B$103,Actuals!DC38)</f>
        <v>-293.067160970097</v>
      </c>
      <c r="DC128" s="14" t="n">
        <f aca="false">IF(ISBLANK(Actuals!DD38),-250.13*Escalation!$B$104,Actuals!DD38)</f>
        <v>-293.067160970097</v>
      </c>
      <c r="DD128" s="14" t="n">
        <f aca="false">IF(ISBLANK(Actuals!DE38),-250.13*Escalation!$B$105,Actuals!DE38)</f>
        <v>-293.067160970097</v>
      </c>
      <c r="DE128" s="14" t="n">
        <f aca="false">IF(ISBLANK(Actuals!DF38),-250.13*Escalation!$B$106,Actuals!DF38)</f>
        <v>-293.067160970097</v>
      </c>
    </row>
    <row r="129" customFormat="false" ht="15" hidden="false" customHeight="true" outlineLevel="0" collapsed="false">
      <c r="A129" s="29" t="s">
        <v>78</v>
      </c>
      <c r="B129" s="14" t="n">
        <f aca="false">IF(ISBLANK(Actuals!C39),0,Actuals!C39)</f>
        <v>-1474.63</v>
      </c>
      <c r="C129" s="14" t="n">
        <f aca="false">IF(ISBLANK(Actuals!D39),0,Actuals!D39)</f>
        <v>-1449.33</v>
      </c>
      <c r="D129" s="14" t="n">
        <f aca="false">IF(ISBLANK(Actuals!E39),0,Actuals!E39)</f>
        <v>-2328.76</v>
      </c>
      <c r="E129" s="14" t="n">
        <f aca="false">IF(ISBLANK(Actuals!F39),-1750.91*Escalation!$B$2,Actuals!F39)</f>
        <v>-2249.56</v>
      </c>
      <c r="F129" s="14" t="n">
        <f aca="false">IF(ISBLANK(Actuals!G39),-1750.91*Escalation!$B$3,Actuals!G39)</f>
        <v>-2759.48</v>
      </c>
      <c r="G129" s="14" t="n">
        <f aca="false">IF(ISBLANK(Actuals!H39),-1750.91*Escalation!$B$4,Actuals!H39)</f>
        <v>-2749.12</v>
      </c>
      <c r="H129" s="14" t="n">
        <f aca="false">IF(ISBLANK(Actuals!I39),-1750.91*Escalation!$B$5,Actuals!I39)</f>
        <v>-1750.91</v>
      </c>
      <c r="I129" s="14" t="n">
        <f aca="false">IF(ISBLANK(Actuals!J39),-1750.91*Escalation!$B$6,Actuals!J39)</f>
        <v>-1750.91</v>
      </c>
      <c r="J129" s="14" t="n">
        <f aca="false">IF(ISBLANK(Actuals!K39),-1750.91*Escalation!$B$7,Actuals!K39)</f>
        <v>-1750.91</v>
      </c>
      <c r="K129" s="14" t="n">
        <f aca="false">IF(ISBLANK(Actuals!L39),-1750.91*Escalation!$B$8,Actuals!L39)</f>
        <v>-1750.91</v>
      </c>
      <c r="L129" s="14" t="n">
        <f aca="false">IF(ISBLANK(Actuals!M39),-1750.91*Escalation!$B$9,Actuals!M39)</f>
        <v>-1750.91</v>
      </c>
      <c r="M129" s="14" t="n">
        <f aca="false">IF(ISBLANK(Actuals!N39),-1750.91*Escalation!$B$10,Actuals!N39)</f>
        <v>-1750.91</v>
      </c>
      <c r="N129" s="14" t="n">
        <f aca="false">IF(ISBLANK(Actuals!O39),-1750.91*Escalation!$B$11,Actuals!O39)</f>
        <v>-1750.91</v>
      </c>
      <c r="O129" s="14" t="n">
        <f aca="false">IF(ISBLANK(Actuals!P39),-1750.91*Escalation!$B$12,Actuals!P39)</f>
        <v>-1750.91</v>
      </c>
      <c r="P129" s="14" t="n">
        <f aca="false">IF(ISBLANK(Actuals!Q39),-1750.91*Escalation!$B$13,Actuals!Q39)</f>
        <v>-1750.91</v>
      </c>
      <c r="Q129" s="14" t="n">
        <f aca="false">IF(ISBLANK(Actuals!R39),-1750.91*Escalation!$B$14,Actuals!R39)</f>
        <v>-1785.9282</v>
      </c>
      <c r="R129" s="14" t="n">
        <f aca="false">IF(ISBLANK(Actuals!S39),-1750.91*Escalation!$B$15,Actuals!S39)</f>
        <v>-1785.9282</v>
      </c>
      <c r="S129" s="14" t="n">
        <f aca="false">IF(ISBLANK(Actuals!T39),-1750.91*Escalation!$B$16,Actuals!T39)</f>
        <v>-1785.9282</v>
      </c>
      <c r="T129" s="14" t="n">
        <f aca="false">IF(ISBLANK(Actuals!U39),-1750.91*Escalation!$B$17,Actuals!U39)</f>
        <v>-1785.9282</v>
      </c>
      <c r="U129" s="14" t="n">
        <f aca="false">IF(ISBLANK(Actuals!V39),-1750.91*Escalation!$B$18,Actuals!V39)</f>
        <v>-1785.9282</v>
      </c>
      <c r="V129" s="14" t="n">
        <f aca="false">IF(ISBLANK(Actuals!W39),-1750.91*Escalation!$B$19,Actuals!W39)</f>
        <v>-1785.9282</v>
      </c>
      <c r="W129" s="14" t="n">
        <f aca="false">IF(ISBLANK(Actuals!X39),-1750.91*Escalation!$B$20,Actuals!X39)</f>
        <v>-1785.9282</v>
      </c>
      <c r="X129" s="14" t="n">
        <f aca="false">IF(ISBLANK(Actuals!Y39),-1750.91*Escalation!$B$21,Actuals!Y39)</f>
        <v>-1785.9282</v>
      </c>
      <c r="Y129" s="14" t="n">
        <f aca="false">IF(ISBLANK(Actuals!Z39),-1750.91*Escalation!$B$22,Actuals!Z39)</f>
        <v>-1785.9282</v>
      </c>
      <c r="Z129" s="14" t="n">
        <f aca="false">IF(ISBLANK(Actuals!AA39),-1750.91*Escalation!$B$23,Actuals!AA39)</f>
        <v>-1785.9282</v>
      </c>
      <c r="AA129" s="14" t="n">
        <f aca="false">IF(ISBLANK(Actuals!AB39),-1750.91*Escalation!$B$24,Actuals!AB39)</f>
        <v>-1785.9282</v>
      </c>
      <c r="AB129" s="14" t="n">
        <f aca="false">IF(ISBLANK(Actuals!AC39),-1750.91*Escalation!$B$25,Actuals!AC39)</f>
        <v>-1785.9282</v>
      </c>
      <c r="AC129" s="14" t="n">
        <f aca="false">IF(ISBLANK(Actuals!AD39),-1750.91*Escalation!$B$26,Actuals!AD39)</f>
        <v>-1821.646764</v>
      </c>
      <c r="AD129" s="14" t="n">
        <f aca="false">IF(ISBLANK(Actuals!AE39),-1750.91*Escalation!$B$27,Actuals!AE39)</f>
        <v>-1821.646764</v>
      </c>
      <c r="AE129" s="14" t="n">
        <f aca="false">IF(ISBLANK(Actuals!AF39),-1750.91*Escalation!$B$28,Actuals!AF39)</f>
        <v>-1821.646764</v>
      </c>
      <c r="AF129" s="14" t="n">
        <f aca="false">IF(ISBLANK(Actuals!AG39),-1750.91*Escalation!$B$29,Actuals!AG39)</f>
        <v>-1821.646764</v>
      </c>
      <c r="AG129" s="14" t="n">
        <f aca="false">IF(ISBLANK(Actuals!AH39),-1750.91*Escalation!$B$30,Actuals!AH39)</f>
        <v>-1821.646764</v>
      </c>
      <c r="AH129" s="14" t="n">
        <f aca="false">IF(ISBLANK(Actuals!AI39),-1750.91*Escalation!$B$31,Actuals!AI39)</f>
        <v>-1821.646764</v>
      </c>
      <c r="AI129" s="14" t="n">
        <f aca="false">IF(ISBLANK(Actuals!AJ39),-1750.91*Escalation!$B$32,Actuals!AJ39)</f>
        <v>-1821.646764</v>
      </c>
      <c r="AJ129" s="14" t="n">
        <f aca="false">IF(ISBLANK(Actuals!AK39),-1750.91*Escalation!$B$33,Actuals!AK39)</f>
        <v>-1821.646764</v>
      </c>
      <c r="AK129" s="14" t="n">
        <f aca="false">IF(ISBLANK(Actuals!AL39),-1750.91*Escalation!$B$34,Actuals!AL39)</f>
        <v>-1821.646764</v>
      </c>
      <c r="AL129" s="14" t="n">
        <f aca="false">IF(ISBLANK(Actuals!AM39),-1750.91*Escalation!$B$35,Actuals!AM39)</f>
        <v>-1821.646764</v>
      </c>
      <c r="AM129" s="14" t="n">
        <f aca="false">IF(ISBLANK(Actuals!AN39),-1750.91*Escalation!$B$36,Actuals!AN39)</f>
        <v>-1821.646764</v>
      </c>
      <c r="AN129" s="14" t="n">
        <f aca="false">IF(ISBLANK(Actuals!AO39),-1750.91*Escalation!$B$37,Actuals!AO39)</f>
        <v>-1821.646764</v>
      </c>
      <c r="AO129" s="14" t="n">
        <f aca="false">IF(ISBLANK(Actuals!AP39),-1750.91*Escalation!$B$38,Actuals!AP39)</f>
        <v>-1858.07969928</v>
      </c>
      <c r="AP129" s="14" t="n">
        <f aca="false">IF(ISBLANK(Actuals!AQ39),-1750.91*Escalation!$B$39,Actuals!AQ39)</f>
        <v>-1858.07969928</v>
      </c>
      <c r="AQ129" s="14" t="n">
        <f aca="false">IF(ISBLANK(Actuals!AR39),-1750.91*Escalation!$B$40,Actuals!AR39)</f>
        <v>-1858.07969928</v>
      </c>
      <c r="AR129" s="14" t="n">
        <f aca="false">IF(ISBLANK(Actuals!AS39),-1750.91*Escalation!$B$41,Actuals!AS39)</f>
        <v>-1858.07969928</v>
      </c>
      <c r="AS129" s="14" t="n">
        <f aca="false">IF(ISBLANK(Actuals!AT39),-1750.91*Escalation!$B$42,Actuals!AT39)</f>
        <v>-1858.07969928</v>
      </c>
      <c r="AT129" s="14" t="n">
        <f aca="false">IF(ISBLANK(Actuals!AU39),-1750.91*Escalation!$B$43,Actuals!AU39)</f>
        <v>-1858.07969928</v>
      </c>
      <c r="AU129" s="14" t="n">
        <f aca="false">IF(ISBLANK(Actuals!AV39),-1750.91*Escalation!$B$44,Actuals!AV39)</f>
        <v>-1858.07969928</v>
      </c>
      <c r="AV129" s="14" t="n">
        <f aca="false">IF(ISBLANK(Actuals!AW39),-1750.91*Escalation!$B$45,Actuals!AW39)</f>
        <v>-1858.07969928</v>
      </c>
      <c r="AW129" s="14" t="n">
        <f aca="false">IF(ISBLANK(Actuals!AX39),-1750.91*Escalation!$B$46,Actuals!AX39)</f>
        <v>-1858.07969928</v>
      </c>
      <c r="AX129" s="14" t="n">
        <f aca="false">IF(ISBLANK(Actuals!AY39),-1750.91*Escalation!$B$47,Actuals!AY39)</f>
        <v>-1858.07969928</v>
      </c>
      <c r="AY129" s="14" t="n">
        <f aca="false">IF(ISBLANK(Actuals!AZ39),-1750.91*Escalation!$B$48,Actuals!AZ39)</f>
        <v>-1858.07969928</v>
      </c>
      <c r="AZ129" s="14" t="n">
        <f aca="false">IF(ISBLANK(Actuals!BA39),-1750.91*Escalation!$B$49,Actuals!BA39)</f>
        <v>-1858.07969928</v>
      </c>
      <c r="BA129" s="14" t="n">
        <f aca="false">IF(ISBLANK(Actuals!BB39),-1750.91*Escalation!$B$50,Actuals!BB39)</f>
        <v>-1895.2412932656</v>
      </c>
      <c r="BB129" s="14" t="n">
        <f aca="false">IF(ISBLANK(Actuals!BC39),-1750.91*Escalation!$B$51,Actuals!BC39)</f>
        <v>-1895.2412932656</v>
      </c>
      <c r="BC129" s="14" t="n">
        <f aca="false">IF(ISBLANK(Actuals!BD39),-1750.91*Escalation!$B$52,Actuals!BD39)</f>
        <v>-1895.2412932656</v>
      </c>
      <c r="BD129" s="14" t="n">
        <f aca="false">IF(ISBLANK(Actuals!BE39),-1750.91*Escalation!$B$53,Actuals!BE39)</f>
        <v>-1895.2412932656</v>
      </c>
      <c r="BE129" s="14" t="n">
        <f aca="false">IF(ISBLANK(Actuals!BF39),-1750.91*Escalation!$B$54,Actuals!BF39)</f>
        <v>-1895.2412932656</v>
      </c>
      <c r="BF129" s="14" t="n">
        <f aca="false">IF(ISBLANK(Actuals!BG39),-1750.91*Escalation!$B$55,Actuals!BG39)</f>
        <v>-1895.2412932656</v>
      </c>
      <c r="BG129" s="14" t="n">
        <f aca="false">IF(ISBLANK(Actuals!BH39),-1750.91*Escalation!$B$56,Actuals!BH39)</f>
        <v>-1895.2412932656</v>
      </c>
      <c r="BH129" s="14" t="n">
        <f aca="false">IF(ISBLANK(Actuals!BI39),-1750.91*Escalation!$B$57,Actuals!BI39)</f>
        <v>-1895.2412932656</v>
      </c>
      <c r="BI129" s="14" t="n">
        <f aca="false">IF(ISBLANK(Actuals!BJ39),-1750.91*Escalation!$B$58,Actuals!BJ39)</f>
        <v>-1895.2412932656</v>
      </c>
      <c r="BJ129" s="14" t="n">
        <f aca="false">IF(ISBLANK(Actuals!BK39),-1750.91*Escalation!$B$59,Actuals!BK39)</f>
        <v>-1895.2412932656</v>
      </c>
      <c r="BK129" s="14" t="n">
        <f aca="false">IF(ISBLANK(Actuals!BL39),-1750.91*Escalation!$B$60,Actuals!BL39)</f>
        <v>-1895.2412932656</v>
      </c>
      <c r="BL129" s="14" t="n">
        <f aca="false">IF(ISBLANK(Actuals!BM39),-1750.91*Escalation!$B$61,Actuals!BM39)</f>
        <v>-1895.2412932656</v>
      </c>
      <c r="BM129" s="14" t="n">
        <f aca="false">IF(ISBLANK(Actuals!BN39),-1750.91*Escalation!$B$62,Actuals!BN39)</f>
        <v>-1933.14611913091</v>
      </c>
      <c r="BN129" s="14" t="n">
        <f aca="false">IF(ISBLANK(Actuals!BO39),-1750.91*Escalation!$B$63,Actuals!BO39)</f>
        <v>-1933.14611913091</v>
      </c>
      <c r="BO129" s="14" t="n">
        <f aca="false">IF(ISBLANK(Actuals!BP39),-1750.91*Escalation!$B$64,Actuals!BP39)</f>
        <v>-1933.14611913091</v>
      </c>
      <c r="BP129" s="14" t="n">
        <f aca="false">IF(ISBLANK(Actuals!BQ39),-1750.91*Escalation!$B$65,Actuals!BQ39)</f>
        <v>-1933.14611913091</v>
      </c>
      <c r="BQ129" s="14" t="n">
        <f aca="false">IF(ISBLANK(Actuals!BR39),-1750.91*Escalation!$B$66,Actuals!BR39)</f>
        <v>-1933.14611913091</v>
      </c>
      <c r="BR129" s="14" t="n">
        <f aca="false">IF(ISBLANK(Actuals!BS39),-1750.91*Escalation!$B$67,Actuals!BS39)</f>
        <v>-1933.14611913091</v>
      </c>
      <c r="BS129" s="14" t="n">
        <f aca="false">IF(ISBLANK(Actuals!BT39),-1750.91*Escalation!$B$68,Actuals!BT39)</f>
        <v>-1933.14611913091</v>
      </c>
      <c r="BT129" s="14" t="n">
        <f aca="false">IF(ISBLANK(Actuals!BU39),-1750.91*Escalation!$B$69,Actuals!BU39)</f>
        <v>-1933.14611913091</v>
      </c>
      <c r="BU129" s="14" t="n">
        <f aca="false">IF(ISBLANK(Actuals!BV39),-1750.91*Escalation!$B$70,Actuals!BV39)</f>
        <v>-1933.14611913091</v>
      </c>
      <c r="BV129" s="14" t="n">
        <f aca="false">IF(ISBLANK(Actuals!BW39),-1750.91*Escalation!$B$71,Actuals!BW39)</f>
        <v>-1933.14611913091</v>
      </c>
      <c r="BW129" s="14" t="n">
        <f aca="false">IF(ISBLANK(Actuals!BX39),-1750.91*Escalation!$B$72,Actuals!BX39)</f>
        <v>-1933.14611913091</v>
      </c>
      <c r="BX129" s="14" t="n">
        <f aca="false">IF(ISBLANK(Actuals!BY39),-1750.91*Escalation!$B$73,Actuals!BY39)</f>
        <v>-1933.14611913091</v>
      </c>
      <c r="BY129" s="14" t="n">
        <f aca="false">IF(ISBLANK(Actuals!BZ39),-1750.91*Escalation!$B$74,Actuals!BZ39)</f>
        <v>-1971.80904151353</v>
      </c>
      <c r="BZ129" s="14" t="n">
        <f aca="false">IF(ISBLANK(Actuals!CA39),-1750.91*Escalation!$B$75,Actuals!CA39)</f>
        <v>-1971.80904151353</v>
      </c>
      <c r="CA129" s="14" t="n">
        <f aca="false">IF(ISBLANK(Actuals!CB39),-1750.91*Escalation!$B$76,Actuals!CB39)</f>
        <v>-1971.80904151353</v>
      </c>
      <c r="CB129" s="14" t="n">
        <f aca="false">IF(ISBLANK(Actuals!CC39),-1750.91*Escalation!$B$77,Actuals!CC39)</f>
        <v>-1971.80904151353</v>
      </c>
      <c r="CC129" s="14" t="n">
        <f aca="false">IF(ISBLANK(Actuals!CD39),-1750.91*Escalation!$B$78,Actuals!CD39)</f>
        <v>-1971.80904151353</v>
      </c>
      <c r="CD129" s="14" t="n">
        <f aca="false">IF(ISBLANK(Actuals!CE39),-1750.91*Escalation!$B$79,Actuals!CE39)</f>
        <v>-1971.80904151353</v>
      </c>
      <c r="CE129" s="14" t="n">
        <f aca="false">IF(ISBLANK(Actuals!CF39),-1750.91*Escalation!$B$80,Actuals!CF39)</f>
        <v>-1971.80904151353</v>
      </c>
      <c r="CF129" s="14" t="n">
        <f aca="false">IF(ISBLANK(Actuals!CG39),-1750.91*Escalation!$B$81,Actuals!CG39)</f>
        <v>-1971.80904151353</v>
      </c>
      <c r="CG129" s="14" t="n">
        <f aca="false">IF(ISBLANK(Actuals!CH39),-1750.91*Escalation!$B$82,Actuals!CH39)</f>
        <v>-1971.80904151353</v>
      </c>
      <c r="CH129" s="14" t="n">
        <f aca="false">IF(ISBLANK(Actuals!CI39),-1750.91*Escalation!$B$83,Actuals!CI39)</f>
        <v>-1971.80904151353</v>
      </c>
      <c r="CI129" s="14" t="n">
        <f aca="false">IF(ISBLANK(Actuals!CJ39),-1750.91*Escalation!$B$84,Actuals!CJ39)</f>
        <v>-1971.80904151353</v>
      </c>
      <c r="CJ129" s="14" t="n">
        <f aca="false">IF(ISBLANK(Actuals!CK39),-1750.91*Escalation!$B$85,Actuals!CK39)</f>
        <v>-1971.80904151353</v>
      </c>
      <c r="CK129" s="14" t="n">
        <f aca="false">IF(ISBLANK(Actuals!CL39),-1750.91*Escalation!$B$86,Actuals!CL39)</f>
        <v>-2011.2452223438</v>
      </c>
      <c r="CL129" s="14" t="n">
        <f aca="false">IF(ISBLANK(Actuals!CM39),-1750.91*Escalation!$B$87,Actuals!CM39)</f>
        <v>-2011.2452223438</v>
      </c>
      <c r="CM129" s="14" t="n">
        <f aca="false">IF(ISBLANK(Actuals!CN39),-1750.91*Escalation!$B$88,Actuals!CN39)</f>
        <v>-2011.2452223438</v>
      </c>
      <c r="CN129" s="14" t="n">
        <f aca="false">IF(ISBLANK(Actuals!CO39),-1750.91*Escalation!$B$89,Actuals!CO39)</f>
        <v>-2011.2452223438</v>
      </c>
      <c r="CO129" s="14" t="n">
        <f aca="false">IF(ISBLANK(Actuals!CP39),-1750.91*Escalation!$B$90,Actuals!CP39)</f>
        <v>-2011.2452223438</v>
      </c>
      <c r="CP129" s="14" t="n">
        <f aca="false">IF(ISBLANK(Actuals!CQ39),-1750.91*Escalation!$B$91,Actuals!CQ39)</f>
        <v>-2011.2452223438</v>
      </c>
      <c r="CQ129" s="14" t="n">
        <f aca="false">IF(ISBLANK(Actuals!CR39),-1750.91*Escalation!$B$92,Actuals!CR39)</f>
        <v>-2011.2452223438</v>
      </c>
      <c r="CR129" s="14" t="n">
        <f aca="false">IF(ISBLANK(Actuals!CS39),-1750.91*Escalation!$B$93,Actuals!CS39)</f>
        <v>-2011.2452223438</v>
      </c>
      <c r="CS129" s="14" t="n">
        <f aca="false">IF(ISBLANK(Actuals!CT39),-1750.91*Escalation!$B$94,Actuals!CT39)</f>
        <v>-2011.2452223438</v>
      </c>
      <c r="CT129" s="14" t="n">
        <f aca="false">IF(ISBLANK(Actuals!CU39),-1750.91*Escalation!$B$95,Actuals!CU39)</f>
        <v>-2011.2452223438</v>
      </c>
      <c r="CU129" s="14" t="n">
        <f aca="false">IF(ISBLANK(Actuals!CV39),-1750.91*Escalation!$B$96,Actuals!CV39)</f>
        <v>-2011.2452223438</v>
      </c>
      <c r="CV129" s="14" t="n">
        <f aca="false">IF(ISBLANK(Actuals!CW39),-1750.91*Escalation!$B$97,Actuals!CW39)</f>
        <v>-2011.2452223438</v>
      </c>
      <c r="CW129" s="14" t="n">
        <f aca="false">IF(ISBLANK(Actuals!CX39),-1750.91*Escalation!$B$98,Actuals!CX39)</f>
        <v>-2051.47012679068</v>
      </c>
      <c r="CX129" s="14" t="n">
        <f aca="false">IF(ISBLANK(Actuals!CY39),-1750.91*Escalation!$B$99,Actuals!CY39)</f>
        <v>-2051.47012679068</v>
      </c>
      <c r="CY129" s="14" t="n">
        <f aca="false">IF(ISBLANK(Actuals!CZ39),-1750.91*Escalation!$B$100,Actuals!CZ39)</f>
        <v>-2051.47012679068</v>
      </c>
      <c r="CZ129" s="14" t="n">
        <f aca="false">IF(ISBLANK(Actuals!DA39),-1750.91*Escalation!$B$101,Actuals!DA39)</f>
        <v>-2051.47012679068</v>
      </c>
      <c r="DA129" s="14" t="n">
        <f aca="false">IF(ISBLANK(Actuals!DB39),-1750.91*Escalation!$B$102,Actuals!DB39)</f>
        <v>-2051.47012679068</v>
      </c>
      <c r="DB129" s="14" t="n">
        <f aca="false">IF(ISBLANK(Actuals!DC39),-1750.91*Escalation!$B$103,Actuals!DC39)</f>
        <v>-2051.47012679068</v>
      </c>
      <c r="DC129" s="14" t="n">
        <f aca="false">IF(ISBLANK(Actuals!DD39),-1750.91*Escalation!$B$104,Actuals!DD39)</f>
        <v>-2051.47012679068</v>
      </c>
      <c r="DD129" s="14" t="n">
        <f aca="false">IF(ISBLANK(Actuals!DE39),-1750.91*Escalation!$B$105,Actuals!DE39)</f>
        <v>-2051.47012679068</v>
      </c>
      <c r="DE129" s="14" t="n">
        <f aca="false">IF(ISBLANK(Actuals!DF39),-1750.91*Escalation!$B$106,Actuals!DF39)</f>
        <v>-2051.47012679068</v>
      </c>
    </row>
    <row r="130" customFormat="false" ht="15" hidden="false" customHeight="true" outlineLevel="0" collapsed="false">
      <c r="A130" s="29" t="s">
        <v>79</v>
      </c>
      <c r="B130" s="14" t="n">
        <f aca="false">IF(ISBLANK(Actuals!C40),0,Actuals!C40)</f>
        <v>-1417.61</v>
      </c>
      <c r="C130" s="14" t="n">
        <f aca="false">IF(ISBLANK(Actuals!D40),0,Actuals!D40)</f>
        <v>-2730.36</v>
      </c>
      <c r="D130" s="14" t="n">
        <f aca="false">IF(ISBLANK(Actuals!E40),0,Actuals!E40)</f>
        <v>-1818.05</v>
      </c>
      <c r="E130" s="14" t="n">
        <f aca="false">IF(ISBLANK(Actuals!F40),-1988.67*Escalation!$B$2,Actuals!F40)</f>
        <v>-3307.74</v>
      </c>
      <c r="F130" s="14" t="n">
        <f aca="false">IF(ISBLANK(Actuals!G40),-1988.67*Escalation!$B$3,Actuals!G40)</f>
        <v>-1257.74</v>
      </c>
      <c r="G130" s="14" t="n">
        <f aca="false">IF(ISBLANK(Actuals!H40),-1988.67*Escalation!$B$4,Actuals!H40)</f>
        <v>-3372.74</v>
      </c>
      <c r="H130" s="14" t="n">
        <f aca="false">IF(ISBLANK(Actuals!I40),-1988.67*Escalation!$B$5,Actuals!I40)</f>
        <v>-1988.67</v>
      </c>
      <c r="I130" s="14" t="n">
        <f aca="false">IF(ISBLANK(Actuals!J40),-1988.67*Escalation!$B$6,Actuals!J40)</f>
        <v>-1988.67</v>
      </c>
      <c r="J130" s="14" t="n">
        <f aca="false">IF(ISBLANK(Actuals!K40),-1988.67*Escalation!$B$7,Actuals!K40)</f>
        <v>-1988.67</v>
      </c>
      <c r="K130" s="14" t="n">
        <f aca="false">IF(ISBLANK(Actuals!L40),-1988.67*Escalation!$B$8,Actuals!L40)</f>
        <v>-1988.67</v>
      </c>
      <c r="L130" s="14" t="n">
        <f aca="false">IF(ISBLANK(Actuals!M40),-1988.67*Escalation!$B$9,Actuals!M40)</f>
        <v>-1988.67</v>
      </c>
      <c r="M130" s="14" t="n">
        <f aca="false">IF(ISBLANK(Actuals!N40),-1988.67*Escalation!$B$10,Actuals!N40)</f>
        <v>-1988.67</v>
      </c>
      <c r="N130" s="14" t="n">
        <f aca="false">IF(ISBLANK(Actuals!O40),-1988.67*Escalation!$B$11,Actuals!O40)</f>
        <v>-1988.67</v>
      </c>
      <c r="O130" s="14" t="n">
        <f aca="false">IF(ISBLANK(Actuals!P40),-1988.67*Escalation!$B$12,Actuals!P40)</f>
        <v>-1988.67</v>
      </c>
      <c r="P130" s="14" t="n">
        <f aca="false">IF(ISBLANK(Actuals!Q40),-1988.67*Escalation!$B$13,Actuals!Q40)</f>
        <v>-1988.67</v>
      </c>
      <c r="Q130" s="14" t="n">
        <f aca="false">IF(ISBLANK(Actuals!R40),-1988.67*Escalation!$B$14,Actuals!R40)</f>
        <v>-2028.4434</v>
      </c>
      <c r="R130" s="14" t="n">
        <f aca="false">IF(ISBLANK(Actuals!S40),-1988.67*Escalation!$B$15,Actuals!S40)</f>
        <v>-2028.4434</v>
      </c>
      <c r="S130" s="14" t="n">
        <f aca="false">IF(ISBLANK(Actuals!T40),-1988.67*Escalation!$B$16,Actuals!T40)</f>
        <v>-2028.4434</v>
      </c>
      <c r="T130" s="14" t="n">
        <f aca="false">IF(ISBLANK(Actuals!U40),-1988.67*Escalation!$B$17,Actuals!U40)</f>
        <v>-2028.4434</v>
      </c>
      <c r="U130" s="14" t="n">
        <f aca="false">IF(ISBLANK(Actuals!V40),-1988.67*Escalation!$B$18,Actuals!V40)</f>
        <v>-2028.4434</v>
      </c>
      <c r="V130" s="14" t="n">
        <f aca="false">IF(ISBLANK(Actuals!W40),-1988.67*Escalation!$B$19,Actuals!W40)</f>
        <v>-2028.4434</v>
      </c>
      <c r="W130" s="14" t="n">
        <f aca="false">IF(ISBLANK(Actuals!X40),-1988.67*Escalation!$B$20,Actuals!X40)</f>
        <v>-2028.4434</v>
      </c>
      <c r="X130" s="14" t="n">
        <f aca="false">IF(ISBLANK(Actuals!Y40),-1988.67*Escalation!$B$21,Actuals!Y40)</f>
        <v>-2028.4434</v>
      </c>
      <c r="Y130" s="14" t="n">
        <f aca="false">IF(ISBLANK(Actuals!Z40),-1988.67*Escalation!$B$22,Actuals!Z40)</f>
        <v>-2028.4434</v>
      </c>
      <c r="Z130" s="14" t="n">
        <f aca="false">IF(ISBLANK(Actuals!AA40),-1988.67*Escalation!$B$23,Actuals!AA40)</f>
        <v>-2028.4434</v>
      </c>
      <c r="AA130" s="14" t="n">
        <f aca="false">IF(ISBLANK(Actuals!AB40),-1988.67*Escalation!$B$24,Actuals!AB40)</f>
        <v>-2028.4434</v>
      </c>
      <c r="AB130" s="14" t="n">
        <f aca="false">IF(ISBLANK(Actuals!AC40),-1988.67*Escalation!$B$25,Actuals!AC40)</f>
        <v>-2028.4434</v>
      </c>
      <c r="AC130" s="14" t="n">
        <f aca="false">IF(ISBLANK(Actuals!AD40),-1988.67*Escalation!$B$26,Actuals!AD40)</f>
        <v>-2069.012268</v>
      </c>
      <c r="AD130" s="14" t="n">
        <f aca="false">IF(ISBLANK(Actuals!AE40),-1988.67*Escalation!$B$27,Actuals!AE40)</f>
        <v>-2069.012268</v>
      </c>
      <c r="AE130" s="14" t="n">
        <f aca="false">IF(ISBLANK(Actuals!AF40),-1988.67*Escalation!$B$28,Actuals!AF40)</f>
        <v>-2069.012268</v>
      </c>
      <c r="AF130" s="14" t="n">
        <f aca="false">IF(ISBLANK(Actuals!AG40),-1988.67*Escalation!$B$29,Actuals!AG40)</f>
        <v>-2069.012268</v>
      </c>
      <c r="AG130" s="14" t="n">
        <f aca="false">IF(ISBLANK(Actuals!AH40),-1988.67*Escalation!$B$30,Actuals!AH40)</f>
        <v>-2069.012268</v>
      </c>
      <c r="AH130" s="14" t="n">
        <f aca="false">IF(ISBLANK(Actuals!AI40),-1988.67*Escalation!$B$31,Actuals!AI40)</f>
        <v>-2069.012268</v>
      </c>
      <c r="AI130" s="14" t="n">
        <f aca="false">IF(ISBLANK(Actuals!AJ40),-1988.67*Escalation!$B$32,Actuals!AJ40)</f>
        <v>-2069.012268</v>
      </c>
      <c r="AJ130" s="14" t="n">
        <f aca="false">IF(ISBLANK(Actuals!AK40),-1988.67*Escalation!$B$33,Actuals!AK40)</f>
        <v>-2069.012268</v>
      </c>
      <c r="AK130" s="14" t="n">
        <f aca="false">IF(ISBLANK(Actuals!AL40),-1988.67*Escalation!$B$34,Actuals!AL40)</f>
        <v>-2069.012268</v>
      </c>
      <c r="AL130" s="14" t="n">
        <f aca="false">IF(ISBLANK(Actuals!AM40),-1988.67*Escalation!$B$35,Actuals!AM40)</f>
        <v>-2069.012268</v>
      </c>
      <c r="AM130" s="14" t="n">
        <f aca="false">IF(ISBLANK(Actuals!AN40),-1988.67*Escalation!$B$36,Actuals!AN40)</f>
        <v>-2069.012268</v>
      </c>
      <c r="AN130" s="14" t="n">
        <f aca="false">IF(ISBLANK(Actuals!AO40),-1988.67*Escalation!$B$37,Actuals!AO40)</f>
        <v>-2069.012268</v>
      </c>
      <c r="AO130" s="14" t="n">
        <f aca="false">IF(ISBLANK(Actuals!AP40),-1988.67*Escalation!$B$38,Actuals!AP40)</f>
        <v>-2110.39251336</v>
      </c>
      <c r="AP130" s="14" t="n">
        <f aca="false">IF(ISBLANK(Actuals!AQ40),-1988.67*Escalation!$B$39,Actuals!AQ40)</f>
        <v>-2110.39251336</v>
      </c>
      <c r="AQ130" s="14" t="n">
        <f aca="false">IF(ISBLANK(Actuals!AR40),-1988.67*Escalation!$B$40,Actuals!AR40)</f>
        <v>-2110.39251336</v>
      </c>
      <c r="AR130" s="14" t="n">
        <f aca="false">IF(ISBLANK(Actuals!AS40),-1988.67*Escalation!$B$41,Actuals!AS40)</f>
        <v>-2110.39251336</v>
      </c>
      <c r="AS130" s="14" t="n">
        <f aca="false">IF(ISBLANK(Actuals!AT40),-1988.67*Escalation!$B$42,Actuals!AT40)</f>
        <v>-2110.39251336</v>
      </c>
      <c r="AT130" s="14" t="n">
        <f aca="false">IF(ISBLANK(Actuals!AU40),-1988.67*Escalation!$B$43,Actuals!AU40)</f>
        <v>-2110.39251336</v>
      </c>
      <c r="AU130" s="14" t="n">
        <f aca="false">IF(ISBLANK(Actuals!AV40),-1988.67*Escalation!$B$44,Actuals!AV40)</f>
        <v>-2110.39251336</v>
      </c>
      <c r="AV130" s="14" t="n">
        <f aca="false">IF(ISBLANK(Actuals!AW40),-1988.67*Escalation!$B$45,Actuals!AW40)</f>
        <v>-2110.39251336</v>
      </c>
      <c r="AW130" s="14" t="n">
        <f aca="false">IF(ISBLANK(Actuals!AX40),-1988.67*Escalation!$B$46,Actuals!AX40)</f>
        <v>-2110.39251336</v>
      </c>
      <c r="AX130" s="14" t="n">
        <f aca="false">IF(ISBLANK(Actuals!AY40),-1988.67*Escalation!$B$47,Actuals!AY40)</f>
        <v>-2110.39251336</v>
      </c>
      <c r="AY130" s="14" t="n">
        <f aca="false">IF(ISBLANK(Actuals!AZ40),-1988.67*Escalation!$B$48,Actuals!AZ40)</f>
        <v>-2110.39251336</v>
      </c>
      <c r="AZ130" s="14" t="n">
        <f aca="false">IF(ISBLANK(Actuals!BA40),-1988.67*Escalation!$B$49,Actuals!BA40)</f>
        <v>-2110.39251336</v>
      </c>
      <c r="BA130" s="14" t="n">
        <f aca="false">IF(ISBLANK(Actuals!BB40),-1988.67*Escalation!$B$50,Actuals!BB40)</f>
        <v>-2152.6003636272</v>
      </c>
      <c r="BB130" s="14" t="n">
        <f aca="false">IF(ISBLANK(Actuals!BC40),-1988.67*Escalation!$B$51,Actuals!BC40)</f>
        <v>-2152.6003636272</v>
      </c>
      <c r="BC130" s="14" t="n">
        <f aca="false">IF(ISBLANK(Actuals!BD40),-1988.67*Escalation!$B$52,Actuals!BD40)</f>
        <v>-2152.6003636272</v>
      </c>
      <c r="BD130" s="14" t="n">
        <f aca="false">IF(ISBLANK(Actuals!BE40),-1988.67*Escalation!$B$53,Actuals!BE40)</f>
        <v>-2152.6003636272</v>
      </c>
      <c r="BE130" s="14" t="n">
        <f aca="false">IF(ISBLANK(Actuals!BF40),-1988.67*Escalation!$B$54,Actuals!BF40)</f>
        <v>-2152.6003636272</v>
      </c>
      <c r="BF130" s="14" t="n">
        <f aca="false">IF(ISBLANK(Actuals!BG40),-1988.67*Escalation!$B$55,Actuals!BG40)</f>
        <v>-2152.6003636272</v>
      </c>
      <c r="BG130" s="14" t="n">
        <f aca="false">IF(ISBLANK(Actuals!BH40),-1988.67*Escalation!$B$56,Actuals!BH40)</f>
        <v>-2152.6003636272</v>
      </c>
      <c r="BH130" s="14" t="n">
        <f aca="false">IF(ISBLANK(Actuals!BI40),-1988.67*Escalation!$B$57,Actuals!BI40)</f>
        <v>-2152.6003636272</v>
      </c>
      <c r="BI130" s="14" t="n">
        <f aca="false">IF(ISBLANK(Actuals!BJ40),-1988.67*Escalation!$B$58,Actuals!BJ40)</f>
        <v>-2152.6003636272</v>
      </c>
      <c r="BJ130" s="14" t="n">
        <f aca="false">IF(ISBLANK(Actuals!BK40),-1988.67*Escalation!$B$59,Actuals!BK40)</f>
        <v>-2152.6003636272</v>
      </c>
      <c r="BK130" s="14" t="n">
        <f aca="false">IF(ISBLANK(Actuals!BL40),-1988.67*Escalation!$B$60,Actuals!BL40)</f>
        <v>-2152.6003636272</v>
      </c>
      <c r="BL130" s="14" t="n">
        <f aca="false">IF(ISBLANK(Actuals!BM40),-1988.67*Escalation!$B$61,Actuals!BM40)</f>
        <v>-2152.6003636272</v>
      </c>
      <c r="BM130" s="14" t="n">
        <f aca="false">IF(ISBLANK(Actuals!BN40),-1988.67*Escalation!$B$62,Actuals!BN40)</f>
        <v>-2195.65237089974</v>
      </c>
      <c r="BN130" s="14" t="n">
        <f aca="false">IF(ISBLANK(Actuals!BO40),-1988.67*Escalation!$B$63,Actuals!BO40)</f>
        <v>-2195.65237089974</v>
      </c>
      <c r="BO130" s="14" t="n">
        <f aca="false">IF(ISBLANK(Actuals!BP40),-1988.67*Escalation!$B$64,Actuals!BP40)</f>
        <v>-2195.65237089974</v>
      </c>
      <c r="BP130" s="14" t="n">
        <f aca="false">IF(ISBLANK(Actuals!BQ40),-1988.67*Escalation!$B$65,Actuals!BQ40)</f>
        <v>-2195.65237089974</v>
      </c>
      <c r="BQ130" s="14" t="n">
        <f aca="false">IF(ISBLANK(Actuals!BR40),-1988.67*Escalation!$B$66,Actuals!BR40)</f>
        <v>-2195.65237089974</v>
      </c>
      <c r="BR130" s="14" t="n">
        <f aca="false">IF(ISBLANK(Actuals!BS40),-1988.67*Escalation!$B$67,Actuals!BS40)</f>
        <v>-2195.65237089974</v>
      </c>
      <c r="BS130" s="14" t="n">
        <f aca="false">IF(ISBLANK(Actuals!BT40),-1988.67*Escalation!$B$68,Actuals!BT40)</f>
        <v>-2195.65237089974</v>
      </c>
      <c r="BT130" s="14" t="n">
        <f aca="false">IF(ISBLANK(Actuals!BU40),-1988.67*Escalation!$B$69,Actuals!BU40)</f>
        <v>-2195.65237089974</v>
      </c>
      <c r="BU130" s="14" t="n">
        <f aca="false">IF(ISBLANK(Actuals!BV40),-1988.67*Escalation!$B$70,Actuals!BV40)</f>
        <v>-2195.65237089974</v>
      </c>
      <c r="BV130" s="14" t="n">
        <f aca="false">IF(ISBLANK(Actuals!BW40),-1988.67*Escalation!$B$71,Actuals!BW40)</f>
        <v>-2195.65237089974</v>
      </c>
      <c r="BW130" s="14" t="n">
        <f aca="false">IF(ISBLANK(Actuals!BX40),-1988.67*Escalation!$B$72,Actuals!BX40)</f>
        <v>-2195.65237089974</v>
      </c>
      <c r="BX130" s="14" t="n">
        <f aca="false">IF(ISBLANK(Actuals!BY40),-1988.67*Escalation!$B$73,Actuals!BY40)</f>
        <v>-2195.65237089974</v>
      </c>
      <c r="BY130" s="14" t="n">
        <f aca="false">IF(ISBLANK(Actuals!BZ40),-1988.67*Escalation!$B$74,Actuals!BZ40)</f>
        <v>-2239.56541831774</v>
      </c>
      <c r="BZ130" s="14" t="n">
        <f aca="false">IF(ISBLANK(Actuals!CA40),-1988.67*Escalation!$B$75,Actuals!CA40)</f>
        <v>-2239.56541831774</v>
      </c>
      <c r="CA130" s="14" t="n">
        <f aca="false">IF(ISBLANK(Actuals!CB40),-1988.67*Escalation!$B$76,Actuals!CB40)</f>
        <v>-2239.56541831774</v>
      </c>
      <c r="CB130" s="14" t="n">
        <f aca="false">IF(ISBLANK(Actuals!CC40),-1988.67*Escalation!$B$77,Actuals!CC40)</f>
        <v>-2239.56541831774</v>
      </c>
      <c r="CC130" s="14" t="n">
        <f aca="false">IF(ISBLANK(Actuals!CD40),-1988.67*Escalation!$B$78,Actuals!CD40)</f>
        <v>-2239.56541831774</v>
      </c>
      <c r="CD130" s="14" t="n">
        <f aca="false">IF(ISBLANK(Actuals!CE40),-1988.67*Escalation!$B$79,Actuals!CE40)</f>
        <v>-2239.56541831774</v>
      </c>
      <c r="CE130" s="14" t="n">
        <f aca="false">IF(ISBLANK(Actuals!CF40),-1988.67*Escalation!$B$80,Actuals!CF40)</f>
        <v>-2239.56541831774</v>
      </c>
      <c r="CF130" s="14" t="n">
        <f aca="false">IF(ISBLANK(Actuals!CG40),-1988.67*Escalation!$B$81,Actuals!CG40)</f>
        <v>-2239.56541831774</v>
      </c>
      <c r="CG130" s="14" t="n">
        <f aca="false">IF(ISBLANK(Actuals!CH40),-1988.67*Escalation!$B$82,Actuals!CH40)</f>
        <v>-2239.56541831774</v>
      </c>
      <c r="CH130" s="14" t="n">
        <f aca="false">IF(ISBLANK(Actuals!CI40),-1988.67*Escalation!$B$83,Actuals!CI40)</f>
        <v>-2239.56541831774</v>
      </c>
      <c r="CI130" s="14" t="n">
        <f aca="false">IF(ISBLANK(Actuals!CJ40),-1988.67*Escalation!$B$84,Actuals!CJ40)</f>
        <v>-2239.56541831774</v>
      </c>
      <c r="CJ130" s="14" t="n">
        <f aca="false">IF(ISBLANK(Actuals!CK40),-1988.67*Escalation!$B$85,Actuals!CK40)</f>
        <v>-2239.56541831774</v>
      </c>
      <c r="CK130" s="14" t="n">
        <f aca="false">IF(ISBLANK(Actuals!CL40),-1988.67*Escalation!$B$86,Actuals!CL40)</f>
        <v>-2284.35672668409</v>
      </c>
      <c r="CL130" s="14" t="n">
        <f aca="false">IF(ISBLANK(Actuals!CM40),-1988.67*Escalation!$B$87,Actuals!CM40)</f>
        <v>-2284.35672668409</v>
      </c>
      <c r="CM130" s="14" t="n">
        <f aca="false">IF(ISBLANK(Actuals!CN40),-1988.67*Escalation!$B$88,Actuals!CN40)</f>
        <v>-2284.35672668409</v>
      </c>
      <c r="CN130" s="14" t="n">
        <f aca="false">IF(ISBLANK(Actuals!CO40),-1988.67*Escalation!$B$89,Actuals!CO40)</f>
        <v>-2284.35672668409</v>
      </c>
      <c r="CO130" s="14" t="n">
        <f aca="false">IF(ISBLANK(Actuals!CP40),-1988.67*Escalation!$B$90,Actuals!CP40)</f>
        <v>-2284.35672668409</v>
      </c>
      <c r="CP130" s="14" t="n">
        <f aca="false">IF(ISBLANK(Actuals!CQ40),-1988.67*Escalation!$B$91,Actuals!CQ40)</f>
        <v>-2284.35672668409</v>
      </c>
      <c r="CQ130" s="14" t="n">
        <f aca="false">IF(ISBLANK(Actuals!CR40),-1988.67*Escalation!$B$92,Actuals!CR40)</f>
        <v>-2284.35672668409</v>
      </c>
      <c r="CR130" s="14" t="n">
        <f aca="false">IF(ISBLANK(Actuals!CS40),-1988.67*Escalation!$B$93,Actuals!CS40)</f>
        <v>-2284.35672668409</v>
      </c>
      <c r="CS130" s="14" t="n">
        <f aca="false">IF(ISBLANK(Actuals!CT40),-1988.67*Escalation!$B$94,Actuals!CT40)</f>
        <v>-2284.35672668409</v>
      </c>
      <c r="CT130" s="14" t="n">
        <f aca="false">IF(ISBLANK(Actuals!CU40),-1988.67*Escalation!$B$95,Actuals!CU40)</f>
        <v>-2284.35672668409</v>
      </c>
      <c r="CU130" s="14" t="n">
        <f aca="false">IF(ISBLANK(Actuals!CV40),-1988.67*Escalation!$B$96,Actuals!CV40)</f>
        <v>-2284.35672668409</v>
      </c>
      <c r="CV130" s="14" t="n">
        <f aca="false">IF(ISBLANK(Actuals!CW40),-1988.67*Escalation!$B$97,Actuals!CW40)</f>
        <v>-2284.35672668409</v>
      </c>
      <c r="CW130" s="14" t="n">
        <f aca="false">IF(ISBLANK(Actuals!CX40),-1988.67*Escalation!$B$98,Actuals!CX40)</f>
        <v>-2330.04386121778</v>
      </c>
      <c r="CX130" s="14" t="n">
        <f aca="false">IF(ISBLANK(Actuals!CY40),-1988.67*Escalation!$B$99,Actuals!CY40)</f>
        <v>-2330.04386121778</v>
      </c>
      <c r="CY130" s="14" t="n">
        <f aca="false">IF(ISBLANK(Actuals!CZ40),-1988.67*Escalation!$B$100,Actuals!CZ40)</f>
        <v>-2330.04386121778</v>
      </c>
      <c r="CZ130" s="14" t="n">
        <f aca="false">IF(ISBLANK(Actuals!DA40),-1988.67*Escalation!$B$101,Actuals!DA40)</f>
        <v>-2330.04386121778</v>
      </c>
      <c r="DA130" s="14" t="n">
        <f aca="false">IF(ISBLANK(Actuals!DB40),-1988.67*Escalation!$B$102,Actuals!DB40)</f>
        <v>-2330.04386121778</v>
      </c>
      <c r="DB130" s="14" t="n">
        <f aca="false">IF(ISBLANK(Actuals!DC40),-1988.67*Escalation!$B$103,Actuals!DC40)</f>
        <v>-2330.04386121778</v>
      </c>
      <c r="DC130" s="14" t="n">
        <f aca="false">IF(ISBLANK(Actuals!DD40),-1988.67*Escalation!$B$104,Actuals!DD40)</f>
        <v>-2330.04386121778</v>
      </c>
      <c r="DD130" s="14" t="n">
        <f aca="false">IF(ISBLANK(Actuals!DE40),-1988.67*Escalation!$B$105,Actuals!DE40)</f>
        <v>-2330.04386121778</v>
      </c>
      <c r="DE130" s="14" t="n">
        <f aca="false">IF(ISBLANK(Actuals!DF40),-1988.67*Escalation!$B$106,Actuals!DF40)</f>
        <v>-2330.04386121778</v>
      </c>
    </row>
    <row r="131" customFormat="false" ht="15" hidden="false" customHeight="true" outlineLevel="0" collapsed="false">
      <c r="A131" s="29" t="s">
        <v>80</v>
      </c>
      <c r="B131" s="14" t="n">
        <f aca="false">IF(ISBLANK(Actuals!C41),0,Actuals!C41)</f>
        <v>0</v>
      </c>
      <c r="C131" s="14" t="n">
        <f aca="false">IF(ISBLANK(Actuals!D41),0,Actuals!D41)</f>
        <v>0</v>
      </c>
      <c r="D131" s="14" t="n">
        <f aca="false">IF(ISBLANK(Actuals!E41),0,Actuals!E41)</f>
        <v>-41990</v>
      </c>
      <c r="E131" s="14" t="n">
        <f aca="false">IF(ISBLANK(Actuals!F41),-(IF(AND(Personnel!$E$2&gt;=2,Personnel!$E$2=1,Personnel!$G$2="Yes"),Personnel!$C$2*0.15,0)+IF(AND(Personnel!$E$3&gt;=2,Personnel!$E$3=1,Personnel!$G$3="Yes"),Personnel!$C$3*0.15,0)+IF(AND(Personnel!$E$4&gt;=2,Personnel!$E$4=1,Personnel!$G$4="Yes"),Personnel!$C$4*0.15,0)+IF(AND(Personnel!$E$5&gt;=2,Personnel!$E$5=1,Personnel!$G$5="Yes"),Personnel!$C$5*0.15,0)+IF(AND(Personnel!$E$6&gt;=2,Personnel!$E$6=1,Personnel!$G$6="Yes"),Personnel!$C$6*0.15,0)+IF(AND(Personnel!$E$7&gt;=2,Personnel!$E$7=1,Personnel!$G$7="Yes"),Personnel!$C$7*0.15,0)+IF(AND(Personnel!$E$8&gt;=2,Personnel!$E$8=1,Personnel!$G$8="Yes"),Personnel!$C$8*0.15,0)+IF(AND(Personnel!$E$9&gt;=2,Personnel!$E$9=1,Personnel!$G$9="Yes"),Personnel!$C$9*0.15,0)+IF(AND(Personnel!$E$10&gt;=2,Personnel!$E$10=1,Personnel!$G$10="Yes"),Personnel!$C$10*0.15,0)+IF(AND(Personnel!$E$11&gt;=2,Personnel!$E$11=1,Personnel!$G$11="Yes"),Personnel!$C$11*0.15,0)+IF(AND(Personnel!$E$12&gt;=2,Personnel!$E$12=1,Personnel!$G$12="Yes"),Personnel!$C$12*0.15,0)+IF(AND(Personnel!$E$13&gt;=2,Personnel!$E$13=1,Personnel!$G$13="Yes"),Personnel!$C$13*0.15,0)+IF(AND(Personnel!$E$14&gt;=2,Personnel!$E$14=1,Personnel!$G$14="Yes"),Personnel!$C$14*0.15,0)+IF(AND(Personnel!$E$15&gt;=2,Personnel!$E$15=1,Personnel!$G$15="Yes"),Personnel!$C$15*0.15,0)+IF(AND(Personnel!$E$16&gt;=2,Personnel!$E$16=1,Personnel!$G$16="Yes"),Personnel!$C$16*0.15,0)+IF(AND(Personnel!$E$17&gt;=2,Personnel!$E$17=1,Personnel!$G$17="Yes"),Personnel!$C$17*0.15,0)+IF(AND(Personnel!$E$18&gt;=2,Personnel!$E$18=1,Personnel!$G$18="Yes"),Personnel!$C$18*0.15,0)+IF(AND(Personnel!$E$19&gt;=2,Personnel!$E$19=1,Personnel!$G$19="Yes"),Personnel!$C$19*0.15,0)+IF(AND(Personnel!$E$20&gt;=2,Personnel!$E$20=1,Personnel!$G$20="Yes"),Personnel!$C$20*0.15,0)+IF(AND(Personnel!$E$21&gt;=2,Personnel!$E$21=1,Personnel!$G$21="Yes"),Personnel!$C$21*0.15,0)+IF(AND(Personnel!$E$22&gt;=2,Personnel!$E$22=1,Personnel!$G$22="Yes"),Personnel!$C$22*0.15,0)+IF(AND(Personnel!$E$23&gt;=2,Personnel!$E$23=1,Personnel!$G$23="Yes"),Personnel!$C$23*0.15,0)+IF(AND(Personnel!$E$24&gt;=2,Personnel!$E$24=1,Personnel!$G$24="Yes"),Personnel!$C$24*0.15,0)+IF(AND(Personnel!$E$25&gt;=2,Personnel!$E$25=1,Personnel!$G$25="Yes"),Personnel!$C$25*0.15,0)+IF(AND(Personnel!$E$26&gt;=2,Personnel!$E$26=1,Personnel!$G$26="Yes"),Personnel!$C$26*0.15,0)+IF(AND(Personnel!$E$27&gt;=2,Personnel!$E$27=1,Personnel!$G$27="Yes"),Personnel!$C$27*0.15,0)+IF(AND(Personnel!$E$28&gt;=2,Personnel!$E$28=1,Personnel!$G$28="Yes"),Personnel!$C$28*0.15,0)+IF(AND(Personnel!$E$29&gt;=2,Personnel!$E$29=1,Personnel!$G$29="Yes"),Personnel!$C$29*0.15,0)+IF(AND(Personnel!$E$30&gt;=2,Personnel!$E$30=1,Personnel!$G$30="Yes"),Personnel!$C$30*0.15,0)+IF(AND(Personnel!$E$31&gt;=2,Personnel!$E$31=1,Personnel!$G$31="Yes"),Personnel!$C$31*0.15,0)+IF(AND(Personnel!$E$32&gt;=2,Personnel!$E$32=1,Personnel!$G$32="Yes"),Personnel!$C$32*0.15,0)+IF(AND(Personnel!$E$33&gt;=2,Personnel!$E$33=1,Personnel!$G$33="Yes"),Personnel!$C$33*0.15,0)),Actuals!F41)</f>
        <v>-42500</v>
      </c>
      <c r="F131" s="14" t="n">
        <f aca="false">IF(ISBLANK(Actuals!G41),-(IF(AND(Personnel!$E$2&gt;=2,Personnel!$E$2=2,Personnel!$G$2="Yes"),Personnel!$C$2*0.15,0)+IF(AND(Personnel!$E$3&gt;=2,Personnel!$E$3=2,Personnel!$G$3="Yes"),Personnel!$C$3*0.15,0)+IF(AND(Personnel!$E$4&gt;=2,Personnel!$E$4=2,Personnel!$G$4="Yes"),Personnel!$C$4*0.15,0)+IF(AND(Personnel!$E$5&gt;=2,Personnel!$E$5=2,Personnel!$G$5="Yes"),Personnel!$C$5*0.15,0)+IF(AND(Personnel!$E$6&gt;=2,Personnel!$E$6=2,Personnel!$G$6="Yes"),Personnel!$C$6*0.15,0)+IF(AND(Personnel!$E$7&gt;=2,Personnel!$E$7=2,Personnel!$G$7="Yes"),Personnel!$C$7*0.15,0)+IF(AND(Personnel!$E$8&gt;=2,Personnel!$E$8=2,Personnel!$G$8="Yes"),Personnel!$C$8*0.15,0)+IF(AND(Personnel!$E$9&gt;=2,Personnel!$E$9=2,Personnel!$G$9="Yes"),Personnel!$C$9*0.15,0)+IF(AND(Personnel!$E$10&gt;=2,Personnel!$E$10=2,Personnel!$G$10="Yes"),Personnel!$C$10*0.15,0)+IF(AND(Personnel!$E$11&gt;=2,Personnel!$E$11=2,Personnel!$G$11="Yes"),Personnel!$C$11*0.15,0)+IF(AND(Personnel!$E$12&gt;=2,Personnel!$E$12=2,Personnel!$G$12="Yes"),Personnel!$C$12*0.15,0)+IF(AND(Personnel!$E$13&gt;=2,Personnel!$E$13=2,Personnel!$G$13="Yes"),Personnel!$C$13*0.15,0)+IF(AND(Personnel!$E$14&gt;=2,Personnel!$E$14=2,Personnel!$G$14="Yes"),Personnel!$C$14*0.15,0)+IF(AND(Personnel!$E$15&gt;=2,Personnel!$E$15=2,Personnel!$G$15="Yes"),Personnel!$C$15*0.15,0)+IF(AND(Personnel!$E$16&gt;=2,Personnel!$E$16=2,Personnel!$G$16="Yes"),Personnel!$C$16*0.15,0)+IF(AND(Personnel!$E$17&gt;=2,Personnel!$E$17=2,Personnel!$G$17="Yes"),Personnel!$C$17*0.15,0)+IF(AND(Personnel!$E$18&gt;=2,Personnel!$E$18=2,Personnel!$G$18="Yes"),Personnel!$C$18*0.15,0)+IF(AND(Personnel!$E$19&gt;=2,Personnel!$E$19=2,Personnel!$G$19="Yes"),Personnel!$C$19*0.15,0)+IF(AND(Personnel!$E$20&gt;=2,Personnel!$E$20=2,Personnel!$G$20="Yes"),Personnel!$C$20*0.15,0)+IF(AND(Personnel!$E$21&gt;=2,Personnel!$E$21=2,Personnel!$G$21="Yes"),Personnel!$C$21*0.15,0)+IF(AND(Personnel!$E$22&gt;=2,Personnel!$E$22=2,Personnel!$G$22="Yes"),Personnel!$C$22*0.15,0)+IF(AND(Personnel!$E$23&gt;=2,Personnel!$E$23=2,Personnel!$G$23="Yes"),Personnel!$C$23*0.15,0)+IF(AND(Personnel!$E$24&gt;=2,Personnel!$E$24=2,Personnel!$G$24="Yes"),Personnel!$C$24*0.15,0)+IF(AND(Personnel!$E$25&gt;=2,Personnel!$E$25=2,Personnel!$G$25="Yes"),Personnel!$C$25*0.15,0)+IF(AND(Personnel!$E$26&gt;=2,Personnel!$E$26=2,Personnel!$G$26="Yes"),Personnel!$C$26*0.15,0)+IF(AND(Personnel!$E$27&gt;=2,Personnel!$E$27=2,Personnel!$G$27="Yes"),Personnel!$C$27*0.15,0)+IF(AND(Personnel!$E$28&gt;=2,Personnel!$E$28=2,Personnel!$G$28="Yes"),Personnel!$C$28*0.15,0)+IF(AND(Personnel!$E$29&gt;=2,Personnel!$E$29=2,Personnel!$G$29="Yes"),Personnel!$C$29*0.15,0)+IF(AND(Personnel!$E$30&gt;=2,Personnel!$E$30=2,Personnel!$G$30="Yes"),Personnel!$C$30*0.15,0)+IF(AND(Personnel!$E$31&gt;=2,Personnel!$E$31=2,Personnel!$G$31="Yes"),Personnel!$C$31*0.15,0)+IF(AND(Personnel!$E$32&gt;=2,Personnel!$E$32=2,Personnel!$G$32="Yes"),Personnel!$C$32*0.15,0)+IF(AND(Personnel!$E$33&gt;=2,Personnel!$E$33=2,Personnel!$G$33="Yes"),Personnel!$C$33*0.15,0)),Actuals!G41)</f>
        <v>-21000</v>
      </c>
      <c r="G131" s="14" t="n">
        <f aca="false">IF(ISBLANK(Actuals!H41),-(IF(AND(Personnel!$E$2&gt;=2,Personnel!$E$2=3,Personnel!$G$2="Yes"),Personnel!$C$2*0.15,0)+IF(AND(Personnel!$E$3&gt;=2,Personnel!$E$3=3,Personnel!$G$3="Yes"),Personnel!$C$3*0.15,0)+IF(AND(Personnel!$E$4&gt;=2,Personnel!$E$4=3,Personnel!$G$4="Yes"),Personnel!$C$4*0.15,0)+IF(AND(Personnel!$E$5&gt;=2,Personnel!$E$5=3,Personnel!$G$5="Yes"),Personnel!$C$5*0.15,0)+IF(AND(Personnel!$E$6&gt;=2,Personnel!$E$6=3,Personnel!$G$6="Yes"),Personnel!$C$6*0.15,0)+IF(AND(Personnel!$E$7&gt;=2,Personnel!$E$7=3,Personnel!$G$7="Yes"),Personnel!$C$7*0.15,0)+IF(AND(Personnel!$E$8&gt;=2,Personnel!$E$8=3,Personnel!$G$8="Yes"),Personnel!$C$8*0.15,0)+IF(AND(Personnel!$E$9&gt;=2,Personnel!$E$9=3,Personnel!$G$9="Yes"),Personnel!$C$9*0.15,0)+IF(AND(Personnel!$E$10&gt;=2,Personnel!$E$10=3,Personnel!$G$10="Yes"),Personnel!$C$10*0.15,0)+IF(AND(Personnel!$E$11&gt;=2,Personnel!$E$11=3,Personnel!$G$11="Yes"),Personnel!$C$11*0.15,0)+IF(AND(Personnel!$E$12&gt;=2,Personnel!$E$12=3,Personnel!$G$12="Yes"),Personnel!$C$12*0.15,0)+IF(AND(Personnel!$E$13&gt;=2,Personnel!$E$13=3,Personnel!$G$13="Yes"),Personnel!$C$13*0.15,0)+IF(AND(Personnel!$E$14&gt;=2,Personnel!$E$14=3,Personnel!$G$14="Yes"),Personnel!$C$14*0.15,0)+IF(AND(Personnel!$E$15&gt;=2,Personnel!$E$15=3,Personnel!$G$15="Yes"),Personnel!$C$15*0.15,0)+IF(AND(Personnel!$E$16&gt;=2,Personnel!$E$16=3,Personnel!$G$16="Yes"),Personnel!$C$16*0.15,0)+IF(AND(Personnel!$E$17&gt;=2,Personnel!$E$17=3,Personnel!$G$17="Yes"),Personnel!$C$17*0.15,0)+IF(AND(Personnel!$E$18&gt;=2,Personnel!$E$18=3,Personnel!$G$18="Yes"),Personnel!$C$18*0.15,0)+IF(AND(Personnel!$E$19&gt;=2,Personnel!$E$19=3,Personnel!$G$19="Yes"),Personnel!$C$19*0.15,0)+IF(AND(Personnel!$E$20&gt;=2,Personnel!$E$20=3,Personnel!$G$20="Yes"),Personnel!$C$20*0.15,0)+IF(AND(Personnel!$E$21&gt;=2,Personnel!$E$21=3,Personnel!$G$21="Yes"),Personnel!$C$21*0.15,0)+IF(AND(Personnel!$E$22&gt;=2,Personnel!$E$22=3,Personnel!$G$22="Yes"),Personnel!$C$22*0.15,0)+IF(AND(Personnel!$E$23&gt;=2,Personnel!$E$23=3,Personnel!$G$23="Yes"),Personnel!$C$23*0.15,0)+IF(AND(Personnel!$E$24&gt;=2,Personnel!$E$24=3,Personnel!$G$24="Yes"),Personnel!$C$24*0.15,0)+IF(AND(Personnel!$E$25&gt;=2,Personnel!$E$25=3,Personnel!$G$25="Yes"),Personnel!$C$25*0.15,0)+IF(AND(Personnel!$E$26&gt;=2,Personnel!$E$26=3,Personnel!$G$26="Yes"),Personnel!$C$26*0.15,0)+IF(AND(Personnel!$E$27&gt;=2,Personnel!$E$27=3,Personnel!$G$27="Yes"),Personnel!$C$27*0.15,0)+IF(AND(Personnel!$E$28&gt;=2,Personnel!$E$28=3,Personnel!$G$28="Yes"),Personnel!$C$28*0.15,0)+IF(AND(Personnel!$E$29&gt;=2,Personnel!$E$29=3,Personnel!$G$29="Yes"),Personnel!$C$29*0.15,0)+IF(AND(Personnel!$E$30&gt;=2,Personnel!$E$30=3,Personnel!$G$30="Yes"),Personnel!$C$30*0.15,0)+IF(AND(Personnel!$E$31&gt;=2,Personnel!$E$31=3,Personnel!$G$31="Yes"),Personnel!$C$31*0.15,0)+IF(AND(Personnel!$E$32&gt;=2,Personnel!$E$32=3,Personnel!$G$32="Yes"),Personnel!$C$32*0.15,0)+IF(AND(Personnel!$E$33&gt;=2,Personnel!$E$33=3,Personnel!$G$33="Yes"),Personnel!$C$33*0.15,0)),Actuals!H41)</f>
        <v>0</v>
      </c>
      <c r="H131" s="14" t="n">
        <f aca="false">IF(ISBLANK(Actuals!I41),-(IF(AND(Personnel!$E$2&gt;=2,Personnel!$E$2=4,Personnel!$G$2="Yes"),Personnel!$C$2*0.15,0)+IF(AND(Personnel!$E$3&gt;=2,Personnel!$E$3=4,Personnel!$G$3="Yes"),Personnel!$C$3*0.15,0)+IF(AND(Personnel!$E$4&gt;=2,Personnel!$E$4=4,Personnel!$G$4="Yes"),Personnel!$C$4*0.15,0)+IF(AND(Personnel!$E$5&gt;=2,Personnel!$E$5=4,Personnel!$G$5="Yes"),Personnel!$C$5*0.15,0)+IF(AND(Personnel!$E$6&gt;=2,Personnel!$E$6=4,Personnel!$G$6="Yes"),Personnel!$C$6*0.15,0)+IF(AND(Personnel!$E$7&gt;=2,Personnel!$E$7=4,Personnel!$G$7="Yes"),Personnel!$C$7*0.15,0)+IF(AND(Personnel!$E$8&gt;=2,Personnel!$E$8=4,Personnel!$G$8="Yes"),Personnel!$C$8*0.15,0)+IF(AND(Personnel!$E$9&gt;=2,Personnel!$E$9=4,Personnel!$G$9="Yes"),Personnel!$C$9*0.15,0)+IF(AND(Personnel!$E$10&gt;=2,Personnel!$E$10=4,Personnel!$G$10="Yes"),Personnel!$C$10*0.15,0)+IF(AND(Personnel!$E$11&gt;=2,Personnel!$E$11=4,Personnel!$G$11="Yes"),Personnel!$C$11*0.15,0)+IF(AND(Personnel!$E$12&gt;=2,Personnel!$E$12=4,Personnel!$G$12="Yes"),Personnel!$C$12*0.15,0)+IF(AND(Personnel!$E$13&gt;=2,Personnel!$E$13=4,Personnel!$G$13="Yes"),Personnel!$C$13*0.15,0)+IF(AND(Personnel!$E$14&gt;=2,Personnel!$E$14=4,Personnel!$G$14="Yes"),Personnel!$C$14*0.15,0)+IF(AND(Personnel!$E$15&gt;=2,Personnel!$E$15=4,Personnel!$G$15="Yes"),Personnel!$C$15*0.15,0)+IF(AND(Personnel!$E$16&gt;=2,Personnel!$E$16=4,Personnel!$G$16="Yes"),Personnel!$C$16*0.15,0)+IF(AND(Personnel!$E$17&gt;=2,Personnel!$E$17=4,Personnel!$G$17="Yes"),Personnel!$C$17*0.15,0)+IF(AND(Personnel!$E$18&gt;=2,Personnel!$E$18=4,Personnel!$G$18="Yes"),Personnel!$C$18*0.15,0)+IF(AND(Personnel!$E$19&gt;=2,Personnel!$E$19=4,Personnel!$G$19="Yes"),Personnel!$C$19*0.15,0)+IF(AND(Personnel!$E$20&gt;=2,Personnel!$E$20=4,Personnel!$G$20="Yes"),Personnel!$C$20*0.15,0)+IF(AND(Personnel!$E$21&gt;=2,Personnel!$E$21=4,Personnel!$G$21="Yes"),Personnel!$C$21*0.15,0)+IF(AND(Personnel!$E$22&gt;=2,Personnel!$E$22=4,Personnel!$G$22="Yes"),Personnel!$C$22*0.15,0)+IF(AND(Personnel!$E$23&gt;=2,Personnel!$E$23=4,Personnel!$G$23="Yes"),Personnel!$C$23*0.15,0)+IF(AND(Personnel!$E$24&gt;=2,Personnel!$E$24=4,Personnel!$G$24="Yes"),Personnel!$C$24*0.15,0)+IF(AND(Personnel!$E$25&gt;=2,Personnel!$E$25=4,Personnel!$G$25="Yes"),Personnel!$C$25*0.15,0)+IF(AND(Personnel!$E$26&gt;=2,Personnel!$E$26=4,Personnel!$G$26="Yes"),Personnel!$C$26*0.15,0)+IF(AND(Personnel!$E$27&gt;=2,Personnel!$E$27=4,Personnel!$G$27="Yes"),Personnel!$C$27*0.15,0)+IF(AND(Personnel!$E$28&gt;=2,Personnel!$E$28=4,Personnel!$G$28="Yes"),Personnel!$C$28*0.15,0)+IF(AND(Personnel!$E$29&gt;=2,Personnel!$E$29=4,Personnel!$G$29="Yes"),Personnel!$C$29*0.15,0)+IF(AND(Personnel!$E$30&gt;=2,Personnel!$E$30=4,Personnel!$G$30="Yes"),Personnel!$C$30*0.15,0)+IF(AND(Personnel!$E$31&gt;=2,Personnel!$E$31=4,Personnel!$G$31="Yes"),Personnel!$C$31*0.15,0)+IF(AND(Personnel!$E$32&gt;=2,Personnel!$E$32=4,Personnel!$G$32="Yes"),Personnel!$C$32*0.15,0)+IF(AND(Personnel!$E$33&gt;=2,Personnel!$E$33=4,Personnel!$G$33="Yes"),Personnel!$C$33*0.15,0)),Actuals!I41)</f>
        <v>-45000</v>
      </c>
      <c r="I131" s="14" t="n">
        <f aca="false">IF(ISBLANK(Actuals!J41),-(IF(AND(Personnel!$E$2&gt;=2,Personnel!$E$2=5,Personnel!$G$2="Yes"),Personnel!$C$2*0.15,0)+IF(AND(Personnel!$E$3&gt;=2,Personnel!$E$3=5,Personnel!$G$3="Yes"),Personnel!$C$3*0.15,0)+IF(AND(Personnel!$E$4&gt;=2,Personnel!$E$4=5,Personnel!$G$4="Yes"),Personnel!$C$4*0.15,0)+IF(AND(Personnel!$E$5&gt;=2,Personnel!$E$5=5,Personnel!$G$5="Yes"),Personnel!$C$5*0.15,0)+IF(AND(Personnel!$E$6&gt;=2,Personnel!$E$6=5,Personnel!$G$6="Yes"),Personnel!$C$6*0.15,0)+IF(AND(Personnel!$E$7&gt;=2,Personnel!$E$7=5,Personnel!$G$7="Yes"),Personnel!$C$7*0.15,0)+IF(AND(Personnel!$E$8&gt;=2,Personnel!$E$8=5,Personnel!$G$8="Yes"),Personnel!$C$8*0.15,0)+IF(AND(Personnel!$E$9&gt;=2,Personnel!$E$9=5,Personnel!$G$9="Yes"),Personnel!$C$9*0.15,0)+IF(AND(Personnel!$E$10&gt;=2,Personnel!$E$10=5,Personnel!$G$10="Yes"),Personnel!$C$10*0.15,0)+IF(AND(Personnel!$E$11&gt;=2,Personnel!$E$11=5,Personnel!$G$11="Yes"),Personnel!$C$11*0.15,0)+IF(AND(Personnel!$E$12&gt;=2,Personnel!$E$12=5,Personnel!$G$12="Yes"),Personnel!$C$12*0.15,0)+IF(AND(Personnel!$E$13&gt;=2,Personnel!$E$13=5,Personnel!$G$13="Yes"),Personnel!$C$13*0.15,0)+IF(AND(Personnel!$E$14&gt;=2,Personnel!$E$14=5,Personnel!$G$14="Yes"),Personnel!$C$14*0.15,0)+IF(AND(Personnel!$E$15&gt;=2,Personnel!$E$15=5,Personnel!$G$15="Yes"),Personnel!$C$15*0.15,0)+IF(AND(Personnel!$E$16&gt;=2,Personnel!$E$16=5,Personnel!$G$16="Yes"),Personnel!$C$16*0.15,0)+IF(AND(Personnel!$E$17&gt;=2,Personnel!$E$17=5,Personnel!$G$17="Yes"),Personnel!$C$17*0.15,0)+IF(AND(Personnel!$E$18&gt;=2,Personnel!$E$18=5,Personnel!$G$18="Yes"),Personnel!$C$18*0.15,0)+IF(AND(Personnel!$E$19&gt;=2,Personnel!$E$19=5,Personnel!$G$19="Yes"),Personnel!$C$19*0.15,0)+IF(AND(Personnel!$E$20&gt;=2,Personnel!$E$20=5,Personnel!$G$20="Yes"),Personnel!$C$20*0.15,0)+IF(AND(Personnel!$E$21&gt;=2,Personnel!$E$21=5,Personnel!$G$21="Yes"),Personnel!$C$21*0.15,0)+IF(AND(Personnel!$E$22&gt;=2,Personnel!$E$22=5,Personnel!$G$22="Yes"),Personnel!$C$22*0.15,0)+IF(AND(Personnel!$E$23&gt;=2,Personnel!$E$23=5,Personnel!$G$23="Yes"),Personnel!$C$23*0.15,0)+IF(AND(Personnel!$E$24&gt;=2,Personnel!$E$24=5,Personnel!$G$24="Yes"),Personnel!$C$24*0.15,0)+IF(AND(Personnel!$E$25&gt;=2,Personnel!$E$25=5,Personnel!$G$25="Yes"),Personnel!$C$25*0.15,0)+IF(AND(Personnel!$E$26&gt;=2,Personnel!$E$26=5,Personnel!$G$26="Yes"),Personnel!$C$26*0.15,0)+IF(AND(Personnel!$E$27&gt;=2,Personnel!$E$27=5,Personnel!$G$27="Yes"),Personnel!$C$27*0.15,0)+IF(AND(Personnel!$E$28&gt;=2,Personnel!$E$28=5,Personnel!$G$28="Yes"),Personnel!$C$28*0.15,0)+IF(AND(Personnel!$E$29&gt;=2,Personnel!$E$29=5,Personnel!$G$29="Yes"),Personnel!$C$29*0.15,0)+IF(AND(Personnel!$E$30&gt;=2,Personnel!$E$30=5,Personnel!$G$30="Yes"),Personnel!$C$30*0.15,0)+IF(AND(Personnel!$E$31&gt;=2,Personnel!$E$31=5,Personnel!$G$31="Yes"),Personnel!$C$31*0.15,0)+IF(AND(Personnel!$E$32&gt;=2,Personnel!$E$32=5,Personnel!$G$32="Yes"),Personnel!$C$32*0.15,0)+IF(AND(Personnel!$E$33&gt;=2,Personnel!$E$33=5,Personnel!$G$33="Yes"),Personnel!$C$33*0.15,0)),Actuals!J41)</f>
        <v>-0</v>
      </c>
      <c r="J131" s="14" t="n">
        <f aca="false">IF(ISBLANK(Actuals!K41),-(IF(AND(Personnel!$E$2&gt;=2,Personnel!$E$2=6,Personnel!$G$2="Yes"),Personnel!$C$2*0.15,0)+IF(AND(Personnel!$E$3&gt;=2,Personnel!$E$3=6,Personnel!$G$3="Yes"),Personnel!$C$3*0.15,0)+IF(AND(Personnel!$E$4&gt;=2,Personnel!$E$4=6,Personnel!$G$4="Yes"),Personnel!$C$4*0.15,0)+IF(AND(Personnel!$E$5&gt;=2,Personnel!$E$5=6,Personnel!$G$5="Yes"),Personnel!$C$5*0.15,0)+IF(AND(Personnel!$E$6&gt;=2,Personnel!$E$6=6,Personnel!$G$6="Yes"),Personnel!$C$6*0.15,0)+IF(AND(Personnel!$E$7&gt;=2,Personnel!$E$7=6,Personnel!$G$7="Yes"),Personnel!$C$7*0.15,0)+IF(AND(Personnel!$E$8&gt;=2,Personnel!$E$8=6,Personnel!$G$8="Yes"),Personnel!$C$8*0.15,0)+IF(AND(Personnel!$E$9&gt;=2,Personnel!$E$9=6,Personnel!$G$9="Yes"),Personnel!$C$9*0.15,0)+IF(AND(Personnel!$E$10&gt;=2,Personnel!$E$10=6,Personnel!$G$10="Yes"),Personnel!$C$10*0.15,0)+IF(AND(Personnel!$E$11&gt;=2,Personnel!$E$11=6,Personnel!$G$11="Yes"),Personnel!$C$11*0.15,0)+IF(AND(Personnel!$E$12&gt;=2,Personnel!$E$12=6,Personnel!$G$12="Yes"),Personnel!$C$12*0.15,0)+IF(AND(Personnel!$E$13&gt;=2,Personnel!$E$13=6,Personnel!$G$13="Yes"),Personnel!$C$13*0.15,0)+IF(AND(Personnel!$E$14&gt;=2,Personnel!$E$14=6,Personnel!$G$14="Yes"),Personnel!$C$14*0.15,0)+IF(AND(Personnel!$E$15&gt;=2,Personnel!$E$15=6,Personnel!$G$15="Yes"),Personnel!$C$15*0.15,0)+IF(AND(Personnel!$E$16&gt;=2,Personnel!$E$16=6,Personnel!$G$16="Yes"),Personnel!$C$16*0.15,0)+IF(AND(Personnel!$E$17&gt;=2,Personnel!$E$17=6,Personnel!$G$17="Yes"),Personnel!$C$17*0.15,0)+IF(AND(Personnel!$E$18&gt;=2,Personnel!$E$18=6,Personnel!$G$18="Yes"),Personnel!$C$18*0.15,0)+IF(AND(Personnel!$E$19&gt;=2,Personnel!$E$19=6,Personnel!$G$19="Yes"),Personnel!$C$19*0.15,0)+IF(AND(Personnel!$E$20&gt;=2,Personnel!$E$20=6,Personnel!$G$20="Yes"),Personnel!$C$20*0.15,0)+IF(AND(Personnel!$E$21&gt;=2,Personnel!$E$21=6,Personnel!$G$21="Yes"),Personnel!$C$21*0.15,0)+IF(AND(Personnel!$E$22&gt;=2,Personnel!$E$22=6,Personnel!$G$22="Yes"),Personnel!$C$22*0.15,0)+IF(AND(Personnel!$E$23&gt;=2,Personnel!$E$23=6,Personnel!$G$23="Yes"),Personnel!$C$23*0.15,0)+IF(AND(Personnel!$E$24&gt;=2,Personnel!$E$24=6,Personnel!$G$24="Yes"),Personnel!$C$24*0.15,0)+IF(AND(Personnel!$E$25&gt;=2,Personnel!$E$25=6,Personnel!$G$25="Yes"),Personnel!$C$25*0.15,0)+IF(AND(Personnel!$E$26&gt;=2,Personnel!$E$26=6,Personnel!$G$26="Yes"),Personnel!$C$26*0.15,0)+IF(AND(Personnel!$E$27&gt;=2,Personnel!$E$27=6,Personnel!$G$27="Yes"),Personnel!$C$27*0.15,0)+IF(AND(Personnel!$E$28&gt;=2,Personnel!$E$28=6,Personnel!$G$28="Yes"),Personnel!$C$28*0.15,0)+IF(AND(Personnel!$E$29&gt;=2,Personnel!$E$29=6,Personnel!$G$29="Yes"),Personnel!$C$29*0.15,0)+IF(AND(Personnel!$E$30&gt;=2,Personnel!$E$30=6,Personnel!$G$30="Yes"),Personnel!$C$30*0.15,0)+IF(AND(Personnel!$E$31&gt;=2,Personnel!$E$31=6,Personnel!$G$31="Yes"),Personnel!$C$31*0.15,0)+IF(AND(Personnel!$E$32&gt;=2,Personnel!$E$32=6,Personnel!$G$32="Yes"),Personnel!$C$32*0.15,0)+IF(AND(Personnel!$E$33&gt;=2,Personnel!$E$33=6,Personnel!$G$33="Yes"),Personnel!$C$33*0.15,0)),Actuals!K41)</f>
        <v>-24000</v>
      </c>
      <c r="K131" s="14" t="n">
        <f aca="false">IF(ISBLANK(Actuals!L41),-(IF(AND(Personnel!$E$2&gt;=2,Personnel!$E$2=7,Personnel!$G$2="Yes"),Personnel!$C$2*0.15,0)+IF(AND(Personnel!$E$3&gt;=2,Personnel!$E$3=7,Personnel!$G$3="Yes"),Personnel!$C$3*0.15,0)+IF(AND(Personnel!$E$4&gt;=2,Personnel!$E$4=7,Personnel!$G$4="Yes"),Personnel!$C$4*0.15,0)+IF(AND(Personnel!$E$5&gt;=2,Personnel!$E$5=7,Personnel!$G$5="Yes"),Personnel!$C$5*0.15,0)+IF(AND(Personnel!$E$6&gt;=2,Personnel!$E$6=7,Personnel!$G$6="Yes"),Personnel!$C$6*0.15,0)+IF(AND(Personnel!$E$7&gt;=2,Personnel!$E$7=7,Personnel!$G$7="Yes"),Personnel!$C$7*0.15,0)+IF(AND(Personnel!$E$8&gt;=2,Personnel!$E$8=7,Personnel!$G$8="Yes"),Personnel!$C$8*0.15,0)+IF(AND(Personnel!$E$9&gt;=2,Personnel!$E$9=7,Personnel!$G$9="Yes"),Personnel!$C$9*0.15,0)+IF(AND(Personnel!$E$10&gt;=2,Personnel!$E$10=7,Personnel!$G$10="Yes"),Personnel!$C$10*0.15,0)+IF(AND(Personnel!$E$11&gt;=2,Personnel!$E$11=7,Personnel!$G$11="Yes"),Personnel!$C$11*0.15,0)+IF(AND(Personnel!$E$12&gt;=2,Personnel!$E$12=7,Personnel!$G$12="Yes"),Personnel!$C$12*0.15,0)+IF(AND(Personnel!$E$13&gt;=2,Personnel!$E$13=7,Personnel!$G$13="Yes"),Personnel!$C$13*0.15,0)+IF(AND(Personnel!$E$14&gt;=2,Personnel!$E$14=7,Personnel!$G$14="Yes"),Personnel!$C$14*0.15,0)+IF(AND(Personnel!$E$15&gt;=2,Personnel!$E$15=7,Personnel!$G$15="Yes"),Personnel!$C$15*0.15,0)+IF(AND(Personnel!$E$16&gt;=2,Personnel!$E$16=7,Personnel!$G$16="Yes"),Personnel!$C$16*0.15,0)+IF(AND(Personnel!$E$17&gt;=2,Personnel!$E$17=7,Personnel!$G$17="Yes"),Personnel!$C$17*0.15,0)+IF(AND(Personnel!$E$18&gt;=2,Personnel!$E$18=7,Personnel!$G$18="Yes"),Personnel!$C$18*0.15,0)+IF(AND(Personnel!$E$19&gt;=2,Personnel!$E$19=7,Personnel!$G$19="Yes"),Personnel!$C$19*0.15,0)+IF(AND(Personnel!$E$20&gt;=2,Personnel!$E$20=7,Personnel!$G$20="Yes"),Personnel!$C$20*0.15,0)+IF(AND(Personnel!$E$21&gt;=2,Personnel!$E$21=7,Personnel!$G$21="Yes"),Personnel!$C$21*0.15,0)+IF(AND(Personnel!$E$22&gt;=2,Personnel!$E$22=7,Personnel!$G$22="Yes"),Personnel!$C$22*0.15,0)+IF(AND(Personnel!$E$23&gt;=2,Personnel!$E$23=7,Personnel!$G$23="Yes"),Personnel!$C$23*0.15,0)+IF(AND(Personnel!$E$24&gt;=2,Personnel!$E$24=7,Personnel!$G$24="Yes"),Personnel!$C$24*0.15,0)+IF(AND(Personnel!$E$25&gt;=2,Personnel!$E$25=7,Personnel!$G$25="Yes"),Personnel!$C$25*0.15,0)+IF(AND(Personnel!$E$26&gt;=2,Personnel!$E$26=7,Personnel!$G$26="Yes"),Personnel!$C$26*0.15,0)+IF(AND(Personnel!$E$27&gt;=2,Personnel!$E$27=7,Personnel!$G$27="Yes"),Personnel!$C$27*0.15,0)+IF(AND(Personnel!$E$28&gt;=2,Personnel!$E$28=7,Personnel!$G$28="Yes"),Personnel!$C$28*0.15,0)+IF(AND(Personnel!$E$29&gt;=2,Personnel!$E$29=7,Personnel!$G$29="Yes"),Personnel!$C$29*0.15,0)+IF(AND(Personnel!$E$30&gt;=2,Personnel!$E$30=7,Personnel!$G$30="Yes"),Personnel!$C$30*0.15,0)+IF(AND(Personnel!$E$31&gt;=2,Personnel!$E$31=7,Personnel!$G$31="Yes"),Personnel!$C$31*0.15,0)+IF(AND(Personnel!$E$32&gt;=2,Personnel!$E$32=7,Personnel!$G$32="Yes"),Personnel!$C$32*0.15,0)+IF(AND(Personnel!$E$33&gt;=2,Personnel!$E$33=7,Personnel!$G$33="Yes"),Personnel!$C$33*0.15,0)),Actuals!L41)</f>
        <v>-0</v>
      </c>
      <c r="L131" s="14" t="n">
        <f aca="false">IF(ISBLANK(Actuals!M41),-(IF(AND(Personnel!$E$2&gt;=2,Personnel!$E$2=8,Personnel!$G$2="Yes"),Personnel!$C$2*0.15,0)+IF(AND(Personnel!$E$3&gt;=2,Personnel!$E$3=8,Personnel!$G$3="Yes"),Personnel!$C$3*0.15,0)+IF(AND(Personnel!$E$4&gt;=2,Personnel!$E$4=8,Personnel!$G$4="Yes"),Personnel!$C$4*0.15,0)+IF(AND(Personnel!$E$5&gt;=2,Personnel!$E$5=8,Personnel!$G$5="Yes"),Personnel!$C$5*0.15,0)+IF(AND(Personnel!$E$6&gt;=2,Personnel!$E$6=8,Personnel!$G$6="Yes"),Personnel!$C$6*0.15,0)+IF(AND(Personnel!$E$7&gt;=2,Personnel!$E$7=8,Personnel!$G$7="Yes"),Personnel!$C$7*0.15,0)+IF(AND(Personnel!$E$8&gt;=2,Personnel!$E$8=8,Personnel!$G$8="Yes"),Personnel!$C$8*0.15,0)+IF(AND(Personnel!$E$9&gt;=2,Personnel!$E$9=8,Personnel!$G$9="Yes"),Personnel!$C$9*0.15,0)+IF(AND(Personnel!$E$10&gt;=2,Personnel!$E$10=8,Personnel!$G$10="Yes"),Personnel!$C$10*0.15,0)+IF(AND(Personnel!$E$11&gt;=2,Personnel!$E$11=8,Personnel!$G$11="Yes"),Personnel!$C$11*0.15,0)+IF(AND(Personnel!$E$12&gt;=2,Personnel!$E$12=8,Personnel!$G$12="Yes"),Personnel!$C$12*0.15,0)+IF(AND(Personnel!$E$13&gt;=2,Personnel!$E$13=8,Personnel!$G$13="Yes"),Personnel!$C$13*0.15,0)+IF(AND(Personnel!$E$14&gt;=2,Personnel!$E$14=8,Personnel!$G$14="Yes"),Personnel!$C$14*0.15,0)+IF(AND(Personnel!$E$15&gt;=2,Personnel!$E$15=8,Personnel!$G$15="Yes"),Personnel!$C$15*0.15,0)+IF(AND(Personnel!$E$16&gt;=2,Personnel!$E$16=8,Personnel!$G$16="Yes"),Personnel!$C$16*0.15,0)+IF(AND(Personnel!$E$17&gt;=2,Personnel!$E$17=8,Personnel!$G$17="Yes"),Personnel!$C$17*0.15,0)+IF(AND(Personnel!$E$18&gt;=2,Personnel!$E$18=8,Personnel!$G$18="Yes"),Personnel!$C$18*0.15,0)+IF(AND(Personnel!$E$19&gt;=2,Personnel!$E$19=8,Personnel!$G$19="Yes"),Personnel!$C$19*0.15,0)+IF(AND(Personnel!$E$20&gt;=2,Personnel!$E$20=8,Personnel!$G$20="Yes"),Personnel!$C$20*0.15,0)+IF(AND(Personnel!$E$21&gt;=2,Personnel!$E$21=8,Personnel!$G$21="Yes"),Personnel!$C$21*0.15,0)+IF(AND(Personnel!$E$22&gt;=2,Personnel!$E$22=8,Personnel!$G$22="Yes"),Personnel!$C$22*0.15,0)+IF(AND(Personnel!$E$23&gt;=2,Personnel!$E$23=8,Personnel!$G$23="Yes"),Personnel!$C$23*0.15,0)+IF(AND(Personnel!$E$24&gt;=2,Personnel!$E$24=8,Personnel!$G$24="Yes"),Personnel!$C$24*0.15,0)+IF(AND(Personnel!$E$25&gt;=2,Personnel!$E$25=8,Personnel!$G$25="Yes"),Personnel!$C$25*0.15,0)+IF(AND(Personnel!$E$26&gt;=2,Personnel!$E$26=8,Personnel!$G$26="Yes"),Personnel!$C$26*0.15,0)+IF(AND(Personnel!$E$27&gt;=2,Personnel!$E$27=8,Personnel!$G$27="Yes"),Personnel!$C$27*0.15,0)+IF(AND(Personnel!$E$28&gt;=2,Personnel!$E$28=8,Personnel!$G$28="Yes"),Personnel!$C$28*0.15,0)+IF(AND(Personnel!$E$29&gt;=2,Personnel!$E$29=8,Personnel!$G$29="Yes"),Personnel!$C$29*0.15,0)+IF(AND(Personnel!$E$30&gt;=2,Personnel!$E$30=8,Personnel!$G$30="Yes"),Personnel!$C$30*0.15,0)+IF(AND(Personnel!$E$31&gt;=2,Personnel!$E$31=8,Personnel!$G$31="Yes"),Personnel!$C$31*0.15,0)+IF(AND(Personnel!$E$32&gt;=2,Personnel!$E$32=8,Personnel!$G$32="Yes"),Personnel!$C$32*0.15,0)+IF(AND(Personnel!$E$33&gt;=2,Personnel!$E$33=8,Personnel!$G$33="Yes"),Personnel!$C$33*0.15,0)),Actuals!M41)</f>
        <v>-0</v>
      </c>
      <c r="M131" s="14" t="n">
        <f aca="false">IF(ISBLANK(Actuals!N41),-(IF(AND(Personnel!$E$2&gt;=2,Personnel!$E$2=9,Personnel!$G$2="Yes"),Personnel!$C$2*0.15,0)+IF(AND(Personnel!$E$3&gt;=2,Personnel!$E$3=9,Personnel!$G$3="Yes"),Personnel!$C$3*0.15,0)+IF(AND(Personnel!$E$4&gt;=2,Personnel!$E$4=9,Personnel!$G$4="Yes"),Personnel!$C$4*0.15,0)+IF(AND(Personnel!$E$5&gt;=2,Personnel!$E$5=9,Personnel!$G$5="Yes"),Personnel!$C$5*0.15,0)+IF(AND(Personnel!$E$6&gt;=2,Personnel!$E$6=9,Personnel!$G$6="Yes"),Personnel!$C$6*0.15,0)+IF(AND(Personnel!$E$7&gt;=2,Personnel!$E$7=9,Personnel!$G$7="Yes"),Personnel!$C$7*0.15,0)+IF(AND(Personnel!$E$8&gt;=2,Personnel!$E$8=9,Personnel!$G$8="Yes"),Personnel!$C$8*0.15,0)+IF(AND(Personnel!$E$9&gt;=2,Personnel!$E$9=9,Personnel!$G$9="Yes"),Personnel!$C$9*0.15,0)+IF(AND(Personnel!$E$10&gt;=2,Personnel!$E$10=9,Personnel!$G$10="Yes"),Personnel!$C$10*0.15,0)+IF(AND(Personnel!$E$11&gt;=2,Personnel!$E$11=9,Personnel!$G$11="Yes"),Personnel!$C$11*0.15,0)+IF(AND(Personnel!$E$12&gt;=2,Personnel!$E$12=9,Personnel!$G$12="Yes"),Personnel!$C$12*0.15,0)+IF(AND(Personnel!$E$13&gt;=2,Personnel!$E$13=9,Personnel!$G$13="Yes"),Personnel!$C$13*0.15,0)+IF(AND(Personnel!$E$14&gt;=2,Personnel!$E$14=9,Personnel!$G$14="Yes"),Personnel!$C$14*0.15,0)+IF(AND(Personnel!$E$15&gt;=2,Personnel!$E$15=9,Personnel!$G$15="Yes"),Personnel!$C$15*0.15,0)+IF(AND(Personnel!$E$16&gt;=2,Personnel!$E$16=9,Personnel!$G$16="Yes"),Personnel!$C$16*0.15,0)+IF(AND(Personnel!$E$17&gt;=2,Personnel!$E$17=9,Personnel!$G$17="Yes"),Personnel!$C$17*0.15,0)+IF(AND(Personnel!$E$18&gt;=2,Personnel!$E$18=9,Personnel!$G$18="Yes"),Personnel!$C$18*0.15,0)+IF(AND(Personnel!$E$19&gt;=2,Personnel!$E$19=9,Personnel!$G$19="Yes"),Personnel!$C$19*0.15,0)+IF(AND(Personnel!$E$20&gt;=2,Personnel!$E$20=9,Personnel!$G$20="Yes"),Personnel!$C$20*0.15,0)+IF(AND(Personnel!$E$21&gt;=2,Personnel!$E$21=9,Personnel!$G$21="Yes"),Personnel!$C$21*0.15,0)+IF(AND(Personnel!$E$22&gt;=2,Personnel!$E$22=9,Personnel!$G$22="Yes"),Personnel!$C$22*0.15,0)+IF(AND(Personnel!$E$23&gt;=2,Personnel!$E$23=9,Personnel!$G$23="Yes"),Personnel!$C$23*0.15,0)+IF(AND(Personnel!$E$24&gt;=2,Personnel!$E$24=9,Personnel!$G$24="Yes"),Personnel!$C$24*0.15,0)+IF(AND(Personnel!$E$25&gt;=2,Personnel!$E$25=9,Personnel!$G$25="Yes"),Personnel!$C$25*0.15,0)+IF(AND(Personnel!$E$26&gt;=2,Personnel!$E$26=9,Personnel!$G$26="Yes"),Personnel!$C$26*0.15,0)+IF(AND(Personnel!$E$27&gt;=2,Personnel!$E$27=9,Personnel!$G$27="Yes"),Personnel!$C$27*0.15,0)+IF(AND(Personnel!$E$28&gt;=2,Personnel!$E$28=9,Personnel!$G$28="Yes"),Personnel!$C$28*0.15,0)+IF(AND(Personnel!$E$29&gt;=2,Personnel!$E$29=9,Personnel!$G$29="Yes"),Personnel!$C$29*0.15,0)+IF(AND(Personnel!$E$30&gt;=2,Personnel!$E$30=9,Personnel!$G$30="Yes"),Personnel!$C$30*0.15,0)+IF(AND(Personnel!$E$31&gt;=2,Personnel!$E$31=9,Personnel!$G$31="Yes"),Personnel!$C$31*0.15,0)+IF(AND(Personnel!$E$32&gt;=2,Personnel!$E$32=9,Personnel!$G$32="Yes"),Personnel!$C$32*0.15,0)+IF(AND(Personnel!$E$33&gt;=2,Personnel!$E$33=9,Personnel!$G$33="Yes"),Personnel!$C$33*0.15,0)),Actuals!N41)</f>
        <v>-19500</v>
      </c>
      <c r="N131" s="14" t="n">
        <f aca="false">IF(ISBLANK(Actuals!O41),-(IF(AND(Personnel!$E$2&gt;=2,Personnel!$E$2=10,Personnel!$G$2="Yes"),Personnel!$C$2*0.15,0)+IF(AND(Personnel!$E$3&gt;=2,Personnel!$E$3=10,Personnel!$G$3="Yes"),Personnel!$C$3*0.15,0)+IF(AND(Personnel!$E$4&gt;=2,Personnel!$E$4=10,Personnel!$G$4="Yes"),Personnel!$C$4*0.15,0)+IF(AND(Personnel!$E$5&gt;=2,Personnel!$E$5=10,Personnel!$G$5="Yes"),Personnel!$C$5*0.15,0)+IF(AND(Personnel!$E$6&gt;=2,Personnel!$E$6=10,Personnel!$G$6="Yes"),Personnel!$C$6*0.15,0)+IF(AND(Personnel!$E$7&gt;=2,Personnel!$E$7=10,Personnel!$G$7="Yes"),Personnel!$C$7*0.15,0)+IF(AND(Personnel!$E$8&gt;=2,Personnel!$E$8=10,Personnel!$G$8="Yes"),Personnel!$C$8*0.15,0)+IF(AND(Personnel!$E$9&gt;=2,Personnel!$E$9=10,Personnel!$G$9="Yes"),Personnel!$C$9*0.15,0)+IF(AND(Personnel!$E$10&gt;=2,Personnel!$E$10=10,Personnel!$G$10="Yes"),Personnel!$C$10*0.15,0)+IF(AND(Personnel!$E$11&gt;=2,Personnel!$E$11=10,Personnel!$G$11="Yes"),Personnel!$C$11*0.15,0)+IF(AND(Personnel!$E$12&gt;=2,Personnel!$E$12=10,Personnel!$G$12="Yes"),Personnel!$C$12*0.15,0)+IF(AND(Personnel!$E$13&gt;=2,Personnel!$E$13=10,Personnel!$G$13="Yes"),Personnel!$C$13*0.15,0)+IF(AND(Personnel!$E$14&gt;=2,Personnel!$E$14=10,Personnel!$G$14="Yes"),Personnel!$C$14*0.15,0)+IF(AND(Personnel!$E$15&gt;=2,Personnel!$E$15=10,Personnel!$G$15="Yes"),Personnel!$C$15*0.15,0)+IF(AND(Personnel!$E$16&gt;=2,Personnel!$E$16=10,Personnel!$G$16="Yes"),Personnel!$C$16*0.15,0)+IF(AND(Personnel!$E$17&gt;=2,Personnel!$E$17=10,Personnel!$G$17="Yes"),Personnel!$C$17*0.15,0)+IF(AND(Personnel!$E$18&gt;=2,Personnel!$E$18=10,Personnel!$G$18="Yes"),Personnel!$C$18*0.15,0)+IF(AND(Personnel!$E$19&gt;=2,Personnel!$E$19=10,Personnel!$G$19="Yes"),Personnel!$C$19*0.15,0)+IF(AND(Personnel!$E$20&gt;=2,Personnel!$E$20=10,Personnel!$G$20="Yes"),Personnel!$C$20*0.15,0)+IF(AND(Personnel!$E$21&gt;=2,Personnel!$E$21=10,Personnel!$G$21="Yes"),Personnel!$C$21*0.15,0)+IF(AND(Personnel!$E$22&gt;=2,Personnel!$E$22=10,Personnel!$G$22="Yes"),Personnel!$C$22*0.15,0)+IF(AND(Personnel!$E$23&gt;=2,Personnel!$E$23=10,Personnel!$G$23="Yes"),Personnel!$C$23*0.15,0)+IF(AND(Personnel!$E$24&gt;=2,Personnel!$E$24=10,Personnel!$G$24="Yes"),Personnel!$C$24*0.15,0)+IF(AND(Personnel!$E$25&gt;=2,Personnel!$E$25=10,Personnel!$G$25="Yes"),Personnel!$C$25*0.15,0)+IF(AND(Personnel!$E$26&gt;=2,Personnel!$E$26=10,Personnel!$G$26="Yes"),Personnel!$C$26*0.15,0)+IF(AND(Personnel!$E$27&gt;=2,Personnel!$E$27=10,Personnel!$G$27="Yes"),Personnel!$C$27*0.15,0)+IF(AND(Personnel!$E$28&gt;=2,Personnel!$E$28=10,Personnel!$G$28="Yes"),Personnel!$C$28*0.15,0)+IF(AND(Personnel!$E$29&gt;=2,Personnel!$E$29=10,Personnel!$G$29="Yes"),Personnel!$C$29*0.15,0)+IF(AND(Personnel!$E$30&gt;=2,Personnel!$E$30=10,Personnel!$G$30="Yes"),Personnel!$C$30*0.15,0)+IF(AND(Personnel!$E$31&gt;=2,Personnel!$E$31=10,Personnel!$G$31="Yes"),Personnel!$C$31*0.15,0)+IF(AND(Personnel!$E$32&gt;=2,Personnel!$E$32=10,Personnel!$G$32="Yes"),Personnel!$C$32*0.15,0)+IF(AND(Personnel!$E$33&gt;=2,Personnel!$E$33=10,Personnel!$G$33="Yes"),Personnel!$C$33*0.15,0)),Actuals!O41)</f>
        <v>-0</v>
      </c>
      <c r="O131" s="14" t="n">
        <f aca="false">IF(ISBLANK(Actuals!P41),-(IF(AND(Personnel!$E$2&gt;=2,Personnel!$E$2=11,Personnel!$G$2="Yes"),Personnel!$C$2*0.15,0)+IF(AND(Personnel!$E$3&gt;=2,Personnel!$E$3=11,Personnel!$G$3="Yes"),Personnel!$C$3*0.15,0)+IF(AND(Personnel!$E$4&gt;=2,Personnel!$E$4=11,Personnel!$G$4="Yes"),Personnel!$C$4*0.15,0)+IF(AND(Personnel!$E$5&gt;=2,Personnel!$E$5=11,Personnel!$G$5="Yes"),Personnel!$C$5*0.15,0)+IF(AND(Personnel!$E$6&gt;=2,Personnel!$E$6=11,Personnel!$G$6="Yes"),Personnel!$C$6*0.15,0)+IF(AND(Personnel!$E$7&gt;=2,Personnel!$E$7=11,Personnel!$G$7="Yes"),Personnel!$C$7*0.15,0)+IF(AND(Personnel!$E$8&gt;=2,Personnel!$E$8=11,Personnel!$G$8="Yes"),Personnel!$C$8*0.15,0)+IF(AND(Personnel!$E$9&gt;=2,Personnel!$E$9=11,Personnel!$G$9="Yes"),Personnel!$C$9*0.15,0)+IF(AND(Personnel!$E$10&gt;=2,Personnel!$E$10=11,Personnel!$G$10="Yes"),Personnel!$C$10*0.15,0)+IF(AND(Personnel!$E$11&gt;=2,Personnel!$E$11=11,Personnel!$G$11="Yes"),Personnel!$C$11*0.15,0)+IF(AND(Personnel!$E$12&gt;=2,Personnel!$E$12=11,Personnel!$G$12="Yes"),Personnel!$C$12*0.15,0)+IF(AND(Personnel!$E$13&gt;=2,Personnel!$E$13=11,Personnel!$G$13="Yes"),Personnel!$C$13*0.15,0)+IF(AND(Personnel!$E$14&gt;=2,Personnel!$E$14=11,Personnel!$G$14="Yes"),Personnel!$C$14*0.15,0)+IF(AND(Personnel!$E$15&gt;=2,Personnel!$E$15=11,Personnel!$G$15="Yes"),Personnel!$C$15*0.15,0)+IF(AND(Personnel!$E$16&gt;=2,Personnel!$E$16=11,Personnel!$G$16="Yes"),Personnel!$C$16*0.15,0)+IF(AND(Personnel!$E$17&gt;=2,Personnel!$E$17=11,Personnel!$G$17="Yes"),Personnel!$C$17*0.15,0)+IF(AND(Personnel!$E$18&gt;=2,Personnel!$E$18=11,Personnel!$G$18="Yes"),Personnel!$C$18*0.15,0)+IF(AND(Personnel!$E$19&gt;=2,Personnel!$E$19=11,Personnel!$G$19="Yes"),Personnel!$C$19*0.15,0)+IF(AND(Personnel!$E$20&gt;=2,Personnel!$E$20=11,Personnel!$G$20="Yes"),Personnel!$C$20*0.15,0)+IF(AND(Personnel!$E$21&gt;=2,Personnel!$E$21=11,Personnel!$G$21="Yes"),Personnel!$C$21*0.15,0)+IF(AND(Personnel!$E$22&gt;=2,Personnel!$E$22=11,Personnel!$G$22="Yes"),Personnel!$C$22*0.15,0)+IF(AND(Personnel!$E$23&gt;=2,Personnel!$E$23=11,Personnel!$G$23="Yes"),Personnel!$C$23*0.15,0)+IF(AND(Personnel!$E$24&gt;=2,Personnel!$E$24=11,Personnel!$G$24="Yes"),Personnel!$C$24*0.15,0)+IF(AND(Personnel!$E$25&gt;=2,Personnel!$E$25=11,Personnel!$G$25="Yes"),Personnel!$C$25*0.15,0)+IF(AND(Personnel!$E$26&gt;=2,Personnel!$E$26=11,Personnel!$G$26="Yes"),Personnel!$C$26*0.15,0)+IF(AND(Personnel!$E$27&gt;=2,Personnel!$E$27=11,Personnel!$G$27="Yes"),Personnel!$C$27*0.15,0)+IF(AND(Personnel!$E$28&gt;=2,Personnel!$E$28=11,Personnel!$G$28="Yes"),Personnel!$C$28*0.15,0)+IF(AND(Personnel!$E$29&gt;=2,Personnel!$E$29=11,Personnel!$G$29="Yes"),Personnel!$C$29*0.15,0)+IF(AND(Personnel!$E$30&gt;=2,Personnel!$E$30=11,Personnel!$G$30="Yes"),Personnel!$C$30*0.15,0)+IF(AND(Personnel!$E$31&gt;=2,Personnel!$E$31=11,Personnel!$G$31="Yes"),Personnel!$C$31*0.15,0)+IF(AND(Personnel!$E$32&gt;=2,Personnel!$E$32=11,Personnel!$G$32="Yes"),Personnel!$C$32*0.15,0)+IF(AND(Personnel!$E$33&gt;=2,Personnel!$E$33=11,Personnel!$G$33="Yes"),Personnel!$C$33*0.15,0)),Actuals!P41)</f>
        <v>-0</v>
      </c>
      <c r="P131" s="14" t="n">
        <f aca="false">IF(ISBLANK(Actuals!Q41),-(IF(AND(Personnel!$E$2&gt;=2,Personnel!$E$2=12,Personnel!$G$2="Yes"),Personnel!$C$2*0.15,0)+IF(AND(Personnel!$E$3&gt;=2,Personnel!$E$3=12,Personnel!$G$3="Yes"),Personnel!$C$3*0.15,0)+IF(AND(Personnel!$E$4&gt;=2,Personnel!$E$4=12,Personnel!$G$4="Yes"),Personnel!$C$4*0.15,0)+IF(AND(Personnel!$E$5&gt;=2,Personnel!$E$5=12,Personnel!$G$5="Yes"),Personnel!$C$5*0.15,0)+IF(AND(Personnel!$E$6&gt;=2,Personnel!$E$6=12,Personnel!$G$6="Yes"),Personnel!$C$6*0.15,0)+IF(AND(Personnel!$E$7&gt;=2,Personnel!$E$7=12,Personnel!$G$7="Yes"),Personnel!$C$7*0.15,0)+IF(AND(Personnel!$E$8&gt;=2,Personnel!$E$8=12,Personnel!$G$8="Yes"),Personnel!$C$8*0.15,0)+IF(AND(Personnel!$E$9&gt;=2,Personnel!$E$9=12,Personnel!$G$9="Yes"),Personnel!$C$9*0.15,0)+IF(AND(Personnel!$E$10&gt;=2,Personnel!$E$10=12,Personnel!$G$10="Yes"),Personnel!$C$10*0.15,0)+IF(AND(Personnel!$E$11&gt;=2,Personnel!$E$11=12,Personnel!$G$11="Yes"),Personnel!$C$11*0.15,0)+IF(AND(Personnel!$E$12&gt;=2,Personnel!$E$12=12,Personnel!$G$12="Yes"),Personnel!$C$12*0.15,0)+IF(AND(Personnel!$E$13&gt;=2,Personnel!$E$13=12,Personnel!$G$13="Yes"),Personnel!$C$13*0.15,0)+IF(AND(Personnel!$E$14&gt;=2,Personnel!$E$14=12,Personnel!$G$14="Yes"),Personnel!$C$14*0.15,0)+IF(AND(Personnel!$E$15&gt;=2,Personnel!$E$15=12,Personnel!$G$15="Yes"),Personnel!$C$15*0.15,0)+IF(AND(Personnel!$E$16&gt;=2,Personnel!$E$16=12,Personnel!$G$16="Yes"),Personnel!$C$16*0.15,0)+IF(AND(Personnel!$E$17&gt;=2,Personnel!$E$17=12,Personnel!$G$17="Yes"),Personnel!$C$17*0.15,0)+IF(AND(Personnel!$E$18&gt;=2,Personnel!$E$18=12,Personnel!$G$18="Yes"),Personnel!$C$18*0.15,0)+IF(AND(Personnel!$E$19&gt;=2,Personnel!$E$19=12,Personnel!$G$19="Yes"),Personnel!$C$19*0.15,0)+IF(AND(Personnel!$E$20&gt;=2,Personnel!$E$20=12,Personnel!$G$20="Yes"),Personnel!$C$20*0.15,0)+IF(AND(Personnel!$E$21&gt;=2,Personnel!$E$21=12,Personnel!$G$21="Yes"),Personnel!$C$21*0.15,0)+IF(AND(Personnel!$E$22&gt;=2,Personnel!$E$22=12,Personnel!$G$22="Yes"),Personnel!$C$22*0.15,0)+IF(AND(Personnel!$E$23&gt;=2,Personnel!$E$23=12,Personnel!$G$23="Yes"),Personnel!$C$23*0.15,0)+IF(AND(Personnel!$E$24&gt;=2,Personnel!$E$24=12,Personnel!$G$24="Yes"),Personnel!$C$24*0.15,0)+IF(AND(Personnel!$E$25&gt;=2,Personnel!$E$25=12,Personnel!$G$25="Yes"),Personnel!$C$25*0.15,0)+IF(AND(Personnel!$E$26&gt;=2,Personnel!$E$26=12,Personnel!$G$26="Yes"),Personnel!$C$26*0.15,0)+IF(AND(Personnel!$E$27&gt;=2,Personnel!$E$27=12,Personnel!$G$27="Yes"),Personnel!$C$27*0.15,0)+IF(AND(Personnel!$E$28&gt;=2,Personnel!$E$28=12,Personnel!$G$28="Yes"),Personnel!$C$28*0.15,0)+IF(AND(Personnel!$E$29&gt;=2,Personnel!$E$29=12,Personnel!$G$29="Yes"),Personnel!$C$29*0.15,0)+IF(AND(Personnel!$E$30&gt;=2,Personnel!$E$30=12,Personnel!$G$30="Yes"),Personnel!$C$30*0.15,0)+IF(AND(Personnel!$E$31&gt;=2,Personnel!$E$31=12,Personnel!$G$31="Yes"),Personnel!$C$31*0.15,0)+IF(AND(Personnel!$E$32&gt;=2,Personnel!$E$32=12,Personnel!$G$32="Yes"),Personnel!$C$32*0.15,0)+IF(AND(Personnel!$E$33&gt;=2,Personnel!$E$33=12,Personnel!$G$33="Yes"),Personnel!$C$33*0.15,0)),Actuals!Q41)</f>
        <v>-0</v>
      </c>
      <c r="Q131" s="14" t="n">
        <f aca="false">IF(ISBLANK(Actuals!R41),-(IF(AND(Personnel!$E$2&gt;=2,Personnel!$E$2=13,Personnel!$G$2="Yes"),Personnel!$C$2*0.15,0)+IF(AND(Personnel!$E$3&gt;=2,Personnel!$E$3=13,Personnel!$G$3="Yes"),Personnel!$C$3*0.15,0)+IF(AND(Personnel!$E$4&gt;=2,Personnel!$E$4=13,Personnel!$G$4="Yes"),Personnel!$C$4*0.15,0)+IF(AND(Personnel!$E$5&gt;=2,Personnel!$E$5=13,Personnel!$G$5="Yes"),Personnel!$C$5*0.15,0)+IF(AND(Personnel!$E$6&gt;=2,Personnel!$E$6=13,Personnel!$G$6="Yes"),Personnel!$C$6*0.15,0)+IF(AND(Personnel!$E$7&gt;=2,Personnel!$E$7=13,Personnel!$G$7="Yes"),Personnel!$C$7*0.15,0)+IF(AND(Personnel!$E$8&gt;=2,Personnel!$E$8=13,Personnel!$G$8="Yes"),Personnel!$C$8*0.15,0)+IF(AND(Personnel!$E$9&gt;=2,Personnel!$E$9=13,Personnel!$G$9="Yes"),Personnel!$C$9*0.15,0)+IF(AND(Personnel!$E$10&gt;=2,Personnel!$E$10=13,Personnel!$G$10="Yes"),Personnel!$C$10*0.15,0)+IF(AND(Personnel!$E$11&gt;=2,Personnel!$E$11=13,Personnel!$G$11="Yes"),Personnel!$C$11*0.15,0)+IF(AND(Personnel!$E$12&gt;=2,Personnel!$E$12=13,Personnel!$G$12="Yes"),Personnel!$C$12*0.15,0)+IF(AND(Personnel!$E$13&gt;=2,Personnel!$E$13=13,Personnel!$G$13="Yes"),Personnel!$C$13*0.15,0)+IF(AND(Personnel!$E$14&gt;=2,Personnel!$E$14=13,Personnel!$G$14="Yes"),Personnel!$C$14*0.15,0)+IF(AND(Personnel!$E$15&gt;=2,Personnel!$E$15=13,Personnel!$G$15="Yes"),Personnel!$C$15*0.15,0)+IF(AND(Personnel!$E$16&gt;=2,Personnel!$E$16=13,Personnel!$G$16="Yes"),Personnel!$C$16*0.15,0)+IF(AND(Personnel!$E$17&gt;=2,Personnel!$E$17=13,Personnel!$G$17="Yes"),Personnel!$C$17*0.15,0)+IF(AND(Personnel!$E$18&gt;=2,Personnel!$E$18=13,Personnel!$G$18="Yes"),Personnel!$C$18*0.15,0)+IF(AND(Personnel!$E$19&gt;=2,Personnel!$E$19=13,Personnel!$G$19="Yes"),Personnel!$C$19*0.15,0)+IF(AND(Personnel!$E$20&gt;=2,Personnel!$E$20=13,Personnel!$G$20="Yes"),Personnel!$C$20*0.15,0)+IF(AND(Personnel!$E$21&gt;=2,Personnel!$E$21=13,Personnel!$G$21="Yes"),Personnel!$C$21*0.15,0)+IF(AND(Personnel!$E$22&gt;=2,Personnel!$E$22=13,Personnel!$G$22="Yes"),Personnel!$C$22*0.15,0)+IF(AND(Personnel!$E$23&gt;=2,Personnel!$E$23=13,Personnel!$G$23="Yes"),Personnel!$C$23*0.15,0)+IF(AND(Personnel!$E$24&gt;=2,Personnel!$E$24=13,Personnel!$G$24="Yes"),Personnel!$C$24*0.15,0)+IF(AND(Personnel!$E$25&gt;=2,Personnel!$E$25=13,Personnel!$G$25="Yes"),Personnel!$C$25*0.15,0)+IF(AND(Personnel!$E$26&gt;=2,Personnel!$E$26=13,Personnel!$G$26="Yes"),Personnel!$C$26*0.15,0)+IF(AND(Personnel!$E$27&gt;=2,Personnel!$E$27=13,Personnel!$G$27="Yes"),Personnel!$C$27*0.15,0)+IF(AND(Personnel!$E$28&gt;=2,Personnel!$E$28=13,Personnel!$G$28="Yes"),Personnel!$C$28*0.15,0)+IF(AND(Personnel!$E$29&gt;=2,Personnel!$E$29=13,Personnel!$G$29="Yes"),Personnel!$C$29*0.15,0)+IF(AND(Personnel!$E$30&gt;=2,Personnel!$E$30=13,Personnel!$G$30="Yes"),Personnel!$C$30*0.15,0)+IF(AND(Personnel!$E$31&gt;=2,Personnel!$E$31=13,Personnel!$G$31="Yes"),Personnel!$C$31*0.15,0)+IF(AND(Personnel!$E$32&gt;=2,Personnel!$E$32=13,Personnel!$G$32="Yes"),Personnel!$C$32*0.15,0)+IF(AND(Personnel!$E$33&gt;=2,Personnel!$E$33=13,Personnel!$G$33="Yes"),Personnel!$C$33*0.15,0)),Actuals!R41)</f>
        <v>-24000</v>
      </c>
      <c r="R131" s="14" t="n">
        <f aca="false">IF(ISBLANK(Actuals!S41),-(IF(AND(Personnel!$E$2&gt;=2,Personnel!$E$2=14,Personnel!$G$2="Yes"),Personnel!$C$2*0.15,0)+IF(AND(Personnel!$E$3&gt;=2,Personnel!$E$3=14,Personnel!$G$3="Yes"),Personnel!$C$3*0.15,0)+IF(AND(Personnel!$E$4&gt;=2,Personnel!$E$4=14,Personnel!$G$4="Yes"),Personnel!$C$4*0.15,0)+IF(AND(Personnel!$E$5&gt;=2,Personnel!$E$5=14,Personnel!$G$5="Yes"),Personnel!$C$5*0.15,0)+IF(AND(Personnel!$E$6&gt;=2,Personnel!$E$6=14,Personnel!$G$6="Yes"),Personnel!$C$6*0.15,0)+IF(AND(Personnel!$E$7&gt;=2,Personnel!$E$7=14,Personnel!$G$7="Yes"),Personnel!$C$7*0.15,0)+IF(AND(Personnel!$E$8&gt;=2,Personnel!$E$8=14,Personnel!$G$8="Yes"),Personnel!$C$8*0.15,0)+IF(AND(Personnel!$E$9&gt;=2,Personnel!$E$9=14,Personnel!$G$9="Yes"),Personnel!$C$9*0.15,0)+IF(AND(Personnel!$E$10&gt;=2,Personnel!$E$10=14,Personnel!$G$10="Yes"),Personnel!$C$10*0.15,0)+IF(AND(Personnel!$E$11&gt;=2,Personnel!$E$11=14,Personnel!$G$11="Yes"),Personnel!$C$11*0.15,0)+IF(AND(Personnel!$E$12&gt;=2,Personnel!$E$12=14,Personnel!$G$12="Yes"),Personnel!$C$12*0.15,0)+IF(AND(Personnel!$E$13&gt;=2,Personnel!$E$13=14,Personnel!$G$13="Yes"),Personnel!$C$13*0.15,0)+IF(AND(Personnel!$E$14&gt;=2,Personnel!$E$14=14,Personnel!$G$14="Yes"),Personnel!$C$14*0.15,0)+IF(AND(Personnel!$E$15&gt;=2,Personnel!$E$15=14,Personnel!$G$15="Yes"),Personnel!$C$15*0.15,0)+IF(AND(Personnel!$E$16&gt;=2,Personnel!$E$16=14,Personnel!$G$16="Yes"),Personnel!$C$16*0.15,0)+IF(AND(Personnel!$E$17&gt;=2,Personnel!$E$17=14,Personnel!$G$17="Yes"),Personnel!$C$17*0.15,0)+IF(AND(Personnel!$E$18&gt;=2,Personnel!$E$18=14,Personnel!$G$18="Yes"),Personnel!$C$18*0.15,0)+IF(AND(Personnel!$E$19&gt;=2,Personnel!$E$19=14,Personnel!$G$19="Yes"),Personnel!$C$19*0.15,0)+IF(AND(Personnel!$E$20&gt;=2,Personnel!$E$20=14,Personnel!$G$20="Yes"),Personnel!$C$20*0.15,0)+IF(AND(Personnel!$E$21&gt;=2,Personnel!$E$21=14,Personnel!$G$21="Yes"),Personnel!$C$21*0.15,0)+IF(AND(Personnel!$E$22&gt;=2,Personnel!$E$22=14,Personnel!$G$22="Yes"),Personnel!$C$22*0.15,0)+IF(AND(Personnel!$E$23&gt;=2,Personnel!$E$23=14,Personnel!$G$23="Yes"),Personnel!$C$23*0.15,0)+IF(AND(Personnel!$E$24&gt;=2,Personnel!$E$24=14,Personnel!$G$24="Yes"),Personnel!$C$24*0.15,0)+IF(AND(Personnel!$E$25&gt;=2,Personnel!$E$25=14,Personnel!$G$25="Yes"),Personnel!$C$25*0.15,0)+IF(AND(Personnel!$E$26&gt;=2,Personnel!$E$26=14,Personnel!$G$26="Yes"),Personnel!$C$26*0.15,0)+IF(AND(Personnel!$E$27&gt;=2,Personnel!$E$27=14,Personnel!$G$27="Yes"),Personnel!$C$27*0.15,0)+IF(AND(Personnel!$E$28&gt;=2,Personnel!$E$28=14,Personnel!$G$28="Yes"),Personnel!$C$28*0.15,0)+IF(AND(Personnel!$E$29&gt;=2,Personnel!$E$29=14,Personnel!$G$29="Yes"),Personnel!$C$29*0.15,0)+IF(AND(Personnel!$E$30&gt;=2,Personnel!$E$30=14,Personnel!$G$30="Yes"),Personnel!$C$30*0.15,0)+IF(AND(Personnel!$E$31&gt;=2,Personnel!$E$31=14,Personnel!$G$31="Yes"),Personnel!$C$31*0.15,0)+IF(AND(Personnel!$E$32&gt;=2,Personnel!$E$32=14,Personnel!$G$32="Yes"),Personnel!$C$32*0.15,0)+IF(AND(Personnel!$E$33&gt;=2,Personnel!$E$33=14,Personnel!$G$33="Yes"),Personnel!$C$33*0.15,0)),Actuals!S41)</f>
        <v>-0</v>
      </c>
      <c r="S131" s="14" t="n">
        <f aca="false">IF(ISBLANK(Actuals!T41),-(IF(AND(Personnel!$E$2&gt;=2,Personnel!$E$2=15,Personnel!$G$2="Yes"),Personnel!$C$2*0.15,0)+IF(AND(Personnel!$E$3&gt;=2,Personnel!$E$3=15,Personnel!$G$3="Yes"),Personnel!$C$3*0.15,0)+IF(AND(Personnel!$E$4&gt;=2,Personnel!$E$4=15,Personnel!$G$4="Yes"),Personnel!$C$4*0.15,0)+IF(AND(Personnel!$E$5&gt;=2,Personnel!$E$5=15,Personnel!$G$5="Yes"),Personnel!$C$5*0.15,0)+IF(AND(Personnel!$E$6&gt;=2,Personnel!$E$6=15,Personnel!$G$6="Yes"),Personnel!$C$6*0.15,0)+IF(AND(Personnel!$E$7&gt;=2,Personnel!$E$7=15,Personnel!$G$7="Yes"),Personnel!$C$7*0.15,0)+IF(AND(Personnel!$E$8&gt;=2,Personnel!$E$8=15,Personnel!$G$8="Yes"),Personnel!$C$8*0.15,0)+IF(AND(Personnel!$E$9&gt;=2,Personnel!$E$9=15,Personnel!$G$9="Yes"),Personnel!$C$9*0.15,0)+IF(AND(Personnel!$E$10&gt;=2,Personnel!$E$10=15,Personnel!$G$10="Yes"),Personnel!$C$10*0.15,0)+IF(AND(Personnel!$E$11&gt;=2,Personnel!$E$11=15,Personnel!$G$11="Yes"),Personnel!$C$11*0.15,0)+IF(AND(Personnel!$E$12&gt;=2,Personnel!$E$12=15,Personnel!$G$12="Yes"),Personnel!$C$12*0.15,0)+IF(AND(Personnel!$E$13&gt;=2,Personnel!$E$13=15,Personnel!$G$13="Yes"),Personnel!$C$13*0.15,0)+IF(AND(Personnel!$E$14&gt;=2,Personnel!$E$14=15,Personnel!$G$14="Yes"),Personnel!$C$14*0.15,0)+IF(AND(Personnel!$E$15&gt;=2,Personnel!$E$15=15,Personnel!$G$15="Yes"),Personnel!$C$15*0.15,0)+IF(AND(Personnel!$E$16&gt;=2,Personnel!$E$16=15,Personnel!$G$16="Yes"),Personnel!$C$16*0.15,0)+IF(AND(Personnel!$E$17&gt;=2,Personnel!$E$17=15,Personnel!$G$17="Yes"),Personnel!$C$17*0.15,0)+IF(AND(Personnel!$E$18&gt;=2,Personnel!$E$18=15,Personnel!$G$18="Yes"),Personnel!$C$18*0.15,0)+IF(AND(Personnel!$E$19&gt;=2,Personnel!$E$19=15,Personnel!$G$19="Yes"),Personnel!$C$19*0.15,0)+IF(AND(Personnel!$E$20&gt;=2,Personnel!$E$20=15,Personnel!$G$20="Yes"),Personnel!$C$20*0.15,0)+IF(AND(Personnel!$E$21&gt;=2,Personnel!$E$21=15,Personnel!$G$21="Yes"),Personnel!$C$21*0.15,0)+IF(AND(Personnel!$E$22&gt;=2,Personnel!$E$22=15,Personnel!$G$22="Yes"),Personnel!$C$22*0.15,0)+IF(AND(Personnel!$E$23&gt;=2,Personnel!$E$23=15,Personnel!$G$23="Yes"),Personnel!$C$23*0.15,0)+IF(AND(Personnel!$E$24&gt;=2,Personnel!$E$24=15,Personnel!$G$24="Yes"),Personnel!$C$24*0.15,0)+IF(AND(Personnel!$E$25&gt;=2,Personnel!$E$25=15,Personnel!$G$25="Yes"),Personnel!$C$25*0.15,0)+IF(AND(Personnel!$E$26&gt;=2,Personnel!$E$26=15,Personnel!$G$26="Yes"),Personnel!$C$26*0.15,0)+IF(AND(Personnel!$E$27&gt;=2,Personnel!$E$27=15,Personnel!$G$27="Yes"),Personnel!$C$27*0.15,0)+IF(AND(Personnel!$E$28&gt;=2,Personnel!$E$28=15,Personnel!$G$28="Yes"),Personnel!$C$28*0.15,0)+IF(AND(Personnel!$E$29&gt;=2,Personnel!$E$29=15,Personnel!$G$29="Yes"),Personnel!$C$29*0.15,0)+IF(AND(Personnel!$E$30&gt;=2,Personnel!$E$30=15,Personnel!$G$30="Yes"),Personnel!$C$30*0.15,0)+IF(AND(Personnel!$E$31&gt;=2,Personnel!$E$31=15,Personnel!$G$31="Yes"),Personnel!$C$31*0.15,0)+IF(AND(Personnel!$E$32&gt;=2,Personnel!$E$32=15,Personnel!$G$32="Yes"),Personnel!$C$32*0.15,0)+IF(AND(Personnel!$E$33&gt;=2,Personnel!$E$33=15,Personnel!$G$33="Yes"),Personnel!$C$33*0.15,0)),Actuals!T41)</f>
        <v>-0</v>
      </c>
      <c r="T131" s="14" t="n">
        <f aca="false">IF(ISBLANK(Actuals!U41),-(IF(AND(Personnel!$E$2&gt;=2,Personnel!$E$2=16,Personnel!$G$2="Yes"),Personnel!$C$2*0.15,0)+IF(AND(Personnel!$E$3&gt;=2,Personnel!$E$3=16,Personnel!$G$3="Yes"),Personnel!$C$3*0.15,0)+IF(AND(Personnel!$E$4&gt;=2,Personnel!$E$4=16,Personnel!$G$4="Yes"),Personnel!$C$4*0.15,0)+IF(AND(Personnel!$E$5&gt;=2,Personnel!$E$5=16,Personnel!$G$5="Yes"),Personnel!$C$5*0.15,0)+IF(AND(Personnel!$E$6&gt;=2,Personnel!$E$6=16,Personnel!$G$6="Yes"),Personnel!$C$6*0.15,0)+IF(AND(Personnel!$E$7&gt;=2,Personnel!$E$7=16,Personnel!$G$7="Yes"),Personnel!$C$7*0.15,0)+IF(AND(Personnel!$E$8&gt;=2,Personnel!$E$8=16,Personnel!$G$8="Yes"),Personnel!$C$8*0.15,0)+IF(AND(Personnel!$E$9&gt;=2,Personnel!$E$9=16,Personnel!$G$9="Yes"),Personnel!$C$9*0.15,0)+IF(AND(Personnel!$E$10&gt;=2,Personnel!$E$10=16,Personnel!$G$10="Yes"),Personnel!$C$10*0.15,0)+IF(AND(Personnel!$E$11&gt;=2,Personnel!$E$11=16,Personnel!$G$11="Yes"),Personnel!$C$11*0.15,0)+IF(AND(Personnel!$E$12&gt;=2,Personnel!$E$12=16,Personnel!$G$12="Yes"),Personnel!$C$12*0.15,0)+IF(AND(Personnel!$E$13&gt;=2,Personnel!$E$13=16,Personnel!$G$13="Yes"),Personnel!$C$13*0.15,0)+IF(AND(Personnel!$E$14&gt;=2,Personnel!$E$14=16,Personnel!$G$14="Yes"),Personnel!$C$14*0.15,0)+IF(AND(Personnel!$E$15&gt;=2,Personnel!$E$15=16,Personnel!$G$15="Yes"),Personnel!$C$15*0.15,0)+IF(AND(Personnel!$E$16&gt;=2,Personnel!$E$16=16,Personnel!$G$16="Yes"),Personnel!$C$16*0.15,0)+IF(AND(Personnel!$E$17&gt;=2,Personnel!$E$17=16,Personnel!$G$17="Yes"),Personnel!$C$17*0.15,0)+IF(AND(Personnel!$E$18&gt;=2,Personnel!$E$18=16,Personnel!$G$18="Yes"),Personnel!$C$18*0.15,0)+IF(AND(Personnel!$E$19&gt;=2,Personnel!$E$19=16,Personnel!$G$19="Yes"),Personnel!$C$19*0.15,0)+IF(AND(Personnel!$E$20&gt;=2,Personnel!$E$20=16,Personnel!$G$20="Yes"),Personnel!$C$20*0.15,0)+IF(AND(Personnel!$E$21&gt;=2,Personnel!$E$21=16,Personnel!$G$21="Yes"),Personnel!$C$21*0.15,0)+IF(AND(Personnel!$E$22&gt;=2,Personnel!$E$22=16,Personnel!$G$22="Yes"),Personnel!$C$22*0.15,0)+IF(AND(Personnel!$E$23&gt;=2,Personnel!$E$23=16,Personnel!$G$23="Yes"),Personnel!$C$23*0.15,0)+IF(AND(Personnel!$E$24&gt;=2,Personnel!$E$24=16,Personnel!$G$24="Yes"),Personnel!$C$24*0.15,0)+IF(AND(Personnel!$E$25&gt;=2,Personnel!$E$25=16,Personnel!$G$25="Yes"),Personnel!$C$25*0.15,0)+IF(AND(Personnel!$E$26&gt;=2,Personnel!$E$26=16,Personnel!$G$26="Yes"),Personnel!$C$26*0.15,0)+IF(AND(Personnel!$E$27&gt;=2,Personnel!$E$27=16,Personnel!$G$27="Yes"),Personnel!$C$27*0.15,0)+IF(AND(Personnel!$E$28&gt;=2,Personnel!$E$28=16,Personnel!$G$28="Yes"),Personnel!$C$28*0.15,0)+IF(AND(Personnel!$E$29&gt;=2,Personnel!$E$29=16,Personnel!$G$29="Yes"),Personnel!$C$29*0.15,0)+IF(AND(Personnel!$E$30&gt;=2,Personnel!$E$30=16,Personnel!$G$30="Yes"),Personnel!$C$30*0.15,0)+IF(AND(Personnel!$E$31&gt;=2,Personnel!$E$31=16,Personnel!$G$31="Yes"),Personnel!$C$31*0.15,0)+IF(AND(Personnel!$E$32&gt;=2,Personnel!$E$32=16,Personnel!$G$32="Yes"),Personnel!$C$32*0.15,0)+IF(AND(Personnel!$E$33&gt;=2,Personnel!$E$33=16,Personnel!$G$33="Yes"),Personnel!$C$33*0.15,0)),Actuals!U41)</f>
        <v>-0</v>
      </c>
      <c r="U131" s="14" t="n">
        <f aca="false">IF(ISBLANK(Actuals!V41),-(IF(AND(Personnel!$E$2&gt;=2,Personnel!$E$2=17,Personnel!$G$2="Yes"),Personnel!$C$2*0.15,0)+IF(AND(Personnel!$E$3&gt;=2,Personnel!$E$3=17,Personnel!$G$3="Yes"),Personnel!$C$3*0.15,0)+IF(AND(Personnel!$E$4&gt;=2,Personnel!$E$4=17,Personnel!$G$4="Yes"),Personnel!$C$4*0.15,0)+IF(AND(Personnel!$E$5&gt;=2,Personnel!$E$5=17,Personnel!$G$5="Yes"),Personnel!$C$5*0.15,0)+IF(AND(Personnel!$E$6&gt;=2,Personnel!$E$6=17,Personnel!$G$6="Yes"),Personnel!$C$6*0.15,0)+IF(AND(Personnel!$E$7&gt;=2,Personnel!$E$7=17,Personnel!$G$7="Yes"),Personnel!$C$7*0.15,0)+IF(AND(Personnel!$E$8&gt;=2,Personnel!$E$8=17,Personnel!$G$8="Yes"),Personnel!$C$8*0.15,0)+IF(AND(Personnel!$E$9&gt;=2,Personnel!$E$9=17,Personnel!$G$9="Yes"),Personnel!$C$9*0.15,0)+IF(AND(Personnel!$E$10&gt;=2,Personnel!$E$10=17,Personnel!$G$10="Yes"),Personnel!$C$10*0.15,0)+IF(AND(Personnel!$E$11&gt;=2,Personnel!$E$11=17,Personnel!$G$11="Yes"),Personnel!$C$11*0.15,0)+IF(AND(Personnel!$E$12&gt;=2,Personnel!$E$12=17,Personnel!$G$12="Yes"),Personnel!$C$12*0.15,0)+IF(AND(Personnel!$E$13&gt;=2,Personnel!$E$13=17,Personnel!$G$13="Yes"),Personnel!$C$13*0.15,0)+IF(AND(Personnel!$E$14&gt;=2,Personnel!$E$14=17,Personnel!$G$14="Yes"),Personnel!$C$14*0.15,0)+IF(AND(Personnel!$E$15&gt;=2,Personnel!$E$15=17,Personnel!$G$15="Yes"),Personnel!$C$15*0.15,0)+IF(AND(Personnel!$E$16&gt;=2,Personnel!$E$16=17,Personnel!$G$16="Yes"),Personnel!$C$16*0.15,0)+IF(AND(Personnel!$E$17&gt;=2,Personnel!$E$17=17,Personnel!$G$17="Yes"),Personnel!$C$17*0.15,0)+IF(AND(Personnel!$E$18&gt;=2,Personnel!$E$18=17,Personnel!$G$18="Yes"),Personnel!$C$18*0.15,0)+IF(AND(Personnel!$E$19&gt;=2,Personnel!$E$19=17,Personnel!$G$19="Yes"),Personnel!$C$19*0.15,0)+IF(AND(Personnel!$E$20&gt;=2,Personnel!$E$20=17,Personnel!$G$20="Yes"),Personnel!$C$20*0.15,0)+IF(AND(Personnel!$E$21&gt;=2,Personnel!$E$21=17,Personnel!$G$21="Yes"),Personnel!$C$21*0.15,0)+IF(AND(Personnel!$E$22&gt;=2,Personnel!$E$22=17,Personnel!$G$22="Yes"),Personnel!$C$22*0.15,0)+IF(AND(Personnel!$E$23&gt;=2,Personnel!$E$23=17,Personnel!$G$23="Yes"),Personnel!$C$23*0.15,0)+IF(AND(Personnel!$E$24&gt;=2,Personnel!$E$24=17,Personnel!$G$24="Yes"),Personnel!$C$24*0.15,0)+IF(AND(Personnel!$E$25&gt;=2,Personnel!$E$25=17,Personnel!$G$25="Yes"),Personnel!$C$25*0.15,0)+IF(AND(Personnel!$E$26&gt;=2,Personnel!$E$26=17,Personnel!$G$26="Yes"),Personnel!$C$26*0.15,0)+IF(AND(Personnel!$E$27&gt;=2,Personnel!$E$27=17,Personnel!$G$27="Yes"),Personnel!$C$27*0.15,0)+IF(AND(Personnel!$E$28&gt;=2,Personnel!$E$28=17,Personnel!$G$28="Yes"),Personnel!$C$28*0.15,0)+IF(AND(Personnel!$E$29&gt;=2,Personnel!$E$29=17,Personnel!$G$29="Yes"),Personnel!$C$29*0.15,0)+IF(AND(Personnel!$E$30&gt;=2,Personnel!$E$30=17,Personnel!$G$30="Yes"),Personnel!$C$30*0.15,0)+IF(AND(Personnel!$E$31&gt;=2,Personnel!$E$31=17,Personnel!$G$31="Yes"),Personnel!$C$31*0.15,0)+IF(AND(Personnel!$E$32&gt;=2,Personnel!$E$32=17,Personnel!$G$32="Yes"),Personnel!$C$32*0.15,0)+IF(AND(Personnel!$E$33&gt;=2,Personnel!$E$33=17,Personnel!$G$33="Yes"),Personnel!$C$33*0.15,0)),Actuals!V41)</f>
        <v>-0</v>
      </c>
      <c r="V131" s="14" t="n">
        <f aca="false">IF(ISBLANK(Actuals!W41),-(IF(AND(Personnel!$E$2&gt;=2,Personnel!$E$2=18,Personnel!$G$2="Yes"),Personnel!$C$2*0.15,0)+IF(AND(Personnel!$E$3&gt;=2,Personnel!$E$3=18,Personnel!$G$3="Yes"),Personnel!$C$3*0.15,0)+IF(AND(Personnel!$E$4&gt;=2,Personnel!$E$4=18,Personnel!$G$4="Yes"),Personnel!$C$4*0.15,0)+IF(AND(Personnel!$E$5&gt;=2,Personnel!$E$5=18,Personnel!$G$5="Yes"),Personnel!$C$5*0.15,0)+IF(AND(Personnel!$E$6&gt;=2,Personnel!$E$6=18,Personnel!$G$6="Yes"),Personnel!$C$6*0.15,0)+IF(AND(Personnel!$E$7&gt;=2,Personnel!$E$7=18,Personnel!$G$7="Yes"),Personnel!$C$7*0.15,0)+IF(AND(Personnel!$E$8&gt;=2,Personnel!$E$8=18,Personnel!$G$8="Yes"),Personnel!$C$8*0.15,0)+IF(AND(Personnel!$E$9&gt;=2,Personnel!$E$9=18,Personnel!$G$9="Yes"),Personnel!$C$9*0.15,0)+IF(AND(Personnel!$E$10&gt;=2,Personnel!$E$10=18,Personnel!$G$10="Yes"),Personnel!$C$10*0.15,0)+IF(AND(Personnel!$E$11&gt;=2,Personnel!$E$11=18,Personnel!$G$11="Yes"),Personnel!$C$11*0.15,0)+IF(AND(Personnel!$E$12&gt;=2,Personnel!$E$12=18,Personnel!$G$12="Yes"),Personnel!$C$12*0.15,0)+IF(AND(Personnel!$E$13&gt;=2,Personnel!$E$13=18,Personnel!$G$13="Yes"),Personnel!$C$13*0.15,0)+IF(AND(Personnel!$E$14&gt;=2,Personnel!$E$14=18,Personnel!$G$14="Yes"),Personnel!$C$14*0.15,0)+IF(AND(Personnel!$E$15&gt;=2,Personnel!$E$15=18,Personnel!$G$15="Yes"),Personnel!$C$15*0.15,0)+IF(AND(Personnel!$E$16&gt;=2,Personnel!$E$16=18,Personnel!$G$16="Yes"),Personnel!$C$16*0.15,0)+IF(AND(Personnel!$E$17&gt;=2,Personnel!$E$17=18,Personnel!$G$17="Yes"),Personnel!$C$17*0.15,0)+IF(AND(Personnel!$E$18&gt;=2,Personnel!$E$18=18,Personnel!$G$18="Yes"),Personnel!$C$18*0.15,0)+IF(AND(Personnel!$E$19&gt;=2,Personnel!$E$19=18,Personnel!$G$19="Yes"),Personnel!$C$19*0.15,0)+IF(AND(Personnel!$E$20&gt;=2,Personnel!$E$20=18,Personnel!$G$20="Yes"),Personnel!$C$20*0.15,0)+IF(AND(Personnel!$E$21&gt;=2,Personnel!$E$21=18,Personnel!$G$21="Yes"),Personnel!$C$21*0.15,0)+IF(AND(Personnel!$E$22&gt;=2,Personnel!$E$22=18,Personnel!$G$22="Yes"),Personnel!$C$22*0.15,0)+IF(AND(Personnel!$E$23&gt;=2,Personnel!$E$23=18,Personnel!$G$23="Yes"),Personnel!$C$23*0.15,0)+IF(AND(Personnel!$E$24&gt;=2,Personnel!$E$24=18,Personnel!$G$24="Yes"),Personnel!$C$24*0.15,0)+IF(AND(Personnel!$E$25&gt;=2,Personnel!$E$25=18,Personnel!$G$25="Yes"),Personnel!$C$25*0.15,0)+IF(AND(Personnel!$E$26&gt;=2,Personnel!$E$26=18,Personnel!$G$26="Yes"),Personnel!$C$26*0.15,0)+IF(AND(Personnel!$E$27&gt;=2,Personnel!$E$27=18,Personnel!$G$27="Yes"),Personnel!$C$27*0.15,0)+IF(AND(Personnel!$E$28&gt;=2,Personnel!$E$28=18,Personnel!$G$28="Yes"),Personnel!$C$28*0.15,0)+IF(AND(Personnel!$E$29&gt;=2,Personnel!$E$29=18,Personnel!$G$29="Yes"),Personnel!$C$29*0.15,0)+IF(AND(Personnel!$E$30&gt;=2,Personnel!$E$30=18,Personnel!$G$30="Yes"),Personnel!$C$30*0.15,0)+IF(AND(Personnel!$E$31&gt;=2,Personnel!$E$31=18,Personnel!$G$31="Yes"),Personnel!$C$31*0.15,0)+IF(AND(Personnel!$E$32&gt;=2,Personnel!$E$32=18,Personnel!$G$32="Yes"),Personnel!$C$32*0.15,0)+IF(AND(Personnel!$E$33&gt;=2,Personnel!$E$33=18,Personnel!$G$33="Yes"),Personnel!$C$33*0.15,0)),Actuals!W41)</f>
        <v>-0</v>
      </c>
      <c r="W131" s="14" t="n">
        <f aca="false">IF(ISBLANK(Actuals!X41),-(IF(AND(Personnel!$E$2&gt;=2,Personnel!$E$2=19,Personnel!$G$2="Yes"),Personnel!$C$2*0.15,0)+IF(AND(Personnel!$E$3&gt;=2,Personnel!$E$3=19,Personnel!$G$3="Yes"),Personnel!$C$3*0.15,0)+IF(AND(Personnel!$E$4&gt;=2,Personnel!$E$4=19,Personnel!$G$4="Yes"),Personnel!$C$4*0.15,0)+IF(AND(Personnel!$E$5&gt;=2,Personnel!$E$5=19,Personnel!$G$5="Yes"),Personnel!$C$5*0.15,0)+IF(AND(Personnel!$E$6&gt;=2,Personnel!$E$6=19,Personnel!$G$6="Yes"),Personnel!$C$6*0.15,0)+IF(AND(Personnel!$E$7&gt;=2,Personnel!$E$7=19,Personnel!$G$7="Yes"),Personnel!$C$7*0.15,0)+IF(AND(Personnel!$E$8&gt;=2,Personnel!$E$8=19,Personnel!$G$8="Yes"),Personnel!$C$8*0.15,0)+IF(AND(Personnel!$E$9&gt;=2,Personnel!$E$9=19,Personnel!$G$9="Yes"),Personnel!$C$9*0.15,0)+IF(AND(Personnel!$E$10&gt;=2,Personnel!$E$10=19,Personnel!$G$10="Yes"),Personnel!$C$10*0.15,0)+IF(AND(Personnel!$E$11&gt;=2,Personnel!$E$11=19,Personnel!$G$11="Yes"),Personnel!$C$11*0.15,0)+IF(AND(Personnel!$E$12&gt;=2,Personnel!$E$12=19,Personnel!$G$12="Yes"),Personnel!$C$12*0.15,0)+IF(AND(Personnel!$E$13&gt;=2,Personnel!$E$13=19,Personnel!$G$13="Yes"),Personnel!$C$13*0.15,0)+IF(AND(Personnel!$E$14&gt;=2,Personnel!$E$14=19,Personnel!$G$14="Yes"),Personnel!$C$14*0.15,0)+IF(AND(Personnel!$E$15&gt;=2,Personnel!$E$15=19,Personnel!$G$15="Yes"),Personnel!$C$15*0.15,0)+IF(AND(Personnel!$E$16&gt;=2,Personnel!$E$16=19,Personnel!$G$16="Yes"),Personnel!$C$16*0.15,0)+IF(AND(Personnel!$E$17&gt;=2,Personnel!$E$17=19,Personnel!$G$17="Yes"),Personnel!$C$17*0.15,0)+IF(AND(Personnel!$E$18&gt;=2,Personnel!$E$18=19,Personnel!$G$18="Yes"),Personnel!$C$18*0.15,0)+IF(AND(Personnel!$E$19&gt;=2,Personnel!$E$19=19,Personnel!$G$19="Yes"),Personnel!$C$19*0.15,0)+IF(AND(Personnel!$E$20&gt;=2,Personnel!$E$20=19,Personnel!$G$20="Yes"),Personnel!$C$20*0.15,0)+IF(AND(Personnel!$E$21&gt;=2,Personnel!$E$21=19,Personnel!$G$21="Yes"),Personnel!$C$21*0.15,0)+IF(AND(Personnel!$E$22&gt;=2,Personnel!$E$22=19,Personnel!$G$22="Yes"),Personnel!$C$22*0.15,0)+IF(AND(Personnel!$E$23&gt;=2,Personnel!$E$23=19,Personnel!$G$23="Yes"),Personnel!$C$23*0.15,0)+IF(AND(Personnel!$E$24&gt;=2,Personnel!$E$24=19,Personnel!$G$24="Yes"),Personnel!$C$24*0.15,0)+IF(AND(Personnel!$E$25&gt;=2,Personnel!$E$25=19,Personnel!$G$25="Yes"),Personnel!$C$25*0.15,0)+IF(AND(Personnel!$E$26&gt;=2,Personnel!$E$26=19,Personnel!$G$26="Yes"),Personnel!$C$26*0.15,0)+IF(AND(Personnel!$E$27&gt;=2,Personnel!$E$27=19,Personnel!$G$27="Yes"),Personnel!$C$27*0.15,0)+IF(AND(Personnel!$E$28&gt;=2,Personnel!$E$28=19,Personnel!$G$28="Yes"),Personnel!$C$28*0.15,0)+IF(AND(Personnel!$E$29&gt;=2,Personnel!$E$29=19,Personnel!$G$29="Yes"),Personnel!$C$29*0.15,0)+IF(AND(Personnel!$E$30&gt;=2,Personnel!$E$30=19,Personnel!$G$30="Yes"),Personnel!$C$30*0.15,0)+IF(AND(Personnel!$E$31&gt;=2,Personnel!$E$31=19,Personnel!$G$31="Yes"),Personnel!$C$31*0.15,0)+IF(AND(Personnel!$E$32&gt;=2,Personnel!$E$32=19,Personnel!$G$32="Yes"),Personnel!$C$32*0.15,0)+IF(AND(Personnel!$E$33&gt;=2,Personnel!$E$33=19,Personnel!$G$33="Yes"),Personnel!$C$33*0.15,0)),Actuals!X41)</f>
        <v>-0</v>
      </c>
      <c r="X131" s="14" t="n">
        <f aca="false">IF(ISBLANK(Actuals!Y41),-(IF(AND(Personnel!$E$2&gt;=2,Personnel!$E$2=20,Personnel!$G$2="Yes"),Personnel!$C$2*0.15,0)+IF(AND(Personnel!$E$3&gt;=2,Personnel!$E$3=20,Personnel!$G$3="Yes"),Personnel!$C$3*0.15,0)+IF(AND(Personnel!$E$4&gt;=2,Personnel!$E$4=20,Personnel!$G$4="Yes"),Personnel!$C$4*0.15,0)+IF(AND(Personnel!$E$5&gt;=2,Personnel!$E$5=20,Personnel!$G$5="Yes"),Personnel!$C$5*0.15,0)+IF(AND(Personnel!$E$6&gt;=2,Personnel!$E$6=20,Personnel!$G$6="Yes"),Personnel!$C$6*0.15,0)+IF(AND(Personnel!$E$7&gt;=2,Personnel!$E$7=20,Personnel!$G$7="Yes"),Personnel!$C$7*0.15,0)+IF(AND(Personnel!$E$8&gt;=2,Personnel!$E$8=20,Personnel!$G$8="Yes"),Personnel!$C$8*0.15,0)+IF(AND(Personnel!$E$9&gt;=2,Personnel!$E$9=20,Personnel!$G$9="Yes"),Personnel!$C$9*0.15,0)+IF(AND(Personnel!$E$10&gt;=2,Personnel!$E$10=20,Personnel!$G$10="Yes"),Personnel!$C$10*0.15,0)+IF(AND(Personnel!$E$11&gt;=2,Personnel!$E$11=20,Personnel!$G$11="Yes"),Personnel!$C$11*0.15,0)+IF(AND(Personnel!$E$12&gt;=2,Personnel!$E$12=20,Personnel!$G$12="Yes"),Personnel!$C$12*0.15,0)+IF(AND(Personnel!$E$13&gt;=2,Personnel!$E$13=20,Personnel!$G$13="Yes"),Personnel!$C$13*0.15,0)+IF(AND(Personnel!$E$14&gt;=2,Personnel!$E$14=20,Personnel!$G$14="Yes"),Personnel!$C$14*0.15,0)+IF(AND(Personnel!$E$15&gt;=2,Personnel!$E$15=20,Personnel!$G$15="Yes"),Personnel!$C$15*0.15,0)+IF(AND(Personnel!$E$16&gt;=2,Personnel!$E$16=20,Personnel!$G$16="Yes"),Personnel!$C$16*0.15,0)+IF(AND(Personnel!$E$17&gt;=2,Personnel!$E$17=20,Personnel!$G$17="Yes"),Personnel!$C$17*0.15,0)+IF(AND(Personnel!$E$18&gt;=2,Personnel!$E$18=20,Personnel!$G$18="Yes"),Personnel!$C$18*0.15,0)+IF(AND(Personnel!$E$19&gt;=2,Personnel!$E$19=20,Personnel!$G$19="Yes"),Personnel!$C$19*0.15,0)+IF(AND(Personnel!$E$20&gt;=2,Personnel!$E$20=20,Personnel!$G$20="Yes"),Personnel!$C$20*0.15,0)+IF(AND(Personnel!$E$21&gt;=2,Personnel!$E$21=20,Personnel!$G$21="Yes"),Personnel!$C$21*0.15,0)+IF(AND(Personnel!$E$22&gt;=2,Personnel!$E$22=20,Personnel!$G$22="Yes"),Personnel!$C$22*0.15,0)+IF(AND(Personnel!$E$23&gt;=2,Personnel!$E$23=20,Personnel!$G$23="Yes"),Personnel!$C$23*0.15,0)+IF(AND(Personnel!$E$24&gt;=2,Personnel!$E$24=20,Personnel!$G$24="Yes"),Personnel!$C$24*0.15,0)+IF(AND(Personnel!$E$25&gt;=2,Personnel!$E$25=20,Personnel!$G$25="Yes"),Personnel!$C$25*0.15,0)+IF(AND(Personnel!$E$26&gt;=2,Personnel!$E$26=20,Personnel!$G$26="Yes"),Personnel!$C$26*0.15,0)+IF(AND(Personnel!$E$27&gt;=2,Personnel!$E$27=20,Personnel!$G$27="Yes"),Personnel!$C$27*0.15,0)+IF(AND(Personnel!$E$28&gt;=2,Personnel!$E$28=20,Personnel!$G$28="Yes"),Personnel!$C$28*0.15,0)+IF(AND(Personnel!$E$29&gt;=2,Personnel!$E$29=20,Personnel!$G$29="Yes"),Personnel!$C$29*0.15,0)+IF(AND(Personnel!$E$30&gt;=2,Personnel!$E$30=20,Personnel!$G$30="Yes"),Personnel!$C$30*0.15,0)+IF(AND(Personnel!$E$31&gt;=2,Personnel!$E$31=20,Personnel!$G$31="Yes"),Personnel!$C$31*0.15,0)+IF(AND(Personnel!$E$32&gt;=2,Personnel!$E$32=20,Personnel!$G$32="Yes"),Personnel!$C$32*0.15,0)+IF(AND(Personnel!$E$33&gt;=2,Personnel!$E$33=20,Personnel!$G$33="Yes"),Personnel!$C$33*0.15,0)),Actuals!Y41)</f>
        <v>-0</v>
      </c>
      <c r="Y131" s="14" t="n">
        <f aca="false">IF(ISBLANK(Actuals!Z41),-(IF(AND(Personnel!$E$2&gt;=2,Personnel!$E$2=21,Personnel!$G$2="Yes"),Personnel!$C$2*0.15,0)+IF(AND(Personnel!$E$3&gt;=2,Personnel!$E$3=21,Personnel!$G$3="Yes"),Personnel!$C$3*0.15,0)+IF(AND(Personnel!$E$4&gt;=2,Personnel!$E$4=21,Personnel!$G$4="Yes"),Personnel!$C$4*0.15,0)+IF(AND(Personnel!$E$5&gt;=2,Personnel!$E$5=21,Personnel!$G$5="Yes"),Personnel!$C$5*0.15,0)+IF(AND(Personnel!$E$6&gt;=2,Personnel!$E$6=21,Personnel!$G$6="Yes"),Personnel!$C$6*0.15,0)+IF(AND(Personnel!$E$7&gt;=2,Personnel!$E$7=21,Personnel!$G$7="Yes"),Personnel!$C$7*0.15,0)+IF(AND(Personnel!$E$8&gt;=2,Personnel!$E$8=21,Personnel!$G$8="Yes"),Personnel!$C$8*0.15,0)+IF(AND(Personnel!$E$9&gt;=2,Personnel!$E$9=21,Personnel!$G$9="Yes"),Personnel!$C$9*0.15,0)+IF(AND(Personnel!$E$10&gt;=2,Personnel!$E$10=21,Personnel!$G$10="Yes"),Personnel!$C$10*0.15,0)+IF(AND(Personnel!$E$11&gt;=2,Personnel!$E$11=21,Personnel!$G$11="Yes"),Personnel!$C$11*0.15,0)+IF(AND(Personnel!$E$12&gt;=2,Personnel!$E$12=21,Personnel!$G$12="Yes"),Personnel!$C$12*0.15,0)+IF(AND(Personnel!$E$13&gt;=2,Personnel!$E$13=21,Personnel!$G$13="Yes"),Personnel!$C$13*0.15,0)+IF(AND(Personnel!$E$14&gt;=2,Personnel!$E$14=21,Personnel!$G$14="Yes"),Personnel!$C$14*0.15,0)+IF(AND(Personnel!$E$15&gt;=2,Personnel!$E$15=21,Personnel!$G$15="Yes"),Personnel!$C$15*0.15,0)+IF(AND(Personnel!$E$16&gt;=2,Personnel!$E$16=21,Personnel!$G$16="Yes"),Personnel!$C$16*0.15,0)+IF(AND(Personnel!$E$17&gt;=2,Personnel!$E$17=21,Personnel!$G$17="Yes"),Personnel!$C$17*0.15,0)+IF(AND(Personnel!$E$18&gt;=2,Personnel!$E$18=21,Personnel!$G$18="Yes"),Personnel!$C$18*0.15,0)+IF(AND(Personnel!$E$19&gt;=2,Personnel!$E$19=21,Personnel!$G$19="Yes"),Personnel!$C$19*0.15,0)+IF(AND(Personnel!$E$20&gt;=2,Personnel!$E$20=21,Personnel!$G$20="Yes"),Personnel!$C$20*0.15,0)+IF(AND(Personnel!$E$21&gt;=2,Personnel!$E$21=21,Personnel!$G$21="Yes"),Personnel!$C$21*0.15,0)+IF(AND(Personnel!$E$22&gt;=2,Personnel!$E$22=21,Personnel!$G$22="Yes"),Personnel!$C$22*0.15,0)+IF(AND(Personnel!$E$23&gt;=2,Personnel!$E$23=21,Personnel!$G$23="Yes"),Personnel!$C$23*0.15,0)+IF(AND(Personnel!$E$24&gt;=2,Personnel!$E$24=21,Personnel!$G$24="Yes"),Personnel!$C$24*0.15,0)+IF(AND(Personnel!$E$25&gt;=2,Personnel!$E$25=21,Personnel!$G$25="Yes"),Personnel!$C$25*0.15,0)+IF(AND(Personnel!$E$26&gt;=2,Personnel!$E$26=21,Personnel!$G$26="Yes"),Personnel!$C$26*0.15,0)+IF(AND(Personnel!$E$27&gt;=2,Personnel!$E$27=21,Personnel!$G$27="Yes"),Personnel!$C$27*0.15,0)+IF(AND(Personnel!$E$28&gt;=2,Personnel!$E$28=21,Personnel!$G$28="Yes"),Personnel!$C$28*0.15,0)+IF(AND(Personnel!$E$29&gt;=2,Personnel!$E$29=21,Personnel!$G$29="Yes"),Personnel!$C$29*0.15,0)+IF(AND(Personnel!$E$30&gt;=2,Personnel!$E$30=21,Personnel!$G$30="Yes"),Personnel!$C$30*0.15,0)+IF(AND(Personnel!$E$31&gt;=2,Personnel!$E$31=21,Personnel!$G$31="Yes"),Personnel!$C$31*0.15,0)+IF(AND(Personnel!$E$32&gt;=2,Personnel!$E$32=21,Personnel!$G$32="Yes"),Personnel!$C$32*0.15,0)+IF(AND(Personnel!$E$33&gt;=2,Personnel!$E$33=21,Personnel!$G$33="Yes"),Personnel!$C$33*0.15,0)),Actuals!Z41)</f>
        <v>-0</v>
      </c>
      <c r="Z131" s="14" t="n">
        <f aca="false">IF(ISBLANK(Actuals!AA41),-(IF(AND(Personnel!$E$2&gt;=2,Personnel!$E$2=22,Personnel!$G$2="Yes"),Personnel!$C$2*0.15,0)+IF(AND(Personnel!$E$3&gt;=2,Personnel!$E$3=22,Personnel!$G$3="Yes"),Personnel!$C$3*0.15,0)+IF(AND(Personnel!$E$4&gt;=2,Personnel!$E$4=22,Personnel!$G$4="Yes"),Personnel!$C$4*0.15,0)+IF(AND(Personnel!$E$5&gt;=2,Personnel!$E$5=22,Personnel!$G$5="Yes"),Personnel!$C$5*0.15,0)+IF(AND(Personnel!$E$6&gt;=2,Personnel!$E$6=22,Personnel!$G$6="Yes"),Personnel!$C$6*0.15,0)+IF(AND(Personnel!$E$7&gt;=2,Personnel!$E$7=22,Personnel!$G$7="Yes"),Personnel!$C$7*0.15,0)+IF(AND(Personnel!$E$8&gt;=2,Personnel!$E$8=22,Personnel!$G$8="Yes"),Personnel!$C$8*0.15,0)+IF(AND(Personnel!$E$9&gt;=2,Personnel!$E$9=22,Personnel!$G$9="Yes"),Personnel!$C$9*0.15,0)+IF(AND(Personnel!$E$10&gt;=2,Personnel!$E$10=22,Personnel!$G$10="Yes"),Personnel!$C$10*0.15,0)+IF(AND(Personnel!$E$11&gt;=2,Personnel!$E$11=22,Personnel!$G$11="Yes"),Personnel!$C$11*0.15,0)+IF(AND(Personnel!$E$12&gt;=2,Personnel!$E$12=22,Personnel!$G$12="Yes"),Personnel!$C$12*0.15,0)+IF(AND(Personnel!$E$13&gt;=2,Personnel!$E$13=22,Personnel!$G$13="Yes"),Personnel!$C$13*0.15,0)+IF(AND(Personnel!$E$14&gt;=2,Personnel!$E$14=22,Personnel!$G$14="Yes"),Personnel!$C$14*0.15,0)+IF(AND(Personnel!$E$15&gt;=2,Personnel!$E$15=22,Personnel!$G$15="Yes"),Personnel!$C$15*0.15,0)+IF(AND(Personnel!$E$16&gt;=2,Personnel!$E$16=22,Personnel!$G$16="Yes"),Personnel!$C$16*0.15,0)+IF(AND(Personnel!$E$17&gt;=2,Personnel!$E$17=22,Personnel!$G$17="Yes"),Personnel!$C$17*0.15,0)+IF(AND(Personnel!$E$18&gt;=2,Personnel!$E$18=22,Personnel!$G$18="Yes"),Personnel!$C$18*0.15,0)+IF(AND(Personnel!$E$19&gt;=2,Personnel!$E$19=22,Personnel!$G$19="Yes"),Personnel!$C$19*0.15,0)+IF(AND(Personnel!$E$20&gt;=2,Personnel!$E$20=22,Personnel!$G$20="Yes"),Personnel!$C$20*0.15,0)+IF(AND(Personnel!$E$21&gt;=2,Personnel!$E$21=22,Personnel!$G$21="Yes"),Personnel!$C$21*0.15,0)+IF(AND(Personnel!$E$22&gt;=2,Personnel!$E$22=22,Personnel!$G$22="Yes"),Personnel!$C$22*0.15,0)+IF(AND(Personnel!$E$23&gt;=2,Personnel!$E$23=22,Personnel!$G$23="Yes"),Personnel!$C$23*0.15,0)+IF(AND(Personnel!$E$24&gt;=2,Personnel!$E$24=22,Personnel!$G$24="Yes"),Personnel!$C$24*0.15,0)+IF(AND(Personnel!$E$25&gt;=2,Personnel!$E$25=22,Personnel!$G$25="Yes"),Personnel!$C$25*0.15,0)+IF(AND(Personnel!$E$26&gt;=2,Personnel!$E$26=22,Personnel!$G$26="Yes"),Personnel!$C$26*0.15,0)+IF(AND(Personnel!$E$27&gt;=2,Personnel!$E$27=22,Personnel!$G$27="Yes"),Personnel!$C$27*0.15,0)+IF(AND(Personnel!$E$28&gt;=2,Personnel!$E$28=22,Personnel!$G$28="Yes"),Personnel!$C$28*0.15,0)+IF(AND(Personnel!$E$29&gt;=2,Personnel!$E$29=22,Personnel!$G$29="Yes"),Personnel!$C$29*0.15,0)+IF(AND(Personnel!$E$30&gt;=2,Personnel!$E$30=22,Personnel!$G$30="Yes"),Personnel!$C$30*0.15,0)+IF(AND(Personnel!$E$31&gt;=2,Personnel!$E$31=22,Personnel!$G$31="Yes"),Personnel!$C$31*0.15,0)+IF(AND(Personnel!$E$32&gt;=2,Personnel!$E$32=22,Personnel!$G$32="Yes"),Personnel!$C$32*0.15,0)+IF(AND(Personnel!$E$33&gt;=2,Personnel!$E$33=22,Personnel!$G$33="Yes"),Personnel!$C$33*0.15,0)),Actuals!AA41)</f>
        <v>-0</v>
      </c>
      <c r="AA131" s="14" t="n">
        <f aca="false">IF(ISBLANK(Actuals!AB41),-(IF(AND(Personnel!$E$2&gt;=2,Personnel!$E$2=23,Personnel!$G$2="Yes"),Personnel!$C$2*0.15,0)+IF(AND(Personnel!$E$3&gt;=2,Personnel!$E$3=23,Personnel!$G$3="Yes"),Personnel!$C$3*0.15,0)+IF(AND(Personnel!$E$4&gt;=2,Personnel!$E$4=23,Personnel!$G$4="Yes"),Personnel!$C$4*0.15,0)+IF(AND(Personnel!$E$5&gt;=2,Personnel!$E$5=23,Personnel!$G$5="Yes"),Personnel!$C$5*0.15,0)+IF(AND(Personnel!$E$6&gt;=2,Personnel!$E$6=23,Personnel!$G$6="Yes"),Personnel!$C$6*0.15,0)+IF(AND(Personnel!$E$7&gt;=2,Personnel!$E$7=23,Personnel!$G$7="Yes"),Personnel!$C$7*0.15,0)+IF(AND(Personnel!$E$8&gt;=2,Personnel!$E$8=23,Personnel!$G$8="Yes"),Personnel!$C$8*0.15,0)+IF(AND(Personnel!$E$9&gt;=2,Personnel!$E$9=23,Personnel!$G$9="Yes"),Personnel!$C$9*0.15,0)+IF(AND(Personnel!$E$10&gt;=2,Personnel!$E$10=23,Personnel!$G$10="Yes"),Personnel!$C$10*0.15,0)+IF(AND(Personnel!$E$11&gt;=2,Personnel!$E$11=23,Personnel!$G$11="Yes"),Personnel!$C$11*0.15,0)+IF(AND(Personnel!$E$12&gt;=2,Personnel!$E$12=23,Personnel!$G$12="Yes"),Personnel!$C$12*0.15,0)+IF(AND(Personnel!$E$13&gt;=2,Personnel!$E$13=23,Personnel!$G$13="Yes"),Personnel!$C$13*0.15,0)+IF(AND(Personnel!$E$14&gt;=2,Personnel!$E$14=23,Personnel!$G$14="Yes"),Personnel!$C$14*0.15,0)+IF(AND(Personnel!$E$15&gt;=2,Personnel!$E$15=23,Personnel!$G$15="Yes"),Personnel!$C$15*0.15,0)+IF(AND(Personnel!$E$16&gt;=2,Personnel!$E$16=23,Personnel!$G$16="Yes"),Personnel!$C$16*0.15,0)+IF(AND(Personnel!$E$17&gt;=2,Personnel!$E$17=23,Personnel!$G$17="Yes"),Personnel!$C$17*0.15,0)+IF(AND(Personnel!$E$18&gt;=2,Personnel!$E$18=23,Personnel!$G$18="Yes"),Personnel!$C$18*0.15,0)+IF(AND(Personnel!$E$19&gt;=2,Personnel!$E$19=23,Personnel!$G$19="Yes"),Personnel!$C$19*0.15,0)+IF(AND(Personnel!$E$20&gt;=2,Personnel!$E$20=23,Personnel!$G$20="Yes"),Personnel!$C$20*0.15,0)+IF(AND(Personnel!$E$21&gt;=2,Personnel!$E$21=23,Personnel!$G$21="Yes"),Personnel!$C$21*0.15,0)+IF(AND(Personnel!$E$22&gt;=2,Personnel!$E$22=23,Personnel!$G$22="Yes"),Personnel!$C$22*0.15,0)+IF(AND(Personnel!$E$23&gt;=2,Personnel!$E$23=23,Personnel!$G$23="Yes"),Personnel!$C$23*0.15,0)+IF(AND(Personnel!$E$24&gt;=2,Personnel!$E$24=23,Personnel!$G$24="Yes"),Personnel!$C$24*0.15,0)+IF(AND(Personnel!$E$25&gt;=2,Personnel!$E$25=23,Personnel!$G$25="Yes"),Personnel!$C$25*0.15,0)+IF(AND(Personnel!$E$26&gt;=2,Personnel!$E$26=23,Personnel!$G$26="Yes"),Personnel!$C$26*0.15,0)+IF(AND(Personnel!$E$27&gt;=2,Personnel!$E$27=23,Personnel!$G$27="Yes"),Personnel!$C$27*0.15,0)+IF(AND(Personnel!$E$28&gt;=2,Personnel!$E$28=23,Personnel!$G$28="Yes"),Personnel!$C$28*0.15,0)+IF(AND(Personnel!$E$29&gt;=2,Personnel!$E$29=23,Personnel!$G$29="Yes"),Personnel!$C$29*0.15,0)+IF(AND(Personnel!$E$30&gt;=2,Personnel!$E$30=23,Personnel!$G$30="Yes"),Personnel!$C$30*0.15,0)+IF(AND(Personnel!$E$31&gt;=2,Personnel!$E$31=23,Personnel!$G$31="Yes"),Personnel!$C$31*0.15,0)+IF(AND(Personnel!$E$32&gt;=2,Personnel!$E$32=23,Personnel!$G$32="Yes"),Personnel!$C$32*0.15,0)+IF(AND(Personnel!$E$33&gt;=2,Personnel!$E$33=23,Personnel!$G$33="Yes"),Personnel!$C$33*0.15,0)),Actuals!AB41)</f>
        <v>-0</v>
      </c>
      <c r="AB131" s="14" t="n">
        <f aca="false">IF(ISBLANK(Actuals!AC41),-(IF(AND(Personnel!$E$2&gt;=2,Personnel!$E$2=24,Personnel!$G$2="Yes"),Personnel!$C$2*0.15,0)+IF(AND(Personnel!$E$3&gt;=2,Personnel!$E$3=24,Personnel!$G$3="Yes"),Personnel!$C$3*0.15,0)+IF(AND(Personnel!$E$4&gt;=2,Personnel!$E$4=24,Personnel!$G$4="Yes"),Personnel!$C$4*0.15,0)+IF(AND(Personnel!$E$5&gt;=2,Personnel!$E$5=24,Personnel!$G$5="Yes"),Personnel!$C$5*0.15,0)+IF(AND(Personnel!$E$6&gt;=2,Personnel!$E$6=24,Personnel!$G$6="Yes"),Personnel!$C$6*0.15,0)+IF(AND(Personnel!$E$7&gt;=2,Personnel!$E$7=24,Personnel!$G$7="Yes"),Personnel!$C$7*0.15,0)+IF(AND(Personnel!$E$8&gt;=2,Personnel!$E$8=24,Personnel!$G$8="Yes"),Personnel!$C$8*0.15,0)+IF(AND(Personnel!$E$9&gt;=2,Personnel!$E$9=24,Personnel!$G$9="Yes"),Personnel!$C$9*0.15,0)+IF(AND(Personnel!$E$10&gt;=2,Personnel!$E$10=24,Personnel!$G$10="Yes"),Personnel!$C$10*0.15,0)+IF(AND(Personnel!$E$11&gt;=2,Personnel!$E$11=24,Personnel!$G$11="Yes"),Personnel!$C$11*0.15,0)+IF(AND(Personnel!$E$12&gt;=2,Personnel!$E$12=24,Personnel!$G$12="Yes"),Personnel!$C$12*0.15,0)+IF(AND(Personnel!$E$13&gt;=2,Personnel!$E$13=24,Personnel!$G$13="Yes"),Personnel!$C$13*0.15,0)+IF(AND(Personnel!$E$14&gt;=2,Personnel!$E$14=24,Personnel!$G$14="Yes"),Personnel!$C$14*0.15,0)+IF(AND(Personnel!$E$15&gt;=2,Personnel!$E$15=24,Personnel!$G$15="Yes"),Personnel!$C$15*0.15,0)+IF(AND(Personnel!$E$16&gt;=2,Personnel!$E$16=24,Personnel!$G$16="Yes"),Personnel!$C$16*0.15,0)+IF(AND(Personnel!$E$17&gt;=2,Personnel!$E$17=24,Personnel!$G$17="Yes"),Personnel!$C$17*0.15,0)+IF(AND(Personnel!$E$18&gt;=2,Personnel!$E$18=24,Personnel!$G$18="Yes"),Personnel!$C$18*0.15,0)+IF(AND(Personnel!$E$19&gt;=2,Personnel!$E$19=24,Personnel!$G$19="Yes"),Personnel!$C$19*0.15,0)+IF(AND(Personnel!$E$20&gt;=2,Personnel!$E$20=24,Personnel!$G$20="Yes"),Personnel!$C$20*0.15,0)+IF(AND(Personnel!$E$21&gt;=2,Personnel!$E$21=24,Personnel!$G$21="Yes"),Personnel!$C$21*0.15,0)+IF(AND(Personnel!$E$22&gt;=2,Personnel!$E$22=24,Personnel!$G$22="Yes"),Personnel!$C$22*0.15,0)+IF(AND(Personnel!$E$23&gt;=2,Personnel!$E$23=24,Personnel!$G$23="Yes"),Personnel!$C$23*0.15,0)+IF(AND(Personnel!$E$24&gt;=2,Personnel!$E$24=24,Personnel!$G$24="Yes"),Personnel!$C$24*0.15,0)+IF(AND(Personnel!$E$25&gt;=2,Personnel!$E$25=24,Personnel!$G$25="Yes"),Personnel!$C$25*0.15,0)+IF(AND(Personnel!$E$26&gt;=2,Personnel!$E$26=24,Personnel!$G$26="Yes"),Personnel!$C$26*0.15,0)+IF(AND(Personnel!$E$27&gt;=2,Personnel!$E$27=24,Personnel!$G$27="Yes"),Personnel!$C$27*0.15,0)+IF(AND(Personnel!$E$28&gt;=2,Personnel!$E$28=24,Personnel!$G$28="Yes"),Personnel!$C$28*0.15,0)+IF(AND(Personnel!$E$29&gt;=2,Personnel!$E$29=24,Personnel!$G$29="Yes"),Personnel!$C$29*0.15,0)+IF(AND(Personnel!$E$30&gt;=2,Personnel!$E$30=24,Personnel!$G$30="Yes"),Personnel!$C$30*0.15,0)+IF(AND(Personnel!$E$31&gt;=2,Personnel!$E$31=24,Personnel!$G$31="Yes"),Personnel!$C$31*0.15,0)+IF(AND(Personnel!$E$32&gt;=2,Personnel!$E$32=24,Personnel!$G$32="Yes"),Personnel!$C$32*0.15,0)+IF(AND(Personnel!$E$33&gt;=2,Personnel!$E$33=24,Personnel!$G$33="Yes"),Personnel!$C$33*0.15,0)),Actuals!AC41)</f>
        <v>-0</v>
      </c>
      <c r="AC131" s="14" t="n">
        <f aca="false">IF(ISBLANK(Actuals!AD41),-(IF(AND(Personnel!$E$2&gt;=2,Personnel!$E$2=25,Personnel!$G$2="Yes"),Personnel!$C$2*0.15,0)+IF(AND(Personnel!$E$3&gt;=2,Personnel!$E$3=25,Personnel!$G$3="Yes"),Personnel!$C$3*0.15,0)+IF(AND(Personnel!$E$4&gt;=2,Personnel!$E$4=25,Personnel!$G$4="Yes"),Personnel!$C$4*0.15,0)+IF(AND(Personnel!$E$5&gt;=2,Personnel!$E$5=25,Personnel!$G$5="Yes"),Personnel!$C$5*0.15,0)+IF(AND(Personnel!$E$6&gt;=2,Personnel!$E$6=25,Personnel!$G$6="Yes"),Personnel!$C$6*0.15,0)+IF(AND(Personnel!$E$7&gt;=2,Personnel!$E$7=25,Personnel!$G$7="Yes"),Personnel!$C$7*0.15,0)+IF(AND(Personnel!$E$8&gt;=2,Personnel!$E$8=25,Personnel!$G$8="Yes"),Personnel!$C$8*0.15,0)+IF(AND(Personnel!$E$9&gt;=2,Personnel!$E$9=25,Personnel!$G$9="Yes"),Personnel!$C$9*0.15,0)+IF(AND(Personnel!$E$10&gt;=2,Personnel!$E$10=25,Personnel!$G$10="Yes"),Personnel!$C$10*0.15,0)+IF(AND(Personnel!$E$11&gt;=2,Personnel!$E$11=25,Personnel!$G$11="Yes"),Personnel!$C$11*0.15,0)+IF(AND(Personnel!$E$12&gt;=2,Personnel!$E$12=25,Personnel!$G$12="Yes"),Personnel!$C$12*0.15,0)+IF(AND(Personnel!$E$13&gt;=2,Personnel!$E$13=25,Personnel!$G$13="Yes"),Personnel!$C$13*0.15,0)+IF(AND(Personnel!$E$14&gt;=2,Personnel!$E$14=25,Personnel!$G$14="Yes"),Personnel!$C$14*0.15,0)+IF(AND(Personnel!$E$15&gt;=2,Personnel!$E$15=25,Personnel!$G$15="Yes"),Personnel!$C$15*0.15,0)+IF(AND(Personnel!$E$16&gt;=2,Personnel!$E$16=25,Personnel!$G$16="Yes"),Personnel!$C$16*0.15,0)+IF(AND(Personnel!$E$17&gt;=2,Personnel!$E$17=25,Personnel!$G$17="Yes"),Personnel!$C$17*0.15,0)+IF(AND(Personnel!$E$18&gt;=2,Personnel!$E$18=25,Personnel!$G$18="Yes"),Personnel!$C$18*0.15,0)+IF(AND(Personnel!$E$19&gt;=2,Personnel!$E$19=25,Personnel!$G$19="Yes"),Personnel!$C$19*0.15,0)+IF(AND(Personnel!$E$20&gt;=2,Personnel!$E$20=25,Personnel!$G$20="Yes"),Personnel!$C$20*0.15,0)+IF(AND(Personnel!$E$21&gt;=2,Personnel!$E$21=25,Personnel!$G$21="Yes"),Personnel!$C$21*0.15,0)+IF(AND(Personnel!$E$22&gt;=2,Personnel!$E$22=25,Personnel!$G$22="Yes"),Personnel!$C$22*0.15,0)+IF(AND(Personnel!$E$23&gt;=2,Personnel!$E$23=25,Personnel!$G$23="Yes"),Personnel!$C$23*0.15,0)+IF(AND(Personnel!$E$24&gt;=2,Personnel!$E$24=25,Personnel!$G$24="Yes"),Personnel!$C$24*0.15,0)+IF(AND(Personnel!$E$25&gt;=2,Personnel!$E$25=25,Personnel!$G$25="Yes"),Personnel!$C$25*0.15,0)+IF(AND(Personnel!$E$26&gt;=2,Personnel!$E$26=25,Personnel!$G$26="Yes"),Personnel!$C$26*0.15,0)+IF(AND(Personnel!$E$27&gt;=2,Personnel!$E$27=25,Personnel!$G$27="Yes"),Personnel!$C$27*0.15,0)+IF(AND(Personnel!$E$28&gt;=2,Personnel!$E$28=25,Personnel!$G$28="Yes"),Personnel!$C$28*0.15,0)+IF(AND(Personnel!$E$29&gt;=2,Personnel!$E$29=25,Personnel!$G$29="Yes"),Personnel!$C$29*0.15,0)+IF(AND(Personnel!$E$30&gt;=2,Personnel!$E$30=25,Personnel!$G$30="Yes"),Personnel!$C$30*0.15,0)+IF(AND(Personnel!$E$31&gt;=2,Personnel!$E$31=25,Personnel!$G$31="Yes"),Personnel!$C$31*0.15,0)+IF(AND(Personnel!$E$32&gt;=2,Personnel!$E$32=25,Personnel!$G$32="Yes"),Personnel!$C$32*0.15,0)+IF(AND(Personnel!$E$33&gt;=2,Personnel!$E$33=25,Personnel!$G$33="Yes"),Personnel!$C$33*0.15,0)),Actuals!AD41)</f>
        <v>-0</v>
      </c>
      <c r="AD131" s="14" t="n">
        <f aca="false">IF(ISBLANK(Actuals!AE41),-(IF(AND(Personnel!$E$2&gt;=2,Personnel!$E$2=26,Personnel!$G$2="Yes"),Personnel!$C$2*0.15,0)+IF(AND(Personnel!$E$3&gt;=2,Personnel!$E$3=26,Personnel!$G$3="Yes"),Personnel!$C$3*0.15,0)+IF(AND(Personnel!$E$4&gt;=2,Personnel!$E$4=26,Personnel!$G$4="Yes"),Personnel!$C$4*0.15,0)+IF(AND(Personnel!$E$5&gt;=2,Personnel!$E$5=26,Personnel!$G$5="Yes"),Personnel!$C$5*0.15,0)+IF(AND(Personnel!$E$6&gt;=2,Personnel!$E$6=26,Personnel!$G$6="Yes"),Personnel!$C$6*0.15,0)+IF(AND(Personnel!$E$7&gt;=2,Personnel!$E$7=26,Personnel!$G$7="Yes"),Personnel!$C$7*0.15,0)+IF(AND(Personnel!$E$8&gt;=2,Personnel!$E$8=26,Personnel!$G$8="Yes"),Personnel!$C$8*0.15,0)+IF(AND(Personnel!$E$9&gt;=2,Personnel!$E$9=26,Personnel!$G$9="Yes"),Personnel!$C$9*0.15,0)+IF(AND(Personnel!$E$10&gt;=2,Personnel!$E$10=26,Personnel!$G$10="Yes"),Personnel!$C$10*0.15,0)+IF(AND(Personnel!$E$11&gt;=2,Personnel!$E$11=26,Personnel!$G$11="Yes"),Personnel!$C$11*0.15,0)+IF(AND(Personnel!$E$12&gt;=2,Personnel!$E$12=26,Personnel!$G$12="Yes"),Personnel!$C$12*0.15,0)+IF(AND(Personnel!$E$13&gt;=2,Personnel!$E$13=26,Personnel!$G$13="Yes"),Personnel!$C$13*0.15,0)+IF(AND(Personnel!$E$14&gt;=2,Personnel!$E$14=26,Personnel!$G$14="Yes"),Personnel!$C$14*0.15,0)+IF(AND(Personnel!$E$15&gt;=2,Personnel!$E$15=26,Personnel!$G$15="Yes"),Personnel!$C$15*0.15,0)+IF(AND(Personnel!$E$16&gt;=2,Personnel!$E$16=26,Personnel!$G$16="Yes"),Personnel!$C$16*0.15,0)+IF(AND(Personnel!$E$17&gt;=2,Personnel!$E$17=26,Personnel!$G$17="Yes"),Personnel!$C$17*0.15,0)+IF(AND(Personnel!$E$18&gt;=2,Personnel!$E$18=26,Personnel!$G$18="Yes"),Personnel!$C$18*0.15,0)+IF(AND(Personnel!$E$19&gt;=2,Personnel!$E$19=26,Personnel!$G$19="Yes"),Personnel!$C$19*0.15,0)+IF(AND(Personnel!$E$20&gt;=2,Personnel!$E$20=26,Personnel!$G$20="Yes"),Personnel!$C$20*0.15,0)+IF(AND(Personnel!$E$21&gt;=2,Personnel!$E$21=26,Personnel!$G$21="Yes"),Personnel!$C$21*0.15,0)+IF(AND(Personnel!$E$22&gt;=2,Personnel!$E$22=26,Personnel!$G$22="Yes"),Personnel!$C$22*0.15,0)+IF(AND(Personnel!$E$23&gt;=2,Personnel!$E$23=26,Personnel!$G$23="Yes"),Personnel!$C$23*0.15,0)+IF(AND(Personnel!$E$24&gt;=2,Personnel!$E$24=26,Personnel!$G$24="Yes"),Personnel!$C$24*0.15,0)+IF(AND(Personnel!$E$25&gt;=2,Personnel!$E$25=26,Personnel!$G$25="Yes"),Personnel!$C$25*0.15,0)+IF(AND(Personnel!$E$26&gt;=2,Personnel!$E$26=26,Personnel!$G$26="Yes"),Personnel!$C$26*0.15,0)+IF(AND(Personnel!$E$27&gt;=2,Personnel!$E$27=26,Personnel!$G$27="Yes"),Personnel!$C$27*0.15,0)+IF(AND(Personnel!$E$28&gt;=2,Personnel!$E$28=26,Personnel!$G$28="Yes"),Personnel!$C$28*0.15,0)+IF(AND(Personnel!$E$29&gt;=2,Personnel!$E$29=26,Personnel!$G$29="Yes"),Personnel!$C$29*0.15,0)+IF(AND(Personnel!$E$30&gt;=2,Personnel!$E$30=26,Personnel!$G$30="Yes"),Personnel!$C$30*0.15,0)+IF(AND(Personnel!$E$31&gt;=2,Personnel!$E$31=26,Personnel!$G$31="Yes"),Personnel!$C$31*0.15,0)+IF(AND(Personnel!$E$32&gt;=2,Personnel!$E$32=26,Personnel!$G$32="Yes"),Personnel!$C$32*0.15,0)+IF(AND(Personnel!$E$33&gt;=2,Personnel!$E$33=26,Personnel!$G$33="Yes"),Personnel!$C$33*0.15,0)),Actuals!AE41)</f>
        <v>-0</v>
      </c>
      <c r="AE131" s="14" t="n">
        <f aca="false">IF(ISBLANK(Actuals!AF41),-(IF(AND(Personnel!$E$2&gt;=2,Personnel!$E$2=27,Personnel!$G$2="Yes"),Personnel!$C$2*0.15,0)+IF(AND(Personnel!$E$3&gt;=2,Personnel!$E$3=27,Personnel!$G$3="Yes"),Personnel!$C$3*0.15,0)+IF(AND(Personnel!$E$4&gt;=2,Personnel!$E$4=27,Personnel!$G$4="Yes"),Personnel!$C$4*0.15,0)+IF(AND(Personnel!$E$5&gt;=2,Personnel!$E$5=27,Personnel!$G$5="Yes"),Personnel!$C$5*0.15,0)+IF(AND(Personnel!$E$6&gt;=2,Personnel!$E$6=27,Personnel!$G$6="Yes"),Personnel!$C$6*0.15,0)+IF(AND(Personnel!$E$7&gt;=2,Personnel!$E$7=27,Personnel!$G$7="Yes"),Personnel!$C$7*0.15,0)+IF(AND(Personnel!$E$8&gt;=2,Personnel!$E$8=27,Personnel!$G$8="Yes"),Personnel!$C$8*0.15,0)+IF(AND(Personnel!$E$9&gt;=2,Personnel!$E$9=27,Personnel!$G$9="Yes"),Personnel!$C$9*0.15,0)+IF(AND(Personnel!$E$10&gt;=2,Personnel!$E$10=27,Personnel!$G$10="Yes"),Personnel!$C$10*0.15,0)+IF(AND(Personnel!$E$11&gt;=2,Personnel!$E$11=27,Personnel!$G$11="Yes"),Personnel!$C$11*0.15,0)+IF(AND(Personnel!$E$12&gt;=2,Personnel!$E$12=27,Personnel!$G$12="Yes"),Personnel!$C$12*0.15,0)+IF(AND(Personnel!$E$13&gt;=2,Personnel!$E$13=27,Personnel!$G$13="Yes"),Personnel!$C$13*0.15,0)+IF(AND(Personnel!$E$14&gt;=2,Personnel!$E$14=27,Personnel!$G$14="Yes"),Personnel!$C$14*0.15,0)+IF(AND(Personnel!$E$15&gt;=2,Personnel!$E$15=27,Personnel!$G$15="Yes"),Personnel!$C$15*0.15,0)+IF(AND(Personnel!$E$16&gt;=2,Personnel!$E$16=27,Personnel!$G$16="Yes"),Personnel!$C$16*0.15,0)+IF(AND(Personnel!$E$17&gt;=2,Personnel!$E$17=27,Personnel!$G$17="Yes"),Personnel!$C$17*0.15,0)+IF(AND(Personnel!$E$18&gt;=2,Personnel!$E$18=27,Personnel!$G$18="Yes"),Personnel!$C$18*0.15,0)+IF(AND(Personnel!$E$19&gt;=2,Personnel!$E$19=27,Personnel!$G$19="Yes"),Personnel!$C$19*0.15,0)+IF(AND(Personnel!$E$20&gt;=2,Personnel!$E$20=27,Personnel!$G$20="Yes"),Personnel!$C$20*0.15,0)+IF(AND(Personnel!$E$21&gt;=2,Personnel!$E$21=27,Personnel!$G$21="Yes"),Personnel!$C$21*0.15,0)+IF(AND(Personnel!$E$22&gt;=2,Personnel!$E$22=27,Personnel!$G$22="Yes"),Personnel!$C$22*0.15,0)+IF(AND(Personnel!$E$23&gt;=2,Personnel!$E$23=27,Personnel!$G$23="Yes"),Personnel!$C$23*0.15,0)+IF(AND(Personnel!$E$24&gt;=2,Personnel!$E$24=27,Personnel!$G$24="Yes"),Personnel!$C$24*0.15,0)+IF(AND(Personnel!$E$25&gt;=2,Personnel!$E$25=27,Personnel!$G$25="Yes"),Personnel!$C$25*0.15,0)+IF(AND(Personnel!$E$26&gt;=2,Personnel!$E$26=27,Personnel!$G$26="Yes"),Personnel!$C$26*0.15,0)+IF(AND(Personnel!$E$27&gt;=2,Personnel!$E$27=27,Personnel!$G$27="Yes"),Personnel!$C$27*0.15,0)+IF(AND(Personnel!$E$28&gt;=2,Personnel!$E$28=27,Personnel!$G$28="Yes"),Personnel!$C$28*0.15,0)+IF(AND(Personnel!$E$29&gt;=2,Personnel!$E$29=27,Personnel!$G$29="Yes"),Personnel!$C$29*0.15,0)+IF(AND(Personnel!$E$30&gt;=2,Personnel!$E$30=27,Personnel!$G$30="Yes"),Personnel!$C$30*0.15,0)+IF(AND(Personnel!$E$31&gt;=2,Personnel!$E$31=27,Personnel!$G$31="Yes"),Personnel!$C$31*0.15,0)+IF(AND(Personnel!$E$32&gt;=2,Personnel!$E$32=27,Personnel!$G$32="Yes"),Personnel!$C$32*0.15,0)+IF(AND(Personnel!$E$33&gt;=2,Personnel!$E$33=27,Personnel!$G$33="Yes"),Personnel!$C$33*0.15,0)),Actuals!AF41)</f>
        <v>-0</v>
      </c>
      <c r="AF131" s="14" t="n">
        <f aca="false">IF(ISBLANK(Actuals!AG41),-(IF(AND(Personnel!$E$2&gt;=2,Personnel!$E$2=28,Personnel!$G$2="Yes"),Personnel!$C$2*0.15,0)+IF(AND(Personnel!$E$3&gt;=2,Personnel!$E$3=28,Personnel!$G$3="Yes"),Personnel!$C$3*0.15,0)+IF(AND(Personnel!$E$4&gt;=2,Personnel!$E$4=28,Personnel!$G$4="Yes"),Personnel!$C$4*0.15,0)+IF(AND(Personnel!$E$5&gt;=2,Personnel!$E$5=28,Personnel!$G$5="Yes"),Personnel!$C$5*0.15,0)+IF(AND(Personnel!$E$6&gt;=2,Personnel!$E$6=28,Personnel!$G$6="Yes"),Personnel!$C$6*0.15,0)+IF(AND(Personnel!$E$7&gt;=2,Personnel!$E$7=28,Personnel!$G$7="Yes"),Personnel!$C$7*0.15,0)+IF(AND(Personnel!$E$8&gt;=2,Personnel!$E$8=28,Personnel!$G$8="Yes"),Personnel!$C$8*0.15,0)+IF(AND(Personnel!$E$9&gt;=2,Personnel!$E$9=28,Personnel!$G$9="Yes"),Personnel!$C$9*0.15,0)+IF(AND(Personnel!$E$10&gt;=2,Personnel!$E$10=28,Personnel!$G$10="Yes"),Personnel!$C$10*0.15,0)+IF(AND(Personnel!$E$11&gt;=2,Personnel!$E$11=28,Personnel!$G$11="Yes"),Personnel!$C$11*0.15,0)+IF(AND(Personnel!$E$12&gt;=2,Personnel!$E$12=28,Personnel!$G$12="Yes"),Personnel!$C$12*0.15,0)+IF(AND(Personnel!$E$13&gt;=2,Personnel!$E$13=28,Personnel!$G$13="Yes"),Personnel!$C$13*0.15,0)+IF(AND(Personnel!$E$14&gt;=2,Personnel!$E$14=28,Personnel!$G$14="Yes"),Personnel!$C$14*0.15,0)+IF(AND(Personnel!$E$15&gt;=2,Personnel!$E$15=28,Personnel!$G$15="Yes"),Personnel!$C$15*0.15,0)+IF(AND(Personnel!$E$16&gt;=2,Personnel!$E$16=28,Personnel!$G$16="Yes"),Personnel!$C$16*0.15,0)+IF(AND(Personnel!$E$17&gt;=2,Personnel!$E$17=28,Personnel!$G$17="Yes"),Personnel!$C$17*0.15,0)+IF(AND(Personnel!$E$18&gt;=2,Personnel!$E$18=28,Personnel!$G$18="Yes"),Personnel!$C$18*0.15,0)+IF(AND(Personnel!$E$19&gt;=2,Personnel!$E$19=28,Personnel!$G$19="Yes"),Personnel!$C$19*0.15,0)+IF(AND(Personnel!$E$20&gt;=2,Personnel!$E$20=28,Personnel!$G$20="Yes"),Personnel!$C$20*0.15,0)+IF(AND(Personnel!$E$21&gt;=2,Personnel!$E$21=28,Personnel!$G$21="Yes"),Personnel!$C$21*0.15,0)+IF(AND(Personnel!$E$22&gt;=2,Personnel!$E$22=28,Personnel!$G$22="Yes"),Personnel!$C$22*0.15,0)+IF(AND(Personnel!$E$23&gt;=2,Personnel!$E$23=28,Personnel!$G$23="Yes"),Personnel!$C$23*0.15,0)+IF(AND(Personnel!$E$24&gt;=2,Personnel!$E$24=28,Personnel!$G$24="Yes"),Personnel!$C$24*0.15,0)+IF(AND(Personnel!$E$25&gt;=2,Personnel!$E$25=28,Personnel!$G$25="Yes"),Personnel!$C$25*0.15,0)+IF(AND(Personnel!$E$26&gt;=2,Personnel!$E$26=28,Personnel!$G$26="Yes"),Personnel!$C$26*0.15,0)+IF(AND(Personnel!$E$27&gt;=2,Personnel!$E$27=28,Personnel!$G$27="Yes"),Personnel!$C$27*0.15,0)+IF(AND(Personnel!$E$28&gt;=2,Personnel!$E$28=28,Personnel!$G$28="Yes"),Personnel!$C$28*0.15,0)+IF(AND(Personnel!$E$29&gt;=2,Personnel!$E$29=28,Personnel!$G$29="Yes"),Personnel!$C$29*0.15,0)+IF(AND(Personnel!$E$30&gt;=2,Personnel!$E$30=28,Personnel!$G$30="Yes"),Personnel!$C$30*0.15,0)+IF(AND(Personnel!$E$31&gt;=2,Personnel!$E$31=28,Personnel!$G$31="Yes"),Personnel!$C$31*0.15,0)+IF(AND(Personnel!$E$32&gt;=2,Personnel!$E$32=28,Personnel!$G$32="Yes"),Personnel!$C$32*0.15,0)+IF(AND(Personnel!$E$33&gt;=2,Personnel!$E$33=28,Personnel!$G$33="Yes"),Personnel!$C$33*0.15,0)),Actuals!AG41)</f>
        <v>-0</v>
      </c>
      <c r="AG131" s="14" t="n">
        <f aca="false">IF(ISBLANK(Actuals!AH41),-(IF(AND(Personnel!$E$2&gt;=2,Personnel!$E$2=29,Personnel!$G$2="Yes"),Personnel!$C$2*0.15,0)+IF(AND(Personnel!$E$3&gt;=2,Personnel!$E$3=29,Personnel!$G$3="Yes"),Personnel!$C$3*0.15,0)+IF(AND(Personnel!$E$4&gt;=2,Personnel!$E$4=29,Personnel!$G$4="Yes"),Personnel!$C$4*0.15,0)+IF(AND(Personnel!$E$5&gt;=2,Personnel!$E$5=29,Personnel!$G$5="Yes"),Personnel!$C$5*0.15,0)+IF(AND(Personnel!$E$6&gt;=2,Personnel!$E$6=29,Personnel!$G$6="Yes"),Personnel!$C$6*0.15,0)+IF(AND(Personnel!$E$7&gt;=2,Personnel!$E$7=29,Personnel!$G$7="Yes"),Personnel!$C$7*0.15,0)+IF(AND(Personnel!$E$8&gt;=2,Personnel!$E$8=29,Personnel!$G$8="Yes"),Personnel!$C$8*0.15,0)+IF(AND(Personnel!$E$9&gt;=2,Personnel!$E$9=29,Personnel!$G$9="Yes"),Personnel!$C$9*0.15,0)+IF(AND(Personnel!$E$10&gt;=2,Personnel!$E$10=29,Personnel!$G$10="Yes"),Personnel!$C$10*0.15,0)+IF(AND(Personnel!$E$11&gt;=2,Personnel!$E$11=29,Personnel!$G$11="Yes"),Personnel!$C$11*0.15,0)+IF(AND(Personnel!$E$12&gt;=2,Personnel!$E$12=29,Personnel!$G$12="Yes"),Personnel!$C$12*0.15,0)+IF(AND(Personnel!$E$13&gt;=2,Personnel!$E$13=29,Personnel!$G$13="Yes"),Personnel!$C$13*0.15,0)+IF(AND(Personnel!$E$14&gt;=2,Personnel!$E$14=29,Personnel!$G$14="Yes"),Personnel!$C$14*0.15,0)+IF(AND(Personnel!$E$15&gt;=2,Personnel!$E$15=29,Personnel!$G$15="Yes"),Personnel!$C$15*0.15,0)+IF(AND(Personnel!$E$16&gt;=2,Personnel!$E$16=29,Personnel!$G$16="Yes"),Personnel!$C$16*0.15,0)+IF(AND(Personnel!$E$17&gt;=2,Personnel!$E$17=29,Personnel!$G$17="Yes"),Personnel!$C$17*0.15,0)+IF(AND(Personnel!$E$18&gt;=2,Personnel!$E$18=29,Personnel!$G$18="Yes"),Personnel!$C$18*0.15,0)+IF(AND(Personnel!$E$19&gt;=2,Personnel!$E$19=29,Personnel!$G$19="Yes"),Personnel!$C$19*0.15,0)+IF(AND(Personnel!$E$20&gt;=2,Personnel!$E$20=29,Personnel!$G$20="Yes"),Personnel!$C$20*0.15,0)+IF(AND(Personnel!$E$21&gt;=2,Personnel!$E$21=29,Personnel!$G$21="Yes"),Personnel!$C$21*0.15,0)+IF(AND(Personnel!$E$22&gt;=2,Personnel!$E$22=29,Personnel!$G$22="Yes"),Personnel!$C$22*0.15,0)+IF(AND(Personnel!$E$23&gt;=2,Personnel!$E$23=29,Personnel!$G$23="Yes"),Personnel!$C$23*0.15,0)+IF(AND(Personnel!$E$24&gt;=2,Personnel!$E$24=29,Personnel!$G$24="Yes"),Personnel!$C$24*0.15,0)+IF(AND(Personnel!$E$25&gt;=2,Personnel!$E$25=29,Personnel!$G$25="Yes"),Personnel!$C$25*0.15,0)+IF(AND(Personnel!$E$26&gt;=2,Personnel!$E$26=29,Personnel!$G$26="Yes"),Personnel!$C$26*0.15,0)+IF(AND(Personnel!$E$27&gt;=2,Personnel!$E$27=29,Personnel!$G$27="Yes"),Personnel!$C$27*0.15,0)+IF(AND(Personnel!$E$28&gt;=2,Personnel!$E$28=29,Personnel!$G$28="Yes"),Personnel!$C$28*0.15,0)+IF(AND(Personnel!$E$29&gt;=2,Personnel!$E$29=29,Personnel!$G$29="Yes"),Personnel!$C$29*0.15,0)+IF(AND(Personnel!$E$30&gt;=2,Personnel!$E$30=29,Personnel!$G$30="Yes"),Personnel!$C$30*0.15,0)+IF(AND(Personnel!$E$31&gt;=2,Personnel!$E$31=29,Personnel!$G$31="Yes"),Personnel!$C$31*0.15,0)+IF(AND(Personnel!$E$32&gt;=2,Personnel!$E$32=29,Personnel!$G$32="Yes"),Personnel!$C$32*0.15,0)+IF(AND(Personnel!$E$33&gt;=2,Personnel!$E$33=29,Personnel!$G$33="Yes"),Personnel!$C$33*0.15,0)),Actuals!AH41)</f>
        <v>-0</v>
      </c>
      <c r="AH131" s="14" t="n">
        <f aca="false">IF(ISBLANK(Actuals!AI41),-(IF(AND(Personnel!$E$2&gt;=2,Personnel!$E$2=30,Personnel!$G$2="Yes"),Personnel!$C$2*0.15,0)+IF(AND(Personnel!$E$3&gt;=2,Personnel!$E$3=30,Personnel!$G$3="Yes"),Personnel!$C$3*0.15,0)+IF(AND(Personnel!$E$4&gt;=2,Personnel!$E$4=30,Personnel!$G$4="Yes"),Personnel!$C$4*0.15,0)+IF(AND(Personnel!$E$5&gt;=2,Personnel!$E$5=30,Personnel!$G$5="Yes"),Personnel!$C$5*0.15,0)+IF(AND(Personnel!$E$6&gt;=2,Personnel!$E$6=30,Personnel!$G$6="Yes"),Personnel!$C$6*0.15,0)+IF(AND(Personnel!$E$7&gt;=2,Personnel!$E$7=30,Personnel!$G$7="Yes"),Personnel!$C$7*0.15,0)+IF(AND(Personnel!$E$8&gt;=2,Personnel!$E$8=30,Personnel!$G$8="Yes"),Personnel!$C$8*0.15,0)+IF(AND(Personnel!$E$9&gt;=2,Personnel!$E$9=30,Personnel!$G$9="Yes"),Personnel!$C$9*0.15,0)+IF(AND(Personnel!$E$10&gt;=2,Personnel!$E$10=30,Personnel!$G$10="Yes"),Personnel!$C$10*0.15,0)+IF(AND(Personnel!$E$11&gt;=2,Personnel!$E$11=30,Personnel!$G$11="Yes"),Personnel!$C$11*0.15,0)+IF(AND(Personnel!$E$12&gt;=2,Personnel!$E$12=30,Personnel!$G$12="Yes"),Personnel!$C$12*0.15,0)+IF(AND(Personnel!$E$13&gt;=2,Personnel!$E$13=30,Personnel!$G$13="Yes"),Personnel!$C$13*0.15,0)+IF(AND(Personnel!$E$14&gt;=2,Personnel!$E$14=30,Personnel!$G$14="Yes"),Personnel!$C$14*0.15,0)+IF(AND(Personnel!$E$15&gt;=2,Personnel!$E$15=30,Personnel!$G$15="Yes"),Personnel!$C$15*0.15,0)+IF(AND(Personnel!$E$16&gt;=2,Personnel!$E$16=30,Personnel!$G$16="Yes"),Personnel!$C$16*0.15,0)+IF(AND(Personnel!$E$17&gt;=2,Personnel!$E$17=30,Personnel!$G$17="Yes"),Personnel!$C$17*0.15,0)+IF(AND(Personnel!$E$18&gt;=2,Personnel!$E$18=30,Personnel!$G$18="Yes"),Personnel!$C$18*0.15,0)+IF(AND(Personnel!$E$19&gt;=2,Personnel!$E$19=30,Personnel!$G$19="Yes"),Personnel!$C$19*0.15,0)+IF(AND(Personnel!$E$20&gt;=2,Personnel!$E$20=30,Personnel!$G$20="Yes"),Personnel!$C$20*0.15,0)+IF(AND(Personnel!$E$21&gt;=2,Personnel!$E$21=30,Personnel!$G$21="Yes"),Personnel!$C$21*0.15,0)+IF(AND(Personnel!$E$22&gt;=2,Personnel!$E$22=30,Personnel!$G$22="Yes"),Personnel!$C$22*0.15,0)+IF(AND(Personnel!$E$23&gt;=2,Personnel!$E$23=30,Personnel!$G$23="Yes"),Personnel!$C$23*0.15,0)+IF(AND(Personnel!$E$24&gt;=2,Personnel!$E$24=30,Personnel!$G$24="Yes"),Personnel!$C$24*0.15,0)+IF(AND(Personnel!$E$25&gt;=2,Personnel!$E$25=30,Personnel!$G$25="Yes"),Personnel!$C$25*0.15,0)+IF(AND(Personnel!$E$26&gt;=2,Personnel!$E$26=30,Personnel!$G$26="Yes"),Personnel!$C$26*0.15,0)+IF(AND(Personnel!$E$27&gt;=2,Personnel!$E$27=30,Personnel!$G$27="Yes"),Personnel!$C$27*0.15,0)+IF(AND(Personnel!$E$28&gt;=2,Personnel!$E$28=30,Personnel!$G$28="Yes"),Personnel!$C$28*0.15,0)+IF(AND(Personnel!$E$29&gt;=2,Personnel!$E$29=30,Personnel!$G$29="Yes"),Personnel!$C$29*0.15,0)+IF(AND(Personnel!$E$30&gt;=2,Personnel!$E$30=30,Personnel!$G$30="Yes"),Personnel!$C$30*0.15,0)+IF(AND(Personnel!$E$31&gt;=2,Personnel!$E$31=30,Personnel!$G$31="Yes"),Personnel!$C$31*0.15,0)+IF(AND(Personnel!$E$32&gt;=2,Personnel!$E$32=30,Personnel!$G$32="Yes"),Personnel!$C$32*0.15,0)+IF(AND(Personnel!$E$33&gt;=2,Personnel!$E$33=30,Personnel!$G$33="Yes"),Personnel!$C$33*0.15,0)),Actuals!AI41)</f>
        <v>-0</v>
      </c>
      <c r="AI131" s="14" t="n">
        <f aca="false">IF(ISBLANK(Actuals!AJ41),-(IF(AND(Personnel!$E$2&gt;=2,Personnel!$E$2=31,Personnel!$G$2="Yes"),Personnel!$C$2*0.15,0)+IF(AND(Personnel!$E$3&gt;=2,Personnel!$E$3=31,Personnel!$G$3="Yes"),Personnel!$C$3*0.15,0)+IF(AND(Personnel!$E$4&gt;=2,Personnel!$E$4=31,Personnel!$G$4="Yes"),Personnel!$C$4*0.15,0)+IF(AND(Personnel!$E$5&gt;=2,Personnel!$E$5=31,Personnel!$G$5="Yes"),Personnel!$C$5*0.15,0)+IF(AND(Personnel!$E$6&gt;=2,Personnel!$E$6=31,Personnel!$G$6="Yes"),Personnel!$C$6*0.15,0)+IF(AND(Personnel!$E$7&gt;=2,Personnel!$E$7=31,Personnel!$G$7="Yes"),Personnel!$C$7*0.15,0)+IF(AND(Personnel!$E$8&gt;=2,Personnel!$E$8=31,Personnel!$G$8="Yes"),Personnel!$C$8*0.15,0)+IF(AND(Personnel!$E$9&gt;=2,Personnel!$E$9=31,Personnel!$G$9="Yes"),Personnel!$C$9*0.15,0)+IF(AND(Personnel!$E$10&gt;=2,Personnel!$E$10=31,Personnel!$G$10="Yes"),Personnel!$C$10*0.15,0)+IF(AND(Personnel!$E$11&gt;=2,Personnel!$E$11=31,Personnel!$G$11="Yes"),Personnel!$C$11*0.15,0)+IF(AND(Personnel!$E$12&gt;=2,Personnel!$E$12=31,Personnel!$G$12="Yes"),Personnel!$C$12*0.15,0)+IF(AND(Personnel!$E$13&gt;=2,Personnel!$E$13=31,Personnel!$G$13="Yes"),Personnel!$C$13*0.15,0)+IF(AND(Personnel!$E$14&gt;=2,Personnel!$E$14=31,Personnel!$G$14="Yes"),Personnel!$C$14*0.15,0)+IF(AND(Personnel!$E$15&gt;=2,Personnel!$E$15=31,Personnel!$G$15="Yes"),Personnel!$C$15*0.15,0)+IF(AND(Personnel!$E$16&gt;=2,Personnel!$E$16=31,Personnel!$G$16="Yes"),Personnel!$C$16*0.15,0)+IF(AND(Personnel!$E$17&gt;=2,Personnel!$E$17=31,Personnel!$G$17="Yes"),Personnel!$C$17*0.15,0)+IF(AND(Personnel!$E$18&gt;=2,Personnel!$E$18=31,Personnel!$G$18="Yes"),Personnel!$C$18*0.15,0)+IF(AND(Personnel!$E$19&gt;=2,Personnel!$E$19=31,Personnel!$G$19="Yes"),Personnel!$C$19*0.15,0)+IF(AND(Personnel!$E$20&gt;=2,Personnel!$E$20=31,Personnel!$G$20="Yes"),Personnel!$C$20*0.15,0)+IF(AND(Personnel!$E$21&gt;=2,Personnel!$E$21=31,Personnel!$G$21="Yes"),Personnel!$C$21*0.15,0)+IF(AND(Personnel!$E$22&gt;=2,Personnel!$E$22=31,Personnel!$G$22="Yes"),Personnel!$C$22*0.15,0)+IF(AND(Personnel!$E$23&gt;=2,Personnel!$E$23=31,Personnel!$G$23="Yes"),Personnel!$C$23*0.15,0)+IF(AND(Personnel!$E$24&gt;=2,Personnel!$E$24=31,Personnel!$G$24="Yes"),Personnel!$C$24*0.15,0)+IF(AND(Personnel!$E$25&gt;=2,Personnel!$E$25=31,Personnel!$G$25="Yes"),Personnel!$C$25*0.15,0)+IF(AND(Personnel!$E$26&gt;=2,Personnel!$E$26=31,Personnel!$G$26="Yes"),Personnel!$C$26*0.15,0)+IF(AND(Personnel!$E$27&gt;=2,Personnel!$E$27=31,Personnel!$G$27="Yes"),Personnel!$C$27*0.15,0)+IF(AND(Personnel!$E$28&gt;=2,Personnel!$E$28=31,Personnel!$G$28="Yes"),Personnel!$C$28*0.15,0)+IF(AND(Personnel!$E$29&gt;=2,Personnel!$E$29=31,Personnel!$G$29="Yes"),Personnel!$C$29*0.15,0)+IF(AND(Personnel!$E$30&gt;=2,Personnel!$E$30=31,Personnel!$G$30="Yes"),Personnel!$C$30*0.15,0)+IF(AND(Personnel!$E$31&gt;=2,Personnel!$E$31=31,Personnel!$G$31="Yes"),Personnel!$C$31*0.15,0)+IF(AND(Personnel!$E$32&gt;=2,Personnel!$E$32=31,Personnel!$G$32="Yes"),Personnel!$C$32*0.15,0)+IF(AND(Personnel!$E$33&gt;=2,Personnel!$E$33=31,Personnel!$G$33="Yes"),Personnel!$C$33*0.15,0)),Actuals!AJ41)</f>
        <v>-0</v>
      </c>
      <c r="AJ131" s="14" t="n">
        <f aca="false">IF(ISBLANK(Actuals!AK41),-(IF(AND(Personnel!$E$2&gt;=2,Personnel!$E$2=32,Personnel!$G$2="Yes"),Personnel!$C$2*0.15,0)+IF(AND(Personnel!$E$3&gt;=2,Personnel!$E$3=32,Personnel!$G$3="Yes"),Personnel!$C$3*0.15,0)+IF(AND(Personnel!$E$4&gt;=2,Personnel!$E$4=32,Personnel!$G$4="Yes"),Personnel!$C$4*0.15,0)+IF(AND(Personnel!$E$5&gt;=2,Personnel!$E$5=32,Personnel!$G$5="Yes"),Personnel!$C$5*0.15,0)+IF(AND(Personnel!$E$6&gt;=2,Personnel!$E$6=32,Personnel!$G$6="Yes"),Personnel!$C$6*0.15,0)+IF(AND(Personnel!$E$7&gt;=2,Personnel!$E$7=32,Personnel!$G$7="Yes"),Personnel!$C$7*0.15,0)+IF(AND(Personnel!$E$8&gt;=2,Personnel!$E$8=32,Personnel!$G$8="Yes"),Personnel!$C$8*0.15,0)+IF(AND(Personnel!$E$9&gt;=2,Personnel!$E$9=32,Personnel!$G$9="Yes"),Personnel!$C$9*0.15,0)+IF(AND(Personnel!$E$10&gt;=2,Personnel!$E$10=32,Personnel!$G$10="Yes"),Personnel!$C$10*0.15,0)+IF(AND(Personnel!$E$11&gt;=2,Personnel!$E$11=32,Personnel!$G$11="Yes"),Personnel!$C$11*0.15,0)+IF(AND(Personnel!$E$12&gt;=2,Personnel!$E$12=32,Personnel!$G$12="Yes"),Personnel!$C$12*0.15,0)+IF(AND(Personnel!$E$13&gt;=2,Personnel!$E$13=32,Personnel!$G$13="Yes"),Personnel!$C$13*0.15,0)+IF(AND(Personnel!$E$14&gt;=2,Personnel!$E$14=32,Personnel!$G$14="Yes"),Personnel!$C$14*0.15,0)+IF(AND(Personnel!$E$15&gt;=2,Personnel!$E$15=32,Personnel!$G$15="Yes"),Personnel!$C$15*0.15,0)+IF(AND(Personnel!$E$16&gt;=2,Personnel!$E$16=32,Personnel!$G$16="Yes"),Personnel!$C$16*0.15,0)+IF(AND(Personnel!$E$17&gt;=2,Personnel!$E$17=32,Personnel!$G$17="Yes"),Personnel!$C$17*0.15,0)+IF(AND(Personnel!$E$18&gt;=2,Personnel!$E$18=32,Personnel!$G$18="Yes"),Personnel!$C$18*0.15,0)+IF(AND(Personnel!$E$19&gt;=2,Personnel!$E$19=32,Personnel!$G$19="Yes"),Personnel!$C$19*0.15,0)+IF(AND(Personnel!$E$20&gt;=2,Personnel!$E$20=32,Personnel!$G$20="Yes"),Personnel!$C$20*0.15,0)+IF(AND(Personnel!$E$21&gt;=2,Personnel!$E$21=32,Personnel!$G$21="Yes"),Personnel!$C$21*0.15,0)+IF(AND(Personnel!$E$22&gt;=2,Personnel!$E$22=32,Personnel!$G$22="Yes"),Personnel!$C$22*0.15,0)+IF(AND(Personnel!$E$23&gt;=2,Personnel!$E$23=32,Personnel!$G$23="Yes"),Personnel!$C$23*0.15,0)+IF(AND(Personnel!$E$24&gt;=2,Personnel!$E$24=32,Personnel!$G$24="Yes"),Personnel!$C$24*0.15,0)+IF(AND(Personnel!$E$25&gt;=2,Personnel!$E$25=32,Personnel!$G$25="Yes"),Personnel!$C$25*0.15,0)+IF(AND(Personnel!$E$26&gt;=2,Personnel!$E$26=32,Personnel!$G$26="Yes"),Personnel!$C$26*0.15,0)+IF(AND(Personnel!$E$27&gt;=2,Personnel!$E$27=32,Personnel!$G$27="Yes"),Personnel!$C$27*0.15,0)+IF(AND(Personnel!$E$28&gt;=2,Personnel!$E$28=32,Personnel!$G$28="Yes"),Personnel!$C$28*0.15,0)+IF(AND(Personnel!$E$29&gt;=2,Personnel!$E$29=32,Personnel!$G$29="Yes"),Personnel!$C$29*0.15,0)+IF(AND(Personnel!$E$30&gt;=2,Personnel!$E$30=32,Personnel!$G$30="Yes"),Personnel!$C$30*0.15,0)+IF(AND(Personnel!$E$31&gt;=2,Personnel!$E$31=32,Personnel!$G$31="Yes"),Personnel!$C$31*0.15,0)+IF(AND(Personnel!$E$32&gt;=2,Personnel!$E$32=32,Personnel!$G$32="Yes"),Personnel!$C$32*0.15,0)+IF(AND(Personnel!$E$33&gt;=2,Personnel!$E$33=32,Personnel!$G$33="Yes"),Personnel!$C$33*0.15,0)),Actuals!AK41)</f>
        <v>-0</v>
      </c>
      <c r="AK131" s="14" t="n">
        <f aca="false">IF(ISBLANK(Actuals!AL41),-(IF(AND(Personnel!$E$2&gt;=2,Personnel!$E$2=33,Personnel!$G$2="Yes"),Personnel!$C$2*0.15,0)+IF(AND(Personnel!$E$3&gt;=2,Personnel!$E$3=33,Personnel!$G$3="Yes"),Personnel!$C$3*0.15,0)+IF(AND(Personnel!$E$4&gt;=2,Personnel!$E$4=33,Personnel!$G$4="Yes"),Personnel!$C$4*0.15,0)+IF(AND(Personnel!$E$5&gt;=2,Personnel!$E$5=33,Personnel!$G$5="Yes"),Personnel!$C$5*0.15,0)+IF(AND(Personnel!$E$6&gt;=2,Personnel!$E$6=33,Personnel!$G$6="Yes"),Personnel!$C$6*0.15,0)+IF(AND(Personnel!$E$7&gt;=2,Personnel!$E$7=33,Personnel!$G$7="Yes"),Personnel!$C$7*0.15,0)+IF(AND(Personnel!$E$8&gt;=2,Personnel!$E$8=33,Personnel!$G$8="Yes"),Personnel!$C$8*0.15,0)+IF(AND(Personnel!$E$9&gt;=2,Personnel!$E$9=33,Personnel!$G$9="Yes"),Personnel!$C$9*0.15,0)+IF(AND(Personnel!$E$10&gt;=2,Personnel!$E$10=33,Personnel!$G$10="Yes"),Personnel!$C$10*0.15,0)+IF(AND(Personnel!$E$11&gt;=2,Personnel!$E$11=33,Personnel!$G$11="Yes"),Personnel!$C$11*0.15,0)+IF(AND(Personnel!$E$12&gt;=2,Personnel!$E$12=33,Personnel!$G$12="Yes"),Personnel!$C$12*0.15,0)+IF(AND(Personnel!$E$13&gt;=2,Personnel!$E$13=33,Personnel!$G$13="Yes"),Personnel!$C$13*0.15,0)+IF(AND(Personnel!$E$14&gt;=2,Personnel!$E$14=33,Personnel!$G$14="Yes"),Personnel!$C$14*0.15,0)+IF(AND(Personnel!$E$15&gt;=2,Personnel!$E$15=33,Personnel!$G$15="Yes"),Personnel!$C$15*0.15,0)+IF(AND(Personnel!$E$16&gt;=2,Personnel!$E$16=33,Personnel!$G$16="Yes"),Personnel!$C$16*0.15,0)+IF(AND(Personnel!$E$17&gt;=2,Personnel!$E$17=33,Personnel!$G$17="Yes"),Personnel!$C$17*0.15,0)+IF(AND(Personnel!$E$18&gt;=2,Personnel!$E$18=33,Personnel!$G$18="Yes"),Personnel!$C$18*0.15,0)+IF(AND(Personnel!$E$19&gt;=2,Personnel!$E$19=33,Personnel!$G$19="Yes"),Personnel!$C$19*0.15,0)+IF(AND(Personnel!$E$20&gt;=2,Personnel!$E$20=33,Personnel!$G$20="Yes"),Personnel!$C$20*0.15,0)+IF(AND(Personnel!$E$21&gt;=2,Personnel!$E$21=33,Personnel!$G$21="Yes"),Personnel!$C$21*0.15,0)+IF(AND(Personnel!$E$22&gt;=2,Personnel!$E$22=33,Personnel!$G$22="Yes"),Personnel!$C$22*0.15,0)+IF(AND(Personnel!$E$23&gt;=2,Personnel!$E$23=33,Personnel!$G$23="Yes"),Personnel!$C$23*0.15,0)+IF(AND(Personnel!$E$24&gt;=2,Personnel!$E$24=33,Personnel!$G$24="Yes"),Personnel!$C$24*0.15,0)+IF(AND(Personnel!$E$25&gt;=2,Personnel!$E$25=33,Personnel!$G$25="Yes"),Personnel!$C$25*0.15,0)+IF(AND(Personnel!$E$26&gt;=2,Personnel!$E$26=33,Personnel!$G$26="Yes"),Personnel!$C$26*0.15,0)+IF(AND(Personnel!$E$27&gt;=2,Personnel!$E$27=33,Personnel!$G$27="Yes"),Personnel!$C$27*0.15,0)+IF(AND(Personnel!$E$28&gt;=2,Personnel!$E$28=33,Personnel!$G$28="Yes"),Personnel!$C$28*0.15,0)+IF(AND(Personnel!$E$29&gt;=2,Personnel!$E$29=33,Personnel!$G$29="Yes"),Personnel!$C$29*0.15,0)+IF(AND(Personnel!$E$30&gt;=2,Personnel!$E$30=33,Personnel!$G$30="Yes"),Personnel!$C$30*0.15,0)+IF(AND(Personnel!$E$31&gt;=2,Personnel!$E$31=33,Personnel!$G$31="Yes"),Personnel!$C$31*0.15,0)+IF(AND(Personnel!$E$32&gt;=2,Personnel!$E$32=33,Personnel!$G$32="Yes"),Personnel!$C$32*0.15,0)+IF(AND(Personnel!$E$33&gt;=2,Personnel!$E$33=33,Personnel!$G$33="Yes"),Personnel!$C$33*0.15,0)),Actuals!AL41)</f>
        <v>-0</v>
      </c>
      <c r="AL131" s="14" t="n">
        <f aca="false">IF(ISBLANK(Actuals!AM41),-(IF(AND(Personnel!$E$2&gt;=2,Personnel!$E$2=34,Personnel!$G$2="Yes"),Personnel!$C$2*0.15,0)+IF(AND(Personnel!$E$3&gt;=2,Personnel!$E$3=34,Personnel!$G$3="Yes"),Personnel!$C$3*0.15,0)+IF(AND(Personnel!$E$4&gt;=2,Personnel!$E$4=34,Personnel!$G$4="Yes"),Personnel!$C$4*0.15,0)+IF(AND(Personnel!$E$5&gt;=2,Personnel!$E$5=34,Personnel!$G$5="Yes"),Personnel!$C$5*0.15,0)+IF(AND(Personnel!$E$6&gt;=2,Personnel!$E$6=34,Personnel!$G$6="Yes"),Personnel!$C$6*0.15,0)+IF(AND(Personnel!$E$7&gt;=2,Personnel!$E$7=34,Personnel!$G$7="Yes"),Personnel!$C$7*0.15,0)+IF(AND(Personnel!$E$8&gt;=2,Personnel!$E$8=34,Personnel!$G$8="Yes"),Personnel!$C$8*0.15,0)+IF(AND(Personnel!$E$9&gt;=2,Personnel!$E$9=34,Personnel!$G$9="Yes"),Personnel!$C$9*0.15,0)+IF(AND(Personnel!$E$10&gt;=2,Personnel!$E$10=34,Personnel!$G$10="Yes"),Personnel!$C$10*0.15,0)+IF(AND(Personnel!$E$11&gt;=2,Personnel!$E$11=34,Personnel!$G$11="Yes"),Personnel!$C$11*0.15,0)+IF(AND(Personnel!$E$12&gt;=2,Personnel!$E$12=34,Personnel!$G$12="Yes"),Personnel!$C$12*0.15,0)+IF(AND(Personnel!$E$13&gt;=2,Personnel!$E$13=34,Personnel!$G$13="Yes"),Personnel!$C$13*0.15,0)+IF(AND(Personnel!$E$14&gt;=2,Personnel!$E$14=34,Personnel!$G$14="Yes"),Personnel!$C$14*0.15,0)+IF(AND(Personnel!$E$15&gt;=2,Personnel!$E$15=34,Personnel!$G$15="Yes"),Personnel!$C$15*0.15,0)+IF(AND(Personnel!$E$16&gt;=2,Personnel!$E$16=34,Personnel!$G$16="Yes"),Personnel!$C$16*0.15,0)+IF(AND(Personnel!$E$17&gt;=2,Personnel!$E$17=34,Personnel!$G$17="Yes"),Personnel!$C$17*0.15,0)+IF(AND(Personnel!$E$18&gt;=2,Personnel!$E$18=34,Personnel!$G$18="Yes"),Personnel!$C$18*0.15,0)+IF(AND(Personnel!$E$19&gt;=2,Personnel!$E$19=34,Personnel!$G$19="Yes"),Personnel!$C$19*0.15,0)+IF(AND(Personnel!$E$20&gt;=2,Personnel!$E$20=34,Personnel!$G$20="Yes"),Personnel!$C$20*0.15,0)+IF(AND(Personnel!$E$21&gt;=2,Personnel!$E$21=34,Personnel!$G$21="Yes"),Personnel!$C$21*0.15,0)+IF(AND(Personnel!$E$22&gt;=2,Personnel!$E$22=34,Personnel!$G$22="Yes"),Personnel!$C$22*0.15,0)+IF(AND(Personnel!$E$23&gt;=2,Personnel!$E$23=34,Personnel!$G$23="Yes"),Personnel!$C$23*0.15,0)+IF(AND(Personnel!$E$24&gt;=2,Personnel!$E$24=34,Personnel!$G$24="Yes"),Personnel!$C$24*0.15,0)+IF(AND(Personnel!$E$25&gt;=2,Personnel!$E$25=34,Personnel!$G$25="Yes"),Personnel!$C$25*0.15,0)+IF(AND(Personnel!$E$26&gt;=2,Personnel!$E$26=34,Personnel!$G$26="Yes"),Personnel!$C$26*0.15,0)+IF(AND(Personnel!$E$27&gt;=2,Personnel!$E$27=34,Personnel!$G$27="Yes"),Personnel!$C$27*0.15,0)+IF(AND(Personnel!$E$28&gt;=2,Personnel!$E$28=34,Personnel!$G$28="Yes"),Personnel!$C$28*0.15,0)+IF(AND(Personnel!$E$29&gt;=2,Personnel!$E$29=34,Personnel!$G$29="Yes"),Personnel!$C$29*0.15,0)+IF(AND(Personnel!$E$30&gt;=2,Personnel!$E$30=34,Personnel!$G$30="Yes"),Personnel!$C$30*0.15,0)+IF(AND(Personnel!$E$31&gt;=2,Personnel!$E$31=34,Personnel!$G$31="Yes"),Personnel!$C$31*0.15,0)+IF(AND(Personnel!$E$32&gt;=2,Personnel!$E$32=34,Personnel!$G$32="Yes"),Personnel!$C$32*0.15,0)+IF(AND(Personnel!$E$33&gt;=2,Personnel!$E$33=34,Personnel!$G$33="Yes"),Personnel!$C$33*0.15,0)),Actuals!AM41)</f>
        <v>-0</v>
      </c>
      <c r="AM131" s="14" t="n">
        <f aca="false">IF(ISBLANK(Actuals!AN41),-(IF(AND(Personnel!$E$2&gt;=2,Personnel!$E$2=35,Personnel!$G$2="Yes"),Personnel!$C$2*0.15,0)+IF(AND(Personnel!$E$3&gt;=2,Personnel!$E$3=35,Personnel!$G$3="Yes"),Personnel!$C$3*0.15,0)+IF(AND(Personnel!$E$4&gt;=2,Personnel!$E$4=35,Personnel!$G$4="Yes"),Personnel!$C$4*0.15,0)+IF(AND(Personnel!$E$5&gt;=2,Personnel!$E$5=35,Personnel!$G$5="Yes"),Personnel!$C$5*0.15,0)+IF(AND(Personnel!$E$6&gt;=2,Personnel!$E$6=35,Personnel!$G$6="Yes"),Personnel!$C$6*0.15,0)+IF(AND(Personnel!$E$7&gt;=2,Personnel!$E$7=35,Personnel!$G$7="Yes"),Personnel!$C$7*0.15,0)+IF(AND(Personnel!$E$8&gt;=2,Personnel!$E$8=35,Personnel!$G$8="Yes"),Personnel!$C$8*0.15,0)+IF(AND(Personnel!$E$9&gt;=2,Personnel!$E$9=35,Personnel!$G$9="Yes"),Personnel!$C$9*0.15,0)+IF(AND(Personnel!$E$10&gt;=2,Personnel!$E$10=35,Personnel!$G$10="Yes"),Personnel!$C$10*0.15,0)+IF(AND(Personnel!$E$11&gt;=2,Personnel!$E$11=35,Personnel!$G$11="Yes"),Personnel!$C$11*0.15,0)+IF(AND(Personnel!$E$12&gt;=2,Personnel!$E$12=35,Personnel!$G$12="Yes"),Personnel!$C$12*0.15,0)+IF(AND(Personnel!$E$13&gt;=2,Personnel!$E$13=35,Personnel!$G$13="Yes"),Personnel!$C$13*0.15,0)+IF(AND(Personnel!$E$14&gt;=2,Personnel!$E$14=35,Personnel!$G$14="Yes"),Personnel!$C$14*0.15,0)+IF(AND(Personnel!$E$15&gt;=2,Personnel!$E$15=35,Personnel!$G$15="Yes"),Personnel!$C$15*0.15,0)+IF(AND(Personnel!$E$16&gt;=2,Personnel!$E$16=35,Personnel!$G$16="Yes"),Personnel!$C$16*0.15,0)+IF(AND(Personnel!$E$17&gt;=2,Personnel!$E$17=35,Personnel!$G$17="Yes"),Personnel!$C$17*0.15,0)+IF(AND(Personnel!$E$18&gt;=2,Personnel!$E$18=35,Personnel!$G$18="Yes"),Personnel!$C$18*0.15,0)+IF(AND(Personnel!$E$19&gt;=2,Personnel!$E$19=35,Personnel!$G$19="Yes"),Personnel!$C$19*0.15,0)+IF(AND(Personnel!$E$20&gt;=2,Personnel!$E$20=35,Personnel!$G$20="Yes"),Personnel!$C$20*0.15,0)+IF(AND(Personnel!$E$21&gt;=2,Personnel!$E$21=35,Personnel!$G$21="Yes"),Personnel!$C$21*0.15,0)+IF(AND(Personnel!$E$22&gt;=2,Personnel!$E$22=35,Personnel!$G$22="Yes"),Personnel!$C$22*0.15,0)+IF(AND(Personnel!$E$23&gt;=2,Personnel!$E$23=35,Personnel!$G$23="Yes"),Personnel!$C$23*0.15,0)+IF(AND(Personnel!$E$24&gt;=2,Personnel!$E$24=35,Personnel!$G$24="Yes"),Personnel!$C$24*0.15,0)+IF(AND(Personnel!$E$25&gt;=2,Personnel!$E$25=35,Personnel!$G$25="Yes"),Personnel!$C$25*0.15,0)+IF(AND(Personnel!$E$26&gt;=2,Personnel!$E$26=35,Personnel!$G$26="Yes"),Personnel!$C$26*0.15,0)+IF(AND(Personnel!$E$27&gt;=2,Personnel!$E$27=35,Personnel!$G$27="Yes"),Personnel!$C$27*0.15,0)+IF(AND(Personnel!$E$28&gt;=2,Personnel!$E$28=35,Personnel!$G$28="Yes"),Personnel!$C$28*0.15,0)+IF(AND(Personnel!$E$29&gt;=2,Personnel!$E$29=35,Personnel!$G$29="Yes"),Personnel!$C$29*0.15,0)+IF(AND(Personnel!$E$30&gt;=2,Personnel!$E$30=35,Personnel!$G$30="Yes"),Personnel!$C$30*0.15,0)+IF(AND(Personnel!$E$31&gt;=2,Personnel!$E$31=35,Personnel!$G$31="Yes"),Personnel!$C$31*0.15,0)+IF(AND(Personnel!$E$32&gt;=2,Personnel!$E$32=35,Personnel!$G$32="Yes"),Personnel!$C$32*0.15,0)+IF(AND(Personnel!$E$33&gt;=2,Personnel!$E$33=35,Personnel!$G$33="Yes"),Personnel!$C$33*0.15,0)),Actuals!AN41)</f>
        <v>-0</v>
      </c>
      <c r="AN131" s="14" t="n">
        <f aca="false">IF(ISBLANK(Actuals!AO41),-(IF(AND(Personnel!$E$2&gt;=2,Personnel!$E$2=36,Personnel!$G$2="Yes"),Personnel!$C$2*0.15,0)+IF(AND(Personnel!$E$3&gt;=2,Personnel!$E$3=36,Personnel!$G$3="Yes"),Personnel!$C$3*0.15,0)+IF(AND(Personnel!$E$4&gt;=2,Personnel!$E$4=36,Personnel!$G$4="Yes"),Personnel!$C$4*0.15,0)+IF(AND(Personnel!$E$5&gt;=2,Personnel!$E$5=36,Personnel!$G$5="Yes"),Personnel!$C$5*0.15,0)+IF(AND(Personnel!$E$6&gt;=2,Personnel!$E$6=36,Personnel!$G$6="Yes"),Personnel!$C$6*0.15,0)+IF(AND(Personnel!$E$7&gt;=2,Personnel!$E$7=36,Personnel!$G$7="Yes"),Personnel!$C$7*0.15,0)+IF(AND(Personnel!$E$8&gt;=2,Personnel!$E$8=36,Personnel!$G$8="Yes"),Personnel!$C$8*0.15,0)+IF(AND(Personnel!$E$9&gt;=2,Personnel!$E$9=36,Personnel!$G$9="Yes"),Personnel!$C$9*0.15,0)+IF(AND(Personnel!$E$10&gt;=2,Personnel!$E$10=36,Personnel!$G$10="Yes"),Personnel!$C$10*0.15,0)+IF(AND(Personnel!$E$11&gt;=2,Personnel!$E$11=36,Personnel!$G$11="Yes"),Personnel!$C$11*0.15,0)+IF(AND(Personnel!$E$12&gt;=2,Personnel!$E$12=36,Personnel!$G$12="Yes"),Personnel!$C$12*0.15,0)+IF(AND(Personnel!$E$13&gt;=2,Personnel!$E$13=36,Personnel!$G$13="Yes"),Personnel!$C$13*0.15,0)+IF(AND(Personnel!$E$14&gt;=2,Personnel!$E$14=36,Personnel!$G$14="Yes"),Personnel!$C$14*0.15,0)+IF(AND(Personnel!$E$15&gt;=2,Personnel!$E$15=36,Personnel!$G$15="Yes"),Personnel!$C$15*0.15,0)+IF(AND(Personnel!$E$16&gt;=2,Personnel!$E$16=36,Personnel!$G$16="Yes"),Personnel!$C$16*0.15,0)+IF(AND(Personnel!$E$17&gt;=2,Personnel!$E$17=36,Personnel!$G$17="Yes"),Personnel!$C$17*0.15,0)+IF(AND(Personnel!$E$18&gt;=2,Personnel!$E$18=36,Personnel!$G$18="Yes"),Personnel!$C$18*0.15,0)+IF(AND(Personnel!$E$19&gt;=2,Personnel!$E$19=36,Personnel!$G$19="Yes"),Personnel!$C$19*0.15,0)+IF(AND(Personnel!$E$20&gt;=2,Personnel!$E$20=36,Personnel!$G$20="Yes"),Personnel!$C$20*0.15,0)+IF(AND(Personnel!$E$21&gt;=2,Personnel!$E$21=36,Personnel!$G$21="Yes"),Personnel!$C$21*0.15,0)+IF(AND(Personnel!$E$22&gt;=2,Personnel!$E$22=36,Personnel!$G$22="Yes"),Personnel!$C$22*0.15,0)+IF(AND(Personnel!$E$23&gt;=2,Personnel!$E$23=36,Personnel!$G$23="Yes"),Personnel!$C$23*0.15,0)+IF(AND(Personnel!$E$24&gt;=2,Personnel!$E$24=36,Personnel!$G$24="Yes"),Personnel!$C$24*0.15,0)+IF(AND(Personnel!$E$25&gt;=2,Personnel!$E$25=36,Personnel!$G$25="Yes"),Personnel!$C$25*0.15,0)+IF(AND(Personnel!$E$26&gt;=2,Personnel!$E$26=36,Personnel!$G$26="Yes"),Personnel!$C$26*0.15,0)+IF(AND(Personnel!$E$27&gt;=2,Personnel!$E$27=36,Personnel!$G$27="Yes"),Personnel!$C$27*0.15,0)+IF(AND(Personnel!$E$28&gt;=2,Personnel!$E$28=36,Personnel!$G$28="Yes"),Personnel!$C$28*0.15,0)+IF(AND(Personnel!$E$29&gt;=2,Personnel!$E$29=36,Personnel!$G$29="Yes"),Personnel!$C$29*0.15,0)+IF(AND(Personnel!$E$30&gt;=2,Personnel!$E$30=36,Personnel!$G$30="Yes"),Personnel!$C$30*0.15,0)+IF(AND(Personnel!$E$31&gt;=2,Personnel!$E$31=36,Personnel!$G$31="Yes"),Personnel!$C$31*0.15,0)+IF(AND(Personnel!$E$32&gt;=2,Personnel!$E$32=36,Personnel!$G$32="Yes"),Personnel!$C$32*0.15,0)+IF(AND(Personnel!$E$33&gt;=2,Personnel!$E$33=36,Personnel!$G$33="Yes"),Personnel!$C$33*0.15,0)),Actuals!AO41)</f>
        <v>-0</v>
      </c>
      <c r="AO131" s="14" t="n">
        <f aca="false">IF(ISBLANK(Actuals!AP41),-(IF(AND(Personnel!$E$2&gt;=2,Personnel!$E$2=37,Personnel!$G$2="Yes"),Personnel!$C$2*0.15,0)+IF(AND(Personnel!$E$3&gt;=2,Personnel!$E$3=37,Personnel!$G$3="Yes"),Personnel!$C$3*0.15,0)+IF(AND(Personnel!$E$4&gt;=2,Personnel!$E$4=37,Personnel!$G$4="Yes"),Personnel!$C$4*0.15,0)+IF(AND(Personnel!$E$5&gt;=2,Personnel!$E$5=37,Personnel!$G$5="Yes"),Personnel!$C$5*0.15,0)+IF(AND(Personnel!$E$6&gt;=2,Personnel!$E$6=37,Personnel!$G$6="Yes"),Personnel!$C$6*0.15,0)+IF(AND(Personnel!$E$7&gt;=2,Personnel!$E$7=37,Personnel!$G$7="Yes"),Personnel!$C$7*0.15,0)+IF(AND(Personnel!$E$8&gt;=2,Personnel!$E$8=37,Personnel!$G$8="Yes"),Personnel!$C$8*0.15,0)+IF(AND(Personnel!$E$9&gt;=2,Personnel!$E$9=37,Personnel!$G$9="Yes"),Personnel!$C$9*0.15,0)+IF(AND(Personnel!$E$10&gt;=2,Personnel!$E$10=37,Personnel!$G$10="Yes"),Personnel!$C$10*0.15,0)+IF(AND(Personnel!$E$11&gt;=2,Personnel!$E$11=37,Personnel!$G$11="Yes"),Personnel!$C$11*0.15,0)+IF(AND(Personnel!$E$12&gt;=2,Personnel!$E$12=37,Personnel!$G$12="Yes"),Personnel!$C$12*0.15,0)+IF(AND(Personnel!$E$13&gt;=2,Personnel!$E$13=37,Personnel!$G$13="Yes"),Personnel!$C$13*0.15,0)+IF(AND(Personnel!$E$14&gt;=2,Personnel!$E$14=37,Personnel!$G$14="Yes"),Personnel!$C$14*0.15,0)+IF(AND(Personnel!$E$15&gt;=2,Personnel!$E$15=37,Personnel!$G$15="Yes"),Personnel!$C$15*0.15,0)+IF(AND(Personnel!$E$16&gt;=2,Personnel!$E$16=37,Personnel!$G$16="Yes"),Personnel!$C$16*0.15,0)+IF(AND(Personnel!$E$17&gt;=2,Personnel!$E$17=37,Personnel!$G$17="Yes"),Personnel!$C$17*0.15,0)+IF(AND(Personnel!$E$18&gt;=2,Personnel!$E$18=37,Personnel!$G$18="Yes"),Personnel!$C$18*0.15,0)+IF(AND(Personnel!$E$19&gt;=2,Personnel!$E$19=37,Personnel!$G$19="Yes"),Personnel!$C$19*0.15,0)+IF(AND(Personnel!$E$20&gt;=2,Personnel!$E$20=37,Personnel!$G$20="Yes"),Personnel!$C$20*0.15,0)+IF(AND(Personnel!$E$21&gt;=2,Personnel!$E$21=37,Personnel!$G$21="Yes"),Personnel!$C$21*0.15,0)+IF(AND(Personnel!$E$22&gt;=2,Personnel!$E$22=37,Personnel!$G$22="Yes"),Personnel!$C$22*0.15,0)+IF(AND(Personnel!$E$23&gt;=2,Personnel!$E$23=37,Personnel!$G$23="Yes"),Personnel!$C$23*0.15,0)+IF(AND(Personnel!$E$24&gt;=2,Personnel!$E$24=37,Personnel!$G$24="Yes"),Personnel!$C$24*0.15,0)+IF(AND(Personnel!$E$25&gt;=2,Personnel!$E$25=37,Personnel!$G$25="Yes"),Personnel!$C$25*0.15,0)+IF(AND(Personnel!$E$26&gt;=2,Personnel!$E$26=37,Personnel!$G$26="Yes"),Personnel!$C$26*0.15,0)+IF(AND(Personnel!$E$27&gt;=2,Personnel!$E$27=37,Personnel!$G$27="Yes"),Personnel!$C$27*0.15,0)+IF(AND(Personnel!$E$28&gt;=2,Personnel!$E$28=37,Personnel!$G$28="Yes"),Personnel!$C$28*0.15,0)+IF(AND(Personnel!$E$29&gt;=2,Personnel!$E$29=37,Personnel!$G$29="Yes"),Personnel!$C$29*0.15,0)+IF(AND(Personnel!$E$30&gt;=2,Personnel!$E$30=37,Personnel!$G$30="Yes"),Personnel!$C$30*0.15,0)+IF(AND(Personnel!$E$31&gt;=2,Personnel!$E$31=37,Personnel!$G$31="Yes"),Personnel!$C$31*0.15,0)+IF(AND(Personnel!$E$32&gt;=2,Personnel!$E$32=37,Personnel!$G$32="Yes"),Personnel!$C$32*0.15,0)+IF(AND(Personnel!$E$33&gt;=2,Personnel!$E$33=37,Personnel!$G$33="Yes"),Personnel!$C$33*0.15,0)),Actuals!AP41)</f>
        <v>-0</v>
      </c>
      <c r="AP131" s="14" t="n">
        <f aca="false">IF(ISBLANK(Actuals!AQ41),-(IF(AND(Personnel!$E$2&gt;=2,Personnel!$E$2=38,Personnel!$G$2="Yes"),Personnel!$C$2*0.15,0)+IF(AND(Personnel!$E$3&gt;=2,Personnel!$E$3=38,Personnel!$G$3="Yes"),Personnel!$C$3*0.15,0)+IF(AND(Personnel!$E$4&gt;=2,Personnel!$E$4=38,Personnel!$G$4="Yes"),Personnel!$C$4*0.15,0)+IF(AND(Personnel!$E$5&gt;=2,Personnel!$E$5=38,Personnel!$G$5="Yes"),Personnel!$C$5*0.15,0)+IF(AND(Personnel!$E$6&gt;=2,Personnel!$E$6=38,Personnel!$G$6="Yes"),Personnel!$C$6*0.15,0)+IF(AND(Personnel!$E$7&gt;=2,Personnel!$E$7=38,Personnel!$G$7="Yes"),Personnel!$C$7*0.15,0)+IF(AND(Personnel!$E$8&gt;=2,Personnel!$E$8=38,Personnel!$G$8="Yes"),Personnel!$C$8*0.15,0)+IF(AND(Personnel!$E$9&gt;=2,Personnel!$E$9=38,Personnel!$G$9="Yes"),Personnel!$C$9*0.15,0)+IF(AND(Personnel!$E$10&gt;=2,Personnel!$E$10=38,Personnel!$G$10="Yes"),Personnel!$C$10*0.15,0)+IF(AND(Personnel!$E$11&gt;=2,Personnel!$E$11=38,Personnel!$G$11="Yes"),Personnel!$C$11*0.15,0)+IF(AND(Personnel!$E$12&gt;=2,Personnel!$E$12=38,Personnel!$G$12="Yes"),Personnel!$C$12*0.15,0)+IF(AND(Personnel!$E$13&gt;=2,Personnel!$E$13=38,Personnel!$G$13="Yes"),Personnel!$C$13*0.15,0)+IF(AND(Personnel!$E$14&gt;=2,Personnel!$E$14=38,Personnel!$G$14="Yes"),Personnel!$C$14*0.15,0)+IF(AND(Personnel!$E$15&gt;=2,Personnel!$E$15=38,Personnel!$G$15="Yes"),Personnel!$C$15*0.15,0)+IF(AND(Personnel!$E$16&gt;=2,Personnel!$E$16=38,Personnel!$G$16="Yes"),Personnel!$C$16*0.15,0)+IF(AND(Personnel!$E$17&gt;=2,Personnel!$E$17=38,Personnel!$G$17="Yes"),Personnel!$C$17*0.15,0)+IF(AND(Personnel!$E$18&gt;=2,Personnel!$E$18=38,Personnel!$G$18="Yes"),Personnel!$C$18*0.15,0)+IF(AND(Personnel!$E$19&gt;=2,Personnel!$E$19=38,Personnel!$G$19="Yes"),Personnel!$C$19*0.15,0)+IF(AND(Personnel!$E$20&gt;=2,Personnel!$E$20=38,Personnel!$G$20="Yes"),Personnel!$C$20*0.15,0)+IF(AND(Personnel!$E$21&gt;=2,Personnel!$E$21=38,Personnel!$G$21="Yes"),Personnel!$C$21*0.15,0)+IF(AND(Personnel!$E$22&gt;=2,Personnel!$E$22=38,Personnel!$G$22="Yes"),Personnel!$C$22*0.15,0)+IF(AND(Personnel!$E$23&gt;=2,Personnel!$E$23=38,Personnel!$G$23="Yes"),Personnel!$C$23*0.15,0)+IF(AND(Personnel!$E$24&gt;=2,Personnel!$E$24=38,Personnel!$G$24="Yes"),Personnel!$C$24*0.15,0)+IF(AND(Personnel!$E$25&gt;=2,Personnel!$E$25=38,Personnel!$G$25="Yes"),Personnel!$C$25*0.15,0)+IF(AND(Personnel!$E$26&gt;=2,Personnel!$E$26=38,Personnel!$G$26="Yes"),Personnel!$C$26*0.15,0)+IF(AND(Personnel!$E$27&gt;=2,Personnel!$E$27=38,Personnel!$G$27="Yes"),Personnel!$C$27*0.15,0)+IF(AND(Personnel!$E$28&gt;=2,Personnel!$E$28=38,Personnel!$G$28="Yes"),Personnel!$C$28*0.15,0)+IF(AND(Personnel!$E$29&gt;=2,Personnel!$E$29=38,Personnel!$G$29="Yes"),Personnel!$C$29*0.15,0)+IF(AND(Personnel!$E$30&gt;=2,Personnel!$E$30=38,Personnel!$G$30="Yes"),Personnel!$C$30*0.15,0)+IF(AND(Personnel!$E$31&gt;=2,Personnel!$E$31=38,Personnel!$G$31="Yes"),Personnel!$C$31*0.15,0)+IF(AND(Personnel!$E$32&gt;=2,Personnel!$E$32=38,Personnel!$G$32="Yes"),Personnel!$C$32*0.15,0)+IF(AND(Personnel!$E$33&gt;=2,Personnel!$E$33=38,Personnel!$G$33="Yes"),Personnel!$C$33*0.15,0)),Actuals!AQ41)</f>
        <v>-0</v>
      </c>
      <c r="AQ131" s="14" t="n">
        <f aca="false">IF(ISBLANK(Actuals!AR41),-(IF(AND(Personnel!$E$2&gt;=2,Personnel!$E$2=39,Personnel!$G$2="Yes"),Personnel!$C$2*0.15,0)+IF(AND(Personnel!$E$3&gt;=2,Personnel!$E$3=39,Personnel!$G$3="Yes"),Personnel!$C$3*0.15,0)+IF(AND(Personnel!$E$4&gt;=2,Personnel!$E$4=39,Personnel!$G$4="Yes"),Personnel!$C$4*0.15,0)+IF(AND(Personnel!$E$5&gt;=2,Personnel!$E$5=39,Personnel!$G$5="Yes"),Personnel!$C$5*0.15,0)+IF(AND(Personnel!$E$6&gt;=2,Personnel!$E$6=39,Personnel!$G$6="Yes"),Personnel!$C$6*0.15,0)+IF(AND(Personnel!$E$7&gt;=2,Personnel!$E$7=39,Personnel!$G$7="Yes"),Personnel!$C$7*0.15,0)+IF(AND(Personnel!$E$8&gt;=2,Personnel!$E$8=39,Personnel!$G$8="Yes"),Personnel!$C$8*0.15,0)+IF(AND(Personnel!$E$9&gt;=2,Personnel!$E$9=39,Personnel!$G$9="Yes"),Personnel!$C$9*0.15,0)+IF(AND(Personnel!$E$10&gt;=2,Personnel!$E$10=39,Personnel!$G$10="Yes"),Personnel!$C$10*0.15,0)+IF(AND(Personnel!$E$11&gt;=2,Personnel!$E$11=39,Personnel!$G$11="Yes"),Personnel!$C$11*0.15,0)+IF(AND(Personnel!$E$12&gt;=2,Personnel!$E$12=39,Personnel!$G$12="Yes"),Personnel!$C$12*0.15,0)+IF(AND(Personnel!$E$13&gt;=2,Personnel!$E$13=39,Personnel!$G$13="Yes"),Personnel!$C$13*0.15,0)+IF(AND(Personnel!$E$14&gt;=2,Personnel!$E$14=39,Personnel!$G$14="Yes"),Personnel!$C$14*0.15,0)+IF(AND(Personnel!$E$15&gt;=2,Personnel!$E$15=39,Personnel!$G$15="Yes"),Personnel!$C$15*0.15,0)+IF(AND(Personnel!$E$16&gt;=2,Personnel!$E$16=39,Personnel!$G$16="Yes"),Personnel!$C$16*0.15,0)+IF(AND(Personnel!$E$17&gt;=2,Personnel!$E$17=39,Personnel!$G$17="Yes"),Personnel!$C$17*0.15,0)+IF(AND(Personnel!$E$18&gt;=2,Personnel!$E$18=39,Personnel!$G$18="Yes"),Personnel!$C$18*0.15,0)+IF(AND(Personnel!$E$19&gt;=2,Personnel!$E$19=39,Personnel!$G$19="Yes"),Personnel!$C$19*0.15,0)+IF(AND(Personnel!$E$20&gt;=2,Personnel!$E$20=39,Personnel!$G$20="Yes"),Personnel!$C$20*0.15,0)+IF(AND(Personnel!$E$21&gt;=2,Personnel!$E$21=39,Personnel!$G$21="Yes"),Personnel!$C$21*0.15,0)+IF(AND(Personnel!$E$22&gt;=2,Personnel!$E$22=39,Personnel!$G$22="Yes"),Personnel!$C$22*0.15,0)+IF(AND(Personnel!$E$23&gt;=2,Personnel!$E$23=39,Personnel!$G$23="Yes"),Personnel!$C$23*0.15,0)+IF(AND(Personnel!$E$24&gt;=2,Personnel!$E$24=39,Personnel!$G$24="Yes"),Personnel!$C$24*0.15,0)+IF(AND(Personnel!$E$25&gt;=2,Personnel!$E$25=39,Personnel!$G$25="Yes"),Personnel!$C$25*0.15,0)+IF(AND(Personnel!$E$26&gt;=2,Personnel!$E$26=39,Personnel!$G$26="Yes"),Personnel!$C$26*0.15,0)+IF(AND(Personnel!$E$27&gt;=2,Personnel!$E$27=39,Personnel!$G$27="Yes"),Personnel!$C$27*0.15,0)+IF(AND(Personnel!$E$28&gt;=2,Personnel!$E$28=39,Personnel!$G$28="Yes"),Personnel!$C$28*0.15,0)+IF(AND(Personnel!$E$29&gt;=2,Personnel!$E$29=39,Personnel!$G$29="Yes"),Personnel!$C$29*0.15,0)+IF(AND(Personnel!$E$30&gt;=2,Personnel!$E$30=39,Personnel!$G$30="Yes"),Personnel!$C$30*0.15,0)+IF(AND(Personnel!$E$31&gt;=2,Personnel!$E$31=39,Personnel!$G$31="Yes"),Personnel!$C$31*0.15,0)+IF(AND(Personnel!$E$32&gt;=2,Personnel!$E$32=39,Personnel!$G$32="Yes"),Personnel!$C$32*0.15,0)+IF(AND(Personnel!$E$33&gt;=2,Personnel!$E$33=39,Personnel!$G$33="Yes"),Personnel!$C$33*0.15,0)),Actuals!AR41)</f>
        <v>-0</v>
      </c>
      <c r="AR131" s="14" t="n">
        <f aca="false">IF(ISBLANK(Actuals!AS41),-(IF(AND(Personnel!$E$2&gt;=2,Personnel!$E$2=40,Personnel!$G$2="Yes"),Personnel!$C$2*0.15,0)+IF(AND(Personnel!$E$3&gt;=2,Personnel!$E$3=40,Personnel!$G$3="Yes"),Personnel!$C$3*0.15,0)+IF(AND(Personnel!$E$4&gt;=2,Personnel!$E$4=40,Personnel!$G$4="Yes"),Personnel!$C$4*0.15,0)+IF(AND(Personnel!$E$5&gt;=2,Personnel!$E$5=40,Personnel!$G$5="Yes"),Personnel!$C$5*0.15,0)+IF(AND(Personnel!$E$6&gt;=2,Personnel!$E$6=40,Personnel!$G$6="Yes"),Personnel!$C$6*0.15,0)+IF(AND(Personnel!$E$7&gt;=2,Personnel!$E$7=40,Personnel!$G$7="Yes"),Personnel!$C$7*0.15,0)+IF(AND(Personnel!$E$8&gt;=2,Personnel!$E$8=40,Personnel!$G$8="Yes"),Personnel!$C$8*0.15,0)+IF(AND(Personnel!$E$9&gt;=2,Personnel!$E$9=40,Personnel!$G$9="Yes"),Personnel!$C$9*0.15,0)+IF(AND(Personnel!$E$10&gt;=2,Personnel!$E$10=40,Personnel!$G$10="Yes"),Personnel!$C$10*0.15,0)+IF(AND(Personnel!$E$11&gt;=2,Personnel!$E$11=40,Personnel!$G$11="Yes"),Personnel!$C$11*0.15,0)+IF(AND(Personnel!$E$12&gt;=2,Personnel!$E$12=40,Personnel!$G$12="Yes"),Personnel!$C$12*0.15,0)+IF(AND(Personnel!$E$13&gt;=2,Personnel!$E$13=40,Personnel!$G$13="Yes"),Personnel!$C$13*0.15,0)+IF(AND(Personnel!$E$14&gt;=2,Personnel!$E$14=40,Personnel!$G$14="Yes"),Personnel!$C$14*0.15,0)+IF(AND(Personnel!$E$15&gt;=2,Personnel!$E$15=40,Personnel!$G$15="Yes"),Personnel!$C$15*0.15,0)+IF(AND(Personnel!$E$16&gt;=2,Personnel!$E$16=40,Personnel!$G$16="Yes"),Personnel!$C$16*0.15,0)+IF(AND(Personnel!$E$17&gt;=2,Personnel!$E$17=40,Personnel!$G$17="Yes"),Personnel!$C$17*0.15,0)+IF(AND(Personnel!$E$18&gt;=2,Personnel!$E$18=40,Personnel!$G$18="Yes"),Personnel!$C$18*0.15,0)+IF(AND(Personnel!$E$19&gt;=2,Personnel!$E$19=40,Personnel!$G$19="Yes"),Personnel!$C$19*0.15,0)+IF(AND(Personnel!$E$20&gt;=2,Personnel!$E$20=40,Personnel!$G$20="Yes"),Personnel!$C$20*0.15,0)+IF(AND(Personnel!$E$21&gt;=2,Personnel!$E$21=40,Personnel!$G$21="Yes"),Personnel!$C$21*0.15,0)+IF(AND(Personnel!$E$22&gt;=2,Personnel!$E$22=40,Personnel!$G$22="Yes"),Personnel!$C$22*0.15,0)+IF(AND(Personnel!$E$23&gt;=2,Personnel!$E$23=40,Personnel!$G$23="Yes"),Personnel!$C$23*0.15,0)+IF(AND(Personnel!$E$24&gt;=2,Personnel!$E$24=40,Personnel!$G$24="Yes"),Personnel!$C$24*0.15,0)+IF(AND(Personnel!$E$25&gt;=2,Personnel!$E$25=40,Personnel!$G$25="Yes"),Personnel!$C$25*0.15,0)+IF(AND(Personnel!$E$26&gt;=2,Personnel!$E$26=40,Personnel!$G$26="Yes"),Personnel!$C$26*0.15,0)+IF(AND(Personnel!$E$27&gt;=2,Personnel!$E$27=40,Personnel!$G$27="Yes"),Personnel!$C$27*0.15,0)+IF(AND(Personnel!$E$28&gt;=2,Personnel!$E$28=40,Personnel!$G$28="Yes"),Personnel!$C$28*0.15,0)+IF(AND(Personnel!$E$29&gt;=2,Personnel!$E$29=40,Personnel!$G$29="Yes"),Personnel!$C$29*0.15,0)+IF(AND(Personnel!$E$30&gt;=2,Personnel!$E$30=40,Personnel!$G$30="Yes"),Personnel!$C$30*0.15,0)+IF(AND(Personnel!$E$31&gt;=2,Personnel!$E$31=40,Personnel!$G$31="Yes"),Personnel!$C$31*0.15,0)+IF(AND(Personnel!$E$32&gt;=2,Personnel!$E$32=40,Personnel!$G$32="Yes"),Personnel!$C$32*0.15,0)+IF(AND(Personnel!$E$33&gt;=2,Personnel!$E$33=40,Personnel!$G$33="Yes"),Personnel!$C$33*0.15,0)),Actuals!AS41)</f>
        <v>-0</v>
      </c>
      <c r="AS131" s="14" t="n">
        <f aca="false">IF(ISBLANK(Actuals!AT41),-(IF(AND(Personnel!$E$2&gt;=2,Personnel!$E$2=41,Personnel!$G$2="Yes"),Personnel!$C$2*0.15,0)+IF(AND(Personnel!$E$3&gt;=2,Personnel!$E$3=41,Personnel!$G$3="Yes"),Personnel!$C$3*0.15,0)+IF(AND(Personnel!$E$4&gt;=2,Personnel!$E$4=41,Personnel!$G$4="Yes"),Personnel!$C$4*0.15,0)+IF(AND(Personnel!$E$5&gt;=2,Personnel!$E$5=41,Personnel!$G$5="Yes"),Personnel!$C$5*0.15,0)+IF(AND(Personnel!$E$6&gt;=2,Personnel!$E$6=41,Personnel!$G$6="Yes"),Personnel!$C$6*0.15,0)+IF(AND(Personnel!$E$7&gt;=2,Personnel!$E$7=41,Personnel!$G$7="Yes"),Personnel!$C$7*0.15,0)+IF(AND(Personnel!$E$8&gt;=2,Personnel!$E$8=41,Personnel!$G$8="Yes"),Personnel!$C$8*0.15,0)+IF(AND(Personnel!$E$9&gt;=2,Personnel!$E$9=41,Personnel!$G$9="Yes"),Personnel!$C$9*0.15,0)+IF(AND(Personnel!$E$10&gt;=2,Personnel!$E$10=41,Personnel!$G$10="Yes"),Personnel!$C$10*0.15,0)+IF(AND(Personnel!$E$11&gt;=2,Personnel!$E$11=41,Personnel!$G$11="Yes"),Personnel!$C$11*0.15,0)+IF(AND(Personnel!$E$12&gt;=2,Personnel!$E$12=41,Personnel!$G$12="Yes"),Personnel!$C$12*0.15,0)+IF(AND(Personnel!$E$13&gt;=2,Personnel!$E$13=41,Personnel!$G$13="Yes"),Personnel!$C$13*0.15,0)+IF(AND(Personnel!$E$14&gt;=2,Personnel!$E$14=41,Personnel!$G$14="Yes"),Personnel!$C$14*0.15,0)+IF(AND(Personnel!$E$15&gt;=2,Personnel!$E$15=41,Personnel!$G$15="Yes"),Personnel!$C$15*0.15,0)+IF(AND(Personnel!$E$16&gt;=2,Personnel!$E$16=41,Personnel!$G$16="Yes"),Personnel!$C$16*0.15,0)+IF(AND(Personnel!$E$17&gt;=2,Personnel!$E$17=41,Personnel!$G$17="Yes"),Personnel!$C$17*0.15,0)+IF(AND(Personnel!$E$18&gt;=2,Personnel!$E$18=41,Personnel!$G$18="Yes"),Personnel!$C$18*0.15,0)+IF(AND(Personnel!$E$19&gt;=2,Personnel!$E$19=41,Personnel!$G$19="Yes"),Personnel!$C$19*0.15,0)+IF(AND(Personnel!$E$20&gt;=2,Personnel!$E$20=41,Personnel!$G$20="Yes"),Personnel!$C$20*0.15,0)+IF(AND(Personnel!$E$21&gt;=2,Personnel!$E$21=41,Personnel!$G$21="Yes"),Personnel!$C$21*0.15,0)+IF(AND(Personnel!$E$22&gt;=2,Personnel!$E$22=41,Personnel!$G$22="Yes"),Personnel!$C$22*0.15,0)+IF(AND(Personnel!$E$23&gt;=2,Personnel!$E$23=41,Personnel!$G$23="Yes"),Personnel!$C$23*0.15,0)+IF(AND(Personnel!$E$24&gt;=2,Personnel!$E$24=41,Personnel!$G$24="Yes"),Personnel!$C$24*0.15,0)+IF(AND(Personnel!$E$25&gt;=2,Personnel!$E$25=41,Personnel!$G$25="Yes"),Personnel!$C$25*0.15,0)+IF(AND(Personnel!$E$26&gt;=2,Personnel!$E$26=41,Personnel!$G$26="Yes"),Personnel!$C$26*0.15,0)+IF(AND(Personnel!$E$27&gt;=2,Personnel!$E$27=41,Personnel!$G$27="Yes"),Personnel!$C$27*0.15,0)+IF(AND(Personnel!$E$28&gt;=2,Personnel!$E$28=41,Personnel!$G$28="Yes"),Personnel!$C$28*0.15,0)+IF(AND(Personnel!$E$29&gt;=2,Personnel!$E$29=41,Personnel!$G$29="Yes"),Personnel!$C$29*0.15,0)+IF(AND(Personnel!$E$30&gt;=2,Personnel!$E$30=41,Personnel!$G$30="Yes"),Personnel!$C$30*0.15,0)+IF(AND(Personnel!$E$31&gt;=2,Personnel!$E$31=41,Personnel!$G$31="Yes"),Personnel!$C$31*0.15,0)+IF(AND(Personnel!$E$32&gt;=2,Personnel!$E$32=41,Personnel!$G$32="Yes"),Personnel!$C$32*0.15,0)+IF(AND(Personnel!$E$33&gt;=2,Personnel!$E$33=41,Personnel!$G$33="Yes"),Personnel!$C$33*0.15,0)),Actuals!AT41)</f>
        <v>-0</v>
      </c>
      <c r="AT131" s="14" t="n">
        <f aca="false">IF(ISBLANK(Actuals!AU41),-(IF(AND(Personnel!$E$2&gt;=2,Personnel!$E$2=42,Personnel!$G$2="Yes"),Personnel!$C$2*0.15,0)+IF(AND(Personnel!$E$3&gt;=2,Personnel!$E$3=42,Personnel!$G$3="Yes"),Personnel!$C$3*0.15,0)+IF(AND(Personnel!$E$4&gt;=2,Personnel!$E$4=42,Personnel!$G$4="Yes"),Personnel!$C$4*0.15,0)+IF(AND(Personnel!$E$5&gt;=2,Personnel!$E$5=42,Personnel!$G$5="Yes"),Personnel!$C$5*0.15,0)+IF(AND(Personnel!$E$6&gt;=2,Personnel!$E$6=42,Personnel!$G$6="Yes"),Personnel!$C$6*0.15,0)+IF(AND(Personnel!$E$7&gt;=2,Personnel!$E$7=42,Personnel!$G$7="Yes"),Personnel!$C$7*0.15,0)+IF(AND(Personnel!$E$8&gt;=2,Personnel!$E$8=42,Personnel!$G$8="Yes"),Personnel!$C$8*0.15,0)+IF(AND(Personnel!$E$9&gt;=2,Personnel!$E$9=42,Personnel!$G$9="Yes"),Personnel!$C$9*0.15,0)+IF(AND(Personnel!$E$10&gt;=2,Personnel!$E$10=42,Personnel!$G$10="Yes"),Personnel!$C$10*0.15,0)+IF(AND(Personnel!$E$11&gt;=2,Personnel!$E$11=42,Personnel!$G$11="Yes"),Personnel!$C$11*0.15,0)+IF(AND(Personnel!$E$12&gt;=2,Personnel!$E$12=42,Personnel!$G$12="Yes"),Personnel!$C$12*0.15,0)+IF(AND(Personnel!$E$13&gt;=2,Personnel!$E$13=42,Personnel!$G$13="Yes"),Personnel!$C$13*0.15,0)+IF(AND(Personnel!$E$14&gt;=2,Personnel!$E$14=42,Personnel!$G$14="Yes"),Personnel!$C$14*0.15,0)+IF(AND(Personnel!$E$15&gt;=2,Personnel!$E$15=42,Personnel!$G$15="Yes"),Personnel!$C$15*0.15,0)+IF(AND(Personnel!$E$16&gt;=2,Personnel!$E$16=42,Personnel!$G$16="Yes"),Personnel!$C$16*0.15,0)+IF(AND(Personnel!$E$17&gt;=2,Personnel!$E$17=42,Personnel!$G$17="Yes"),Personnel!$C$17*0.15,0)+IF(AND(Personnel!$E$18&gt;=2,Personnel!$E$18=42,Personnel!$G$18="Yes"),Personnel!$C$18*0.15,0)+IF(AND(Personnel!$E$19&gt;=2,Personnel!$E$19=42,Personnel!$G$19="Yes"),Personnel!$C$19*0.15,0)+IF(AND(Personnel!$E$20&gt;=2,Personnel!$E$20=42,Personnel!$G$20="Yes"),Personnel!$C$20*0.15,0)+IF(AND(Personnel!$E$21&gt;=2,Personnel!$E$21=42,Personnel!$G$21="Yes"),Personnel!$C$21*0.15,0)+IF(AND(Personnel!$E$22&gt;=2,Personnel!$E$22=42,Personnel!$G$22="Yes"),Personnel!$C$22*0.15,0)+IF(AND(Personnel!$E$23&gt;=2,Personnel!$E$23=42,Personnel!$G$23="Yes"),Personnel!$C$23*0.15,0)+IF(AND(Personnel!$E$24&gt;=2,Personnel!$E$24=42,Personnel!$G$24="Yes"),Personnel!$C$24*0.15,0)+IF(AND(Personnel!$E$25&gt;=2,Personnel!$E$25=42,Personnel!$G$25="Yes"),Personnel!$C$25*0.15,0)+IF(AND(Personnel!$E$26&gt;=2,Personnel!$E$26=42,Personnel!$G$26="Yes"),Personnel!$C$26*0.15,0)+IF(AND(Personnel!$E$27&gt;=2,Personnel!$E$27=42,Personnel!$G$27="Yes"),Personnel!$C$27*0.15,0)+IF(AND(Personnel!$E$28&gt;=2,Personnel!$E$28=42,Personnel!$G$28="Yes"),Personnel!$C$28*0.15,0)+IF(AND(Personnel!$E$29&gt;=2,Personnel!$E$29=42,Personnel!$G$29="Yes"),Personnel!$C$29*0.15,0)+IF(AND(Personnel!$E$30&gt;=2,Personnel!$E$30=42,Personnel!$G$30="Yes"),Personnel!$C$30*0.15,0)+IF(AND(Personnel!$E$31&gt;=2,Personnel!$E$31=42,Personnel!$G$31="Yes"),Personnel!$C$31*0.15,0)+IF(AND(Personnel!$E$32&gt;=2,Personnel!$E$32=42,Personnel!$G$32="Yes"),Personnel!$C$32*0.15,0)+IF(AND(Personnel!$E$33&gt;=2,Personnel!$E$33=42,Personnel!$G$33="Yes"),Personnel!$C$33*0.15,0)),Actuals!AU41)</f>
        <v>-0</v>
      </c>
      <c r="AU131" s="14" t="n">
        <f aca="false">IF(ISBLANK(Actuals!AV41),-(IF(AND(Personnel!$E$2&gt;=2,Personnel!$E$2=43,Personnel!$G$2="Yes"),Personnel!$C$2*0.15,0)+IF(AND(Personnel!$E$3&gt;=2,Personnel!$E$3=43,Personnel!$G$3="Yes"),Personnel!$C$3*0.15,0)+IF(AND(Personnel!$E$4&gt;=2,Personnel!$E$4=43,Personnel!$G$4="Yes"),Personnel!$C$4*0.15,0)+IF(AND(Personnel!$E$5&gt;=2,Personnel!$E$5=43,Personnel!$G$5="Yes"),Personnel!$C$5*0.15,0)+IF(AND(Personnel!$E$6&gt;=2,Personnel!$E$6=43,Personnel!$G$6="Yes"),Personnel!$C$6*0.15,0)+IF(AND(Personnel!$E$7&gt;=2,Personnel!$E$7=43,Personnel!$G$7="Yes"),Personnel!$C$7*0.15,0)+IF(AND(Personnel!$E$8&gt;=2,Personnel!$E$8=43,Personnel!$G$8="Yes"),Personnel!$C$8*0.15,0)+IF(AND(Personnel!$E$9&gt;=2,Personnel!$E$9=43,Personnel!$G$9="Yes"),Personnel!$C$9*0.15,0)+IF(AND(Personnel!$E$10&gt;=2,Personnel!$E$10=43,Personnel!$G$10="Yes"),Personnel!$C$10*0.15,0)+IF(AND(Personnel!$E$11&gt;=2,Personnel!$E$11=43,Personnel!$G$11="Yes"),Personnel!$C$11*0.15,0)+IF(AND(Personnel!$E$12&gt;=2,Personnel!$E$12=43,Personnel!$G$12="Yes"),Personnel!$C$12*0.15,0)+IF(AND(Personnel!$E$13&gt;=2,Personnel!$E$13=43,Personnel!$G$13="Yes"),Personnel!$C$13*0.15,0)+IF(AND(Personnel!$E$14&gt;=2,Personnel!$E$14=43,Personnel!$G$14="Yes"),Personnel!$C$14*0.15,0)+IF(AND(Personnel!$E$15&gt;=2,Personnel!$E$15=43,Personnel!$G$15="Yes"),Personnel!$C$15*0.15,0)+IF(AND(Personnel!$E$16&gt;=2,Personnel!$E$16=43,Personnel!$G$16="Yes"),Personnel!$C$16*0.15,0)+IF(AND(Personnel!$E$17&gt;=2,Personnel!$E$17=43,Personnel!$G$17="Yes"),Personnel!$C$17*0.15,0)+IF(AND(Personnel!$E$18&gt;=2,Personnel!$E$18=43,Personnel!$G$18="Yes"),Personnel!$C$18*0.15,0)+IF(AND(Personnel!$E$19&gt;=2,Personnel!$E$19=43,Personnel!$G$19="Yes"),Personnel!$C$19*0.15,0)+IF(AND(Personnel!$E$20&gt;=2,Personnel!$E$20=43,Personnel!$G$20="Yes"),Personnel!$C$20*0.15,0)+IF(AND(Personnel!$E$21&gt;=2,Personnel!$E$21=43,Personnel!$G$21="Yes"),Personnel!$C$21*0.15,0)+IF(AND(Personnel!$E$22&gt;=2,Personnel!$E$22=43,Personnel!$G$22="Yes"),Personnel!$C$22*0.15,0)+IF(AND(Personnel!$E$23&gt;=2,Personnel!$E$23=43,Personnel!$G$23="Yes"),Personnel!$C$23*0.15,0)+IF(AND(Personnel!$E$24&gt;=2,Personnel!$E$24=43,Personnel!$G$24="Yes"),Personnel!$C$24*0.15,0)+IF(AND(Personnel!$E$25&gt;=2,Personnel!$E$25=43,Personnel!$G$25="Yes"),Personnel!$C$25*0.15,0)+IF(AND(Personnel!$E$26&gt;=2,Personnel!$E$26=43,Personnel!$G$26="Yes"),Personnel!$C$26*0.15,0)+IF(AND(Personnel!$E$27&gt;=2,Personnel!$E$27=43,Personnel!$G$27="Yes"),Personnel!$C$27*0.15,0)+IF(AND(Personnel!$E$28&gt;=2,Personnel!$E$28=43,Personnel!$G$28="Yes"),Personnel!$C$28*0.15,0)+IF(AND(Personnel!$E$29&gt;=2,Personnel!$E$29=43,Personnel!$G$29="Yes"),Personnel!$C$29*0.15,0)+IF(AND(Personnel!$E$30&gt;=2,Personnel!$E$30=43,Personnel!$G$30="Yes"),Personnel!$C$30*0.15,0)+IF(AND(Personnel!$E$31&gt;=2,Personnel!$E$31=43,Personnel!$G$31="Yes"),Personnel!$C$31*0.15,0)+IF(AND(Personnel!$E$32&gt;=2,Personnel!$E$32=43,Personnel!$G$32="Yes"),Personnel!$C$32*0.15,0)+IF(AND(Personnel!$E$33&gt;=2,Personnel!$E$33=43,Personnel!$G$33="Yes"),Personnel!$C$33*0.15,0)),Actuals!AV41)</f>
        <v>-0</v>
      </c>
      <c r="AV131" s="14" t="n">
        <f aca="false">IF(ISBLANK(Actuals!AW41),-(IF(AND(Personnel!$E$2&gt;=2,Personnel!$E$2=44,Personnel!$G$2="Yes"),Personnel!$C$2*0.15,0)+IF(AND(Personnel!$E$3&gt;=2,Personnel!$E$3=44,Personnel!$G$3="Yes"),Personnel!$C$3*0.15,0)+IF(AND(Personnel!$E$4&gt;=2,Personnel!$E$4=44,Personnel!$G$4="Yes"),Personnel!$C$4*0.15,0)+IF(AND(Personnel!$E$5&gt;=2,Personnel!$E$5=44,Personnel!$G$5="Yes"),Personnel!$C$5*0.15,0)+IF(AND(Personnel!$E$6&gt;=2,Personnel!$E$6=44,Personnel!$G$6="Yes"),Personnel!$C$6*0.15,0)+IF(AND(Personnel!$E$7&gt;=2,Personnel!$E$7=44,Personnel!$G$7="Yes"),Personnel!$C$7*0.15,0)+IF(AND(Personnel!$E$8&gt;=2,Personnel!$E$8=44,Personnel!$G$8="Yes"),Personnel!$C$8*0.15,0)+IF(AND(Personnel!$E$9&gt;=2,Personnel!$E$9=44,Personnel!$G$9="Yes"),Personnel!$C$9*0.15,0)+IF(AND(Personnel!$E$10&gt;=2,Personnel!$E$10=44,Personnel!$G$10="Yes"),Personnel!$C$10*0.15,0)+IF(AND(Personnel!$E$11&gt;=2,Personnel!$E$11=44,Personnel!$G$11="Yes"),Personnel!$C$11*0.15,0)+IF(AND(Personnel!$E$12&gt;=2,Personnel!$E$12=44,Personnel!$G$12="Yes"),Personnel!$C$12*0.15,0)+IF(AND(Personnel!$E$13&gt;=2,Personnel!$E$13=44,Personnel!$G$13="Yes"),Personnel!$C$13*0.15,0)+IF(AND(Personnel!$E$14&gt;=2,Personnel!$E$14=44,Personnel!$G$14="Yes"),Personnel!$C$14*0.15,0)+IF(AND(Personnel!$E$15&gt;=2,Personnel!$E$15=44,Personnel!$G$15="Yes"),Personnel!$C$15*0.15,0)+IF(AND(Personnel!$E$16&gt;=2,Personnel!$E$16=44,Personnel!$G$16="Yes"),Personnel!$C$16*0.15,0)+IF(AND(Personnel!$E$17&gt;=2,Personnel!$E$17=44,Personnel!$G$17="Yes"),Personnel!$C$17*0.15,0)+IF(AND(Personnel!$E$18&gt;=2,Personnel!$E$18=44,Personnel!$G$18="Yes"),Personnel!$C$18*0.15,0)+IF(AND(Personnel!$E$19&gt;=2,Personnel!$E$19=44,Personnel!$G$19="Yes"),Personnel!$C$19*0.15,0)+IF(AND(Personnel!$E$20&gt;=2,Personnel!$E$20=44,Personnel!$G$20="Yes"),Personnel!$C$20*0.15,0)+IF(AND(Personnel!$E$21&gt;=2,Personnel!$E$21=44,Personnel!$G$21="Yes"),Personnel!$C$21*0.15,0)+IF(AND(Personnel!$E$22&gt;=2,Personnel!$E$22=44,Personnel!$G$22="Yes"),Personnel!$C$22*0.15,0)+IF(AND(Personnel!$E$23&gt;=2,Personnel!$E$23=44,Personnel!$G$23="Yes"),Personnel!$C$23*0.15,0)+IF(AND(Personnel!$E$24&gt;=2,Personnel!$E$24=44,Personnel!$G$24="Yes"),Personnel!$C$24*0.15,0)+IF(AND(Personnel!$E$25&gt;=2,Personnel!$E$25=44,Personnel!$G$25="Yes"),Personnel!$C$25*0.15,0)+IF(AND(Personnel!$E$26&gt;=2,Personnel!$E$26=44,Personnel!$G$26="Yes"),Personnel!$C$26*0.15,0)+IF(AND(Personnel!$E$27&gt;=2,Personnel!$E$27=44,Personnel!$G$27="Yes"),Personnel!$C$27*0.15,0)+IF(AND(Personnel!$E$28&gt;=2,Personnel!$E$28=44,Personnel!$G$28="Yes"),Personnel!$C$28*0.15,0)+IF(AND(Personnel!$E$29&gt;=2,Personnel!$E$29=44,Personnel!$G$29="Yes"),Personnel!$C$29*0.15,0)+IF(AND(Personnel!$E$30&gt;=2,Personnel!$E$30=44,Personnel!$G$30="Yes"),Personnel!$C$30*0.15,0)+IF(AND(Personnel!$E$31&gt;=2,Personnel!$E$31=44,Personnel!$G$31="Yes"),Personnel!$C$31*0.15,0)+IF(AND(Personnel!$E$32&gt;=2,Personnel!$E$32=44,Personnel!$G$32="Yes"),Personnel!$C$32*0.15,0)+IF(AND(Personnel!$E$33&gt;=2,Personnel!$E$33=44,Personnel!$G$33="Yes"),Personnel!$C$33*0.15,0)),Actuals!AW41)</f>
        <v>-0</v>
      </c>
      <c r="AW131" s="14" t="n">
        <f aca="false">IF(ISBLANK(Actuals!AX41),-(IF(AND(Personnel!$E$2&gt;=2,Personnel!$E$2=45,Personnel!$G$2="Yes"),Personnel!$C$2*0.15,0)+IF(AND(Personnel!$E$3&gt;=2,Personnel!$E$3=45,Personnel!$G$3="Yes"),Personnel!$C$3*0.15,0)+IF(AND(Personnel!$E$4&gt;=2,Personnel!$E$4=45,Personnel!$G$4="Yes"),Personnel!$C$4*0.15,0)+IF(AND(Personnel!$E$5&gt;=2,Personnel!$E$5=45,Personnel!$G$5="Yes"),Personnel!$C$5*0.15,0)+IF(AND(Personnel!$E$6&gt;=2,Personnel!$E$6=45,Personnel!$G$6="Yes"),Personnel!$C$6*0.15,0)+IF(AND(Personnel!$E$7&gt;=2,Personnel!$E$7=45,Personnel!$G$7="Yes"),Personnel!$C$7*0.15,0)+IF(AND(Personnel!$E$8&gt;=2,Personnel!$E$8=45,Personnel!$G$8="Yes"),Personnel!$C$8*0.15,0)+IF(AND(Personnel!$E$9&gt;=2,Personnel!$E$9=45,Personnel!$G$9="Yes"),Personnel!$C$9*0.15,0)+IF(AND(Personnel!$E$10&gt;=2,Personnel!$E$10=45,Personnel!$G$10="Yes"),Personnel!$C$10*0.15,0)+IF(AND(Personnel!$E$11&gt;=2,Personnel!$E$11=45,Personnel!$G$11="Yes"),Personnel!$C$11*0.15,0)+IF(AND(Personnel!$E$12&gt;=2,Personnel!$E$12=45,Personnel!$G$12="Yes"),Personnel!$C$12*0.15,0)+IF(AND(Personnel!$E$13&gt;=2,Personnel!$E$13=45,Personnel!$G$13="Yes"),Personnel!$C$13*0.15,0)+IF(AND(Personnel!$E$14&gt;=2,Personnel!$E$14=45,Personnel!$G$14="Yes"),Personnel!$C$14*0.15,0)+IF(AND(Personnel!$E$15&gt;=2,Personnel!$E$15=45,Personnel!$G$15="Yes"),Personnel!$C$15*0.15,0)+IF(AND(Personnel!$E$16&gt;=2,Personnel!$E$16=45,Personnel!$G$16="Yes"),Personnel!$C$16*0.15,0)+IF(AND(Personnel!$E$17&gt;=2,Personnel!$E$17=45,Personnel!$G$17="Yes"),Personnel!$C$17*0.15,0)+IF(AND(Personnel!$E$18&gt;=2,Personnel!$E$18=45,Personnel!$G$18="Yes"),Personnel!$C$18*0.15,0)+IF(AND(Personnel!$E$19&gt;=2,Personnel!$E$19=45,Personnel!$G$19="Yes"),Personnel!$C$19*0.15,0)+IF(AND(Personnel!$E$20&gt;=2,Personnel!$E$20=45,Personnel!$G$20="Yes"),Personnel!$C$20*0.15,0)+IF(AND(Personnel!$E$21&gt;=2,Personnel!$E$21=45,Personnel!$G$21="Yes"),Personnel!$C$21*0.15,0)+IF(AND(Personnel!$E$22&gt;=2,Personnel!$E$22=45,Personnel!$G$22="Yes"),Personnel!$C$22*0.15,0)+IF(AND(Personnel!$E$23&gt;=2,Personnel!$E$23=45,Personnel!$G$23="Yes"),Personnel!$C$23*0.15,0)+IF(AND(Personnel!$E$24&gt;=2,Personnel!$E$24=45,Personnel!$G$24="Yes"),Personnel!$C$24*0.15,0)+IF(AND(Personnel!$E$25&gt;=2,Personnel!$E$25=45,Personnel!$G$25="Yes"),Personnel!$C$25*0.15,0)+IF(AND(Personnel!$E$26&gt;=2,Personnel!$E$26=45,Personnel!$G$26="Yes"),Personnel!$C$26*0.15,0)+IF(AND(Personnel!$E$27&gt;=2,Personnel!$E$27=45,Personnel!$G$27="Yes"),Personnel!$C$27*0.15,0)+IF(AND(Personnel!$E$28&gt;=2,Personnel!$E$28=45,Personnel!$G$28="Yes"),Personnel!$C$28*0.15,0)+IF(AND(Personnel!$E$29&gt;=2,Personnel!$E$29=45,Personnel!$G$29="Yes"),Personnel!$C$29*0.15,0)+IF(AND(Personnel!$E$30&gt;=2,Personnel!$E$30=45,Personnel!$G$30="Yes"),Personnel!$C$30*0.15,0)+IF(AND(Personnel!$E$31&gt;=2,Personnel!$E$31=45,Personnel!$G$31="Yes"),Personnel!$C$31*0.15,0)+IF(AND(Personnel!$E$32&gt;=2,Personnel!$E$32=45,Personnel!$G$32="Yes"),Personnel!$C$32*0.15,0)+IF(AND(Personnel!$E$33&gt;=2,Personnel!$E$33=45,Personnel!$G$33="Yes"),Personnel!$C$33*0.15,0)),Actuals!AX41)</f>
        <v>-0</v>
      </c>
      <c r="AX131" s="14" t="n">
        <f aca="false">IF(ISBLANK(Actuals!AY41),-(IF(AND(Personnel!$E$2&gt;=2,Personnel!$E$2=46,Personnel!$G$2="Yes"),Personnel!$C$2*0.15,0)+IF(AND(Personnel!$E$3&gt;=2,Personnel!$E$3=46,Personnel!$G$3="Yes"),Personnel!$C$3*0.15,0)+IF(AND(Personnel!$E$4&gt;=2,Personnel!$E$4=46,Personnel!$G$4="Yes"),Personnel!$C$4*0.15,0)+IF(AND(Personnel!$E$5&gt;=2,Personnel!$E$5=46,Personnel!$G$5="Yes"),Personnel!$C$5*0.15,0)+IF(AND(Personnel!$E$6&gt;=2,Personnel!$E$6=46,Personnel!$G$6="Yes"),Personnel!$C$6*0.15,0)+IF(AND(Personnel!$E$7&gt;=2,Personnel!$E$7=46,Personnel!$G$7="Yes"),Personnel!$C$7*0.15,0)+IF(AND(Personnel!$E$8&gt;=2,Personnel!$E$8=46,Personnel!$G$8="Yes"),Personnel!$C$8*0.15,0)+IF(AND(Personnel!$E$9&gt;=2,Personnel!$E$9=46,Personnel!$G$9="Yes"),Personnel!$C$9*0.15,0)+IF(AND(Personnel!$E$10&gt;=2,Personnel!$E$10=46,Personnel!$G$10="Yes"),Personnel!$C$10*0.15,0)+IF(AND(Personnel!$E$11&gt;=2,Personnel!$E$11=46,Personnel!$G$11="Yes"),Personnel!$C$11*0.15,0)+IF(AND(Personnel!$E$12&gt;=2,Personnel!$E$12=46,Personnel!$G$12="Yes"),Personnel!$C$12*0.15,0)+IF(AND(Personnel!$E$13&gt;=2,Personnel!$E$13=46,Personnel!$G$13="Yes"),Personnel!$C$13*0.15,0)+IF(AND(Personnel!$E$14&gt;=2,Personnel!$E$14=46,Personnel!$G$14="Yes"),Personnel!$C$14*0.15,0)+IF(AND(Personnel!$E$15&gt;=2,Personnel!$E$15=46,Personnel!$G$15="Yes"),Personnel!$C$15*0.15,0)+IF(AND(Personnel!$E$16&gt;=2,Personnel!$E$16=46,Personnel!$G$16="Yes"),Personnel!$C$16*0.15,0)+IF(AND(Personnel!$E$17&gt;=2,Personnel!$E$17=46,Personnel!$G$17="Yes"),Personnel!$C$17*0.15,0)+IF(AND(Personnel!$E$18&gt;=2,Personnel!$E$18=46,Personnel!$G$18="Yes"),Personnel!$C$18*0.15,0)+IF(AND(Personnel!$E$19&gt;=2,Personnel!$E$19=46,Personnel!$G$19="Yes"),Personnel!$C$19*0.15,0)+IF(AND(Personnel!$E$20&gt;=2,Personnel!$E$20=46,Personnel!$G$20="Yes"),Personnel!$C$20*0.15,0)+IF(AND(Personnel!$E$21&gt;=2,Personnel!$E$21=46,Personnel!$G$21="Yes"),Personnel!$C$21*0.15,0)+IF(AND(Personnel!$E$22&gt;=2,Personnel!$E$22=46,Personnel!$G$22="Yes"),Personnel!$C$22*0.15,0)+IF(AND(Personnel!$E$23&gt;=2,Personnel!$E$23=46,Personnel!$G$23="Yes"),Personnel!$C$23*0.15,0)+IF(AND(Personnel!$E$24&gt;=2,Personnel!$E$24=46,Personnel!$G$24="Yes"),Personnel!$C$24*0.15,0)+IF(AND(Personnel!$E$25&gt;=2,Personnel!$E$25=46,Personnel!$G$25="Yes"),Personnel!$C$25*0.15,0)+IF(AND(Personnel!$E$26&gt;=2,Personnel!$E$26=46,Personnel!$G$26="Yes"),Personnel!$C$26*0.15,0)+IF(AND(Personnel!$E$27&gt;=2,Personnel!$E$27=46,Personnel!$G$27="Yes"),Personnel!$C$27*0.15,0)+IF(AND(Personnel!$E$28&gt;=2,Personnel!$E$28=46,Personnel!$G$28="Yes"),Personnel!$C$28*0.15,0)+IF(AND(Personnel!$E$29&gt;=2,Personnel!$E$29=46,Personnel!$G$29="Yes"),Personnel!$C$29*0.15,0)+IF(AND(Personnel!$E$30&gt;=2,Personnel!$E$30=46,Personnel!$G$30="Yes"),Personnel!$C$30*0.15,0)+IF(AND(Personnel!$E$31&gt;=2,Personnel!$E$31=46,Personnel!$G$31="Yes"),Personnel!$C$31*0.15,0)+IF(AND(Personnel!$E$32&gt;=2,Personnel!$E$32=46,Personnel!$G$32="Yes"),Personnel!$C$32*0.15,0)+IF(AND(Personnel!$E$33&gt;=2,Personnel!$E$33=46,Personnel!$G$33="Yes"),Personnel!$C$33*0.15,0)),Actuals!AY41)</f>
        <v>-0</v>
      </c>
      <c r="AY131" s="14" t="n">
        <f aca="false">IF(ISBLANK(Actuals!AZ41),-(IF(AND(Personnel!$E$2&gt;=2,Personnel!$E$2=47,Personnel!$G$2="Yes"),Personnel!$C$2*0.15,0)+IF(AND(Personnel!$E$3&gt;=2,Personnel!$E$3=47,Personnel!$G$3="Yes"),Personnel!$C$3*0.15,0)+IF(AND(Personnel!$E$4&gt;=2,Personnel!$E$4=47,Personnel!$G$4="Yes"),Personnel!$C$4*0.15,0)+IF(AND(Personnel!$E$5&gt;=2,Personnel!$E$5=47,Personnel!$G$5="Yes"),Personnel!$C$5*0.15,0)+IF(AND(Personnel!$E$6&gt;=2,Personnel!$E$6=47,Personnel!$G$6="Yes"),Personnel!$C$6*0.15,0)+IF(AND(Personnel!$E$7&gt;=2,Personnel!$E$7=47,Personnel!$G$7="Yes"),Personnel!$C$7*0.15,0)+IF(AND(Personnel!$E$8&gt;=2,Personnel!$E$8=47,Personnel!$G$8="Yes"),Personnel!$C$8*0.15,0)+IF(AND(Personnel!$E$9&gt;=2,Personnel!$E$9=47,Personnel!$G$9="Yes"),Personnel!$C$9*0.15,0)+IF(AND(Personnel!$E$10&gt;=2,Personnel!$E$10=47,Personnel!$G$10="Yes"),Personnel!$C$10*0.15,0)+IF(AND(Personnel!$E$11&gt;=2,Personnel!$E$11=47,Personnel!$G$11="Yes"),Personnel!$C$11*0.15,0)+IF(AND(Personnel!$E$12&gt;=2,Personnel!$E$12=47,Personnel!$G$12="Yes"),Personnel!$C$12*0.15,0)+IF(AND(Personnel!$E$13&gt;=2,Personnel!$E$13=47,Personnel!$G$13="Yes"),Personnel!$C$13*0.15,0)+IF(AND(Personnel!$E$14&gt;=2,Personnel!$E$14=47,Personnel!$G$14="Yes"),Personnel!$C$14*0.15,0)+IF(AND(Personnel!$E$15&gt;=2,Personnel!$E$15=47,Personnel!$G$15="Yes"),Personnel!$C$15*0.15,0)+IF(AND(Personnel!$E$16&gt;=2,Personnel!$E$16=47,Personnel!$G$16="Yes"),Personnel!$C$16*0.15,0)+IF(AND(Personnel!$E$17&gt;=2,Personnel!$E$17=47,Personnel!$G$17="Yes"),Personnel!$C$17*0.15,0)+IF(AND(Personnel!$E$18&gt;=2,Personnel!$E$18=47,Personnel!$G$18="Yes"),Personnel!$C$18*0.15,0)+IF(AND(Personnel!$E$19&gt;=2,Personnel!$E$19=47,Personnel!$G$19="Yes"),Personnel!$C$19*0.15,0)+IF(AND(Personnel!$E$20&gt;=2,Personnel!$E$20=47,Personnel!$G$20="Yes"),Personnel!$C$20*0.15,0)+IF(AND(Personnel!$E$21&gt;=2,Personnel!$E$21=47,Personnel!$G$21="Yes"),Personnel!$C$21*0.15,0)+IF(AND(Personnel!$E$22&gt;=2,Personnel!$E$22=47,Personnel!$G$22="Yes"),Personnel!$C$22*0.15,0)+IF(AND(Personnel!$E$23&gt;=2,Personnel!$E$23=47,Personnel!$G$23="Yes"),Personnel!$C$23*0.15,0)+IF(AND(Personnel!$E$24&gt;=2,Personnel!$E$24=47,Personnel!$G$24="Yes"),Personnel!$C$24*0.15,0)+IF(AND(Personnel!$E$25&gt;=2,Personnel!$E$25=47,Personnel!$G$25="Yes"),Personnel!$C$25*0.15,0)+IF(AND(Personnel!$E$26&gt;=2,Personnel!$E$26=47,Personnel!$G$26="Yes"),Personnel!$C$26*0.15,0)+IF(AND(Personnel!$E$27&gt;=2,Personnel!$E$27=47,Personnel!$G$27="Yes"),Personnel!$C$27*0.15,0)+IF(AND(Personnel!$E$28&gt;=2,Personnel!$E$28=47,Personnel!$G$28="Yes"),Personnel!$C$28*0.15,0)+IF(AND(Personnel!$E$29&gt;=2,Personnel!$E$29=47,Personnel!$G$29="Yes"),Personnel!$C$29*0.15,0)+IF(AND(Personnel!$E$30&gt;=2,Personnel!$E$30=47,Personnel!$G$30="Yes"),Personnel!$C$30*0.15,0)+IF(AND(Personnel!$E$31&gt;=2,Personnel!$E$31=47,Personnel!$G$31="Yes"),Personnel!$C$31*0.15,0)+IF(AND(Personnel!$E$32&gt;=2,Personnel!$E$32=47,Personnel!$G$32="Yes"),Personnel!$C$32*0.15,0)+IF(AND(Personnel!$E$33&gt;=2,Personnel!$E$33=47,Personnel!$G$33="Yes"),Personnel!$C$33*0.15,0)),Actuals!AZ41)</f>
        <v>-0</v>
      </c>
      <c r="AZ131" s="14" t="n">
        <f aca="false">IF(ISBLANK(Actuals!BA41),-(IF(AND(Personnel!$E$2&gt;=2,Personnel!$E$2=48,Personnel!$G$2="Yes"),Personnel!$C$2*0.15,0)+IF(AND(Personnel!$E$3&gt;=2,Personnel!$E$3=48,Personnel!$G$3="Yes"),Personnel!$C$3*0.15,0)+IF(AND(Personnel!$E$4&gt;=2,Personnel!$E$4=48,Personnel!$G$4="Yes"),Personnel!$C$4*0.15,0)+IF(AND(Personnel!$E$5&gt;=2,Personnel!$E$5=48,Personnel!$G$5="Yes"),Personnel!$C$5*0.15,0)+IF(AND(Personnel!$E$6&gt;=2,Personnel!$E$6=48,Personnel!$G$6="Yes"),Personnel!$C$6*0.15,0)+IF(AND(Personnel!$E$7&gt;=2,Personnel!$E$7=48,Personnel!$G$7="Yes"),Personnel!$C$7*0.15,0)+IF(AND(Personnel!$E$8&gt;=2,Personnel!$E$8=48,Personnel!$G$8="Yes"),Personnel!$C$8*0.15,0)+IF(AND(Personnel!$E$9&gt;=2,Personnel!$E$9=48,Personnel!$G$9="Yes"),Personnel!$C$9*0.15,0)+IF(AND(Personnel!$E$10&gt;=2,Personnel!$E$10=48,Personnel!$G$10="Yes"),Personnel!$C$10*0.15,0)+IF(AND(Personnel!$E$11&gt;=2,Personnel!$E$11=48,Personnel!$G$11="Yes"),Personnel!$C$11*0.15,0)+IF(AND(Personnel!$E$12&gt;=2,Personnel!$E$12=48,Personnel!$G$12="Yes"),Personnel!$C$12*0.15,0)+IF(AND(Personnel!$E$13&gt;=2,Personnel!$E$13=48,Personnel!$G$13="Yes"),Personnel!$C$13*0.15,0)+IF(AND(Personnel!$E$14&gt;=2,Personnel!$E$14=48,Personnel!$G$14="Yes"),Personnel!$C$14*0.15,0)+IF(AND(Personnel!$E$15&gt;=2,Personnel!$E$15=48,Personnel!$G$15="Yes"),Personnel!$C$15*0.15,0)+IF(AND(Personnel!$E$16&gt;=2,Personnel!$E$16=48,Personnel!$G$16="Yes"),Personnel!$C$16*0.15,0)+IF(AND(Personnel!$E$17&gt;=2,Personnel!$E$17=48,Personnel!$G$17="Yes"),Personnel!$C$17*0.15,0)+IF(AND(Personnel!$E$18&gt;=2,Personnel!$E$18=48,Personnel!$G$18="Yes"),Personnel!$C$18*0.15,0)+IF(AND(Personnel!$E$19&gt;=2,Personnel!$E$19=48,Personnel!$G$19="Yes"),Personnel!$C$19*0.15,0)+IF(AND(Personnel!$E$20&gt;=2,Personnel!$E$20=48,Personnel!$G$20="Yes"),Personnel!$C$20*0.15,0)+IF(AND(Personnel!$E$21&gt;=2,Personnel!$E$21=48,Personnel!$G$21="Yes"),Personnel!$C$21*0.15,0)+IF(AND(Personnel!$E$22&gt;=2,Personnel!$E$22=48,Personnel!$G$22="Yes"),Personnel!$C$22*0.15,0)+IF(AND(Personnel!$E$23&gt;=2,Personnel!$E$23=48,Personnel!$G$23="Yes"),Personnel!$C$23*0.15,0)+IF(AND(Personnel!$E$24&gt;=2,Personnel!$E$24=48,Personnel!$G$24="Yes"),Personnel!$C$24*0.15,0)+IF(AND(Personnel!$E$25&gt;=2,Personnel!$E$25=48,Personnel!$G$25="Yes"),Personnel!$C$25*0.15,0)+IF(AND(Personnel!$E$26&gt;=2,Personnel!$E$26=48,Personnel!$G$26="Yes"),Personnel!$C$26*0.15,0)+IF(AND(Personnel!$E$27&gt;=2,Personnel!$E$27=48,Personnel!$G$27="Yes"),Personnel!$C$27*0.15,0)+IF(AND(Personnel!$E$28&gt;=2,Personnel!$E$28=48,Personnel!$G$28="Yes"),Personnel!$C$28*0.15,0)+IF(AND(Personnel!$E$29&gt;=2,Personnel!$E$29=48,Personnel!$G$29="Yes"),Personnel!$C$29*0.15,0)+IF(AND(Personnel!$E$30&gt;=2,Personnel!$E$30=48,Personnel!$G$30="Yes"),Personnel!$C$30*0.15,0)+IF(AND(Personnel!$E$31&gt;=2,Personnel!$E$31=48,Personnel!$G$31="Yes"),Personnel!$C$31*0.15,0)+IF(AND(Personnel!$E$32&gt;=2,Personnel!$E$32=48,Personnel!$G$32="Yes"),Personnel!$C$32*0.15,0)+IF(AND(Personnel!$E$33&gt;=2,Personnel!$E$33=48,Personnel!$G$33="Yes"),Personnel!$C$33*0.15,0)),Actuals!BA41)</f>
        <v>-0</v>
      </c>
      <c r="BA131" s="14" t="n">
        <f aca="false">IF(ISBLANK(Actuals!BB41),-(IF(AND(Personnel!$E$2&gt;=2,Personnel!$E$2=49,Personnel!$G$2="Yes"),Personnel!$C$2*0.15,0)+IF(AND(Personnel!$E$3&gt;=2,Personnel!$E$3=49,Personnel!$G$3="Yes"),Personnel!$C$3*0.15,0)+IF(AND(Personnel!$E$4&gt;=2,Personnel!$E$4=49,Personnel!$G$4="Yes"),Personnel!$C$4*0.15,0)+IF(AND(Personnel!$E$5&gt;=2,Personnel!$E$5=49,Personnel!$G$5="Yes"),Personnel!$C$5*0.15,0)+IF(AND(Personnel!$E$6&gt;=2,Personnel!$E$6=49,Personnel!$G$6="Yes"),Personnel!$C$6*0.15,0)+IF(AND(Personnel!$E$7&gt;=2,Personnel!$E$7=49,Personnel!$G$7="Yes"),Personnel!$C$7*0.15,0)+IF(AND(Personnel!$E$8&gt;=2,Personnel!$E$8=49,Personnel!$G$8="Yes"),Personnel!$C$8*0.15,0)+IF(AND(Personnel!$E$9&gt;=2,Personnel!$E$9=49,Personnel!$G$9="Yes"),Personnel!$C$9*0.15,0)+IF(AND(Personnel!$E$10&gt;=2,Personnel!$E$10=49,Personnel!$G$10="Yes"),Personnel!$C$10*0.15,0)+IF(AND(Personnel!$E$11&gt;=2,Personnel!$E$11=49,Personnel!$G$11="Yes"),Personnel!$C$11*0.15,0)+IF(AND(Personnel!$E$12&gt;=2,Personnel!$E$12=49,Personnel!$G$12="Yes"),Personnel!$C$12*0.15,0)+IF(AND(Personnel!$E$13&gt;=2,Personnel!$E$13=49,Personnel!$G$13="Yes"),Personnel!$C$13*0.15,0)+IF(AND(Personnel!$E$14&gt;=2,Personnel!$E$14=49,Personnel!$G$14="Yes"),Personnel!$C$14*0.15,0)+IF(AND(Personnel!$E$15&gt;=2,Personnel!$E$15=49,Personnel!$G$15="Yes"),Personnel!$C$15*0.15,0)+IF(AND(Personnel!$E$16&gt;=2,Personnel!$E$16=49,Personnel!$G$16="Yes"),Personnel!$C$16*0.15,0)+IF(AND(Personnel!$E$17&gt;=2,Personnel!$E$17=49,Personnel!$G$17="Yes"),Personnel!$C$17*0.15,0)+IF(AND(Personnel!$E$18&gt;=2,Personnel!$E$18=49,Personnel!$G$18="Yes"),Personnel!$C$18*0.15,0)+IF(AND(Personnel!$E$19&gt;=2,Personnel!$E$19=49,Personnel!$G$19="Yes"),Personnel!$C$19*0.15,0)+IF(AND(Personnel!$E$20&gt;=2,Personnel!$E$20=49,Personnel!$G$20="Yes"),Personnel!$C$20*0.15,0)+IF(AND(Personnel!$E$21&gt;=2,Personnel!$E$21=49,Personnel!$G$21="Yes"),Personnel!$C$21*0.15,0)+IF(AND(Personnel!$E$22&gt;=2,Personnel!$E$22=49,Personnel!$G$22="Yes"),Personnel!$C$22*0.15,0)+IF(AND(Personnel!$E$23&gt;=2,Personnel!$E$23=49,Personnel!$G$23="Yes"),Personnel!$C$23*0.15,0)+IF(AND(Personnel!$E$24&gt;=2,Personnel!$E$24=49,Personnel!$G$24="Yes"),Personnel!$C$24*0.15,0)+IF(AND(Personnel!$E$25&gt;=2,Personnel!$E$25=49,Personnel!$G$25="Yes"),Personnel!$C$25*0.15,0)+IF(AND(Personnel!$E$26&gt;=2,Personnel!$E$26=49,Personnel!$G$26="Yes"),Personnel!$C$26*0.15,0)+IF(AND(Personnel!$E$27&gt;=2,Personnel!$E$27=49,Personnel!$G$27="Yes"),Personnel!$C$27*0.15,0)+IF(AND(Personnel!$E$28&gt;=2,Personnel!$E$28=49,Personnel!$G$28="Yes"),Personnel!$C$28*0.15,0)+IF(AND(Personnel!$E$29&gt;=2,Personnel!$E$29=49,Personnel!$G$29="Yes"),Personnel!$C$29*0.15,0)+IF(AND(Personnel!$E$30&gt;=2,Personnel!$E$30=49,Personnel!$G$30="Yes"),Personnel!$C$30*0.15,0)+IF(AND(Personnel!$E$31&gt;=2,Personnel!$E$31=49,Personnel!$G$31="Yes"),Personnel!$C$31*0.15,0)+IF(AND(Personnel!$E$32&gt;=2,Personnel!$E$32=49,Personnel!$G$32="Yes"),Personnel!$C$32*0.15,0)+IF(AND(Personnel!$E$33&gt;=2,Personnel!$E$33=49,Personnel!$G$33="Yes"),Personnel!$C$33*0.15,0)),Actuals!BB41)</f>
        <v>-0</v>
      </c>
      <c r="BB131" s="14" t="n">
        <f aca="false">IF(ISBLANK(Actuals!BC41),-(IF(AND(Personnel!$E$2&gt;=2,Personnel!$E$2=50,Personnel!$G$2="Yes"),Personnel!$C$2*0.15,0)+IF(AND(Personnel!$E$3&gt;=2,Personnel!$E$3=50,Personnel!$G$3="Yes"),Personnel!$C$3*0.15,0)+IF(AND(Personnel!$E$4&gt;=2,Personnel!$E$4=50,Personnel!$G$4="Yes"),Personnel!$C$4*0.15,0)+IF(AND(Personnel!$E$5&gt;=2,Personnel!$E$5=50,Personnel!$G$5="Yes"),Personnel!$C$5*0.15,0)+IF(AND(Personnel!$E$6&gt;=2,Personnel!$E$6=50,Personnel!$G$6="Yes"),Personnel!$C$6*0.15,0)+IF(AND(Personnel!$E$7&gt;=2,Personnel!$E$7=50,Personnel!$G$7="Yes"),Personnel!$C$7*0.15,0)+IF(AND(Personnel!$E$8&gt;=2,Personnel!$E$8=50,Personnel!$G$8="Yes"),Personnel!$C$8*0.15,0)+IF(AND(Personnel!$E$9&gt;=2,Personnel!$E$9=50,Personnel!$G$9="Yes"),Personnel!$C$9*0.15,0)+IF(AND(Personnel!$E$10&gt;=2,Personnel!$E$10=50,Personnel!$G$10="Yes"),Personnel!$C$10*0.15,0)+IF(AND(Personnel!$E$11&gt;=2,Personnel!$E$11=50,Personnel!$G$11="Yes"),Personnel!$C$11*0.15,0)+IF(AND(Personnel!$E$12&gt;=2,Personnel!$E$12=50,Personnel!$G$12="Yes"),Personnel!$C$12*0.15,0)+IF(AND(Personnel!$E$13&gt;=2,Personnel!$E$13=50,Personnel!$G$13="Yes"),Personnel!$C$13*0.15,0)+IF(AND(Personnel!$E$14&gt;=2,Personnel!$E$14=50,Personnel!$G$14="Yes"),Personnel!$C$14*0.15,0)+IF(AND(Personnel!$E$15&gt;=2,Personnel!$E$15=50,Personnel!$G$15="Yes"),Personnel!$C$15*0.15,0)+IF(AND(Personnel!$E$16&gt;=2,Personnel!$E$16=50,Personnel!$G$16="Yes"),Personnel!$C$16*0.15,0)+IF(AND(Personnel!$E$17&gt;=2,Personnel!$E$17=50,Personnel!$G$17="Yes"),Personnel!$C$17*0.15,0)+IF(AND(Personnel!$E$18&gt;=2,Personnel!$E$18=50,Personnel!$G$18="Yes"),Personnel!$C$18*0.15,0)+IF(AND(Personnel!$E$19&gt;=2,Personnel!$E$19=50,Personnel!$G$19="Yes"),Personnel!$C$19*0.15,0)+IF(AND(Personnel!$E$20&gt;=2,Personnel!$E$20=50,Personnel!$G$20="Yes"),Personnel!$C$20*0.15,0)+IF(AND(Personnel!$E$21&gt;=2,Personnel!$E$21=50,Personnel!$G$21="Yes"),Personnel!$C$21*0.15,0)+IF(AND(Personnel!$E$22&gt;=2,Personnel!$E$22=50,Personnel!$G$22="Yes"),Personnel!$C$22*0.15,0)+IF(AND(Personnel!$E$23&gt;=2,Personnel!$E$23=50,Personnel!$G$23="Yes"),Personnel!$C$23*0.15,0)+IF(AND(Personnel!$E$24&gt;=2,Personnel!$E$24=50,Personnel!$G$24="Yes"),Personnel!$C$24*0.15,0)+IF(AND(Personnel!$E$25&gt;=2,Personnel!$E$25=50,Personnel!$G$25="Yes"),Personnel!$C$25*0.15,0)+IF(AND(Personnel!$E$26&gt;=2,Personnel!$E$26=50,Personnel!$G$26="Yes"),Personnel!$C$26*0.15,0)+IF(AND(Personnel!$E$27&gt;=2,Personnel!$E$27=50,Personnel!$G$27="Yes"),Personnel!$C$27*0.15,0)+IF(AND(Personnel!$E$28&gt;=2,Personnel!$E$28=50,Personnel!$G$28="Yes"),Personnel!$C$28*0.15,0)+IF(AND(Personnel!$E$29&gt;=2,Personnel!$E$29=50,Personnel!$G$29="Yes"),Personnel!$C$29*0.15,0)+IF(AND(Personnel!$E$30&gt;=2,Personnel!$E$30=50,Personnel!$G$30="Yes"),Personnel!$C$30*0.15,0)+IF(AND(Personnel!$E$31&gt;=2,Personnel!$E$31=50,Personnel!$G$31="Yes"),Personnel!$C$31*0.15,0)+IF(AND(Personnel!$E$32&gt;=2,Personnel!$E$32=50,Personnel!$G$32="Yes"),Personnel!$C$32*0.15,0)+IF(AND(Personnel!$E$33&gt;=2,Personnel!$E$33=50,Personnel!$G$33="Yes"),Personnel!$C$33*0.15,0)),Actuals!BC41)</f>
        <v>-0</v>
      </c>
      <c r="BC131" s="14" t="n">
        <f aca="false">IF(ISBLANK(Actuals!BD41),-(IF(AND(Personnel!$E$2&gt;=2,Personnel!$E$2=51,Personnel!$G$2="Yes"),Personnel!$C$2*0.15,0)+IF(AND(Personnel!$E$3&gt;=2,Personnel!$E$3=51,Personnel!$G$3="Yes"),Personnel!$C$3*0.15,0)+IF(AND(Personnel!$E$4&gt;=2,Personnel!$E$4=51,Personnel!$G$4="Yes"),Personnel!$C$4*0.15,0)+IF(AND(Personnel!$E$5&gt;=2,Personnel!$E$5=51,Personnel!$G$5="Yes"),Personnel!$C$5*0.15,0)+IF(AND(Personnel!$E$6&gt;=2,Personnel!$E$6=51,Personnel!$G$6="Yes"),Personnel!$C$6*0.15,0)+IF(AND(Personnel!$E$7&gt;=2,Personnel!$E$7=51,Personnel!$G$7="Yes"),Personnel!$C$7*0.15,0)+IF(AND(Personnel!$E$8&gt;=2,Personnel!$E$8=51,Personnel!$G$8="Yes"),Personnel!$C$8*0.15,0)+IF(AND(Personnel!$E$9&gt;=2,Personnel!$E$9=51,Personnel!$G$9="Yes"),Personnel!$C$9*0.15,0)+IF(AND(Personnel!$E$10&gt;=2,Personnel!$E$10=51,Personnel!$G$10="Yes"),Personnel!$C$10*0.15,0)+IF(AND(Personnel!$E$11&gt;=2,Personnel!$E$11=51,Personnel!$G$11="Yes"),Personnel!$C$11*0.15,0)+IF(AND(Personnel!$E$12&gt;=2,Personnel!$E$12=51,Personnel!$G$12="Yes"),Personnel!$C$12*0.15,0)+IF(AND(Personnel!$E$13&gt;=2,Personnel!$E$13=51,Personnel!$G$13="Yes"),Personnel!$C$13*0.15,0)+IF(AND(Personnel!$E$14&gt;=2,Personnel!$E$14=51,Personnel!$G$14="Yes"),Personnel!$C$14*0.15,0)+IF(AND(Personnel!$E$15&gt;=2,Personnel!$E$15=51,Personnel!$G$15="Yes"),Personnel!$C$15*0.15,0)+IF(AND(Personnel!$E$16&gt;=2,Personnel!$E$16=51,Personnel!$G$16="Yes"),Personnel!$C$16*0.15,0)+IF(AND(Personnel!$E$17&gt;=2,Personnel!$E$17=51,Personnel!$G$17="Yes"),Personnel!$C$17*0.15,0)+IF(AND(Personnel!$E$18&gt;=2,Personnel!$E$18=51,Personnel!$G$18="Yes"),Personnel!$C$18*0.15,0)+IF(AND(Personnel!$E$19&gt;=2,Personnel!$E$19=51,Personnel!$G$19="Yes"),Personnel!$C$19*0.15,0)+IF(AND(Personnel!$E$20&gt;=2,Personnel!$E$20=51,Personnel!$G$20="Yes"),Personnel!$C$20*0.15,0)+IF(AND(Personnel!$E$21&gt;=2,Personnel!$E$21=51,Personnel!$G$21="Yes"),Personnel!$C$21*0.15,0)+IF(AND(Personnel!$E$22&gt;=2,Personnel!$E$22=51,Personnel!$G$22="Yes"),Personnel!$C$22*0.15,0)+IF(AND(Personnel!$E$23&gt;=2,Personnel!$E$23=51,Personnel!$G$23="Yes"),Personnel!$C$23*0.15,0)+IF(AND(Personnel!$E$24&gt;=2,Personnel!$E$24=51,Personnel!$G$24="Yes"),Personnel!$C$24*0.15,0)+IF(AND(Personnel!$E$25&gt;=2,Personnel!$E$25=51,Personnel!$G$25="Yes"),Personnel!$C$25*0.15,0)+IF(AND(Personnel!$E$26&gt;=2,Personnel!$E$26=51,Personnel!$G$26="Yes"),Personnel!$C$26*0.15,0)+IF(AND(Personnel!$E$27&gt;=2,Personnel!$E$27=51,Personnel!$G$27="Yes"),Personnel!$C$27*0.15,0)+IF(AND(Personnel!$E$28&gt;=2,Personnel!$E$28=51,Personnel!$G$28="Yes"),Personnel!$C$28*0.15,0)+IF(AND(Personnel!$E$29&gt;=2,Personnel!$E$29=51,Personnel!$G$29="Yes"),Personnel!$C$29*0.15,0)+IF(AND(Personnel!$E$30&gt;=2,Personnel!$E$30=51,Personnel!$G$30="Yes"),Personnel!$C$30*0.15,0)+IF(AND(Personnel!$E$31&gt;=2,Personnel!$E$31=51,Personnel!$G$31="Yes"),Personnel!$C$31*0.15,0)+IF(AND(Personnel!$E$32&gt;=2,Personnel!$E$32=51,Personnel!$G$32="Yes"),Personnel!$C$32*0.15,0)+IF(AND(Personnel!$E$33&gt;=2,Personnel!$E$33=51,Personnel!$G$33="Yes"),Personnel!$C$33*0.15,0)),Actuals!BD41)</f>
        <v>-0</v>
      </c>
      <c r="BD131" s="14" t="n">
        <f aca="false">IF(ISBLANK(Actuals!BE41),-(IF(AND(Personnel!$E$2&gt;=2,Personnel!$E$2=52,Personnel!$G$2="Yes"),Personnel!$C$2*0.15,0)+IF(AND(Personnel!$E$3&gt;=2,Personnel!$E$3=52,Personnel!$G$3="Yes"),Personnel!$C$3*0.15,0)+IF(AND(Personnel!$E$4&gt;=2,Personnel!$E$4=52,Personnel!$G$4="Yes"),Personnel!$C$4*0.15,0)+IF(AND(Personnel!$E$5&gt;=2,Personnel!$E$5=52,Personnel!$G$5="Yes"),Personnel!$C$5*0.15,0)+IF(AND(Personnel!$E$6&gt;=2,Personnel!$E$6=52,Personnel!$G$6="Yes"),Personnel!$C$6*0.15,0)+IF(AND(Personnel!$E$7&gt;=2,Personnel!$E$7=52,Personnel!$G$7="Yes"),Personnel!$C$7*0.15,0)+IF(AND(Personnel!$E$8&gt;=2,Personnel!$E$8=52,Personnel!$G$8="Yes"),Personnel!$C$8*0.15,0)+IF(AND(Personnel!$E$9&gt;=2,Personnel!$E$9=52,Personnel!$G$9="Yes"),Personnel!$C$9*0.15,0)+IF(AND(Personnel!$E$10&gt;=2,Personnel!$E$10=52,Personnel!$G$10="Yes"),Personnel!$C$10*0.15,0)+IF(AND(Personnel!$E$11&gt;=2,Personnel!$E$11=52,Personnel!$G$11="Yes"),Personnel!$C$11*0.15,0)+IF(AND(Personnel!$E$12&gt;=2,Personnel!$E$12=52,Personnel!$G$12="Yes"),Personnel!$C$12*0.15,0)+IF(AND(Personnel!$E$13&gt;=2,Personnel!$E$13=52,Personnel!$G$13="Yes"),Personnel!$C$13*0.15,0)+IF(AND(Personnel!$E$14&gt;=2,Personnel!$E$14=52,Personnel!$G$14="Yes"),Personnel!$C$14*0.15,0)+IF(AND(Personnel!$E$15&gt;=2,Personnel!$E$15=52,Personnel!$G$15="Yes"),Personnel!$C$15*0.15,0)+IF(AND(Personnel!$E$16&gt;=2,Personnel!$E$16=52,Personnel!$G$16="Yes"),Personnel!$C$16*0.15,0)+IF(AND(Personnel!$E$17&gt;=2,Personnel!$E$17=52,Personnel!$G$17="Yes"),Personnel!$C$17*0.15,0)+IF(AND(Personnel!$E$18&gt;=2,Personnel!$E$18=52,Personnel!$G$18="Yes"),Personnel!$C$18*0.15,0)+IF(AND(Personnel!$E$19&gt;=2,Personnel!$E$19=52,Personnel!$G$19="Yes"),Personnel!$C$19*0.15,0)+IF(AND(Personnel!$E$20&gt;=2,Personnel!$E$20=52,Personnel!$G$20="Yes"),Personnel!$C$20*0.15,0)+IF(AND(Personnel!$E$21&gt;=2,Personnel!$E$21=52,Personnel!$G$21="Yes"),Personnel!$C$21*0.15,0)+IF(AND(Personnel!$E$22&gt;=2,Personnel!$E$22=52,Personnel!$G$22="Yes"),Personnel!$C$22*0.15,0)+IF(AND(Personnel!$E$23&gt;=2,Personnel!$E$23=52,Personnel!$G$23="Yes"),Personnel!$C$23*0.15,0)+IF(AND(Personnel!$E$24&gt;=2,Personnel!$E$24=52,Personnel!$G$24="Yes"),Personnel!$C$24*0.15,0)+IF(AND(Personnel!$E$25&gt;=2,Personnel!$E$25=52,Personnel!$G$25="Yes"),Personnel!$C$25*0.15,0)+IF(AND(Personnel!$E$26&gt;=2,Personnel!$E$26=52,Personnel!$G$26="Yes"),Personnel!$C$26*0.15,0)+IF(AND(Personnel!$E$27&gt;=2,Personnel!$E$27=52,Personnel!$G$27="Yes"),Personnel!$C$27*0.15,0)+IF(AND(Personnel!$E$28&gt;=2,Personnel!$E$28=52,Personnel!$G$28="Yes"),Personnel!$C$28*0.15,0)+IF(AND(Personnel!$E$29&gt;=2,Personnel!$E$29=52,Personnel!$G$29="Yes"),Personnel!$C$29*0.15,0)+IF(AND(Personnel!$E$30&gt;=2,Personnel!$E$30=52,Personnel!$G$30="Yes"),Personnel!$C$30*0.15,0)+IF(AND(Personnel!$E$31&gt;=2,Personnel!$E$31=52,Personnel!$G$31="Yes"),Personnel!$C$31*0.15,0)+IF(AND(Personnel!$E$32&gt;=2,Personnel!$E$32=52,Personnel!$G$32="Yes"),Personnel!$C$32*0.15,0)+IF(AND(Personnel!$E$33&gt;=2,Personnel!$E$33=52,Personnel!$G$33="Yes"),Personnel!$C$33*0.15,0)),Actuals!BE41)</f>
        <v>-0</v>
      </c>
      <c r="BE131" s="14" t="n">
        <f aca="false">IF(ISBLANK(Actuals!BF41),-(IF(AND(Personnel!$E$2&gt;=2,Personnel!$E$2=53,Personnel!$G$2="Yes"),Personnel!$C$2*0.15,0)+IF(AND(Personnel!$E$3&gt;=2,Personnel!$E$3=53,Personnel!$G$3="Yes"),Personnel!$C$3*0.15,0)+IF(AND(Personnel!$E$4&gt;=2,Personnel!$E$4=53,Personnel!$G$4="Yes"),Personnel!$C$4*0.15,0)+IF(AND(Personnel!$E$5&gt;=2,Personnel!$E$5=53,Personnel!$G$5="Yes"),Personnel!$C$5*0.15,0)+IF(AND(Personnel!$E$6&gt;=2,Personnel!$E$6=53,Personnel!$G$6="Yes"),Personnel!$C$6*0.15,0)+IF(AND(Personnel!$E$7&gt;=2,Personnel!$E$7=53,Personnel!$G$7="Yes"),Personnel!$C$7*0.15,0)+IF(AND(Personnel!$E$8&gt;=2,Personnel!$E$8=53,Personnel!$G$8="Yes"),Personnel!$C$8*0.15,0)+IF(AND(Personnel!$E$9&gt;=2,Personnel!$E$9=53,Personnel!$G$9="Yes"),Personnel!$C$9*0.15,0)+IF(AND(Personnel!$E$10&gt;=2,Personnel!$E$10=53,Personnel!$G$10="Yes"),Personnel!$C$10*0.15,0)+IF(AND(Personnel!$E$11&gt;=2,Personnel!$E$11=53,Personnel!$G$11="Yes"),Personnel!$C$11*0.15,0)+IF(AND(Personnel!$E$12&gt;=2,Personnel!$E$12=53,Personnel!$G$12="Yes"),Personnel!$C$12*0.15,0)+IF(AND(Personnel!$E$13&gt;=2,Personnel!$E$13=53,Personnel!$G$13="Yes"),Personnel!$C$13*0.15,0)+IF(AND(Personnel!$E$14&gt;=2,Personnel!$E$14=53,Personnel!$G$14="Yes"),Personnel!$C$14*0.15,0)+IF(AND(Personnel!$E$15&gt;=2,Personnel!$E$15=53,Personnel!$G$15="Yes"),Personnel!$C$15*0.15,0)+IF(AND(Personnel!$E$16&gt;=2,Personnel!$E$16=53,Personnel!$G$16="Yes"),Personnel!$C$16*0.15,0)+IF(AND(Personnel!$E$17&gt;=2,Personnel!$E$17=53,Personnel!$G$17="Yes"),Personnel!$C$17*0.15,0)+IF(AND(Personnel!$E$18&gt;=2,Personnel!$E$18=53,Personnel!$G$18="Yes"),Personnel!$C$18*0.15,0)+IF(AND(Personnel!$E$19&gt;=2,Personnel!$E$19=53,Personnel!$G$19="Yes"),Personnel!$C$19*0.15,0)+IF(AND(Personnel!$E$20&gt;=2,Personnel!$E$20=53,Personnel!$G$20="Yes"),Personnel!$C$20*0.15,0)+IF(AND(Personnel!$E$21&gt;=2,Personnel!$E$21=53,Personnel!$G$21="Yes"),Personnel!$C$21*0.15,0)+IF(AND(Personnel!$E$22&gt;=2,Personnel!$E$22=53,Personnel!$G$22="Yes"),Personnel!$C$22*0.15,0)+IF(AND(Personnel!$E$23&gt;=2,Personnel!$E$23=53,Personnel!$G$23="Yes"),Personnel!$C$23*0.15,0)+IF(AND(Personnel!$E$24&gt;=2,Personnel!$E$24=53,Personnel!$G$24="Yes"),Personnel!$C$24*0.15,0)+IF(AND(Personnel!$E$25&gt;=2,Personnel!$E$25=53,Personnel!$G$25="Yes"),Personnel!$C$25*0.15,0)+IF(AND(Personnel!$E$26&gt;=2,Personnel!$E$26=53,Personnel!$G$26="Yes"),Personnel!$C$26*0.15,0)+IF(AND(Personnel!$E$27&gt;=2,Personnel!$E$27=53,Personnel!$G$27="Yes"),Personnel!$C$27*0.15,0)+IF(AND(Personnel!$E$28&gt;=2,Personnel!$E$28=53,Personnel!$G$28="Yes"),Personnel!$C$28*0.15,0)+IF(AND(Personnel!$E$29&gt;=2,Personnel!$E$29=53,Personnel!$G$29="Yes"),Personnel!$C$29*0.15,0)+IF(AND(Personnel!$E$30&gt;=2,Personnel!$E$30=53,Personnel!$G$30="Yes"),Personnel!$C$30*0.15,0)+IF(AND(Personnel!$E$31&gt;=2,Personnel!$E$31=53,Personnel!$G$31="Yes"),Personnel!$C$31*0.15,0)+IF(AND(Personnel!$E$32&gt;=2,Personnel!$E$32=53,Personnel!$G$32="Yes"),Personnel!$C$32*0.15,0)+IF(AND(Personnel!$E$33&gt;=2,Personnel!$E$33=53,Personnel!$G$33="Yes"),Personnel!$C$33*0.15,0)),Actuals!BF41)</f>
        <v>-0</v>
      </c>
      <c r="BF131" s="14" t="n">
        <f aca="false">IF(ISBLANK(Actuals!BG41),-(IF(AND(Personnel!$E$2&gt;=2,Personnel!$E$2=54,Personnel!$G$2="Yes"),Personnel!$C$2*0.15,0)+IF(AND(Personnel!$E$3&gt;=2,Personnel!$E$3=54,Personnel!$G$3="Yes"),Personnel!$C$3*0.15,0)+IF(AND(Personnel!$E$4&gt;=2,Personnel!$E$4=54,Personnel!$G$4="Yes"),Personnel!$C$4*0.15,0)+IF(AND(Personnel!$E$5&gt;=2,Personnel!$E$5=54,Personnel!$G$5="Yes"),Personnel!$C$5*0.15,0)+IF(AND(Personnel!$E$6&gt;=2,Personnel!$E$6=54,Personnel!$G$6="Yes"),Personnel!$C$6*0.15,0)+IF(AND(Personnel!$E$7&gt;=2,Personnel!$E$7=54,Personnel!$G$7="Yes"),Personnel!$C$7*0.15,0)+IF(AND(Personnel!$E$8&gt;=2,Personnel!$E$8=54,Personnel!$G$8="Yes"),Personnel!$C$8*0.15,0)+IF(AND(Personnel!$E$9&gt;=2,Personnel!$E$9=54,Personnel!$G$9="Yes"),Personnel!$C$9*0.15,0)+IF(AND(Personnel!$E$10&gt;=2,Personnel!$E$10=54,Personnel!$G$10="Yes"),Personnel!$C$10*0.15,0)+IF(AND(Personnel!$E$11&gt;=2,Personnel!$E$11=54,Personnel!$G$11="Yes"),Personnel!$C$11*0.15,0)+IF(AND(Personnel!$E$12&gt;=2,Personnel!$E$12=54,Personnel!$G$12="Yes"),Personnel!$C$12*0.15,0)+IF(AND(Personnel!$E$13&gt;=2,Personnel!$E$13=54,Personnel!$G$13="Yes"),Personnel!$C$13*0.15,0)+IF(AND(Personnel!$E$14&gt;=2,Personnel!$E$14=54,Personnel!$G$14="Yes"),Personnel!$C$14*0.15,0)+IF(AND(Personnel!$E$15&gt;=2,Personnel!$E$15=54,Personnel!$G$15="Yes"),Personnel!$C$15*0.15,0)+IF(AND(Personnel!$E$16&gt;=2,Personnel!$E$16=54,Personnel!$G$16="Yes"),Personnel!$C$16*0.15,0)+IF(AND(Personnel!$E$17&gt;=2,Personnel!$E$17=54,Personnel!$G$17="Yes"),Personnel!$C$17*0.15,0)+IF(AND(Personnel!$E$18&gt;=2,Personnel!$E$18=54,Personnel!$G$18="Yes"),Personnel!$C$18*0.15,0)+IF(AND(Personnel!$E$19&gt;=2,Personnel!$E$19=54,Personnel!$G$19="Yes"),Personnel!$C$19*0.15,0)+IF(AND(Personnel!$E$20&gt;=2,Personnel!$E$20=54,Personnel!$G$20="Yes"),Personnel!$C$20*0.15,0)+IF(AND(Personnel!$E$21&gt;=2,Personnel!$E$21=54,Personnel!$G$21="Yes"),Personnel!$C$21*0.15,0)+IF(AND(Personnel!$E$22&gt;=2,Personnel!$E$22=54,Personnel!$G$22="Yes"),Personnel!$C$22*0.15,0)+IF(AND(Personnel!$E$23&gt;=2,Personnel!$E$23=54,Personnel!$G$23="Yes"),Personnel!$C$23*0.15,0)+IF(AND(Personnel!$E$24&gt;=2,Personnel!$E$24=54,Personnel!$G$24="Yes"),Personnel!$C$24*0.15,0)+IF(AND(Personnel!$E$25&gt;=2,Personnel!$E$25=54,Personnel!$G$25="Yes"),Personnel!$C$25*0.15,0)+IF(AND(Personnel!$E$26&gt;=2,Personnel!$E$26=54,Personnel!$G$26="Yes"),Personnel!$C$26*0.15,0)+IF(AND(Personnel!$E$27&gt;=2,Personnel!$E$27=54,Personnel!$G$27="Yes"),Personnel!$C$27*0.15,0)+IF(AND(Personnel!$E$28&gt;=2,Personnel!$E$28=54,Personnel!$G$28="Yes"),Personnel!$C$28*0.15,0)+IF(AND(Personnel!$E$29&gt;=2,Personnel!$E$29=54,Personnel!$G$29="Yes"),Personnel!$C$29*0.15,0)+IF(AND(Personnel!$E$30&gt;=2,Personnel!$E$30=54,Personnel!$G$30="Yes"),Personnel!$C$30*0.15,0)+IF(AND(Personnel!$E$31&gt;=2,Personnel!$E$31=54,Personnel!$G$31="Yes"),Personnel!$C$31*0.15,0)+IF(AND(Personnel!$E$32&gt;=2,Personnel!$E$32=54,Personnel!$G$32="Yes"),Personnel!$C$32*0.15,0)+IF(AND(Personnel!$E$33&gt;=2,Personnel!$E$33=54,Personnel!$G$33="Yes"),Personnel!$C$33*0.15,0)),Actuals!BG41)</f>
        <v>-0</v>
      </c>
      <c r="BG131" s="14" t="n">
        <f aca="false">IF(ISBLANK(Actuals!BH41),-(IF(AND(Personnel!$E$2&gt;=2,Personnel!$E$2=55,Personnel!$G$2="Yes"),Personnel!$C$2*0.15,0)+IF(AND(Personnel!$E$3&gt;=2,Personnel!$E$3=55,Personnel!$G$3="Yes"),Personnel!$C$3*0.15,0)+IF(AND(Personnel!$E$4&gt;=2,Personnel!$E$4=55,Personnel!$G$4="Yes"),Personnel!$C$4*0.15,0)+IF(AND(Personnel!$E$5&gt;=2,Personnel!$E$5=55,Personnel!$G$5="Yes"),Personnel!$C$5*0.15,0)+IF(AND(Personnel!$E$6&gt;=2,Personnel!$E$6=55,Personnel!$G$6="Yes"),Personnel!$C$6*0.15,0)+IF(AND(Personnel!$E$7&gt;=2,Personnel!$E$7=55,Personnel!$G$7="Yes"),Personnel!$C$7*0.15,0)+IF(AND(Personnel!$E$8&gt;=2,Personnel!$E$8=55,Personnel!$G$8="Yes"),Personnel!$C$8*0.15,0)+IF(AND(Personnel!$E$9&gt;=2,Personnel!$E$9=55,Personnel!$G$9="Yes"),Personnel!$C$9*0.15,0)+IF(AND(Personnel!$E$10&gt;=2,Personnel!$E$10=55,Personnel!$G$10="Yes"),Personnel!$C$10*0.15,0)+IF(AND(Personnel!$E$11&gt;=2,Personnel!$E$11=55,Personnel!$G$11="Yes"),Personnel!$C$11*0.15,0)+IF(AND(Personnel!$E$12&gt;=2,Personnel!$E$12=55,Personnel!$G$12="Yes"),Personnel!$C$12*0.15,0)+IF(AND(Personnel!$E$13&gt;=2,Personnel!$E$13=55,Personnel!$G$13="Yes"),Personnel!$C$13*0.15,0)+IF(AND(Personnel!$E$14&gt;=2,Personnel!$E$14=55,Personnel!$G$14="Yes"),Personnel!$C$14*0.15,0)+IF(AND(Personnel!$E$15&gt;=2,Personnel!$E$15=55,Personnel!$G$15="Yes"),Personnel!$C$15*0.15,0)+IF(AND(Personnel!$E$16&gt;=2,Personnel!$E$16=55,Personnel!$G$16="Yes"),Personnel!$C$16*0.15,0)+IF(AND(Personnel!$E$17&gt;=2,Personnel!$E$17=55,Personnel!$G$17="Yes"),Personnel!$C$17*0.15,0)+IF(AND(Personnel!$E$18&gt;=2,Personnel!$E$18=55,Personnel!$G$18="Yes"),Personnel!$C$18*0.15,0)+IF(AND(Personnel!$E$19&gt;=2,Personnel!$E$19=55,Personnel!$G$19="Yes"),Personnel!$C$19*0.15,0)+IF(AND(Personnel!$E$20&gt;=2,Personnel!$E$20=55,Personnel!$G$20="Yes"),Personnel!$C$20*0.15,0)+IF(AND(Personnel!$E$21&gt;=2,Personnel!$E$21=55,Personnel!$G$21="Yes"),Personnel!$C$21*0.15,0)+IF(AND(Personnel!$E$22&gt;=2,Personnel!$E$22=55,Personnel!$G$22="Yes"),Personnel!$C$22*0.15,0)+IF(AND(Personnel!$E$23&gt;=2,Personnel!$E$23=55,Personnel!$G$23="Yes"),Personnel!$C$23*0.15,0)+IF(AND(Personnel!$E$24&gt;=2,Personnel!$E$24=55,Personnel!$G$24="Yes"),Personnel!$C$24*0.15,0)+IF(AND(Personnel!$E$25&gt;=2,Personnel!$E$25=55,Personnel!$G$25="Yes"),Personnel!$C$25*0.15,0)+IF(AND(Personnel!$E$26&gt;=2,Personnel!$E$26=55,Personnel!$G$26="Yes"),Personnel!$C$26*0.15,0)+IF(AND(Personnel!$E$27&gt;=2,Personnel!$E$27=55,Personnel!$G$27="Yes"),Personnel!$C$27*0.15,0)+IF(AND(Personnel!$E$28&gt;=2,Personnel!$E$28=55,Personnel!$G$28="Yes"),Personnel!$C$28*0.15,0)+IF(AND(Personnel!$E$29&gt;=2,Personnel!$E$29=55,Personnel!$G$29="Yes"),Personnel!$C$29*0.15,0)+IF(AND(Personnel!$E$30&gt;=2,Personnel!$E$30=55,Personnel!$G$30="Yes"),Personnel!$C$30*0.15,0)+IF(AND(Personnel!$E$31&gt;=2,Personnel!$E$31=55,Personnel!$G$31="Yes"),Personnel!$C$31*0.15,0)+IF(AND(Personnel!$E$32&gt;=2,Personnel!$E$32=55,Personnel!$G$32="Yes"),Personnel!$C$32*0.15,0)+IF(AND(Personnel!$E$33&gt;=2,Personnel!$E$33=55,Personnel!$G$33="Yes"),Personnel!$C$33*0.15,0)),Actuals!BH41)</f>
        <v>-0</v>
      </c>
      <c r="BH131" s="14" t="n">
        <f aca="false">IF(ISBLANK(Actuals!BI41),-(IF(AND(Personnel!$E$2&gt;=2,Personnel!$E$2=56,Personnel!$G$2="Yes"),Personnel!$C$2*0.15,0)+IF(AND(Personnel!$E$3&gt;=2,Personnel!$E$3=56,Personnel!$G$3="Yes"),Personnel!$C$3*0.15,0)+IF(AND(Personnel!$E$4&gt;=2,Personnel!$E$4=56,Personnel!$G$4="Yes"),Personnel!$C$4*0.15,0)+IF(AND(Personnel!$E$5&gt;=2,Personnel!$E$5=56,Personnel!$G$5="Yes"),Personnel!$C$5*0.15,0)+IF(AND(Personnel!$E$6&gt;=2,Personnel!$E$6=56,Personnel!$G$6="Yes"),Personnel!$C$6*0.15,0)+IF(AND(Personnel!$E$7&gt;=2,Personnel!$E$7=56,Personnel!$G$7="Yes"),Personnel!$C$7*0.15,0)+IF(AND(Personnel!$E$8&gt;=2,Personnel!$E$8=56,Personnel!$G$8="Yes"),Personnel!$C$8*0.15,0)+IF(AND(Personnel!$E$9&gt;=2,Personnel!$E$9=56,Personnel!$G$9="Yes"),Personnel!$C$9*0.15,0)+IF(AND(Personnel!$E$10&gt;=2,Personnel!$E$10=56,Personnel!$G$10="Yes"),Personnel!$C$10*0.15,0)+IF(AND(Personnel!$E$11&gt;=2,Personnel!$E$11=56,Personnel!$G$11="Yes"),Personnel!$C$11*0.15,0)+IF(AND(Personnel!$E$12&gt;=2,Personnel!$E$12=56,Personnel!$G$12="Yes"),Personnel!$C$12*0.15,0)+IF(AND(Personnel!$E$13&gt;=2,Personnel!$E$13=56,Personnel!$G$13="Yes"),Personnel!$C$13*0.15,0)+IF(AND(Personnel!$E$14&gt;=2,Personnel!$E$14=56,Personnel!$G$14="Yes"),Personnel!$C$14*0.15,0)+IF(AND(Personnel!$E$15&gt;=2,Personnel!$E$15=56,Personnel!$G$15="Yes"),Personnel!$C$15*0.15,0)+IF(AND(Personnel!$E$16&gt;=2,Personnel!$E$16=56,Personnel!$G$16="Yes"),Personnel!$C$16*0.15,0)+IF(AND(Personnel!$E$17&gt;=2,Personnel!$E$17=56,Personnel!$G$17="Yes"),Personnel!$C$17*0.15,0)+IF(AND(Personnel!$E$18&gt;=2,Personnel!$E$18=56,Personnel!$G$18="Yes"),Personnel!$C$18*0.15,0)+IF(AND(Personnel!$E$19&gt;=2,Personnel!$E$19=56,Personnel!$G$19="Yes"),Personnel!$C$19*0.15,0)+IF(AND(Personnel!$E$20&gt;=2,Personnel!$E$20=56,Personnel!$G$20="Yes"),Personnel!$C$20*0.15,0)+IF(AND(Personnel!$E$21&gt;=2,Personnel!$E$21=56,Personnel!$G$21="Yes"),Personnel!$C$21*0.15,0)+IF(AND(Personnel!$E$22&gt;=2,Personnel!$E$22=56,Personnel!$G$22="Yes"),Personnel!$C$22*0.15,0)+IF(AND(Personnel!$E$23&gt;=2,Personnel!$E$23=56,Personnel!$G$23="Yes"),Personnel!$C$23*0.15,0)+IF(AND(Personnel!$E$24&gt;=2,Personnel!$E$24=56,Personnel!$G$24="Yes"),Personnel!$C$24*0.15,0)+IF(AND(Personnel!$E$25&gt;=2,Personnel!$E$25=56,Personnel!$G$25="Yes"),Personnel!$C$25*0.15,0)+IF(AND(Personnel!$E$26&gt;=2,Personnel!$E$26=56,Personnel!$G$26="Yes"),Personnel!$C$26*0.15,0)+IF(AND(Personnel!$E$27&gt;=2,Personnel!$E$27=56,Personnel!$G$27="Yes"),Personnel!$C$27*0.15,0)+IF(AND(Personnel!$E$28&gt;=2,Personnel!$E$28=56,Personnel!$G$28="Yes"),Personnel!$C$28*0.15,0)+IF(AND(Personnel!$E$29&gt;=2,Personnel!$E$29=56,Personnel!$G$29="Yes"),Personnel!$C$29*0.15,0)+IF(AND(Personnel!$E$30&gt;=2,Personnel!$E$30=56,Personnel!$G$30="Yes"),Personnel!$C$30*0.15,0)+IF(AND(Personnel!$E$31&gt;=2,Personnel!$E$31=56,Personnel!$G$31="Yes"),Personnel!$C$31*0.15,0)+IF(AND(Personnel!$E$32&gt;=2,Personnel!$E$32=56,Personnel!$G$32="Yes"),Personnel!$C$32*0.15,0)+IF(AND(Personnel!$E$33&gt;=2,Personnel!$E$33=56,Personnel!$G$33="Yes"),Personnel!$C$33*0.15,0)),Actuals!BI41)</f>
        <v>-0</v>
      </c>
      <c r="BI131" s="14" t="n">
        <f aca="false">IF(ISBLANK(Actuals!BJ41),-(IF(AND(Personnel!$E$2&gt;=2,Personnel!$E$2=57,Personnel!$G$2="Yes"),Personnel!$C$2*0.15,0)+IF(AND(Personnel!$E$3&gt;=2,Personnel!$E$3=57,Personnel!$G$3="Yes"),Personnel!$C$3*0.15,0)+IF(AND(Personnel!$E$4&gt;=2,Personnel!$E$4=57,Personnel!$G$4="Yes"),Personnel!$C$4*0.15,0)+IF(AND(Personnel!$E$5&gt;=2,Personnel!$E$5=57,Personnel!$G$5="Yes"),Personnel!$C$5*0.15,0)+IF(AND(Personnel!$E$6&gt;=2,Personnel!$E$6=57,Personnel!$G$6="Yes"),Personnel!$C$6*0.15,0)+IF(AND(Personnel!$E$7&gt;=2,Personnel!$E$7=57,Personnel!$G$7="Yes"),Personnel!$C$7*0.15,0)+IF(AND(Personnel!$E$8&gt;=2,Personnel!$E$8=57,Personnel!$G$8="Yes"),Personnel!$C$8*0.15,0)+IF(AND(Personnel!$E$9&gt;=2,Personnel!$E$9=57,Personnel!$G$9="Yes"),Personnel!$C$9*0.15,0)+IF(AND(Personnel!$E$10&gt;=2,Personnel!$E$10=57,Personnel!$G$10="Yes"),Personnel!$C$10*0.15,0)+IF(AND(Personnel!$E$11&gt;=2,Personnel!$E$11=57,Personnel!$G$11="Yes"),Personnel!$C$11*0.15,0)+IF(AND(Personnel!$E$12&gt;=2,Personnel!$E$12=57,Personnel!$G$12="Yes"),Personnel!$C$12*0.15,0)+IF(AND(Personnel!$E$13&gt;=2,Personnel!$E$13=57,Personnel!$G$13="Yes"),Personnel!$C$13*0.15,0)+IF(AND(Personnel!$E$14&gt;=2,Personnel!$E$14=57,Personnel!$G$14="Yes"),Personnel!$C$14*0.15,0)+IF(AND(Personnel!$E$15&gt;=2,Personnel!$E$15=57,Personnel!$G$15="Yes"),Personnel!$C$15*0.15,0)+IF(AND(Personnel!$E$16&gt;=2,Personnel!$E$16=57,Personnel!$G$16="Yes"),Personnel!$C$16*0.15,0)+IF(AND(Personnel!$E$17&gt;=2,Personnel!$E$17=57,Personnel!$G$17="Yes"),Personnel!$C$17*0.15,0)+IF(AND(Personnel!$E$18&gt;=2,Personnel!$E$18=57,Personnel!$G$18="Yes"),Personnel!$C$18*0.15,0)+IF(AND(Personnel!$E$19&gt;=2,Personnel!$E$19=57,Personnel!$G$19="Yes"),Personnel!$C$19*0.15,0)+IF(AND(Personnel!$E$20&gt;=2,Personnel!$E$20=57,Personnel!$G$20="Yes"),Personnel!$C$20*0.15,0)+IF(AND(Personnel!$E$21&gt;=2,Personnel!$E$21=57,Personnel!$G$21="Yes"),Personnel!$C$21*0.15,0)+IF(AND(Personnel!$E$22&gt;=2,Personnel!$E$22=57,Personnel!$G$22="Yes"),Personnel!$C$22*0.15,0)+IF(AND(Personnel!$E$23&gt;=2,Personnel!$E$23=57,Personnel!$G$23="Yes"),Personnel!$C$23*0.15,0)+IF(AND(Personnel!$E$24&gt;=2,Personnel!$E$24=57,Personnel!$G$24="Yes"),Personnel!$C$24*0.15,0)+IF(AND(Personnel!$E$25&gt;=2,Personnel!$E$25=57,Personnel!$G$25="Yes"),Personnel!$C$25*0.15,0)+IF(AND(Personnel!$E$26&gt;=2,Personnel!$E$26=57,Personnel!$G$26="Yes"),Personnel!$C$26*0.15,0)+IF(AND(Personnel!$E$27&gt;=2,Personnel!$E$27=57,Personnel!$G$27="Yes"),Personnel!$C$27*0.15,0)+IF(AND(Personnel!$E$28&gt;=2,Personnel!$E$28=57,Personnel!$G$28="Yes"),Personnel!$C$28*0.15,0)+IF(AND(Personnel!$E$29&gt;=2,Personnel!$E$29=57,Personnel!$G$29="Yes"),Personnel!$C$29*0.15,0)+IF(AND(Personnel!$E$30&gt;=2,Personnel!$E$30=57,Personnel!$G$30="Yes"),Personnel!$C$30*0.15,0)+IF(AND(Personnel!$E$31&gt;=2,Personnel!$E$31=57,Personnel!$G$31="Yes"),Personnel!$C$31*0.15,0)+IF(AND(Personnel!$E$32&gt;=2,Personnel!$E$32=57,Personnel!$G$32="Yes"),Personnel!$C$32*0.15,0)+IF(AND(Personnel!$E$33&gt;=2,Personnel!$E$33=57,Personnel!$G$33="Yes"),Personnel!$C$33*0.15,0)),Actuals!BJ41)</f>
        <v>-0</v>
      </c>
      <c r="BJ131" s="14" t="n">
        <f aca="false">IF(ISBLANK(Actuals!BK41),-(IF(AND(Personnel!$E$2&gt;=2,Personnel!$E$2=58,Personnel!$G$2="Yes"),Personnel!$C$2*0.15,0)+IF(AND(Personnel!$E$3&gt;=2,Personnel!$E$3=58,Personnel!$G$3="Yes"),Personnel!$C$3*0.15,0)+IF(AND(Personnel!$E$4&gt;=2,Personnel!$E$4=58,Personnel!$G$4="Yes"),Personnel!$C$4*0.15,0)+IF(AND(Personnel!$E$5&gt;=2,Personnel!$E$5=58,Personnel!$G$5="Yes"),Personnel!$C$5*0.15,0)+IF(AND(Personnel!$E$6&gt;=2,Personnel!$E$6=58,Personnel!$G$6="Yes"),Personnel!$C$6*0.15,0)+IF(AND(Personnel!$E$7&gt;=2,Personnel!$E$7=58,Personnel!$G$7="Yes"),Personnel!$C$7*0.15,0)+IF(AND(Personnel!$E$8&gt;=2,Personnel!$E$8=58,Personnel!$G$8="Yes"),Personnel!$C$8*0.15,0)+IF(AND(Personnel!$E$9&gt;=2,Personnel!$E$9=58,Personnel!$G$9="Yes"),Personnel!$C$9*0.15,0)+IF(AND(Personnel!$E$10&gt;=2,Personnel!$E$10=58,Personnel!$G$10="Yes"),Personnel!$C$10*0.15,0)+IF(AND(Personnel!$E$11&gt;=2,Personnel!$E$11=58,Personnel!$G$11="Yes"),Personnel!$C$11*0.15,0)+IF(AND(Personnel!$E$12&gt;=2,Personnel!$E$12=58,Personnel!$G$12="Yes"),Personnel!$C$12*0.15,0)+IF(AND(Personnel!$E$13&gt;=2,Personnel!$E$13=58,Personnel!$G$13="Yes"),Personnel!$C$13*0.15,0)+IF(AND(Personnel!$E$14&gt;=2,Personnel!$E$14=58,Personnel!$G$14="Yes"),Personnel!$C$14*0.15,0)+IF(AND(Personnel!$E$15&gt;=2,Personnel!$E$15=58,Personnel!$G$15="Yes"),Personnel!$C$15*0.15,0)+IF(AND(Personnel!$E$16&gt;=2,Personnel!$E$16=58,Personnel!$G$16="Yes"),Personnel!$C$16*0.15,0)+IF(AND(Personnel!$E$17&gt;=2,Personnel!$E$17=58,Personnel!$G$17="Yes"),Personnel!$C$17*0.15,0)+IF(AND(Personnel!$E$18&gt;=2,Personnel!$E$18=58,Personnel!$G$18="Yes"),Personnel!$C$18*0.15,0)+IF(AND(Personnel!$E$19&gt;=2,Personnel!$E$19=58,Personnel!$G$19="Yes"),Personnel!$C$19*0.15,0)+IF(AND(Personnel!$E$20&gt;=2,Personnel!$E$20=58,Personnel!$G$20="Yes"),Personnel!$C$20*0.15,0)+IF(AND(Personnel!$E$21&gt;=2,Personnel!$E$21=58,Personnel!$G$21="Yes"),Personnel!$C$21*0.15,0)+IF(AND(Personnel!$E$22&gt;=2,Personnel!$E$22=58,Personnel!$G$22="Yes"),Personnel!$C$22*0.15,0)+IF(AND(Personnel!$E$23&gt;=2,Personnel!$E$23=58,Personnel!$G$23="Yes"),Personnel!$C$23*0.15,0)+IF(AND(Personnel!$E$24&gt;=2,Personnel!$E$24=58,Personnel!$G$24="Yes"),Personnel!$C$24*0.15,0)+IF(AND(Personnel!$E$25&gt;=2,Personnel!$E$25=58,Personnel!$G$25="Yes"),Personnel!$C$25*0.15,0)+IF(AND(Personnel!$E$26&gt;=2,Personnel!$E$26=58,Personnel!$G$26="Yes"),Personnel!$C$26*0.15,0)+IF(AND(Personnel!$E$27&gt;=2,Personnel!$E$27=58,Personnel!$G$27="Yes"),Personnel!$C$27*0.15,0)+IF(AND(Personnel!$E$28&gt;=2,Personnel!$E$28=58,Personnel!$G$28="Yes"),Personnel!$C$28*0.15,0)+IF(AND(Personnel!$E$29&gt;=2,Personnel!$E$29=58,Personnel!$G$29="Yes"),Personnel!$C$29*0.15,0)+IF(AND(Personnel!$E$30&gt;=2,Personnel!$E$30=58,Personnel!$G$30="Yes"),Personnel!$C$30*0.15,0)+IF(AND(Personnel!$E$31&gt;=2,Personnel!$E$31=58,Personnel!$G$31="Yes"),Personnel!$C$31*0.15,0)+IF(AND(Personnel!$E$32&gt;=2,Personnel!$E$32=58,Personnel!$G$32="Yes"),Personnel!$C$32*0.15,0)+IF(AND(Personnel!$E$33&gt;=2,Personnel!$E$33=58,Personnel!$G$33="Yes"),Personnel!$C$33*0.15,0)),Actuals!BK41)</f>
        <v>-0</v>
      </c>
      <c r="BK131" s="14" t="n">
        <f aca="false">IF(ISBLANK(Actuals!BL41),-(IF(AND(Personnel!$E$2&gt;=2,Personnel!$E$2=59,Personnel!$G$2="Yes"),Personnel!$C$2*0.15,0)+IF(AND(Personnel!$E$3&gt;=2,Personnel!$E$3=59,Personnel!$G$3="Yes"),Personnel!$C$3*0.15,0)+IF(AND(Personnel!$E$4&gt;=2,Personnel!$E$4=59,Personnel!$G$4="Yes"),Personnel!$C$4*0.15,0)+IF(AND(Personnel!$E$5&gt;=2,Personnel!$E$5=59,Personnel!$G$5="Yes"),Personnel!$C$5*0.15,0)+IF(AND(Personnel!$E$6&gt;=2,Personnel!$E$6=59,Personnel!$G$6="Yes"),Personnel!$C$6*0.15,0)+IF(AND(Personnel!$E$7&gt;=2,Personnel!$E$7=59,Personnel!$G$7="Yes"),Personnel!$C$7*0.15,0)+IF(AND(Personnel!$E$8&gt;=2,Personnel!$E$8=59,Personnel!$G$8="Yes"),Personnel!$C$8*0.15,0)+IF(AND(Personnel!$E$9&gt;=2,Personnel!$E$9=59,Personnel!$G$9="Yes"),Personnel!$C$9*0.15,0)+IF(AND(Personnel!$E$10&gt;=2,Personnel!$E$10=59,Personnel!$G$10="Yes"),Personnel!$C$10*0.15,0)+IF(AND(Personnel!$E$11&gt;=2,Personnel!$E$11=59,Personnel!$G$11="Yes"),Personnel!$C$11*0.15,0)+IF(AND(Personnel!$E$12&gt;=2,Personnel!$E$12=59,Personnel!$G$12="Yes"),Personnel!$C$12*0.15,0)+IF(AND(Personnel!$E$13&gt;=2,Personnel!$E$13=59,Personnel!$G$13="Yes"),Personnel!$C$13*0.15,0)+IF(AND(Personnel!$E$14&gt;=2,Personnel!$E$14=59,Personnel!$G$14="Yes"),Personnel!$C$14*0.15,0)+IF(AND(Personnel!$E$15&gt;=2,Personnel!$E$15=59,Personnel!$G$15="Yes"),Personnel!$C$15*0.15,0)+IF(AND(Personnel!$E$16&gt;=2,Personnel!$E$16=59,Personnel!$G$16="Yes"),Personnel!$C$16*0.15,0)+IF(AND(Personnel!$E$17&gt;=2,Personnel!$E$17=59,Personnel!$G$17="Yes"),Personnel!$C$17*0.15,0)+IF(AND(Personnel!$E$18&gt;=2,Personnel!$E$18=59,Personnel!$G$18="Yes"),Personnel!$C$18*0.15,0)+IF(AND(Personnel!$E$19&gt;=2,Personnel!$E$19=59,Personnel!$G$19="Yes"),Personnel!$C$19*0.15,0)+IF(AND(Personnel!$E$20&gt;=2,Personnel!$E$20=59,Personnel!$G$20="Yes"),Personnel!$C$20*0.15,0)+IF(AND(Personnel!$E$21&gt;=2,Personnel!$E$21=59,Personnel!$G$21="Yes"),Personnel!$C$21*0.15,0)+IF(AND(Personnel!$E$22&gt;=2,Personnel!$E$22=59,Personnel!$G$22="Yes"),Personnel!$C$22*0.15,0)+IF(AND(Personnel!$E$23&gt;=2,Personnel!$E$23=59,Personnel!$G$23="Yes"),Personnel!$C$23*0.15,0)+IF(AND(Personnel!$E$24&gt;=2,Personnel!$E$24=59,Personnel!$G$24="Yes"),Personnel!$C$24*0.15,0)+IF(AND(Personnel!$E$25&gt;=2,Personnel!$E$25=59,Personnel!$G$25="Yes"),Personnel!$C$25*0.15,0)+IF(AND(Personnel!$E$26&gt;=2,Personnel!$E$26=59,Personnel!$G$26="Yes"),Personnel!$C$26*0.15,0)+IF(AND(Personnel!$E$27&gt;=2,Personnel!$E$27=59,Personnel!$G$27="Yes"),Personnel!$C$27*0.15,0)+IF(AND(Personnel!$E$28&gt;=2,Personnel!$E$28=59,Personnel!$G$28="Yes"),Personnel!$C$28*0.15,0)+IF(AND(Personnel!$E$29&gt;=2,Personnel!$E$29=59,Personnel!$G$29="Yes"),Personnel!$C$29*0.15,0)+IF(AND(Personnel!$E$30&gt;=2,Personnel!$E$30=59,Personnel!$G$30="Yes"),Personnel!$C$30*0.15,0)+IF(AND(Personnel!$E$31&gt;=2,Personnel!$E$31=59,Personnel!$G$31="Yes"),Personnel!$C$31*0.15,0)+IF(AND(Personnel!$E$32&gt;=2,Personnel!$E$32=59,Personnel!$G$32="Yes"),Personnel!$C$32*0.15,0)+IF(AND(Personnel!$E$33&gt;=2,Personnel!$E$33=59,Personnel!$G$33="Yes"),Personnel!$C$33*0.15,0)),Actuals!BL41)</f>
        <v>-0</v>
      </c>
      <c r="BL131" s="14" t="n">
        <f aca="false">IF(ISBLANK(Actuals!BM41),-(IF(AND(Personnel!$E$2&gt;=2,Personnel!$E$2=60,Personnel!$G$2="Yes"),Personnel!$C$2*0.15,0)+IF(AND(Personnel!$E$3&gt;=2,Personnel!$E$3=60,Personnel!$G$3="Yes"),Personnel!$C$3*0.15,0)+IF(AND(Personnel!$E$4&gt;=2,Personnel!$E$4=60,Personnel!$G$4="Yes"),Personnel!$C$4*0.15,0)+IF(AND(Personnel!$E$5&gt;=2,Personnel!$E$5=60,Personnel!$G$5="Yes"),Personnel!$C$5*0.15,0)+IF(AND(Personnel!$E$6&gt;=2,Personnel!$E$6=60,Personnel!$G$6="Yes"),Personnel!$C$6*0.15,0)+IF(AND(Personnel!$E$7&gt;=2,Personnel!$E$7=60,Personnel!$G$7="Yes"),Personnel!$C$7*0.15,0)+IF(AND(Personnel!$E$8&gt;=2,Personnel!$E$8=60,Personnel!$G$8="Yes"),Personnel!$C$8*0.15,0)+IF(AND(Personnel!$E$9&gt;=2,Personnel!$E$9=60,Personnel!$G$9="Yes"),Personnel!$C$9*0.15,0)+IF(AND(Personnel!$E$10&gt;=2,Personnel!$E$10=60,Personnel!$G$10="Yes"),Personnel!$C$10*0.15,0)+IF(AND(Personnel!$E$11&gt;=2,Personnel!$E$11=60,Personnel!$G$11="Yes"),Personnel!$C$11*0.15,0)+IF(AND(Personnel!$E$12&gt;=2,Personnel!$E$12=60,Personnel!$G$12="Yes"),Personnel!$C$12*0.15,0)+IF(AND(Personnel!$E$13&gt;=2,Personnel!$E$13=60,Personnel!$G$13="Yes"),Personnel!$C$13*0.15,0)+IF(AND(Personnel!$E$14&gt;=2,Personnel!$E$14=60,Personnel!$G$14="Yes"),Personnel!$C$14*0.15,0)+IF(AND(Personnel!$E$15&gt;=2,Personnel!$E$15=60,Personnel!$G$15="Yes"),Personnel!$C$15*0.15,0)+IF(AND(Personnel!$E$16&gt;=2,Personnel!$E$16=60,Personnel!$G$16="Yes"),Personnel!$C$16*0.15,0)+IF(AND(Personnel!$E$17&gt;=2,Personnel!$E$17=60,Personnel!$G$17="Yes"),Personnel!$C$17*0.15,0)+IF(AND(Personnel!$E$18&gt;=2,Personnel!$E$18=60,Personnel!$G$18="Yes"),Personnel!$C$18*0.15,0)+IF(AND(Personnel!$E$19&gt;=2,Personnel!$E$19=60,Personnel!$G$19="Yes"),Personnel!$C$19*0.15,0)+IF(AND(Personnel!$E$20&gt;=2,Personnel!$E$20=60,Personnel!$G$20="Yes"),Personnel!$C$20*0.15,0)+IF(AND(Personnel!$E$21&gt;=2,Personnel!$E$21=60,Personnel!$G$21="Yes"),Personnel!$C$21*0.15,0)+IF(AND(Personnel!$E$22&gt;=2,Personnel!$E$22=60,Personnel!$G$22="Yes"),Personnel!$C$22*0.15,0)+IF(AND(Personnel!$E$23&gt;=2,Personnel!$E$23=60,Personnel!$G$23="Yes"),Personnel!$C$23*0.15,0)+IF(AND(Personnel!$E$24&gt;=2,Personnel!$E$24=60,Personnel!$G$24="Yes"),Personnel!$C$24*0.15,0)+IF(AND(Personnel!$E$25&gt;=2,Personnel!$E$25=60,Personnel!$G$25="Yes"),Personnel!$C$25*0.15,0)+IF(AND(Personnel!$E$26&gt;=2,Personnel!$E$26=60,Personnel!$G$26="Yes"),Personnel!$C$26*0.15,0)+IF(AND(Personnel!$E$27&gt;=2,Personnel!$E$27=60,Personnel!$G$27="Yes"),Personnel!$C$27*0.15,0)+IF(AND(Personnel!$E$28&gt;=2,Personnel!$E$28=60,Personnel!$G$28="Yes"),Personnel!$C$28*0.15,0)+IF(AND(Personnel!$E$29&gt;=2,Personnel!$E$29=60,Personnel!$G$29="Yes"),Personnel!$C$29*0.15,0)+IF(AND(Personnel!$E$30&gt;=2,Personnel!$E$30=60,Personnel!$G$30="Yes"),Personnel!$C$30*0.15,0)+IF(AND(Personnel!$E$31&gt;=2,Personnel!$E$31=60,Personnel!$G$31="Yes"),Personnel!$C$31*0.15,0)+IF(AND(Personnel!$E$32&gt;=2,Personnel!$E$32=60,Personnel!$G$32="Yes"),Personnel!$C$32*0.15,0)+IF(AND(Personnel!$E$33&gt;=2,Personnel!$E$33=60,Personnel!$G$33="Yes"),Personnel!$C$33*0.15,0)),Actuals!BM41)</f>
        <v>-0</v>
      </c>
      <c r="BM131" s="14" t="n">
        <f aca="false">IF(ISBLANK(Actuals!BN41),-(IF(AND(Personnel!$E$2&gt;=2,Personnel!$E$2=61,Personnel!$G$2="Yes"),Personnel!$C$2*0.15,0)+IF(AND(Personnel!$E$3&gt;=2,Personnel!$E$3=61,Personnel!$G$3="Yes"),Personnel!$C$3*0.15,0)+IF(AND(Personnel!$E$4&gt;=2,Personnel!$E$4=61,Personnel!$G$4="Yes"),Personnel!$C$4*0.15,0)+IF(AND(Personnel!$E$5&gt;=2,Personnel!$E$5=61,Personnel!$G$5="Yes"),Personnel!$C$5*0.15,0)+IF(AND(Personnel!$E$6&gt;=2,Personnel!$E$6=61,Personnel!$G$6="Yes"),Personnel!$C$6*0.15,0)+IF(AND(Personnel!$E$7&gt;=2,Personnel!$E$7=61,Personnel!$G$7="Yes"),Personnel!$C$7*0.15,0)+IF(AND(Personnel!$E$8&gt;=2,Personnel!$E$8=61,Personnel!$G$8="Yes"),Personnel!$C$8*0.15,0)+IF(AND(Personnel!$E$9&gt;=2,Personnel!$E$9=61,Personnel!$G$9="Yes"),Personnel!$C$9*0.15,0)+IF(AND(Personnel!$E$10&gt;=2,Personnel!$E$10=61,Personnel!$G$10="Yes"),Personnel!$C$10*0.15,0)+IF(AND(Personnel!$E$11&gt;=2,Personnel!$E$11=61,Personnel!$G$11="Yes"),Personnel!$C$11*0.15,0)+IF(AND(Personnel!$E$12&gt;=2,Personnel!$E$12=61,Personnel!$G$12="Yes"),Personnel!$C$12*0.15,0)+IF(AND(Personnel!$E$13&gt;=2,Personnel!$E$13=61,Personnel!$G$13="Yes"),Personnel!$C$13*0.15,0)+IF(AND(Personnel!$E$14&gt;=2,Personnel!$E$14=61,Personnel!$G$14="Yes"),Personnel!$C$14*0.15,0)+IF(AND(Personnel!$E$15&gt;=2,Personnel!$E$15=61,Personnel!$G$15="Yes"),Personnel!$C$15*0.15,0)+IF(AND(Personnel!$E$16&gt;=2,Personnel!$E$16=61,Personnel!$G$16="Yes"),Personnel!$C$16*0.15,0)+IF(AND(Personnel!$E$17&gt;=2,Personnel!$E$17=61,Personnel!$G$17="Yes"),Personnel!$C$17*0.15,0)+IF(AND(Personnel!$E$18&gt;=2,Personnel!$E$18=61,Personnel!$G$18="Yes"),Personnel!$C$18*0.15,0)+IF(AND(Personnel!$E$19&gt;=2,Personnel!$E$19=61,Personnel!$G$19="Yes"),Personnel!$C$19*0.15,0)+IF(AND(Personnel!$E$20&gt;=2,Personnel!$E$20=61,Personnel!$G$20="Yes"),Personnel!$C$20*0.15,0)+IF(AND(Personnel!$E$21&gt;=2,Personnel!$E$21=61,Personnel!$G$21="Yes"),Personnel!$C$21*0.15,0)+IF(AND(Personnel!$E$22&gt;=2,Personnel!$E$22=61,Personnel!$G$22="Yes"),Personnel!$C$22*0.15,0)+IF(AND(Personnel!$E$23&gt;=2,Personnel!$E$23=61,Personnel!$G$23="Yes"),Personnel!$C$23*0.15,0)+IF(AND(Personnel!$E$24&gt;=2,Personnel!$E$24=61,Personnel!$G$24="Yes"),Personnel!$C$24*0.15,0)+IF(AND(Personnel!$E$25&gt;=2,Personnel!$E$25=61,Personnel!$G$25="Yes"),Personnel!$C$25*0.15,0)+IF(AND(Personnel!$E$26&gt;=2,Personnel!$E$26=61,Personnel!$G$26="Yes"),Personnel!$C$26*0.15,0)+IF(AND(Personnel!$E$27&gt;=2,Personnel!$E$27=61,Personnel!$G$27="Yes"),Personnel!$C$27*0.15,0)+IF(AND(Personnel!$E$28&gt;=2,Personnel!$E$28=61,Personnel!$G$28="Yes"),Personnel!$C$28*0.15,0)+IF(AND(Personnel!$E$29&gt;=2,Personnel!$E$29=61,Personnel!$G$29="Yes"),Personnel!$C$29*0.15,0)+IF(AND(Personnel!$E$30&gt;=2,Personnel!$E$30=61,Personnel!$G$30="Yes"),Personnel!$C$30*0.15,0)+IF(AND(Personnel!$E$31&gt;=2,Personnel!$E$31=61,Personnel!$G$31="Yes"),Personnel!$C$31*0.15,0)+IF(AND(Personnel!$E$32&gt;=2,Personnel!$E$32=61,Personnel!$G$32="Yes"),Personnel!$C$32*0.15,0)+IF(AND(Personnel!$E$33&gt;=2,Personnel!$E$33=61,Personnel!$G$33="Yes"),Personnel!$C$33*0.15,0)),Actuals!BN41)</f>
        <v>-0</v>
      </c>
      <c r="BN131" s="14" t="n">
        <f aca="false">IF(ISBLANK(Actuals!BO41),-(IF(AND(Personnel!$E$2&gt;=2,Personnel!$E$2=62,Personnel!$G$2="Yes"),Personnel!$C$2*0.15,0)+IF(AND(Personnel!$E$3&gt;=2,Personnel!$E$3=62,Personnel!$G$3="Yes"),Personnel!$C$3*0.15,0)+IF(AND(Personnel!$E$4&gt;=2,Personnel!$E$4=62,Personnel!$G$4="Yes"),Personnel!$C$4*0.15,0)+IF(AND(Personnel!$E$5&gt;=2,Personnel!$E$5=62,Personnel!$G$5="Yes"),Personnel!$C$5*0.15,0)+IF(AND(Personnel!$E$6&gt;=2,Personnel!$E$6=62,Personnel!$G$6="Yes"),Personnel!$C$6*0.15,0)+IF(AND(Personnel!$E$7&gt;=2,Personnel!$E$7=62,Personnel!$G$7="Yes"),Personnel!$C$7*0.15,0)+IF(AND(Personnel!$E$8&gt;=2,Personnel!$E$8=62,Personnel!$G$8="Yes"),Personnel!$C$8*0.15,0)+IF(AND(Personnel!$E$9&gt;=2,Personnel!$E$9=62,Personnel!$G$9="Yes"),Personnel!$C$9*0.15,0)+IF(AND(Personnel!$E$10&gt;=2,Personnel!$E$10=62,Personnel!$G$10="Yes"),Personnel!$C$10*0.15,0)+IF(AND(Personnel!$E$11&gt;=2,Personnel!$E$11=62,Personnel!$G$11="Yes"),Personnel!$C$11*0.15,0)+IF(AND(Personnel!$E$12&gt;=2,Personnel!$E$12=62,Personnel!$G$12="Yes"),Personnel!$C$12*0.15,0)+IF(AND(Personnel!$E$13&gt;=2,Personnel!$E$13=62,Personnel!$G$13="Yes"),Personnel!$C$13*0.15,0)+IF(AND(Personnel!$E$14&gt;=2,Personnel!$E$14=62,Personnel!$G$14="Yes"),Personnel!$C$14*0.15,0)+IF(AND(Personnel!$E$15&gt;=2,Personnel!$E$15=62,Personnel!$G$15="Yes"),Personnel!$C$15*0.15,0)+IF(AND(Personnel!$E$16&gt;=2,Personnel!$E$16=62,Personnel!$G$16="Yes"),Personnel!$C$16*0.15,0)+IF(AND(Personnel!$E$17&gt;=2,Personnel!$E$17=62,Personnel!$G$17="Yes"),Personnel!$C$17*0.15,0)+IF(AND(Personnel!$E$18&gt;=2,Personnel!$E$18=62,Personnel!$G$18="Yes"),Personnel!$C$18*0.15,0)+IF(AND(Personnel!$E$19&gt;=2,Personnel!$E$19=62,Personnel!$G$19="Yes"),Personnel!$C$19*0.15,0)+IF(AND(Personnel!$E$20&gt;=2,Personnel!$E$20=62,Personnel!$G$20="Yes"),Personnel!$C$20*0.15,0)+IF(AND(Personnel!$E$21&gt;=2,Personnel!$E$21=62,Personnel!$G$21="Yes"),Personnel!$C$21*0.15,0)+IF(AND(Personnel!$E$22&gt;=2,Personnel!$E$22=62,Personnel!$G$22="Yes"),Personnel!$C$22*0.15,0)+IF(AND(Personnel!$E$23&gt;=2,Personnel!$E$23=62,Personnel!$G$23="Yes"),Personnel!$C$23*0.15,0)+IF(AND(Personnel!$E$24&gt;=2,Personnel!$E$24=62,Personnel!$G$24="Yes"),Personnel!$C$24*0.15,0)+IF(AND(Personnel!$E$25&gt;=2,Personnel!$E$25=62,Personnel!$G$25="Yes"),Personnel!$C$25*0.15,0)+IF(AND(Personnel!$E$26&gt;=2,Personnel!$E$26=62,Personnel!$G$26="Yes"),Personnel!$C$26*0.15,0)+IF(AND(Personnel!$E$27&gt;=2,Personnel!$E$27=62,Personnel!$G$27="Yes"),Personnel!$C$27*0.15,0)+IF(AND(Personnel!$E$28&gt;=2,Personnel!$E$28=62,Personnel!$G$28="Yes"),Personnel!$C$28*0.15,0)+IF(AND(Personnel!$E$29&gt;=2,Personnel!$E$29=62,Personnel!$G$29="Yes"),Personnel!$C$29*0.15,0)+IF(AND(Personnel!$E$30&gt;=2,Personnel!$E$30=62,Personnel!$G$30="Yes"),Personnel!$C$30*0.15,0)+IF(AND(Personnel!$E$31&gt;=2,Personnel!$E$31=62,Personnel!$G$31="Yes"),Personnel!$C$31*0.15,0)+IF(AND(Personnel!$E$32&gt;=2,Personnel!$E$32=62,Personnel!$G$32="Yes"),Personnel!$C$32*0.15,0)+IF(AND(Personnel!$E$33&gt;=2,Personnel!$E$33=62,Personnel!$G$33="Yes"),Personnel!$C$33*0.15,0)),Actuals!BO41)</f>
        <v>-0</v>
      </c>
      <c r="BO131" s="14" t="n">
        <f aca="false">IF(ISBLANK(Actuals!BP41),-(IF(AND(Personnel!$E$2&gt;=2,Personnel!$E$2=63,Personnel!$G$2="Yes"),Personnel!$C$2*0.15,0)+IF(AND(Personnel!$E$3&gt;=2,Personnel!$E$3=63,Personnel!$G$3="Yes"),Personnel!$C$3*0.15,0)+IF(AND(Personnel!$E$4&gt;=2,Personnel!$E$4=63,Personnel!$G$4="Yes"),Personnel!$C$4*0.15,0)+IF(AND(Personnel!$E$5&gt;=2,Personnel!$E$5=63,Personnel!$G$5="Yes"),Personnel!$C$5*0.15,0)+IF(AND(Personnel!$E$6&gt;=2,Personnel!$E$6=63,Personnel!$G$6="Yes"),Personnel!$C$6*0.15,0)+IF(AND(Personnel!$E$7&gt;=2,Personnel!$E$7=63,Personnel!$G$7="Yes"),Personnel!$C$7*0.15,0)+IF(AND(Personnel!$E$8&gt;=2,Personnel!$E$8=63,Personnel!$G$8="Yes"),Personnel!$C$8*0.15,0)+IF(AND(Personnel!$E$9&gt;=2,Personnel!$E$9=63,Personnel!$G$9="Yes"),Personnel!$C$9*0.15,0)+IF(AND(Personnel!$E$10&gt;=2,Personnel!$E$10=63,Personnel!$G$10="Yes"),Personnel!$C$10*0.15,0)+IF(AND(Personnel!$E$11&gt;=2,Personnel!$E$11=63,Personnel!$G$11="Yes"),Personnel!$C$11*0.15,0)+IF(AND(Personnel!$E$12&gt;=2,Personnel!$E$12=63,Personnel!$G$12="Yes"),Personnel!$C$12*0.15,0)+IF(AND(Personnel!$E$13&gt;=2,Personnel!$E$13=63,Personnel!$G$13="Yes"),Personnel!$C$13*0.15,0)+IF(AND(Personnel!$E$14&gt;=2,Personnel!$E$14=63,Personnel!$G$14="Yes"),Personnel!$C$14*0.15,0)+IF(AND(Personnel!$E$15&gt;=2,Personnel!$E$15=63,Personnel!$G$15="Yes"),Personnel!$C$15*0.15,0)+IF(AND(Personnel!$E$16&gt;=2,Personnel!$E$16=63,Personnel!$G$16="Yes"),Personnel!$C$16*0.15,0)+IF(AND(Personnel!$E$17&gt;=2,Personnel!$E$17=63,Personnel!$G$17="Yes"),Personnel!$C$17*0.15,0)+IF(AND(Personnel!$E$18&gt;=2,Personnel!$E$18=63,Personnel!$G$18="Yes"),Personnel!$C$18*0.15,0)+IF(AND(Personnel!$E$19&gt;=2,Personnel!$E$19=63,Personnel!$G$19="Yes"),Personnel!$C$19*0.15,0)+IF(AND(Personnel!$E$20&gt;=2,Personnel!$E$20=63,Personnel!$G$20="Yes"),Personnel!$C$20*0.15,0)+IF(AND(Personnel!$E$21&gt;=2,Personnel!$E$21=63,Personnel!$G$21="Yes"),Personnel!$C$21*0.15,0)+IF(AND(Personnel!$E$22&gt;=2,Personnel!$E$22=63,Personnel!$G$22="Yes"),Personnel!$C$22*0.15,0)+IF(AND(Personnel!$E$23&gt;=2,Personnel!$E$23=63,Personnel!$G$23="Yes"),Personnel!$C$23*0.15,0)+IF(AND(Personnel!$E$24&gt;=2,Personnel!$E$24=63,Personnel!$G$24="Yes"),Personnel!$C$24*0.15,0)+IF(AND(Personnel!$E$25&gt;=2,Personnel!$E$25=63,Personnel!$G$25="Yes"),Personnel!$C$25*0.15,0)+IF(AND(Personnel!$E$26&gt;=2,Personnel!$E$26=63,Personnel!$G$26="Yes"),Personnel!$C$26*0.15,0)+IF(AND(Personnel!$E$27&gt;=2,Personnel!$E$27=63,Personnel!$G$27="Yes"),Personnel!$C$27*0.15,0)+IF(AND(Personnel!$E$28&gt;=2,Personnel!$E$28=63,Personnel!$G$28="Yes"),Personnel!$C$28*0.15,0)+IF(AND(Personnel!$E$29&gt;=2,Personnel!$E$29=63,Personnel!$G$29="Yes"),Personnel!$C$29*0.15,0)+IF(AND(Personnel!$E$30&gt;=2,Personnel!$E$30=63,Personnel!$G$30="Yes"),Personnel!$C$30*0.15,0)+IF(AND(Personnel!$E$31&gt;=2,Personnel!$E$31=63,Personnel!$G$31="Yes"),Personnel!$C$31*0.15,0)+IF(AND(Personnel!$E$32&gt;=2,Personnel!$E$32=63,Personnel!$G$32="Yes"),Personnel!$C$32*0.15,0)+IF(AND(Personnel!$E$33&gt;=2,Personnel!$E$33=63,Personnel!$G$33="Yes"),Personnel!$C$33*0.15,0)),Actuals!BP41)</f>
        <v>-0</v>
      </c>
      <c r="BP131" s="14" t="n">
        <f aca="false">IF(ISBLANK(Actuals!BQ41),-(IF(AND(Personnel!$E$2&gt;=2,Personnel!$E$2=64,Personnel!$G$2="Yes"),Personnel!$C$2*0.15,0)+IF(AND(Personnel!$E$3&gt;=2,Personnel!$E$3=64,Personnel!$G$3="Yes"),Personnel!$C$3*0.15,0)+IF(AND(Personnel!$E$4&gt;=2,Personnel!$E$4=64,Personnel!$G$4="Yes"),Personnel!$C$4*0.15,0)+IF(AND(Personnel!$E$5&gt;=2,Personnel!$E$5=64,Personnel!$G$5="Yes"),Personnel!$C$5*0.15,0)+IF(AND(Personnel!$E$6&gt;=2,Personnel!$E$6=64,Personnel!$G$6="Yes"),Personnel!$C$6*0.15,0)+IF(AND(Personnel!$E$7&gt;=2,Personnel!$E$7=64,Personnel!$G$7="Yes"),Personnel!$C$7*0.15,0)+IF(AND(Personnel!$E$8&gt;=2,Personnel!$E$8=64,Personnel!$G$8="Yes"),Personnel!$C$8*0.15,0)+IF(AND(Personnel!$E$9&gt;=2,Personnel!$E$9=64,Personnel!$G$9="Yes"),Personnel!$C$9*0.15,0)+IF(AND(Personnel!$E$10&gt;=2,Personnel!$E$10=64,Personnel!$G$10="Yes"),Personnel!$C$10*0.15,0)+IF(AND(Personnel!$E$11&gt;=2,Personnel!$E$11=64,Personnel!$G$11="Yes"),Personnel!$C$11*0.15,0)+IF(AND(Personnel!$E$12&gt;=2,Personnel!$E$12=64,Personnel!$G$12="Yes"),Personnel!$C$12*0.15,0)+IF(AND(Personnel!$E$13&gt;=2,Personnel!$E$13=64,Personnel!$G$13="Yes"),Personnel!$C$13*0.15,0)+IF(AND(Personnel!$E$14&gt;=2,Personnel!$E$14=64,Personnel!$G$14="Yes"),Personnel!$C$14*0.15,0)+IF(AND(Personnel!$E$15&gt;=2,Personnel!$E$15=64,Personnel!$G$15="Yes"),Personnel!$C$15*0.15,0)+IF(AND(Personnel!$E$16&gt;=2,Personnel!$E$16=64,Personnel!$G$16="Yes"),Personnel!$C$16*0.15,0)+IF(AND(Personnel!$E$17&gt;=2,Personnel!$E$17=64,Personnel!$G$17="Yes"),Personnel!$C$17*0.15,0)+IF(AND(Personnel!$E$18&gt;=2,Personnel!$E$18=64,Personnel!$G$18="Yes"),Personnel!$C$18*0.15,0)+IF(AND(Personnel!$E$19&gt;=2,Personnel!$E$19=64,Personnel!$G$19="Yes"),Personnel!$C$19*0.15,0)+IF(AND(Personnel!$E$20&gt;=2,Personnel!$E$20=64,Personnel!$G$20="Yes"),Personnel!$C$20*0.15,0)+IF(AND(Personnel!$E$21&gt;=2,Personnel!$E$21=64,Personnel!$G$21="Yes"),Personnel!$C$21*0.15,0)+IF(AND(Personnel!$E$22&gt;=2,Personnel!$E$22=64,Personnel!$G$22="Yes"),Personnel!$C$22*0.15,0)+IF(AND(Personnel!$E$23&gt;=2,Personnel!$E$23=64,Personnel!$G$23="Yes"),Personnel!$C$23*0.15,0)+IF(AND(Personnel!$E$24&gt;=2,Personnel!$E$24=64,Personnel!$G$24="Yes"),Personnel!$C$24*0.15,0)+IF(AND(Personnel!$E$25&gt;=2,Personnel!$E$25=64,Personnel!$G$25="Yes"),Personnel!$C$25*0.15,0)+IF(AND(Personnel!$E$26&gt;=2,Personnel!$E$26=64,Personnel!$G$26="Yes"),Personnel!$C$26*0.15,0)+IF(AND(Personnel!$E$27&gt;=2,Personnel!$E$27=64,Personnel!$G$27="Yes"),Personnel!$C$27*0.15,0)+IF(AND(Personnel!$E$28&gt;=2,Personnel!$E$28=64,Personnel!$G$28="Yes"),Personnel!$C$28*0.15,0)+IF(AND(Personnel!$E$29&gt;=2,Personnel!$E$29=64,Personnel!$G$29="Yes"),Personnel!$C$29*0.15,0)+IF(AND(Personnel!$E$30&gt;=2,Personnel!$E$30=64,Personnel!$G$30="Yes"),Personnel!$C$30*0.15,0)+IF(AND(Personnel!$E$31&gt;=2,Personnel!$E$31=64,Personnel!$G$31="Yes"),Personnel!$C$31*0.15,0)+IF(AND(Personnel!$E$32&gt;=2,Personnel!$E$32=64,Personnel!$G$32="Yes"),Personnel!$C$32*0.15,0)+IF(AND(Personnel!$E$33&gt;=2,Personnel!$E$33=64,Personnel!$G$33="Yes"),Personnel!$C$33*0.15,0)),Actuals!BQ41)</f>
        <v>-0</v>
      </c>
      <c r="BQ131" s="14" t="n">
        <f aca="false">IF(ISBLANK(Actuals!BR41),-(IF(AND(Personnel!$E$2&gt;=2,Personnel!$E$2=65,Personnel!$G$2="Yes"),Personnel!$C$2*0.15,0)+IF(AND(Personnel!$E$3&gt;=2,Personnel!$E$3=65,Personnel!$G$3="Yes"),Personnel!$C$3*0.15,0)+IF(AND(Personnel!$E$4&gt;=2,Personnel!$E$4=65,Personnel!$G$4="Yes"),Personnel!$C$4*0.15,0)+IF(AND(Personnel!$E$5&gt;=2,Personnel!$E$5=65,Personnel!$G$5="Yes"),Personnel!$C$5*0.15,0)+IF(AND(Personnel!$E$6&gt;=2,Personnel!$E$6=65,Personnel!$G$6="Yes"),Personnel!$C$6*0.15,0)+IF(AND(Personnel!$E$7&gt;=2,Personnel!$E$7=65,Personnel!$G$7="Yes"),Personnel!$C$7*0.15,0)+IF(AND(Personnel!$E$8&gt;=2,Personnel!$E$8=65,Personnel!$G$8="Yes"),Personnel!$C$8*0.15,0)+IF(AND(Personnel!$E$9&gt;=2,Personnel!$E$9=65,Personnel!$G$9="Yes"),Personnel!$C$9*0.15,0)+IF(AND(Personnel!$E$10&gt;=2,Personnel!$E$10=65,Personnel!$G$10="Yes"),Personnel!$C$10*0.15,0)+IF(AND(Personnel!$E$11&gt;=2,Personnel!$E$11=65,Personnel!$G$11="Yes"),Personnel!$C$11*0.15,0)+IF(AND(Personnel!$E$12&gt;=2,Personnel!$E$12=65,Personnel!$G$12="Yes"),Personnel!$C$12*0.15,0)+IF(AND(Personnel!$E$13&gt;=2,Personnel!$E$13=65,Personnel!$G$13="Yes"),Personnel!$C$13*0.15,0)+IF(AND(Personnel!$E$14&gt;=2,Personnel!$E$14=65,Personnel!$G$14="Yes"),Personnel!$C$14*0.15,0)+IF(AND(Personnel!$E$15&gt;=2,Personnel!$E$15=65,Personnel!$G$15="Yes"),Personnel!$C$15*0.15,0)+IF(AND(Personnel!$E$16&gt;=2,Personnel!$E$16=65,Personnel!$G$16="Yes"),Personnel!$C$16*0.15,0)+IF(AND(Personnel!$E$17&gt;=2,Personnel!$E$17=65,Personnel!$G$17="Yes"),Personnel!$C$17*0.15,0)+IF(AND(Personnel!$E$18&gt;=2,Personnel!$E$18=65,Personnel!$G$18="Yes"),Personnel!$C$18*0.15,0)+IF(AND(Personnel!$E$19&gt;=2,Personnel!$E$19=65,Personnel!$G$19="Yes"),Personnel!$C$19*0.15,0)+IF(AND(Personnel!$E$20&gt;=2,Personnel!$E$20=65,Personnel!$G$20="Yes"),Personnel!$C$20*0.15,0)+IF(AND(Personnel!$E$21&gt;=2,Personnel!$E$21=65,Personnel!$G$21="Yes"),Personnel!$C$21*0.15,0)+IF(AND(Personnel!$E$22&gt;=2,Personnel!$E$22=65,Personnel!$G$22="Yes"),Personnel!$C$22*0.15,0)+IF(AND(Personnel!$E$23&gt;=2,Personnel!$E$23=65,Personnel!$G$23="Yes"),Personnel!$C$23*0.15,0)+IF(AND(Personnel!$E$24&gt;=2,Personnel!$E$24=65,Personnel!$G$24="Yes"),Personnel!$C$24*0.15,0)+IF(AND(Personnel!$E$25&gt;=2,Personnel!$E$25=65,Personnel!$G$25="Yes"),Personnel!$C$25*0.15,0)+IF(AND(Personnel!$E$26&gt;=2,Personnel!$E$26=65,Personnel!$G$26="Yes"),Personnel!$C$26*0.15,0)+IF(AND(Personnel!$E$27&gt;=2,Personnel!$E$27=65,Personnel!$G$27="Yes"),Personnel!$C$27*0.15,0)+IF(AND(Personnel!$E$28&gt;=2,Personnel!$E$28=65,Personnel!$G$28="Yes"),Personnel!$C$28*0.15,0)+IF(AND(Personnel!$E$29&gt;=2,Personnel!$E$29=65,Personnel!$G$29="Yes"),Personnel!$C$29*0.15,0)+IF(AND(Personnel!$E$30&gt;=2,Personnel!$E$30=65,Personnel!$G$30="Yes"),Personnel!$C$30*0.15,0)+IF(AND(Personnel!$E$31&gt;=2,Personnel!$E$31=65,Personnel!$G$31="Yes"),Personnel!$C$31*0.15,0)+IF(AND(Personnel!$E$32&gt;=2,Personnel!$E$32=65,Personnel!$G$32="Yes"),Personnel!$C$32*0.15,0)+IF(AND(Personnel!$E$33&gt;=2,Personnel!$E$33=65,Personnel!$G$33="Yes"),Personnel!$C$33*0.15,0)),Actuals!BR41)</f>
        <v>-0</v>
      </c>
      <c r="BR131" s="14" t="n">
        <f aca="false">IF(ISBLANK(Actuals!BS41),-(IF(AND(Personnel!$E$2&gt;=2,Personnel!$E$2=66,Personnel!$G$2="Yes"),Personnel!$C$2*0.15,0)+IF(AND(Personnel!$E$3&gt;=2,Personnel!$E$3=66,Personnel!$G$3="Yes"),Personnel!$C$3*0.15,0)+IF(AND(Personnel!$E$4&gt;=2,Personnel!$E$4=66,Personnel!$G$4="Yes"),Personnel!$C$4*0.15,0)+IF(AND(Personnel!$E$5&gt;=2,Personnel!$E$5=66,Personnel!$G$5="Yes"),Personnel!$C$5*0.15,0)+IF(AND(Personnel!$E$6&gt;=2,Personnel!$E$6=66,Personnel!$G$6="Yes"),Personnel!$C$6*0.15,0)+IF(AND(Personnel!$E$7&gt;=2,Personnel!$E$7=66,Personnel!$G$7="Yes"),Personnel!$C$7*0.15,0)+IF(AND(Personnel!$E$8&gt;=2,Personnel!$E$8=66,Personnel!$G$8="Yes"),Personnel!$C$8*0.15,0)+IF(AND(Personnel!$E$9&gt;=2,Personnel!$E$9=66,Personnel!$G$9="Yes"),Personnel!$C$9*0.15,0)+IF(AND(Personnel!$E$10&gt;=2,Personnel!$E$10=66,Personnel!$G$10="Yes"),Personnel!$C$10*0.15,0)+IF(AND(Personnel!$E$11&gt;=2,Personnel!$E$11=66,Personnel!$G$11="Yes"),Personnel!$C$11*0.15,0)+IF(AND(Personnel!$E$12&gt;=2,Personnel!$E$12=66,Personnel!$G$12="Yes"),Personnel!$C$12*0.15,0)+IF(AND(Personnel!$E$13&gt;=2,Personnel!$E$13=66,Personnel!$G$13="Yes"),Personnel!$C$13*0.15,0)+IF(AND(Personnel!$E$14&gt;=2,Personnel!$E$14=66,Personnel!$G$14="Yes"),Personnel!$C$14*0.15,0)+IF(AND(Personnel!$E$15&gt;=2,Personnel!$E$15=66,Personnel!$G$15="Yes"),Personnel!$C$15*0.15,0)+IF(AND(Personnel!$E$16&gt;=2,Personnel!$E$16=66,Personnel!$G$16="Yes"),Personnel!$C$16*0.15,0)+IF(AND(Personnel!$E$17&gt;=2,Personnel!$E$17=66,Personnel!$G$17="Yes"),Personnel!$C$17*0.15,0)+IF(AND(Personnel!$E$18&gt;=2,Personnel!$E$18=66,Personnel!$G$18="Yes"),Personnel!$C$18*0.15,0)+IF(AND(Personnel!$E$19&gt;=2,Personnel!$E$19=66,Personnel!$G$19="Yes"),Personnel!$C$19*0.15,0)+IF(AND(Personnel!$E$20&gt;=2,Personnel!$E$20=66,Personnel!$G$20="Yes"),Personnel!$C$20*0.15,0)+IF(AND(Personnel!$E$21&gt;=2,Personnel!$E$21=66,Personnel!$G$21="Yes"),Personnel!$C$21*0.15,0)+IF(AND(Personnel!$E$22&gt;=2,Personnel!$E$22=66,Personnel!$G$22="Yes"),Personnel!$C$22*0.15,0)+IF(AND(Personnel!$E$23&gt;=2,Personnel!$E$23=66,Personnel!$G$23="Yes"),Personnel!$C$23*0.15,0)+IF(AND(Personnel!$E$24&gt;=2,Personnel!$E$24=66,Personnel!$G$24="Yes"),Personnel!$C$24*0.15,0)+IF(AND(Personnel!$E$25&gt;=2,Personnel!$E$25=66,Personnel!$G$25="Yes"),Personnel!$C$25*0.15,0)+IF(AND(Personnel!$E$26&gt;=2,Personnel!$E$26=66,Personnel!$G$26="Yes"),Personnel!$C$26*0.15,0)+IF(AND(Personnel!$E$27&gt;=2,Personnel!$E$27=66,Personnel!$G$27="Yes"),Personnel!$C$27*0.15,0)+IF(AND(Personnel!$E$28&gt;=2,Personnel!$E$28=66,Personnel!$G$28="Yes"),Personnel!$C$28*0.15,0)+IF(AND(Personnel!$E$29&gt;=2,Personnel!$E$29=66,Personnel!$G$29="Yes"),Personnel!$C$29*0.15,0)+IF(AND(Personnel!$E$30&gt;=2,Personnel!$E$30=66,Personnel!$G$30="Yes"),Personnel!$C$30*0.15,0)+IF(AND(Personnel!$E$31&gt;=2,Personnel!$E$31=66,Personnel!$G$31="Yes"),Personnel!$C$31*0.15,0)+IF(AND(Personnel!$E$32&gt;=2,Personnel!$E$32=66,Personnel!$G$32="Yes"),Personnel!$C$32*0.15,0)+IF(AND(Personnel!$E$33&gt;=2,Personnel!$E$33=66,Personnel!$G$33="Yes"),Personnel!$C$33*0.15,0)),Actuals!BS41)</f>
        <v>-0</v>
      </c>
      <c r="BS131" s="14" t="n">
        <f aca="false">IF(ISBLANK(Actuals!BT41),-(IF(AND(Personnel!$E$2&gt;=2,Personnel!$E$2=67,Personnel!$G$2="Yes"),Personnel!$C$2*0.15,0)+IF(AND(Personnel!$E$3&gt;=2,Personnel!$E$3=67,Personnel!$G$3="Yes"),Personnel!$C$3*0.15,0)+IF(AND(Personnel!$E$4&gt;=2,Personnel!$E$4=67,Personnel!$G$4="Yes"),Personnel!$C$4*0.15,0)+IF(AND(Personnel!$E$5&gt;=2,Personnel!$E$5=67,Personnel!$G$5="Yes"),Personnel!$C$5*0.15,0)+IF(AND(Personnel!$E$6&gt;=2,Personnel!$E$6=67,Personnel!$G$6="Yes"),Personnel!$C$6*0.15,0)+IF(AND(Personnel!$E$7&gt;=2,Personnel!$E$7=67,Personnel!$G$7="Yes"),Personnel!$C$7*0.15,0)+IF(AND(Personnel!$E$8&gt;=2,Personnel!$E$8=67,Personnel!$G$8="Yes"),Personnel!$C$8*0.15,0)+IF(AND(Personnel!$E$9&gt;=2,Personnel!$E$9=67,Personnel!$G$9="Yes"),Personnel!$C$9*0.15,0)+IF(AND(Personnel!$E$10&gt;=2,Personnel!$E$10=67,Personnel!$G$10="Yes"),Personnel!$C$10*0.15,0)+IF(AND(Personnel!$E$11&gt;=2,Personnel!$E$11=67,Personnel!$G$11="Yes"),Personnel!$C$11*0.15,0)+IF(AND(Personnel!$E$12&gt;=2,Personnel!$E$12=67,Personnel!$G$12="Yes"),Personnel!$C$12*0.15,0)+IF(AND(Personnel!$E$13&gt;=2,Personnel!$E$13=67,Personnel!$G$13="Yes"),Personnel!$C$13*0.15,0)+IF(AND(Personnel!$E$14&gt;=2,Personnel!$E$14=67,Personnel!$G$14="Yes"),Personnel!$C$14*0.15,0)+IF(AND(Personnel!$E$15&gt;=2,Personnel!$E$15=67,Personnel!$G$15="Yes"),Personnel!$C$15*0.15,0)+IF(AND(Personnel!$E$16&gt;=2,Personnel!$E$16=67,Personnel!$G$16="Yes"),Personnel!$C$16*0.15,0)+IF(AND(Personnel!$E$17&gt;=2,Personnel!$E$17=67,Personnel!$G$17="Yes"),Personnel!$C$17*0.15,0)+IF(AND(Personnel!$E$18&gt;=2,Personnel!$E$18=67,Personnel!$G$18="Yes"),Personnel!$C$18*0.15,0)+IF(AND(Personnel!$E$19&gt;=2,Personnel!$E$19=67,Personnel!$G$19="Yes"),Personnel!$C$19*0.15,0)+IF(AND(Personnel!$E$20&gt;=2,Personnel!$E$20=67,Personnel!$G$20="Yes"),Personnel!$C$20*0.15,0)+IF(AND(Personnel!$E$21&gt;=2,Personnel!$E$21=67,Personnel!$G$21="Yes"),Personnel!$C$21*0.15,0)+IF(AND(Personnel!$E$22&gt;=2,Personnel!$E$22=67,Personnel!$G$22="Yes"),Personnel!$C$22*0.15,0)+IF(AND(Personnel!$E$23&gt;=2,Personnel!$E$23=67,Personnel!$G$23="Yes"),Personnel!$C$23*0.15,0)+IF(AND(Personnel!$E$24&gt;=2,Personnel!$E$24=67,Personnel!$G$24="Yes"),Personnel!$C$24*0.15,0)+IF(AND(Personnel!$E$25&gt;=2,Personnel!$E$25=67,Personnel!$G$25="Yes"),Personnel!$C$25*0.15,0)+IF(AND(Personnel!$E$26&gt;=2,Personnel!$E$26=67,Personnel!$G$26="Yes"),Personnel!$C$26*0.15,0)+IF(AND(Personnel!$E$27&gt;=2,Personnel!$E$27=67,Personnel!$G$27="Yes"),Personnel!$C$27*0.15,0)+IF(AND(Personnel!$E$28&gt;=2,Personnel!$E$28=67,Personnel!$G$28="Yes"),Personnel!$C$28*0.15,0)+IF(AND(Personnel!$E$29&gt;=2,Personnel!$E$29=67,Personnel!$G$29="Yes"),Personnel!$C$29*0.15,0)+IF(AND(Personnel!$E$30&gt;=2,Personnel!$E$30=67,Personnel!$G$30="Yes"),Personnel!$C$30*0.15,0)+IF(AND(Personnel!$E$31&gt;=2,Personnel!$E$31=67,Personnel!$G$31="Yes"),Personnel!$C$31*0.15,0)+IF(AND(Personnel!$E$32&gt;=2,Personnel!$E$32=67,Personnel!$G$32="Yes"),Personnel!$C$32*0.15,0)+IF(AND(Personnel!$E$33&gt;=2,Personnel!$E$33=67,Personnel!$G$33="Yes"),Personnel!$C$33*0.15,0)),Actuals!BT41)</f>
        <v>-0</v>
      </c>
      <c r="BT131" s="14" t="n">
        <f aca="false">IF(ISBLANK(Actuals!BU41),-(IF(AND(Personnel!$E$2&gt;=2,Personnel!$E$2=68,Personnel!$G$2="Yes"),Personnel!$C$2*0.15,0)+IF(AND(Personnel!$E$3&gt;=2,Personnel!$E$3=68,Personnel!$G$3="Yes"),Personnel!$C$3*0.15,0)+IF(AND(Personnel!$E$4&gt;=2,Personnel!$E$4=68,Personnel!$G$4="Yes"),Personnel!$C$4*0.15,0)+IF(AND(Personnel!$E$5&gt;=2,Personnel!$E$5=68,Personnel!$G$5="Yes"),Personnel!$C$5*0.15,0)+IF(AND(Personnel!$E$6&gt;=2,Personnel!$E$6=68,Personnel!$G$6="Yes"),Personnel!$C$6*0.15,0)+IF(AND(Personnel!$E$7&gt;=2,Personnel!$E$7=68,Personnel!$G$7="Yes"),Personnel!$C$7*0.15,0)+IF(AND(Personnel!$E$8&gt;=2,Personnel!$E$8=68,Personnel!$G$8="Yes"),Personnel!$C$8*0.15,0)+IF(AND(Personnel!$E$9&gt;=2,Personnel!$E$9=68,Personnel!$G$9="Yes"),Personnel!$C$9*0.15,0)+IF(AND(Personnel!$E$10&gt;=2,Personnel!$E$10=68,Personnel!$G$10="Yes"),Personnel!$C$10*0.15,0)+IF(AND(Personnel!$E$11&gt;=2,Personnel!$E$11=68,Personnel!$G$11="Yes"),Personnel!$C$11*0.15,0)+IF(AND(Personnel!$E$12&gt;=2,Personnel!$E$12=68,Personnel!$G$12="Yes"),Personnel!$C$12*0.15,0)+IF(AND(Personnel!$E$13&gt;=2,Personnel!$E$13=68,Personnel!$G$13="Yes"),Personnel!$C$13*0.15,0)+IF(AND(Personnel!$E$14&gt;=2,Personnel!$E$14=68,Personnel!$G$14="Yes"),Personnel!$C$14*0.15,0)+IF(AND(Personnel!$E$15&gt;=2,Personnel!$E$15=68,Personnel!$G$15="Yes"),Personnel!$C$15*0.15,0)+IF(AND(Personnel!$E$16&gt;=2,Personnel!$E$16=68,Personnel!$G$16="Yes"),Personnel!$C$16*0.15,0)+IF(AND(Personnel!$E$17&gt;=2,Personnel!$E$17=68,Personnel!$G$17="Yes"),Personnel!$C$17*0.15,0)+IF(AND(Personnel!$E$18&gt;=2,Personnel!$E$18=68,Personnel!$G$18="Yes"),Personnel!$C$18*0.15,0)+IF(AND(Personnel!$E$19&gt;=2,Personnel!$E$19=68,Personnel!$G$19="Yes"),Personnel!$C$19*0.15,0)+IF(AND(Personnel!$E$20&gt;=2,Personnel!$E$20=68,Personnel!$G$20="Yes"),Personnel!$C$20*0.15,0)+IF(AND(Personnel!$E$21&gt;=2,Personnel!$E$21=68,Personnel!$G$21="Yes"),Personnel!$C$21*0.15,0)+IF(AND(Personnel!$E$22&gt;=2,Personnel!$E$22=68,Personnel!$G$22="Yes"),Personnel!$C$22*0.15,0)+IF(AND(Personnel!$E$23&gt;=2,Personnel!$E$23=68,Personnel!$G$23="Yes"),Personnel!$C$23*0.15,0)+IF(AND(Personnel!$E$24&gt;=2,Personnel!$E$24=68,Personnel!$G$24="Yes"),Personnel!$C$24*0.15,0)+IF(AND(Personnel!$E$25&gt;=2,Personnel!$E$25=68,Personnel!$G$25="Yes"),Personnel!$C$25*0.15,0)+IF(AND(Personnel!$E$26&gt;=2,Personnel!$E$26=68,Personnel!$G$26="Yes"),Personnel!$C$26*0.15,0)+IF(AND(Personnel!$E$27&gt;=2,Personnel!$E$27=68,Personnel!$G$27="Yes"),Personnel!$C$27*0.15,0)+IF(AND(Personnel!$E$28&gt;=2,Personnel!$E$28=68,Personnel!$G$28="Yes"),Personnel!$C$28*0.15,0)+IF(AND(Personnel!$E$29&gt;=2,Personnel!$E$29=68,Personnel!$G$29="Yes"),Personnel!$C$29*0.15,0)+IF(AND(Personnel!$E$30&gt;=2,Personnel!$E$30=68,Personnel!$G$30="Yes"),Personnel!$C$30*0.15,0)+IF(AND(Personnel!$E$31&gt;=2,Personnel!$E$31=68,Personnel!$G$31="Yes"),Personnel!$C$31*0.15,0)+IF(AND(Personnel!$E$32&gt;=2,Personnel!$E$32=68,Personnel!$G$32="Yes"),Personnel!$C$32*0.15,0)+IF(AND(Personnel!$E$33&gt;=2,Personnel!$E$33=68,Personnel!$G$33="Yes"),Personnel!$C$33*0.15,0)),Actuals!BU41)</f>
        <v>-0</v>
      </c>
      <c r="BU131" s="14" t="n">
        <f aca="false">IF(ISBLANK(Actuals!BV41),-(IF(AND(Personnel!$E$2&gt;=2,Personnel!$E$2=69,Personnel!$G$2="Yes"),Personnel!$C$2*0.15,0)+IF(AND(Personnel!$E$3&gt;=2,Personnel!$E$3=69,Personnel!$G$3="Yes"),Personnel!$C$3*0.15,0)+IF(AND(Personnel!$E$4&gt;=2,Personnel!$E$4=69,Personnel!$G$4="Yes"),Personnel!$C$4*0.15,0)+IF(AND(Personnel!$E$5&gt;=2,Personnel!$E$5=69,Personnel!$G$5="Yes"),Personnel!$C$5*0.15,0)+IF(AND(Personnel!$E$6&gt;=2,Personnel!$E$6=69,Personnel!$G$6="Yes"),Personnel!$C$6*0.15,0)+IF(AND(Personnel!$E$7&gt;=2,Personnel!$E$7=69,Personnel!$G$7="Yes"),Personnel!$C$7*0.15,0)+IF(AND(Personnel!$E$8&gt;=2,Personnel!$E$8=69,Personnel!$G$8="Yes"),Personnel!$C$8*0.15,0)+IF(AND(Personnel!$E$9&gt;=2,Personnel!$E$9=69,Personnel!$G$9="Yes"),Personnel!$C$9*0.15,0)+IF(AND(Personnel!$E$10&gt;=2,Personnel!$E$10=69,Personnel!$G$10="Yes"),Personnel!$C$10*0.15,0)+IF(AND(Personnel!$E$11&gt;=2,Personnel!$E$11=69,Personnel!$G$11="Yes"),Personnel!$C$11*0.15,0)+IF(AND(Personnel!$E$12&gt;=2,Personnel!$E$12=69,Personnel!$G$12="Yes"),Personnel!$C$12*0.15,0)+IF(AND(Personnel!$E$13&gt;=2,Personnel!$E$13=69,Personnel!$G$13="Yes"),Personnel!$C$13*0.15,0)+IF(AND(Personnel!$E$14&gt;=2,Personnel!$E$14=69,Personnel!$G$14="Yes"),Personnel!$C$14*0.15,0)+IF(AND(Personnel!$E$15&gt;=2,Personnel!$E$15=69,Personnel!$G$15="Yes"),Personnel!$C$15*0.15,0)+IF(AND(Personnel!$E$16&gt;=2,Personnel!$E$16=69,Personnel!$G$16="Yes"),Personnel!$C$16*0.15,0)+IF(AND(Personnel!$E$17&gt;=2,Personnel!$E$17=69,Personnel!$G$17="Yes"),Personnel!$C$17*0.15,0)+IF(AND(Personnel!$E$18&gt;=2,Personnel!$E$18=69,Personnel!$G$18="Yes"),Personnel!$C$18*0.15,0)+IF(AND(Personnel!$E$19&gt;=2,Personnel!$E$19=69,Personnel!$G$19="Yes"),Personnel!$C$19*0.15,0)+IF(AND(Personnel!$E$20&gt;=2,Personnel!$E$20=69,Personnel!$G$20="Yes"),Personnel!$C$20*0.15,0)+IF(AND(Personnel!$E$21&gt;=2,Personnel!$E$21=69,Personnel!$G$21="Yes"),Personnel!$C$21*0.15,0)+IF(AND(Personnel!$E$22&gt;=2,Personnel!$E$22=69,Personnel!$G$22="Yes"),Personnel!$C$22*0.15,0)+IF(AND(Personnel!$E$23&gt;=2,Personnel!$E$23=69,Personnel!$G$23="Yes"),Personnel!$C$23*0.15,0)+IF(AND(Personnel!$E$24&gt;=2,Personnel!$E$24=69,Personnel!$G$24="Yes"),Personnel!$C$24*0.15,0)+IF(AND(Personnel!$E$25&gt;=2,Personnel!$E$25=69,Personnel!$G$25="Yes"),Personnel!$C$25*0.15,0)+IF(AND(Personnel!$E$26&gt;=2,Personnel!$E$26=69,Personnel!$G$26="Yes"),Personnel!$C$26*0.15,0)+IF(AND(Personnel!$E$27&gt;=2,Personnel!$E$27=69,Personnel!$G$27="Yes"),Personnel!$C$27*0.15,0)+IF(AND(Personnel!$E$28&gt;=2,Personnel!$E$28=69,Personnel!$G$28="Yes"),Personnel!$C$28*0.15,0)+IF(AND(Personnel!$E$29&gt;=2,Personnel!$E$29=69,Personnel!$G$29="Yes"),Personnel!$C$29*0.15,0)+IF(AND(Personnel!$E$30&gt;=2,Personnel!$E$30=69,Personnel!$G$30="Yes"),Personnel!$C$30*0.15,0)+IF(AND(Personnel!$E$31&gt;=2,Personnel!$E$31=69,Personnel!$G$31="Yes"),Personnel!$C$31*0.15,0)+IF(AND(Personnel!$E$32&gt;=2,Personnel!$E$32=69,Personnel!$G$32="Yes"),Personnel!$C$32*0.15,0)+IF(AND(Personnel!$E$33&gt;=2,Personnel!$E$33=69,Personnel!$G$33="Yes"),Personnel!$C$33*0.15,0)),Actuals!BV41)</f>
        <v>-0</v>
      </c>
      <c r="BV131" s="14" t="n">
        <f aca="false">IF(ISBLANK(Actuals!BW41),-(IF(AND(Personnel!$E$2&gt;=2,Personnel!$E$2=70,Personnel!$G$2="Yes"),Personnel!$C$2*0.15,0)+IF(AND(Personnel!$E$3&gt;=2,Personnel!$E$3=70,Personnel!$G$3="Yes"),Personnel!$C$3*0.15,0)+IF(AND(Personnel!$E$4&gt;=2,Personnel!$E$4=70,Personnel!$G$4="Yes"),Personnel!$C$4*0.15,0)+IF(AND(Personnel!$E$5&gt;=2,Personnel!$E$5=70,Personnel!$G$5="Yes"),Personnel!$C$5*0.15,0)+IF(AND(Personnel!$E$6&gt;=2,Personnel!$E$6=70,Personnel!$G$6="Yes"),Personnel!$C$6*0.15,0)+IF(AND(Personnel!$E$7&gt;=2,Personnel!$E$7=70,Personnel!$G$7="Yes"),Personnel!$C$7*0.15,0)+IF(AND(Personnel!$E$8&gt;=2,Personnel!$E$8=70,Personnel!$G$8="Yes"),Personnel!$C$8*0.15,0)+IF(AND(Personnel!$E$9&gt;=2,Personnel!$E$9=70,Personnel!$G$9="Yes"),Personnel!$C$9*0.15,0)+IF(AND(Personnel!$E$10&gt;=2,Personnel!$E$10=70,Personnel!$G$10="Yes"),Personnel!$C$10*0.15,0)+IF(AND(Personnel!$E$11&gt;=2,Personnel!$E$11=70,Personnel!$G$11="Yes"),Personnel!$C$11*0.15,0)+IF(AND(Personnel!$E$12&gt;=2,Personnel!$E$12=70,Personnel!$G$12="Yes"),Personnel!$C$12*0.15,0)+IF(AND(Personnel!$E$13&gt;=2,Personnel!$E$13=70,Personnel!$G$13="Yes"),Personnel!$C$13*0.15,0)+IF(AND(Personnel!$E$14&gt;=2,Personnel!$E$14=70,Personnel!$G$14="Yes"),Personnel!$C$14*0.15,0)+IF(AND(Personnel!$E$15&gt;=2,Personnel!$E$15=70,Personnel!$G$15="Yes"),Personnel!$C$15*0.15,0)+IF(AND(Personnel!$E$16&gt;=2,Personnel!$E$16=70,Personnel!$G$16="Yes"),Personnel!$C$16*0.15,0)+IF(AND(Personnel!$E$17&gt;=2,Personnel!$E$17=70,Personnel!$G$17="Yes"),Personnel!$C$17*0.15,0)+IF(AND(Personnel!$E$18&gt;=2,Personnel!$E$18=70,Personnel!$G$18="Yes"),Personnel!$C$18*0.15,0)+IF(AND(Personnel!$E$19&gt;=2,Personnel!$E$19=70,Personnel!$G$19="Yes"),Personnel!$C$19*0.15,0)+IF(AND(Personnel!$E$20&gt;=2,Personnel!$E$20=70,Personnel!$G$20="Yes"),Personnel!$C$20*0.15,0)+IF(AND(Personnel!$E$21&gt;=2,Personnel!$E$21=70,Personnel!$G$21="Yes"),Personnel!$C$21*0.15,0)+IF(AND(Personnel!$E$22&gt;=2,Personnel!$E$22=70,Personnel!$G$22="Yes"),Personnel!$C$22*0.15,0)+IF(AND(Personnel!$E$23&gt;=2,Personnel!$E$23=70,Personnel!$G$23="Yes"),Personnel!$C$23*0.15,0)+IF(AND(Personnel!$E$24&gt;=2,Personnel!$E$24=70,Personnel!$G$24="Yes"),Personnel!$C$24*0.15,0)+IF(AND(Personnel!$E$25&gt;=2,Personnel!$E$25=70,Personnel!$G$25="Yes"),Personnel!$C$25*0.15,0)+IF(AND(Personnel!$E$26&gt;=2,Personnel!$E$26=70,Personnel!$G$26="Yes"),Personnel!$C$26*0.15,0)+IF(AND(Personnel!$E$27&gt;=2,Personnel!$E$27=70,Personnel!$G$27="Yes"),Personnel!$C$27*0.15,0)+IF(AND(Personnel!$E$28&gt;=2,Personnel!$E$28=70,Personnel!$G$28="Yes"),Personnel!$C$28*0.15,0)+IF(AND(Personnel!$E$29&gt;=2,Personnel!$E$29=70,Personnel!$G$29="Yes"),Personnel!$C$29*0.15,0)+IF(AND(Personnel!$E$30&gt;=2,Personnel!$E$30=70,Personnel!$G$30="Yes"),Personnel!$C$30*0.15,0)+IF(AND(Personnel!$E$31&gt;=2,Personnel!$E$31=70,Personnel!$G$31="Yes"),Personnel!$C$31*0.15,0)+IF(AND(Personnel!$E$32&gt;=2,Personnel!$E$32=70,Personnel!$G$32="Yes"),Personnel!$C$32*0.15,0)+IF(AND(Personnel!$E$33&gt;=2,Personnel!$E$33=70,Personnel!$G$33="Yes"),Personnel!$C$33*0.15,0)),Actuals!BW41)</f>
        <v>-0</v>
      </c>
      <c r="BW131" s="14" t="n">
        <f aca="false">IF(ISBLANK(Actuals!BX41),-(IF(AND(Personnel!$E$2&gt;=2,Personnel!$E$2=71,Personnel!$G$2="Yes"),Personnel!$C$2*0.15,0)+IF(AND(Personnel!$E$3&gt;=2,Personnel!$E$3=71,Personnel!$G$3="Yes"),Personnel!$C$3*0.15,0)+IF(AND(Personnel!$E$4&gt;=2,Personnel!$E$4=71,Personnel!$G$4="Yes"),Personnel!$C$4*0.15,0)+IF(AND(Personnel!$E$5&gt;=2,Personnel!$E$5=71,Personnel!$G$5="Yes"),Personnel!$C$5*0.15,0)+IF(AND(Personnel!$E$6&gt;=2,Personnel!$E$6=71,Personnel!$G$6="Yes"),Personnel!$C$6*0.15,0)+IF(AND(Personnel!$E$7&gt;=2,Personnel!$E$7=71,Personnel!$G$7="Yes"),Personnel!$C$7*0.15,0)+IF(AND(Personnel!$E$8&gt;=2,Personnel!$E$8=71,Personnel!$G$8="Yes"),Personnel!$C$8*0.15,0)+IF(AND(Personnel!$E$9&gt;=2,Personnel!$E$9=71,Personnel!$G$9="Yes"),Personnel!$C$9*0.15,0)+IF(AND(Personnel!$E$10&gt;=2,Personnel!$E$10=71,Personnel!$G$10="Yes"),Personnel!$C$10*0.15,0)+IF(AND(Personnel!$E$11&gt;=2,Personnel!$E$11=71,Personnel!$G$11="Yes"),Personnel!$C$11*0.15,0)+IF(AND(Personnel!$E$12&gt;=2,Personnel!$E$12=71,Personnel!$G$12="Yes"),Personnel!$C$12*0.15,0)+IF(AND(Personnel!$E$13&gt;=2,Personnel!$E$13=71,Personnel!$G$13="Yes"),Personnel!$C$13*0.15,0)+IF(AND(Personnel!$E$14&gt;=2,Personnel!$E$14=71,Personnel!$G$14="Yes"),Personnel!$C$14*0.15,0)+IF(AND(Personnel!$E$15&gt;=2,Personnel!$E$15=71,Personnel!$G$15="Yes"),Personnel!$C$15*0.15,0)+IF(AND(Personnel!$E$16&gt;=2,Personnel!$E$16=71,Personnel!$G$16="Yes"),Personnel!$C$16*0.15,0)+IF(AND(Personnel!$E$17&gt;=2,Personnel!$E$17=71,Personnel!$G$17="Yes"),Personnel!$C$17*0.15,0)+IF(AND(Personnel!$E$18&gt;=2,Personnel!$E$18=71,Personnel!$G$18="Yes"),Personnel!$C$18*0.15,0)+IF(AND(Personnel!$E$19&gt;=2,Personnel!$E$19=71,Personnel!$G$19="Yes"),Personnel!$C$19*0.15,0)+IF(AND(Personnel!$E$20&gt;=2,Personnel!$E$20=71,Personnel!$G$20="Yes"),Personnel!$C$20*0.15,0)+IF(AND(Personnel!$E$21&gt;=2,Personnel!$E$21=71,Personnel!$G$21="Yes"),Personnel!$C$21*0.15,0)+IF(AND(Personnel!$E$22&gt;=2,Personnel!$E$22=71,Personnel!$G$22="Yes"),Personnel!$C$22*0.15,0)+IF(AND(Personnel!$E$23&gt;=2,Personnel!$E$23=71,Personnel!$G$23="Yes"),Personnel!$C$23*0.15,0)+IF(AND(Personnel!$E$24&gt;=2,Personnel!$E$24=71,Personnel!$G$24="Yes"),Personnel!$C$24*0.15,0)+IF(AND(Personnel!$E$25&gt;=2,Personnel!$E$25=71,Personnel!$G$25="Yes"),Personnel!$C$25*0.15,0)+IF(AND(Personnel!$E$26&gt;=2,Personnel!$E$26=71,Personnel!$G$26="Yes"),Personnel!$C$26*0.15,0)+IF(AND(Personnel!$E$27&gt;=2,Personnel!$E$27=71,Personnel!$G$27="Yes"),Personnel!$C$27*0.15,0)+IF(AND(Personnel!$E$28&gt;=2,Personnel!$E$28=71,Personnel!$G$28="Yes"),Personnel!$C$28*0.15,0)+IF(AND(Personnel!$E$29&gt;=2,Personnel!$E$29=71,Personnel!$G$29="Yes"),Personnel!$C$29*0.15,0)+IF(AND(Personnel!$E$30&gt;=2,Personnel!$E$30=71,Personnel!$G$30="Yes"),Personnel!$C$30*0.15,0)+IF(AND(Personnel!$E$31&gt;=2,Personnel!$E$31=71,Personnel!$G$31="Yes"),Personnel!$C$31*0.15,0)+IF(AND(Personnel!$E$32&gt;=2,Personnel!$E$32=71,Personnel!$G$32="Yes"),Personnel!$C$32*0.15,0)+IF(AND(Personnel!$E$33&gt;=2,Personnel!$E$33=71,Personnel!$G$33="Yes"),Personnel!$C$33*0.15,0)),Actuals!BX41)</f>
        <v>-0</v>
      </c>
      <c r="BX131" s="14" t="n">
        <f aca="false">IF(ISBLANK(Actuals!BY41),-(IF(AND(Personnel!$E$2&gt;=2,Personnel!$E$2=72,Personnel!$G$2="Yes"),Personnel!$C$2*0.15,0)+IF(AND(Personnel!$E$3&gt;=2,Personnel!$E$3=72,Personnel!$G$3="Yes"),Personnel!$C$3*0.15,0)+IF(AND(Personnel!$E$4&gt;=2,Personnel!$E$4=72,Personnel!$G$4="Yes"),Personnel!$C$4*0.15,0)+IF(AND(Personnel!$E$5&gt;=2,Personnel!$E$5=72,Personnel!$G$5="Yes"),Personnel!$C$5*0.15,0)+IF(AND(Personnel!$E$6&gt;=2,Personnel!$E$6=72,Personnel!$G$6="Yes"),Personnel!$C$6*0.15,0)+IF(AND(Personnel!$E$7&gt;=2,Personnel!$E$7=72,Personnel!$G$7="Yes"),Personnel!$C$7*0.15,0)+IF(AND(Personnel!$E$8&gt;=2,Personnel!$E$8=72,Personnel!$G$8="Yes"),Personnel!$C$8*0.15,0)+IF(AND(Personnel!$E$9&gt;=2,Personnel!$E$9=72,Personnel!$G$9="Yes"),Personnel!$C$9*0.15,0)+IF(AND(Personnel!$E$10&gt;=2,Personnel!$E$10=72,Personnel!$G$10="Yes"),Personnel!$C$10*0.15,0)+IF(AND(Personnel!$E$11&gt;=2,Personnel!$E$11=72,Personnel!$G$11="Yes"),Personnel!$C$11*0.15,0)+IF(AND(Personnel!$E$12&gt;=2,Personnel!$E$12=72,Personnel!$G$12="Yes"),Personnel!$C$12*0.15,0)+IF(AND(Personnel!$E$13&gt;=2,Personnel!$E$13=72,Personnel!$G$13="Yes"),Personnel!$C$13*0.15,0)+IF(AND(Personnel!$E$14&gt;=2,Personnel!$E$14=72,Personnel!$G$14="Yes"),Personnel!$C$14*0.15,0)+IF(AND(Personnel!$E$15&gt;=2,Personnel!$E$15=72,Personnel!$G$15="Yes"),Personnel!$C$15*0.15,0)+IF(AND(Personnel!$E$16&gt;=2,Personnel!$E$16=72,Personnel!$G$16="Yes"),Personnel!$C$16*0.15,0)+IF(AND(Personnel!$E$17&gt;=2,Personnel!$E$17=72,Personnel!$G$17="Yes"),Personnel!$C$17*0.15,0)+IF(AND(Personnel!$E$18&gt;=2,Personnel!$E$18=72,Personnel!$G$18="Yes"),Personnel!$C$18*0.15,0)+IF(AND(Personnel!$E$19&gt;=2,Personnel!$E$19=72,Personnel!$G$19="Yes"),Personnel!$C$19*0.15,0)+IF(AND(Personnel!$E$20&gt;=2,Personnel!$E$20=72,Personnel!$G$20="Yes"),Personnel!$C$20*0.15,0)+IF(AND(Personnel!$E$21&gt;=2,Personnel!$E$21=72,Personnel!$G$21="Yes"),Personnel!$C$21*0.15,0)+IF(AND(Personnel!$E$22&gt;=2,Personnel!$E$22=72,Personnel!$G$22="Yes"),Personnel!$C$22*0.15,0)+IF(AND(Personnel!$E$23&gt;=2,Personnel!$E$23=72,Personnel!$G$23="Yes"),Personnel!$C$23*0.15,0)+IF(AND(Personnel!$E$24&gt;=2,Personnel!$E$24=72,Personnel!$G$24="Yes"),Personnel!$C$24*0.15,0)+IF(AND(Personnel!$E$25&gt;=2,Personnel!$E$25=72,Personnel!$G$25="Yes"),Personnel!$C$25*0.15,0)+IF(AND(Personnel!$E$26&gt;=2,Personnel!$E$26=72,Personnel!$G$26="Yes"),Personnel!$C$26*0.15,0)+IF(AND(Personnel!$E$27&gt;=2,Personnel!$E$27=72,Personnel!$G$27="Yes"),Personnel!$C$27*0.15,0)+IF(AND(Personnel!$E$28&gt;=2,Personnel!$E$28=72,Personnel!$G$28="Yes"),Personnel!$C$28*0.15,0)+IF(AND(Personnel!$E$29&gt;=2,Personnel!$E$29=72,Personnel!$G$29="Yes"),Personnel!$C$29*0.15,0)+IF(AND(Personnel!$E$30&gt;=2,Personnel!$E$30=72,Personnel!$G$30="Yes"),Personnel!$C$30*0.15,0)+IF(AND(Personnel!$E$31&gt;=2,Personnel!$E$31=72,Personnel!$G$31="Yes"),Personnel!$C$31*0.15,0)+IF(AND(Personnel!$E$32&gt;=2,Personnel!$E$32=72,Personnel!$G$32="Yes"),Personnel!$C$32*0.15,0)+IF(AND(Personnel!$E$33&gt;=2,Personnel!$E$33=72,Personnel!$G$33="Yes"),Personnel!$C$33*0.15,0)),Actuals!BY41)</f>
        <v>-0</v>
      </c>
      <c r="BY131" s="14" t="n">
        <f aca="false">IF(ISBLANK(Actuals!BZ41),-(IF(AND(Personnel!$E$2&gt;=2,Personnel!$E$2=73,Personnel!$G$2="Yes"),Personnel!$C$2*0.15,0)+IF(AND(Personnel!$E$3&gt;=2,Personnel!$E$3=73,Personnel!$G$3="Yes"),Personnel!$C$3*0.15,0)+IF(AND(Personnel!$E$4&gt;=2,Personnel!$E$4=73,Personnel!$G$4="Yes"),Personnel!$C$4*0.15,0)+IF(AND(Personnel!$E$5&gt;=2,Personnel!$E$5=73,Personnel!$G$5="Yes"),Personnel!$C$5*0.15,0)+IF(AND(Personnel!$E$6&gt;=2,Personnel!$E$6=73,Personnel!$G$6="Yes"),Personnel!$C$6*0.15,0)+IF(AND(Personnel!$E$7&gt;=2,Personnel!$E$7=73,Personnel!$G$7="Yes"),Personnel!$C$7*0.15,0)+IF(AND(Personnel!$E$8&gt;=2,Personnel!$E$8=73,Personnel!$G$8="Yes"),Personnel!$C$8*0.15,0)+IF(AND(Personnel!$E$9&gt;=2,Personnel!$E$9=73,Personnel!$G$9="Yes"),Personnel!$C$9*0.15,0)+IF(AND(Personnel!$E$10&gt;=2,Personnel!$E$10=73,Personnel!$G$10="Yes"),Personnel!$C$10*0.15,0)+IF(AND(Personnel!$E$11&gt;=2,Personnel!$E$11=73,Personnel!$G$11="Yes"),Personnel!$C$11*0.15,0)+IF(AND(Personnel!$E$12&gt;=2,Personnel!$E$12=73,Personnel!$G$12="Yes"),Personnel!$C$12*0.15,0)+IF(AND(Personnel!$E$13&gt;=2,Personnel!$E$13=73,Personnel!$G$13="Yes"),Personnel!$C$13*0.15,0)+IF(AND(Personnel!$E$14&gt;=2,Personnel!$E$14=73,Personnel!$G$14="Yes"),Personnel!$C$14*0.15,0)+IF(AND(Personnel!$E$15&gt;=2,Personnel!$E$15=73,Personnel!$G$15="Yes"),Personnel!$C$15*0.15,0)+IF(AND(Personnel!$E$16&gt;=2,Personnel!$E$16=73,Personnel!$G$16="Yes"),Personnel!$C$16*0.15,0)+IF(AND(Personnel!$E$17&gt;=2,Personnel!$E$17=73,Personnel!$G$17="Yes"),Personnel!$C$17*0.15,0)+IF(AND(Personnel!$E$18&gt;=2,Personnel!$E$18=73,Personnel!$G$18="Yes"),Personnel!$C$18*0.15,0)+IF(AND(Personnel!$E$19&gt;=2,Personnel!$E$19=73,Personnel!$G$19="Yes"),Personnel!$C$19*0.15,0)+IF(AND(Personnel!$E$20&gt;=2,Personnel!$E$20=73,Personnel!$G$20="Yes"),Personnel!$C$20*0.15,0)+IF(AND(Personnel!$E$21&gt;=2,Personnel!$E$21=73,Personnel!$G$21="Yes"),Personnel!$C$21*0.15,0)+IF(AND(Personnel!$E$22&gt;=2,Personnel!$E$22=73,Personnel!$G$22="Yes"),Personnel!$C$22*0.15,0)+IF(AND(Personnel!$E$23&gt;=2,Personnel!$E$23=73,Personnel!$G$23="Yes"),Personnel!$C$23*0.15,0)+IF(AND(Personnel!$E$24&gt;=2,Personnel!$E$24=73,Personnel!$G$24="Yes"),Personnel!$C$24*0.15,0)+IF(AND(Personnel!$E$25&gt;=2,Personnel!$E$25=73,Personnel!$G$25="Yes"),Personnel!$C$25*0.15,0)+IF(AND(Personnel!$E$26&gt;=2,Personnel!$E$26=73,Personnel!$G$26="Yes"),Personnel!$C$26*0.15,0)+IF(AND(Personnel!$E$27&gt;=2,Personnel!$E$27=73,Personnel!$G$27="Yes"),Personnel!$C$27*0.15,0)+IF(AND(Personnel!$E$28&gt;=2,Personnel!$E$28=73,Personnel!$G$28="Yes"),Personnel!$C$28*0.15,0)+IF(AND(Personnel!$E$29&gt;=2,Personnel!$E$29=73,Personnel!$G$29="Yes"),Personnel!$C$29*0.15,0)+IF(AND(Personnel!$E$30&gt;=2,Personnel!$E$30=73,Personnel!$G$30="Yes"),Personnel!$C$30*0.15,0)+IF(AND(Personnel!$E$31&gt;=2,Personnel!$E$31=73,Personnel!$G$31="Yes"),Personnel!$C$31*0.15,0)+IF(AND(Personnel!$E$32&gt;=2,Personnel!$E$32=73,Personnel!$G$32="Yes"),Personnel!$C$32*0.15,0)+IF(AND(Personnel!$E$33&gt;=2,Personnel!$E$33=73,Personnel!$G$33="Yes"),Personnel!$C$33*0.15,0)),Actuals!BZ41)</f>
        <v>-0</v>
      </c>
      <c r="BZ131" s="14" t="n">
        <f aca="false">IF(ISBLANK(Actuals!CA41),-(IF(AND(Personnel!$E$2&gt;=2,Personnel!$E$2=74,Personnel!$G$2="Yes"),Personnel!$C$2*0.15,0)+IF(AND(Personnel!$E$3&gt;=2,Personnel!$E$3=74,Personnel!$G$3="Yes"),Personnel!$C$3*0.15,0)+IF(AND(Personnel!$E$4&gt;=2,Personnel!$E$4=74,Personnel!$G$4="Yes"),Personnel!$C$4*0.15,0)+IF(AND(Personnel!$E$5&gt;=2,Personnel!$E$5=74,Personnel!$G$5="Yes"),Personnel!$C$5*0.15,0)+IF(AND(Personnel!$E$6&gt;=2,Personnel!$E$6=74,Personnel!$G$6="Yes"),Personnel!$C$6*0.15,0)+IF(AND(Personnel!$E$7&gt;=2,Personnel!$E$7=74,Personnel!$G$7="Yes"),Personnel!$C$7*0.15,0)+IF(AND(Personnel!$E$8&gt;=2,Personnel!$E$8=74,Personnel!$G$8="Yes"),Personnel!$C$8*0.15,0)+IF(AND(Personnel!$E$9&gt;=2,Personnel!$E$9=74,Personnel!$G$9="Yes"),Personnel!$C$9*0.15,0)+IF(AND(Personnel!$E$10&gt;=2,Personnel!$E$10=74,Personnel!$G$10="Yes"),Personnel!$C$10*0.15,0)+IF(AND(Personnel!$E$11&gt;=2,Personnel!$E$11=74,Personnel!$G$11="Yes"),Personnel!$C$11*0.15,0)+IF(AND(Personnel!$E$12&gt;=2,Personnel!$E$12=74,Personnel!$G$12="Yes"),Personnel!$C$12*0.15,0)+IF(AND(Personnel!$E$13&gt;=2,Personnel!$E$13=74,Personnel!$G$13="Yes"),Personnel!$C$13*0.15,0)+IF(AND(Personnel!$E$14&gt;=2,Personnel!$E$14=74,Personnel!$G$14="Yes"),Personnel!$C$14*0.15,0)+IF(AND(Personnel!$E$15&gt;=2,Personnel!$E$15=74,Personnel!$G$15="Yes"),Personnel!$C$15*0.15,0)+IF(AND(Personnel!$E$16&gt;=2,Personnel!$E$16=74,Personnel!$G$16="Yes"),Personnel!$C$16*0.15,0)+IF(AND(Personnel!$E$17&gt;=2,Personnel!$E$17=74,Personnel!$G$17="Yes"),Personnel!$C$17*0.15,0)+IF(AND(Personnel!$E$18&gt;=2,Personnel!$E$18=74,Personnel!$G$18="Yes"),Personnel!$C$18*0.15,0)+IF(AND(Personnel!$E$19&gt;=2,Personnel!$E$19=74,Personnel!$G$19="Yes"),Personnel!$C$19*0.15,0)+IF(AND(Personnel!$E$20&gt;=2,Personnel!$E$20=74,Personnel!$G$20="Yes"),Personnel!$C$20*0.15,0)+IF(AND(Personnel!$E$21&gt;=2,Personnel!$E$21=74,Personnel!$G$21="Yes"),Personnel!$C$21*0.15,0)+IF(AND(Personnel!$E$22&gt;=2,Personnel!$E$22=74,Personnel!$G$22="Yes"),Personnel!$C$22*0.15,0)+IF(AND(Personnel!$E$23&gt;=2,Personnel!$E$23=74,Personnel!$G$23="Yes"),Personnel!$C$23*0.15,0)+IF(AND(Personnel!$E$24&gt;=2,Personnel!$E$24=74,Personnel!$G$24="Yes"),Personnel!$C$24*0.15,0)+IF(AND(Personnel!$E$25&gt;=2,Personnel!$E$25=74,Personnel!$G$25="Yes"),Personnel!$C$25*0.15,0)+IF(AND(Personnel!$E$26&gt;=2,Personnel!$E$26=74,Personnel!$G$26="Yes"),Personnel!$C$26*0.15,0)+IF(AND(Personnel!$E$27&gt;=2,Personnel!$E$27=74,Personnel!$G$27="Yes"),Personnel!$C$27*0.15,0)+IF(AND(Personnel!$E$28&gt;=2,Personnel!$E$28=74,Personnel!$G$28="Yes"),Personnel!$C$28*0.15,0)+IF(AND(Personnel!$E$29&gt;=2,Personnel!$E$29=74,Personnel!$G$29="Yes"),Personnel!$C$29*0.15,0)+IF(AND(Personnel!$E$30&gt;=2,Personnel!$E$30=74,Personnel!$G$30="Yes"),Personnel!$C$30*0.15,0)+IF(AND(Personnel!$E$31&gt;=2,Personnel!$E$31=74,Personnel!$G$31="Yes"),Personnel!$C$31*0.15,0)+IF(AND(Personnel!$E$32&gt;=2,Personnel!$E$32=74,Personnel!$G$32="Yes"),Personnel!$C$32*0.15,0)+IF(AND(Personnel!$E$33&gt;=2,Personnel!$E$33=74,Personnel!$G$33="Yes"),Personnel!$C$33*0.15,0)),Actuals!CA41)</f>
        <v>-0</v>
      </c>
      <c r="CA131" s="14" t="n">
        <f aca="false">IF(ISBLANK(Actuals!CB41),-(IF(AND(Personnel!$E$2&gt;=2,Personnel!$E$2=75,Personnel!$G$2="Yes"),Personnel!$C$2*0.15,0)+IF(AND(Personnel!$E$3&gt;=2,Personnel!$E$3=75,Personnel!$G$3="Yes"),Personnel!$C$3*0.15,0)+IF(AND(Personnel!$E$4&gt;=2,Personnel!$E$4=75,Personnel!$G$4="Yes"),Personnel!$C$4*0.15,0)+IF(AND(Personnel!$E$5&gt;=2,Personnel!$E$5=75,Personnel!$G$5="Yes"),Personnel!$C$5*0.15,0)+IF(AND(Personnel!$E$6&gt;=2,Personnel!$E$6=75,Personnel!$G$6="Yes"),Personnel!$C$6*0.15,0)+IF(AND(Personnel!$E$7&gt;=2,Personnel!$E$7=75,Personnel!$G$7="Yes"),Personnel!$C$7*0.15,0)+IF(AND(Personnel!$E$8&gt;=2,Personnel!$E$8=75,Personnel!$G$8="Yes"),Personnel!$C$8*0.15,0)+IF(AND(Personnel!$E$9&gt;=2,Personnel!$E$9=75,Personnel!$G$9="Yes"),Personnel!$C$9*0.15,0)+IF(AND(Personnel!$E$10&gt;=2,Personnel!$E$10=75,Personnel!$G$10="Yes"),Personnel!$C$10*0.15,0)+IF(AND(Personnel!$E$11&gt;=2,Personnel!$E$11=75,Personnel!$G$11="Yes"),Personnel!$C$11*0.15,0)+IF(AND(Personnel!$E$12&gt;=2,Personnel!$E$12=75,Personnel!$G$12="Yes"),Personnel!$C$12*0.15,0)+IF(AND(Personnel!$E$13&gt;=2,Personnel!$E$13=75,Personnel!$G$13="Yes"),Personnel!$C$13*0.15,0)+IF(AND(Personnel!$E$14&gt;=2,Personnel!$E$14=75,Personnel!$G$14="Yes"),Personnel!$C$14*0.15,0)+IF(AND(Personnel!$E$15&gt;=2,Personnel!$E$15=75,Personnel!$G$15="Yes"),Personnel!$C$15*0.15,0)+IF(AND(Personnel!$E$16&gt;=2,Personnel!$E$16=75,Personnel!$G$16="Yes"),Personnel!$C$16*0.15,0)+IF(AND(Personnel!$E$17&gt;=2,Personnel!$E$17=75,Personnel!$G$17="Yes"),Personnel!$C$17*0.15,0)+IF(AND(Personnel!$E$18&gt;=2,Personnel!$E$18=75,Personnel!$G$18="Yes"),Personnel!$C$18*0.15,0)+IF(AND(Personnel!$E$19&gt;=2,Personnel!$E$19=75,Personnel!$G$19="Yes"),Personnel!$C$19*0.15,0)+IF(AND(Personnel!$E$20&gt;=2,Personnel!$E$20=75,Personnel!$G$20="Yes"),Personnel!$C$20*0.15,0)+IF(AND(Personnel!$E$21&gt;=2,Personnel!$E$21=75,Personnel!$G$21="Yes"),Personnel!$C$21*0.15,0)+IF(AND(Personnel!$E$22&gt;=2,Personnel!$E$22=75,Personnel!$G$22="Yes"),Personnel!$C$22*0.15,0)+IF(AND(Personnel!$E$23&gt;=2,Personnel!$E$23=75,Personnel!$G$23="Yes"),Personnel!$C$23*0.15,0)+IF(AND(Personnel!$E$24&gt;=2,Personnel!$E$24=75,Personnel!$G$24="Yes"),Personnel!$C$24*0.15,0)+IF(AND(Personnel!$E$25&gt;=2,Personnel!$E$25=75,Personnel!$G$25="Yes"),Personnel!$C$25*0.15,0)+IF(AND(Personnel!$E$26&gt;=2,Personnel!$E$26=75,Personnel!$G$26="Yes"),Personnel!$C$26*0.15,0)+IF(AND(Personnel!$E$27&gt;=2,Personnel!$E$27=75,Personnel!$G$27="Yes"),Personnel!$C$27*0.15,0)+IF(AND(Personnel!$E$28&gt;=2,Personnel!$E$28=75,Personnel!$G$28="Yes"),Personnel!$C$28*0.15,0)+IF(AND(Personnel!$E$29&gt;=2,Personnel!$E$29=75,Personnel!$G$29="Yes"),Personnel!$C$29*0.15,0)+IF(AND(Personnel!$E$30&gt;=2,Personnel!$E$30=75,Personnel!$G$30="Yes"),Personnel!$C$30*0.15,0)+IF(AND(Personnel!$E$31&gt;=2,Personnel!$E$31=75,Personnel!$G$31="Yes"),Personnel!$C$31*0.15,0)+IF(AND(Personnel!$E$32&gt;=2,Personnel!$E$32=75,Personnel!$G$32="Yes"),Personnel!$C$32*0.15,0)+IF(AND(Personnel!$E$33&gt;=2,Personnel!$E$33=75,Personnel!$G$33="Yes"),Personnel!$C$33*0.15,0)),Actuals!CB41)</f>
        <v>-0</v>
      </c>
      <c r="CB131" s="14" t="n">
        <f aca="false">IF(ISBLANK(Actuals!CC41),-(IF(AND(Personnel!$E$2&gt;=2,Personnel!$E$2=76,Personnel!$G$2="Yes"),Personnel!$C$2*0.15,0)+IF(AND(Personnel!$E$3&gt;=2,Personnel!$E$3=76,Personnel!$G$3="Yes"),Personnel!$C$3*0.15,0)+IF(AND(Personnel!$E$4&gt;=2,Personnel!$E$4=76,Personnel!$G$4="Yes"),Personnel!$C$4*0.15,0)+IF(AND(Personnel!$E$5&gt;=2,Personnel!$E$5=76,Personnel!$G$5="Yes"),Personnel!$C$5*0.15,0)+IF(AND(Personnel!$E$6&gt;=2,Personnel!$E$6=76,Personnel!$G$6="Yes"),Personnel!$C$6*0.15,0)+IF(AND(Personnel!$E$7&gt;=2,Personnel!$E$7=76,Personnel!$G$7="Yes"),Personnel!$C$7*0.15,0)+IF(AND(Personnel!$E$8&gt;=2,Personnel!$E$8=76,Personnel!$G$8="Yes"),Personnel!$C$8*0.15,0)+IF(AND(Personnel!$E$9&gt;=2,Personnel!$E$9=76,Personnel!$G$9="Yes"),Personnel!$C$9*0.15,0)+IF(AND(Personnel!$E$10&gt;=2,Personnel!$E$10=76,Personnel!$G$10="Yes"),Personnel!$C$10*0.15,0)+IF(AND(Personnel!$E$11&gt;=2,Personnel!$E$11=76,Personnel!$G$11="Yes"),Personnel!$C$11*0.15,0)+IF(AND(Personnel!$E$12&gt;=2,Personnel!$E$12=76,Personnel!$G$12="Yes"),Personnel!$C$12*0.15,0)+IF(AND(Personnel!$E$13&gt;=2,Personnel!$E$13=76,Personnel!$G$13="Yes"),Personnel!$C$13*0.15,0)+IF(AND(Personnel!$E$14&gt;=2,Personnel!$E$14=76,Personnel!$G$14="Yes"),Personnel!$C$14*0.15,0)+IF(AND(Personnel!$E$15&gt;=2,Personnel!$E$15=76,Personnel!$G$15="Yes"),Personnel!$C$15*0.15,0)+IF(AND(Personnel!$E$16&gt;=2,Personnel!$E$16=76,Personnel!$G$16="Yes"),Personnel!$C$16*0.15,0)+IF(AND(Personnel!$E$17&gt;=2,Personnel!$E$17=76,Personnel!$G$17="Yes"),Personnel!$C$17*0.15,0)+IF(AND(Personnel!$E$18&gt;=2,Personnel!$E$18=76,Personnel!$G$18="Yes"),Personnel!$C$18*0.15,0)+IF(AND(Personnel!$E$19&gt;=2,Personnel!$E$19=76,Personnel!$G$19="Yes"),Personnel!$C$19*0.15,0)+IF(AND(Personnel!$E$20&gt;=2,Personnel!$E$20=76,Personnel!$G$20="Yes"),Personnel!$C$20*0.15,0)+IF(AND(Personnel!$E$21&gt;=2,Personnel!$E$21=76,Personnel!$G$21="Yes"),Personnel!$C$21*0.15,0)+IF(AND(Personnel!$E$22&gt;=2,Personnel!$E$22=76,Personnel!$G$22="Yes"),Personnel!$C$22*0.15,0)+IF(AND(Personnel!$E$23&gt;=2,Personnel!$E$23=76,Personnel!$G$23="Yes"),Personnel!$C$23*0.15,0)+IF(AND(Personnel!$E$24&gt;=2,Personnel!$E$24=76,Personnel!$G$24="Yes"),Personnel!$C$24*0.15,0)+IF(AND(Personnel!$E$25&gt;=2,Personnel!$E$25=76,Personnel!$G$25="Yes"),Personnel!$C$25*0.15,0)+IF(AND(Personnel!$E$26&gt;=2,Personnel!$E$26=76,Personnel!$G$26="Yes"),Personnel!$C$26*0.15,0)+IF(AND(Personnel!$E$27&gt;=2,Personnel!$E$27=76,Personnel!$G$27="Yes"),Personnel!$C$27*0.15,0)+IF(AND(Personnel!$E$28&gt;=2,Personnel!$E$28=76,Personnel!$G$28="Yes"),Personnel!$C$28*0.15,0)+IF(AND(Personnel!$E$29&gt;=2,Personnel!$E$29=76,Personnel!$G$29="Yes"),Personnel!$C$29*0.15,0)+IF(AND(Personnel!$E$30&gt;=2,Personnel!$E$30=76,Personnel!$G$30="Yes"),Personnel!$C$30*0.15,0)+IF(AND(Personnel!$E$31&gt;=2,Personnel!$E$31=76,Personnel!$G$31="Yes"),Personnel!$C$31*0.15,0)+IF(AND(Personnel!$E$32&gt;=2,Personnel!$E$32=76,Personnel!$G$32="Yes"),Personnel!$C$32*0.15,0)+IF(AND(Personnel!$E$33&gt;=2,Personnel!$E$33=76,Personnel!$G$33="Yes"),Personnel!$C$33*0.15,0)),Actuals!CC41)</f>
        <v>-0</v>
      </c>
      <c r="CC131" s="14" t="n">
        <f aca="false">IF(ISBLANK(Actuals!CD41),-(IF(AND(Personnel!$E$2&gt;=2,Personnel!$E$2=77,Personnel!$G$2="Yes"),Personnel!$C$2*0.15,0)+IF(AND(Personnel!$E$3&gt;=2,Personnel!$E$3=77,Personnel!$G$3="Yes"),Personnel!$C$3*0.15,0)+IF(AND(Personnel!$E$4&gt;=2,Personnel!$E$4=77,Personnel!$G$4="Yes"),Personnel!$C$4*0.15,0)+IF(AND(Personnel!$E$5&gt;=2,Personnel!$E$5=77,Personnel!$G$5="Yes"),Personnel!$C$5*0.15,0)+IF(AND(Personnel!$E$6&gt;=2,Personnel!$E$6=77,Personnel!$G$6="Yes"),Personnel!$C$6*0.15,0)+IF(AND(Personnel!$E$7&gt;=2,Personnel!$E$7=77,Personnel!$G$7="Yes"),Personnel!$C$7*0.15,0)+IF(AND(Personnel!$E$8&gt;=2,Personnel!$E$8=77,Personnel!$G$8="Yes"),Personnel!$C$8*0.15,0)+IF(AND(Personnel!$E$9&gt;=2,Personnel!$E$9=77,Personnel!$G$9="Yes"),Personnel!$C$9*0.15,0)+IF(AND(Personnel!$E$10&gt;=2,Personnel!$E$10=77,Personnel!$G$10="Yes"),Personnel!$C$10*0.15,0)+IF(AND(Personnel!$E$11&gt;=2,Personnel!$E$11=77,Personnel!$G$11="Yes"),Personnel!$C$11*0.15,0)+IF(AND(Personnel!$E$12&gt;=2,Personnel!$E$12=77,Personnel!$G$12="Yes"),Personnel!$C$12*0.15,0)+IF(AND(Personnel!$E$13&gt;=2,Personnel!$E$13=77,Personnel!$G$13="Yes"),Personnel!$C$13*0.15,0)+IF(AND(Personnel!$E$14&gt;=2,Personnel!$E$14=77,Personnel!$G$14="Yes"),Personnel!$C$14*0.15,0)+IF(AND(Personnel!$E$15&gt;=2,Personnel!$E$15=77,Personnel!$G$15="Yes"),Personnel!$C$15*0.15,0)+IF(AND(Personnel!$E$16&gt;=2,Personnel!$E$16=77,Personnel!$G$16="Yes"),Personnel!$C$16*0.15,0)+IF(AND(Personnel!$E$17&gt;=2,Personnel!$E$17=77,Personnel!$G$17="Yes"),Personnel!$C$17*0.15,0)+IF(AND(Personnel!$E$18&gt;=2,Personnel!$E$18=77,Personnel!$G$18="Yes"),Personnel!$C$18*0.15,0)+IF(AND(Personnel!$E$19&gt;=2,Personnel!$E$19=77,Personnel!$G$19="Yes"),Personnel!$C$19*0.15,0)+IF(AND(Personnel!$E$20&gt;=2,Personnel!$E$20=77,Personnel!$G$20="Yes"),Personnel!$C$20*0.15,0)+IF(AND(Personnel!$E$21&gt;=2,Personnel!$E$21=77,Personnel!$G$21="Yes"),Personnel!$C$21*0.15,0)+IF(AND(Personnel!$E$22&gt;=2,Personnel!$E$22=77,Personnel!$G$22="Yes"),Personnel!$C$22*0.15,0)+IF(AND(Personnel!$E$23&gt;=2,Personnel!$E$23=77,Personnel!$G$23="Yes"),Personnel!$C$23*0.15,0)+IF(AND(Personnel!$E$24&gt;=2,Personnel!$E$24=77,Personnel!$G$24="Yes"),Personnel!$C$24*0.15,0)+IF(AND(Personnel!$E$25&gt;=2,Personnel!$E$25=77,Personnel!$G$25="Yes"),Personnel!$C$25*0.15,0)+IF(AND(Personnel!$E$26&gt;=2,Personnel!$E$26=77,Personnel!$G$26="Yes"),Personnel!$C$26*0.15,0)+IF(AND(Personnel!$E$27&gt;=2,Personnel!$E$27=77,Personnel!$G$27="Yes"),Personnel!$C$27*0.15,0)+IF(AND(Personnel!$E$28&gt;=2,Personnel!$E$28=77,Personnel!$G$28="Yes"),Personnel!$C$28*0.15,0)+IF(AND(Personnel!$E$29&gt;=2,Personnel!$E$29=77,Personnel!$G$29="Yes"),Personnel!$C$29*0.15,0)+IF(AND(Personnel!$E$30&gt;=2,Personnel!$E$30=77,Personnel!$G$30="Yes"),Personnel!$C$30*0.15,0)+IF(AND(Personnel!$E$31&gt;=2,Personnel!$E$31=77,Personnel!$G$31="Yes"),Personnel!$C$31*0.15,0)+IF(AND(Personnel!$E$32&gt;=2,Personnel!$E$32=77,Personnel!$G$32="Yes"),Personnel!$C$32*0.15,0)+IF(AND(Personnel!$E$33&gt;=2,Personnel!$E$33=77,Personnel!$G$33="Yes"),Personnel!$C$33*0.15,0)),Actuals!CD41)</f>
        <v>-0</v>
      </c>
      <c r="CD131" s="14" t="n">
        <f aca="false">IF(ISBLANK(Actuals!CE41),-(IF(AND(Personnel!$E$2&gt;=2,Personnel!$E$2=78,Personnel!$G$2="Yes"),Personnel!$C$2*0.15,0)+IF(AND(Personnel!$E$3&gt;=2,Personnel!$E$3=78,Personnel!$G$3="Yes"),Personnel!$C$3*0.15,0)+IF(AND(Personnel!$E$4&gt;=2,Personnel!$E$4=78,Personnel!$G$4="Yes"),Personnel!$C$4*0.15,0)+IF(AND(Personnel!$E$5&gt;=2,Personnel!$E$5=78,Personnel!$G$5="Yes"),Personnel!$C$5*0.15,0)+IF(AND(Personnel!$E$6&gt;=2,Personnel!$E$6=78,Personnel!$G$6="Yes"),Personnel!$C$6*0.15,0)+IF(AND(Personnel!$E$7&gt;=2,Personnel!$E$7=78,Personnel!$G$7="Yes"),Personnel!$C$7*0.15,0)+IF(AND(Personnel!$E$8&gt;=2,Personnel!$E$8=78,Personnel!$G$8="Yes"),Personnel!$C$8*0.15,0)+IF(AND(Personnel!$E$9&gt;=2,Personnel!$E$9=78,Personnel!$G$9="Yes"),Personnel!$C$9*0.15,0)+IF(AND(Personnel!$E$10&gt;=2,Personnel!$E$10=78,Personnel!$G$10="Yes"),Personnel!$C$10*0.15,0)+IF(AND(Personnel!$E$11&gt;=2,Personnel!$E$11=78,Personnel!$G$11="Yes"),Personnel!$C$11*0.15,0)+IF(AND(Personnel!$E$12&gt;=2,Personnel!$E$12=78,Personnel!$G$12="Yes"),Personnel!$C$12*0.15,0)+IF(AND(Personnel!$E$13&gt;=2,Personnel!$E$13=78,Personnel!$G$13="Yes"),Personnel!$C$13*0.15,0)+IF(AND(Personnel!$E$14&gt;=2,Personnel!$E$14=78,Personnel!$G$14="Yes"),Personnel!$C$14*0.15,0)+IF(AND(Personnel!$E$15&gt;=2,Personnel!$E$15=78,Personnel!$G$15="Yes"),Personnel!$C$15*0.15,0)+IF(AND(Personnel!$E$16&gt;=2,Personnel!$E$16=78,Personnel!$G$16="Yes"),Personnel!$C$16*0.15,0)+IF(AND(Personnel!$E$17&gt;=2,Personnel!$E$17=78,Personnel!$G$17="Yes"),Personnel!$C$17*0.15,0)+IF(AND(Personnel!$E$18&gt;=2,Personnel!$E$18=78,Personnel!$G$18="Yes"),Personnel!$C$18*0.15,0)+IF(AND(Personnel!$E$19&gt;=2,Personnel!$E$19=78,Personnel!$G$19="Yes"),Personnel!$C$19*0.15,0)+IF(AND(Personnel!$E$20&gt;=2,Personnel!$E$20=78,Personnel!$G$20="Yes"),Personnel!$C$20*0.15,0)+IF(AND(Personnel!$E$21&gt;=2,Personnel!$E$21=78,Personnel!$G$21="Yes"),Personnel!$C$21*0.15,0)+IF(AND(Personnel!$E$22&gt;=2,Personnel!$E$22=78,Personnel!$G$22="Yes"),Personnel!$C$22*0.15,0)+IF(AND(Personnel!$E$23&gt;=2,Personnel!$E$23=78,Personnel!$G$23="Yes"),Personnel!$C$23*0.15,0)+IF(AND(Personnel!$E$24&gt;=2,Personnel!$E$24=78,Personnel!$G$24="Yes"),Personnel!$C$24*0.15,0)+IF(AND(Personnel!$E$25&gt;=2,Personnel!$E$25=78,Personnel!$G$25="Yes"),Personnel!$C$25*0.15,0)+IF(AND(Personnel!$E$26&gt;=2,Personnel!$E$26=78,Personnel!$G$26="Yes"),Personnel!$C$26*0.15,0)+IF(AND(Personnel!$E$27&gt;=2,Personnel!$E$27=78,Personnel!$G$27="Yes"),Personnel!$C$27*0.15,0)+IF(AND(Personnel!$E$28&gt;=2,Personnel!$E$28=78,Personnel!$G$28="Yes"),Personnel!$C$28*0.15,0)+IF(AND(Personnel!$E$29&gt;=2,Personnel!$E$29=78,Personnel!$G$29="Yes"),Personnel!$C$29*0.15,0)+IF(AND(Personnel!$E$30&gt;=2,Personnel!$E$30=78,Personnel!$G$30="Yes"),Personnel!$C$30*0.15,0)+IF(AND(Personnel!$E$31&gt;=2,Personnel!$E$31=78,Personnel!$G$31="Yes"),Personnel!$C$31*0.15,0)+IF(AND(Personnel!$E$32&gt;=2,Personnel!$E$32=78,Personnel!$G$32="Yes"),Personnel!$C$32*0.15,0)+IF(AND(Personnel!$E$33&gt;=2,Personnel!$E$33=78,Personnel!$G$33="Yes"),Personnel!$C$33*0.15,0)),Actuals!CE41)</f>
        <v>-0</v>
      </c>
      <c r="CE131" s="14" t="n">
        <f aca="false">IF(ISBLANK(Actuals!CF41),-(IF(AND(Personnel!$E$2&gt;=2,Personnel!$E$2=79,Personnel!$G$2="Yes"),Personnel!$C$2*0.15,0)+IF(AND(Personnel!$E$3&gt;=2,Personnel!$E$3=79,Personnel!$G$3="Yes"),Personnel!$C$3*0.15,0)+IF(AND(Personnel!$E$4&gt;=2,Personnel!$E$4=79,Personnel!$G$4="Yes"),Personnel!$C$4*0.15,0)+IF(AND(Personnel!$E$5&gt;=2,Personnel!$E$5=79,Personnel!$G$5="Yes"),Personnel!$C$5*0.15,0)+IF(AND(Personnel!$E$6&gt;=2,Personnel!$E$6=79,Personnel!$G$6="Yes"),Personnel!$C$6*0.15,0)+IF(AND(Personnel!$E$7&gt;=2,Personnel!$E$7=79,Personnel!$G$7="Yes"),Personnel!$C$7*0.15,0)+IF(AND(Personnel!$E$8&gt;=2,Personnel!$E$8=79,Personnel!$G$8="Yes"),Personnel!$C$8*0.15,0)+IF(AND(Personnel!$E$9&gt;=2,Personnel!$E$9=79,Personnel!$G$9="Yes"),Personnel!$C$9*0.15,0)+IF(AND(Personnel!$E$10&gt;=2,Personnel!$E$10=79,Personnel!$G$10="Yes"),Personnel!$C$10*0.15,0)+IF(AND(Personnel!$E$11&gt;=2,Personnel!$E$11=79,Personnel!$G$11="Yes"),Personnel!$C$11*0.15,0)+IF(AND(Personnel!$E$12&gt;=2,Personnel!$E$12=79,Personnel!$G$12="Yes"),Personnel!$C$12*0.15,0)+IF(AND(Personnel!$E$13&gt;=2,Personnel!$E$13=79,Personnel!$G$13="Yes"),Personnel!$C$13*0.15,0)+IF(AND(Personnel!$E$14&gt;=2,Personnel!$E$14=79,Personnel!$G$14="Yes"),Personnel!$C$14*0.15,0)+IF(AND(Personnel!$E$15&gt;=2,Personnel!$E$15=79,Personnel!$G$15="Yes"),Personnel!$C$15*0.15,0)+IF(AND(Personnel!$E$16&gt;=2,Personnel!$E$16=79,Personnel!$G$16="Yes"),Personnel!$C$16*0.15,0)+IF(AND(Personnel!$E$17&gt;=2,Personnel!$E$17=79,Personnel!$G$17="Yes"),Personnel!$C$17*0.15,0)+IF(AND(Personnel!$E$18&gt;=2,Personnel!$E$18=79,Personnel!$G$18="Yes"),Personnel!$C$18*0.15,0)+IF(AND(Personnel!$E$19&gt;=2,Personnel!$E$19=79,Personnel!$G$19="Yes"),Personnel!$C$19*0.15,0)+IF(AND(Personnel!$E$20&gt;=2,Personnel!$E$20=79,Personnel!$G$20="Yes"),Personnel!$C$20*0.15,0)+IF(AND(Personnel!$E$21&gt;=2,Personnel!$E$21=79,Personnel!$G$21="Yes"),Personnel!$C$21*0.15,0)+IF(AND(Personnel!$E$22&gt;=2,Personnel!$E$22=79,Personnel!$G$22="Yes"),Personnel!$C$22*0.15,0)+IF(AND(Personnel!$E$23&gt;=2,Personnel!$E$23=79,Personnel!$G$23="Yes"),Personnel!$C$23*0.15,0)+IF(AND(Personnel!$E$24&gt;=2,Personnel!$E$24=79,Personnel!$G$24="Yes"),Personnel!$C$24*0.15,0)+IF(AND(Personnel!$E$25&gt;=2,Personnel!$E$25=79,Personnel!$G$25="Yes"),Personnel!$C$25*0.15,0)+IF(AND(Personnel!$E$26&gt;=2,Personnel!$E$26=79,Personnel!$G$26="Yes"),Personnel!$C$26*0.15,0)+IF(AND(Personnel!$E$27&gt;=2,Personnel!$E$27=79,Personnel!$G$27="Yes"),Personnel!$C$27*0.15,0)+IF(AND(Personnel!$E$28&gt;=2,Personnel!$E$28=79,Personnel!$G$28="Yes"),Personnel!$C$28*0.15,0)+IF(AND(Personnel!$E$29&gt;=2,Personnel!$E$29=79,Personnel!$G$29="Yes"),Personnel!$C$29*0.15,0)+IF(AND(Personnel!$E$30&gt;=2,Personnel!$E$30=79,Personnel!$G$30="Yes"),Personnel!$C$30*0.15,0)+IF(AND(Personnel!$E$31&gt;=2,Personnel!$E$31=79,Personnel!$G$31="Yes"),Personnel!$C$31*0.15,0)+IF(AND(Personnel!$E$32&gt;=2,Personnel!$E$32=79,Personnel!$G$32="Yes"),Personnel!$C$32*0.15,0)+IF(AND(Personnel!$E$33&gt;=2,Personnel!$E$33=79,Personnel!$G$33="Yes"),Personnel!$C$33*0.15,0)),Actuals!CF41)</f>
        <v>-0</v>
      </c>
      <c r="CF131" s="14" t="n">
        <f aca="false">IF(ISBLANK(Actuals!CG41),-(IF(AND(Personnel!$E$2&gt;=2,Personnel!$E$2=80,Personnel!$G$2="Yes"),Personnel!$C$2*0.15,0)+IF(AND(Personnel!$E$3&gt;=2,Personnel!$E$3=80,Personnel!$G$3="Yes"),Personnel!$C$3*0.15,0)+IF(AND(Personnel!$E$4&gt;=2,Personnel!$E$4=80,Personnel!$G$4="Yes"),Personnel!$C$4*0.15,0)+IF(AND(Personnel!$E$5&gt;=2,Personnel!$E$5=80,Personnel!$G$5="Yes"),Personnel!$C$5*0.15,0)+IF(AND(Personnel!$E$6&gt;=2,Personnel!$E$6=80,Personnel!$G$6="Yes"),Personnel!$C$6*0.15,0)+IF(AND(Personnel!$E$7&gt;=2,Personnel!$E$7=80,Personnel!$G$7="Yes"),Personnel!$C$7*0.15,0)+IF(AND(Personnel!$E$8&gt;=2,Personnel!$E$8=80,Personnel!$G$8="Yes"),Personnel!$C$8*0.15,0)+IF(AND(Personnel!$E$9&gt;=2,Personnel!$E$9=80,Personnel!$G$9="Yes"),Personnel!$C$9*0.15,0)+IF(AND(Personnel!$E$10&gt;=2,Personnel!$E$10=80,Personnel!$G$10="Yes"),Personnel!$C$10*0.15,0)+IF(AND(Personnel!$E$11&gt;=2,Personnel!$E$11=80,Personnel!$G$11="Yes"),Personnel!$C$11*0.15,0)+IF(AND(Personnel!$E$12&gt;=2,Personnel!$E$12=80,Personnel!$G$12="Yes"),Personnel!$C$12*0.15,0)+IF(AND(Personnel!$E$13&gt;=2,Personnel!$E$13=80,Personnel!$G$13="Yes"),Personnel!$C$13*0.15,0)+IF(AND(Personnel!$E$14&gt;=2,Personnel!$E$14=80,Personnel!$G$14="Yes"),Personnel!$C$14*0.15,0)+IF(AND(Personnel!$E$15&gt;=2,Personnel!$E$15=80,Personnel!$G$15="Yes"),Personnel!$C$15*0.15,0)+IF(AND(Personnel!$E$16&gt;=2,Personnel!$E$16=80,Personnel!$G$16="Yes"),Personnel!$C$16*0.15,0)+IF(AND(Personnel!$E$17&gt;=2,Personnel!$E$17=80,Personnel!$G$17="Yes"),Personnel!$C$17*0.15,0)+IF(AND(Personnel!$E$18&gt;=2,Personnel!$E$18=80,Personnel!$G$18="Yes"),Personnel!$C$18*0.15,0)+IF(AND(Personnel!$E$19&gt;=2,Personnel!$E$19=80,Personnel!$G$19="Yes"),Personnel!$C$19*0.15,0)+IF(AND(Personnel!$E$20&gt;=2,Personnel!$E$20=80,Personnel!$G$20="Yes"),Personnel!$C$20*0.15,0)+IF(AND(Personnel!$E$21&gt;=2,Personnel!$E$21=80,Personnel!$G$21="Yes"),Personnel!$C$21*0.15,0)+IF(AND(Personnel!$E$22&gt;=2,Personnel!$E$22=80,Personnel!$G$22="Yes"),Personnel!$C$22*0.15,0)+IF(AND(Personnel!$E$23&gt;=2,Personnel!$E$23=80,Personnel!$G$23="Yes"),Personnel!$C$23*0.15,0)+IF(AND(Personnel!$E$24&gt;=2,Personnel!$E$24=80,Personnel!$G$24="Yes"),Personnel!$C$24*0.15,0)+IF(AND(Personnel!$E$25&gt;=2,Personnel!$E$25=80,Personnel!$G$25="Yes"),Personnel!$C$25*0.15,0)+IF(AND(Personnel!$E$26&gt;=2,Personnel!$E$26=80,Personnel!$G$26="Yes"),Personnel!$C$26*0.15,0)+IF(AND(Personnel!$E$27&gt;=2,Personnel!$E$27=80,Personnel!$G$27="Yes"),Personnel!$C$27*0.15,0)+IF(AND(Personnel!$E$28&gt;=2,Personnel!$E$28=80,Personnel!$G$28="Yes"),Personnel!$C$28*0.15,0)+IF(AND(Personnel!$E$29&gt;=2,Personnel!$E$29=80,Personnel!$G$29="Yes"),Personnel!$C$29*0.15,0)+IF(AND(Personnel!$E$30&gt;=2,Personnel!$E$30=80,Personnel!$G$30="Yes"),Personnel!$C$30*0.15,0)+IF(AND(Personnel!$E$31&gt;=2,Personnel!$E$31=80,Personnel!$G$31="Yes"),Personnel!$C$31*0.15,0)+IF(AND(Personnel!$E$32&gt;=2,Personnel!$E$32=80,Personnel!$G$32="Yes"),Personnel!$C$32*0.15,0)+IF(AND(Personnel!$E$33&gt;=2,Personnel!$E$33=80,Personnel!$G$33="Yes"),Personnel!$C$33*0.15,0)),Actuals!CG41)</f>
        <v>-0</v>
      </c>
      <c r="CG131" s="14" t="n">
        <f aca="false">IF(ISBLANK(Actuals!CH41),-(IF(AND(Personnel!$E$2&gt;=2,Personnel!$E$2=81,Personnel!$G$2="Yes"),Personnel!$C$2*0.15,0)+IF(AND(Personnel!$E$3&gt;=2,Personnel!$E$3=81,Personnel!$G$3="Yes"),Personnel!$C$3*0.15,0)+IF(AND(Personnel!$E$4&gt;=2,Personnel!$E$4=81,Personnel!$G$4="Yes"),Personnel!$C$4*0.15,0)+IF(AND(Personnel!$E$5&gt;=2,Personnel!$E$5=81,Personnel!$G$5="Yes"),Personnel!$C$5*0.15,0)+IF(AND(Personnel!$E$6&gt;=2,Personnel!$E$6=81,Personnel!$G$6="Yes"),Personnel!$C$6*0.15,0)+IF(AND(Personnel!$E$7&gt;=2,Personnel!$E$7=81,Personnel!$G$7="Yes"),Personnel!$C$7*0.15,0)+IF(AND(Personnel!$E$8&gt;=2,Personnel!$E$8=81,Personnel!$G$8="Yes"),Personnel!$C$8*0.15,0)+IF(AND(Personnel!$E$9&gt;=2,Personnel!$E$9=81,Personnel!$G$9="Yes"),Personnel!$C$9*0.15,0)+IF(AND(Personnel!$E$10&gt;=2,Personnel!$E$10=81,Personnel!$G$10="Yes"),Personnel!$C$10*0.15,0)+IF(AND(Personnel!$E$11&gt;=2,Personnel!$E$11=81,Personnel!$G$11="Yes"),Personnel!$C$11*0.15,0)+IF(AND(Personnel!$E$12&gt;=2,Personnel!$E$12=81,Personnel!$G$12="Yes"),Personnel!$C$12*0.15,0)+IF(AND(Personnel!$E$13&gt;=2,Personnel!$E$13=81,Personnel!$G$13="Yes"),Personnel!$C$13*0.15,0)+IF(AND(Personnel!$E$14&gt;=2,Personnel!$E$14=81,Personnel!$G$14="Yes"),Personnel!$C$14*0.15,0)+IF(AND(Personnel!$E$15&gt;=2,Personnel!$E$15=81,Personnel!$G$15="Yes"),Personnel!$C$15*0.15,0)+IF(AND(Personnel!$E$16&gt;=2,Personnel!$E$16=81,Personnel!$G$16="Yes"),Personnel!$C$16*0.15,0)+IF(AND(Personnel!$E$17&gt;=2,Personnel!$E$17=81,Personnel!$G$17="Yes"),Personnel!$C$17*0.15,0)+IF(AND(Personnel!$E$18&gt;=2,Personnel!$E$18=81,Personnel!$G$18="Yes"),Personnel!$C$18*0.15,0)+IF(AND(Personnel!$E$19&gt;=2,Personnel!$E$19=81,Personnel!$G$19="Yes"),Personnel!$C$19*0.15,0)+IF(AND(Personnel!$E$20&gt;=2,Personnel!$E$20=81,Personnel!$G$20="Yes"),Personnel!$C$20*0.15,0)+IF(AND(Personnel!$E$21&gt;=2,Personnel!$E$21=81,Personnel!$G$21="Yes"),Personnel!$C$21*0.15,0)+IF(AND(Personnel!$E$22&gt;=2,Personnel!$E$22=81,Personnel!$G$22="Yes"),Personnel!$C$22*0.15,0)+IF(AND(Personnel!$E$23&gt;=2,Personnel!$E$23=81,Personnel!$G$23="Yes"),Personnel!$C$23*0.15,0)+IF(AND(Personnel!$E$24&gt;=2,Personnel!$E$24=81,Personnel!$G$24="Yes"),Personnel!$C$24*0.15,0)+IF(AND(Personnel!$E$25&gt;=2,Personnel!$E$25=81,Personnel!$G$25="Yes"),Personnel!$C$25*0.15,0)+IF(AND(Personnel!$E$26&gt;=2,Personnel!$E$26=81,Personnel!$G$26="Yes"),Personnel!$C$26*0.15,0)+IF(AND(Personnel!$E$27&gt;=2,Personnel!$E$27=81,Personnel!$G$27="Yes"),Personnel!$C$27*0.15,0)+IF(AND(Personnel!$E$28&gt;=2,Personnel!$E$28=81,Personnel!$G$28="Yes"),Personnel!$C$28*0.15,0)+IF(AND(Personnel!$E$29&gt;=2,Personnel!$E$29=81,Personnel!$G$29="Yes"),Personnel!$C$29*0.15,0)+IF(AND(Personnel!$E$30&gt;=2,Personnel!$E$30=81,Personnel!$G$30="Yes"),Personnel!$C$30*0.15,0)+IF(AND(Personnel!$E$31&gt;=2,Personnel!$E$31=81,Personnel!$G$31="Yes"),Personnel!$C$31*0.15,0)+IF(AND(Personnel!$E$32&gt;=2,Personnel!$E$32=81,Personnel!$G$32="Yes"),Personnel!$C$32*0.15,0)+IF(AND(Personnel!$E$33&gt;=2,Personnel!$E$33=81,Personnel!$G$33="Yes"),Personnel!$C$33*0.15,0)),Actuals!CH41)</f>
        <v>-0</v>
      </c>
      <c r="CH131" s="14" t="n">
        <f aca="false">IF(ISBLANK(Actuals!CI41),-(IF(AND(Personnel!$E$2&gt;=2,Personnel!$E$2=82,Personnel!$G$2="Yes"),Personnel!$C$2*0.15,0)+IF(AND(Personnel!$E$3&gt;=2,Personnel!$E$3=82,Personnel!$G$3="Yes"),Personnel!$C$3*0.15,0)+IF(AND(Personnel!$E$4&gt;=2,Personnel!$E$4=82,Personnel!$G$4="Yes"),Personnel!$C$4*0.15,0)+IF(AND(Personnel!$E$5&gt;=2,Personnel!$E$5=82,Personnel!$G$5="Yes"),Personnel!$C$5*0.15,0)+IF(AND(Personnel!$E$6&gt;=2,Personnel!$E$6=82,Personnel!$G$6="Yes"),Personnel!$C$6*0.15,0)+IF(AND(Personnel!$E$7&gt;=2,Personnel!$E$7=82,Personnel!$G$7="Yes"),Personnel!$C$7*0.15,0)+IF(AND(Personnel!$E$8&gt;=2,Personnel!$E$8=82,Personnel!$G$8="Yes"),Personnel!$C$8*0.15,0)+IF(AND(Personnel!$E$9&gt;=2,Personnel!$E$9=82,Personnel!$G$9="Yes"),Personnel!$C$9*0.15,0)+IF(AND(Personnel!$E$10&gt;=2,Personnel!$E$10=82,Personnel!$G$10="Yes"),Personnel!$C$10*0.15,0)+IF(AND(Personnel!$E$11&gt;=2,Personnel!$E$11=82,Personnel!$G$11="Yes"),Personnel!$C$11*0.15,0)+IF(AND(Personnel!$E$12&gt;=2,Personnel!$E$12=82,Personnel!$G$12="Yes"),Personnel!$C$12*0.15,0)+IF(AND(Personnel!$E$13&gt;=2,Personnel!$E$13=82,Personnel!$G$13="Yes"),Personnel!$C$13*0.15,0)+IF(AND(Personnel!$E$14&gt;=2,Personnel!$E$14=82,Personnel!$G$14="Yes"),Personnel!$C$14*0.15,0)+IF(AND(Personnel!$E$15&gt;=2,Personnel!$E$15=82,Personnel!$G$15="Yes"),Personnel!$C$15*0.15,0)+IF(AND(Personnel!$E$16&gt;=2,Personnel!$E$16=82,Personnel!$G$16="Yes"),Personnel!$C$16*0.15,0)+IF(AND(Personnel!$E$17&gt;=2,Personnel!$E$17=82,Personnel!$G$17="Yes"),Personnel!$C$17*0.15,0)+IF(AND(Personnel!$E$18&gt;=2,Personnel!$E$18=82,Personnel!$G$18="Yes"),Personnel!$C$18*0.15,0)+IF(AND(Personnel!$E$19&gt;=2,Personnel!$E$19=82,Personnel!$G$19="Yes"),Personnel!$C$19*0.15,0)+IF(AND(Personnel!$E$20&gt;=2,Personnel!$E$20=82,Personnel!$G$20="Yes"),Personnel!$C$20*0.15,0)+IF(AND(Personnel!$E$21&gt;=2,Personnel!$E$21=82,Personnel!$G$21="Yes"),Personnel!$C$21*0.15,0)+IF(AND(Personnel!$E$22&gt;=2,Personnel!$E$22=82,Personnel!$G$22="Yes"),Personnel!$C$22*0.15,0)+IF(AND(Personnel!$E$23&gt;=2,Personnel!$E$23=82,Personnel!$G$23="Yes"),Personnel!$C$23*0.15,0)+IF(AND(Personnel!$E$24&gt;=2,Personnel!$E$24=82,Personnel!$G$24="Yes"),Personnel!$C$24*0.15,0)+IF(AND(Personnel!$E$25&gt;=2,Personnel!$E$25=82,Personnel!$G$25="Yes"),Personnel!$C$25*0.15,0)+IF(AND(Personnel!$E$26&gt;=2,Personnel!$E$26=82,Personnel!$G$26="Yes"),Personnel!$C$26*0.15,0)+IF(AND(Personnel!$E$27&gt;=2,Personnel!$E$27=82,Personnel!$G$27="Yes"),Personnel!$C$27*0.15,0)+IF(AND(Personnel!$E$28&gt;=2,Personnel!$E$28=82,Personnel!$G$28="Yes"),Personnel!$C$28*0.15,0)+IF(AND(Personnel!$E$29&gt;=2,Personnel!$E$29=82,Personnel!$G$29="Yes"),Personnel!$C$29*0.15,0)+IF(AND(Personnel!$E$30&gt;=2,Personnel!$E$30=82,Personnel!$G$30="Yes"),Personnel!$C$30*0.15,0)+IF(AND(Personnel!$E$31&gt;=2,Personnel!$E$31=82,Personnel!$G$31="Yes"),Personnel!$C$31*0.15,0)+IF(AND(Personnel!$E$32&gt;=2,Personnel!$E$32=82,Personnel!$G$32="Yes"),Personnel!$C$32*0.15,0)+IF(AND(Personnel!$E$33&gt;=2,Personnel!$E$33=82,Personnel!$G$33="Yes"),Personnel!$C$33*0.15,0)),Actuals!CI41)</f>
        <v>-0</v>
      </c>
      <c r="CI131" s="14" t="n">
        <f aca="false">IF(ISBLANK(Actuals!CJ41),-(IF(AND(Personnel!$E$2&gt;=2,Personnel!$E$2=83,Personnel!$G$2="Yes"),Personnel!$C$2*0.15,0)+IF(AND(Personnel!$E$3&gt;=2,Personnel!$E$3=83,Personnel!$G$3="Yes"),Personnel!$C$3*0.15,0)+IF(AND(Personnel!$E$4&gt;=2,Personnel!$E$4=83,Personnel!$G$4="Yes"),Personnel!$C$4*0.15,0)+IF(AND(Personnel!$E$5&gt;=2,Personnel!$E$5=83,Personnel!$G$5="Yes"),Personnel!$C$5*0.15,0)+IF(AND(Personnel!$E$6&gt;=2,Personnel!$E$6=83,Personnel!$G$6="Yes"),Personnel!$C$6*0.15,0)+IF(AND(Personnel!$E$7&gt;=2,Personnel!$E$7=83,Personnel!$G$7="Yes"),Personnel!$C$7*0.15,0)+IF(AND(Personnel!$E$8&gt;=2,Personnel!$E$8=83,Personnel!$G$8="Yes"),Personnel!$C$8*0.15,0)+IF(AND(Personnel!$E$9&gt;=2,Personnel!$E$9=83,Personnel!$G$9="Yes"),Personnel!$C$9*0.15,0)+IF(AND(Personnel!$E$10&gt;=2,Personnel!$E$10=83,Personnel!$G$10="Yes"),Personnel!$C$10*0.15,0)+IF(AND(Personnel!$E$11&gt;=2,Personnel!$E$11=83,Personnel!$G$11="Yes"),Personnel!$C$11*0.15,0)+IF(AND(Personnel!$E$12&gt;=2,Personnel!$E$12=83,Personnel!$G$12="Yes"),Personnel!$C$12*0.15,0)+IF(AND(Personnel!$E$13&gt;=2,Personnel!$E$13=83,Personnel!$G$13="Yes"),Personnel!$C$13*0.15,0)+IF(AND(Personnel!$E$14&gt;=2,Personnel!$E$14=83,Personnel!$G$14="Yes"),Personnel!$C$14*0.15,0)+IF(AND(Personnel!$E$15&gt;=2,Personnel!$E$15=83,Personnel!$G$15="Yes"),Personnel!$C$15*0.15,0)+IF(AND(Personnel!$E$16&gt;=2,Personnel!$E$16=83,Personnel!$G$16="Yes"),Personnel!$C$16*0.15,0)+IF(AND(Personnel!$E$17&gt;=2,Personnel!$E$17=83,Personnel!$G$17="Yes"),Personnel!$C$17*0.15,0)+IF(AND(Personnel!$E$18&gt;=2,Personnel!$E$18=83,Personnel!$G$18="Yes"),Personnel!$C$18*0.15,0)+IF(AND(Personnel!$E$19&gt;=2,Personnel!$E$19=83,Personnel!$G$19="Yes"),Personnel!$C$19*0.15,0)+IF(AND(Personnel!$E$20&gt;=2,Personnel!$E$20=83,Personnel!$G$20="Yes"),Personnel!$C$20*0.15,0)+IF(AND(Personnel!$E$21&gt;=2,Personnel!$E$21=83,Personnel!$G$21="Yes"),Personnel!$C$21*0.15,0)+IF(AND(Personnel!$E$22&gt;=2,Personnel!$E$22=83,Personnel!$G$22="Yes"),Personnel!$C$22*0.15,0)+IF(AND(Personnel!$E$23&gt;=2,Personnel!$E$23=83,Personnel!$G$23="Yes"),Personnel!$C$23*0.15,0)+IF(AND(Personnel!$E$24&gt;=2,Personnel!$E$24=83,Personnel!$G$24="Yes"),Personnel!$C$24*0.15,0)+IF(AND(Personnel!$E$25&gt;=2,Personnel!$E$25=83,Personnel!$G$25="Yes"),Personnel!$C$25*0.15,0)+IF(AND(Personnel!$E$26&gt;=2,Personnel!$E$26=83,Personnel!$G$26="Yes"),Personnel!$C$26*0.15,0)+IF(AND(Personnel!$E$27&gt;=2,Personnel!$E$27=83,Personnel!$G$27="Yes"),Personnel!$C$27*0.15,0)+IF(AND(Personnel!$E$28&gt;=2,Personnel!$E$28=83,Personnel!$G$28="Yes"),Personnel!$C$28*0.15,0)+IF(AND(Personnel!$E$29&gt;=2,Personnel!$E$29=83,Personnel!$G$29="Yes"),Personnel!$C$29*0.15,0)+IF(AND(Personnel!$E$30&gt;=2,Personnel!$E$30=83,Personnel!$G$30="Yes"),Personnel!$C$30*0.15,0)+IF(AND(Personnel!$E$31&gt;=2,Personnel!$E$31=83,Personnel!$G$31="Yes"),Personnel!$C$31*0.15,0)+IF(AND(Personnel!$E$32&gt;=2,Personnel!$E$32=83,Personnel!$G$32="Yes"),Personnel!$C$32*0.15,0)+IF(AND(Personnel!$E$33&gt;=2,Personnel!$E$33=83,Personnel!$G$33="Yes"),Personnel!$C$33*0.15,0)),Actuals!CJ41)</f>
        <v>-0</v>
      </c>
      <c r="CJ131" s="14" t="n">
        <f aca="false">IF(ISBLANK(Actuals!CK41),-(IF(AND(Personnel!$E$2&gt;=2,Personnel!$E$2=84,Personnel!$G$2="Yes"),Personnel!$C$2*0.15,0)+IF(AND(Personnel!$E$3&gt;=2,Personnel!$E$3=84,Personnel!$G$3="Yes"),Personnel!$C$3*0.15,0)+IF(AND(Personnel!$E$4&gt;=2,Personnel!$E$4=84,Personnel!$G$4="Yes"),Personnel!$C$4*0.15,0)+IF(AND(Personnel!$E$5&gt;=2,Personnel!$E$5=84,Personnel!$G$5="Yes"),Personnel!$C$5*0.15,0)+IF(AND(Personnel!$E$6&gt;=2,Personnel!$E$6=84,Personnel!$G$6="Yes"),Personnel!$C$6*0.15,0)+IF(AND(Personnel!$E$7&gt;=2,Personnel!$E$7=84,Personnel!$G$7="Yes"),Personnel!$C$7*0.15,0)+IF(AND(Personnel!$E$8&gt;=2,Personnel!$E$8=84,Personnel!$G$8="Yes"),Personnel!$C$8*0.15,0)+IF(AND(Personnel!$E$9&gt;=2,Personnel!$E$9=84,Personnel!$G$9="Yes"),Personnel!$C$9*0.15,0)+IF(AND(Personnel!$E$10&gt;=2,Personnel!$E$10=84,Personnel!$G$10="Yes"),Personnel!$C$10*0.15,0)+IF(AND(Personnel!$E$11&gt;=2,Personnel!$E$11=84,Personnel!$G$11="Yes"),Personnel!$C$11*0.15,0)+IF(AND(Personnel!$E$12&gt;=2,Personnel!$E$12=84,Personnel!$G$12="Yes"),Personnel!$C$12*0.15,0)+IF(AND(Personnel!$E$13&gt;=2,Personnel!$E$13=84,Personnel!$G$13="Yes"),Personnel!$C$13*0.15,0)+IF(AND(Personnel!$E$14&gt;=2,Personnel!$E$14=84,Personnel!$G$14="Yes"),Personnel!$C$14*0.15,0)+IF(AND(Personnel!$E$15&gt;=2,Personnel!$E$15=84,Personnel!$G$15="Yes"),Personnel!$C$15*0.15,0)+IF(AND(Personnel!$E$16&gt;=2,Personnel!$E$16=84,Personnel!$G$16="Yes"),Personnel!$C$16*0.15,0)+IF(AND(Personnel!$E$17&gt;=2,Personnel!$E$17=84,Personnel!$G$17="Yes"),Personnel!$C$17*0.15,0)+IF(AND(Personnel!$E$18&gt;=2,Personnel!$E$18=84,Personnel!$G$18="Yes"),Personnel!$C$18*0.15,0)+IF(AND(Personnel!$E$19&gt;=2,Personnel!$E$19=84,Personnel!$G$19="Yes"),Personnel!$C$19*0.15,0)+IF(AND(Personnel!$E$20&gt;=2,Personnel!$E$20=84,Personnel!$G$20="Yes"),Personnel!$C$20*0.15,0)+IF(AND(Personnel!$E$21&gt;=2,Personnel!$E$21=84,Personnel!$G$21="Yes"),Personnel!$C$21*0.15,0)+IF(AND(Personnel!$E$22&gt;=2,Personnel!$E$22=84,Personnel!$G$22="Yes"),Personnel!$C$22*0.15,0)+IF(AND(Personnel!$E$23&gt;=2,Personnel!$E$23=84,Personnel!$G$23="Yes"),Personnel!$C$23*0.15,0)+IF(AND(Personnel!$E$24&gt;=2,Personnel!$E$24=84,Personnel!$G$24="Yes"),Personnel!$C$24*0.15,0)+IF(AND(Personnel!$E$25&gt;=2,Personnel!$E$25=84,Personnel!$G$25="Yes"),Personnel!$C$25*0.15,0)+IF(AND(Personnel!$E$26&gt;=2,Personnel!$E$26=84,Personnel!$G$26="Yes"),Personnel!$C$26*0.15,0)+IF(AND(Personnel!$E$27&gt;=2,Personnel!$E$27=84,Personnel!$G$27="Yes"),Personnel!$C$27*0.15,0)+IF(AND(Personnel!$E$28&gt;=2,Personnel!$E$28=84,Personnel!$G$28="Yes"),Personnel!$C$28*0.15,0)+IF(AND(Personnel!$E$29&gt;=2,Personnel!$E$29=84,Personnel!$G$29="Yes"),Personnel!$C$29*0.15,0)+IF(AND(Personnel!$E$30&gt;=2,Personnel!$E$30=84,Personnel!$G$30="Yes"),Personnel!$C$30*0.15,0)+IF(AND(Personnel!$E$31&gt;=2,Personnel!$E$31=84,Personnel!$G$31="Yes"),Personnel!$C$31*0.15,0)+IF(AND(Personnel!$E$32&gt;=2,Personnel!$E$32=84,Personnel!$G$32="Yes"),Personnel!$C$32*0.15,0)+IF(AND(Personnel!$E$33&gt;=2,Personnel!$E$33=84,Personnel!$G$33="Yes"),Personnel!$C$33*0.15,0)),Actuals!CK41)</f>
        <v>-0</v>
      </c>
      <c r="CK131" s="14" t="n">
        <f aca="false">IF(ISBLANK(Actuals!CL41),-(IF(AND(Personnel!$E$2&gt;=2,Personnel!$E$2=85,Personnel!$G$2="Yes"),Personnel!$C$2*0.15,0)+IF(AND(Personnel!$E$3&gt;=2,Personnel!$E$3=85,Personnel!$G$3="Yes"),Personnel!$C$3*0.15,0)+IF(AND(Personnel!$E$4&gt;=2,Personnel!$E$4=85,Personnel!$G$4="Yes"),Personnel!$C$4*0.15,0)+IF(AND(Personnel!$E$5&gt;=2,Personnel!$E$5=85,Personnel!$G$5="Yes"),Personnel!$C$5*0.15,0)+IF(AND(Personnel!$E$6&gt;=2,Personnel!$E$6=85,Personnel!$G$6="Yes"),Personnel!$C$6*0.15,0)+IF(AND(Personnel!$E$7&gt;=2,Personnel!$E$7=85,Personnel!$G$7="Yes"),Personnel!$C$7*0.15,0)+IF(AND(Personnel!$E$8&gt;=2,Personnel!$E$8=85,Personnel!$G$8="Yes"),Personnel!$C$8*0.15,0)+IF(AND(Personnel!$E$9&gt;=2,Personnel!$E$9=85,Personnel!$G$9="Yes"),Personnel!$C$9*0.15,0)+IF(AND(Personnel!$E$10&gt;=2,Personnel!$E$10=85,Personnel!$G$10="Yes"),Personnel!$C$10*0.15,0)+IF(AND(Personnel!$E$11&gt;=2,Personnel!$E$11=85,Personnel!$G$11="Yes"),Personnel!$C$11*0.15,0)+IF(AND(Personnel!$E$12&gt;=2,Personnel!$E$12=85,Personnel!$G$12="Yes"),Personnel!$C$12*0.15,0)+IF(AND(Personnel!$E$13&gt;=2,Personnel!$E$13=85,Personnel!$G$13="Yes"),Personnel!$C$13*0.15,0)+IF(AND(Personnel!$E$14&gt;=2,Personnel!$E$14=85,Personnel!$G$14="Yes"),Personnel!$C$14*0.15,0)+IF(AND(Personnel!$E$15&gt;=2,Personnel!$E$15=85,Personnel!$G$15="Yes"),Personnel!$C$15*0.15,0)+IF(AND(Personnel!$E$16&gt;=2,Personnel!$E$16=85,Personnel!$G$16="Yes"),Personnel!$C$16*0.15,0)+IF(AND(Personnel!$E$17&gt;=2,Personnel!$E$17=85,Personnel!$G$17="Yes"),Personnel!$C$17*0.15,0)+IF(AND(Personnel!$E$18&gt;=2,Personnel!$E$18=85,Personnel!$G$18="Yes"),Personnel!$C$18*0.15,0)+IF(AND(Personnel!$E$19&gt;=2,Personnel!$E$19=85,Personnel!$G$19="Yes"),Personnel!$C$19*0.15,0)+IF(AND(Personnel!$E$20&gt;=2,Personnel!$E$20=85,Personnel!$G$20="Yes"),Personnel!$C$20*0.15,0)+IF(AND(Personnel!$E$21&gt;=2,Personnel!$E$21=85,Personnel!$G$21="Yes"),Personnel!$C$21*0.15,0)+IF(AND(Personnel!$E$22&gt;=2,Personnel!$E$22=85,Personnel!$G$22="Yes"),Personnel!$C$22*0.15,0)+IF(AND(Personnel!$E$23&gt;=2,Personnel!$E$23=85,Personnel!$G$23="Yes"),Personnel!$C$23*0.15,0)+IF(AND(Personnel!$E$24&gt;=2,Personnel!$E$24=85,Personnel!$G$24="Yes"),Personnel!$C$24*0.15,0)+IF(AND(Personnel!$E$25&gt;=2,Personnel!$E$25=85,Personnel!$G$25="Yes"),Personnel!$C$25*0.15,0)+IF(AND(Personnel!$E$26&gt;=2,Personnel!$E$26=85,Personnel!$G$26="Yes"),Personnel!$C$26*0.15,0)+IF(AND(Personnel!$E$27&gt;=2,Personnel!$E$27=85,Personnel!$G$27="Yes"),Personnel!$C$27*0.15,0)+IF(AND(Personnel!$E$28&gt;=2,Personnel!$E$28=85,Personnel!$G$28="Yes"),Personnel!$C$28*0.15,0)+IF(AND(Personnel!$E$29&gt;=2,Personnel!$E$29=85,Personnel!$G$29="Yes"),Personnel!$C$29*0.15,0)+IF(AND(Personnel!$E$30&gt;=2,Personnel!$E$30=85,Personnel!$G$30="Yes"),Personnel!$C$30*0.15,0)+IF(AND(Personnel!$E$31&gt;=2,Personnel!$E$31=85,Personnel!$G$31="Yes"),Personnel!$C$31*0.15,0)+IF(AND(Personnel!$E$32&gt;=2,Personnel!$E$32=85,Personnel!$G$32="Yes"),Personnel!$C$32*0.15,0)+IF(AND(Personnel!$E$33&gt;=2,Personnel!$E$33=85,Personnel!$G$33="Yes"),Personnel!$C$33*0.15,0)),Actuals!CL41)</f>
        <v>-0</v>
      </c>
      <c r="CL131" s="14" t="n">
        <f aca="false">IF(ISBLANK(Actuals!CM41),-(IF(AND(Personnel!$E$2&gt;=2,Personnel!$E$2=86,Personnel!$G$2="Yes"),Personnel!$C$2*0.15,0)+IF(AND(Personnel!$E$3&gt;=2,Personnel!$E$3=86,Personnel!$G$3="Yes"),Personnel!$C$3*0.15,0)+IF(AND(Personnel!$E$4&gt;=2,Personnel!$E$4=86,Personnel!$G$4="Yes"),Personnel!$C$4*0.15,0)+IF(AND(Personnel!$E$5&gt;=2,Personnel!$E$5=86,Personnel!$G$5="Yes"),Personnel!$C$5*0.15,0)+IF(AND(Personnel!$E$6&gt;=2,Personnel!$E$6=86,Personnel!$G$6="Yes"),Personnel!$C$6*0.15,0)+IF(AND(Personnel!$E$7&gt;=2,Personnel!$E$7=86,Personnel!$G$7="Yes"),Personnel!$C$7*0.15,0)+IF(AND(Personnel!$E$8&gt;=2,Personnel!$E$8=86,Personnel!$G$8="Yes"),Personnel!$C$8*0.15,0)+IF(AND(Personnel!$E$9&gt;=2,Personnel!$E$9=86,Personnel!$G$9="Yes"),Personnel!$C$9*0.15,0)+IF(AND(Personnel!$E$10&gt;=2,Personnel!$E$10=86,Personnel!$G$10="Yes"),Personnel!$C$10*0.15,0)+IF(AND(Personnel!$E$11&gt;=2,Personnel!$E$11=86,Personnel!$G$11="Yes"),Personnel!$C$11*0.15,0)+IF(AND(Personnel!$E$12&gt;=2,Personnel!$E$12=86,Personnel!$G$12="Yes"),Personnel!$C$12*0.15,0)+IF(AND(Personnel!$E$13&gt;=2,Personnel!$E$13=86,Personnel!$G$13="Yes"),Personnel!$C$13*0.15,0)+IF(AND(Personnel!$E$14&gt;=2,Personnel!$E$14=86,Personnel!$G$14="Yes"),Personnel!$C$14*0.15,0)+IF(AND(Personnel!$E$15&gt;=2,Personnel!$E$15=86,Personnel!$G$15="Yes"),Personnel!$C$15*0.15,0)+IF(AND(Personnel!$E$16&gt;=2,Personnel!$E$16=86,Personnel!$G$16="Yes"),Personnel!$C$16*0.15,0)+IF(AND(Personnel!$E$17&gt;=2,Personnel!$E$17=86,Personnel!$G$17="Yes"),Personnel!$C$17*0.15,0)+IF(AND(Personnel!$E$18&gt;=2,Personnel!$E$18=86,Personnel!$G$18="Yes"),Personnel!$C$18*0.15,0)+IF(AND(Personnel!$E$19&gt;=2,Personnel!$E$19=86,Personnel!$G$19="Yes"),Personnel!$C$19*0.15,0)+IF(AND(Personnel!$E$20&gt;=2,Personnel!$E$20=86,Personnel!$G$20="Yes"),Personnel!$C$20*0.15,0)+IF(AND(Personnel!$E$21&gt;=2,Personnel!$E$21=86,Personnel!$G$21="Yes"),Personnel!$C$21*0.15,0)+IF(AND(Personnel!$E$22&gt;=2,Personnel!$E$22=86,Personnel!$G$22="Yes"),Personnel!$C$22*0.15,0)+IF(AND(Personnel!$E$23&gt;=2,Personnel!$E$23=86,Personnel!$G$23="Yes"),Personnel!$C$23*0.15,0)+IF(AND(Personnel!$E$24&gt;=2,Personnel!$E$24=86,Personnel!$G$24="Yes"),Personnel!$C$24*0.15,0)+IF(AND(Personnel!$E$25&gt;=2,Personnel!$E$25=86,Personnel!$G$25="Yes"),Personnel!$C$25*0.15,0)+IF(AND(Personnel!$E$26&gt;=2,Personnel!$E$26=86,Personnel!$G$26="Yes"),Personnel!$C$26*0.15,0)+IF(AND(Personnel!$E$27&gt;=2,Personnel!$E$27=86,Personnel!$G$27="Yes"),Personnel!$C$27*0.15,0)+IF(AND(Personnel!$E$28&gt;=2,Personnel!$E$28=86,Personnel!$G$28="Yes"),Personnel!$C$28*0.15,0)+IF(AND(Personnel!$E$29&gt;=2,Personnel!$E$29=86,Personnel!$G$29="Yes"),Personnel!$C$29*0.15,0)+IF(AND(Personnel!$E$30&gt;=2,Personnel!$E$30=86,Personnel!$G$30="Yes"),Personnel!$C$30*0.15,0)+IF(AND(Personnel!$E$31&gt;=2,Personnel!$E$31=86,Personnel!$G$31="Yes"),Personnel!$C$31*0.15,0)+IF(AND(Personnel!$E$32&gt;=2,Personnel!$E$32=86,Personnel!$G$32="Yes"),Personnel!$C$32*0.15,0)+IF(AND(Personnel!$E$33&gt;=2,Personnel!$E$33=86,Personnel!$G$33="Yes"),Personnel!$C$33*0.15,0)),Actuals!CM41)</f>
        <v>-0</v>
      </c>
      <c r="CM131" s="14" t="n">
        <f aca="false">IF(ISBLANK(Actuals!CN41),-(IF(AND(Personnel!$E$2&gt;=2,Personnel!$E$2=87,Personnel!$G$2="Yes"),Personnel!$C$2*0.15,0)+IF(AND(Personnel!$E$3&gt;=2,Personnel!$E$3=87,Personnel!$G$3="Yes"),Personnel!$C$3*0.15,0)+IF(AND(Personnel!$E$4&gt;=2,Personnel!$E$4=87,Personnel!$G$4="Yes"),Personnel!$C$4*0.15,0)+IF(AND(Personnel!$E$5&gt;=2,Personnel!$E$5=87,Personnel!$G$5="Yes"),Personnel!$C$5*0.15,0)+IF(AND(Personnel!$E$6&gt;=2,Personnel!$E$6=87,Personnel!$G$6="Yes"),Personnel!$C$6*0.15,0)+IF(AND(Personnel!$E$7&gt;=2,Personnel!$E$7=87,Personnel!$G$7="Yes"),Personnel!$C$7*0.15,0)+IF(AND(Personnel!$E$8&gt;=2,Personnel!$E$8=87,Personnel!$G$8="Yes"),Personnel!$C$8*0.15,0)+IF(AND(Personnel!$E$9&gt;=2,Personnel!$E$9=87,Personnel!$G$9="Yes"),Personnel!$C$9*0.15,0)+IF(AND(Personnel!$E$10&gt;=2,Personnel!$E$10=87,Personnel!$G$10="Yes"),Personnel!$C$10*0.15,0)+IF(AND(Personnel!$E$11&gt;=2,Personnel!$E$11=87,Personnel!$G$11="Yes"),Personnel!$C$11*0.15,0)+IF(AND(Personnel!$E$12&gt;=2,Personnel!$E$12=87,Personnel!$G$12="Yes"),Personnel!$C$12*0.15,0)+IF(AND(Personnel!$E$13&gt;=2,Personnel!$E$13=87,Personnel!$G$13="Yes"),Personnel!$C$13*0.15,0)+IF(AND(Personnel!$E$14&gt;=2,Personnel!$E$14=87,Personnel!$G$14="Yes"),Personnel!$C$14*0.15,0)+IF(AND(Personnel!$E$15&gt;=2,Personnel!$E$15=87,Personnel!$G$15="Yes"),Personnel!$C$15*0.15,0)+IF(AND(Personnel!$E$16&gt;=2,Personnel!$E$16=87,Personnel!$G$16="Yes"),Personnel!$C$16*0.15,0)+IF(AND(Personnel!$E$17&gt;=2,Personnel!$E$17=87,Personnel!$G$17="Yes"),Personnel!$C$17*0.15,0)+IF(AND(Personnel!$E$18&gt;=2,Personnel!$E$18=87,Personnel!$G$18="Yes"),Personnel!$C$18*0.15,0)+IF(AND(Personnel!$E$19&gt;=2,Personnel!$E$19=87,Personnel!$G$19="Yes"),Personnel!$C$19*0.15,0)+IF(AND(Personnel!$E$20&gt;=2,Personnel!$E$20=87,Personnel!$G$20="Yes"),Personnel!$C$20*0.15,0)+IF(AND(Personnel!$E$21&gt;=2,Personnel!$E$21=87,Personnel!$G$21="Yes"),Personnel!$C$21*0.15,0)+IF(AND(Personnel!$E$22&gt;=2,Personnel!$E$22=87,Personnel!$G$22="Yes"),Personnel!$C$22*0.15,0)+IF(AND(Personnel!$E$23&gt;=2,Personnel!$E$23=87,Personnel!$G$23="Yes"),Personnel!$C$23*0.15,0)+IF(AND(Personnel!$E$24&gt;=2,Personnel!$E$24=87,Personnel!$G$24="Yes"),Personnel!$C$24*0.15,0)+IF(AND(Personnel!$E$25&gt;=2,Personnel!$E$25=87,Personnel!$G$25="Yes"),Personnel!$C$25*0.15,0)+IF(AND(Personnel!$E$26&gt;=2,Personnel!$E$26=87,Personnel!$G$26="Yes"),Personnel!$C$26*0.15,0)+IF(AND(Personnel!$E$27&gt;=2,Personnel!$E$27=87,Personnel!$G$27="Yes"),Personnel!$C$27*0.15,0)+IF(AND(Personnel!$E$28&gt;=2,Personnel!$E$28=87,Personnel!$G$28="Yes"),Personnel!$C$28*0.15,0)+IF(AND(Personnel!$E$29&gt;=2,Personnel!$E$29=87,Personnel!$G$29="Yes"),Personnel!$C$29*0.15,0)+IF(AND(Personnel!$E$30&gt;=2,Personnel!$E$30=87,Personnel!$G$30="Yes"),Personnel!$C$30*0.15,0)+IF(AND(Personnel!$E$31&gt;=2,Personnel!$E$31=87,Personnel!$G$31="Yes"),Personnel!$C$31*0.15,0)+IF(AND(Personnel!$E$32&gt;=2,Personnel!$E$32=87,Personnel!$G$32="Yes"),Personnel!$C$32*0.15,0)+IF(AND(Personnel!$E$33&gt;=2,Personnel!$E$33=87,Personnel!$G$33="Yes"),Personnel!$C$33*0.15,0)),Actuals!CN41)</f>
        <v>-0</v>
      </c>
      <c r="CN131" s="14" t="n">
        <f aca="false">IF(ISBLANK(Actuals!CO41),-(IF(AND(Personnel!$E$2&gt;=2,Personnel!$E$2=88,Personnel!$G$2="Yes"),Personnel!$C$2*0.15,0)+IF(AND(Personnel!$E$3&gt;=2,Personnel!$E$3=88,Personnel!$G$3="Yes"),Personnel!$C$3*0.15,0)+IF(AND(Personnel!$E$4&gt;=2,Personnel!$E$4=88,Personnel!$G$4="Yes"),Personnel!$C$4*0.15,0)+IF(AND(Personnel!$E$5&gt;=2,Personnel!$E$5=88,Personnel!$G$5="Yes"),Personnel!$C$5*0.15,0)+IF(AND(Personnel!$E$6&gt;=2,Personnel!$E$6=88,Personnel!$G$6="Yes"),Personnel!$C$6*0.15,0)+IF(AND(Personnel!$E$7&gt;=2,Personnel!$E$7=88,Personnel!$G$7="Yes"),Personnel!$C$7*0.15,0)+IF(AND(Personnel!$E$8&gt;=2,Personnel!$E$8=88,Personnel!$G$8="Yes"),Personnel!$C$8*0.15,0)+IF(AND(Personnel!$E$9&gt;=2,Personnel!$E$9=88,Personnel!$G$9="Yes"),Personnel!$C$9*0.15,0)+IF(AND(Personnel!$E$10&gt;=2,Personnel!$E$10=88,Personnel!$G$10="Yes"),Personnel!$C$10*0.15,0)+IF(AND(Personnel!$E$11&gt;=2,Personnel!$E$11=88,Personnel!$G$11="Yes"),Personnel!$C$11*0.15,0)+IF(AND(Personnel!$E$12&gt;=2,Personnel!$E$12=88,Personnel!$G$12="Yes"),Personnel!$C$12*0.15,0)+IF(AND(Personnel!$E$13&gt;=2,Personnel!$E$13=88,Personnel!$G$13="Yes"),Personnel!$C$13*0.15,0)+IF(AND(Personnel!$E$14&gt;=2,Personnel!$E$14=88,Personnel!$G$14="Yes"),Personnel!$C$14*0.15,0)+IF(AND(Personnel!$E$15&gt;=2,Personnel!$E$15=88,Personnel!$G$15="Yes"),Personnel!$C$15*0.15,0)+IF(AND(Personnel!$E$16&gt;=2,Personnel!$E$16=88,Personnel!$G$16="Yes"),Personnel!$C$16*0.15,0)+IF(AND(Personnel!$E$17&gt;=2,Personnel!$E$17=88,Personnel!$G$17="Yes"),Personnel!$C$17*0.15,0)+IF(AND(Personnel!$E$18&gt;=2,Personnel!$E$18=88,Personnel!$G$18="Yes"),Personnel!$C$18*0.15,0)+IF(AND(Personnel!$E$19&gt;=2,Personnel!$E$19=88,Personnel!$G$19="Yes"),Personnel!$C$19*0.15,0)+IF(AND(Personnel!$E$20&gt;=2,Personnel!$E$20=88,Personnel!$G$20="Yes"),Personnel!$C$20*0.15,0)+IF(AND(Personnel!$E$21&gt;=2,Personnel!$E$21=88,Personnel!$G$21="Yes"),Personnel!$C$21*0.15,0)+IF(AND(Personnel!$E$22&gt;=2,Personnel!$E$22=88,Personnel!$G$22="Yes"),Personnel!$C$22*0.15,0)+IF(AND(Personnel!$E$23&gt;=2,Personnel!$E$23=88,Personnel!$G$23="Yes"),Personnel!$C$23*0.15,0)+IF(AND(Personnel!$E$24&gt;=2,Personnel!$E$24=88,Personnel!$G$24="Yes"),Personnel!$C$24*0.15,0)+IF(AND(Personnel!$E$25&gt;=2,Personnel!$E$25=88,Personnel!$G$25="Yes"),Personnel!$C$25*0.15,0)+IF(AND(Personnel!$E$26&gt;=2,Personnel!$E$26=88,Personnel!$G$26="Yes"),Personnel!$C$26*0.15,0)+IF(AND(Personnel!$E$27&gt;=2,Personnel!$E$27=88,Personnel!$G$27="Yes"),Personnel!$C$27*0.15,0)+IF(AND(Personnel!$E$28&gt;=2,Personnel!$E$28=88,Personnel!$G$28="Yes"),Personnel!$C$28*0.15,0)+IF(AND(Personnel!$E$29&gt;=2,Personnel!$E$29=88,Personnel!$G$29="Yes"),Personnel!$C$29*0.15,0)+IF(AND(Personnel!$E$30&gt;=2,Personnel!$E$30=88,Personnel!$G$30="Yes"),Personnel!$C$30*0.15,0)+IF(AND(Personnel!$E$31&gt;=2,Personnel!$E$31=88,Personnel!$G$31="Yes"),Personnel!$C$31*0.15,0)+IF(AND(Personnel!$E$32&gt;=2,Personnel!$E$32=88,Personnel!$G$32="Yes"),Personnel!$C$32*0.15,0)+IF(AND(Personnel!$E$33&gt;=2,Personnel!$E$33=88,Personnel!$G$33="Yes"),Personnel!$C$33*0.15,0)),Actuals!CO41)</f>
        <v>-0</v>
      </c>
      <c r="CO131" s="14" t="n">
        <f aca="false">IF(ISBLANK(Actuals!CP41),-(IF(AND(Personnel!$E$2&gt;=2,Personnel!$E$2=89,Personnel!$G$2="Yes"),Personnel!$C$2*0.15,0)+IF(AND(Personnel!$E$3&gt;=2,Personnel!$E$3=89,Personnel!$G$3="Yes"),Personnel!$C$3*0.15,0)+IF(AND(Personnel!$E$4&gt;=2,Personnel!$E$4=89,Personnel!$G$4="Yes"),Personnel!$C$4*0.15,0)+IF(AND(Personnel!$E$5&gt;=2,Personnel!$E$5=89,Personnel!$G$5="Yes"),Personnel!$C$5*0.15,0)+IF(AND(Personnel!$E$6&gt;=2,Personnel!$E$6=89,Personnel!$G$6="Yes"),Personnel!$C$6*0.15,0)+IF(AND(Personnel!$E$7&gt;=2,Personnel!$E$7=89,Personnel!$G$7="Yes"),Personnel!$C$7*0.15,0)+IF(AND(Personnel!$E$8&gt;=2,Personnel!$E$8=89,Personnel!$G$8="Yes"),Personnel!$C$8*0.15,0)+IF(AND(Personnel!$E$9&gt;=2,Personnel!$E$9=89,Personnel!$G$9="Yes"),Personnel!$C$9*0.15,0)+IF(AND(Personnel!$E$10&gt;=2,Personnel!$E$10=89,Personnel!$G$10="Yes"),Personnel!$C$10*0.15,0)+IF(AND(Personnel!$E$11&gt;=2,Personnel!$E$11=89,Personnel!$G$11="Yes"),Personnel!$C$11*0.15,0)+IF(AND(Personnel!$E$12&gt;=2,Personnel!$E$12=89,Personnel!$G$12="Yes"),Personnel!$C$12*0.15,0)+IF(AND(Personnel!$E$13&gt;=2,Personnel!$E$13=89,Personnel!$G$13="Yes"),Personnel!$C$13*0.15,0)+IF(AND(Personnel!$E$14&gt;=2,Personnel!$E$14=89,Personnel!$G$14="Yes"),Personnel!$C$14*0.15,0)+IF(AND(Personnel!$E$15&gt;=2,Personnel!$E$15=89,Personnel!$G$15="Yes"),Personnel!$C$15*0.15,0)+IF(AND(Personnel!$E$16&gt;=2,Personnel!$E$16=89,Personnel!$G$16="Yes"),Personnel!$C$16*0.15,0)+IF(AND(Personnel!$E$17&gt;=2,Personnel!$E$17=89,Personnel!$G$17="Yes"),Personnel!$C$17*0.15,0)+IF(AND(Personnel!$E$18&gt;=2,Personnel!$E$18=89,Personnel!$G$18="Yes"),Personnel!$C$18*0.15,0)+IF(AND(Personnel!$E$19&gt;=2,Personnel!$E$19=89,Personnel!$G$19="Yes"),Personnel!$C$19*0.15,0)+IF(AND(Personnel!$E$20&gt;=2,Personnel!$E$20=89,Personnel!$G$20="Yes"),Personnel!$C$20*0.15,0)+IF(AND(Personnel!$E$21&gt;=2,Personnel!$E$21=89,Personnel!$G$21="Yes"),Personnel!$C$21*0.15,0)+IF(AND(Personnel!$E$22&gt;=2,Personnel!$E$22=89,Personnel!$G$22="Yes"),Personnel!$C$22*0.15,0)+IF(AND(Personnel!$E$23&gt;=2,Personnel!$E$23=89,Personnel!$G$23="Yes"),Personnel!$C$23*0.15,0)+IF(AND(Personnel!$E$24&gt;=2,Personnel!$E$24=89,Personnel!$G$24="Yes"),Personnel!$C$24*0.15,0)+IF(AND(Personnel!$E$25&gt;=2,Personnel!$E$25=89,Personnel!$G$25="Yes"),Personnel!$C$25*0.15,0)+IF(AND(Personnel!$E$26&gt;=2,Personnel!$E$26=89,Personnel!$G$26="Yes"),Personnel!$C$26*0.15,0)+IF(AND(Personnel!$E$27&gt;=2,Personnel!$E$27=89,Personnel!$G$27="Yes"),Personnel!$C$27*0.15,0)+IF(AND(Personnel!$E$28&gt;=2,Personnel!$E$28=89,Personnel!$G$28="Yes"),Personnel!$C$28*0.15,0)+IF(AND(Personnel!$E$29&gt;=2,Personnel!$E$29=89,Personnel!$G$29="Yes"),Personnel!$C$29*0.15,0)+IF(AND(Personnel!$E$30&gt;=2,Personnel!$E$30=89,Personnel!$G$30="Yes"),Personnel!$C$30*0.15,0)+IF(AND(Personnel!$E$31&gt;=2,Personnel!$E$31=89,Personnel!$G$31="Yes"),Personnel!$C$31*0.15,0)+IF(AND(Personnel!$E$32&gt;=2,Personnel!$E$32=89,Personnel!$G$32="Yes"),Personnel!$C$32*0.15,0)+IF(AND(Personnel!$E$33&gt;=2,Personnel!$E$33=89,Personnel!$G$33="Yes"),Personnel!$C$33*0.15,0)),Actuals!CP41)</f>
        <v>-0</v>
      </c>
      <c r="CP131" s="14" t="n">
        <f aca="false">IF(ISBLANK(Actuals!CQ41),-(IF(AND(Personnel!$E$2&gt;=2,Personnel!$E$2=90,Personnel!$G$2="Yes"),Personnel!$C$2*0.15,0)+IF(AND(Personnel!$E$3&gt;=2,Personnel!$E$3=90,Personnel!$G$3="Yes"),Personnel!$C$3*0.15,0)+IF(AND(Personnel!$E$4&gt;=2,Personnel!$E$4=90,Personnel!$G$4="Yes"),Personnel!$C$4*0.15,0)+IF(AND(Personnel!$E$5&gt;=2,Personnel!$E$5=90,Personnel!$G$5="Yes"),Personnel!$C$5*0.15,0)+IF(AND(Personnel!$E$6&gt;=2,Personnel!$E$6=90,Personnel!$G$6="Yes"),Personnel!$C$6*0.15,0)+IF(AND(Personnel!$E$7&gt;=2,Personnel!$E$7=90,Personnel!$G$7="Yes"),Personnel!$C$7*0.15,0)+IF(AND(Personnel!$E$8&gt;=2,Personnel!$E$8=90,Personnel!$G$8="Yes"),Personnel!$C$8*0.15,0)+IF(AND(Personnel!$E$9&gt;=2,Personnel!$E$9=90,Personnel!$G$9="Yes"),Personnel!$C$9*0.15,0)+IF(AND(Personnel!$E$10&gt;=2,Personnel!$E$10=90,Personnel!$G$10="Yes"),Personnel!$C$10*0.15,0)+IF(AND(Personnel!$E$11&gt;=2,Personnel!$E$11=90,Personnel!$G$11="Yes"),Personnel!$C$11*0.15,0)+IF(AND(Personnel!$E$12&gt;=2,Personnel!$E$12=90,Personnel!$G$12="Yes"),Personnel!$C$12*0.15,0)+IF(AND(Personnel!$E$13&gt;=2,Personnel!$E$13=90,Personnel!$G$13="Yes"),Personnel!$C$13*0.15,0)+IF(AND(Personnel!$E$14&gt;=2,Personnel!$E$14=90,Personnel!$G$14="Yes"),Personnel!$C$14*0.15,0)+IF(AND(Personnel!$E$15&gt;=2,Personnel!$E$15=90,Personnel!$G$15="Yes"),Personnel!$C$15*0.15,0)+IF(AND(Personnel!$E$16&gt;=2,Personnel!$E$16=90,Personnel!$G$16="Yes"),Personnel!$C$16*0.15,0)+IF(AND(Personnel!$E$17&gt;=2,Personnel!$E$17=90,Personnel!$G$17="Yes"),Personnel!$C$17*0.15,0)+IF(AND(Personnel!$E$18&gt;=2,Personnel!$E$18=90,Personnel!$G$18="Yes"),Personnel!$C$18*0.15,0)+IF(AND(Personnel!$E$19&gt;=2,Personnel!$E$19=90,Personnel!$G$19="Yes"),Personnel!$C$19*0.15,0)+IF(AND(Personnel!$E$20&gt;=2,Personnel!$E$20=90,Personnel!$G$20="Yes"),Personnel!$C$20*0.15,0)+IF(AND(Personnel!$E$21&gt;=2,Personnel!$E$21=90,Personnel!$G$21="Yes"),Personnel!$C$21*0.15,0)+IF(AND(Personnel!$E$22&gt;=2,Personnel!$E$22=90,Personnel!$G$22="Yes"),Personnel!$C$22*0.15,0)+IF(AND(Personnel!$E$23&gt;=2,Personnel!$E$23=90,Personnel!$G$23="Yes"),Personnel!$C$23*0.15,0)+IF(AND(Personnel!$E$24&gt;=2,Personnel!$E$24=90,Personnel!$G$24="Yes"),Personnel!$C$24*0.15,0)+IF(AND(Personnel!$E$25&gt;=2,Personnel!$E$25=90,Personnel!$G$25="Yes"),Personnel!$C$25*0.15,0)+IF(AND(Personnel!$E$26&gt;=2,Personnel!$E$26=90,Personnel!$G$26="Yes"),Personnel!$C$26*0.15,0)+IF(AND(Personnel!$E$27&gt;=2,Personnel!$E$27=90,Personnel!$G$27="Yes"),Personnel!$C$27*0.15,0)+IF(AND(Personnel!$E$28&gt;=2,Personnel!$E$28=90,Personnel!$G$28="Yes"),Personnel!$C$28*0.15,0)+IF(AND(Personnel!$E$29&gt;=2,Personnel!$E$29=90,Personnel!$G$29="Yes"),Personnel!$C$29*0.15,0)+IF(AND(Personnel!$E$30&gt;=2,Personnel!$E$30=90,Personnel!$G$30="Yes"),Personnel!$C$30*0.15,0)+IF(AND(Personnel!$E$31&gt;=2,Personnel!$E$31=90,Personnel!$G$31="Yes"),Personnel!$C$31*0.15,0)+IF(AND(Personnel!$E$32&gt;=2,Personnel!$E$32=90,Personnel!$G$32="Yes"),Personnel!$C$32*0.15,0)+IF(AND(Personnel!$E$33&gt;=2,Personnel!$E$33=90,Personnel!$G$33="Yes"),Personnel!$C$33*0.15,0)),Actuals!CQ41)</f>
        <v>-0</v>
      </c>
      <c r="CQ131" s="14" t="n">
        <f aca="false">IF(ISBLANK(Actuals!CR41),-(IF(AND(Personnel!$E$2&gt;=2,Personnel!$E$2=91,Personnel!$G$2="Yes"),Personnel!$C$2*0.15,0)+IF(AND(Personnel!$E$3&gt;=2,Personnel!$E$3=91,Personnel!$G$3="Yes"),Personnel!$C$3*0.15,0)+IF(AND(Personnel!$E$4&gt;=2,Personnel!$E$4=91,Personnel!$G$4="Yes"),Personnel!$C$4*0.15,0)+IF(AND(Personnel!$E$5&gt;=2,Personnel!$E$5=91,Personnel!$G$5="Yes"),Personnel!$C$5*0.15,0)+IF(AND(Personnel!$E$6&gt;=2,Personnel!$E$6=91,Personnel!$G$6="Yes"),Personnel!$C$6*0.15,0)+IF(AND(Personnel!$E$7&gt;=2,Personnel!$E$7=91,Personnel!$G$7="Yes"),Personnel!$C$7*0.15,0)+IF(AND(Personnel!$E$8&gt;=2,Personnel!$E$8=91,Personnel!$G$8="Yes"),Personnel!$C$8*0.15,0)+IF(AND(Personnel!$E$9&gt;=2,Personnel!$E$9=91,Personnel!$G$9="Yes"),Personnel!$C$9*0.15,0)+IF(AND(Personnel!$E$10&gt;=2,Personnel!$E$10=91,Personnel!$G$10="Yes"),Personnel!$C$10*0.15,0)+IF(AND(Personnel!$E$11&gt;=2,Personnel!$E$11=91,Personnel!$G$11="Yes"),Personnel!$C$11*0.15,0)+IF(AND(Personnel!$E$12&gt;=2,Personnel!$E$12=91,Personnel!$G$12="Yes"),Personnel!$C$12*0.15,0)+IF(AND(Personnel!$E$13&gt;=2,Personnel!$E$13=91,Personnel!$G$13="Yes"),Personnel!$C$13*0.15,0)+IF(AND(Personnel!$E$14&gt;=2,Personnel!$E$14=91,Personnel!$G$14="Yes"),Personnel!$C$14*0.15,0)+IF(AND(Personnel!$E$15&gt;=2,Personnel!$E$15=91,Personnel!$G$15="Yes"),Personnel!$C$15*0.15,0)+IF(AND(Personnel!$E$16&gt;=2,Personnel!$E$16=91,Personnel!$G$16="Yes"),Personnel!$C$16*0.15,0)+IF(AND(Personnel!$E$17&gt;=2,Personnel!$E$17=91,Personnel!$G$17="Yes"),Personnel!$C$17*0.15,0)+IF(AND(Personnel!$E$18&gt;=2,Personnel!$E$18=91,Personnel!$G$18="Yes"),Personnel!$C$18*0.15,0)+IF(AND(Personnel!$E$19&gt;=2,Personnel!$E$19=91,Personnel!$G$19="Yes"),Personnel!$C$19*0.15,0)+IF(AND(Personnel!$E$20&gt;=2,Personnel!$E$20=91,Personnel!$G$20="Yes"),Personnel!$C$20*0.15,0)+IF(AND(Personnel!$E$21&gt;=2,Personnel!$E$21=91,Personnel!$G$21="Yes"),Personnel!$C$21*0.15,0)+IF(AND(Personnel!$E$22&gt;=2,Personnel!$E$22=91,Personnel!$G$22="Yes"),Personnel!$C$22*0.15,0)+IF(AND(Personnel!$E$23&gt;=2,Personnel!$E$23=91,Personnel!$G$23="Yes"),Personnel!$C$23*0.15,0)+IF(AND(Personnel!$E$24&gt;=2,Personnel!$E$24=91,Personnel!$G$24="Yes"),Personnel!$C$24*0.15,0)+IF(AND(Personnel!$E$25&gt;=2,Personnel!$E$25=91,Personnel!$G$25="Yes"),Personnel!$C$25*0.15,0)+IF(AND(Personnel!$E$26&gt;=2,Personnel!$E$26=91,Personnel!$G$26="Yes"),Personnel!$C$26*0.15,0)+IF(AND(Personnel!$E$27&gt;=2,Personnel!$E$27=91,Personnel!$G$27="Yes"),Personnel!$C$27*0.15,0)+IF(AND(Personnel!$E$28&gt;=2,Personnel!$E$28=91,Personnel!$G$28="Yes"),Personnel!$C$28*0.15,0)+IF(AND(Personnel!$E$29&gt;=2,Personnel!$E$29=91,Personnel!$G$29="Yes"),Personnel!$C$29*0.15,0)+IF(AND(Personnel!$E$30&gt;=2,Personnel!$E$30=91,Personnel!$G$30="Yes"),Personnel!$C$30*0.15,0)+IF(AND(Personnel!$E$31&gt;=2,Personnel!$E$31=91,Personnel!$G$31="Yes"),Personnel!$C$31*0.15,0)+IF(AND(Personnel!$E$32&gt;=2,Personnel!$E$32=91,Personnel!$G$32="Yes"),Personnel!$C$32*0.15,0)+IF(AND(Personnel!$E$33&gt;=2,Personnel!$E$33=91,Personnel!$G$33="Yes"),Personnel!$C$33*0.15,0)),Actuals!CR41)</f>
        <v>-0</v>
      </c>
      <c r="CR131" s="14" t="n">
        <f aca="false">IF(ISBLANK(Actuals!CS41),-(IF(AND(Personnel!$E$2&gt;=2,Personnel!$E$2=92,Personnel!$G$2="Yes"),Personnel!$C$2*0.15,0)+IF(AND(Personnel!$E$3&gt;=2,Personnel!$E$3=92,Personnel!$G$3="Yes"),Personnel!$C$3*0.15,0)+IF(AND(Personnel!$E$4&gt;=2,Personnel!$E$4=92,Personnel!$G$4="Yes"),Personnel!$C$4*0.15,0)+IF(AND(Personnel!$E$5&gt;=2,Personnel!$E$5=92,Personnel!$G$5="Yes"),Personnel!$C$5*0.15,0)+IF(AND(Personnel!$E$6&gt;=2,Personnel!$E$6=92,Personnel!$G$6="Yes"),Personnel!$C$6*0.15,0)+IF(AND(Personnel!$E$7&gt;=2,Personnel!$E$7=92,Personnel!$G$7="Yes"),Personnel!$C$7*0.15,0)+IF(AND(Personnel!$E$8&gt;=2,Personnel!$E$8=92,Personnel!$G$8="Yes"),Personnel!$C$8*0.15,0)+IF(AND(Personnel!$E$9&gt;=2,Personnel!$E$9=92,Personnel!$G$9="Yes"),Personnel!$C$9*0.15,0)+IF(AND(Personnel!$E$10&gt;=2,Personnel!$E$10=92,Personnel!$G$10="Yes"),Personnel!$C$10*0.15,0)+IF(AND(Personnel!$E$11&gt;=2,Personnel!$E$11=92,Personnel!$G$11="Yes"),Personnel!$C$11*0.15,0)+IF(AND(Personnel!$E$12&gt;=2,Personnel!$E$12=92,Personnel!$G$12="Yes"),Personnel!$C$12*0.15,0)+IF(AND(Personnel!$E$13&gt;=2,Personnel!$E$13=92,Personnel!$G$13="Yes"),Personnel!$C$13*0.15,0)+IF(AND(Personnel!$E$14&gt;=2,Personnel!$E$14=92,Personnel!$G$14="Yes"),Personnel!$C$14*0.15,0)+IF(AND(Personnel!$E$15&gt;=2,Personnel!$E$15=92,Personnel!$G$15="Yes"),Personnel!$C$15*0.15,0)+IF(AND(Personnel!$E$16&gt;=2,Personnel!$E$16=92,Personnel!$G$16="Yes"),Personnel!$C$16*0.15,0)+IF(AND(Personnel!$E$17&gt;=2,Personnel!$E$17=92,Personnel!$G$17="Yes"),Personnel!$C$17*0.15,0)+IF(AND(Personnel!$E$18&gt;=2,Personnel!$E$18=92,Personnel!$G$18="Yes"),Personnel!$C$18*0.15,0)+IF(AND(Personnel!$E$19&gt;=2,Personnel!$E$19=92,Personnel!$G$19="Yes"),Personnel!$C$19*0.15,0)+IF(AND(Personnel!$E$20&gt;=2,Personnel!$E$20=92,Personnel!$G$20="Yes"),Personnel!$C$20*0.15,0)+IF(AND(Personnel!$E$21&gt;=2,Personnel!$E$21=92,Personnel!$G$21="Yes"),Personnel!$C$21*0.15,0)+IF(AND(Personnel!$E$22&gt;=2,Personnel!$E$22=92,Personnel!$G$22="Yes"),Personnel!$C$22*0.15,0)+IF(AND(Personnel!$E$23&gt;=2,Personnel!$E$23=92,Personnel!$G$23="Yes"),Personnel!$C$23*0.15,0)+IF(AND(Personnel!$E$24&gt;=2,Personnel!$E$24=92,Personnel!$G$24="Yes"),Personnel!$C$24*0.15,0)+IF(AND(Personnel!$E$25&gt;=2,Personnel!$E$25=92,Personnel!$G$25="Yes"),Personnel!$C$25*0.15,0)+IF(AND(Personnel!$E$26&gt;=2,Personnel!$E$26=92,Personnel!$G$26="Yes"),Personnel!$C$26*0.15,0)+IF(AND(Personnel!$E$27&gt;=2,Personnel!$E$27=92,Personnel!$G$27="Yes"),Personnel!$C$27*0.15,0)+IF(AND(Personnel!$E$28&gt;=2,Personnel!$E$28=92,Personnel!$G$28="Yes"),Personnel!$C$28*0.15,0)+IF(AND(Personnel!$E$29&gt;=2,Personnel!$E$29=92,Personnel!$G$29="Yes"),Personnel!$C$29*0.15,0)+IF(AND(Personnel!$E$30&gt;=2,Personnel!$E$30=92,Personnel!$G$30="Yes"),Personnel!$C$30*0.15,0)+IF(AND(Personnel!$E$31&gt;=2,Personnel!$E$31=92,Personnel!$G$31="Yes"),Personnel!$C$31*0.15,0)+IF(AND(Personnel!$E$32&gt;=2,Personnel!$E$32=92,Personnel!$G$32="Yes"),Personnel!$C$32*0.15,0)+IF(AND(Personnel!$E$33&gt;=2,Personnel!$E$33=92,Personnel!$G$33="Yes"),Personnel!$C$33*0.15,0)),Actuals!CS41)</f>
        <v>-0</v>
      </c>
      <c r="CS131" s="14" t="n">
        <f aca="false">IF(ISBLANK(Actuals!CT41),-(IF(AND(Personnel!$E$2&gt;=2,Personnel!$E$2=93,Personnel!$G$2="Yes"),Personnel!$C$2*0.15,0)+IF(AND(Personnel!$E$3&gt;=2,Personnel!$E$3=93,Personnel!$G$3="Yes"),Personnel!$C$3*0.15,0)+IF(AND(Personnel!$E$4&gt;=2,Personnel!$E$4=93,Personnel!$G$4="Yes"),Personnel!$C$4*0.15,0)+IF(AND(Personnel!$E$5&gt;=2,Personnel!$E$5=93,Personnel!$G$5="Yes"),Personnel!$C$5*0.15,0)+IF(AND(Personnel!$E$6&gt;=2,Personnel!$E$6=93,Personnel!$G$6="Yes"),Personnel!$C$6*0.15,0)+IF(AND(Personnel!$E$7&gt;=2,Personnel!$E$7=93,Personnel!$G$7="Yes"),Personnel!$C$7*0.15,0)+IF(AND(Personnel!$E$8&gt;=2,Personnel!$E$8=93,Personnel!$G$8="Yes"),Personnel!$C$8*0.15,0)+IF(AND(Personnel!$E$9&gt;=2,Personnel!$E$9=93,Personnel!$G$9="Yes"),Personnel!$C$9*0.15,0)+IF(AND(Personnel!$E$10&gt;=2,Personnel!$E$10=93,Personnel!$G$10="Yes"),Personnel!$C$10*0.15,0)+IF(AND(Personnel!$E$11&gt;=2,Personnel!$E$11=93,Personnel!$G$11="Yes"),Personnel!$C$11*0.15,0)+IF(AND(Personnel!$E$12&gt;=2,Personnel!$E$12=93,Personnel!$G$12="Yes"),Personnel!$C$12*0.15,0)+IF(AND(Personnel!$E$13&gt;=2,Personnel!$E$13=93,Personnel!$G$13="Yes"),Personnel!$C$13*0.15,0)+IF(AND(Personnel!$E$14&gt;=2,Personnel!$E$14=93,Personnel!$G$14="Yes"),Personnel!$C$14*0.15,0)+IF(AND(Personnel!$E$15&gt;=2,Personnel!$E$15=93,Personnel!$G$15="Yes"),Personnel!$C$15*0.15,0)+IF(AND(Personnel!$E$16&gt;=2,Personnel!$E$16=93,Personnel!$G$16="Yes"),Personnel!$C$16*0.15,0)+IF(AND(Personnel!$E$17&gt;=2,Personnel!$E$17=93,Personnel!$G$17="Yes"),Personnel!$C$17*0.15,0)+IF(AND(Personnel!$E$18&gt;=2,Personnel!$E$18=93,Personnel!$G$18="Yes"),Personnel!$C$18*0.15,0)+IF(AND(Personnel!$E$19&gt;=2,Personnel!$E$19=93,Personnel!$G$19="Yes"),Personnel!$C$19*0.15,0)+IF(AND(Personnel!$E$20&gt;=2,Personnel!$E$20=93,Personnel!$G$20="Yes"),Personnel!$C$20*0.15,0)+IF(AND(Personnel!$E$21&gt;=2,Personnel!$E$21=93,Personnel!$G$21="Yes"),Personnel!$C$21*0.15,0)+IF(AND(Personnel!$E$22&gt;=2,Personnel!$E$22=93,Personnel!$G$22="Yes"),Personnel!$C$22*0.15,0)+IF(AND(Personnel!$E$23&gt;=2,Personnel!$E$23=93,Personnel!$G$23="Yes"),Personnel!$C$23*0.15,0)+IF(AND(Personnel!$E$24&gt;=2,Personnel!$E$24=93,Personnel!$G$24="Yes"),Personnel!$C$24*0.15,0)+IF(AND(Personnel!$E$25&gt;=2,Personnel!$E$25=93,Personnel!$G$25="Yes"),Personnel!$C$25*0.15,0)+IF(AND(Personnel!$E$26&gt;=2,Personnel!$E$26=93,Personnel!$G$26="Yes"),Personnel!$C$26*0.15,0)+IF(AND(Personnel!$E$27&gt;=2,Personnel!$E$27=93,Personnel!$G$27="Yes"),Personnel!$C$27*0.15,0)+IF(AND(Personnel!$E$28&gt;=2,Personnel!$E$28=93,Personnel!$G$28="Yes"),Personnel!$C$28*0.15,0)+IF(AND(Personnel!$E$29&gt;=2,Personnel!$E$29=93,Personnel!$G$29="Yes"),Personnel!$C$29*0.15,0)+IF(AND(Personnel!$E$30&gt;=2,Personnel!$E$30=93,Personnel!$G$30="Yes"),Personnel!$C$30*0.15,0)+IF(AND(Personnel!$E$31&gt;=2,Personnel!$E$31=93,Personnel!$G$31="Yes"),Personnel!$C$31*0.15,0)+IF(AND(Personnel!$E$32&gt;=2,Personnel!$E$32=93,Personnel!$G$32="Yes"),Personnel!$C$32*0.15,0)+IF(AND(Personnel!$E$33&gt;=2,Personnel!$E$33=93,Personnel!$G$33="Yes"),Personnel!$C$33*0.15,0)),Actuals!CT41)</f>
        <v>-0</v>
      </c>
      <c r="CT131" s="14" t="n">
        <f aca="false">IF(ISBLANK(Actuals!CU41),-(IF(AND(Personnel!$E$2&gt;=2,Personnel!$E$2=94,Personnel!$G$2="Yes"),Personnel!$C$2*0.15,0)+IF(AND(Personnel!$E$3&gt;=2,Personnel!$E$3=94,Personnel!$G$3="Yes"),Personnel!$C$3*0.15,0)+IF(AND(Personnel!$E$4&gt;=2,Personnel!$E$4=94,Personnel!$G$4="Yes"),Personnel!$C$4*0.15,0)+IF(AND(Personnel!$E$5&gt;=2,Personnel!$E$5=94,Personnel!$G$5="Yes"),Personnel!$C$5*0.15,0)+IF(AND(Personnel!$E$6&gt;=2,Personnel!$E$6=94,Personnel!$G$6="Yes"),Personnel!$C$6*0.15,0)+IF(AND(Personnel!$E$7&gt;=2,Personnel!$E$7=94,Personnel!$G$7="Yes"),Personnel!$C$7*0.15,0)+IF(AND(Personnel!$E$8&gt;=2,Personnel!$E$8=94,Personnel!$G$8="Yes"),Personnel!$C$8*0.15,0)+IF(AND(Personnel!$E$9&gt;=2,Personnel!$E$9=94,Personnel!$G$9="Yes"),Personnel!$C$9*0.15,0)+IF(AND(Personnel!$E$10&gt;=2,Personnel!$E$10=94,Personnel!$G$10="Yes"),Personnel!$C$10*0.15,0)+IF(AND(Personnel!$E$11&gt;=2,Personnel!$E$11=94,Personnel!$G$11="Yes"),Personnel!$C$11*0.15,0)+IF(AND(Personnel!$E$12&gt;=2,Personnel!$E$12=94,Personnel!$G$12="Yes"),Personnel!$C$12*0.15,0)+IF(AND(Personnel!$E$13&gt;=2,Personnel!$E$13=94,Personnel!$G$13="Yes"),Personnel!$C$13*0.15,0)+IF(AND(Personnel!$E$14&gt;=2,Personnel!$E$14=94,Personnel!$G$14="Yes"),Personnel!$C$14*0.15,0)+IF(AND(Personnel!$E$15&gt;=2,Personnel!$E$15=94,Personnel!$G$15="Yes"),Personnel!$C$15*0.15,0)+IF(AND(Personnel!$E$16&gt;=2,Personnel!$E$16=94,Personnel!$G$16="Yes"),Personnel!$C$16*0.15,0)+IF(AND(Personnel!$E$17&gt;=2,Personnel!$E$17=94,Personnel!$G$17="Yes"),Personnel!$C$17*0.15,0)+IF(AND(Personnel!$E$18&gt;=2,Personnel!$E$18=94,Personnel!$G$18="Yes"),Personnel!$C$18*0.15,0)+IF(AND(Personnel!$E$19&gt;=2,Personnel!$E$19=94,Personnel!$G$19="Yes"),Personnel!$C$19*0.15,0)+IF(AND(Personnel!$E$20&gt;=2,Personnel!$E$20=94,Personnel!$G$20="Yes"),Personnel!$C$20*0.15,0)+IF(AND(Personnel!$E$21&gt;=2,Personnel!$E$21=94,Personnel!$G$21="Yes"),Personnel!$C$21*0.15,0)+IF(AND(Personnel!$E$22&gt;=2,Personnel!$E$22=94,Personnel!$G$22="Yes"),Personnel!$C$22*0.15,0)+IF(AND(Personnel!$E$23&gt;=2,Personnel!$E$23=94,Personnel!$G$23="Yes"),Personnel!$C$23*0.15,0)+IF(AND(Personnel!$E$24&gt;=2,Personnel!$E$24=94,Personnel!$G$24="Yes"),Personnel!$C$24*0.15,0)+IF(AND(Personnel!$E$25&gt;=2,Personnel!$E$25=94,Personnel!$G$25="Yes"),Personnel!$C$25*0.15,0)+IF(AND(Personnel!$E$26&gt;=2,Personnel!$E$26=94,Personnel!$G$26="Yes"),Personnel!$C$26*0.15,0)+IF(AND(Personnel!$E$27&gt;=2,Personnel!$E$27=94,Personnel!$G$27="Yes"),Personnel!$C$27*0.15,0)+IF(AND(Personnel!$E$28&gt;=2,Personnel!$E$28=94,Personnel!$G$28="Yes"),Personnel!$C$28*0.15,0)+IF(AND(Personnel!$E$29&gt;=2,Personnel!$E$29=94,Personnel!$G$29="Yes"),Personnel!$C$29*0.15,0)+IF(AND(Personnel!$E$30&gt;=2,Personnel!$E$30=94,Personnel!$G$30="Yes"),Personnel!$C$30*0.15,0)+IF(AND(Personnel!$E$31&gt;=2,Personnel!$E$31=94,Personnel!$G$31="Yes"),Personnel!$C$31*0.15,0)+IF(AND(Personnel!$E$32&gt;=2,Personnel!$E$32=94,Personnel!$G$32="Yes"),Personnel!$C$32*0.15,0)+IF(AND(Personnel!$E$33&gt;=2,Personnel!$E$33=94,Personnel!$G$33="Yes"),Personnel!$C$33*0.15,0)),Actuals!CU41)</f>
        <v>-0</v>
      </c>
      <c r="CU131" s="14" t="n">
        <f aca="false">IF(ISBLANK(Actuals!CV41),-(IF(AND(Personnel!$E$2&gt;=2,Personnel!$E$2=95,Personnel!$G$2="Yes"),Personnel!$C$2*0.15,0)+IF(AND(Personnel!$E$3&gt;=2,Personnel!$E$3=95,Personnel!$G$3="Yes"),Personnel!$C$3*0.15,0)+IF(AND(Personnel!$E$4&gt;=2,Personnel!$E$4=95,Personnel!$G$4="Yes"),Personnel!$C$4*0.15,0)+IF(AND(Personnel!$E$5&gt;=2,Personnel!$E$5=95,Personnel!$G$5="Yes"),Personnel!$C$5*0.15,0)+IF(AND(Personnel!$E$6&gt;=2,Personnel!$E$6=95,Personnel!$G$6="Yes"),Personnel!$C$6*0.15,0)+IF(AND(Personnel!$E$7&gt;=2,Personnel!$E$7=95,Personnel!$G$7="Yes"),Personnel!$C$7*0.15,0)+IF(AND(Personnel!$E$8&gt;=2,Personnel!$E$8=95,Personnel!$G$8="Yes"),Personnel!$C$8*0.15,0)+IF(AND(Personnel!$E$9&gt;=2,Personnel!$E$9=95,Personnel!$G$9="Yes"),Personnel!$C$9*0.15,0)+IF(AND(Personnel!$E$10&gt;=2,Personnel!$E$10=95,Personnel!$G$10="Yes"),Personnel!$C$10*0.15,0)+IF(AND(Personnel!$E$11&gt;=2,Personnel!$E$11=95,Personnel!$G$11="Yes"),Personnel!$C$11*0.15,0)+IF(AND(Personnel!$E$12&gt;=2,Personnel!$E$12=95,Personnel!$G$12="Yes"),Personnel!$C$12*0.15,0)+IF(AND(Personnel!$E$13&gt;=2,Personnel!$E$13=95,Personnel!$G$13="Yes"),Personnel!$C$13*0.15,0)+IF(AND(Personnel!$E$14&gt;=2,Personnel!$E$14=95,Personnel!$G$14="Yes"),Personnel!$C$14*0.15,0)+IF(AND(Personnel!$E$15&gt;=2,Personnel!$E$15=95,Personnel!$G$15="Yes"),Personnel!$C$15*0.15,0)+IF(AND(Personnel!$E$16&gt;=2,Personnel!$E$16=95,Personnel!$G$16="Yes"),Personnel!$C$16*0.15,0)+IF(AND(Personnel!$E$17&gt;=2,Personnel!$E$17=95,Personnel!$G$17="Yes"),Personnel!$C$17*0.15,0)+IF(AND(Personnel!$E$18&gt;=2,Personnel!$E$18=95,Personnel!$G$18="Yes"),Personnel!$C$18*0.15,0)+IF(AND(Personnel!$E$19&gt;=2,Personnel!$E$19=95,Personnel!$G$19="Yes"),Personnel!$C$19*0.15,0)+IF(AND(Personnel!$E$20&gt;=2,Personnel!$E$20=95,Personnel!$G$20="Yes"),Personnel!$C$20*0.15,0)+IF(AND(Personnel!$E$21&gt;=2,Personnel!$E$21=95,Personnel!$G$21="Yes"),Personnel!$C$21*0.15,0)+IF(AND(Personnel!$E$22&gt;=2,Personnel!$E$22=95,Personnel!$G$22="Yes"),Personnel!$C$22*0.15,0)+IF(AND(Personnel!$E$23&gt;=2,Personnel!$E$23=95,Personnel!$G$23="Yes"),Personnel!$C$23*0.15,0)+IF(AND(Personnel!$E$24&gt;=2,Personnel!$E$24=95,Personnel!$G$24="Yes"),Personnel!$C$24*0.15,0)+IF(AND(Personnel!$E$25&gt;=2,Personnel!$E$25=95,Personnel!$G$25="Yes"),Personnel!$C$25*0.15,0)+IF(AND(Personnel!$E$26&gt;=2,Personnel!$E$26=95,Personnel!$G$26="Yes"),Personnel!$C$26*0.15,0)+IF(AND(Personnel!$E$27&gt;=2,Personnel!$E$27=95,Personnel!$G$27="Yes"),Personnel!$C$27*0.15,0)+IF(AND(Personnel!$E$28&gt;=2,Personnel!$E$28=95,Personnel!$G$28="Yes"),Personnel!$C$28*0.15,0)+IF(AND(Personnel!$E$29&gt;=2,Personnel!$E$29=95,Personnel!$G$29="Yes"),Personnel!$C$29*0.15,0)+IF(AND(Personnel!$E$30&gt;=2,Personnel!$E$30=95,Personnel!$G$30="Yes"),Personnel!$C$30*0.15,0)+IF(AND(Personnel!$E$31&gt;=2,Personnel!$E$31=95,Personnel!$G$31="Yes"),Personnel!$C$31*0.15,0)+IF(AND(Personnel!$E$32&gt;=2,Personnel!$E$32=95,Personnel!$G$32="Yes"),Personnel!$C$32*0.15,0)+IF(AND(Personnel!$E$33&gt;=2,Personnel!$E$33=95,Personnel!$G$33="Yes"),Personnel!$C$33*0.15,0)),Actuals!CV41)</f>
        <v>-0</v>
      </c>
      <c r="CV131" s="14" t="n">
        <f aca="false">IF(ISBLANK(Actuals!CW41),-(IF(AND(Personnel!$E$2&gt;=2,Personnel!$E$2=96,Personnel!$G$2="Yes"),Personnel!$C$2*0.15,0)+IF(AND(Personnel!$E$3&gt;=2,Personnel!$E$3=96,Personnel!$G$3="Yes"),Personnel!$C$3*0.15,0)+IF(AND(Personnel!$E$4&gt;=2,Personnel!$E$4=96,Personnel!$G$4="Yes"),Personnel!$C$4*0.15,0)+IF(AND(Personnel!$E$5&gt;=2,Personnel!$E$5=96,Personnel!$G$5="Yes"),Personnel!$C$5*0.15,0)+IF(AND(Personnel!$E$6&gt;=2,Personnel!$E$6=96,Personnel!$G$6="Yes"),Personnel!$C$6*0.15,0)+IF(AND(Personnel!$E$7&gt;=2,Personnel!$E$7=96,Personnel!$G$7="Yes"),Personnel!$C$7*0.15,0)+IF(AND(Personnel!$E$8&gt;=2,Personnel!$E$8=96,Personnel!$G$8="Yes"),Personnel!$C$8*0.15,0)+IF(AND(Personnel!$E$9&gt;=2,Personnel!$E$9=96,Personnel!$G$9="Yes"),Personnel!$C$9*0.15,0)+IF(AND(Personnel!$E$10&gt;=2,Personnel!$E$10=96,Personnel!$G$10="Yes"),Personnel!$C$10*0.15,0)+IF(AND(Personnel!$E$11&gt;=2,Personnel!$E$11=96,Personnel!$G$11="Yes"),Personnel!$C$11*0.15,0)+IF(AND(Personnel!$E$12&gt;=2,Personnel!$E$12=96,Personnel!$G$12="Yes"),Personnel!$C$12*0.15,0)+IF(AND(Personnel!$E$13&gt;=2,Personnel!$E$13=96,Personnel!$G$13="Yes"),Personnel!$C$13*0.15,0)+IF(AND(Personnel!$E$14&gt;=2,Personnel!$E$14=96,Personnel!$G$14="Yes"),Personnel!$C$14*0.15,0)+IF(AND(Personnel!$E$15&gt;=2,Personnel!$E$15=96,Personnel!$G$15="Yes"),Personnel!$C$15*0.15,0)+IF(AND(Personnel!$E$16&gt;=2,Personnel!$E$16=96,Personnel!$G$16="Yes"),Personnel!$C$16*0.15,0)+IF(AND(Personnel!$E$17&gt;=2,Personnel!$E$17=96,Personnel!$G$17="Yes"),Personnel!$C$17*0.15,0)+IF(AND(Personnel!$E$18&gt;=2,Personnel!$E$18=96,Personnel!$G$18="Yes"),Personnel!$C$18*0.15,0)+IF(AND(Personnel!$E$19&gt;=2,Personnel!$E$19=96,Personnel!$G$19="Yes"),Personnel!$C$19*0.15,0)+IF(AND(Personnel!$E$20&gt;=2,Personnel!$E$20=96,Personnel!$G$20="Yes"),Personnel!$C$20*0.15,0)+IF(AND(Personnel!$E$21&gt;=2,Personnel!$E$21=96,Personnel!$G$21="Yes"),Personnel!$C$21*0.15,0)+IF(AND(Personnel!$E$22&gt;=2,Personnel!$E$22=96,Personnel!$G$22="Yes"),Personnel!$C$22*0.15,0)+IF(AND(Personnel!$E$23&gt;=2,Personnel!$E$23=96,Personnel!$G$23="Yes"),Personnel!$C$23*0.15,0)+IF(AND(Personnel!$E$24&gt;=2,Personnel!$E$24=96,Personnel!$G$24="Yes"),Personnel!$C$24*0.15,0)+IF(AND(Personnel!$E$25&gt;=2,Personnel!$E$25=96,Personnel!$G$25="Yes"),Personnel!$C$25*0.15,0)+IF(AND(Personnel!$E$26&gt;=2,Personnel!$E$26=96,Personnel!$G$26="Yes"),Personnel!$C$26*0.15,0)+IF(AND(Personnel!$E$27&gt;=2,Personnel!$E$27=96,Personnel!$G$27="Yes"),Personnel!$C$27*0.15,0)+IF(AND(Personnel!$E$28&gt;=2,Personnel!$E$28=96,Personnel!$G$28="Yes"),Personnel!$C$28*0.15,0)+IF(AND(Personnel!$E$29&gt;=2,Personnel!$E$29=96,Personnel!$G$29="Yes"),Personnel!$C$29*0.15,0)+IF(AND(Personnel!$E$30&gt;=2,Personnel!$E$30=96,Personnel!$G$30="Yes"),Personnel!$C$30*0.15,0)+IF(AND(Personnel!$E$31&gt;=2,Personnel!$E$31=96,Personnel!$G$31="Yes"),Personnel!$C$31*0.15,0)+IF(AND(Personnel!$E$32&gt;=2,Personnel!$E$32=96,Personnel!$G$32="Yes"),Personnel!$C$32*0.15,0)+IF(AND(Personnel!$E$33&gt;=2,Personnel!$E$33=96,Personnel!$G$33="Yes"),Personnel!$C$33*0.15,0)),Actuals!CW41)</f>
        <v>-0</v>
      </c>
      <c r="CW131" s="14" t="n">
        <f aca="false">IF(ISBLANK(Actuals!CX41),-(IF(AND(Personnel!$E$2&gt;=2,Personnel!$E$2=97,Personnel!$G$2="Yes"),Personnel!$C$2*0.15,0)+IF(AND(Personnel!$E$3&gt;=2,Personnel!$E$3=97,Personnel!$G$3="Yes"),Personnel!$C$3*0.15,0)+IF(AND(Personnel!$E$4&gt;=2,Personnel!$E$4=97,Personnel!$G$4="Yes"),Personnel!$C$4*0.15,0)+IF(AND(Personnel!$E$5&gt;=2,Personnel!$E$5=97,Personnel!$G$5="Yes"),Personnel!$C$5*0.15,0)+IF(AND(Personnel!$E$6&gt;=2,Personnel!$E$6=97,Personnel!$G$6="Yes"),Personnel!$C$6*0.15,0)+IF(AND(Personnel!$E$7&gt;=2,Personnel!$E$7=97,Personnel!$G$7="Yes"),Personnel!$C$7*0.15,0)+IF(AND(Personnel!$E$8&gt;=2,Personnel!$E$8=97,Personnel!$G$8="Yes"),Personnel!$C$8*0.15,0)+IF(AND(Personnel!$E$9&gt;=2,Personnel!$E$9=97,Personnel!$G$9="Yes"),Personnel!$C$9*0.15,0)+IF(AND(Personnel!$E$10&gt;=2,Personnel!$E$10=97,Personnel!$G$10="Yes"),Personnel!$C$10*0.15,0)+IF(AND(Personnel!$E$11&gt;=2,Personnel!$E$11=97,Personnel!$G$11="Yes"),Personnel!$C$11*0.15,0)+IF(AND(Personnel!$E$12&gt;=2,Personnel!$E$12=97,Personnel!$G$12="Yes"),Personnel!$C$12*0.15,0)+IF(AND(Personnel!$E$13&gt;=2,Personnel!$E$13=97,Personnel!$G$13="Yes"),Personnel!$C$13*0.15,0)+IF(AND(Personnel!$E$14&gt;=2,Personnel!$E$14=97,Personnel!$G$14="Yes"),Personnel!$C$14*0.15,0)+IF(AND(Personnel!$E$15&gt;=2,Personnel!$E$15=97,Personnel!$G$15="Yes"),Personnel!$C$15*0.15,0)+IF(AND(Personnel!$E$16&gt;=2,Personnel!$E$16=97,Personnel!$G$16="Yes"),Personnel!$C$16*0.15,0)+IF(AND(Personnel!$E$17&gt;=2,Personnel!$E$17=97,Personnel!$G$17="Yes"),Personnel!$C$17*0.15,0)+IF(AND(Personnel!$E$18&gt;=2,Personnel!$E$18=97,Personnel!$G$18="Yes"),Personnel!$C$18*0.15,0)+IF(AND(Personnel!$E$19&gt;=2,Personnel!$E$19=97,Personnel!$G$19="Yes"),Personnel!$C$19*0.15,0)+IF(AND(Personnel!$E$20&gt;=2,Personnel!$E$20=97,Personnel!$G$20="Yes"),Personnel!$C$20*0.15,0)+IF(AND(Personnel!$E$21&gt;=2,Personnel!$E$21=97,Personnel!$G$21="Yes"),Personnel!$C$21*0.15,0)+IF(AND(Personnel!$E$22&gt;=2,Personnel!$E$22=97,Personnel!$G$22="Yes"),Personnel!$C$22*0.15,0)+IF(AND(Personnel!$E$23&gt;=2,Personnel!$E$23=97,Personnel!$G$23="Yes"),Personnel!$C$23*0.15,0)+IF(AND(Personnel!$E$24&gt;=2,Personnel!$E$24=97,Personnel!$G$24="Yes"),Personnel!$C$24*0.15,0)+IF(AND(Personnel!$E$25&gt;=2,Personnel!$E$25=97,Personnel!$G$25="Yes"),Personnel!$C$25*0.15,0)+IF(AND(Personnel!$E$26&gt;=2,Personnel!$E$26=97,Personnel!$G$26="Yes"),Personnel!$C$26*0.15,0)+IF(AND(Personnel!$E$27&gt;=2,Personnel!$E$27=97,Personnel!$G$27="Yes"),Personnel!$C$27*0.15,0)+IF(AND(Personnel!$E$28&gt;=2,Personnel!$E$28=97,Personnel!$G$28="Yes"),Personnel!$C$28*0.15,0)+IF(AND(Personnel!$E$29&gt;=2,Personnel!$E$29=97,Personnel!$G$29="Yes"),Personnel!$C$29*0.15,0)+IF(AND(Personnel!$E$30&gt;=2,Personnel!$E$30=97,Personnel!$G$30="Yes"),Personnel!$C$30*0.15,0)+IF(AND(Personnel!$E$31&gt;=2,Personnel!$E$31=97,Personnel!$G$31="Yes"),Personnel!$C$31*0.15,0)+IF(AND(Personnel!$E$32&gt;=2,Personnel!$E$32=97,Personnel!$G$32="Yes"),Personnel!$C$32*0.15,0)+IF(AND(Personnel!$E$33&gt;=2,Personnel!$E$33=97,Personnel!$G$33="Yes"),Personnel!$C$33*0.15,0)),Actuals!CX41)</f>
        <v>-0</v>
      </c>
      <c r="CX131" s="14" t="n">
        <f aca="false">IF(ISBLANK(Actuals!CY41),-(IF(AND(Personnel!$E$2&gt;=2,Personnel!$E$2=98,Personnel!$G$2="Yes"),Personnel!$C$2*0.15,0)+IF(AND(Personnel!$E$3&gt;=2,Personnel!$E$3=98,Personnel!$G$3="Yes"),Personnel!$C$3*0.15,0)+IF(AND(Personnel!$E$4&gt;=2,Personnel!$E$4=98,Personnel!$G$4="Yes"),Personnel!$C$4*0.15,0)+IF(AND(Personnel!$E$5&gt;=2,Personnel!$E$5=98,Personnel!$G$5="Yes"),Personnel!$C$5*0.15,0)+IF(AND(Personnel!$E$6&gt;=2,Personnel!$E$6=98,Personnel!$G$6="Yes"),Personnel!$C$6*0.15,0)+IF(AND(Personnel!$E$7&gt;=2,Personnel!$E$7=98,Personnel!$G$7="Yes"),Personnel!$C$7*0.15,0)+IF(AND(Personnel!$E$8&gt;=2,Personnel!$E$8=98,Personnel!$G$8="Yes"),Personnel!$C$8*0.15,0)+IF(AND(Personnel!$E$9&gt;=2,Personnel!$E$9=98,Personnel!$G$9="Yes"),Personnel!$C$9*0.15,0)+IF(AND(Personnel!$E$10&gt;=2,Personnel!$E$10=98,Personnel!$G$10="Yes"),Personnel!$C$10*0.15,0)+IF(AND(Personnel!$E$11&gt;=2,Personnel!$E$11=98,Personnel!$G$11="Yes"),Personnel!$C$11*0.15,0)+IF(AND(Personnel!$E$12&gt;=2,Personnel!$E$12=98,Personnel!$G$12="Yes"),Personnel!$C$12*0.15,0)+IF(AND(Personnel!$E$13&gt;=2,Personnel!$E$13=98,Personnel!$G$13="Yes"),Personnel!$C$13*0.15,0)+IF(AND(Personnel!$E$14&gt;=2,Personnel!$E$14=98,Personnel!$G$14="Yes"),Personnel!$C$14*0.15,0)+IF(AND(Personnel!$E$15&gt;=2,Personnel!$E$15=98,Personnel!$G$15="Yes"),Personnel!$C$15*0.15,0)+IF(AND(Personnel!$E$16&gt;=2,Personnel!$E$16=98,Personnel!$G$16="Yes"),Personnel!$C$16*0.15,0)+IF(AND(Personnel!$E$17&gt;=2,Personnel!$E$17=98,Personnel!$G$17="Yes"),Personnel!$C$17*0.15,0)+IF(AND(Personnel!$E$18&gt;=2,Personnel!$E$18=98,Personnel!$G$18="Yes"),Personnel!$C$18*0.15,0)+IF(AND(Personnel!$E$19&gt;=2,Personnel!$E$19=98,Personnel!$G$19="Yes"),Personnel!$C$19*0.15,0)+IF(AND(Personnel!$E$20&gt;=2,Personnel!$E$20=98,Personnel!$G$20="Yes"),Personnel!$C$20*0.15,0)+IF(AND(Personnel!$E$21&gt;=2,Personnel!$E$21=98,Personnel!$G$21="Yes"),Personnel!$C$21*0.15,0)+IF(AND(Personnel!$E$22&gt;=2,Personnel!$E$22=98,Personnel!$G$22="Yes"),Personnel!$C$22*0.15,0)+IF(AND(Personnel!$E$23&gt;=2,Personnel!$E$23=98,Personnel!$G$23="Yes"),Personnel!$C$23*0.15,0)+IF(AND(Personnel!$E$24&gt;=2,Personnel!$E$24=98,Personnel!$G$24="Yes"),Personnel!$C$24*0.15,0)+IF(AND(Personnel!$E$25&gt;=2,Personnel!$E$25=98,Personnel!$G$25="Yes"),Personnel!$C$25*0.15,0)+IF(AND(Personnel!$E$26&gt;=2,Personnel!$E$26=98,Personnel!$G$26="Yes"),Personnel!$C$26*0.15,0)+IF(AND(Personnel!$E$27&gt;=2,Personnel!$E$27=98,Personnel!$G$27="Yes"),Personnel!$C$27*0.15,0)+IF(AND(Personnel!$E$28&gt;=2,Personnel!$E$28=98,Personnel!$G$28="Yes"),Personnel!$C$28*0.15,0)+IF(AND(Personnel!$E$29&gt;=2,Personnel!$E$29=98,Personnel!$G$29="Yes"),Personnel!$C$29*0.15,0)+IF(AND(Personnel!$E$30&gt;=2,Personnel!$E$30=98,Personnel!$G$30="Yes"),Personnel!$C$30*0.15,0)+IF(AND(Personnel!$E$31&gt;=2,Personnel!$E$31=98,Personnel!$G$31="Yes"),Personnel!$C$31*0.15,0)+IF(AND(Personnel!$E$32&gt;=2,Personnel!$E$32=98,Personnel!$G$32="Yes"),Personnel!$C$32*0.15,0)+IF(AND(Personnel!$E$33&gt;=2,Personnel!$E$33=98,Personnel!$G$33="Yes"),Personnel!$C$33*0.15,0)),Actuals!CY41)</f>
        <v>-0</v>
      </c>
      <c r="CY131" s="14" t="n">
        <f aca="false">IF(ISBLANK(Actuals!CZ41),-(IF(AND(Personnel!$E$2&gt;=2,Personnel!$E$2=99,Personnel!$G$2="Yes"),Personnel!$C$2*0.15,0)+IF(AND(Personnel!$E$3&gt;=2,Personnel!$E$3=99,Personnel!$G$3="Yes"),Personnel!$C$3*0.15,0)+IF(AND(Personnel!$E$4&gt;=2,Personnel!$E$4=99,Personnel!$G$4="Yes"),Personnel!$C$4*0.15,0)+IF(AND(Personnel!$E$5&gt;=2,Personnel!$E$5=99,Personnel!$G$5="Yes"),Personnel!$C$5*0.15,0)+IF(AND(Personnel!$E$6&gt;=2,Personnel!$E$6=99,Personnel!$G$6="Yes"),Personnel!$C$6*0.15,0)+IF(AND(Personnel!$E$7&gt;=2,Personnel!$E$7=99,Personnel!$G$7="Yes"),Personnel!$C$7*0.15,0)+IF(AND(Personnel!$E$8&gt;=2,Personnel!$E$8=99,Personnel!$G$8="Yes"),Personnel!$C$8*0.15,0)+IF(AND(Personnel!$E$9&gt;=2,Personnel!$E$9=99,Personnel!$G$9="Yes"),Personnel!$C$9*0.15,0)+IF(AND(Personnel!$E$10&gt;=2,Personnel!$E$10=99,Personnel!$G$10="Yes"),Personnel!$C$10*0.15,0)+IF(AND(Personnel!$E$11&gt;=2,Personnel!$E$11=99,Personnel!$G$11="Yes"),Personnel!$C$11*0.15,0)+IF(AND(Personnel!$E$12&gt;=2,Personnel!$E$12=99,Personnel!$G$12="Yes"),Personnel!$C$12*0.15,0)+IF(AND(Personnel!$E$13&gt;=2,Personnel!$E$13=99,Personnel!$G$13="Yes"),Personnel!$C$13*0.15,0)+IF(AND(Personnel!$E$14&gt;=2,Personnel!$E$14=99,Personnel!$G$14="Yes"),Personnel!$C$14*0.15,0)+IF(AND(Personnel!$E$15&gt;=2,Personnel!$E$15=99,Personnel!$G$15="Yes"),Personnel!$C$15*0.15,0)+IF(AND(Personnel!$E$16&gt;=2,Personnel!$E$16=99,Personnel!$G$16="Yes"),Personnel!$C$16*0.15,0)+IF(AND(Personnel!$E$17&gt;=2,Personnel!$E$17=99,Personnel!$G$17="Yes"),Personnel!$C$17*0.15,0)+IF(AND(Personnel!$E$18&gt;=2,Personnel!$E$18=99,Personnel!$G$18="Yes"),Personnel!$C$18*0.15,0)+IF(AND(Personnel!$E$19&gt;=2,Personnel!$E$19=99,Personnel!$G$19="Yes"),Personnel!$C$19*0.15,0)+IF(AND(Personnel!$E$20&gt;=2,Personnel!$E$20=99,Personnel!$G$20="Yes"),Personnel!$C$20*0.15,0)+IF(AND(Personnel!$E$21&gt;=2,Personnel!$E$21=99,Personnel!$G$21="Yes"),Personnel!$C$21*0.15,0)+IF(AND(Personnel!$E$22&gt;=2,Personnel!$E$22=99,Personnel!$G$22="Yes"),Personnel!$C$22*0.15,0)+IF(AND(Personnel!$E$23&gt;=2,Personnel!$E$23=99,Personnel!$G$23="Yes"),Personnel!$C$23*0.15,0)+IF(AND(Personnel!$E$24&gt;=2,Personnel!$E$24=99,Personnel!$G$24="Yes"),Personnel!$C$24*0.15,0)+IF(AND(Personnel!$E$25&gt;=2,Personnel!$E$25=99,Personnel!$G$25="Yes"),Personnel!$C$25*0.15,0)+IF(AND(Personnel!$E$26&gt;=2,Personnel!$E$26=99,Personnel!$G$26="Yes"),Personnel!$C$26*0.15,0)+IF(AND(Personnel!$E$27&gt;=2,Personnel!$E$27=99,Personnel!$G$27="Yes"),Personnel!$C$27*0.15,0)+IF(AND(Personnel!$E$28&gt;=2,Personnel!$E$28=99,Personnel!$G$28="Yes"),Personnel!$C$28*0.15,0)+IF(AND(Personnel!$E$29&gt;=2,Personnel!$E$29=99,Personnel!$G$29="Yes"),Personnel!$C$29*0.15,0)+IF(AND(Personnel!$E$30&gt;=2,Personnel!$E$30=99,Personnel!$G$30="Yes"),Personnel!$C$30*0.15,0)+IF(AND(Personnel!$E$31&gt;=2,Personnel!$E$31=99,Personnel!$G$31="Yes"),Personnel!$C$31*0.15,0)+IF(AND(Personnel!$E$32&gt;=2,Personnel!$E$32=99,Personnel!$G$32="Yes"),Personnel!$C$32*0.15,0)+IF(AND(Personnel!$E$33&gt;=2,Personnel!$E$33=99,Personnel!$G$33="Yes"),Personnel!$C$33*0.15,0)),Actuals!CZ41)</f>
        <v>-0</v>
      </c>
      <c r="CZ131" s="14" t="n">
        <f aca="false">IF(ISBLANK(Actuals!DA41),-(IF(AND(Personnel!$E$2&gt;=2,Personnel!$E$2=100,Personnel!$G$2="Yes"),Personnel!$C$2*0.15,0)+IF(AND(Personnel!$E$3&gt;=2,Personnel!$E$3=100,Personnel!$G$3="Yes"),Personnel!$C$3*0.15,0)+IF(AND(Personnel!$E$4&gt;=2,Personnel!$E$4=100,Personnel!$G$4="Yes"),Personnel!$C$4*0.15,0)+IF(AND(Personnel!$E$5&gt;=2,Personnel!$E$5=100,Personnel!$G$5="Yes"),Personnel!$C$5*0.15,0)+IF(AND(Personnel!$E$6&gt;=2,Personnel!$E$6=100,Personnel!$G$6="Yes"),Personnel!$C$6*0.15,0)+IF(AND(Personnel!$E$7&gt;=2,Personnel!$E$7=100,Personnel!$G$7="Yes"),Personnel!$C$7*0.15,0)+IF(AND(Personnel!$E$8&gt;=2,Personnel!$E$8=100,Personnel!$G$8="Yes"),Personnel!$C$8*0.15,0)+IF(AND(Personnel!$E$9&gt;=2,Personnel!$E$9=100,Personnel!$G$9="Yes"),Personnel!$C$9*0.15,0)+IF(AND(Personnel!$E$10&gt;=2,Personnel!$E$10=100,Personnel!$G$10="Yes"),Personnel!$C$10*0.15,0)+IF(AND(Personnel!$E$11&gt;=2,Personnel!$E$11=100,Personnel!$G$11="Yes"),Personnel!$C$11*0.15,0)+IF(AND(Personnel!$E$12&gt;=2,Personnel!$E$12=100,Personnel!$G$12="Yes"),Personnel!$C$12*0.15,0)+IF(AND(Personnel!$E$13&gt;=2,Personnel!$E$13=100,Personnel!$G$13="Yes"),Personnel!$C$13*0.15,0)+IF(AND(Personnel!$E$14&gt;=2,Personnel!$E$14=100,Personnel!$G$14="Yes"),Personnel!$C$14*0.15,0)+IF(AND(Personnel!$E$15&gt;=2,Personnel!$E$15=100,Personnel!$G$15="Yes"),Personnel!$C$15*0.15,0)+IF(AND(Personnel!$E$16&gt;=2,Personnel!$E$16=100,Personnel!$G$16="Yes"),Personnel!$C$16*0.15,0)+IF(AND(Personnel!$E$17&gt;=2,Personnel!$E$17=100,Personnel!$G$17="Yes"),Personnel!$C$17*0.15,0)+IF(AND(Personnel!$E$18&gt;=2,Personnel!$E$18=100,Personnel!$G$18="Yes"),Personnel!$C$18*0.15,0)+IF(AND(Personnel!$E$19&gt;=2,Personnel!$E$19=100,Personnel!$G$19="Yes"),Personnel!$C$19*0.15,0)+IF(AND(Personnel!$E$20&gt;=2,Personnel!$E$20=100,Personnel!$G$20="Yes"),Personnel!$C$20*0.15,0)+IF(AND(Personnel!$E$21&gt;=2,Personnel!$E$21=100,Personnel!$G$21="Yes"),Personnel!$C$21*0.15,0)+IF(AND(Personnel!$E$22&gt;=2,Personnel!$E$22=100,Personnel!$G$22="Yes"),Personnel!$C$22*0.15,0)+IF(AND(Personnel!$E$23&gt;=2,Personnel!$E$23=100,Personnel!$G$23="Yes"),Personnel!$C$23*0.15,0)+IF(AND(Personnel!$E$24&gt;=2,Personnel!$E$24=100,Personnel!$G$24="Yes"),Personnel!$C$24*0.15,0)+IF(AND(Personnel!$E$25&gt;=2,Personnel!$E$25=100,Personnel!$G$25="Yes"),Personnel!$C$25*0.15,0)+IF(AND(Personnel!$E$26&gt;=2,Personnel!$E$26=100,Personnel!$G$26="Yes"),Personnel!$C$26*0.15,0)+IF(AND(Personnel!$E$27&gt;=2,Personnel!$E$27=100,Personnel!$G$27="Yes"),Personnel!$C$27*0.15,0)+IF(AND(Personnel!$E$28&gt;=2,Personnel!$E$28=100,Personnel!$G$28="Yes"),Personnel!$C$28*0.15,0)+IF(AND(Personnel!$E$29&gt;=2,Personnel!$E$29=100,Personnel!$G$29="Yes"),Personnel!$C$29*0.15,0)+IF(AND(Personnel!$E$30&gt;=2,Personnel!$E$30=100,Personnel!$G$30="Yes"),Personnel!$C$30*0.15,0)+IF(AND(Personnel!$E$31&gt;=2,Personnel!$E$31=100,Personnel!$G$31="Yes"),Personnel!$C$31*0.15,0)+IF(AND(Personnel!$E$32&gt;=2,Personnel!$E$32=100,Personnel!$G$32="Yes"),Personnel!$C$32*0.15,0)+IF(AND(Personnel!$E$33&gt;=2,Personnel!$E$33=100,Personnel!$G$33="Yes"),Personnel!$C$33*0.15,0)),Actuals!DA41)</f>
        <v>-0</v>
      </c>
      <c r="DA131" s="14" t="n">
        <f aca="false">IF(ISBLANK(Actuals!DB41),-(IF(AND(Personnel!$E$2&gt;=2,Personnel!$E$2=101,Personnel!$G$2="Yes"),Personnel!$C$2*0.15,0)+IF(AND(Personnel!$E$3&gt;=2,Personnel!$E$3=101,Personnel!$G$3="Yes"),Personnel!$C$3*0.15,0)+IF(AND(Personnel!$E$4&gt;=2,Personnel!$E$4=101,Personnel!$G$4="Yes"),Personnel!$C$4*0.15,0)+IF(AND(Personnel!$E$5&gt;=2,Personnel!$E$5=101,Personnel!$G$5="Yes"),Personnel!$C$5*0.15,0)+IF(AND(Personnel!$E$6&gt;=2,Personnel!$E$6=101,Personnel!$G$6="Yes"),Personnel!$C$6*0.15,0)+IF(AND(Personnel!$E$7&gt;=2,Personnel!$E$7=101,Personnel!$G$7="Yes"),Personnel!$C$7*0.15,0)+IF(AND(Personnel!$E$8&gt;=2,Personnel!$E$8=101,Personnel!$G$8="Yes"),Personnel!$C$8*0.15,0)+IF(AND(Personnel!$E$9&gt;=2,Personnel!$E$9=101,Personnel!$G$9="Yes"),Personnel!$C$9*0.15,0)+IF(AND(Personnel!$E$10&gt;=2,Personnel!$E$10=101,Personnel!$G$10="Yes"),Personnel!$C$10*0.15,0)+IF(AND(Personnel!$E$11&gt;=2,Personnel!$E$11=101,Personnel!$G$11="Yes"),Personnel!$C$11*0.15,0)+IF(AND(Personnel!$E$12&gt;=2,Personnel!$E$12=101,Personnel!$G$12="Yes"),Personnel!$C$12*0.15,0)+IF(AND(Personnel!$E$13&gt;=2,Personnel!$E$13=101,Personnel!$G$13="Yes"),Personnel!$C$13*0.15,0)+IF(AND(Personnel!$E$14&gt;=2,Personnel!$E$14=101,Personnel!$G$14="Yes"),Personnel!$C$14*0.15,0)+IF(AND(Personnel!$E$15&gt;=2,Personnel!$E$15=101,Personnel!$G$15="Yes"),Personnel!$C$15*0.15,0)+IF(AND(Personnel!$E$16&gt;=2,Personnel!$E$16=101,Personnel!$G$16="Yes"),Personnel!$C$16*0.15,0)+IF(AND(Personnel!$E$17&gt;=2,Personnel!$E$17=101,Personnel!$G$17="Yes"),Personnel!$C$17*0.15,0)+IF(AND(Personnel!$E$18&gt;=2,Personnel!$E$18=101,Personnel!$G$18="Yes"),Personnel!$C$18*0.15,0)+IF(AND(Personnel!$E$19&gt;=2,Personnel!$E$19=101,Personnel!$G$19="Yes"),Personnel!$C$19*0.15,0)+IF(AND(Personnel!$E$20&gt;=2,Personnel!$E$20=101,Personnel!$G$20="Yes"),Personnel!$C$20*0.15,0)+IF(AND(Personnel!$E$21&gt;=2,Personnel!$E$21=101,Personnel!$G$21="Yes"),Personnel!$C$21*0.15,0)+IF(AND(Personnel!$E$22&gt;=2,Personnel!$E$22=101,Personnel!$G$22="Yes"),Personnel!$C$22*0.15,0)+IF(AND(Personnel!$E$23&gt;=2,Personnel!$E$23=101,Personnel!$G$23="Yes"),Personnel!$C$23*0.15,0)+IF(AND(Personnel!$E$24&gt;=2,Personnel!$E$24=101,Personnel!$G$24="Yes"),Personnel!$C$24*0.15,0)+IF(AND(Personnel!$E$25&gt;=2,Personnel!$E$25=101,Personnel!$G$25="Yes"),Personnel!$C$25*0.15,0)+IF(AND(Personnel!$E$26&gt;=2,Personnel!$E$26=101,Personnel!$G$26="Yes"),Personnel!$C$26*0.15,0)+IF(AND(Personnel!$E$27&gt;=2,Personnel!$E$27=101,Personnel!$G$27="Yes"),Personnel!$C$27*0.15,0)+IF(AND(Personnel!$E$28&gt;=2,Personnel!$E$28=101,Personnel!$G$28="Yes"),Personnel!$C$28*0.15,0)+IF(AND(Personnel!$E$29&gt;=2,Personnel!$E$29=101,Personnel!$G$29="Yes"),Personnel!$C$29*0.15,0)+IF(AND(Personnel!$E$30&gt;=2,Personnel!$E$30=101,Personnel!$G$30="Yes"),Personnel!$C$30*0.15,0)+IF(AND(Personnel!$E$31&gt;=2,Personnel!$E$31=101,Personnel!$G$31="Yes"),Personnel!$C$31*0.15,0)+IF(AND(Personnel!$E$32&gt;=2,Personnel!$E$32=101,Personnel!$G$32="Yes"),Personnel!$C$32*0.15,0)+IF(AND(Personnel!$E$33&gt;=2,Personnel!$E$33=101,Personnel!$G$33="Yes"),Personnel!$C$33*0.15,0)),Actuals!DB41)</f>
        <v>-0</v>
      </c>
      <c r="DB131" s="14" t="n">
        <f aca="false">IF(ISBLANK(Actuals!DC41),-(IF(AND(Personnel!$E$2&gt;=2,Personnel!$E$2=102,Personnel!$G$2="Yes"),Personnel!$C$2*0.15,0)+IF(AND(Personnel!$E$3&gt;=2,Personnel!$E$3=102,Personnel!$G$3="Yes"),Personnel!$C$3*0.15,0)+IF(AND(Personnel!$E$4&gt;=2,Personnel!$E$4=102,Personnel!$G$4="Yes"),Personnel!$C$4*0.15,0)+IF(AND(Personnel!$E$5&gt;=2,Personnel!$E$5=102,Personnel!$G$5="Yes"),Personnel!$C$5*0.15,0)+IF(AND(Personnel!$E$6&gt;=2,Personnel!$E$6=102,Personnel!$G$6="Yes"),Personnel!$C$6*0.15,0)+IF(AND(Personnel!$E$7&gt;=2,Personnel!$E$7=102,Personnel!$G$7="Yes"),Personnel!$C$7*0.15,0)+IF(AND(Personnel!$E$8&gt;=2,Personnel!$E$8=102,Personnel!$G$8="Yes"),Personnel!$C$8*0.15,0)+IF(AND(Personnel!$E$9&gt;=2,Personnel!$E$9=102,Personnel!$G$9="Yes"),Personnel!$C$9*0.15,0)+IF(AND(Personnel!$E$10&gt;=2,Personnel!$E$10=102,Personnel!$G$10="Yes"),Personnel!$C$10*0.15,0)+IF(AND(Personnel!$E$11&gt;=2,Personnel!$E$11=102,Personnel!$G$11="Yes"),Personnel!$C$11*0.15,0)+IF(AND(Personnel!$E$12&gt;=2,Personnel!$E$12=102,Personnel!$G$12="Yes"),Personnel!$C$12*0.15,0)+IF(AND(Personnel!$E$13&gt;=2,Personnel!$E$13=102,Personnel!$G$13="Yes"),Personnel!$C$13*0.15,0)+IF(AND(Personnel!$E$14&gt;=2,Personnel!$E$14=102,Personnel!$G$14="Yes"),Personnel!$C$14*0.15,0)+IF(AND(Personnel!$E$15&gt;=2,Personnel!$E$15=102,Personnel!$G$15="Yes"),Personnel!$C$15*0.15,0)+IF(AND(Personnel!$E$16&gt;=2,Personnel!$E$16=102,Personnel!$G$16="Yes"),Personnel!$C$16*0.15,0)+IF(AND(Personnel!$E$17&gt;=2,Personnel!$E$17=102,Personnel!$G$17="Yes"),Personnel!$C$17*0.15,0)+IF(AND(Personnel!$E$18&gt;=2,Personnel!$E$18=102,Personnel!$G$18="Yes"),Personnel!$C$18*0.15,0)+IF(AND(Personnel!$E$19&gt;=2,Personnel!$E$19=102,Personnel!$G$19="Yes"),Personnel!$C$19*0.15,0)+IF(AND(Personnel!$E$20&gt;=2,Personnel!$E$20=102,Personnel!$G$20="Yes"),Personnel!$C$20*0.15,0)+IF(AND(Personnel!$E$21&gt;=2,Personnel!$E$21=102,Personnel!$G$21="Yes"),Personnel!$C$21*0.15,0)+IF(AND(Personnel!$E$22&gt;=2,Personnel!$E$22=102,Personnel!$G$22="Yes"),Personnel!$C$22*0.15,0)+IF(AND(Personnel!$E$23&gt;=2,Personnel!$E$23=102,Personnel!$G$23="Yes"),Personnel!$C$23*0.15,0)+IF(AND(Personnel!$E$24&gt;=2,Personnel!$E$24=102,Personnel!$G$24="Yes"),Personnel!$C$24*0.15,0)+IF(AND(Personnel!$E$25&gt;=2,Personnel!$E$25=102,Personnel!$G$25="Yes"),Personnel!$C$25*0.15,0)+IF(AND(Personnel!$E$26&gt;=2,Personnel!$E$26=102,Personnel!$G$26="Yes"),Personnel!$C$26*0.15,0)+IF(AND(Personnel!$E$27&gt;=2,Personnel!$E$27=102,Personnel!$G$27="Yes"),Personnel!$C$27*0.15,0)+IF(AND(Personnel!$E$28&gt;=2,Personnel!$E$28=102,Personnel!$G$28="Yes"),Personnel!$C$28*0.15,0)+IF(AND(Personnel!$E$29&gt;=2,Personnel!$E$29=102,Personnel!$G$29="Yes"),Personnel!$C$29*0.15,0)+IF(AND(Personnel!$E$30&gt;=2,Personnel!$E$30=102,Personnel!$G$30="Yes"),Personnel!$C$30*0.15,0)+IF(AND(Personnel!$E$31&gt;=2,Personnel!$E$31=102,Personnel!$G$31="Yes"),Personnel!$C$31*0.15,0)+IF(AND(Personnel!$E$32&gt;=2,Personnel!$E$32=102,Personnel!$G$32="Yes"),Personnel!$C$32*0.15,0)+IF(AND(Personnel!$E$33&gt;=2,Personnel!$E$33=102,Personnel!$G$33="Yes"),Personnel!$C$33*0.15,0)),Actuals!DC41)</f>
        <v>-0</v>
      </c>
      <c r="DC131" s="14" t="n">
        <f aca="false">IF(ISBLANK(Actuals!DD41),-(IF(AND(Personnel!$E$2&gt;=2,Personnel!$E$2=103,Personnel!$G$2="Yes"),Personnel!$C$2*0.15,0)+IF(AND(Personnel!$E$3&gt;=2,Personnel!$E$3=103,Personnel!$G$3="Yes"),Personnel!$C$3*0.15,0)+IF(AND(Personnel!$E$4&gt;=2,Personnel!$E$4=103,Personnel!$G$4="Yes"),Personnel!$C$4*0.15,0)+IF(AND(Personnel!$E$5&gt;=2,Personnel!$E$5=103,Personnel!$G$5="Yes"),Personnel!$C$5*0.15,0)+IF(AND(Personnel!$E$6&gt;=2,Personnel!$E$6=103,Personnel!$G$6="Yes"),Personnel!$C$6*0.15,0)+IF(AND(Personnel!$E$7&gt;=2,Personnel!$E$7=103,Personnel!$G$7="Yes"),Personnel!$C$7*0.15,0)+IF(AND(Personnel!$E$8&gt;=2,Personnel!$E$8=103,Personnel!$G$8="Yes"),Personnel!$C$8*0.15,0)+IF(AND(Personnel!$E$9&gt;=2,Personnel!$E$9=103,Personnel!$G$9="Yes"),Personnel!$C$9*0.15,0)+IF(AND(Personnel!$E$10&gt;=2,Personnel!$E$10=103,Personnel!$G$10="Yes"),Personnel!$C$10*0.15,0)+IF(AND(Personnel!$E$11&gt;=2,Personnel!$E$11=103,Personnel!$G$11="Yes"),Personnel!$C$11*0.15,0)+IF(AND(Personnel!$E$12&gt;=2,Personnel!$E$12=103,Personnel!$G$12="Yes"),Personnel!$C$12*0.15,0)+IF(AND(Personnel!$E$13&gt;=2,Personnel!$E$13=103,Personnel!$G$13="Yes"),Personnel!$C$13*0.15,0)+IF(AND(Personnel!$E$14&gt;=2,Personnel!$E$14=103,Personnel!$G$14="Yes"),Personnel!$C$14*0.15,0)+IF(AND(Personnel!$E$15&gt;=2,Personnel!$E$15=103,Personnel!$G$15="Yes"),Personnel!$C$15*0.15,0)+IF(AND(Personnel!$E$16&gt;=2,Personnel!$E$16=103,Personnel!$G$16="Yes"),Personnel!$C$16*0.15,0)+IF(AND(Personnel!$E$17&gt;=2,Personnel!$E$17=103,Personnel!$G$17="Yes"),Personnel!$C$17*0.15,0)+IF(AND(Personnel!$E$18&gt;=2,Personnel!$E$18=103,Personnel!$G$18="Yes"),Personnel!$C$18*0.15,0)+IF(AND(Personnel!$E$19&gt;=2,Personnel!$E$19=103,Personnel!$G$19="Yes"),Personnel!$C$19*0.15,0)+IF(AND(Personnel!$E$20&gt;=2,Personnel!$E$20=103,Personnel!$G$20="Yes"),Personnel!$C$20*0.15,0)+IF(AND(Personnel!$E$21&gt;=2,Personnel!$E$21=103,Personnel!$G$21="Yes"),Personnel!$C$21*0.15,0)+IF(AND(Personnel!$E$22&gt;=2,Personnel!$E$22=103,Personnel!$G$22="Yes"),Personnel!$C$22*0.15,0)+IF(AND(Personnel!$E$23&gt;=2,Personnel!$E$23=103,Personnel!$G$23="Yes"),Personnel!$C$23*0.15,0)+IF(AND(Personnel!$E$24&gt;=2,Personnel!$E$24=103,Personnel!$G$24="Yes"),Personnel!$C$24*0.15,0)+IF(AND(Personnel!$E$25&gt;=2,Personnel!$E$25=103,Personnel!$G$25="Yes"),Personnel!$C$25*0.15,0)+IF(AND(Personnel!$E$26&gt;=2,Personnel!$E$26=103,Personnel!$G$26="Yes"),Personnel!$C$26*0.15,0)+IF(AND(Personnel!$E$27&gt;=2,Personnel!$E$27=103,Personnel!$G$27="Yes"),Personnel!$C$27*0.15,0)+IF(AND(Personnel!$E$28&gt;=2,Personnel!$E$28=103,Personnel!$G$28="Yes"),Personnel!$C$28*0.15,0)+IF(AND(Personnel!$E$29&gt;=2,Personnel!$E$29=103,Personnel!$G$29="Yes"),Personnel!$C$29*0.15,0)+IF(AND(Personnel!$E$30&gt;=2,Personnel!$E$30=103,Personnel!$G$30="Yes"),Personnel!$C$30*0.15,0)+IF(AND(Personnel!$E$31&gt;=2,Personnel!$E$31=103,Personnel!$G$31="Yes"),Personnel!$C$31*0.15,0)+IF(AND(Personnel!$E$32&gt;=2,Personnel!$E$32=103,Personnel!$G$32="Yes"),Personnel!$C$32*0.15,0)+IF(AND(Personnel!$E$33&gt;=2,Personnel!$E$33=103,Personnel!$G$33="Yes"),Personnel!$C$33*0.15,0)),Actuals!DD41)</f>
        <v>-0</v>
      </c>
      <c r="DD131" s="14" t="n">
        <f aca="false">IF(ISBLANK(Actuals!DE41),-(IF(AND(Personnel!$E$2&gt;=2,Personnel!$E$2=104,Personnel!$G$2="Yes"),Personnel!$C$2*0.15,0)+IF(AND(Personnel!$E$3&gt;=2,Personnel!$E$3=104,Personnel!$G$3="Yes"),Personnel!$C$3*0.15,0)+IF(AND(Personnel!$E$4&gt;=2,Personnel!$E$4=104,Personnel!$G$4="Yes"),Personnel!$C$4*0.15,0)+IF(AND(Personnel!$E$5&gt;=2,Personnel!$E$5=104,Personnel!$G$5="Yes"),Personnel!$C$5*0.15,0)+IF(AND(Personnel!$E$6&gt;=2,Personnel!$E$6=104,Personnel!$G$6="Yes"),Personnel!$C$6*0.15,0)+IF(AND(Personnel!$E$7&gt;=2,Personnel!$E$7=104,Personnel!$G$7="Yes"),Personnel!$C$7*0.15,0)+IF(AND(Personnel!$E$8&gt;=2,Personnel!$E$8=104,Personnel!$G$8="Yes"),Personnel!$C$8*0.15,0)+IF(AND(Personnel!$E$9&gt;=2,Personnel!$E$9=104,Personnel!$G$9="Yes"),Personnel!$C$9*0.15,0)+IF(AND(Personnel!$E$10&gt;=2,Personnel!$E$10=104,Personnel!$G$10="Yes"),Personnel!$C$10*0.15,0)+IF(AND(Personnel!$E$11&gt;=2,Personnel!$E$11=104,Personnel!$G$11="Yes"),Personnel!$C$11*0.15,0)+IF(AND(Personnel!$E$12&gt;=2,Personnel!$E$12=104,Personnel!$G$12="Yes"),Personnel!$C$12*0.15,0)+IF(AND(Personnel!$E$13&gt;=2,Personnel!$E$13=104,Personnel!$G$13="Yes"),Personnel!$C$13*0.15,0)+IF(AND(Personnel!$E$14&gt;=2,Personnel!$E$14=104,Personnel!$G$14="Yes"),Personnel!$C$14*0.15,0)+IF(AND(Personnel!$E$15&gt;=2,Personnel!$E$15=104,Personnel!$G$15="Yes"),Personnel!$C$15*0.15,0)+IF(AND(Personnel!$E$16&gt;=2,Personnel!$E$16=104,Personnel!$G$16="Yes"),Personnel!$C$16*0.15,0)+IF(AND(Personnel!$E$17&gt;=2,Personnel!$E$17=104,Personnel!$G$17="Yes"),Personnel!$C$17*0.15,0)+IF(AND(Personnel!$E$18&gt;=2,Personnel!$E$18=104,Personnel!$G$18="Yes"),Personnel!$C$18*0.15,0)+IF(AND(Personnel!$E$19&gt;=2,Personnel!$E$19=104,Personnel!$G$19="Yes"),Personnel!$C$19*0.15,0)+IF(AND(Personnel!$E$20&gt;=2,Personnel!$E$20=104,Personnel!$G$20="Yes"),Personnel!$C$20*0.15,0)+IF(AND(Personnel!$E$21&gt;=2,Personnel!$E$21=104,Personnel!$G$21="Yes"),Personnel!$C$21*0.15,0)+IF(AND(Personnel!$E$22&gt;=2,Personnel!$E$22=104,Personnel!$G$22="Yes"),Personnel!$C$22*0.15,0)+IF(AND(Personnel!$E$23&gt;=2,Personnel!$E$23=104,Personnel!$G$23="Yes"),Personnel!$C$23*0.15,0)+IF(AND(Personnel!$E$24&gt;=2,Personnel!$E$24=104,Personnel!$G$24="Yes"),Personnel!$C$24*0.15,0)+IF(AND(Personnel!$E$25&gt;=2,Personnel!$E$25=104,Personnel!$G$25="Yes"),Personnel!$C$25*0.15,0)+IF(AND(Personnel!$E$26&gt;=2,Personnel!$E$26=104,Personnel!$G$26="Yes"),Personnel!$C$26*0.15,0)+IF(AND(Personnel!$E$27&gt;=2,Personnel!$E$27=104,Personnel!$G$27="Yes"),Personnel!$C$27*0.15,0)+IF(AND(Personnel!$E$28&gt;=2,Personnel!$E$28=104,Personnel!$G$28="Yes"),Personnel!$C$28*0.15,0)+IF(AND(Personnel!$E$29&gt;=2,Personnel!$E$29=104,Personnel!$G$29="Yes"),Personnel!$C$29*0.15,0)+IF(AND(Personnel!$E$30&gt;=2,Personnel!$E$30=104,Personnel!$G$30="Yes"),Personnel!$C$30*0.15,0)+IF(AND(Personnel!$E$31&gt;=2,Personnel!$E$31=104,Personnel!$G$31="Yes"),Personnel!$C$31*0.15,0)+IF(AND(Personnel!$E$32&gt;=2,Personnel!$E$32=104,Personnel!$G$32="Yes"),Personnel!$C$32*0.15,0)+IF(AND(Personnel!$E$33&gt;=2,Personnel!$E$33=104,Personnel!$G$33="Yes"),Personnel!$C$33*0.15,0)),Actuals!DE41)</f>
        <v>-0</v>
      </c>
      <c r="DE131" s="14" t="n">
        <f aca="false">IF(ISBLANK(Actuals!DF41),-(IF(AND(Personnel!$E$2&gt;=2,Personnel!$E$2=105,Personnel!$G$2="Yes"),Personnel!$C$2*0.15,0)+IF(AND(Personnel!$E$3&gt;=2,Personnel!$E$3=105,Personnel!$G$3="Yes"),Personnel!$C$3*0.15,0)+IF(AND(Personnel!$E$4&gt;=2,Personnel!$E$4=105,Personnel!$G$4="Yes"),Personnel!$C$4*0.15,0)+IF(AND(Personnel!$E$5&gt;=2,Personnel!$E$5=105,Personnel!$G$5="Yes"),Personnel!$C$5*0.15,0)+IF(AND(Personnel!$E$6&gt;=2,Personnel!$E$6=105,Personnel!$G$6="Yes"),Personnel!$C$6*0.15,0)+IF(AND(Personnel!$E$7&gt;=2,Personnel!$E$7=105,Personnel!$G$7="Yes"),Personnel!$C$7*0.15,0)+IF(AND(Personnel!$E$8&gt;=2,Personnel!$E$8=105,Personnel!$G$8="Yes"),Personnel!$C$8*0.15,0)+IF(AND(Personnel!$E$9&gt;=2,Personnel!$E$9=105,Personnel!$G$9="Yes"),Personnel!$C$9*0.15,0)+IF(AND(Personnel!$E$10&gt;=2,Personnel!$E$10=105,Personnel!$G$10="Yes"),Personnel!$C$10*0.15,0)+IF(AND(Personnel!$E$11&gt;=2,Personnel!$E$11=105,Personnel!$G$11="Yes"),Personnel!$C$11*0.15,0)+IF(AND(Personnel!$E$12&gt;=2,Personnel!$E$12=105,Personnel!$G$12="Yes"),Personnel!$C$12*0.15,0)+IF(AND(Personnel!$E$13&gt;=2,Personnel!$E$13=105,Personnel!$G$13="Yes"),Personnel!$C$13*0.15,0)+IF(AND(Personnel!$E$14&gt;=2,Personnel!$E$14=105,Personnel!$G$14="Yes"),Personnel!$C$14*0.15,0)+IF(AND(Personnel!$E$15&gt;=2,Personnel!$E$15=105,Personnel!$G$15="Yes"),Personnel!$C$15*0.15,0)+IF(AND(Personnel!$E$16&gt;=2,Personnel!$E$16=105,Personnel!$G$16="Yes"),Personnel!$C$16*0.15,0)+IF(AND(Personnel!$E$17&gt;=2,Personnel!$E$17=105,Personnel!$G$17="Yes"),Personnel!$C$17*0.15,0)+IF(AND(Personnel!$E$18&gt;=2,Personnel!$E$18=105,Personnel!$G$18="Yes"),Personnel!$C$18*0.15,0)+IF(AND(Personnel!$E$19&gt;=2,Personnel!$E$19=105,Personnel!$G$19="Yes"),Personnel!$C$19*0.15,0)+IF(AND(Personnel!$E$20&gt;=2,Personnel!$E$20=105,Personnel!$G$20="Yes"),Personnel!$C$20*0.15,0)+IF(AND(Personnel!$E$21&gt;=2,Personnel!$E$21=105,Personnel!$G$21="Yes"),Personnel!$C$21*0.15,0)+IF(AND(Personnel!$E$22&gt;=2,Personnel!$E$22=105,Personnel!$G$22="Yes"),Personnel!$C$22*0.15,0)+IF(AND(Personnel!$E$23&gt;=2,Personnel!$E$23=105,Personnel!$G$23="Yes"),Personnel!$C$23*0.15,0)+IF(AND(Personnel!$E$24&gt;=2,Personnel!$E$24=105,Personnel!$G$24="Yes"),Personnel!$C$24*0.15,0)+IF(AND(Personnel!$E$25&gt;=2,Personnel!$E$25=105,Personnel!$G$25="Yes"),Personnel!$C$25*0.15,0)+IF(AND(Personnel!$E$26&gt;=2,Personnel!$E$26=105,Personnel!$G$26="Yes"),Personnel!$C$26*0.15,0)+IF(AND(Personnel!$E$27&gt;=2,Personnel!$E$27=105,Personnel!$G$27="Yes"),Personnel!$C$27*0.15,0)+IF(AND(Personnel!$E$28&gt;=2,Personnel!$E$28=105,Personnel!$G$28="Yes"),Personnel!$C$28*0.15,0)+IF(AND(Personnel!$E$29&gt;=2,Personnel!$E$29=105,Personnel!$G$29="Yes"),Personnel!$C$29*0.15,0)+IF(AND(Personnel!$E$30&gt;=2,Personnel!$E$30=105,Personnel!$G$30="Yes"),Personnel!$C$30*0.15,0)+IF(AND(Personnel!$E$31&gt;=2,Personnel!$E$31=105,Personnel!$G$31="Yes"),Personnel!$C$31*0.15,0)+IF(AND(Personnel!$E$32&gt;=2,Personnel!$E$32=105,Personnel!$G$32="Yes"),Personnel!$C$32*0.15,0)+IF(AND(Personnel!$E$33&gt;=2,Personnel!$E$33=105,Personnel!$G$33="Yes"),Personnel!$C$33*0.15,0)),Actuals!DF41)</f>
        <v>-0</v>
      </c>
    </row>
    <row r="132" customFormat="false" ht="15" hidden="false" customHeight="true" outlineLevel="0" collapsed="false">
      <c r="A132" s="29" t="s">
        <v>81</v>
      </c>
      <c r="B132" s="14" t="n">
        <f aca="false">IF(ISBLANK(Actuals!C42),0,Actuals!C42)</f>
        <v>-165</v>
      </c>
      <c r="C132" s="14" t="n">
        <f aca="false">IF(ISBLANK(Actuals!D42),0,Actuals!D42)</f>
        <v>0</v>
      </c>
      <c r="D132" s="14" t="n">
        <f aca="false">IF(ISBLANK(Actuals!E42),0,Actuals!E42)</f>
        <v>0</v>
      </c>
      <c r="E132" s="14" t="n">
        <f aca="false">IF(ISBLANK(Actuals!F42),-55*Escalation!$B$2,Actuals!F42)</f>
        <v>-165</v>
      </c>
      <c r="F132" s="14" t="n">
        <f aca="false">IF(ISBLANK(Actuals!G42),-55*Escalation!$B$3,Actuals!G42)</f>
        <v>0</v>
      </c>
      <c r="G132" s="14" t="n">
        <f aca="false">IF(ISBLANK(Actuals!H42),-55*Escalation!$B$4,Actuals!H42)</f>
        <v>-165</v>
      </c>
      <c r="H132" s="14" t="n">
        <f aca="false">IF(ISBLANK(Actuals!I42),-55*Escalation!$B$5,Actuals!I42)</f>
        <v>-55</v>
      </c>
      <c r="I132" s="14" t="n">
        <f aca="false">IF(ISBLANK(Actuals!J42),-55*Escalation!$B$6,Actuals!J42)</f>
        <v>-55</v>
      </c>
      <c r="J132" s="14" t="n">
        <f aca="false">IF(ISBLANK(Actuals!K42),-55*Escalation!$B$7,Actuals!K42)</f>
        <v>-55</v>
      </c>
      <c r="K132" s="14" t="n">
        <f aca="false">IF(ISBLANK(Actuals!L42),-55*Escalation!$B$8,Actuals!L42)</f>
        <v>-55</v>
      </c>
      <c r="L132" s="14" t="n">
        <f aca="false">IF(ISBLANK(Actuals!M42),-55*Escalation!$B$9,Actuals!M42)</f>
        <v>-55</v>
      </c>
      <c r="M132" s="14" t="n">
        <f aca="false">IF(ISBLANK(Actuals!N42),-55*Escalation!$B$10,Actuals!N42)</f>
        <v>-55</v>
      </c>
      <c r="N132" s="14" t="n">
        <f aca="false">IF(ISBLANK(Actuals!O42),-55*Escalation!$B$11,Actuals!O42)</f>
        <v>-55</v>
      </c>
      <c r="O132" s="14" t="n">
        <f aca="false">IF(ISBLANK(Actuals!P42),-55*Escalation!$B$12,Actuals!P42)</f>
        <v>-55</v>
      </c>
      <c r="P132" s="14" t="n">
        <f aca="false">IF(ISBLANK(Actuals!Q42),-55*Escalation!$B$13,Actuals!Q42)</f>
        <v>-55</v>
      </c>
      <c r="Q132" s="14" t="n">
        <f aca="false">IF(ISBLANK(Actuals!R42),-55*Escalation!$B$14,Actuals!R42)</f>
        <v>-56.1</v>
      </c>
      <c r="R132" s="14" t="n">
        <f aca="false">IF(ISBLANK(Actuals!S42),-55*Escalation!$B$15,Actuals!S42)</f>
        <v>-56.1</v>
      </c>
      <c r="S132" s="14" t="n">
        <f aca="false">IF(ISBLANK(Actuals!T42),-55*Escalation!$B$16,Actuals!T42)</f>
        <v>-56.1</v>
      </c>
      <c r="T132" s="14" t="n">
        <f aca="false">IF(ISBLANK(Actuals!U42),-55*Escalation!$B$17,Actuals!U42)</f>
        <v>-56.1</v>
      </c>
      <c r="U132" s="14" t="n">
        <f aca="false">IF(ISBLANK(Actuals!V42),-55*Escalation!$B$18,Actuals!V42)</f>
        <v>-56.1</v>
      </c>
      <c r="V132" s="14" t="n">
        <f aca="false">IF(ISBLANK(Actuals!W42),-55*Escalation!$B$19,Actuals!W42)</f>
        <v>-56.1</v>
      </c>
      <c r="W132" s="14" t="n">
        <f aca="false">IF(ISBLANK(Actuals!X42),-55*Escalation!$B$20,Actuals!X42)</f>
        <v>-56.1</v>
      </c>
      <c r="X132" s="14" t="n">
        <f aca="false">IF(ISBLANK(Actuals!Y42),-55*Escalation!$B$21,Actuals!Y42)</f>
        <v>-56.1</v>
      </c>
      <c r="Y132" s="14" t="n">
        <f aca="false">IF(ISBLANK(Actuals!Z42),-55*Escalation!$B$22,Actuals!Z42)</f>
        <v>-56.1</v>
      </c>
      <c r="Z132" s="14" t="n">
        <f aca="false">IF(ISBLANK(Actuals!AA42),-55*Escalation!$B$23,Actuals!AA42)</f>
        <v>-56.1</v>
      </c>
      <c r="AA132" s="14" t="n">
        <f aca="false">IF(ISBLANK(Actuals!AB42),-55*Escalation!$B$24,Actuals!AB42)</f>
        <v>-56.1</v>
      </c>
      <c r="AB132" s="14" t="n">
        <f aca="false">IF(ISBLANK(Actuals!AC42),-55*Escalation!$B$25,Actuals!AC42)</f>
        <v>-56.1</v>
      </c>
      <c r="AC132" s="14" t="n">
        <f aca="false">IF(ISBLANK(Actuals!AD42),-55*Escalation!$B$26,Actuals!AD42)</f>
        <v>-57.222</v>
      </c>
      <c r="AD132" s="14" t="n">
        <f aca="false">IF(ISBLANK(Actuals!AE42),-55*Escalation!$B$27,Actuals!AE42)</f>
        <v>-57.222</v>
      </c>
      <c r="AE132" s="14" t="n">
        <f aca="false">IF(ISBLANK(Actuals!AF42),-55*Escalation!$B$28,Actuals!AF42)</f>
        <v>-57.222</v>
      </c>
      <c r="AF132" s="14" t="n">
        <f aca="false">IF(ISBLANK(Actuals!AG42),-55*Escalation!$B$29,Actuals!AG42)</f>
        <v>-57.222</v>
      </c>
      <c r="AG132" s="14" t="n">
        <f aca="false">IF(ISBLANK(Actuals!AH42),-55*Escalation!$B$30,Actuals!AH42)</f>
        <v>-57.222</v>
      </c>
      <c r="AH132" s="14" t="n">
        <f aca="false">IF(ISBLANK(Actuals!AI42),-55*Escalation!$B$31,Actuals!AI42)</f>
        <v>-57.222</v>
      </c>
      <c r="AI132" s="14" t="n">
        <f aca="false">IF(ISBLANK(Actuals!AJ42),-55*Escalation!$B$32,Actuals!AJ42)</f>
        <v>-57.222</v>
      </c>
      <c r="AJ132" s="14" t="n">
        <f aca="false">IF(ISBLANK(Actuals!AK42),-55*Escalation!$B$33,Actuals!AK42)</f>
        <v>-57.222</v>
      </c>
      <c r="AK132" s="14" t="n">
        <f aca="false">IF(ISBLANK(Actuals!AL42),-55*Escalation!$B$34,Actuals!AL42)</f>
        <v>-57.222</v>
      </c>
      <c r="AL132" s="14" t="n">
        <f aca="false">IF(ISBLANK(Actuals!AM42),-55*Escalation!$B$35,Actuals!AM42)</f>
        <v>-57.222</v>
      </c>
      <c r="AM132" s="14" t="n">
        <f aca="false">IF(ISBLANK(Actuals!AN42),-55*Escalation!$B$36,Actuals!AN42)</f>
        <v>-57.222</v>
      </c>
      <c r="AN132" s="14" t="n">
        <f aca="false">IF(ISBLANK(Actuals!AO42),-55*Escalation!$B$37,Actuals!AO42)</f>
        <v>-57.222</v>
      </c>
      <c r="AO132" s="14" t="n">
        <f aca="false">IF(ISBLANK(Actuals!AP42),-55*Escalation!$B$38,Actuals!AP42)</f>
        <v>-58.36644</v>
      </c>
      <c r="AP132" s="14" t="n">
        <f aca="false">IF(ISBLANK(Actuals!AQ42),-55*Escalation!$B$39,Actuals!AQ42)</f>
        <v>-58.36644</v>
      </c>
      <c r="AQ132" s="14" t="n">
        <f aca="false">IF(ISBLANK(Actuals!AR42),-55*Escalation!$B$40,Actuals!AR42)</f>
        <v>-58.36644</v>
      </c>
      <c r="AR132" s="14" t="n">
        <f aca="false">IF(ISBLANK(Actuals!AS42),-55*Escalation!$B$41,Actuals!AS42)</f>
        <v>-58.36644</v>
      </c>
      <c r="AS132" s="14" t="n">
        <f aca="false">IF(ISBLANK(Actuals!AT42),-55*Escalation!$B$42,Actuals!AT42)</f>
        <v>-58.36644</v>
      </c>
      <c r="AT132" s="14" t="n">
        <f aca="false">IF(ISBLANK(Actuals!AU42),-55*Escalation!$B$43,Actuals!AU42)</f>
        <v>-58.36644</v>
      </c>
      <c r="AU132" s="14" t="n">
        <f aca="false">IF(ISBLANK(Actuals!AV42),-55*Escalation!$B$44,Actuals!AV42)</f>
        <v>-58.36644</v>
      </c>
      <c r="AV132" s="14" t="n">
        <f aca="false">IF(ISBLANK(Actuals!AW42),-55*Escalation!$B$45,Actuals!AW42)</f>
        <v>-58.36644</v>
      </c>
      <c r="AW132" s="14" t="n">
        <f aca="false">IF(ISBLANK(Actuals!AX42),-55*Escalation!$B$46,Actuals!AX42)</f>
        <v>-58.36644</v>
      </c>
      <c r="AX132" s="14" t="n">
        <f aca="false">IF(ISBLANK(Actuals!AY42),-55*Escalation!$B$47,Actuals!AY42)</f>
        <v>-58.36644</v>
      </c>
      <c r="AY132" s="14" t="n">
        <f aca="false">IF(ISBLANK(Actuals!AZ42),-55*Escalation!$B$48,Actuals!AZ42)</f>
        <v>-58.36644</v>
      </c>
      <c r="AZ132" s="14" t="n">
        <f aca="false">IF(ISBLANK(Actuals!BA42),-55*Escalation!$B$49,Actuals!BA42)</f>
        <v>-58.36644</v>
      </c>
      <c r="BA132" s="14" t="n">
        <f aca="false">IF(ISBLANK(Actuals!BB42),-55*Escalation!$B$50,Actuals!BB42)</f>
        <v>-59.5337688</v>
      </c>
      <c r="BB132" s="14" t="n">
        <f aca="false">IF(ISBLANK(Actuals!BC42),-55*Escalation!$B$51,Actuals!BC42)</f>
        <v>-59.5337688</v>
      </c>
      <c r="BC132" s="14" t="n">
        <f aca="false">IF(ISBLANK(Actuals!BD42),-55*Escalation!$B$52,Actuals!BD42)</f>
        <v>-59.5337688</v>
      </c>
      <c r="BD132" s="14" t="n">
        <f aca="false">IF(ISBLANK(Actuals!BE42),-55*Escalation!$B$53,Actuals!BE42)</f>
        <v>-59.5337688</v>
      </c>
      <c r="BE132" s="14" t="n">
        <f aca="false">IF(ISBLANK(Actuals!BF42),-55*Escalation!$B$54,Actuals!BF42)</f>
        <v>-59.5337688</v>
      </c>
      <c r="BF132" s="14" t="n">
        <f aca="false">IF(ISBLANK(Actuals!BG42),-55*Escalation!$B$55,Actuals!BG42)</f>
        <v>-59.5337688</v>
      </c>
      <c r="BG132" s="14" t="n">
        <f aca="false">IF(ISBLANK(Actuals!BH42),-55*Escalation!$B$56,Actuals!BH42)</f>
        <v>-59.5337688</v>
      </c>
      <c r="BH132" s="14" t="n">
        <f aca="false">IF(ISBLANK(Actuals!BI42),-55*Escalation!$B$57,Actuals!BI42)</f>
        <v>-59.5337688</v>
      </c>
      <c r="BI132" s="14" t="n">
        <f aca="false">IF(ISBLANK(Actuals!BJ42),-55*Escalation!$B$58,Actuals!BJ42)</f>
        <v>-59.5337688</v>
      </c>
      <c r="BJ132" s="14" t="n">
        <f aca="false">IF(ISBLANK(Actuals!BK42),-55*Escalation!$B$59,Actuals!BK42)</f>
        <v>-59.5337688</v>
      </c>
      <c r="BK132" s="14" t="n">
        <f aca="false">IF(ISBLANK(Actuals!BL42),-55*Escalation!$B$60,Actuals!BL42)</f>
        <v>-59.5337688</v>
      </c>
      <c r="BL132" s="14" t="n">
        <f aca="false">IF(ISBLANK(Actuals!BM42),-55*Escalation!$B$61,Actuals!BM42)</f>
        <v>-59.5337688</v>
      </c>
      <c r="BM132" s="14" t="n">
        <f aca="false">IF(ISBLANK(Actuals!BN42),-55*Escalation!$B$62,Actuals!BN42)</f>
        <v>-60.724444176</v>
      </c>
      <c r="BN132" s="14" t="n">
        <f aca="false">IF(ISBLANK(Actuals!BO42),-55*Escalation!$B$63,Actuals!BO42)</f>
        <v>-60.724444176</v>
      </c>
      <c r="BO132" s="14" t="n">
        <f aca="false">IF(ISBLANK(Actuals!BP42),-55*Escalation!$B$64,Actuals!BP42)</f>
        <v>-60.724444176</v>
      </c>
      <c r="BP132" s="14" t="n">
        <f aca="false">IF(ISBLANK(Actuals!BQ42),-55*Escalation!$B$65,Actuals!BQ42)</f>
        <v>-60.724444176</v>
      </c>
      <c r="BQ132" s="14" t="n">
        <f aca="false">IF(ISBLANK(Actuals!BR42),-55*Escalation!$B$66,Actuals!BR42)</f>
        <v>-60.724444176</v>
      </c>
      <c r="BR132" s="14" t="n">
        <f aca="false">IF(ISBLANK(Actuals!BS42),-55*Escalation!$B$67,Actuals!BS42)</f>
        <v>-60.724444176</v>
      </c>
      <c r="BS132" s="14" t="n">
        <f aca="false">IF(ISBLANK(Actuals!BT42),-55*Escalation!$B$68,Actuals!BT42)</f>
        <v>-60.724444176</v>
      </c>
      <c r="BT132" s="14" t="n">
        <f aca="false">IF(ISBLANK(Actuals!BU42),-55*Escalation!$B$69,Actuals!BU42)</f>
        <v>-60.724444176</v>
      </c>
      <c r="BU132" s="14" t="n">
        <f aca="false">IF(ISBLANK(Actuals!BV42),-55*Escalation!$B$70,Actuals!BV42)</f>
        <v>-60.724444176</v>
      </c>
      <c r="BV132" s="14" t="n">
        <f aca="false">IF(ISBLANK(Actuals!BW42),-55*Escalation!$B$71,Actuals!BW42)</f>
        <v>-60.724444176</v>
      </c>
      <c r="BW132" s="14" t="n">
        <f aca="false">IF(ISBLANK(Actuals!BX42),-55*Escalation!$B$72,Actuals!BX42)</f>
        <v>-60.724444176</v>
      </c>
      <c r="BX132" s="14" t="n">
        <f aca="false">IF(ISBLANK(Actuals!BY42),-55*Escalation!$B$73,Actuals!BY42)</f>
        <v>-60.724444176</v>
      </c>
      <c r="BY132" s="14" t="n">
        <f aca="false">IF(ISBLANK(Actuals!BZ42),-55*Escalation!$B$74,Actuals!BZ42)</f>
        <v>-61.93893305952</v>
      </c>
      <c r="BZ132" s="14" t="n">
        <f aca="false">IF(ISBLANK(Actuals!CA42),-55*Escalation!$B$75,Actuals!CA42)</f>
        <v>-61.93893305952</v>
      </c>
      <c r="CA132" s="14" t="n">
        <f aca="false">IF(ISBLANK(Actuals!CB42),-55*Escalation!$B$76,Actuals!CB42)</f>
        <v>-61.93893305952</v>
      </c>
      <c r="CB132" s="14" t="n">
        <f aca="false">IF(ISBLANK(Actuals!CC42),-55*Escalation!$B$77,Actuals!CC42)</f>
        <v>-61.93893305952</v>
      </c>
      <c r="CC132" s="14" t="n">
        <f aca="false">IF(ISBLANK(Actuals!CD42),-55*Escalation!$B$78,Actuals!CD42)</f>
        <v>-61.93893305952</v>
      </c>
      <c r="CD132" s="14" t="n">
        <f aca="false">IF(ISBLANK(Actuals!CE42),-55*Escalation!$B$79,Actuals!CE42)</f>
        <v>-61.93893305952</v>
      </c>
      <c r="CE132" s="14" t="n">
        <f aca="false">IF(ISBLANK(Actuals!CF42),-55*Escalation!$B$80,Actuals!CF42)</f>
        <v>-61.93893305952</v>
      </c>
      <c r="CF132" s="14" t="n">
        <f aca="false">IF(ISBLANK(Actuals!CG42),-55*Escalation!$B$81,Actuals!CG42)</f>
        <v>-61.93893305952</v>
      </c>
      <c r="CG132" s="14" t="n">
        <f aca="false">IF(ISBLANK(Actuals!CH42),-55*Escalation!$B$82,Actuals!CH42)</f>
        <v>-61.93893305952</v>
      </c>
      <c r="CH132" s="14" t="n">
        <f aca="false">IF(ISBLANK(Actuals!CI42),-55*Escalation!$B$83,Actuals!CI42)</f>
        <v>-61.93893305952</v>
      </c>
      <c r="CI132" s="14" t="n">
        <f aca="false">IF(ISBLANK(Actuals!CJ42),-55*Escalation!$B$84,Actuals!CJ42)</f>
        <v>-61.93893305952</v>
      </c>
      <c r="CJ132" s="14" t="n">
        <f aca="false">IF(ISBLANK(Actuals!CK42),-55*Escalation!$B$85,Actuals!CK42)</f>
        <v>-61.93893305952</v>
      </c>
      <c r="CK132" s="14" t="n">
        <f aca="false">IF(ISBLANK(Actuals!CL42),-55*Escalation!$B$86,Actuals!CL42)</f>
        <v>-63.1777117207104</v>
      </c>
      <c r="CL132" s="14" t="n">
        <f aca="false">IF(ISBLANK(Actuals!CM42),-55*Escalation!$B$87,Actuals!CM42)</f>
        <v>-63.1777117207104</v>
      </c>
      <c r="CM132" s="14" t="n">
        <f aca="false">IF(ISBLANK(Actuals!CN42),-55*Escalation!$B$88,Actuals!CN42)</f>
        <v>-63.1777117207104</v>
      </c>
      <c r="CN132" s="14" t="n">
        <f aca="false">IF(ISBLANK(Actuals!CO42),-55*Escalation!$B$89,Actuals!CO42)</f>
        <v>-63.1777117207104</v>
      </c>
      <c r="CO132" s="14" t="n">
        <f aca="false">IF(ISBLANK(Actuals!CP42),-55*Escalation!$B$90,Actuals!CP42)</f>
        <v>-63.1777117207104</v>
      </c>
      <c r="CP132" s="14" t="n">
        <f aca="false">IF(ISBLANK(Actuals!CQ42),-55*Escalation!$B$91,Actuals!CQ42)</f>
        <v>-63.1777117207104</v>
      </c>
      <c r="CQ132" s="14" t="n">
        <f aca="false">IF(ISBLANK(Actuals!CR42),-55*Escalation!$B$92,Actuals!CR42)</f>
        <v>-63.1777117207104</v>
      </c>
      <c r="CR132" s="14" t="n">
        <f aca="false">IF(ISBLANK(Actuals!CS42),-55*Escalation!$B$93,Actuals!CS42)</f>
        <v>-63.1777117207104</v>
      </c>
      <c r="CS132" s="14" t="n">
        <f aca="false">IF(ISBLANK(Actuals!CT42),-55*Escalation!$B$94,Actuals!CT42)</f>
        <v>-63.1777117207104</v>
      </c>
      <c r="CT132" s="14" t="n">
        <f aca="false">IF(ISBLANK(Actuals!CU42),-55*Escalation!$B$95,Actuals!CU42)</f>
        <v>-63.1777117207104</v>
      </c>
      <c r="CU132" s="14" t="n">
        <f aca="false">IF(ISBLANK(Actuals!CV42),-55*Escalation!$B$96,Actuals!CV42)</f>
        <v>-63.1777117207104</v>
      </c>
      <c r="CV132" s="14" t="n">
        <f aca="false">IF(ISBLANK(Actuals!CW42),-55*Escalation!$B$97,Actuals!CW42)</f>
        <v>-63.1777117207104</v>
      </c>
      <c r="CW132" s="14" t="n">
        <f aca="false">IF(ISBLANK(Actuals!CX42),-55*Escalation!$B$98,Actuals!CX42)</f>
        <v>-64.4412659551246</v>
      </c>
      <c r="CX132" s="14" t="n">
        <f aca="false">IF(ISBLANK(Actuals!CY42),-55*Escalation!$B$99,Actuals!CY42)</f>
        <v>-64.4412659551246</v>
      </c>
      <c r="CY132" s="14" t="n">
        <f aca="false">IF(ISBLANK(Actuals!CZ42),-55*Escalation!$B$100,Actuals!CZ42)</f>
        <v>-64.4412659551246</v>
      </c>
      <c r="CZ132" s="14" t="n">
        <f aca="false">IF(ISBLANK(Actuals!DA42),-55*Escalation!$B$101,Actuals!DA42)</f>
        <v>-64.4412659551246</v>
      </c>
      <c r="DA132" s="14" t="n">
        <f aca="false">IF(ISBLANK(Actuals!DB42),-55*Escalation!$B$102,Actuals!DB42)</f>
        <v>-64.4412659551246</v>
      </c>
      <c r="DB132" s="14" t="n">
        <f aca="false">IF(ISBLANK(Actuals!DC42),-55*Escalation!$B$103,Actuals!DC42)</f>
        <v>-64.4412659551246</v>
      </c>
      <c r="DC132" s="14" t="n">
        <f aca="false">IF(ISBLANK(Actuals!DD42),-55*Escalation!$B$104,Actuals!DD42)</f>
        <v>-64.4412659551246</v>
      </c>
      <c r="DD132" s="14" t="n">
        <f aca="false">IF(ISBLANK(Actuals!DE42),-55*Escalation!$B$105,Actuals!DE42)</f>
        <v>-64.4412659551246</v>
      </c>
      <c r="DE132" s="14" t="n">
        <f aca="false">IF(ISBLANK(Actuals!DF42),-55*Escalation!$B$106,Actuals!DF42)</f>
        <v>-64.4412659551246</v>
      </c>
    </row>
    <row r="133" customFormat="false" ht="15" hidden="false" customHeight="true" outlineLevel="0" collapsed="false">
      <c r="A133" s="40" t="s">
        <v>82</v>
      </c>
      <c r="B133" s="41" t="n">
        <f aca="false">IF(ISBLANK(Actuals!C43),0,Actuals!C43)</f>
        <v>0</v>
      </c>
      <c r="C133" s="41" t="n">
        <f aca="false">IF(ISBLANK(Actuals!D43),0,Actuals!D43)</f>
        <v>0</v>
      </c>
      <c r="D133" s="41" t="n">
        <f aca="false">IF(ISBLANK(Actuals!E43),0,Actuals!E43)</f>
        <v>0</v>
      </c>
      <c r="E133" s="41" t="n">
        <f aca="false">IF(ISBLANK(Actuals!F43),0*Escalation!$B$2,Actuals!F43)</f>
        <v>-1036.49</v>
      </c>
      <c r="F133" s="41" t="n">
        <f aca="false">IF(ISBLANK(Actuals!G43),0*Escalation!$B$3,Actuals!G43)</f>
        <v>0</v>
      </c>
      <c r="G133" s="41" t="n">
        <f aca="false">IF(ISBLANK(Actuals!H43),0*Escalation!$B$4,Actuals!H43)</f>
        <v>-4308.58</v>
      </c>
      <c r="H133" s="41" t="n">
        <f aca="false">IF(ISBLANK(Actuals!I43),0*Escalation!$B$5,Actuals!I43)</f>
        <v>0</v>
      </c>
      <c r="I133" s="41" t="n">
        <f aca="false">IF(ISBLANK(Actuals!J43),0*Escalation!$B$6,Actuals!J43)</f>
        <v>0</v>
      </c>
      <c r="J133" s="41" t="n">
        <f aca="false">IF(ISBLANK(Actuals!K43),0*Escalation!$B$7,Actuals!K43)</f>
        <v>0</v>
      </c>
      <c r="K133" s="41" t="n">
        <f aca="false">IF(ISBLANK(Actuals!L43),0*Escalation!$B$8,Actuals!L43)</f>
        <v>0</v>
      </c>
      <c r="L133" s="41" t="n">
        <f aca="false">IF(ISBLANK(Actuals!M43),0*Escalation!$B$9,Actuals!M43)</f>
        <v>0</v>
      </c>
      <c r="M133" s="41" t="n">
        <f aca="false">IF(ISBLANK(Actuals!N43),0*Escalation!$B$10,Actuals!N43)</f>
        <v>0</v>
      </c>
      <c r="N133" s="41" t="n">
        <f aca="false">IF(ISBLANK(Actuals!O43),0*Escalation!$B$11,Actuals!O43)</f>
        <v>0</v>
      </c>
      <c r="O133" s="41" t="n">
        <f aca="false">IF(ISBLANK(Actuals!P43),0*Escalation!$B$12,Actuals!P43)</f>
        <v>0</v>
      </c>
      <c r="P133" s="41" t="n">
        <f aca="false">IF(ISBLANK(Actuals!Q43),0*Escalation!$B$13,Actuals!Q43)</f>
        <v>0</v>
      </c>
      <c r="Q133" s="41" t="n">
        <f aca="false">IF(ISBLANK(Actuals!R43),0*Escalation!$B$14,Actuals!R43)</f>
        <v>0</v>
      </c>
      <c r="R133" s="41" t="n">
        <f aca="false">IF(ISBLANK(Actuals!S43),0*Escalation!$B$15,Actuals!S43)</f>
        <v>0</v>
      </c>
      <c r="S133" s="41" t="n">
        <f aca="false">IF(ISBLANK(Actuals!T43),0*Escalation!$B$16,Actuals!T43)</f>
        <v>0</v>
      </c>
      <c r="T133" s="41" t="n">
        <f aca="false">IF(ISBLANK(Actuals!U43),0*Escalation!$B$17,Actuals!U43)</f>
        <v>0</v>
      </c>
      <c r="U133" s="41" t="n">
        <f aca="false">IF(ISBLANK(Actuals!V43),0*Escalation!$B$18,Actuals!V43)</f>
        <v>0</v>
      </c>
      <c r="V133" s="41" t="n">
        <f aca="false">IF(ISBLANK(Actuals!W43),0*Escalation!$B$19,Actuals!W43)</f>
        <v>0</v>
      </c>
      <c r="W133" s="41" t="n">
        <f aca="false">IF(ISBLANK(Actuals!X43),0*Escalation!$B$20,Actuals!X43)</f>
        <v>0</v>
      </c>
      <c r="X133" s="41" t="n">
        <f aca="false">IF(ISBLANK(Actuals!Y43),0*Escalation!$B$21,Actuals!Y43)</f>
        <v>0</v>
      </c>
      <c r="Y133" s="41" t="n">
        <f aca="false">IF(ISBLANK(Actuals!Z43),0*Escalation!$B$22,Actuals!Z43)</f>
        <v>0</v>
      </c>
      <c r="Z133" s="41" t="n">
        <f aca="false">IF(ISBLANK(Actuals!AA43),0*Escalation!$B$23,Actuals!AA43)</f>
        <v>0</v>
      </c>
      <c r="AA133" s="41" t="n">
        <f aca="false">IF(ISBLANK(Actuals!AB43),0*Escalation!$B$24,Actuals!AB43)</f>
        <v>0</v>
      </c>
      <c r="AB133" s="41" t="n">
        <f aca="false">IF(ISBLANK(Actuals!AC43),0*Escalation!$B$25,Actuals!AC43)</f>
        <v>0</v>
      </c>
      <c r="AC133" s="41" t="n">
        <f aca="false">IF(ISBLANK(Actuals!AD43),0*Escalation!$B$26,Actuals!AD43)</f>
        <v>0</v>
      </c>
      <c r="AD133" s="41" t="n">
        <f aca="false">IF(ISBLANK(Actuals!AE43),0*Escalation!$B$27,Actuals!AE43)</f>
        <v>0</v>
      </c>
      <c r="AE133" s="41" t="n">
        <f aca="false">IF(ISBLANK(Actuals!AF43),0*Escalation!$B$28,Actuals!AF43)</f>
        <v>0</v>
      </c>
      <c r="AF133" s="41" t="n">
        <f aca="false">IF(ISBLANK(Actuals!AG43),0*Escalation!$B$29,Actuals!AG43)</f>
        <v>0</v>
      </c>
      <c r="AG133" s="41" t="n">
        <f aca="false">IF(ISBLANK(Actuals!AH43),0*Escalation!$B$30,Actuals!AH43)</f>
        <v>0</v>
      </c>
      <c r="AH133" s="41" t="n">
        <f aca="false">IF(ISBLANK(Actuals!AI43),0*Escalation!$B$31,Actuals!AI43)</f>
        <v>0</v>
      </c>
      <c r="AI133" s="41" t="n">
        <f aca="false">IF(ISBLANK(Actuals!AJ43),0*Escalation!$B$32,Actuals!AJ43)</f>
        <v>0</v>
      </c>
      <c r="AJ133" s="41" t="n">
        <f aca="false">IF(ISBLANK(Actuals!AK43),0*Escalation!$B$33,Actuals!AK43)</f>
        <v>0</v>
      </c>
      <c r="AK133" s="41" t="n">
        <f aca="false">IF(ISBLANK(Actuals!AL43),0*Escalation!$B$34,Actuals!AL43)</f>
        <v>0</v>
      </c>
      <c r="AL133" s="41" t="n">
        <f aca="false">IF(ISBLANK(Actuals!AM43),0*Escalation!$B$35,Actuals!AM43)</f>
        <v>0</v>
      </c>
      <c r="AM133" s="41" t="n">
        <f aca="false">IF(ISBLANK(Actuals!AN43),0*Escalation!$B$36,Actuals!AN43)</f>
        <v>0</v>
      </c>
      <c r="AN133" s="41" t="n">
        <f aca="false">IF(ISBLANK(Actuals!AO43),0*Escalation!$B$37,Actuals!AO43)</f>
        <v>0</v>
      </c>
      <c r="AO133" s="41" t="n">
        <f aca="false">IF(ISBLANK(Actuals!AP43),0*Escalation!$B$38,Actuals!AP43)</f>
        <v>0</v>
      </c>
      <c r="AP133" s="41" t="n">
        <f aca="false">IF(ISBLANK(Actuals!AQ43),0*Escalation!$B$39,Actuals!AQ43)</f>
        <v>0</v>
      </c>
      <c r="AQ133" s="41" t="n">
        <f aca="false">IF(ISBLANK(Actuals!AR43),0*Escalation!$B$40,Actuals!AR43)</f>
        <v>0</v>
      </c>
      <c r="AR133" s="41" t="n">
        <f aca="false">IF(ISBLANK(Actuals!AS43),0*Escalation!$B$41,Actuals!AS43)</f>
        <v>0</v>
      </c>
      <c r="AS133" s="41" t="n">
        <f aca="false">IF(ISBLANK(Actuals!AT43),0*Escalation!$B$42,Actuals!AT43)</f>
        <v>0</v>
      </c>
      <c r="AT133" s="41" t="n">
        <f aca="false">IF(ISBLANK(Actuals!AU43),0*Escalation!$B$43,Actuals!AU43)</f>
        <v>0</v>
      </c>
      <c r="AU133" s="41" t="n">
        <f aca="false">IF(ISBLANK(Actuals!AV43),0*Escalation!$B$44,Actuals!AV43)</f>
        <v>0</v>
      </c>
      <c r="AV133" s="41" t="n">
        <f aca="false">IF(ISBLANK(Actuals!AW43),0*Escalation!$B$45,Actuals!AW43)</f>
        <v>0</v>
      </c>
      <c r="AW133" s="41" t="n">
        <f aca="false">IF(ISBLANK(Actuals!AX43),0*Escalation!$B$46,Actuals!AX43)</f>
        <v>0</v>
      </c>
      <c r="AX133" s="41" t="n">
        <f aca="false">IF(ISBLANK(Actuals!AY43),0*Escalation!$B$47,Actuals!AY43)</f>
        <v>0</v>
      </c>
      <c r="AY133" s="41" t="n">
        <f aca="false">IF(ISBLANK(Actuals!AZ43),0*Escalation!$B$48,Actuals!AZ43)</f>
        <v>0</v>
      </c>
      <c r="AZ133" s="41" t="n">
        <f aca="false">IF(ISBLANK(Actuals!BA43),0*Escalation!$B$49,Actuals!BA43)</f>
        <v>0</v>
      </c>
      <c r="BA133" s="41" t="n">
        <f aca="false">IF(ISBLANK(Actuals!BB43),0*Escalation!$B$50,Actuals!BB43)</f>
        <v>0</v>
      </c>
      <c r="BB133" s="41" t="n">
        <f aca="false">IF(ISBLANK(Actuals!BC43),0*Escalation!$B$51,Actuals!BC43)</f>
        <v>0</v>
      </c>
      <c r="BC133" s="41" t="n">
        <f aca="false">IF(ISBLANK(Actuals!BD43),0*Escalation!$B$52,Actuals!BD43)</f>
        <v>0</v>
      </c>
      <c r="BD133" s="41" t="n">
        <f aca="false">IF(ISBLANK(Actuals!BE43),0*Escalation!$B$53,Actuals!BE43)</f>
        <v>0</v>
      </c>
      <c r="BE133" s="41" t="n">
        <f aca="false">IF(ISBLANK(Actuals!BF43),0*Escalation!$B$54,Actuals!BF43)</f>
        <v>0</v>
      </c>
      <c r="BF133" s="41" t="n">
        <f aca="false">IF(ISBLANK(Actuals!BG43),0*Escalation!$B$55,Actuals!BG43)</f>
        <v>0</v>
      </c>
      <c r="BG133" s="41" t="n">
        <f aca="false">IF(ISBLANK(Actuals!BH43),0*Escalation!$B$56,Actuals!BH43)</f>
        <v>0</v>
      </c>
      <c r="BH133" s="41" t="n">
        <f aca="false">IF(ISBLANK(Actuals!BI43),0*Escalation!$B$57,Actuals!BI43)</f>
        <v>0</v>
      </c>
      <c r="BI133" s="41" t="n">
        <f aca="false">IF(ISBLANK(Actuals!BJ43),0*Escalation!$B$58,Actuals!BJ43)</f>
        <v>0</v>
      </c>
      <c r="BJ133" s="41" t="n">
        <f aca="false">IF(ISBLANK(Actuals!BK43),0*Escalation!$B$59,Actuals!BK43)</f>
        <v>0</v>
      </c>
      <c r="BK133" s="41" t="n">
        <f aca="false">IF(ISBLANK(Actuals!BL43),0*Escalation!$B$60,Actuals!BL43)</f>
        <v>0</v>
      </c>
      <c r="BL133" s="41" t="n">
        <f aca="false">IF(ISBLANK(Actuals!BM43),0*Escalation!$B$61,Actuals!BM43)</f>
        <v>0</v>
      </c>
      <c r="BM133" s="41" t="n">
        <f aca="false">IF(ISBLANK(Actuals!BN43),0*Escalation!$B$62,Actuals!BN43)</f>
        <v>0</v>
      </c>
      <c r="BN133" s="41" t="n">
        <f aca="false">IF(ISBLANK(Actuals!BO43),0*Escalation!$B$63,Actuals!BO43)</f>
        <v>0</v>
      </c>
      <c r="BO133" s="41" t="n">
        <f aca="false">IF(ISBLANK(Actuals!BP43),0*Escalation!$B$64,Actuals!BP43)</f>
        <v>0</v>
      </c>
      <c r="BP133" s="41" t="n">
        <f aca="false">IF(ISBLANK(Actuals!BQ43),0*Escalation!$B$65,Actuals!BQ43)</f>
        <v>0</v>
      </c>
      <c r="BQ133" s="41" t="n">
        <f aca="false">IF(ISBLANK(Actuals!BR43),0*Escalation!$B$66,Actuals!BR43)</f>
        <v>0</v>
      </c>
      <c r="BR133" s="41" t="n">
        <f aca="false">IF(ISBLANK(Actuals!BS43),0*Escalation!$B$67,Actuals!BS43)</f>
        <v>0</v>
      </c>
      <c r="BS133" s="41" t="n">
        <f aca="false">IF(ISBLANK(Actuals!BT43),0*Escalation!$B$68,Actuals!BT43)</f>
        <v>0</v>
      </c>
      <c r="BT133" s="41" t="n">
        <f aca="false">IF(ISBLANK(Actuals!BU43),0*Escalation!$B$69,Actuals!BU43)</f>
        <v>0</v>
      </c>
      <c r="BU133" s="41" t="n">
        <f aca="false">IF(ISBLANK(Actuals!BV43),0*Escalation!$B$70,Actuals!BV43)</f>
        <v>0</v>
      </c>
      <c r="BV133" s="41" t="n">
        <f aca="false">IF(ISBLANK(Actuals!BW43),0*Escalation!$B$71,Actuals!BW43)</f>
        <v>0</v>
      </c>
      <c r="BW133" s="41" t="n">
        <f aca="false">IF(ISBLANK(Actuals!BX43),0*Escalation!$B$72,Actuals!BX43)</f>
        <v>0</v>
      </c>
      <c r="BX133" s="41" t="n">
        <f aca="false">IF(ISBLANK(Actuals!BY43),0*Escalation!$B$73,Actuals!BY43)</f>
        <v>0</v>
      </c>
      <c r="BY133" s="41" t="n">
        <f aca="false">IF(ISBLANK(Actuals!BZ43),0*Escalation!$B$74,Actuals!BZ43)</f>
        <v>0</v>
      </c>
      <c r="BZ133" s="41" t="n">
        <f aca="false">IF(ISBLANK(Actuals!CA43),0*Escalation!$B$75,Actuals!CA43)</f>
        <v>0</v>
      </c>
      <c r="CA133" s="41" t="n">
        <f aca="false">IF(ISBLANK(Actuals!CB43),0*Escalation!$B$76,Actuals!CB43)</f>
        <v>0</v>
      </c>
      <c r="CB133" s="41" t="n">
        <f aca="false">IF(ISBLANK(Actuals!CC43),0*Escalation!$B$77,Actuals!CC43)</f>
        <v>0</v>
      </c>
      <c r="CC133" s="41" t="n">
        <f aca="false">IF(ISBLANK(Actuals!CD43),0*Escalation!$B$78,Actuals!CD43)</f>
        <v>0</v>
      </c>
      <c r="CD133" s="41" t="n">
        <f aca="false">IF(ISBLANK(Actuals!CE43),0*Escalation!$B$79,Actuals!CE43)</f>
        <v>0</v>
      </c>
      <c r="CE133" s="41" t="n">
        <f aca="false">IF(ISBLANK(Actuals!CF43),0*Escalation!$B$80,Actuals!CF43)</f>
        <v>0</v>
      </c>
      <c r="CF133" s="41" t="n">
        <f aca="false">IF(ISBLANK(Actuals!CG43),0*Escalation!$B$81,Actuals!CG43)</f>
        <v>0</v>
      </c>
      <c r="CG133" s="41" t="n">
        <f aca="false">IF(ISBLANK(Actuals!CH43),0*Escalation!$B$82,Actuals!CH43)</f>
        <v>0</v>
      </c>
      <c r="CH133" s="41" t="n">
        <f aca="false">IF(ISBLANK(Actuals!CI43),0*Escalation!$B$83,Actuals!CI43)</f>
        <v>0</v>
      </c>
      <c r="CI133" s="41" t="n">
        <f aca="false">IF(ISBLANK(Actuals!CJ43),0*Escalation!$B$84,Actuals!CJ43)</f>
        <v>0</v>
      </c>
      <c r="CJ133" s="41" t="n">
        <f aca="false">IF(ISBLANK(Actuals!CK43),0*Escalation!$B$85,Actuals!CK43)</f>
        <v>0</v>
      </c>
      <c r="CK133" s="41" t="n">
        <f aca="false">IF(ISBLANK(Actuals!CL43),0*Escalation!$B$86,Actuals!CL43)</f>
        <v>0</v>
      </c>
      <c r="CL133" s="41" t="n">
        <f aca="false">IF(ISBLANK(Actuals!CM43),0*Escalation!$B$87,Actuals!CM43)</f>
        <v>0</v>
      </c>
      <c r="CM133" s="41" t="n">
        <f aca="false">IF(ISBLANK(Actuals!CN43),0*Escalation!$B$88,Actuals!CN43)</f>
        <v>0</v>
      </c>
      <c r="CN133" s="41" t="n">
        <f aca="false">IF(ISBLANK(Actuals!CO43),0*Escalation!$B$89,Actuals!CO43)</f>
        <v>0</v>
      </c>
      <c r="CO133" s="41" t="n">
        <f aca="false">IF(ISBLANK(Actuals!CP43),0*Escalation!$B$90,Actuals!CP43)</f>
        <v>0</v>
      </c>
      <c r="CP133" s="41" t="n">
        <f aca="false">IF(ISBLANK(Actuals!CQ43),0*Escalation!$B$91,Actuals!CQ43)</f>
        <v>0</v>
      </c>
      <c r="CQ133" s="41" t="n">
        <f aca="false">IF(ISBLANK(Actuals!CR43),0*Escalation!$B$92,Actuals!CR43)</f>
        <v>0</v>
      </c>
      <c r="CR133" s="41" t="n">
        <f aca="false">IF(ISBLANK(Actuals!CS43),0*Escalation!$B$93,Actuals!CS43)</f>
        <v>0</v>
      </c>
      <c r="CS133" s="41" t="n">
        <f aca="false">IF(ISBLANK(Actuals!CT43),0*Escalation!$B$94,Actuals!CT43)</f>
        <v>0</v>
      </c>
      <c r="CT133" s="41" t="n">
        <f aca="false">IF(ISBLANK(Actuals!CU43),0*Escalation!$B$95,Actuals!CU43)</f>
        <v>0</v>
      </c>
      <c r="CU133" s="41" t="n">
        <f aca="false">IF(ISBLANK(Actuals!CV43),0*Escalation!$B$96,Actuals!CV43)</f>
        <v>0</v>
      </c>
      <c r="CV133" s="41" t="n">
        <f aca="false">IF(ISBLANK(Actuals!CW43),0*Escalation!$B$97,Actuals!CW43)</f>
        <v>0</v>
      </c>
      <c r="CW133" s="41" t="n">
        <f aca="false">IF(ISBLANK(Actuals!CX43),0*Escalation!$B$98,Actuals!CX43)</f>
        <v>0</v>
      </c>
      <c r="CX133" s="41" t="n">
        <f aca="false">IF(ISBLANK(Actuals!CY43),0*Escalation!$B$99,Actuals!CY43)</f>
        <v>0</v>
      </c>
      <c r="CY133" s="41" t="n">
        <f aca="false">IF(ISBLANK(Actuals!CZ43),0*Escalation!$B$100,Actuals!CZ43)</f>
        <v>0</v>
      </c>
      <c r="CZ133" s="41" t="n">
        <f aca="false">IF(ISBLANK(Actuals!DA43),0*Escalation!$B$101,Actuals!DA43)</f>
        <v>0</v>
      </c>
      <c r="DA133" s="41" t="n">
        <f aca="false">IF(ISBLANK(Actuals!DB43),0*Escalation!$B$102,Actuals!DB43)</f>
        <v>0</v>
      </c>
      <c r="DB133" s="41" t="n">
        <f aca="false">IF(ISBLANK(Actuals!DC43),0*Escalation!$B$103,Actuals!DC43)</f>
        <v>0</v>
      </c>
      <c r="DC133" s="41" t="n">
        <f aca="false">IF(ISBLANK(Actuals!DD43),0*Escalation!$B$104,Actuals!DD43)</f>
        <v>0</v>
      </c>
      <c r="DD133" s="41" t="n">
        <f aca="false">IF(ISBLANK(Actuals!DE43),0*Escalation!$B$105,Actuals!DE43)</f>
        <v>0</v>
      </c>
      <c r="DE133" s="41" t="n">
        <f aca="false">IF(ISBLANK(Actuals!DF43),0*Escalation!$B$106,Actuals!DF43)</f>
        <v>0</v>
      </c>
    </row>
    <row r="134" customFormat="false" ht="15" hidden="false" customHeight="true" outlineLevel="0" collapsed="false">
      <c r="A134" s="40" t="s">
        <v>83</v>
      </c>
      <c r="B134" s="41" t="n">
        <f aca="false">IF(ISBLANK(Actuals!C44),0,Actuals!C44)</f>
        <v>-550</v>
      </c>
      <c r="C134" s="41" t="n">
        <f aca="false">IF(ISBLANK(Actuals!D44),0,Actuals!D44)</f>
        <v>-550</v>
      </c>
      <c r="D134" s="41" t="n">
        <f aca="false">IF(ISBLANK(Actuals!E44),0,Actuals!E44)</f>
        <v>-550</v>
      </c>
      <c r="E134" s="41" t="n">
        <f aca="false">IF(ISBLANK(Actuals!F44),-550*Escalation!$B$2,Actuals!F44)</f>
        <v>-600</v>
      </c>
      <c r="F134" s="41" t="n">
        <f aca="false">IF(ISBLANK(Actuals!G44),-550*Escalation!$B$3,Actuals!G44)</f>
        <v>-650</v>
      </c>
      <c r="G134" s="41" t="n">
        <f aca="false">IF(ISBLANK(Actuals!H44),-550*Escalation!$B$4,Actuals!H44)</f>
        <v>-575</v>
      </c>
      <c r="H134" s="41" t="n">
        <f aca="false">IF(ISBLANK(Actuals!I44),-550*Escalation!$B$5,Actuals!I44)</f>
        <v>-550</v>
      </c>
      <c r="I134" s="41" t="n">
        <f aca="false">IF(ISBLANK(Actuals!J44),-550*Escalation!$B$6,Actuals!J44)</f>
        <v>-550</v>
      </c>
      <c r="J134" s="41" t="n">
        <f aca="false">IF(ISBLANK(Actuals!K44),-550*Escalation!$B$7,Actuals!K44)</f>
        <v>-550</v>
      </c>
      <c r="K134" s="41" t="n">
        <f aca="false">IF(ISBLANK(Actuals!L44),-550*Escalation!$B$8,Actuals!L44)</f>
        <v>-550</v>
      </c>
      <c r="L134" s="41" t="n">
        <f aca="false">IF(ISBLANK(Actuals!M44),-550*Escalation!$B$9,Actuals!M44)</f>
        <v>-550</v>
      </c>
      <c r="M134" s="41" t="n">
        <f aca="false">IF(ISBLANK(Actuals!N44),-550*Escalation!$B$10,Actuals!N44)</f>
        <v>-550</v>
      </c>
      <c r="N134" s="41" t="n">
        <f aca="false">IF(ISBLANK(Actuals!O44),-550*Escalation!$B$11,Actuals!O44)</f>
        <v>-550</v>
      </c>
      <c r="O134" s="41" t="n">
        <f aca="false">IF(ISBLANK(Actuals!P44),-550*Escalation!$B$12,Actuals!P44)</f>
        <v>-550</v>
      </c>
      <c r="P134" s="41" t="n">
        <f aca="false">IF(ISBLANK(Actuals!Q44),-550*Escalation!$B$13,Actuals!Q44)</f>
        <v>-550</v>
      </c>
      <c r="Q134" s="41" t="n">
        <f aca="false">IF(ISBLANK(Actuals!R44),-550*Escalation!$B$14,Actuals!R44)</f>
        <v>-561</v>
      </c>
      <c r="R134" s="41" t="n">
        <f aca="false">IF(ISBLANK(Actuals!S44),-550*Escalation!$B$15,Actuals!S44)</f>
        <v>-561</v>
      </c>
      <c r="S134" s="41" t="n">
        <f aca="false">IF(ISBLANK(Actuals!T44),-550*Escalation!$B$16,Actuals!T44)</f>
        <v>-561</v>
      </c>
      <c r="T134" s="41" t="n">
        <f aca="false">IF(ISBLANK(Actuals!U44),-550*Escalation!$B$17,Actuals!U44)</f>
        <v>-561</v>
      </c>
      <c r="U134" s="41" t="n">
        <f aca="false">IF(ISBLANK(Actuals!V44),-550*Escalation!$B$18,Actuals!V44)</f>
        <v>-561</v>
      </c>
      <c r="V134" s="41" t="n">
        <f aca="false">IF(ISBLANK(Actuals!W44),-550*Escalation!$B$19,Actuals!W44)</f>
        <v>-561</v>
      </c>
      <c r="W134" s="41" t="n">
        <f aca="false">IF(ISBLANK(Actuals!X44),-550*Escalation!$B$20,Actuals!X44)</f>
        <v>-561</v>
      </c>
      <c r="X134" s="41" t="n">
        <f aca="false">IF(ISBLANK(Actuals!Y44),-550*Escalation!$B$21,Actuals!Y44)</f>
        <v>-561</v>
      </c>
      <c r="Y134" s="41" t="n">
        <f aca="false">IF(ISBLANK(Actuals!Z44),-550*Escalation!$B$22,Actuals!Z44)</f>
        <v>-561</v>
      </c>
      <c r="Z134" s="41" t="n">
        <f aca="false">IF(ISBLANK(Actuals!AA44),-550*Escalation!$B$23,Actuals!AA44)</f>
        <v>-561</v>
      </c>
      <c r="AA134" s="41" t="n">
        <f aca="false">IF(ISBLANK(Actuals!AB44),-550*Escalation!$B$24,Actuals!AB44)</f>
        <v>-561</v>
      </c>
      <c r="AB134" s="41" t="n">
        <f aca="false">IF(ISBLANK(Actuals!AC44),-550*Escalation!$B$25,Actuals!AC44)</f>
        <v>-561</v>
      </c>
      <c r="AC134" s="41" t="n">
        <f aca="false">IF(ISBLANK(Actuals!AD44),-550*Escalation!$B$26,Actuals!AD44)</f>
        <v>-572.22</v>
      </c>
      <c r="AD134" s="41" t="n">
        <f aca="false">IF(ISBLANK(Actuals!AE44),-550*Escalation!$B$27,Actuals!AE44)</f>
        <v>-572.22</v>
      </c>
      <c r="AE134" s="41" t="n">
        <f aca="false">IF(ISBLANK(Actuals!AF44),-550*Escalation!$B$28,Actuals!AF44)</f>
        <v>-572.22</v>
      </c>
      <c r="AF134" s="41" t="n">
        <f aca="false">IF(ISBLANK(Actuals!AG44),-550*Escalation!$B$29,Actuals!AG44)</f>
        <v>-572.22</v>
      </c>
      <c r="AG134" s="41" t="n">
        <f aca="false">IF(ISBLANK(Actuals!AH44),-550*Escalation!$B$30,Actuals!AH44)</f>
        <v>-572.22</v>
      </c>
      <c r="AH134" s="41" t="n">
        <f aca="false">IF(ISBLANK(Actuals!AI44),-550*Escalation!$B$31,Actuals!AI44)</f>
        <v>-572.22</v>
      </c>
      <c r="AI134" s="41" t="n">
        <f aca="false">IF(ISBLANK(Actuals!AJ44),-550*Escalation!$B$32,Actuals!AJ44)</f>
        <v>-572.22</v>
      </c>
      <c r="AJ134" s="41" t="n">
        <f aca="false">IF(ISBLANK(Actuals!AK44),-550*Escalation!$B$33,Actuals!AK44)</f>
        <v>-572.22</v>
      </c>
      <c r="AK134" s="41" t="n">
        <f aca="false">IF(ISBLANK(Actuals!AL44),-550*Escalation!$B$34,Actuals!AL44)</f>
        <v>-572.22</v>
      </c>
      <c r="AL134" s="41" t="n">
        <f aca="false">IF(ISBLANK(Actuals!AM44),-550*Escalation!$B$35,Actuals!AM44)</f>
        <v>-572.22</v>
      </c>
      <c r="AM134" s="41" t="n">
        <f aca="false">IF(ISBLANK(Actuals!AN44),-550*Escalation!$B$36,Actuals!AN44)</f>
        <v>-572.22</v>
      </c>
      <c r="AN134" s="41" t="n">
        <f aca="false">IF(ISBLANK(Actuals!AO44),-550*Escalation!$B$37,Actuals!AO44)</f>
        <v>-572.22</v>
      </c>
      <c r="AO134" s="41" t="n">
        <f aca="false">IF(ISBLANK(Actuals!AP44),-550*Escalation!$B$38,Actuals!AP44)</f>
        <v>-583.6644</v>
      </c>
      <c r="AP134" s="41" t="n">
        <f aca="false">IF(ISBLANK(Actuals!AQ44),-550*Escalation!$B$39,Actuals!AQ44)</f>
        <v>-583.6644</v>
      </c>
      <c r="AQ134" s="41" t="n">
        <f aca="false">IF(ISBLANK(Actuals!AR44),-550*Escalation!$B$40,Actuals!AR44)</f>
        <v>-583.6644</v>
      </c>
      <c r="AR134" s="41" t="n">
        <f aca="false">IF(ISBLANK(Actuals!AS44),-550*Escalation!$B$41,Actuals!AS44)</f>
        <v>-583.6644</v>
      </c>
      <c r="AS134" s="41" t="n">
        <f aca="false">IF(ISBLANK(Actuals!AT44),-550*Escalation!$B$42,Actuals!AT44)</f>
        <v>-583.6644</v>
      </c>
      <c r="AT134" s="41" t="n">
        <f aca="false">IF(ISBLANK(Actuals!AU44),-550*Escalation!$B$43,Actuals!AU44)</f>
        <v>-583.6644</v>
      </c>
      <c r="AU134" s="41" t="n">
        <f aca="false">IF(ISBLANK(Actuals!AV44),-550*Escalation!$B$44,Actuals!AV44)</f>
        <v>-583.6644</v>
      </c>
      <c r="AV134" s="41" t="n">
        <f aca="false">IF(ISBLANK(Actuals!AW44),-550*Escalation!$B$45,Actuals!AW44)</f>
        <v>-583.6644</v>
      </c>
      <c r="AW134" s="41" t="n">
        <f aca="false">IF(ISBLANK(Actuals!AX44),-550*Escalation!$B$46,Actuals!AX44)</f>
        <v>-583.6644</v>
      </c>
      <c r="AX134" s="41" t="n">
        <f aca="false">IF(ISBLANK(Actuals!AY44),-550*Escalation!$B$47,Actuals!AY44)</f>
        <v>-583.6644</v>
      </c>
      <c r="AY134" s="41" t="n">
        <f aca="false">IF(ISBLANK(Actuals!AZ44),-550*Escalation!$B$48,Actuals!AZ44)</f>
        <v>-583.6644</v>
      </c>
      <c r="AZ134" s="41" t="n">
        <f aca="false">IF(ISBLANK(Actuals!BA44),-550*Escalation!$B$49,Actuals!BA44)</f>
        <v>-583.6644</v>
      </c>
      <c r="BA134" s="41" t="n">
        <f aca="false">IF(ISBLANK(Actuals!BB44),-550*Escalation!$B$50,Actuals!BB44)</f>
        <v>-595.337688</v>
      </c>
      <c r="BB134" s="41" t="n">
        <f aca="false">IF(ISBLANK(Actuals!BC44),-550*Escalation!$B$51,Actuals!BC44)</f>
        <v>-595.337688</v>
      </c>
      <c r="BC134" s="41" t="n">
        <f aca="false">IF(ISBLANK(Actuals!BD44),-550*Escalation!$B$52,Actuals!BD44)</f>
        <v>-595.337688</v>
      </c>
      <c r="BD134" s="41" t="n">
        <f aca="false">IF(ISBLANK(Actuals!BE44),-550*Escalation!$B$53,Actuals!BE44)</f>
        <v>-595.337688</v>
      </c>
      <c r="BE134" s="41" t="n">
        <f aca="false">IF(ISBLANK(Actuals!BF44),-550*Escalation!$B$54,Actuals!BF44)</f>
        <v>-595.337688</v>
      </c>
      <c r="BF134" s="41" t="n">
        <f aca="false">IF(ISBLANK(Actuals!BG44),-550*Escalation!$B$55,Actuals!BG44)</f>
        <v>-595.337688</v>
      </c>
      <c r="BG134" s="41" t="n">
        <f aca="false">IF(ISBLANK(Actuals!BH44),-550*Escalation!$B$56,Actuals!BH44)</f>
        <v>-595.337688</v>
      </c>
      <c r="BH134" s="41" t="n">
        <f aca="false">IF(ISBLANK(Actuals!BI44),-550*Escalation!$B$57,Actuals!BI44)</f>
        <v>-595.337688</v>
      </c>
      <c r="BI134" s="41" t="n">
        <f aca="false">IF(ISBLANK(Actuals!BJ44),-550*Escalation!$B$58,Actuals!BJ44)</f>
        <v>-595.337688</v>
      </c>
      <c r="BJ134" s="41" t="n">
        <f aca="false">IF(ISBLANK(Actuals!BK44),-550*Escalation!$B$59,Actuals!BK44)</f>
        <v>-595.337688</v>
      </c>
      <c r="BK134" s="41" t="n">
        <f aca="false">IF(ISBLANK(Actuals!BL44),-550*Escalation!$B$60,Actuals!BL44)</f>
        <v>-595.337688</v>
      </c>
      <c r="BL134" s="41" t="n">
        <f aca="false">IF(ISBLANK(Actuals!BM44),-550*Escalation!$B$61,Actuals!BM44)</f>
        <v>-595.337688</v>
      </c>
      <c r="BM134" s="41" t="n">
        <f aca="false">IF(ISBLANK(Actuals!BN44),-550*Escalation!$B$62,Actuals!BN44)</f>
        <v>-607.24444176</v>
      </c>
      <c r="BN134" s="41" t="n">
        <f aca="false">IF(ISBLANK(Actuals!BO44),-550*Escalation!$B$63,Actuals!BO44)</f>
        <v>-607.24444176</v>
      </c>
      <c r="BO134" s="41" t="n">
        <f aca="false">IF(ISBLANK(Actuals!BP44),-550*Escalation!$B$64,Actuals!BP44)</f>
        <v>-607.24444176</v>
      </c>
      <c r="BP134" s="41" t="n">
        <f aca="false">IF(ISBLANK(Actuals!BQ44),-550*Escalation!$B$65,Actuals!BQ44)</f>
        <v>-607.24444176</v>
      </c>
      <c r="BQ134" s="41" t="n">
        <f aca="false">IF(ISBLANK(Actuals!BR44),-550*Escalation!$B$66,Actuals!BR44)</f>
        <v>-607.24444176</v>
      </c>
      <c r="BR134" s="41" t="n">
        <f aca="false">IF(ISBLANK(Actuals!BS44),-550*Escalation!$B$67,Actuals!BS44)</f>
        <v>-607.24444176</v>
      </c>
      <c r="BS134" s="41" t="n">
        <f aca="false">IF(ISBLANK(Actuals!BT44),-550*Escalation!$B$68,Actuals!BT44)</f>
        <v>-607.24444176</v>
      </c>
      <c r="BT134" s="41" t="n">
        <f aca="false">IF(ISBLANK(Actuals!BU44),-550*Escalation!$B$69,Actuals!BU44)</f>
        <v>-607.24444176</v>
      </c>
      <c r="BU134" s="41" t="n">
        <f aca="false">IF(ISBLANK(Actuals!BV44),-550*Escalation!$B$70,Actuals!BV44)</f>
        <v>-607.24444176</v>
      </c>
      <c r="BV134" s="41" t="n">
        <f aca="false">IF(ISBLANK(Actuals!BW44),-550*Escalation!$B$71,Actuals!BW44)</f>
        <v>-607.24444176</v>
      </c>
      <c r="BW134" s="41" t="n">
        <f aca="false">IF(ISBLANK(Actuals!BX44),-550*Escalation!$B$72,Actuals!BX44)</f>
        <v>-607.24444176</v>
      </c>
      <c r="BX134" s="41" t="n">
        <f aca="false">IF(ISBLANK(Actuals!BY44),-550*Escalation!$B$73,Actuals!BY44)</f>
        <v>-607.24444176</v>
      </c>
      <c r="BY134" s="41" t="n">
        <f aca="false">IF(ISBLANK(Actuals!BZ44),-550*Escalation!$B$74,Actuals!BZ44)</f>
        <v>-619.3893305952</v>
      </c>
      <c r="BZ134" s="41" t="n">
        <f aca="false">IF(ISBLANK(Actuals!CA44),-550*Escalation!$B$75,Actuals!CA44)</f>
        <v>-619.3893305952</v>
      </c>
      <c r="CA134" s="41" t="n">
        <f aca="false">IF(ISBLANK(Actuals!CB44),-550*Escalation!$B$76,Actuals!CB44)</f>
        <v>-619.3893305952</v>
      </c>
      <c r="CB134" s="41" t="n">
        <f aca="false">IF(ISBLANK(Actuals!CC44),-550*Escalation!$B$77,Actuals!CC44)</f>
        <v>-619.3893305952</v>
      </c>
      <c r="CC134" s="41" t="n">
        <f aca="false">IF(ISBLANK(Actuals!CD44),-550*Escalation!$B$78,Actuals!CD44)</f>
        <v>-619.3893305952</v>
      </c>
      <c r="CD134" s="41" t="n">
        <f aca="false">IF(ISBLANK(Actuals!CE44),-550*Escalation!$B$79,Actuals!CE44)</f>
        <v>-619.3893305952</v>
      </c>
      <c r="CE134" s="41" t="n">
        <f aca="false">IF(ISBLANK(Actuals!CF44),-550*Escalation!$B$80,Actuals!CF44)</f>
        <v>-619.3893305952</v>
      </c>
      <c r="CF134" s="41" t="n">
        <f aca="false">IF(ISBLANK(Actuals!CG44),-550*Escalation!$B$81,Actuals!CG44)</f>
        <v>-619.3893305952</v>
      </c>
      <c r="CG134" s="41" t="n">
        <f aca="false">IF(ISBLANK(Actuals!CH44),-550*Escalation!$B$82,Actuals!CH44)</f>
        <v>-619.3893305952</v>
      </c>
      <c r="CH134" s="41" t="n">
        <f aca="false">IF(ISBLANK(Actuals!CI44),-550*Escalation!$B$83,Actuals!CI44)</f>
        <v>-619.3893305952</v>
      </c>
      <c r="CI134" s="41" t="n">
        <f aca="false">IF(ISBLANK(Actuals!CJ44),-550*Escalation!$B$84,Actuals!CJ44)</f>
        <v>-619.3893305952</v>
      </c>
      <c r="CJ134" s="41" t="n">
        <f aca="false">IF(ISBLANK(Actuals!CK44),-550*Escalation!$B$85,Actuals!CK44)</f>
        <v>-619.3893305952</v>
      </c>
      <c r="CK134" s="41" t="n">
        <f aca="false">IF(ISBLANK(Actuals!CL44),-550*Escalation!$B$86,Actuals!CL44)</f>
        <v>-631.777117207104</v>
      </c>
      <c r="CL134" s="41" t="n">
        <f aca="false">IF(ISBLANK(Actuals!CM44),-550*Escalation!$B$87,Actuals!CM44)</f>
        <v>-631.777117207104</v>
      </c>
      <c r="CM134" s="41" t="n">
        <f aca="false">IF(ISBLANK(Actuals!CN44),-550*Escalation!$B$88,Actuals!CN44)</f>
        <v>-631.777117207104</v>
      </c>
      <c r="CN134" s="41" t="n">
        <f aca="false">IF(ISBLANK(Actuals!CO44),-550*Escalation!$B$89,Actuals!CO44)</f>
        <v>-631.777117207104</v>
      </c>
      <c r="CO134" s="41" t="n">
        <f aca="false">IF(ISBLANK(Actuals!CP44),-550*Escalation!$B$90,Actuals!CP44)</f>
        <v>-631.777117207104</v>
      </c>
      <c r="CP134" s="41" t="n">
        <f aca="false">IF(ISBLANK(Actuals!CQ44),-550*Escalation!$B$91,Actuals!CQ44)</f>
        <v>-631.777117207104</v>
      </c>
      <c r="CQ134" s="41" t="n">
        <f aca="false">IF(ISBLANK(Actuals!CR44),-550*Escalation!$B$92,Actuals!CR44)</f>
        <v>-631.777117207104</v>
      </c>
      <c r="CR134" s="41" t="n">
        <f aca="false">IF(ISBLANK(Actuals!CS44),-550*Escalation!$B$93,Actuals!CS44)</f>
        <v>-631.777117207104</v>
      </c>
      <c r="CS134" s="41" t="n">
        <f aca="false">IF(ISBLANK(Actuals!CT44),-550*Escalation!$B$94,Actuals!CT44)</f>
        <v>-631.777117207104</v>
      </c>
      <c r="CT134" s="41" t="n">
        <f aca="false">IF(ISBLANK(Actuals!CU44),-550*Escalation!$B$95,Actuals!CU44)</f>
        <v>-631.777117207104</v>
      </c>
      <c r="CU134" s="41" t="n">
        <f aca="false">IF(ISBLANK(Actuals!CV44),-550*Escalation!$B$96,Actuals!CV44)</f>
        <v>-631.777117207104</v>
      </c>
      <c r="CV134" s="41" t="n">
        <f aca="false">IF(ISBLANK(Actuals!CW44),-550*Escalation!$B$97,Actuals!CW44)</f>
        <v>-631.777117207104</v>
      </c>
      <c r="CW134" s="41" t="n">
        <f aca="false">IF(ISBLANK(Actuals!CX44),-550*Escalation!$B$98,Actuals!CX44)</f>
        <v>-644.412659551246</v>
      </c>
      <c r="CX134" s="41" t="n">
        <f aca="false">IF(ISBLANK(Actuals!CY44),-550*Escalation!$B$99,Actuals!CY44)</f>
        <v>-644.412659551246</v>
      </c>
      <c r="CY134" s="41" t="n">
        <f aca="false">IF(ISBLANK(Actuals!CZ44),-550*Escalation!$B$100,Actuals!CZ44)</f>
        <v>-644.412659551246</v>
      </c>
      <c r="CZ134" s="41" t="n">
        <f aca="false">IF(ISBLANK(Actuals!DA44),-550*Escalation!$B$101,Actuals!DA44)</f>
        <v>-644.412659551246</v>
      </c>
      <c r="DA134" s="41" t="n">
        <f aca="false">IF(ISBLANK(Actuals!DB44),-550*Escalation!$B$102,Actuals!DB44)</f>
        <v>-644.412659551246</v>
      </c>
      <c r="DB134" s="41" t="n">
        <f aca="false">IF(ISBLANK(Actuals!DC44),-550*Escalation!$B$103,Actuals!DC44)</f>
        <v>-644.412659551246</v>
      </c>
      <c r="DC134" s="41" t="n">
        <f aca="false">IF(ISBLANK(Actuals!DD44),-550*Escalation!$B$104,Actuals!DD44)</f>
        <v>-644.412659551246</v>
      </c>
      <c r="DD134" s="41" t="n">
        <f aca="false">IF(ISBLANK(Actuals!DE44),-550*Escalation!$B$105,Actuals!DE44)</f>
        <v>-644.412659551246</v>
      </c>
      <c r="DE134" s="41" t="n">
        <f aca="false">IF(ISBLANK(Actuals!DF44),-550*Escalation!$B$106,Actuals!DF44)</f>
        <v>-644.412659551246</v>
      </c>
    </row>
    <row r="135" customFormat="false" ht="15" hidden="false" customHeight="true" outlineLevel="0" collapsed="false">
      <c r="A135" s="40" t="s">
        <v>84</v>
      </c>
      <c r="B135" s="41" t="n">
        <f aca="false">IF(ISBLANK(Actuals!C45),0,Actuals!C45)</f>
        <v>-19223.75</v>
      </c>
      <c r="C135" s="41" t="n">
        <f aca="false">IF(ISBLANK(Actuals!D45),0,Actuals!D45)</f>
        <v>-13381.97</v>
      </c>
      <c r="D135" s="41" t="n">
        <f aca="false">IF(ISBLANK(Actuals!E45),0,Actuals!E45)</f>
        <v>-20308.69</v>
      </c>
      <c r="E135" s="41" t="n">
        <f aca="false">IF(ISBLANK(Actuals!F45),-17638.14*Escalation!$B$2,Actuals!F45)</f>
        <v>-16948.76</v>
      </c>
      <c r="F135" s="41" t="n">
        <f aca="false">IF(ISBLANK(Actuals!G45),-17638.14*Escalation!$B$3,Actuals!G45)</f>
        <v>-29716.98</v>
      </c>
      <c r="G135" s="41" t="n">
        <f aca="false">IF(ISBLANK(Actuals!H45),-17638.14*Escalation!$B$4,Actuals!H45)</f>
        <v>-11335.64</v>
      </c>
      <c r="H135" s="41" t="n">
        <f aca="false">IF(ISBLANK(Actuals!I45),-17638.14*Escalation!$B$5,Actuals!I45)</f>
        <v>-17638.14</v>
      </c>
      <c r="I135" s="41" t="n">
        <f aca="false">IF(ISBLANK(Actuals!J45),-17638.14*Escalation!$B$6,Actuals!J45)</f>
        <v>-17638.14</v>
      </c>
      <c r="J135" s="41" t="n">
        <f aca="false">IF(ISBLANK(Actuals!K45),-17638.14*Escalation!$B$7,Actuals!K45)</f>
        <v>-17638.14</v>
      </c>
      <c r="K135" s="41" t="n">
        <f aca="false">IF(ISBLANK(Actuals!L45),-17638.14*Escalation!$B$8,Actuals!L45)</f>
        <v>-17638.14</v>
      </c>
      <c r="L135" s="41" t="n">
        <f aca="false">IF(ISBLANK(Actuals!M45),-17638.14*Escalation!$B$9,Actuals!M45)</f>
        <v>-17638.14</v>
      </c>
      <c r="M135" s="41" t="n">
        <f aca="false">IF(ISBLANK(Actuals!N45),-17638.14*Escalation!$B$10,Actuals!N45)</f>
        <v>-17638.14</v>
      </c>
      <c r="N135" s="41" t="n">
        <f aca="false">IF(ISBLANK(Actuals!O45),-17638.14*Escalation!$B$11,Actuals!O45)</f>
        <v>-17638.14</v>
      </c>
      <c r="O135" s="41" t="n">
        <f aca="false">IF(ISBLANK(Actuals!P45),-17638.14*Escalation!$B$12,Actuals!P45)</f>
        <v>-17638.14</v>
      </c>
      <c r="P135" s="41" t="n">
        <f aca="false">IF(ISBLANK(Actuals!Q45),-17638.14*Escalation!$B$13,Actuals!Q45)</f>
        <v>-17638.14</v>
      </c>
      <c r="Q135" s="41" t="n">
        <f aca="false">IF(ISBLANK(Actuals!R45),-17638.14*Escalation!$B$14,Actuals!R45)</f>
        <v>-17990.9028</v>
      </c>
      <c r="R135" s="41" t="n">
        <f aca="false">IF(ISBLANK(Actuals!S45),-17638.14*Escalation!$B$15,Actuals!S45)</f>
        <v>-17990.9028</v>
      </c>
      <c r="S135" s="41" t="n">
        <f aca="false">IF(ISBLANK(Actuals!T45),-17638.14*Escalation!$B$16,Actuals!T45)</f>
        <v>-17990.9028</v>
      </c>
      <c r="T135" s="41" t="n">
        <f aca="false">IF(ISBLANK(Actuals!U45),-17638.14*Escalation!$B$17,Actuals!U45)</f>
        <v>-17990.9028</v>
      </c>
      <c r="U135" s="41" t="n">
        <f aca="false">IF(ISBLANK(Actuals!V45),-17638.14*Escalation!$B$18,Actuals!V45)</f>
        <v>-17990.9028</v>
      </c>
      <c r="V135" s="41" t="n">
        <f aca="false">IF(ISBLANK(Actuals!W45),-17638.14*Escalation!$B$19,Actuals!W45)</f>
        <v>-17990.9028</v>
      </c>
      <c r="W135" s="41" t="n">
        <f aca="false">IF(ISBLANK(Actuals!X45),-17638.14*Escalation!$B$20,Actuals!X45)</f>
        <v>-17990.9028</v>
      </c>
      <c r="X135" s="41" t="n">
        <f aca="false">IF(ISBLANK(Actuals!Y45),-17638.14*Escalation!$B$21,Actuals!Y45)</f>
        <v>-17990.9028</v>
      </c>
      <c r="Y135" s="41" t="n">
        <f aca="false">IF(ISBLANK(Actuals!Z45),-17638.14*Escalation!$B$22,Actuals!Z45)</f>
        <v>-17990.9028</v>
      </c>
      <c r="Z135" s="41" t="n">
        <f aca="false">IF(ISBLANK(Actuals!AA45),-17638.14*Escalation!$B$23,Actuals!AA45)</f>
        <v>-17990.9028</v>
      </c>
      <c r="AA135" s="41" t="n">
        <f aca="false">IF(ISBLANK(Actuals!AB45),-17638.14*Escalation!$B$24,Actuals!AB45)</f>
        <v>-17990.9028</v>
      </c>
      <c r="AB135" s="41" t="n">
        <f aca="false">IF(ISBLANK(Actuals!AC45),-17638.14*Escalation!$B$25,Actuals!AC45)</f>
        <v>-17990.9028</v>
      </c>
      <c r="AC135" s="41" t="n">
        <f aca="false">IF(ISBLANK(Actuals!AD45),-17638.14*Escalation!$B$26,Actuals!AD45)</f>
        <v>-18350.720856</v>
      </c>
      <c r="AD135" s="41" t="n">
        <f aca="false">IF(ISBLANK(Actuals!AE45),-17638.14*Escalation!$B$27,Actuals!AE45)</f>
        <v>-18350.720856</v>
      </c>
      <c r="AE135" s="41" t="n">
        <f aca="false">IF(ISBLANK(Actuals!AF45),-17638.14*Escalation!$B$28,Actuals!AF45)</f>
        <v>-18350.720856</v>
      </c>
      <c r="AF135" s="41" t="n">
        <f aca="false">IF(ISBLANK(Actuals!AG45),-17638.14*Escalation!$B$29,Actuals!AG45)</f>
        <v>-18350.720856</v>
      </c>
      <c r="AG135" s="41" t="n">
        <f aca="false">IF(ISBLANK(Actuals!AH45),-17638.14*Escalation!$B$30,Actuals!AH45)</f>
        <v>-18350.720856</v>
      </c>
      <c r="AH135" s="41" t="n">
        <f aca="false">IF(ISBLANK(Actuals!AI45),-17638.14*Escalation!$B$31,Actuals!AI45)</f>
        <v>-18350.720856</v>
      </c>
      <c r="AI135" s="41" t="n">
        <f aca="false">IF(ISBLANK(Actuals!AJ45),-17638.14*Escalation!$B$32,Actuals!AJ45)</f>
        <v>-18350.720856</v>
      </c>
      <c r="AJ135" s="41" t="n">
        <f aca="false">IF(ISBLANK(Actuals!AK45),-17638.14*Escalation!$B$33,Actuals!AK45)</f>
        <v>-18350.720856</v>
      </c>
      <c r="AK135" s="41" t="n">
        <f aca="false">IF(ISBLANK(Actuals!AL45),-17638.14*Escalation!$B$34,Actuals!AL45)</f>
        <v>-18350.720856</v>
      </c>
      <c r="AL135" s="41" t="n">
        <f aca="false">IF(ISBLANK(Actuals!AM45),-17638.14*Escalation!$B$35,Actuals!AM45)</f>
        <v>-18350.720856</v>
      </c>
      <c r="AM135" s="41" t="n">
        <f aca="false">IF(ISBLANK(Actuals!AN45),-17638.14*Escalation!$B$36,Actuals!AN45)</f>
        <v>-18350.720856</v>
      </c>
      <c r="AN135" s="41" t="n">
        <f aca="false">IF(ISBLANK(Actuals!AO45),-17638.14*Escalation!$B$37,Actuals!AO45)</f>
        <v>-18350.720856</v>
      </c>
      <c r="AO135" s="41" t="n">
        <f aca="false">IF(ISBLANK(Actuals!AP45),-17638.14*Escalation!$B$38,Actuals!AP45)</f>
        <v>-18717.73527312</v>
      </c>
      <c r="AP135" s="41" t="n">
        <f aca="false">IF(ISBLANK(Actuals!AQ45),-17638.14*Escalation!$B$39,Actuals!AQ45)</f>
        <v>-18717.73527312</v>
      </c>
      <c r="AQ135" s="41" t="n">
        <f aca="false">IF(ISBLANK(Actuals!AR45),-17638.14*Escalation!$B$40,Actuals!AR45)</f>
        <v>-18717.73527312</v>
      </c>
      <c r="AR135" s="41" t="n">
        <f aca="false">IF(ISBLANK(Actuals!AS45),-17638.14*Escalation!$B$41,Actuals!AS45)</f>
        <v>-18717.73527312</v>
      </c>
      <c r="AS135" s="41" t="n">
        <f aca="false">IF(ISBLANK(Actuals!AT45),-17638.14*Escalation!$B$42,Actuals!AT45)</f>
        <v>-18717.73527312</v>
      </c>
      <c r="AT135" s="41" t="n">
        <f aca="false">IF(ISBLANK(Actuals!AU45),-17638.14*Escalation!$B$43,Actuals!AU45)</f>
        <v>-18717.73527312</v>
      </c>
      <c r="AU135" s="41" t="n">
        <f aca="false">IF(ISBLANK(Actuals!AV45),-17638.14*Escalation!$B$44,Actuals!AV45)</f>
        <v>-18717.73527312</v>
      </c>
      <c r="AV135" s="41" t="n">
        <f aca="false">IF(ISBLANK(Actuals!AW45),-17638.14*Escalation!$B$45,Actuals!AW45)</f>
        <v>-18717.73527312</v>
      </c>
      <c r="AW135" s="41" t="n">
        <f aca="false">IF(ISBLANK(Actuals!AX45),-17638.14*Escalation!$B$46,Actuals!AX45)</f>
        <v>-18717.73527312</v>
      </c>
      <c r="AX135" s="41" t="n">
        <f aca="false">IF(ISBLANK(Actuals!AY45),-17638.14*Escalation!$B$47,Actuals!AY45)</f>
        <v>-18717.73527312</v>
      </c>
      <c r="AY135" s="41" t="n">
        <f aca="false">IF(ISBLANK(Actuals!AZ45),-17638.14*Escalation!$B$48,Actuals!AZ45)</f>
        <v>-18717.73527312</v>
      </c>
      <c r="AZ135" s="41" t="n">
        <f aca="false">IF(ISBLANK(Actuals!BA45),-17638.14*Escalation!$B$49,Actuals!BA45)</f>
        <v>-18717.73527312</v>
      </c>
      <c r="BA135" s="41" t="n">
        <f aca="false">IF(ISBLANK(Actuals!BB45),-17638.14*Escalation!$B$50,Actuals!BB45)</f>
        <v>-19092.0899785824</v>
      </c>
      <c r="BB135" s="41" t="n">
        <f aca="false">IF(ISBLANK(Actuals!BC45),-17638.14*Escalation!$B$51,Actuals!BC45)</f>
        <v>-19092.0899785824</v>
      </c>
      <c r="BC135" s="41" t="n">
        <f aca="false">IF(ISBLANK(Actuals!BD45),-17638.14*Escalation!$B$52,Actuals!BD45)</f>
        <v>-19092.0899785824</v>
      </c>
      <c r="BD135" s="41" t="n">
        <f aca="false">IF(ISBLANK(Actuals!BE45),-17638.14*Escalation!$B$53,Actuals!BE45)</f>
        <v>-19092.0899785824</v>
      </c>
      <c r="BE135" s="41" t="n">
        <f aca="false">IF(ISBLANK(Actuals!BF45),-17638.14*Escalation!$B$54,Actuals!BF45)</f>
        <v>-19092.0899785824</v>
      </c>
      <c r="BF135" s="41" t="n">
        <f aca="false">IF(ISBLANK(Actuals!BG45),-17638.14*Escalation!$B$55,Actuals!BG45)</f>
        <v>-19092.0899785824</v>
      </c>
      <c r="BG135" s="41" t="n">
        <f aca="false">IF(ISBLANK(Actuals!BH45),-17638.14*Escalation!$B$56,Actuals!BH45)</f>
        <v>-19092.0899785824</v>
      </c>
      <c r="BH135" s="41" t="n">
        <f aca="false">IF(ISBLANK(Actuals!BI45),-17638.14*Escalation!$B$57,Actuals!BI45)</f>
        <v>-19092.0899785824</v>
      </c>
      <c r="BI135" s="41" t="n">
        <f aca="false">IF(ISBLANK(Actuals!BJ45),-17638.14*Escalation!$B$58,Actuals!BJ45)</f>
        <v>-19092.0899785824</v>
      </c>
      <c r="BJ135" s="41" t="n">
        <f aca="false">IF(ISBLANK(Actuals!BK45),-17638.14*Escalation!$B$59,Actuals!BK45)</f>
        <v>-19092.0899785824</v>
      </c>
      <c r="BK135" s="41" t="n">
        <f aca="false">IF(ISBLANK(Actuals!BL45),-17638.14*Escalation!$B$60,Actuals!BL45)</f>
        <v>-19092.0899785824</v>
      </c>
      <c r="BL135" s="41" t="n">
        <f aca="false">IF(ISBLANK(Actuals!BM45),-17638.14*Escalation!$B$61,Actuals!BM45)</f>
        <v>-19092.0899785824</v>
      </c>
      <c r="BM135" s="41" t="n">
        <f aca="false">IF(ISBLANK(Actuals!BN45),-17638.14*Escalation!$B$62,Actuals!BN45)</f>
        <v>-19473.9317781541</v>
      </c>
      <c r="BN135" s="41" t="n">
        <f aca="false">IF(ISBLANK(Actuals!BO45),-17638.14*Escalation!$B$63,Actuals!BO45)</f>
        <v>-19473.9317781541</v>
      </c>
      <c r="BO135" s="41" t="n">
        <f aca="false">IF(ISBLANK(Actuals!BP45),-17638.14*Escalation!$B$64,Actuals!BP45)</f>
        <v>-19473.9317781541</v>
      </c>
      <c r="BP135" s="41" t="n">
        <f aca="false">IF(ISBLANK(Actuals!BQ45),-17638.14*Escalation!$B$65,Actuals!BQ45)</f>
        <v>-19473.9317781541</v>
      </c>
      <c r="BQ135" s="41" t="n">
        <f aca="false">IF(ISBLANK(Actuals!BR45),-17638.14*Escalation!$B$66,Actuals!BR45)</f>
        <v>-19473.9317781541</v>
      </c>
      <c r="BR135" s="41" t="n">
        <f aca="false">IF(ISBLANK(Actuals!BS45),-17638.14*Escalation!$B$67,Actuals!BS45)</f>
        <v>-19473.9317781541</v>
      </c>
      <c r="BS135" s="41" t="n">
        <f aca="false">IF(ISBLANK(Actuals!BT45),-17638.14*Escalation!$B$68,Actuals!BT45)</f>
        <v>-19473.9317781541</v>
      </c>
      <c r="BT135" s="41" t="n">
        <f aca="false">IF(ISBLANK(Actuals!BU45),-17638.14*Escalation!$B$69,Actuals!BU45)</f>
        <v>-19473.9317781541</v>
      </c>
      <c r="BU135" s="41" t="n">
        <f aca="false">IF(ISBLANK(Actuals!BV45),-17638.14*Escalation!$B$70,Actuals!BV45)</f>
        <v>-19473.9317781541</v>
      </c>
      <c r="BV135" s="41" t="n">
        <f aca="false">IF(ISBLANK(Actuals!BW45),-17638.14*Escalation!$B$71,Actuals!BW45)</f>
        <v>-19473.9317781541</v>
      </c>
      <c r="BW135" s="41" t="n">
        <f aca="false">IF(ISBLANK(Actuals!BX45),-17638.14*Escalation!$B$72,Actuals!BX45)</f>
        <v>-19473.9317781541</v>
      </c>
      <c r="BX135" s="41" t="n">
        <f aca="false">IF(ISBLANK(Actuals!BY45),-17638.14*Escalation!$B$73,Actuals!BY45)</f>
        <v>-19473.9317781541</v>
      </c>
      <c r="BY135" s="41" t="n">
        <f aca="false">IF(ISBLANK(Actuals!BZ45),-17638.14*Escalation!$B$74,Actuals!BZ45)</f>
        <v>-19863.4104137171</v>
      </c>
      <c r="BZ135" s="41" t="n">
        <f aca="false">IF(ISBLANK(Actuals!CA45),-17638.14*Escalation!$B$75,Actuals!CA45)</f>
        <v>-19863.4104137171</v>
      </c>
      <c r="CA135" s="41" t="n">
        <f aca="false">IF(ISBLANK(Actuals!CB45),-17638.14*Escalation!$B$76,Actuals!CB45)</f>
        <v>-19863.4104137171</v>
      </c>
      <c r="CB135" s="41" t="n">
        <f aca="false">IF(ISBLANK(Actuals!CC45),-17638.14*Escalation!$B$77,Actuals!CC45)</f>
        <v>-19863.4104137171</v>
      </c>
      <c r="CC135" s="41" t="n">
        <f aca="false">IF(ISBLANK(Actuals!CD45),-17638.14*Escalation!$B$78,Actuals!CD45)</f>
        <v>-19863.4104137171</v>
      </c>
      <c r="CD135" s="41" t="n">
        <f aca="false">IF(ISBLANK(Actuals!CE45),-17638.14*Escalation!$B$79,Actuals!CE45)</f>
        <v>-19863.4104137171</v>
      </c>
      <c r="CE135" s="41" t="n">
        <f aca="false">IF(ISBLANK(Actuals!CF45),-17638.14*Escalation!$B$80,Actuals!CF45)</f>
        <v>-19863.4104137171</v>
      </c>
      <c r="CF135" s="41" t="n">
        <f aca="false">IF(ISBLANK(Actuals!CG45),-17638.14*Escalation!$B$81,Actuals!CG45)</f>
        <v>-19863.4104137171</v>
      </c>
      <c r="CG135" s="41" t="n">
        <f aca="false">IF(ISBLANK(Actuals!CH45),-17638.14*Escalation!$B$82,Actuals!CH45)</f>
        <v>-19863.4104137171</v>
      </c>
      <c r="CH135" s="41" t="n">
        <f aca="false">IF(ISBLANK(Actuals!CI45),-17638.14*Escalation!$B$83,Actuals!CI45)</f>
        <v>-19863.4104137171</v>
      </c>
      <c r="CI135" s="41" t="n">
        <f aca="false">IF(ISBLANK(Actuals!CJ45),-17638.14*Escalation!$B$84,Actuals!CJ45)</f>
        <v>-19863.4104137171</v>
      </c>
      <c r="CJ135" s="41" t="n">
        <f aca="false">IF(ISBLANK(Actuals!CK45),-17638.14*Escalation!$B$85,Actuals!CK45)</f>
        <v>-19863.4104137171</v>
      </c>
      <c r="CK135" s="41" t="n">
        <f aca="false">IF(ISBLANK(Actuals!CL45),-17638.14*Escalation!$B$86,Actuals!CL45)</f>
        <v>-20260.6786219915</v>
      </c>
      <c r="CL135" s="41" t="n">
        <f aca="false">IF(ISBLANK(Actuals!CM45),-17638.14*Escalation!$B$87,Actuals!CM45)</f>
        <v>-20260.6786219915</v>
      </c>
      <c r="CM135" s="41" t="n">
        <f aca="false">IF(ISBLANK(Actuals!CN45),-17638.14*Escalation!$B$88,Actuals!CN45)</f>
        <v>-20260.6786219915</v>
      </c>
      <c r="CN135" s="41" t="n">
        <f aca="false">IF(ISBLANK(Actuals!CO45),-17638.14*Escalation!$B$89,Actuals!CO45)</f>
        <v>-20260.6786219915</v>
      </c>
      <c r="CO135" s="41" t="n">
        <f aca="false">IF(ISBLANK(Actuals!CP45),-17638.14*Escalation!$B$90,Actuals!CP45)</f>
        <v>-20260.6786219915</v>
      </c>
      <c r="CP135" s="41" t="n">
        <f aca="false">IF(ISBLANK(Actuals!CQ45),-17638.14*Escalation!$B$91,Actuals!CQ45)</f>
        <v>-20260.6786219915</v>
      </c>
      <c r="CQ135" s="41" t="n">
        <f aca="false">IF(ISBLANK(Actuals!CR45),-17638.14*Escalation!$B$92,Actuals!CR45)</f>
        <v>-20260.6786219915</v>
      </c>
      <c r="CR135" s="41" t="n">
        <f aca="false">IF(ISBLANK(Actuals!CS45),-17638.14*Escalation!$B$93,Actuals!CS45)</f>
        <v>-20260.6786219915</v>
      </c>
      <c r="CS135" s="41" t="n">
        <f aca="false">IF(ISBLANK(Actuals!CT45),-17638.14*Escalation!$B$94,Actuals!CT45)</f>
        <v>-20260.6786219915</v>
      </c>
      <c r="CT135" s="41" t="n">
        <f aca="false">IF(ISBLANK(Actuals!CU45),-17638.14*Escalation!$B$95,Actuals!CU45)</f>
        <v>-20260.6786219915</v>
      </c>
      <c r="CU135" s="41" t="n">
        <f aca="false">IF(ISBLANK(Actuals!CV45),-17638.14*Escalation!$B$96,Actuals!CV45)</f>
        <v>-20260.6786219915</v>
      </c>
      <c r="CV135" s="41" t="n">
        <f aca="false">IF(ISBLANK(Actuals!CW45),-17638.14*Escalation!$B$97,Actuals!CW45)</f>
        <v>-20260.6786219915</v>
      </c>
      <c r="CW135" s="41" t="n">
        <f aca="false">IF(ISBLANK(Actuals!CX45),-17638.14*Escalation!$B$98,Actuals!CX45)</f>
        <v>-20665.8921944313</v>
      </c>
      <c r="CX135" s="41" t="n">
        <f aca="false">IF(ISBLANK(Actuals!CY45),-17638.14*Escalation!$B$99,Actuals!CY45)</f>
        <v>-20665.8921944313</v>
      </c>
      <c r="CY135" s="41" t="n">
        <f aca="false">IF(ISBLANK(Actuals!CZ45),-17638.14*Escalation!$B$100,Actuals!CZ45)</f>
        <v>-20665.8921944313</v>
      </c>
      <c r="CZ135" s="41" t="n">
        <f aca="false">IF(ISBLANK(Actuals!DA45),-17638.14*Escalation!$B$101,Actuals!DA45)</f>
        <v>-20665.8921944313</v>
      </c>
      <c r="DA135" s="41" t="n">
        <f aca="false">IF(ISBLANK(Actuals!DB45),-17638.14*Escalation!$B$102,Actuals!DB45)</f>
        <v>-20665.8921944313</v>
      </c>
      <c r="DB135" s="41" t="n">
        <f aca="false">IF(ISBLANK(Actuals!DC45),-17638.14*Escalation!$B$103,Actuals!DC45)</f>
        <v>-20665.8921944313</v>
      </c>
      <c r="DC135" s="41" t="n">
        <f aca="false">IF(ISBLANK(Actuals!DD45),-17638.14*Escalation!$B$104,Actuals!DD45)</f>
        <v>-20665.8921944313</v>
      </c>
      <c r="DD135" s="41" t="n">
        <f aca="false">IF(ISBLANK(Actuals!DE45),-17638.14*Escalation!$B$105,Actuals!DE45)</f>
        <v>-20665.8921944313</v>
      </c>
      <c r="DE135" s="41" t="n">
        <f aca="false">IF(ISBLANK(Actuals!DF45),-17638.14*Escalation!$B$106,Actuals!DF45)</f>
        <v>-20665.8921944313</v>
      </c>
    </row>
    <row r="136" customFormat="false" ht="15" hidden="false" customHeight="true" outlineLevel="0" collapsed="false">
      <c r="A136" s="40" t="s">
        <v>85</v>
      </c>
      <c r="B136" s="41" t="n">
        <f aca="false">IF(ISBLANK(Actuals!C46),0,Actuals!C46)</f>
        <v>-1909.98</v>
      </c>
      <c r="C136" s="41" t="n">
        <f aca="false">IF(ISBLANK(Actuals!D46),0,Actuals!D46)</f>
        <v>-190.1</v>
      </c>
      <c r="D136" s="41" t="n">
        <f aca="false">IF(ISBLANK(Actuals!E46),0,Actuals!E46)</f>
        <v>-2166.92</v>
      </c>
      <c r="E136" s="41" t="n">
        <f aca="false">IF(ISBLANK(Actuals!F46),-1422.33*Escalation!$B$2,Actuals!F46)</f>
        <v>-1816.95</v>
      </c>
      <c r="F136" s="41" t="n">
        <f aca="false">IF(ISBLANK(Actuals!G46),-1422.33*Escalation!$B$3,Actuals!G46)</f>
        <v>-1452.9</v>
      </c>
      <c r="G136" s="41" t="n">
        <f aca="false">IF(ISBLANK(Actuals!H46),-1422.33*Escalation!$B$4,Actuals!H46)</f>
        <v>-13918.31</v>
      </c>
      <c r="H136" s="41" t="n">
        <f aca="false">IF(ISBLANK(Actuals!I46),-1422.33*Escalation!$B$5,Actuals!I46)</f>
        <v>-1422.33</v>
      </c>
      <c r="I136" s="41" t="n">
        <f aca="false">IF(ISBLANK(Actuals!J46),-1422.33*Escalation!$B$6,Actuals!J46)</f>
        <v>-1422.33</v>
      </c>
      <c r="J136" s="41" t="n">
        <f aca="false">IF(ISBLANK(Actuals!K46),-1422.33*Escalation!$B$7,Actuals!K46)</f>
        <v>-1422.33</v>
      </c>
      <c r="K136" s="41" t="n">
        <f aca="false">IF(ISBLANK(Actuals!L46),-1422.33*Escalation!$B$8,Actuals!L46)</f>
        <v>-1422.33</v>
      </c>
      <c r="L136" s="41" t="n">
        <f aca="false">IF(ISBLANK(Actuals!M46),-1422.33*Escalation!$B$9,Actuals!M46)</f>
        <v>-1422.33</v>
      </c>
      <c r="M136" s="41" t="n">
        <f aca="false">IF(ISBLANK(Actuals!N46),-1422.33*Escalation!$B$10,Actuals!N46)</f>
        <v>-1422.33</v>
      </c>
      <c r="N136" s="41" t="n">
        <f aca="false">IF(ISBLANK(Actuals!O46),-1422.33*Escalation!$B$11,Actuals!O46)</f>
        <v>-1422.33</v>
      </c>
      <c r="O136" s="41" t="n">
        <f aca="false">IF(ISBLANK(Actuals!P46),-1422.33*Escalation!$B$12,Actuals!P46)</f>
        <v>-1422.33</v>
      </c>
      <c r="P136" s="41" t="n">
        <f aca="false">IF(ISBLANK(Actuals!Q46),-1422.33*Escalation!$B$13,Actuals!Q46)</f>
        <v>-1422.33</v>
      </c>
      <c r="Q136" s="41" t="n">
        <f aca="false">IF(ISBLANK(Actuals!R46),-1422.33*Escalation!$B$14,Actuals!R46)</f>
        <v>-1450.7766</v>
      </c>
      <c r="R136" s="41" t="n">
        <f aca="false">IF(ISBLANK(Actuals!S46),-1422.33*Escalation!$B$15,Actuals!S46)</f>
        <v>-1450.7766</v>
      </c>
      <c r="S136" s="41" t="n">
        <f aca="false">IF(ISBLANK(Actuals!T46),-1422.33*Escalation!$B$16,Actuals!T46)</f>
        <v>-1450.7766</v>
      </c>
      <c r="T136" s="41" t="n">
        <f aca="false">IF(ISBLANK(Actuals!U46),-1422.33*Escalation!$B$17,Actuals!U46)</f>
        <v>-1450.7766</v>
      </c>
      <c r="U136" s="41" t="n">
        <f aca="false">IF(ISBLANK(Actuals!V46),-1422.33*Escalation!$B$18,Actuals!V46)</f>
        <v>-1450.7766</v>
      </c>
      <c r="V136" s="41" t="n">
        <f aca="false">IF(ISBLANK(Actuals!W46),-1422.33*Escalation!$B$19,Actuals!W46)</f>
        <v>-1450.7766</v>
      </c>
      <c r="W136" s="41" t="n">
        <f aca="false">IF(ISBLANK(Actuals!X46),-1422.33*Escalation!$B$20,Actuals!X46)</f>
        <v>-1450.7766</v>
      </c>
      <c r="X136" s="41" t="n">
        <f aca="false">IF(ISBLANK(Actuals!Y46),-1422.33*Escalation!$B$21,Actuals!Y46)</f>
        <v>-1450.7766</v>
      </c>
      <c r="Y136" s="41" t="n">
        <f aca="false">IF(ISBLANK(Actuals!Z46),-1422.33*Escalation!$B$22,Actuals!Z46)</f>
        <v>-1450.7766</v>
      </c>
      <c r="Z136" s="41" t="n">
        <f aca="false">IF(ISBLANK(Actuals!AA46),-1422.33*Escalation!$B$23,Actuals!AA46)</f>
        <v>-1450.7766</v>
      </c>
      <c r="AA136" s="41" t="n">
        <f aca="false">IF(ISBLANK(Actuals!AB46),-1422.33*Escalation!$B$24,Actuals!AB46)</f>
        <v>-1450.7766</v>
      </c>
      <c r="AB136" s="41" t="n">
        <f aca="false">IF(ISBLANK(Actuals!AC46),-1422.33*Escalation!$B$25,Actuals!AC46)</f>
        <v>-1450.7766</v>
      </c>
      <c r="AC136" s="41" t="n">
        <f aca="false">IF(ISBLANK(Actuals!AD46),-1422.33*Escalation!$B$26,Actuals!AD46)</f>
        <v>-1479.792132</v>
      </c>
      <c r="AD136" s="41" t="n">
        <f aca="false">IF(ISBLANK(Actuals!AE46),-1422.33*Escalation!$B$27,Actuals!AE46)</f>
        <v>-1479.792132</v>
      </c>
      <c r="AE136" s="41" t="n">
        <f aca="false">IF(ISBLANK(Actuals!AF46),-1422.33*Escalation!$B$28,Actuals!AF46)</f>
        <v>-1479.792132</v>
      </c>
      <c r="AF136" s="41" t="n">
        <f aca="false">IF(ISBLANK(Actuals!AG46),-1422.33*Escalation!$B$29,Actuals!AG46)</f>
        <v>-1479.792132</v>
      </c>
      <c r="AG136" s="41" t="n">
        <f aca="false">IF(ISBLANK(Actuals!AH46),-1422.33*Escalation!$B$30,Actuals!AH46)</f>
        <v>-1479.792132</v>
      </c>
      <c r="AH136" s="41" t="n">
        <f aca="false">IF(ISBLANK(Actuals!AI46),-1422.33*Escalation!$B$31,Actuals!AI46)</f>
        <v>-1479.792132</v>
      </c>
      <c r="AI136" s="41" t="n">
        <f aca="false">IF(ISBLANK(Actuals!AJ46),-1422.33*Escalation!$B$32,Actuals!AJ46)</f>
        <v>-1479.792132</v>
      </c>
      <c r="AJ136" s="41" t="n">
        <f aca="false">IF(ISBLANK(Actuals!AK46),-1422.33*Escalation!$B$33,Actuals!AK46)</f>
        <v>-1479.792132</v>
      </c>
      <c r="AK136" s="41" t="n">
        <f aca="false">IF(ISBLANK(Actuals!AL46),-1422.33*Escalation!$B$34,Actuals!AL46)</f>
        <v>-1479.792132</v>
      </c>
      <c r="AL136" s="41" t="n">
        <f aca="false">IF(ISBLANK(Actuals!AM46),-1422.33*Escalation!$B$35,Actuals!AM46)</f>
        <v>-1479.792132</v>
      </c>
      <c r="AM136" s="41" t="n">
        <f aca="false">IF(ISBLANK(Actuals!AN46),-1422.33*Escalation!$B$36,Actuals!AN46)</f>
        <v>-1479.792132</v>
      </c>
      <c r="AN136" s="41" t="n">
        <f aca="false">IF(ISBLANK(Actuals!AO46),-1422.33*Escalation!$B$37,Actuals!AO46)</f>
        <v>-1479.792132</v>
      </c>
      <c r="AO136" s="41" t="n">
        <f aca="false">IF(ISBLANK(Actuals!AP46),-1422.33*Escalation!$B$38,Actuals!AP46)</f>
        <v>-1509.38797464</v>
      </c>
      <c r="AP136" s="41" t="n">
        <f aca="false">IF(ISBLANK(Actuals!AQ46),-1422.33*Escalation!$B$39,Actuals!AQ46)</f>
        <v>-1509.38797464</v>
      </c>
      <c r="AQ136" s="41" t="n">
        <f aca="false">IF(ISBLANK(Actuals!AR46),-1422.33*Escalation!$B$40,Actuals!AR46)</f>
        <v>-1509.38797464</v>
      </c>
      <c r="AR136" s="41" t="n">
        <f aca="false">IF(ISBLANK(Actuals!AS46),-1422.33*Escalation!$B$41,Actuals!AS46)</f>
        <v>-1509.38797464</v>
      </c>
      <c r="AS136" s="41" t="n">
        <f aca="false">IF(ISBLANK(Actuals!AT46),-1422.33*Escalation!$B$42,Actuals!AT46)</f>
        <v>-1509.38797464</v>
      </c>
      <c r="AT136" s="41" t="n">
        <f aca="false">IF(ISBLANK(Actuals!AU46),-1422.33*Escalation!$B$43,Actuals!AU46)</f>
        <v>-1509.38797464</v>
      </c>
      <c r="AU136" s="41" t="n">
        <f aca="false">IF(ISBLANK(Actuals!AV46),-1422.33*Escalation!$B$44,Actuals!AV46)</f>
        <v>-1509.38797464</v>
      </c>
      <c r="AV136" s="41" t="n">
        <f aca="false">IF(ISBLANK(Actuals!AW46),-1422.33*Escalation!$B$45,Actuals!AW46)</f>
        <v>-1509.38797464</v>
      </c>
      <c r="AW136" s="41" t="n">
        <f aca="false">IF(ISBLANK(Actuals!AX46),-1422.33*Escalation!$B$46,Actuals!AX46)</f>
        <v>-1509.38797464</v>
      </c>
      <c r="AX136" s="41" t="n">
        <f aca="false">IF(ISBLANK(Actuals!AY46),-1422.33*Escalation!$B$47,Actuals!AY46)</f>
        <v>-1509.38797464</v>
      </c>
      <c r="AY136" s="41" t="n">
        <f aca="false">IF(ISBLANK(Actuals!AZ46),-1422.33*Escalation!$B$48,Actuals!AZ46)</f>
        <v>-1509.38797464</v>
      </c>
      <c r="AZ136" s="41" t="n">
        <f aca="false">IF(ISBLANK(Actuals!BA46),-1422.33*Escalation!$B$49,Actuals!BA46)</f>
        <v>-1509.38797464</v>
      </c>
      <c r="BA136" s="41" t="n">
        <f aca="false">IF(ISBLANK(Actuals!BB46),-1422.33*Escalation!$B$50,Actuals!BB46)</f>
        <v>-1539.5757341328</v>
      </c>
      <c r="BB136" s="41" t="n">
        <f aca="false">IF(ISBLANK(Actuals!BC46),-1422.33*Escalation!$B$51,Actuals!BC46)</f>
        <v>-1539.5757341328</v>
      </c>
      <c r="BC136" s="41" t="n">
        <f aca="false">IF(ISBLANK(Actuals!BD46),-1422.33*Escalation!$B$52,Actuals!BD46)</f>
        <v>-1539.5757341328</v>
      </c>
      <c r="BD136" s="41" t="n">
        <f aca="false">IF(ISBLANK(Actuals!BE46),-1422.33*Escalation!$B$53,Actuals!BE46)</f>
        <v>-1539.5757341328</v>
      </c>
      <c r="BE136" s="41" t="n">
        <f aca="false">IF(ISBLANK(Actuals!BF46),-1422.33*Escalation!$B$54,Actuals!BF46)</f>
        <v>-1539.5757341328</v>
      </c>
      <c r="BF136" s="41" t="n">
        <f aca="false">IF(ISBLANK(Actuals!BG46),-1422.33*Escalation!$B$55,Actuals!BG46)</f>
        <v>-1539.5757341328</v>
      </c>
      <c r="BG136" s="41" t="n">
        <f aca="false">IF(ISBLANK(Actuals!BH46),-1422.33*Escalation!$B$56,Actuals!BH46)</f>
        <v>-1539.5757341328</v>
      </c>
      <c r="BH136" s="41" t="n">
        <f aca="false">IF(ISBLANK(Actuals!BI46),-1422.33*Escalation!$B$57,Actuals!BI46)</f>
        <v>-1539.5757341328</v>
      </c>
      <c r="BI136" s="41" t="n">
        <f aca="false">IF(ISBLANK(Actuals!BJ46),-1422.33*Escalation!$B$58,Actuals!BJ46)</f>
        <v>-1539.5757341328</v>
      </c>
      <c r="BJ136" s="41" t="n">
        <f aca="false">IF(ISBLANK(Actuals!BK46),-1422.33*Escalation!$B$59,Actuals!BK46)</f>
        <v>-1539.5757341328</v>
      </c>
      <c r="BK136" s="41" t="n">
        <f aca="false">IF(ISBLANK(Actuals!BL46),-1422.33*Escalation!$B$60,Actuals!BL46)</f>
        <v>-1539.5757341328</v>
      </c>
      <c r="BL136" s="41" t="n">
        <f aca="false">IF(ISBLANK(Actuals!BM46),-1422.33*Escalation!$B$61,Actuals!BM46)</f>
        <v>-1539.5757341328</v>
      </c>
      <c r="BM136" s="41" t="n">
        <f aca="false">IF(ISBLANK(Actuals!BN46),-1422.33*Escalation!$B$62,Actuals!BN46)</f>
        <v>-1570.36724881546</v>
      </c>
      <c r="BN136" s="41" t="n">
        <f aca="false">IF(ISBLANK(Actuals!BO46),-1422.33*Escalation!$B$63,Actuals!BO46)</f>
        <v>-1570.36724881546</v>
      </c>
      <c r="BO136" s="41" t="n">
        <f aca="false">IF(ISBLANK(Actuals!BP46),-1422.33*Escalation!$B$64,Actuals!BP46)</f>
        <v>-1570.36724881546</v>
      </c>
      <c r="BP136" s="41" t="n">
        <f aca="false">IF(ISBLANK(Actuals!BQ46),-1422.33*Escalation!$B$65,Actuals!BQ46)</f>
        <v>-1570.36724881546</v>
      </c>
      <c r="BQ136" s="41" t="n">
        <f aca="false">IF(ISBLANK(Actuals!BR46),-1422.33*Escalation!$B$66,Actuals!BR46)</f>
        <v>-1570.36724881546</v>
      </c>
      <c r="BR136" s="41" t="n">
        <f aca="false">IF(ISBLANK(Actuals!BS46),-1422.33*Escalation!$B$67,Actuals!BS46)</f>
        <v>-1570.36724881546</v>
      </c>
      <c r="BS136" s="41" t="n">
        <f aca="false">IF(ISBLANK(Actuals!BT46),-1422.33*Escalation!$B$68,Actuals!BT46)</f>
        <v>-1570.36724881546</v>
      </c>
      <c r="BT136" s="41" t="n">
        <f aca="false">IF(ISBLANK(Actuals!BU46),-1422.33*Escalation!$B$69,Actuals!BU46)</f>
        <v>-1570.36724881546</v>
      </c>
      <c r="BU136" s="41" t="n">
        <f aca="false">IF(ISBLANK(Actuals!BV46),-1422.33*Escalation!$B$70,Actuals!BV46)</f>
        <v>-1570.36724881546</v>
      </c>
      <c r="BV136" s="41" t="n">
        <f aca="false">IF(ISBLANK(Actuals!BW46),-1422.33*Escalation!$B$71,Actuals!BW46)</f>
        <v>-1570.36724881546</v>
      </c>
      <c r="BW136" s="41" t="n">
        <f aca="false">IF(ISBLANK(Actuals!BX46),-1422.33*Escalation!$B$72,Actuals!BX46)</f>
        <v>-1570.36724881546</v>
      </c>
      <c r="BX136" s="41" t="n">
        <f aca="false">IF(ISBLANK(Actuals!BY46),-1422.33*Escalation!$B$73,Actuals!BY46)</f>
        <v>-1570.36724881546</v>
      </c>
      <c r="BY136" s="41" t="n">
        <f aca="false">IF(ISBLANK(Actuals!BZ46),-1422.33*Escalation!$B$74,Actuals!BZ46)</f>
        <v>-1601.77459379177</v>
      </c>
      <c r="BZ136" s="41" t="n">
        <f aca="false">IF(ISBLANK(Actuals!CA46),-1422.33*Escalation!$B$75,Actuals!CA46)</f>
        <v>-1601.77459379177</v>
      </c>
      <c r="CA136" s="41" t="n">
        <f aca="false">IF(ISBLANK(Actuals!CB46),-1422.33*Escalation!$B$76,Actuals!CB46)</f>
        <v>-1601.77459379177</v>
      </c>
      <c r="CB136" s="41" t="n">
        <f aca="false">IF(ISBLANK(Actuals!CC46),-1422.33*Escalation!$B$77,Actuals!CC46)</f>
        <v>-1601.77459379177</v>
      </c>
      <c r="CC136" s="41" t="n">
        <f aca="false">IF(ISBLANK(Actuals!CD46),-1422.33*Escalation!$B$78,Actuals!CD46)</f>
        <v>-1601.77459379177</v>
      </c>
      <c r="CD136" s="41" t="n">
        <f aca="false">IF(ISBLANK(Actuals!CE46),-1422.33*Escalation!$B$79,Actuals!CE46)</f>
        <v>-1601.77459379177</v>
      </c>
      <c r="CE136" s="41" t="n">
        <f aca="false">IF(ISBLANK(Actuals!CF46),-1422.33*Escalation!$B$80,Actuals!CF46)</f>
        <v>-1601.77459379177</v>
      </c>
      <c r="CF136" s="41" t="n">
        <f aca="false">IF(ISBLANK(Actuals!CG46),-1422.33*Escalation!$B$81,Actuals!CG46)</f>
        <v>-1601.77459379177</v>
      </c>
      <c r="CG136" s="41" t="n">
        <f aca="false">IF(ISBLANK(Actuals!CH46),-1422.33*Escalation!$B$82,Actuals!CH46)</f>
        <v>-1601.77459379177</v>
      </c>
      <c r="CH136" s="41" t="n">
        <f aca="false">IF(ISBLANK(Actuals!CI46),-1422.33*Escalation!$B$83,Actuals!CI46)</f>
        <v>-1601.77459379177</v>
      </c>
      <c r="CI136" s="41" t="n">
        <f aca="false">IF(ISBLANK(Actuals!CJ46),-1422.33*Escalation!$B$84,Actuals!CJ46)</f>
        <v>-1601.77459379177</v>
      </c>
      <c r="CJ136" s="41" t="n">
        <f aca="false">IF(ISBLANK(Actuals!CK46),-1422.33*Escalation!$B$85,Actuals!CK46)</f>
        <v>-1601.77459379177</v>
      </c>
      <c r="CK136" s="41" t="n">
        <f aca="false">IF(ISBLANK(Actuals!CL46),-1422.33*Escalation!$B$86,Actuals!CL46)</f>
        <v>-1633.8100856676</v>
      </c>
      <c r="CL136" s="41" t="n">
        <f aca="false">IF(ISBLANK(Actuals!CM46),-1422.33*Escalation!$B$87,Actuals!CM46)</f>
        <v>-1633.8100856676</v>
      </c>
      <c r="CM136" s="41" t="n">
        <f aca="false">IF(ISBLANK(Actuals!CN46),-1422.33*Escalation!$B$88,Actuals!CN46)</f>
        <v>-1633.8100856676</v>
      </c>
      <c r="CN136" s="41" t="n">
        <f aca="false">IF(ISBLANK(Actuals!CO46),-1422.33*Escalation!$B$89,Actuals!CO46)</f>
        <v>-1633.8100856676</v>
      </c>
      <c r="CO136" s="41" t="n">
        <f aca="false">IF(ISBLANK(Actuals!CP46),-1422.33*Escalation!$B$90,Actuals!CP46)</f>
        <v>-1633.8100856676</v>
      </c>
      <c r="CP136" s="41" t="n">
        <f aca="false">IF(ISBLANK(Actuals!CQ46),-1422.33*Escalation!$B$91,Actuals!CQ46)</f>
        <v>-1633.8100856676</v>
      </c>
      <c r="CQ136" s="41" t="n">
        <f aca="false">IF(ISBLANK(Actuals!CR46),-1422.33*Escalation!$B$92,Actuals!CR46)</f>
        <v>-1633.8100856676</v>
      </c>
      <c r="CR136" s="41" t="n">
        <f aca="false">IF(ISBLANK(Actuals!CS46),-1422.33*Escalation!$B$93,Actuals!CS46)</f>
        <v>-1633.8100856676</v>
      </c>
      <c r="CS136" s="41" t="n">
        <f aca="false">IF(ISBLANK(Actuals!CT46),-1422.33*Escalation!$B$94,Actuals!CT46)</f>
        <v>-1633.8100856676</v>
      </c>
      <c r="CT136" s="41" t="n">
        <f aca="false">IF(ISBLANK(Actuals!CU46),-1422.33*Escalation!$B$95,Actuals!CU46)</f>
        <v>-1633.8100856676</v>
      </c>
      <c r="CU136" s="41" t="n">
        <f aca="false">IF(ISBLANK(Actuals!CV46),-1422.33*Escalation!$B$96,Actuals!CV46)</f>
        <v>-1633.8100856676</v>
      </c>
      <c r="CV136" s="41" t="n">
        <f aca="false">IF(ISBLANK(Actuals!CW46),-1422.33*Escalation!$B$97,Actuals!CW46)</f>
        <v>-1633.8100856676</v>
      </c>
      <c r="CW136" s="41" t="n">
        <f aca="false">IF(ISBLANK(Actuals!CX46),-1422.33*Escalation!$B$98,Actuals!CX46)</f>
        <v>-1666.48628738095</v>
      </c>
      <c r="CX136" s="41" t="n">
        <f aca="false">IF(ISBLANK(Actuals!CY46),-1422.33*Escalation!$B$99,Actuals!CY46)</f>
        <v>-1666.48628738095</v>
      </c>
      <c r="CY136" s="41" t="n">
        <f aca="false">IF(ISBLANK(Actuals!CZ46),-1422.33*Escalation!$B$100,Actuals!CZ46)</f>
        <v>-1666.48628738095</v>
      </c>
      <c r="CZ136" s="41" t="n">
        <f aca="false">IF(ISBLANK(Actuals!DA46),-1422.33*Escalation!$B$101,Actuals!DA46)</f>
        <v>-1666.48628738095</v>
      </c>
      <c r="DA136" s="41" t="n">
        <f aca="false">IF(ISBLANK(Actuals!DB46),-1422.33*Escalation!$B$102,Actuals!DB46)</f>
        <v>-1666.48628738095</v>
      </c>
      <c r="DB136" s="41" t="n">
        <f aca="false">IF(ISBLANK(Actuals!DC46),-1422.33*Escalation!$B$103,Actuals!DC46)</f>
        <v>-1666.48628738095</v>
      </c>
      <c r="DC136" s="41" t="n">
        <f aca="false">IF(ISBLANK(Actuals!DD46),-1422.33*Escalation!$B$104,Actuals!DD46)</f>
        <v>-1666.48628738095</v>
      </c>
      <c r="DD136" s="41" t="n">
        <f aca="false">IF(ISBLANK(Actuals!DE46),-1422.33*Escalation!$B$105,Actuals!DE46)</f>
        <v>-1666.48628738095</v>
      </c>
      <c r="DE136" s="41" t="n">
        <f aca="false">IF(ISBLANK(Actuals!DF46),-1422.33*Escalation!$B$106,Actuals!DF46)</f>
        <v>-1666.48628738095</v>
      </c>
    </row>
    <row r="137" customFormat="false" ht="15" hidden="false" customHeight="true" outlineLevel="0" collapsed="false">
      <c r="A137" s="40" t="s">
        <v>86</v>
      </c>
      <c r="B137" s="41" t="n">
        <f aca="false">IF(ISBLANK(Actuals!C47),0,Actuals!C47)</f>
        <v>-320</v>
      </c>
      <c r="C137" s="41" t="n">
        <f aca="false">IF(ISBLANK(Actuals!D47),0,Actuals!D47)</f>
        <v>-160</v>
      </c>
      <c r="D137" s="41" t="n">
        <f aca="false">IF(ISBLANK(Actuals!E47),0,Actuals!E47)</f>
        <v>0</v>
      </c>
      <c r="E137" s="41" t="n">
        <f aca="false">IF(ISBLANK(Actuals!F47),-160*Escalation!$B$2,Actuals!F47)</f>
        <v>0</v>
      </c>
      <c r="F137" s="41" t="n">
        <f aca="false">IF(ISBLANK(Actuals!G47),-160*Escalation!$B$3,Actuals!G47)</f>
        <v>-320</v>
      </c>
      <c r="G137" s="41" t="n">
        <f aca="false">IF(ISBLANK(Actuals!H47),-160*Escalation!$B$4,Actuals!H47)</f>
        <v>-320</v>
      </c>
      <c r="H137" s="41" t="n">
        <f aca="false">IF(ISBLANK(Actuals!I47),-160*Escalation!$B$5,Actuals!I47)</f>
        <v>-160</v>
      </c>
      <c r="I137" s="41" t="n">
        <f aca="false">IF(ISBLANK(Actuals!J47),-160*Escalation!$B$6,Actuals!J47)</f>
        <v>-160</v>
      </c>
      <c r="J137" s="41" t="n">
        <f aca="false">IF(ISBLANK(Actuals!K47),-160*Escalation!$B$7,Actuals!K47)</f>
        <v>-160</v>
      </c>
      <c r="K137" s="41" t="n">
        <f aca="false">IF(ISBLANK(Actuals!L47),-160*Escalation!$B$8,Actuals!L47)</f>
        <v>-160</v>
      </c>
      <c r="L137" s="41" t="n">
        <f aca="false">IF(ISBLANK(Actuals!M47),-160*Escalation!$B$9,Actuals!M47)</f>
        <v>-160</v>
      </c>
      <c r="M137" s="41" t="n">
        <f aca="false">IF(ISBLANK(Actuals!N47),-160*Escalation!$B$10,Actuals!N47)</f>
        <v>-160</v>
      </c>
      <c r="N137" s="41" t="n">
        <f aca="false">IF(ISBLANK(Actuals!O47),-160*Escalation!$B$11,Actuals!O47)</f>
        <v>-160</v>
      </c>
      <c r="O137" s="41" t="n">
        <f aca="false">IF(ISBLANK(Actuals!P47),-160*Escalation!$B$12,Actuals!P47)</f>
        <v>-160</v>
      </c>
      <c r="P137" s="41" t="n">
        <f aca="false">IF(ISBLANK(Actuals!Q47),-160*Escalation!$B$13,Actuals!Q47)</f>
        <v>-160</v>
      </c>
      <c r="Q137" s="41" t="n">
        <f aca="false">IF(ISBLANK(Actuals!R47),-160*Escalation!$B$14,Actuals!R47)</f>
        <v>-163.2</v>
      </c>
      <c r="R137" s="41" t="n">
        <f aca="false">IF(ISBLANK(Actuals!S47),-160*Escalation!$B$15,Actuals!S47)</f>
        <v>-163.2</v>
      </c>
      <c r="S137" s="41" t="n">
        <f aca="false">IF(ISBLANK(Actuals!T47),-160*Escalation!$B$16,Actuals!T47)</f>
        <v>-163.2</v>
      </c>
      <c r="T137" s="41" t="n">
        <f aca="false">IF(ISBLANK(Actuals!U47),-160*Escalation!$B$17,Actuals!U47)</f>
        <v>-163.2</v>
      </c>
      <c r="U137" s="41" t="n">
        <f aca="false">IF(ISBLANK(Actuals!V47),-160*Escalation!$B$18,Actuals!V47)</f>
        <v>-163.2</v>
      </c>
      <c r="V137" s="41" t="n">
        <f aca="false">IF(ISBLANK(Actuals!W47),-160*Escalation!$B$19,Actuals!W47)</f>
        <v>-163.2</v>
      </c>
      <c r="W137" s="41" t="n">
        <f aca="false">IF(ISBLANK(Actuals!X47),-160*Escalation!$B$20,Actuals!X47)</f>
        <v>-163.2</v>
      </c>
      <c r="X137" s="41" t="n">
        <f aca="false">IF(ISBLANK(Actuals!Y47),-160*Escalation!$B$21,Actuals!Y47)</f>
        <v>-163.2</v>
      </c>
      <c r="Y137" s="41" t="n">
        <f aca="false">IF(ISBLANK(Actuals!Z47),-160*Escalation!$B$22,Actuals!Z47)</f>
        <v>-163.2</v>
      </c>
      <c r="Z137" s="41" t="n">
        <f aca="false">IF(ISBLANK(Actuals!AA47),-160*Escalation!$B$23,Actuals!AA47)</f>
        <v>-163.2</v>
      </c>
      <c r="AA137" s="41" t="n">
        <f aca="false">IF(ISBLANK(Actuals!AB47),-160*Escalation!$B$24,Actuals!AB47)</f>
        <v>-163.2</v>
      </c>
      <c r="AB137" s="41" t="n">
        <f aca="false">IF(ISBLANK(Actuals!AC47),-160*Escalation!$B$25,Actuals!AC47)</f>
        <v>-163.2</v>
      </c>
      <c r="AC137" s="41" t="n">
        <f aca="false">IF(ISBLANK(Actuals!AD47),-160*Escalation!$B$26,Actuals!AD47)</f>
        <v>-166.464</v>
      </c>
      <c r="AD137" s="41" t="n">
        <f aca="false">IF(ISBLANK(Actuals!AE47),-160*Escalation!$B$27,Actuals!AE47)</f>
        <v>-166.464</v>
      </c>
      <c r="AE137" s="41" t="n">
        <f aca="false">IF(ISBLANK(Actuals!AF47),-160*Escalation!$B$28,Actuals!AF47)</f>
        <v>-166.464</v>
      </c>
      <c r="AF137" s="41" t="n">
        <f aca="false">IF(ISBLANK(Actuals!AG47),-160*Escalation!$B$29,Actuals!AG47)</f>
        <v>-166.464</v>
      </c>
      <c r="AG137" s="41" t="n">
        <f aca="false">IF(ISBLANK(Actuals!AH47),-160*Escalation!$B$30,Actuals!AH47)</f>
        <v>-166.464</v>
      </c>
      <c r="AH137" s="41" t="n">
        <f aca="false">IF(ISBLANK(Actuals!AI47),-160*Escalation!$B$31,Actuals!AI47)</f>
        <v>-166.464</v>
      </c>
      <c r="AI137" s="41" t="n">
        <f aca="false">IF(ISBLANK(Actuals!AJ47),-160*Escalation!$B$32,Actuals!AJ47)</f>
        <v>-166.464</v>
      </c>
      <c r="AJ137" s="41" t="n">
        <f aca="false">IF(ISBLANK(Actuals!AK47),-160*Escalation!$B$33,Actuals!AK47)</f>
        <v>-166.464</v>
      </c>
      <c r="AK137" s="41" t="n">
        <f aca="false">IF(ISBLANK(Actuals!AL47),-160*Escalation!$B$34,Actuals!AL47)</f>
        <v>-166.464</v>
      </c>
      <c r="AL137" s="41" t="n">
        <f aca="false">IF(ISBLANK(Actuals!AM47),-160*Escalation!$B$35,Actuals!AM47)</f>
        <v>-166.464</v>
      </c>
      <c r="AM137" s="41" t="n">
        <f aca="false">IF(ISBLANK(Actuals!AN47),-160*Escalation!$B$36,Actuals!AN47)</f>
        <v>-166.464</v>
      </c>
      <c r="AN137" s="41" t="n">
        <f aca="false">IF(ISBLANK(Actuals!AO47),-160*Escalation!$B$37,Actuals!AO47)</f>
        <v>-166.464</v>
      </c>
      <c r="AO137" s="41" t="n">
        <f aca="false">IF(ISBLANK(Actuals!AP47),-160*Escalation!$B$38,Actuals!AP47)</f>
        <v>-169.79328</v>
      </c>
      <c r="AP137" s="41" t="n">
        <f aca="false">IF(ISBLANK(Actuals!AQ47),-160*Escalation!$B$39,Actuals!AQ47)</f>
        <v>-169.79328</v>
      </c>
      <c r="AQ137" s="41" t="n">
        <f aca="false">IF(ISBLANK(Actuals!AR47),-160*Escalation!$B$40,Actuals!AR47)</f>
        <v>-169.79328</v>
      </c>
      <c r="AR137" s="41" t="n">
        <f aca="false">IF(ISBLANK(Actuals!AS47),-160*Escalation!$B$41,Actuals!AS47)</f>
        <v>-169.79328</v>
      </c>
      <c r="AS137" s="41" t="n">
        <f aca="false">IF(ISBLANK(Actuals!AT47),-160*Escalation!$B$42,Actuals!AT47)</f>
        <v>-169.79328</v>
      </c>
      <c r="AT137" s="41" t="n">
        <f aca="false">IF(ISBLANK(Actuals!AU47),-160*Escalation!$B$43,Actuals!AU47)</f>
        <v>-169.79328</v>
      </c>
      <c r="AU137" s="41" t="n">
        <f aca="false">IF(ISBLANK(Actuals!AV47),-160*Escalation!$B$44,Actuals!AV47)</f>
        <v>-169.79328</v>
      </c>
      <c r="AV137" s="41" t="n">
        <f aca="false">IF(ISBLANK(Actuals!AW47),-160*Escalation!$B$45,Actuals!AW47)</f>
        <v>-169.79328</v>
      </c>
      <c r="AW137" s="41" t="n">
        <f aca="false">IF(ISBLANK(Actuals!AX47),-160*Escalation!$B$46,Actuals!AX47)</f>
        <v>-169.79328</v>
      </c>
      <c r="AX137" s="41" t="n">
        <f aca="false">IF(ISBLANK(Actuals!AY47),-160*Escalation!$B$47,Actuals!AY47)</f>
        <v>-169.79328</v>
      </c>
      <c r="AY137" s="41" t="n">
        <f aca="false">IF(ISBLANK(Actuals!AZ47),-160*Escalation!$B$48,Actuals!AZ47)</f>
        <v>-169.79328</v>
      </c>
      <c r="AZ137" s="41" t="n">
        <f aca="false">IF(ISBLANK(Actuals!BA47),-160*Escalation!$B$49,Actuals!BA47)</f>
        <v>-169.79328</v>
      </c>
      <c r="BA137" s="41" t="n">
        <f aca="false">IF(ISBLANK(Actuals!BB47),-160*Escalation!$B$50,Actuals!BB47)</f>
        <v>-173.1891456</v>
      </c>
      <c r="BB137" s="41" t="n">
        <f aca="false">IF(ISBLANK(Actuals!BC47),-160*Escalation!$B$51,Actuals!BC47)</f>
        <v>-173.1891456</v>
      </c>
      <c r="BC137" s="41" t="n">
        <f aca="false">IF(ISBLANK(Actuals!BD47),-160*Escalation!$B$52,Actuals!BD47)</f>
        <v>-173.1891456</v>
      </c>
      <c r="BD137" s="41" t="n">
        <f aca="false">IF(ISBLANK(Actuals!BE47),-160*Escalation!$B$53,Actuals!BE47)</f>
        <v>-173.1891456</v>
      </c>
      <c r="BE137" s="41" t="n">
        <f aca="false">IF(ISBLANK(Actuals!BF47),-160*Escalation!$B$54,Actuals!BF47)</f>
        <v>-173.1891456</v>
      </c>
      <c r="BF137" s="41" t="n">
        <f aca="false">IF(ISBLANK(Actuals!BG47),-160*Escalation!$B$55,Actuals!BG47)</f>
        <v>-173.1891456</v>
      </c>
      <c r="BG137" s="41" t="n">
        <f aca="false">IF(ISBLANK(Actuals!BH47),-160*Escalation!$B$56,Actuals!BH47)</f>
        <v>-173.1891456</v>
      </c>
      <c r="BH137" s="41" t="n">
        <f aca="false">IF(ISBLANK(Actuals!BI47),-160*Escalation!$B$57,Actuals!BI47)</f>
        <v>-173.1891456</v>
      </c>
      <c r="BI137" s="41" t="n">
        <f aca="false">IF(ISBLANK(Actuals!BJ47),-160*Escalation!$B$58,Actuals!BJ47)</f>
        <v>-173.1891456</v>
      </c>
      <c r="BJ137" s="41" t="n">
        <f aca="false">IF(ISBLANK(Actuals!BK47),-160*Escalation!$B$59,Actuals!BK47)</f>
        <v>-173.1891456</v>
      </c>
      <c r="BK137" s="41" t="n">
        <f aca="false">IF(ISBLANK(Actuals!BL47),-160*Escalation!$B$60,Actuals!BL47)</f>
        <v>-173.1891456</v>
      </c>
      <c r="BL137" s="41" t="n">
        <f aca="false">IF(ISBLANK(Actuals!BM47),-160*Escalation!$B$61,Actuals!BM47)</f>
        <v>-173.1891456</v>
      </c>
      <c r="BM137" s="41" t="n">
        <f aca="false">IF(ISBLANK(Actuals!BN47),-160*Escalation!$B$62,Actuals!BN47)</f>
        <v>-176.652928512</v>
      </c>
      <c r="BN137" s="41" t="n">
        <f aca="false">IF(ISBLANK(Actuals!BO47),-160*Escalation!$B$63,Actuals!BO47)</f>
        <v>-176.652928512</v>
      </c>
      <c r="BO137" s="41" t="n">
        <f aca="false">IF(ISBLANK(Actuals!BP47),-160*Escalation!$B$64,Actuals!BP47)</f>
        <v>-176.652928512</v>
      </c>
      <c r="BP137" s="41" t="n">
        <f aca="false">IF(ISBLANK(Actuals!BQ47),-160*Escalation!$B$65,Actuals!BQ47)</f>
        <v>-176.652928512</v>
      </c>
      <c r="BQ137" s="41" t="n">
        <f aca="false">IF(ISBLANK(Actuals!BR47),-160*Escalation!$B$66,Actuals!BR47)</f>
        <v>-176.652928512</v>
      </c>
      <c r="BR137" s="41" t="n">
        <f aca="false">IF(ISBLANK(Actuals!BS47),-160*Escalation!$B$67,Actuals!BS47)</f>
        <v>-176.652928512</v>
      </c>
      <c r="BS137" s="41" t="n">
        <f aca="false">IF(ISBLANK(Actuals!BT47),-160*Escalation!$B$68,Actuals!BT47)</f>
        <v>-176.652928512</v>
      </c>
      <c r="BT137" s="41" t="n">
        <f aca="false">IF(ISBLANK(Actuals!BU47),-160*Escalation!$B$69,Actuals!BU47)</f>
        <v>-176.652928512</v>
      </c>
      <c r="BU137" s="41" t="n">
        <f aca="false">IF(ISBLANK(Actuals!BV47),-160*Escalation!$B$70,Actuals!BV47)</f>
        <v>-176.652928512</v>
      </c>
      <c r="BV137" s="41" t="n">
        <f aca="false">IF(ISBLANK(Actuals!BW47),-160*Escalation!$B$71,Actuals!BW47)</f>
        <v>-176.652928512</v>
      </c>
      <c r="BW137" s="41" t="n">
        <f aca="false">IF(ISBLANK(Actuals!BX47),-160*Escalation!$B$72,Actuals!BX47)</f>
        <v>-176.652928512</v>
      </c>
      <c r="BX137" s="41" t="n">
        <f aca="false">IF(ISBLANK(Actuals!BY47),-160*Escalation!$B$73,Actuals!BY47)</f>
        <v>-176.652928512</v>
      </c>
      <c r="BY137" s="41" t="n">
        <f aca="false">IF(ISBLANK(Actuals!BZ47),-160*Escalation!$B$74,Actuals!BZ47)</f>
        <v>-180.18598708224</v>
      </c>
      <c r="BZ137" s="41" t="n">
        <f aca="false">IF(ISBLANK(Actuals!CA47),-160*Escalation!$B$75,Actuals!CA47)</f>
        <v>-180.18598708224</v>
      </c>
      <c r="CA137" s="41" t="n">
        <f aca="false">IF(ISBLANK(Actuals!CB47),-160*Escalation!$B$76,Actuals!CB47)</f>
        <v>-180.18598708224</v>
      </c>
      <c r="CB137" s="41" t="n">
        <f aca="false">IF(ISBLANK(Actuals!CC47),-160*Escalation!$B$77,Actuals!CC47)</f>
        <v>-180.18598708224</v>
      </c>
      <c r="CC137" s="41" t="n">
        <f aca="false">IF(ISBLANK(Actuals!CD47),-160*Escalation!$B$78,Actuals!CD47)</f>
        <v>-180.18598708224</v>
      </c>
      <c r="CD137" s="41" t="n">
        <f aca="false">IF(ISBLANK(Actuals!CE47),-160*Escalation!$B$79,Actuals!CE47)</f>
        <v>-180.18598708224</v>
      </c>
      <c r="CE137" s="41" t="n">
        <f aca="false">IF(ISBLANK(Actuals!CF47),-160*Escalation!$B$80,Actuals!CF47)</f>
        <v>-180.18598708224</v>
      </c>
      <c r="CF137" s="41" t="n">
        <f aca="false">IF(ISBLANK(Actuals!CG47),-160*Escalation!$B$81,Actuals!CG47)</f>
        <v>-180.18598708224</v>
      </c>
      <c r="CG137" s="41" t="n">
        <f aca="false">IF(ISBLANK(Actuals!CH47),-160*Escalation!$B$82,Actuals!CH47)</f>
        <v>-180.18598708224</v>
      </c>
      <c r="CH137" s="41" t="n">
        <f aca="false">IF(ISBLANK(Actuals!CI47),-160*Escalation!$B$83,Actuals!CI47)</f>
        <v>-180.18598708224</v>
      </c>
      <c r="CI137" s="41" t="n">
        <f aca="false">IF(ISBLANK(Actuals!CJ47),-160*Escalation!$B$84,Actuals!CJ47)</f>
        <v>-180.18598708224</v>
      </c>
      <c r="CJ137" s="41" t="n">
        <f aca="false">IF(ISBLANK(Actuals!CK47),-160*Escalation!$B$85,Actuals!CK47)</f>
        <v>-180.18598708224</v>
      </c>
      <c r="CK137" s="41" t="n">
        <f aca="false">IF(ISBLANK(Actuals!CL47),-160*Escalation!$B$86,Actuals!CL47)</f>
        <v>-183.789706823885</v>
      </c>
      <c r="CL137" s="41" t="n">
        <f aca="false">IF(ISBLANK(Actuals!CM47),-160*Escalation!$B$87,Actuals!CM47)</f>
        <v>-183.789706823885</v>
      </c>
      <c r="CM137" s="41" t="n">
        <f aca="false">IF(ISBLANK(Actuals!CN47),-160*Escalation!$B$88,Actuals!CN47)</f>
        <v>-183.789706823885</v>
      </c>
      <c r="CN137" s="41" t="n">
        <f aca="false">IF(ISBLANK(Actuals!CO47),-160*Escalation!$B$89,Actuals!CO47)</f>
        <v>-183.789706823885</v>
      </c>
      <c r="CO137" s="41" t="n">
        <f aca="false">IF(ISBLANK(Actuals!CP47),-160*Escalation!$B$90,Actuals!CP47)</f>
        <v>-183.789706823885</v>
      </c>
      <c r="CP137" s="41" t="n">
        <f aca="false">IF(ISBLANK(Actuals!CQ47),-160*Escalation!$B$91,Actuals!CQ47)</f>
        <v>-183.789706823885</v>
      </c>
      <c r="CQ137" s="41" t="n">
        <f aca="false">IF(ISBLANK(Actuals!CR47),-160*Escalation!$B$92,Actuals!CR47)</f>
        <v>-183.789706823885</v>
      </c>
      <c r="CR137" s="41" t="n">
        <f aca="false">IF(ISBLANK(Actuals!CS47),-160*Escalation!$B$93,Actuals!CS47)</f>
        <v>-183.789706823885</v>
      </c>
      <c r="CS137" s="41" t="n">
        <f aca="false">IF(ISBLANK(Actuals!CT47),-160*Escalation!$B$94,Actuals!CT47)</f>
        <v>-183.789706823885</v>
      </c>
      <c r="CT137" s="41" t="n">
        <f aca="false">IF(ISBLANK(Actuals!CU47),-160*Escalation!$B$95,Actuals!CU47)</f>
        <v>-183.789706823885</v>
      </c>
      <c r="CU137" s="41" t="n">
        <f aca="false">IF(ISBLANK(Actuals!CV47),-160*Escalation!$B$96,Actuals!CV47)</f>
        <v>-183.789706823885</v>
      </c>
      <c r="CV137" s="41" t="n">
        <f aca="false">IF(ISBLANK(Actuals!CW47),-160*Escalation!$B$97,Actuals!CW47)</f>
        <v>-183.789706823885</v>
      </c>
      <c r="CW137" s="41" t="n">
        <f aca="false">IF(ISBLANK(Actuals!CX47),-160*Escalation!$B$98,Actuals!CX47)</f>
        <v>-187.465500960363</v>
      </c>
      <c r="CX137" s="41" t="n">
        <f aca="false">IF(ISBLANK(Actuals!CY47),-160*Escalation!$B$99,Actuals!CY47)</f>
        <v>-187.465500960363</v>
      </c>
      <c r="CY137" s="41" t="n">
        <f aca="false">IF(ISBLANK(Actuals!CZ47),-160*Escalation!$B$100,Actuals!CZ47)</f>
        <v>-187.465500960363</v>
      </c>
      <c r="CZ137" s="41" t="n">
        <f aca="false">IF(ISBLANK(Actuals!DA47),-160*Escalation!$B$101,Actuals!DA47)</f>
        <v>-187.465500960363</v>
      </c>
      <c r="DA137" s="41" t="n">
        <f aca="false">IF(ISBLANK(Actuals!DB47),-160*Escalation!$B$102,Actuals!DB47)</f>
        <v>-187.465500960363</v>
      </c>
      <c r="DB137" s="41" t="n">
        <f aca="false">IF(ISBLANK(Actuals!DC47),-160*Escalation!$B$103,Actuals!DC47)</f>
        <v>-187.465500960363</v>
      </c>
      <c r="DC137" s="41" t="n">
        <f aca="false">IF(ISBLANK(Actuals!DD47),-160*Escalation!$B$104,Actuals!DD47)</f>
        <v>-187.465500960363</v>
      </c>
      <c r="DD137" s="41" t="n">
        <f aca="false">IF(ISBLANK(Actuals!DE47),-160*Escalation!$B$105,Actuals!DE47)</f>
        <v>-187.465500960363</v>
      </c>
      <c r="DE137" s="41" t="n">
        <f aca="false">IF(ISBLANK(Actuals!DF47),-160*Escalation!$B$106,Actuals!DF47)</f>
        <v>-187.465500960363</v>
      </c>
    </row>
    <row r="138" customFormat="false" ht="15" hidden="false" customHeight="true" outlineLevel="0" collapsed="false">
      <c r="A138" s="40" t="s">
        <v>87</v>
      </c>
      <c r="B138" s="41" t="n">
        <f aca="false">IF(ISBLANK(Actuals!C48),0,Actuals!C48)</f>
        <v>-17660.72</v>
      </c>
      <c r="C138" s="41" t="n">
        <f aca="false">IF(ISBLANK(Actuals!D48),0,Actuals!D48)</f>
        <v>-5799</v>
      </c>
      <c r="D138" s="41" t="n">
        <f aca="false">IF(ISBLANK(Actuals!E48),0,Actuals!E48)</f>
        <v>-3432.18</v>
      </c>
      <c r="E138" s="41" t="n">
        <f aca="false">IF(ISBLANK(Actuals!F48),-5000*Escalation!$B$2,Actuals!F48)</f>
        <v>0</v>
      </c>
      <c r="F138" s="41" t="n">
        <f aca="false">IF(ISBLANK(Actuals!G48),-5000*Escalation!$B$3,Actuals!G48)</f>
        <v>-73874.29</v>
      </c>
      <c r="G138" s="41" t="n">
        <f aca="false">IF(ISBLANK(Actuals!H48),-5000*Escalation!$B$4,Actuals!H48)</f>
        <v>0</v>
      </c>
      <c r="H138" s="41" t="n">
        <f aca="false">IF(ISBLANK(Actuals!I48),-5000*Escalation!$B$5,Actuals!I48)</f>
        <v>-5000</v>
      </c>
      <c r="I138" s="41" t="n">
        <f aca="false">IF(ISBLANK(Actuals!J48),-5000*Escalation!$B$6,Actuals!J48)</f>
        <v>-5000</v>
      </c>
      <c r="J138" s="41" t="n">
        <f aca="false">IF(ISBLANK(Actuals!K48),-5000*Escalation!$B$7,Actuals!K48)</f>
        <v>-5000</v>
      </c>
      <c r="K138" s="41" t="n">
        <f aca="false">IF(ISBLANK(Actuals!L48),-5000*Escalation!$B$8,Actuals!L48)</f>
        <v>-5000</v>
      </c>
      <c r="L138" s="41" t="n">
        <f aca="false">IF(ISBLANK(Actuals!M48),-5000*Escalation!$B$9,Actuals!M48)</f>
        <v>-5000</v>
      </c>
      <c r="M138" s="41" t="n">
        <f aca="false">IF(ISBLANK(Actuals!N48),-5000*Escalation!$B$10,Actuals!N48)</f>
        <v>-5000</v>
      </c>
      <c r="N138" s="41" t="n">
        <f aca="false">IF(ISBLANK(Actuals!O48),-5000*Escalation!$B$11,Actuals!O48)</f>
        <v>-5000</v>
      </c>
      <c r="O138" s="41" t="n">
        <f aca="false">IF(ISBLANK(Actuals!P48),-5000*Escalation!$B$12,Actuals!P48)</f>
        <v>-5000</v>
      </c>
      <c r="P138" s="41" t="n">
        <f aca="false">IF(ISBLANK(Actuals!Q48),-5000*Escalation!$B$13,Actuals!Q48)</f>
        <v>-5000</v>
      </c>
      <c r="Q138" s="41" t="n">
        <f aca="false">IF(ISBLANK(Actuals!R48),-5000*Escalation!$B$14,Actuals!R48)</f>
        <v>-5100</v>
      </c>
      <c r="R138" s="41" t="n">
        <f aca="false">IF(ISBLANK(Actuals!S48),-5000*Escalation!$B$15,Actuals!S48)</f>
        <v>-5100</v>
      </c>
      <c r="S138" s="41" t="n">
        <f aca="false">IF(ISBLANK(Actuals!T48),-5000*Escalation!$B$16,Actuals!T48)</f>
        <v>-5100</v>
      </c>
      <c r="T138" s="41" t="n">
        <f aca="false">IF(ISBLANK(Actuals!U48),-5000*Escalation!$B$17,Actuals!U48)</f>
        <v>-5100</v>
      </c>
      <c r="U138" s="41" t="n">
        <f aca="false">IF(ISBLANK(Actuals!V48),-5000*Escalation!$B$18,Actuals!V48)</f>
        <v>-5100</v>
      </c>
      <c r="V138" s="41" t="n">
        <f aca="false">IF(ISBLANK(Actuals!W48),-5000*Escalation!$B$19,Actuals!W48)</f>
        <v>-5100</v>
      </c>
      <c r="W138" s="41" t="n">
        <f aca="false">IF(ISBLANK(Actuals!X48),-5000*Escalation!$B$20,Actuals!X48)</f>
        <v>-5100</v>
      </c>
      <c r="X138" s="41" t="n">
        <f aca="false">IF(ISBLANK(Actuals!Y48),-5000*Escalation!$B$21,Actuals!Y48)</f>
        <v>-5100</v>
      </c>
      <c r="Y138" s="41" t="n">
        <f aca="false">IF(ISBLANK(Actuals!Z48),-5000*Escalation!$B$22,Actuals!Z48)</f>
        <v>-5100</v>
      </c>
      <c r="Z138" s="41" t="n">
        <f aca="false">IF(ISBLANK(Actuals!AA48),-5000*Escalation!$B$23,Actuals!AA48)</f>
        <v>-5100</v>
      </c>
      <c r="AA138" s="41" t="n">
        <f aca="false">IF(ISBLANK(Actuals!AB48),-5000*Escalation!$B$24,Actuals!AB48)</f>
        <v>-5100</v>
      </c>
      <c r="AB138" s="41" t="n">
        <f aca="false">IF(ISBLANK(Actuals!AC48),-5000*Escalation!$B$25,Actuals!AC48)</f>
        <v>-5100</v>
      </c>
      <c r="AC138" s="41" t="n">
        <f aca="false">IF(ISBLANK(Actuals!AD48),-5000*Escalation!$B$26,Actuals!AD48)</f>
        <v>-5202</v>
      </c>
      <c r="AD138" s="41" t="n">
        <f aca="false">IF(ISBLANK(Actuals!AE48),-5000*Escalation!$B$27,Actuals!AE48)</f>
        <v>-5202</v>
      </c>
      <c r="AE138" s="41" t="n">
        <f aca="false">IF(ISBLANK(Actuals!AF48),-5000*Escalation!$B$28,Actuals!AF48)</f>
        <v>-5202</v>
      </c>
      <c r="AF138" s="41" t="n">
        <f aca="false">IF(ISBLANK(Actuals!AG48),-5000*Escalation!$B$29,Actuals!AG48)</f>
        <v>-5202</v>
      </c>
      <c r="AG138" s="41" t="n">
        <f aca="false">IF(ISBLANK(Actuals!AH48),-5000*Escalation!$B$30,Actuals!AH48)</f>
        <v>-5202</v>
      </c>
      <c r="AH138" s="41" t="n">
        <f aca="false">IF(ISBLANK(Actuals!AI48),-5000*Escalation!$B$31,Actuals!AI48)</f>
        <v>-5202</v>
      </c>
      <c r="AI138" s="41" t="n">
        <f aca="false">IF(ISBLANK(Actuals!AJ48),-5000*Escalation!$B$32,Actuals!AJ48)</f>
        <v>-5202</v>
      </c>
      <c r="AJ138" s="41" t="n">
        <f aca="false">IF(ISBLANK(Actuals!AK48),-5000*Escalation!$B$33,Actuals!AK48)</f>
        <v>-5202</v>
      </c>
      <c r="AK138" s="41" t="n">
        <f aca="false">IF(ISBLANK(Actuals!AL48),-5000*Escalation!$B$34,Actuals!AL48)</f>
        <v>-5202</v>
      </c>
      <c r="AL138" s="41" t="n">
        <f aca="false">IF(ISBLANK(Actuals!AM48),-5000*Escalation!$B$35,Actuals!AM48)</f>
        <v>-5202</v>
      </c>
      <c r="AM138" s="41" t="n">
        <f aca="false">IF(ISBLANK(Actuals!AN48),-5000*Escalation!$B$36,Actuals!AN48)</f>
        <v>-5202</v>
      </c>
      <c r="AN138" s="41" t="n">
        <f aca="false">IF(ISBLANK(Actuals!AO48),-5000*Escalation!$B$37,Actuals!AO48)</f>
        <v>-5202</v>
      </c>
      <c r="AO138" s="41" t="n">
        <f aca="false">IF(ISBLANK(Actuals!AP48),-5000*Escalation!$B$38,Actuals!AP48)</f>
        <v>-5306.04</v>
      </c>
      <c r="AP138" s="41" t="n">
        <f aca="false">IF(ISBLANK(Actuals!AQ48),-5000*Escalation!$B$39,Actuals!AQ48)</f>
        <v>-5306.04</v>
      </c>
      <c r="AQ138" s="41" t="n">
        <f aca="false">IF(ISBLANK(Actuals!AR48),-5000*Escalation!$B$40,Actuals!AR48)</f>
        <v>-5306.04</v>
      </c>
      <c r="AR138" s="41" t="n">
        <f aca="false">IF(ISBLANK(Actuals!AS48),-5000*Escalation!$B$41,Actuals!AS48)</f>
        <v>-5306.04</v>
      </c>
      <c r="AS138" s="41" t="n">
        <f aca="false">IF(ISBLANK(Actuals!AT48),-5000*Escalation!$B$42,Actuals!AT48)</f>
        <v>-5306.04</v>
      </c>
      <c r="AT138" s="41" t="n">
        <f aca="false">IF(ISBLANK(Actuals!AU48),-5000*Escalation!$B$43,Actuals!AU48)</f>
        <v>-5306.04</v>
      </c>
      <c r="AU138" s="41" t="n">
        <f aca="false">IF(ISBLANK(Actuals!AV48),-5000*Escalation!$B$44,Actuals!AV48)</f>
        <v>-5306.04</v>
      </c>
      <c r="AV138" s="41" t="n">
        <f aca="false">IF(ISBLANK(Actuals!AW48),-5000*Escalation!$B$45,Actuals!AW48)</f>
        <v>-5306.04</v>
      </c>
      <c r="AW138" s="41" t="n">
        <f aca="false">IF(ISBLANK(Actuals!AX48),-5000*Escalation!$B$46,Actuals!AX48)</f>
        <v>-5306.04</v>
      </c>
      <c r="AX138" s="41" t="n">
        <f aca="false">IF(ISBLANK(Actuals!AY48),-5000*Escalation!$B$47,Actuals!AY48)</f>
        <v>-5306.04</v>
      </c>
      <c r="AY138" s="41" t="n">
        <f aca="false">IF(ISBLANK(Actuals!AZ48),-5000*Escalation!$B$48,Actuals!AZ48)</f>
        <v>-5306.04</v>
      </c>
      <c r="AZ138" s="41" t="n">
        <f aca="false">IF(ISBLANK(Actuals!BA48),-5000*Escalation!$B$49,Actuals!BA48)</f>
        <v>-5306.04</v>
      </c>
      <c r="BA138" s="41" t="n">
        <f aca="false">IF(ISBLANK(Actuals!BB48),-5000*Escalation!$B$50,Actuals!BB48)</f>
        <v>-5412.1608</v>
      </c>
      <c r="BB138" s="41" t="n">
        <f aca="false">IF(ISBLANK(Actuals!BC48),-5000*Escalation!$B$51,Actuals!BC48)</f>
        <v>-5412.1608</v>
      </c>
      <c r="BC138" s="41" t="n">
        <f aca="false">IF(ISBLANK(Actuals!BD48),-5000*Escalation!$B$52,Actuals!BD48)</f>
        <v>-5412.1608</v>
      </c>
      <c r="BD138" s="41" t="n">
        <f aca="false">IF(ISBLANK(Actuals!BE48),-5000*Escalation!$B$53,Actuals!BE48)</f>
        <v>-5412.1608</v>
      </c>
      <c r="BE138" s="41" t="n">
        <f aca="false">IF(ISBLANK(Actuals!BF48),-5000*Escalation!$B$54,Actuals!BF48)</f>
        <v>-5412.1608</v>
      </c>
      <c r="BF138" s="41" t="n">
        <f aca="false">IF(ISBLANK(Actuals!BG48),-5000*Escalation!$B$55,Actuals!BG48)</f>
        <v>-5412.1608</v>
      </c>
      <c r="BG138" s="41" t="n">
        <f aca="false">IF(ISBLANK(Actuals!BH48),-5000*Escalation!$B$56,Actuals!BH48)</f>
        <v>-5412.1608</v>
      </c>
      <c r="BH138" s="41" t="n">
        <f aca="false">IF(ISBLANK(Actuals!BI48),-5000*Escalation!$B$57,Actuals!BI48)</f>
        <v>-5412.1608</v>
      </c>
      <c r="BI138" s="41" t="n">
        <f aca="false">IF(ISBLANK(Actuals!BJ48),-5000*Escalation!$B$58,Actuals!BJ48)</f>
        <v>-5412.1608</v>
      </c>
      <c r="BJ138" s="41" t="n">
        <f aca="false">IF(ISBLANK(Actuals!BK48),-5000*Escalation!$B$59,Actuals!BK48)</f>
        <v>-5412.1608</v>
      </c>
      <c r="BK138" s="41" t="n">
        <f aca="false">IF(ISBLANK(Actuals!BL48),-5000*Escalation!$B$60,Actuals!BL48)</f>
        <v>-5412.1608</v>
      </c>
      <c r="BL138" s="41" t="n">
        <f aca="false">IF(ISBLANK(Actuals!BM48),-5000*Escalation!$B$61,Actuals!BM48)</f>
        <v>-5412.1608</v>
      </c>
      <c r="BM138" s="41" t="n">
        <f aca="false">IF(ISBLANK(Actuals!BN48),-5000*Escalation!$B$62,Actuals!BN48)</f>
        <v>-5520.404016</v>
      </c>
      <c r="BN138" s="41" t="n">
        <f aca="false">IF(ISBLANK(Actuals!BO48),-5000*Escalation!$B$63,Actuals!BO48)</f>
        <v>-5520.404016</v>
      </c>
      <c r="BO138" s="41" t="n">
        <f aca="false">IF(ISBLANK(Actuals!BP48),-5000*Escalation!$B$64,Actuals!BP48)</f>
        <v>-5520.404016</v>
      </c>
      <c r="BP138" s="41" t="n">
        <f aca="false">IF(ISBLANK(Actuals!BQ48),-5000*Escalation!$B$65,Actuals!BQ48)</f>
        <v>-5520.404016</v>
      </c>
      <c r="BQ138" s="41" t="n">
        <f aca="false">IF(ISBLANK(Actuals!BR48),-5000*Escalation!$B$66,Actuals!BR48)</f>
        <v>-5520.404016</v>
      </c>
      <c r="BR138" s="41" t="n">
        <f aca="false">IF(ISBLANK(Actuals!BS48),-5000*Escalation!$B$67,Actuals!BS48)</f>
        <v>-5520.404016</v>
      </c>
      <c r="BS138" s="41" t="n">
        <f aca="false">IF(ISBLANK(Actuals!BT48),-5000*Escalation!$B$68,Actuals!BT48)</f>
        <v>-5520.404016</v>
      </c>
      <c r="BT138" s="41" t="n">
        <f aca="false">IF(ISBLANK(Actuals!BU48),-5000*Escalation!$B$69,Actuals!BU48)</f>
        <v>-5520.404016</v>
      </c>
      <c r="BU138" s="41" t="n">
        <f aca="false">IF(ISBLANK(Actuals!BV48),-5000*Escalation!$B$70,Actuals!BV48)</f>
        <v>-5520.404016</v>
      </c>
      <c r="BV138" s="41" t="n">
        <f aca="false">IF(ISBLANK(Actuals!BW48),-5000*Escalation!$B$71,Actuals!BW48)</f>
        <v>-5520.404016</v>
      </c>
      <c r="BW138" s="41" t="n">
        <f aca="false">IF(ISBLANK(Actuals!BX48),-5000*Escalation!$B$72,Actuals!BX48)</f>
        <v>-5520.404016</v>
      </c>
      <c r="BX138" s="41" t="n">
        <f aca="false">IF(ISBLANK(Actuals!BY48),-5000*Escalation!$B$73,Actuals!BY48)</f>
        <v>-5520.404016</v>
      </c>
      <c r="BY138" s="41" t="n">
        <f aca="false">IF(ISBLANK(Actuals!BZ48),-5000*Escalation!$B$74,Actuals!BZ48)</f>
        <v>-5630.81209632</v>
      </c>
      <c r="BZ138" s="41" t="n">
        <f aca="false">IF(ISBLANK(Actuals!CA48),-5000*Escalation!$B$75,Actuals!CA48)</f>
        <v>-5630.81209632</v>
      </c>
      <c r="CA138" s="41" t="n">
        <f aca="false">IF(ISBLANK(Actuals!CB48),-5000*Escalation!$B$76,Actuals!CB48)</f>
        <v>-5630.81209632</v>
      </c>
      <c r="CB138" s="41" t="n">
        <f aca="false">IF(ISBLANK(Actuals!CC48),-5000*Escalation!$B$77,Actuals!CC48)</f>
        <v>-5630.81209632</v>
      </c>
      <c r="CC138" s="41" t="n">
        <f aca="false">IF(ISBLANK(Actuals!CD48),-5000*Escalation!$B$78,Actuals!CD48)</f>
        <v>-5630.81209632</v>
      </c>
      <c r="CD138" s="41" t="n">
        <f aca="false">IF(ISBLANK(Actuals!CE48),-5000*Escalation!$B$79,Actuals!CE48)</f>
        <v>-5630.81209632</v>
      </c>
      <c r="CE138" s="41" t="n">
        <f aca="false">IF(ISBLANK(Actuals!CF48),-5000*Escalation!$B$80,Actuals!CF48)</f>
        <v>-5630.81209632</v>
      </c>
      <c r="CF138" s="41" t="n">
        <f aca="false">IF(ISBLANK(Actuals!CG48),-5000*Escalation!$B$81,Actuals!CG48)</f>
        <v>-5630.81209632</v>
      </c>
      <c r="CG138" s="41" t="n">
        <f aca="false">IF(ISBLANK(Actuals!CH48),-5000*Escalation!$B$82,Actuals!CH48)</f>
        <v>-5630.81209632</v>
      </c>
      <c r="CH138" s="41" t="n">
        <f aca="false">IF(ISBLANK(Actuals!CI48),-5000*Escalation!$B$83,Actuals!CI48)</f>
        <v>-5630.81209632</v>
      </c>
      <c r="CI138" s="41" t="n">
        <f aca="false">IF(ISBLANK(Actuals!CJ48),-5000*Escalation!$B$84,Actuals!CJ48)</f>
        <v>-5630.81209632</v>
      </c>
      <c r="CJ138" s="41" t="n">
        <f aca="false">IF(ISBLANK(Actuals!CK48),-5000*Escalation!$B$85,Actuals!CK48)</f>
        <v>-5630.81209632</v>
      </c>
      <c r="CK138" s="41" t="n">
        <f aca="false">IF(ISBLANK(Actuals!CL48),-5000*Escalation!$B$86,Actuals!CL48)</f>
        <v>-5743.4283382464</v>
      </c>
      <c r="CL138" s="41" t="n">
        <f aca="false">IF(ISBLANK(Actuals!CM48),-5000*Escalation!$B$87,Actuals!CM48)</f>
        <v>-5743.4283382464</v>
      </c>
      <c r="CM138" s="41" t="n">
        <f aca="false">IF(ISBLANK(Actuals!CN48),-5000*Escalation!$B$88,Actuals!CN48)</f>
        <v>-5743.4283382464</v>
      </c>
      <c r="CN138" s="41" t="n">
        <f aca="false">IF(ISBLANK(Actuals!CO48),-5000*Escalation!$B$89,Actuals!CO48)</f>
        <v>-5743.4283382464</v>
      </c>
      <c r="CO138" s="41" t="n">
        <f aca="false">IF(ISBLANK(Actuals!CP48),-5000*Escalation!$B$90,Actuals!CP48)</f>
        <v>-5743.4283382464</v>
      </c>
      <c r="CP138" s="41" t="n">
        <f aca="false">IF(ISBLANK(Actuals!CQ48),-5000*Escalation!$B$91,Actuals!CQ48)</f>
        <v>-5743.4283382464</v>
      </c>
      <c r="CQ138" s="41" t="n">
        <f aca="false">IF(ISBLANK(Actuals!CR48),-5000*Escalation!$B$92,Actuals!CR48)</f>
        <v>-5743.4283382464</v>
      </c>
      <c r="CR138" s="41" t="n">
        <f aca="false">IF(ISBLANK(Actuals!CS48),-5000*Escalation!$B$93,Actuals!CS48)</f>
        <v>-5743.4283382464</v>
      </c>
      <c r="CS138" s="41" t="n">
        <f aca="false">IF(ISBLANK(Actuals!CT48),-5000*Escalation!$B$94,Actuals!CT48)</f>
        <v>-5743.4283382464</v>
      </c>
      <c r="CT138" s="41" t="n">
        <f aca="false">IF(ISBLANK(Actuals!CU48),-5000*Escalation!$B$95,Actuals!CU48)</f>
        <v>-5743.4283382464</v>
      </c>
      <c r="CU138" s="41" t="n">
        <f aca="false">IF(ISBLANK(Actuals!CV48),-5000*Escalation!$B$96,Actuals!CV48)</f>
        <v>-5743.4283382464</v>
      </c>
      <c r="CV138" s="41" t="n">
        <f aca="false">IF(ISBLANK(Actuals!CW48),-5000*Escalation!$B$97,Actuals!CW48)</f>
        <v>-5743.4283382464</v>
      </c>
      <c r="CW138" s="41" t="n">
        <f aca="false">IF(ISBLANK(Actuals!CX48),-5000*Escalation!$B$98,Actuals!CX48)</f>
        <v>-5858.29690501133</v>
      </c>
      <c r="CX138" s="41" t="n">
        <f aca="false">IF(ISBLANK(Actuals!CY48),-5000*Escalation!$B$99,Actuals!CY48)</f>
        <v>-5858.29690501133</v>
      </c>
      <c r="CY138" s="41" t="n">
        <f aca="false">IF(ISBLANK(Actuals!CZ48),-5000*Escalation!$B$100,Actuals!CZ48)</f>
        <v>-5858.29690501133</v>
      </c>
      <c r="CZ138" s="41" t="n">
        <f aca="false">IF(ISBLANK(Actuals!DA48),-5000*Escalation!$B$101,Actuals!DA48)</f>
        <v>-5858.29690501133</v>
      </c>
      <c r="DA138" s="41" t="n">
        <f aca="false">IF(ISBLANK(Actuals!DB48),-5000*Escalation!$B$102,Actuals!DB48)</f>
        <v>-5858.29690501133</v>
      </c>
      <c r="DB138" s="41" t="n">
        <f aca="false">IF(ISBLANK(Actuals!DC48),-5000*Escalation!$B$103,Actuals!DC48)</f>
        <v>-5858.29690501133</v>
      </c>
      <c r="DC138" s="41" t="n">
        <f aca="false">IF(ISBLANK(Actuals!DD48),-5000*Escalation!$B$104,Actuals!DD48)</f>
        <v>-5858.29690501133</v>
      </c>
      <c r="DD138" s="41" t="n">
        <f aca="false">IF(ISBLANK(Actuals!DE48),-5000*Escalation!$B$105,Actuals!DE48)</f>
        <v>-5858.29690501133</v>
      </c>
      <c r="DE138" s="41" t="n">
        <f aca="false">IF(ISBLANK(Actuals!DF48),-5000*Escalation!$B$106,Actuals!DF48)</f>
        <v>-5858.29690501133</v>
      </c>
    </row>
    <row r="139" customFormat="false" ht="15" hidden="false" customHeight="true" outlineLevel="0" collapsed="false">
      <c r="A139" s="40" t="s">
        <v>88</v>
      </c>
      <c r="B139" s="41" t="n">
        <f aca="false">IF(ISBLANK(Actuals!C49),0,Actuals!C49)</f>
        <v>-1913.91</v>
      </c>
      <c r="C139" s="41" t="n">
        <f aca="false">IF(ISBLANK(Actuals!D49),0,Actuals!D49)</f>
        <v>-2254.72</v>
      </c>
      <c r="D139" s="41" t="n">
        <f aca="false">IF(ISBLANK(Actuals!E49),0,Actuals!E49)</f>
        <v>-1913.91</v>
      </c>
      <c r="E139" s="41" t="n">
        <f aca="false">IF(ISBLANK(Actuals!F49),-417.6*Escalation!$B$2,Actuals!F49)</f>
        <v>-1609.91</v>
      </c>
      <c r="F139" s="41" t="n">
        <f aca="false">IF(ISBLANK(Actuals!G49),-417.6*Escalation!$B$3,Actuals!G49)</f>
        <v>-2760.86</v>
      </c>
      <c r="G139" s="41" t="n">
        <f aca="false">IF(ISBLANK(Actuals!H49),-417.6*Escalation!$B$4,Actuals!H49)</f>
        <v>0</v>
      </c>
      <c r="H139" s="41" t="n">
        <f aca="false">IF(ISBLANK(Actuals!I49),-417.6*Escalation!$B$5,Actuals!I49)</f>
        <v>-417.6</v>
      </c>
      <c r="I139" s="41" t="n">
        <f aca="false">IF(ISBLANK(Actuals!J49),-417.6*Escalation!$B$6,Actuals!J49)</f>
        <v>-417.6</v>
      </c>
      <c r="J139" s="41" t="n">
        <f aca="false">IF(ISBLANK(Actuals!K49),-417.6*Escalation!$B$7,Actuals!K49)</f>
        <v>-417.6</v>
      </c>
      <c r="K139" s="41" t="n">
        <f aca="false">IF(ISBLANK(Actuals!L49),-417.6*Escalation!$B$8,Actuals!L49)</f>
        <v>-417.6</v>
      </c>
      <c r="L139" s="41" t="n">
        <f aca="false">IF(ISBLANK(Actuals!M49),-417.6*Escalation!$B$9,Actuals!M49)</f>
        <v>-417.6</v>
      </c>
      <c r="M139" s="41" t="n">
        <f aca="false">IF(ISBLANK(Actuals!N49),-417.6*Escalation!$B$10,Actuals!N49)</f>
        <v>-417.6</v>
      </c>
      <c r="N139" s="41" t="n">
        <f aca="false">IF(ISBLANK(Actuals!O49),-417.6*Escalation!$B$11,Actuals!O49)</f>
        <v>-417.6</v>
      </c>
      <c r="O139" s="41" t="n">
        <f aca="false">IF(ISBLANK(Actuals!P49),-417.6*Escalation!$B$12,Actuals!P49)</f>
        <v>-417.6</v>
      </c>
      <c r="P139" s="41" t="n">
        <f aca="false">IF(ISBLANK(Actuals!Q49),-417.6*Escalation!$B$13,Actuals!Q49)</f>
        <v>-417.6</v>
      </c>
      <c r="Q139" s="41" t="n">
        <f aca="false">IF(ISBLANK(Actuals!R49),-417.6*Escalation!$B$14,Actuals!R49)</f>
        <v>-425.952</v>
      </c>
      <c r="R139" s="41" t="n">
        <f aca="false">IF(ISBLANK(Actuals!S49),-417.6*Escalation!$B$15,Actuals!S49)</f>
        <v>-425.952</v>
      </c>
      <c r="S139" s="41" t="n">
        <f aca="false">IF(ISBLANK(Actuals!T49),-417.6*Escalation!$B$16,Actuals!T49)</f>
        <v>-425.952</v>
      </c>
      <c r="T139" s="41" t="n">
        <f aca="false">IF(ISBLANK(Actuals!U49),-417.6*Escalation!$B$17,Actuals!U49)</f>
        <v>-425.952</v>
      </c>
      <c r="U139" s="41" t="n">
        <f aca="false">IF(ISBLANK(Actuals!V49),-417.6*Escalation!$B$18,Actuals!V49)</f>
        <v>-425.952</v>
      </c>
      <c r="V139" s="41" t="n">
        <f aca="false">IF(ISBLANK(Actuals!W49),-417.6*Escalation!$B$19,Actuals!W49)</f>
        <v>-425.952</v>
      </c>
      <c r="W139" s="41" t="n">
        <f aca="false">IF(ISBLANK(Actuals!X49),-417.6*Escalation!$B$20,Actuals!X49)</f>
        <v>-425.952</v>
      </c>
      <c r="X139" s="41" t="n">
        <f aca="false">IF(ISBLANK(Actuals!Y49),-417.6*Escalation!$B$21,Actuals!Y49)</f>
        <v>-425.952</v>
      </c>
      <c r="Y139" s="41" t="n">
        <f aca="false">IF(ISBLANK(Actuals!Z49),-417.6*Escalation!$B$22,Actuals!Z49)</f>
        <v>-425.952</v>
      </c>
      <c r="Z139" s="41" t="n">
        <f aca="false">IF(ISBLANK(Actuals!AA49),-417.6*Escalation!$B$23,Actuals!AA49)</f>
        <v>-425.952</v>
      </c>
      <c r="AA139" s="41" t="n">
        <f aca="false">IF(ISBLANK(Actuals!AB49),-417.6*Escalation!$B$24,Actuals!AB49)</f>
        <v>-425.952</v>
      </c>
      <c r="AB139" s="41" t="n">
        <f aca="false">IF(ISBLANK(Actuals!AC49),-417.6*Escalation!$B$25,Actuals!AC49)</f>
        <v>-425.952</v>
      </c>
      <c r="AC139" s="41" t="n">
        <f aca="false">IF(ISBLANK(Actuals!AD49),-417.6*Escalation!$B$26,Actuals!AD49)</f>
        <v>-434.47104</v>
      </c>
      <c r="AD139" s="41" t="n">
        <f aca="false">IF(ISBLANK(Actuals!AE49),-417.6*Escalation!$B$27,Actuals!AE49)</f>
        <v>-434.47104</v>
      </c>
      <c r="AE139" s="41" t="n">
        <f aca="false">IF(ISBLANK(Actuals!AF49),-417.6*Escalation!$B$28,Actuals!AF49)</f>
        <v>-434.47104</v>
      </c>
      <c r="AF139" s="41" t="n">
        <f aca="false">IF(ISBLANK(Actuals!AG49),-417.6*Escalation!$B$29,Actuals!AG49)</f>
        <v>-434.47104</v>
      </c>
      <c r="AG139" s="41" t="n">
        <f aca="false">IF(ISBLANK(Actuals!AH49),-417.6*Escalation!$B$30,Actuals!AH49)</f>
        <v>-434.47104</v>
      </c>
      <c r="AH139" s="41" t="n">
        <f aca="false">IF(ISBLANK(Actuals!AI49),-417.6*Escalation!$B$31,Actuals!AI49)</f>
        <v>-434.47104</v>
      </c>
      <c r="AI139" s="41" t="n">
        <f aca="false">IF(ISBLANK(Actuals!AJ49),-417.6*Escalation!$B$32,Actuals!AJ49)</f>
        <v>-434.47104</v>
      </c>
      <c r="AJ139" s="41" t="n">
        <f aca="false">IF(ISBLANK(Actuals!AK49),-417.6*Escalation!$B$33,Actuals!AK49)</f>
        <v>-434.47104</v>
      </c>
      <c r="AK139" s="41" t="n">
        <f aca="false">IF(ISBLANK(Actuals!AL49),-417.6*Escalation!$B$34,Actuals!AL49)</f>
        <v>-434.47104</v>
      </c>
      <c r="AL139" s="41" t="n">
        <f aca="false">IF(ISBLANK(Actuals!AM49),-417.6*Escalation!$B$35,Actuals!AM49)</f>
        <v>-434.47104</v>
      </c>
      <c r="AM139" s="41" t="n">
        <f aca="false">IF(ISBLANK(Actuals!AN49),-417.6*Escalation!$B$36,Actuals!AN49)</f>
        <v>-434.47104</v>
      </c>
      <c r="AN139" s="41" t="n">
        <f aca="false">IF(ISBLANK(Actuals!AO49),-417.6*Escalation!$B$37,Actuals!AO49)</f>
        <v>-434.47104</v>
      </c>
      <c r="AO139" s="41" t="n">
        <f aca="false">IF(ISBLANK(Actuals!AP49),-417.6*Escalation!$B$38,Actuals!AP49)</f>
        <v>-443.1604608</v>
      </c>
      <c r="AP139" s="41" t="n">
        <f aca="false">IF(ISBLANK(Actuals!AQ49),-417.6*Escalation!$B$39,Actuals!AQ49)</f>
        <v>-443.1604608</v>
      </c>
      <c r="AQ139" s="41" t="n">
        <f aca="false">IF(ISBLANK(Actuals!AR49),-417.6*Escalation!$B$40,Actuals!AR49)</f>
        <v>-443.1604608</v>
      </c>
      <c r="AR139" s="41" t="n">
        <f aca="false">IF(ISBLANK(Actuals!AS49),-417.6*Escalation!$B$41,Actuals!AS49)</f>
        <v>-443.1604608</v>
      </c>
      <c r="AS139" s="41" t="n">
        <f aca="false">IF(ISBLANK(Actuals!AT49),-417.6*Escalation!$B$42,Actuals!AT49)</f>
        <v>-443.1604608</v>
      </c>
      <c r="AT139" s="41" t="n">
        <f aca="false">IF(ISBLANK(Actuals!AU49),-417.6*Escalation!$B$43,Actuals!AU49)</f>
        <v>-443.1604608</v>
      </c>
      <c r="AU139" s="41" t="n">
        <f aca="false">IF(ISBLANK(Actuals!AV49),-417.6*Escalation!$B$44,Actuals!AV49)</f>
        <v>-443.1604608</v>
      </c>
      <c r="AV139" s="41" t="n">
        <f aca="false">IF(ISBLANK(Actuals!AW49),-417.6*Escalation!$B$45,Actuals!AW49)</f>
        <v>-443.1604608</v>
      </c>
      <c r="AW139" s="41" t="n">
        <f aca="false">IF(ISBLANK(Actuals!AX49),-417.6*Escalation!$B$46,Actuals!AX49)</f>
        <v>-443.1604608</v>
      </c>
      <c r="AX139" s="41" t="n">
        <f aca="false">IF(ISBLANK(Actuals!AY49),-417.6*Escalation!$B$47,Actuals!AY49)</f>
        <v>-443.1604608</v>
      </c>
      <c r="AY139" s="41" t="n">
        <f aca="false">IF(ISBLANK(Actuals!AZ49),-417.6*Escalation!$B$48,Actuals!AZ49)</f>
        <v>-443.1604608</v>
      </c>
      <c r="AZ139" s="41" t="n">
        <f aca="false">IF(ISBLANK(Actuals!BA49),-417.6*Escalation!$B$49,Actuals!BA49)</f>
        <v>-443.1604608</v>
      </c>
      <c r="BA139" s="41" t="n">
        <f aca="false">IF(ISBLANK(Actuals!BB49),-417.6*Escalation!$B$50,Actuals!BB49)</f>
        <v>-452.023670016</v>
      </c>
      <c r="BB139" s="41" t="n">
        <f aca="false">IF(ISBLANK(Actuals!BC49),-417.6*Escalation!$B$51,Actuals!BC49)</f>
        <v>-452.023670016</v>
      </c>
      <c r="BC139" s="41" t="n">
        <f aca="false">IF(ISBLANK(Actuals!BD49),-417.6*Escalation!$B$52,Actuals!BD49)</f>
        <v>-452.023670016</v>
      </c>
      <c r="BD139" s="41" t="n">
        <f aca="false">IF(ISBLANK(Actuals!BE49),-417.6*Escalation!$B$53,Actuals!BE49)</f>
        <v>-452.023670016</v>
      </c>
      <c r="BE139" s="41" t="n">
        <f aca="false">IF(ISBLANK(Actuals!BF49),-417.6*Escalation!$B$54,Actuals!BF49)</f>
        <v>-452.023670016</v>
      </c>
      <c r="BF139" s="41" t="n">
        <f aca="false">IF(ISBLANK(Actuals!BG49),-417.6*Escalation!$B$55,Actuals!BG49)</f>
        <v>-452.023670016</v>
      </c>
      <c r="BG139" s="41" t="n">
        <f aca="false">IF(ISBLANK(Actuals!BH49),-417.6*Escalation!$B$56,Actuals!BH49)</f>
        <v>-452.023670016</v>
      </c>
      <c r="BH139" s="41" t="n">
        <f aca="false">IF(ISBLANK(Actuals!BI49),-417.6*Escalation!$B$57,Actuals!BI49)</f>
        <v>-452.023670016</v>
      </c>
      <c r="BI139" s="41" t="n">
        <f aca="false">IF(ISBLANK(Actuals!BJ49),-417.6*Escalation!$B$58,Actuals!BJ49)</f>
        <v>-452.023670016</v>
      </c>
      <c r="BJ139" s="41" t="n">
        <f aca="false">IF(ISBLANK(Actuals!BK49),-417.6*Escalation!$B$59,Actuals!BK49)</f>
        <v>-452.023670016</v>
      </c>
      <c r="BK139" s="41" t="n">
        <f aca="false">IF(ISBLANK(Actuals!BL49),-417.6*Escalation!$B$60,Actuals!BL49)</f>
        <v>-452.023670016</v>
      </c>
      <c r="BL139" s="41" t="n">
        <f aca="false">IF(ISBLANK(Actuals!BM49),-417.6*Escalation!$B$61,Actuals!BM49)</f>
        <v>-452.023670016</v>
      </c>
      <c r="BM139" s="41" t="n">
        <f aca="false">IF(ISBLANK(Actuals!BN49),-417.6*Escalation!$B$62,Actuals!BN49)</f>
        <v>-461.06414341632</v>
      </c>
      <c r="BN139" s="41" t="n">
        <f aca="false">IF(ISBLANK(Actuals!BO49),-417.6*Escalation!$B$63,Actuals!BO49)</f>
        <v>-461.06414341632</v>
      </c>
      <c r="BO139" s="41" t="n">
        <f aca="false">IF(ISBLANK(Actuals!BP49),-417.6*Escalation!$B$64,Actuals!BP49)</f>
        <v>-461.06414341632</v>
      </c>
      <c r="BP139" s="41" t="n">
        <f aca="false">IF(ISBLANK(Actuals!BQ49),-417.6*Escalation!$B$65,Actuals!BQ49)</f>
        <v>-461.06414341632</v>
      </c>
      <c r="BQ139" s="41" t="n">
        <f aca="false">IF(ISBLANK(Actuals!BR49),-417.6*Escalation!$B$66,Actuals!BR49)</f>
        <v>-461.06414341632</v>
      </c>
      <c r="BR139" s="41" t="n">
        <f aca="false">IF(ISBLANK(Actuals!BS49),-417.6*Escalation!$B$67,Actuals!BS49)</f>
        <v>-461.06414341632</v>
      </c>
      <c r="BS139" s="41" t="n">
        <f aca="false">IF(ISBLANK(Actuals!BT49),-417.6*Escalation!$B$68,Actuals!BT49)</f>
        <v>-461.06414341632</v>
      </c>
      <c r="BT139" s="41" t="n">
        <f aca="false">IF(ISBLANK(Actuals!BU49),-417.6*Escalation!$B$69,Actuals!BU49)</f>
        <v>-461.06414341632</v>
      </c>
      <c r="BU139" s="41" t="n">
        <f aca="false">IF(ISBLANK(Actuals!BV49),-417.6*Escalation!$B$70,Actuals!BV49)</f>
        <v>-461.06414341632</v>
      </c>
      <c r="BV139" s="41" t="n">
        <f aca="false">IF(ISBLANK(Actuals!BW49),-417.6*Escalation!$B$71,Actuals!BW49)</f>
        <v>-461.06414341632</v>
      </c>
      <c r="BW139" s="41" t="n">
        <f aca="false">IF(ISBLANK(Actuals!BX49),-417.6*Escalation!$B$72,Actuals!BX49)</f>
        <v>-461.06414341632</v>
      </c>
      <c r="BX139" s="41" t="n">
        <f aca="false">IF(ISBLANK(Actuals!BY49),-417.6*Escalation!$B$73,Actuals!BY49)</f>
        <v>-461.06414341632</v>
      </c>
      <c r="BY139" s="41" t="n">
        <f aca="false">IF(ISBLANK(Actuals!BZ49),-417.6*Escalation!$B$74,Actuals!BZ49)</f>
        <v>-470.285426284646</v>
      </c>
      <c r="BZ139" s="41" t="n">
        <f aca="false">IF(ISBLANK(Actuals!CA49),-417.6*Escalation!$B$75,Actuals!CA49)</f>
        <v>-470.285426284646</v>
      </c>
      <c r="CA139" s="41" t="n">
        <f aca="false">IF(ISBLANK(Actuals!CB49),-417.6*Escalation!$B$76,Actuals!CB49)</f>
        <v>-470.285426284646</v>
      </c>
      <c r="CB139" s="41" t="n">
        <f aca="false">IF(ISBLANK(Actuals!CC49),-417.6*Escalation!$B$77,Actuals!CC49)</f>
        <v>-470.285426284646</v>
      </c>
      <c r="CC139" s="41" t="n">
        <f aca="false">IF(ISBLANK(Actuals!CD49),-417.6*Escalation!$B$78,Actuals!CD49)</f>
        <v>-470.285426284646</v>
      </c>
      <c r="CD139" s="41" t="n">
        <f aca="false">IF(ISBLANK(Actuals!CE49),-417.6*Escalation!$B$79,Actuals!CE49)</f>
        <v>-470.285426284646</v>
      </c>
      <c r="CE139" s="41" t="n">
        <f aca="false">IF(ISBLANK(Actuals!CF49),-417.6*Escalation!$B$80,Actuals!CF49)</f>
        <v>-470.285426284646</v>
      </c>
      <c r="CF139" s="41" t="n">
        <f aca="false">IF(ISBLANK(Actuals!CG49),-417.6*Escalation!$B$81,Actuals!CG49)</f>
        <v>-470.285426284646</v>
      </c>
      <c r="CG139" s="41" t="n">
        <f aca="false">IF(ISBLANK(Actuals!CH49),-417.6*Escalation!$B$82,Actuals!CH49)</f>
        <v>-470.285426284646</v>
      </c>
      <c r="CH139" s="41" t="n">
        <f aca="false">IF(ISBLANK(Actuals!CI49),-417.6*Escalation!$B$83,Actuals!CI49)</f>
        <v>-470.285426284646</v>
      </c>
      <c r="CI139" s="41" t="n">
        <f aca="false">IF(ISBLANK(Actuals!CJ49),-417.6*Escalation!$B$84,Actuals!CJ49)</f>
        <v>-470.285426284646</v>
      </c>
      <c r="CJ139" s="41" t="n">
        <f aca="false">IF(ISBLANK(Actuals!CK49),-417.6*Escalation!$B$85,Actuals!CK49)</f>
        <v>-470.285426284646</v>
      </c>
      <c r="CK139" s="41" t="n">
        <f aca="false">IF(ISBLANK(Actuals!CL49),-417.6*Escalation!$B$86,Actuals!CL49)</f>
        <v>-479.691134810339</v>
      </c>
      <c r="CL139" s="41" t="n">
        <f aca="false">IF(ISBLANK(Actuals!CM49),-417.6*Escalation!$B$87,Actuals!CM49)</f>
        <v>-479.691134810339</v>
      </c>
      <c r="CM139" s="41" t="n">
        <f aca="false">IF(ISBLANK(Actuals!CN49),-417.6*Escalation!$B$88,Actuals!CN49)</f>
        <v>-479.691134810339</v>
      </c>
      <c r="CN139" s="41" t="n">
        <f aca="false">IF(ISBLANK(Actuals!CO49),-417.6*Escalation!$B$89,Actuals!CO49)</f>
        <v>-479.691134810339</v>
      </c>
      <c r="CO139" s="41" t="n">
        <f aca="false">IF(ISBLANK(Actuals!CP49),-417.6*Escalation!$B$90,Actuals!CP49)</f>
        <v>-479.691134810339</v>
      </c>
      <c r="CP139" s="41" t="n">
        <f aca="false">IF(ISBLANK(Actuals!CQ49),-417.6*Escalation!$B$91,Actuals!CQ49)</f>
        <v>-479.691134810339</v>
      </c>
      <c r="CQ139" s="41" t="n">
        <f aca="false">IF(ISBLANK(Actuals!CR49),-417.6*Escalation!$B$92,Actuals!CR49)</f>
        <v>-479.691134810339</v>
      </c>
      <c r="CR139" s="41" t="n">
        <f aca="false">IF(ISBLANK(Actuals!CS49),-417.6*Escalation!$B$93,Actuals!CS49)</f>
        <v>-479.691134810339</v>
      </c>
      <c r="CS139" s="41" t="n">
        <f aca="false">IF(ISBLANK(Actuals!CT49),-417.6*Escalation!$B$94,Actuals!CT49)</f>
        <v>-479.691134810339</v>
      </c>
      <c r="CT139" s="41" t="n">
        <f aca="false">IF(ISBLANK(Actuals!CU49),-417.6*Escalation!$B$95,Actuals!CU49)</f>
        <v>-479.691134810339</v>
      </c>
      <c r="CU139" s="41" t="n">
        <f aca="false">IF(ISBLANK(Actuals!CV49),-417.6*Escalation!$B$96,Actuals!CV49)</f>
        <v>-479.691134810339</v>
      </c>
      <c r="CV139" s="41" t="n">
        <f aca="false">IF(ISBLANK(Actuals!CW49),-417.6*Escalation!$B$97,Actuals!CW49)</f>
        <v>-479.691134810339</v>
      </c>
      <c r="CW139" s="41" t="n">
        <f aca="false">IF(ISBLANK(Actuals!CX49),-417.6*Escalation!$B$98,Actuals!CX49)</f>
        <v>-489.284957506546</v>
      </c>
      <c r="CX139" s="41" t="n">
        <f aca="false">IF(ISBLANK(Actuals!CY49),-417.6*Escalation!$B$99,Actuals!CY49)</f>
        <v>-489.284957506546</v>
      </c>
      <c r="CY139" s="41" t="n">
        <f aca="false">IF(ISBLANK(Actuals!CZ49),-417.6*Escalation!$B$100,Actuals!CZ49)</f>
        <v>-489.284957506546</v>
      </c>
      <c r="CZ139" s="41" t="n">
        <f aca="false">IF(ISBLANK(Actuals!DA49),-417.6*Escalation!$B$101,Actuals!DA49)</f>
        <v>-489.284957506546</v>
      </c>
      <c r="DA139" s="41" t="n">
        <f aca="false">IF(ISBLANK(Actuals!DB49),-417.6*Escalation!$B$102,Actuals!DB49)</f>
        <v>-489.284957506546</v>
      </c>
      <c r="DB139" s="41" t="n">
        <f aca="false">IF(ISBLANK(Actuals!DC49),-417.6*Escalation!$B$103,Actuals!DC49)</f>
        <v>-489.284957506546</v>
      </c>
      <c r="DC139" s="41" t="n">
        <f aca="false">IF(ISBLANK(Actuals!DD49),-417.6*Escalation!$B$104,Actuals!DD49)</f>
        <v>-489.284957506546</v>
      </c>
      <c r="DD139" s="41" t="n">
        <f aca="false">IF(ISBLANK(Actuals!DE49),-417.6*Escalation!$B$105,Actuals!DE49)</f>
        <v>-489.284957506546</v>
      </c>
      <c r="DE139" s="41" t="n">
        <f aca="false">IF(ISBLANK(Actuals!DF49),-417.6*Escalation!$B$106,Actuals!DF49)</f>
        <v>-489.284957506546</v>
      </c>
    </row>
    <row r="140" customFormat="false" ht="15" hidden="false" customHeight="true" outlineLevel="0" collapsed="false">
      <c r="A140" s="29" t="s">
        <v>89</v>
      </c>
      <c r="B140" s="41" t="n">
        <f aca="false">IF(ISBLANK(Actuals!C50),0,Actuals!C50)</f>
        <v>0</v>
      </c>
      <c r="C140" s="41" t="n">
        <f aca="false">IF(ISBLANK(Actuals!D50),0,Actuals!D50)</f>
        <v>-75</v>
      </c>
      <c r="D140" s="41" t="n">
        <f aca="false">IF(ISBLANK(Actuals!E50),0,Actuals!E50)</f>
        <v>-5</v>
      </c>
      <c r="E140" s="41" t="n">
        <f aca="false">IF(ISBLANK(Actuals!F50),-26.67*Escalation!$B$2,Actuals!F50)</f>
        <v>0</v>
      </c>
      <c r="F140" s="41" t="n">
        <f aca="false">IF(ISBLANK(Actuals!G50),-26.67*Escalation!$B$3,Actuals!G50)</f>
        <v>0</v>
      </c>
      <c r="G140" s="41" t="n">
        <f aca="false">IF(ISBLANK(Actuals!H50),-26.67*Escalation!$B$4,Actuals!H50)</f>
        <v>0</v>
      </c>
      <c r="H140" s="41" t="n">
        <f aca="false">IF(ISBLANK(Actuals!I50),-26.67*Escalation!$B$5,Actuals!I50)</f>
        <v>-26.67</v>
      </c>
      <c r="I140" s="41" t="n">
        <f aca="false">IF(ISBLANK(Actuals!J50),-26.67*Escalation!$B$6,Actuals!J50)</f>
        <v>-26.67</v>
      </c>
      <c r="J140" s="41" t="n">
        <f aca="false">IF(ISBLANK(Actuals!K50),-26.67*Escalation!$B$7,Actuals!K50)</f>
        <v>-26.67</v>
      </c>
      <c r="K140" s="41" t="n">
        <f aca="false">IF(ISBLANK(Actuals!L50),-26.67*Escalation!$B$8,Actuals!L50)</f>
        <v>-26.67</v>
      </c>
      <c r="L140" s="41" t="n">
        <f aca="false">IF(ISBLANK(Actuals!M50),-26.67*Escalation!$B$9,Actuals!M50)</f>
        <v>-26.67</v>
      </c>
      <c r="M140" s="41" t="n">
        <f aca="false">IF(ISBLANK(Actuals!N50),-26.67*Escalation!$B$10,Actuals!N50)</f>
        <v>-26.67</v>
      </c>
      <c r="N140" s="41" t="n">
        <f aca="false">IF(ISBLANK(Actuals!O50),-26.67*Escalation!$B$11,Actuals!O50)</f>
        <v>-26.67</v>
      </c>
      <c r="O140" s="41" t="n">
        <f aca="false">IF(ISBLANK(Actuals!P50),-26.67*Escalation!$B$12,Actuals!P50)</f>
        <v>-26.67</v>
      </c>
      <c r="P140" s="41" t="n">
        <f aca="false">IF(ISBLANK(Actuals!Q50),-26.67*Escalation!$B$13,Actuals!Q50)</f>
        <v>-26.67</v>
      </c>
      <c r="Q140" s="41" t="n">
        <f aca="false">IF(ISBLANK(Actuals!R50),-26.67*Escalation!$B$14,Actuals!R50)</f>
        <v>-27.2034</v>
      </c>
      <c r="R140" s="41" t="n">
        <f aca="false">IF(ISBLANK(Actuals!S50),-26.67*Escalation!$B$15,Actuals!S50)</f>
        <v>-27.2034</v>
      </c>
      <c r="S140" s="41" t="n">
        <f aca="false">IF(ISBLANK(Actuals!T50),-26.67*Escalation!$B$16,Actuals!T50)</f>
        <v>-27.2034</v>
      </c>
      <c r="T140" s="41" t="n">
        <f aca="false">IF(ISBLANK(Actuals!U50),-26.67*Escalation!$B$17,Actuals!U50)</f>
        <v>-27.2034</v>
      </c>
      <c r="U140" s="41" t="n">
        <f aca="false">IF(ISBLANK(Actuals!V50),-26.67*Escalation!$B$18,Actuals!V50)</f>
        <v>-27.2034</v>
      </c>
      <c r="V140" s="41" t="n">
        <f aca="false">IF(ISBLANK(Actuals!W50),-26.67*Escalation!$B$19,Actuals!W50)</f>
        <v>-27.2034</v>
      </c>
      <c r="W140" s="41" t="n">
        <f aca="false">IF(ISBLANK(Actuals!X50),-26.67*Escalation!$B$20,Actuals!X50)</f>
        <v>-27.2034</v>
      </c>
      <c r="X140" s="41" t="n">
        <f aca="false">IF(ISBLANK(Actuals!Y50),-26.67*Escalation!$B$21,Actuals!Y50)</f>
        <v>-27.2034</v>
      </c>
      <c r="Y140" s="41" t="n">
        <f aca="false">IF(ISBLANK(Actuals!Z50),-26.67*Escalation!$B$22,Actuals!Z50)</f>
        <v>-27.2034</v>
      </c>
      <c r="Z140" s="41" t="n">
        <f aca="false">IF(ISBLANK(Actuals!AA50),-26.67*Escalation!$B$23,Actuals!AA50)</f>
        <v>-27.2034</v>
      </c>
      <c r="AA140" s="41" t="n">
        <f aca="false">IF(ISBLANK(Actuals!AB50),-26.67*Escalation!$B$24,Actuals!AB50)</f>
        <v>-27.2034</v>
      </c>
      <c r="AB140" s="41" t="n">
        <f aca="false">IF(ISBLANK(Actuals!AC50),-26.67*Escalation!$B$25,Actuals!AC50)</f>
        <v>-27.2034</v>
      </c>
      <c r="AC140" s="41" t="n">
        <f aca="false">IF(ISBLANK(Actuals!AD50),-26.67*Escalation!$B$26,Actuals!AD50)</f>
        <v>-27.747468</v>
      </c>
      <c r="AD140" s="41" t="n">
        <f aca="false">IF(ISBLANK(Actuals!AE50),-26.67*Escalation!$B$27,Actuals!AE50)</f>
        <v>-27.747468</v>
      </c>
      <c r="AE140" s="41" t="n">
        <f aca="false">IF(ISBLANK(Actuals!AF50),-26.67*Escalation!$B$28,Actuals!AF50)</f>
        <v>-27.747468</v>
      </c>
      <c r="AF140" s="41" t="n">
        <f aca="false">IF(ISBLANK(Actuals!AG50),-26.67*Escalation!$B$29,Actuals!AG50)</f>
        <v>-27.747468</v>
      </c>
      <c r="AG140" s="41" t="n">
        <f aca="false">IF(ISBLANK(Actuals!AH50),-26.67*Escalation!$B$30,Actuals!AH50)</f>
        <v>-27.747468</v>
      </c>
      <c r="AH140" s="41" t="n">
        <f aca="false">IF(ISBLANK(Actuals!AI50),-26.67*Escalation!$B$31,Actuals!AI50)</f>
        <v>-27.747468</v>
      </c>
      <c r="AI140" s="41" t="n">
        <f aca="false">IF(ISBLANK(Actuals!AJ50),-26.67*Escalation!$B$32,Actuals!AJ50)</f>
        <v>-27.747468</v>
      </c>
      <c r="AJ140" s="41" t="n">
        <f aca="false">IF(ISBLANK(Actuals!AK50),-26.67*Escalation!$B$33,Actuals!AK50)</f>
        <v>-27.747468</v>
      </c>
      <c r="AK140" s="41" t="n">
        <f aca="false">IF(ISBLANK(Actuals!AL50),-26.67*Escalation!$B$34,Actuals!AL50)</f>
        <v>-27.747468</v>
      </c>
      <c r="AL140" s="41" t="n">
        <f aca="false">IF(ISBLANK(Actuals!AM50),-26.67*Escalation!$B$35,Actuals!AM50)</f>
        <v>-27.747468</v>
      </c>
      <c r="AM140" s="41" t="n">
        <f aca="false">IF(ISBLANK(Actuals!AN50),-26.67*Escalation!$B$36,Actuals!AN50)</f>
        <v>-27.747468</v>
      </c>
      <c r="AN140" s="41" t="n">
        <f aca="false">IF(ISBLANK(Actuals!AO50),-26.67*Escalation!$B$37,Actuals!AO50)</f>
        <v>-27.747468</v>
      </c>
      <c r="AO140" s="41" t="n">
        <f aca="false">IF(ISBLANK(Actuals!AP50),-26.67*Escalation!$B$38,Actuals!AP50)</f>
        <v>-28.30241736</v>
      </c>
      <c r="AP140" s="41" t="n">
        <f aca="false">IF(ISBLANK(Actuals!AQ50),-26.67*Escalation!$B$39,Actuals!AQ50)</f>
        <v>-28.30241736</v>
      </c>
      <c r="AQ140" s="41" t="n">
        <f aca="false">IF(ISBLANK(Actuals!AR50),-26.67*Escalation!$B$40,Actuals!AR50)</f>
        <v>-28.30241736</v>
      </c>
      <c r="AR140" s="41" t="n">
        <f aca="false">IF(ISBLANK(Actuals!AS50),-26.67*Escalation!$B$41,Actuals!AS50)</f>
        <v>-28.30241736</v>
      </c>
      <c r="AS140" s="41" t="n">
        <f aca="false">IF(ISBLANK(Actuals!AT50),-26.67*Escalation!$B$42,Actuals!AT50)</f>
        <v>-28.30241736</v>
      </c>
      <c r="AT140" s="41" t="n">
        <f aca="false">IF(ISBLANK(Actuals!AU50),-26.67*Escalation!$B$43,Actuals!AU50)</f>
        <v>-28.30241736</v>
      </c>
      <c r="AU140" s="41" t="n">
        <f aca="false">IF(ISBLANK(Actuals!AV50),-26.67*Escalation!$B$44,Actuals!AV50)</f>
        <v>-28.30241736</v>
      </c>
      <c r="AV140" s="41" t="n">
        <f aca="false">IF(ISBLANK(Actuals!AW50),-26.67*Escalation!$B$45,Actuals!AW50)</f>
        <v>-28.30241736</v>
      </c>
      <c r="AW140" s="41" t="n">
        <f aca="false">IF(ISBLANK(Actuals!AX50),-26.67*Escalation!$B$46,Actuals!AX50)</f>
        <v>-28.30241736</v>
      </c>
      <c r="AX140" s="41" t="n">
        <f aca="false">IF(ISBLANK(Actuals!AY50),-26.67*Escalation!$B$47,Actuals!AY50)</f>
        <v>-28.30241736</v>
      </c>
      <c r="AY140" s="41" t="n">
        <f aca="false">IF(ISBLANK(Actuals!AZ50),-26.67*Escalation!$B$48,Actuals!AZ50)</f>
        <v>-28.30241736</v>
      </c>
      <c r="AZ140" s="41" t="n">
        <f aca="false">IF(ISBLANK(Actuals!BA50),-26.67*Escalation!$B$49,Actuals!BA50)</f>
        <v>-28.30241736</v>
      </c>
      <c r="BA140" s="41" t="n">
        <f aca="false">IF(ISBLANK(Actuals!BB50),-26.67*Escalation!$B$50,Actuals!BB50)</f>
        <v>-28.8684657072</v>
      </c>
      <c r="BB140" s="41" t="n">
        <f aca="false">IF(ISBLANK(Actuals!BC50),-26.67*Escalation!$B$51,Actuals!BC50)</f>
        <v>-28.8684657072</v>
      </c>
      <c r="BC140" s="41" t="n">
        <f aca="false">IF(ISBLANK(Actuals!BD50),-26.67*Escalation!$B$52,Actuals!BD50)</f>
        <v>-28.8684657072</v>
      </c>
      <c r="BD140" s="41" t="n">
        <f aca="false">IF(ISBLANK(Actuals!BE50),-26.67*Escalation!$B$53,Actuals!BE50)</f>
        <v>-28.8684657072</v>
      </c>
      <c r="BE140" s="41" t="n">
        <f aca="false">IF(ISBLANK(Actuals!BF50),-26.67*Escalation!$B$54,Actuals!BF50)</f>
        <v>-28.8684657072</v>
      </c>
      <c r="BF140" s="41" t="n">
        <f aca="false">IF(ISBLANK(Actuals!BG50),-26.67*Escalation!$B$55,Actuals!BG50)</f>
        <v>-28.8684657072</v>
      </c>
      <c r="BG140" s="41" t="n">
        <f aca="false">IF(ISBLANK(Actuals!BH50),-26.67*Escalation!$B$56,Actuals!BH50)</f>
        <v>-28.8684657072</v>
      </c>
      <c r="BH140" s="41" t="n">
        <f aca="false">IF(ISBLANK(Actuals!BI50),-26.67*Escalation!$B$57,Actuals!BI50)</f>
        <v>-28.8684657072</v>
      </c>
      <c r="BI140" s="41" t="n">
        <f aca="false">IF(ISBLANK(Actuals!BJ50),-26.67*Escalation!$B$58,Actuals!BJ50)</f>
        <v>-28.8684657072</v>
      </c>
      <c r="BJ140" s="41" t="n">
        <f aca="false">IF(ISBLANK(Actuals!BK50),-26.67*Escalation!$B$59,Actuals!BK50)</f>
        <v>-28.8684657072</v>
      </c>
      <c r="BK140" s="41" t="n">
        <f aca="false">IF(ISBLANK(Actuals!BL50),-26.67*Escalation!$B$60,Actuals!BL50)</f>
        <v>-28.8684657072</v>
      </c>
      <c r="BL140" s="41" t="n">
        <f aca="false">IF(ISBLANK(Actuals!BM50),-26.67*Escalation!$B$61,Actuals!BM50)</f>
        <v>-28.8684657072</v>
      </c>
      <c r="BM140" s="41" t="n">
        <f aca="false">IF(ISBLANK(Actuals!BN50),-26.67*Escalation!$B$62,Actuals!BN50)</f>
        <v>-29.445835021344</v>
      </c>
      <c r="BN140" s="41" t="n">
        <f aca="false">IF(ISBLANK(Actuals!BO50),-26.67*Escalation!$B$63,Actuals!BO50)</f>
        <v>-29.445835021344</v>
      </c>
      <c r="BO140" s="41" t="n">
        <f aca="false">IF(ISBLANK(Actuals!BP50),-26.67*Escalation!$B$64,Actuals!BP50)</f>
        <v>-29.445835021344</v>
      </c>
      <c r="BP140" s="41" t="n">
        <f aca="false">IF(ISBLANK(Actuals!BQ50),-26.67*Escalation!$B$65,Actuals!BQ50)</f>
        <v>-29.445835021344</v>
      </c>
      <c r="BQ140" s="41" t="n">
        <f aca="false">IF(ISBLANK(Actuals!BR50),-26.67*Escalation!$B$66,Actuals!BR50)</f>
        <v>-29.445835021344</v>
      </c>
      <c r="BR140" s="41" t="n">
        <f aca="false">IF(ISBLANK(Actuals!BS50),-26.67*Escalation!$B$67,Actuals!BS50)</f>
        <v>-29.445835021344</v>
      </c>
      <c r="BS140" s="41" t="n">
        <f aca="false">IF(ISBLANK(Actuals!BT50),-26.67*Escalation!$B$68,Actuals!BT50)</f>
        <v>-29.445835021344</v>
      </c>
      <c r="BT140" s="41" t="n">
        <f aca="false">IF(ISBLANK(Actuals!BU50),-26.67*Escalation!$B$69,Actuals!BU50)</f>
        <v>-29.445835021344</v>
      </c>
      <c r="BU140" s="41" t="n">
        <f aca="false">IF(ISBLANK(Actuals!BV50),-26.67*Escalation!$B$70,Actuals!BV50)</f>
        <v>-29.445835021344</v>
      </c>
      <c r="BV140" s="41" t="n">
        <f aca="false">IF(ISBLANK(Actuals!BW50),-26.67*Escalation!$B$71,Actuals!BW50)</f>
        <v>-29.445835021344</v>
      </c>
      <c r="BW140" s="41" t="n">
        <f aca="false">IF(ISBLANK(Actuals!BX50),-26.67*Escalation!$B$72,Actuals!BX50)</f>
        <v>-29.445835021344</v>
      </c>
      <c r="BX140" s="41" t="n">
        <f aca="false">IF(ISBLANK(Actuals!BY50),-26.67*Escalation!$B$73,Actuals!BY50)</f>
        <v>-29.445835021344</v>
      </c>
      <c r="BY140" s="41" t="n">
        <f aca="false">IF(ISBLANK(Actuals!BZ50),-26.67*Escalation!$B$74,Actuals!BZ50)</f>
        <v>-30.0347517217709</v>
      </c>
      <c r="BZ140" s="41" t="n">
        <f aca="false">IF(ISBLANK(Actuals!CA50),-26.67*Escalation!$B$75,Actuals!CA50)</f>
        <v>-30.0347517217709</v>
      </c>
      <c r="CA140" s="41" t="n">
        <f aca="false">IF(ISBLANK(Actuals!CB50),-26.67*Escalation!$B$76,Actuals!CB50)</f>
        <v>-30.0347517217709</v>
      </c>
      <c r="CB140" s="41" t="n">
        <f aca="false">IF(ISBLANK(Actuals!CC50),-26.67*Escalation!$B$77,Actuals!CC50)</f>
        <v>-30.0347517217709</v>
      </c>
      <c r="CC140" s="41" t="n">
        <f aca="false">IF(ISBLANK(Actuals!CD50),-26.67*Escalation!$B$78,Actuals!CD50)</f>
        <v>-30.0347517217709</v>
      </c>
      <c r="CD140" s="41" t="n">
        <f aca="false">IF(ISBLANK(Actuals!CE50),-26.67*Escalation!$B$79,Actuals!CE50)</f>
        <v>-30.0347517217709</v>
      </c>
      <c r="CE140" s="41" t="n">
        <f aca="false">IF(ISBLANK(Actuals!CF50),-26.67*Escalation!$B$80,Actuals!CF50)</f>
        <v>-30.0347517217709</v>
      </c>
      <c r="CF140" s="41" t="n">
        <f aca="false">IF(ISBLANK(Actuals!CG50),-26.67*Escalation!$B$81,Actuals!CG50)</f>
        <v>-30.0347517217709</v>
      </c>
      <c r="CG140" s="41" t="n">
        <f aca="false">IF(ISBLANK(Actuals!CH50),-26.67*Escalation!$B$82,Actuals!CH50)</f>
        <v>-30.0347517217709</v>
      </c>
      <c r="CH140" s="41" t="n">
        <f aca="false">IF(ISBLANK(Actuals!CI50),-26.67*Escalation!$B$83,Actuals!CI50)</f>
        <v>-30.0347517217709</v>
      </c>
      <c r="CI140" s="41" t="n">
        <f aca="false">IF(ISBLANK(Actuals!CJ50),-26.67*Escalation!$B$84,Actuals!CJ50)</f>
        <v>-30.0347517217709</v>
      </c>
      <c r="CJ140" s="41" t="n">
        <f aca="false">IF(ISBLANK(Actuals!CK50),-26.67*Escalation!$B$85,Actuals!CK50)</f>
        <v>-30.0347517217709</v>
      </c>
      <c r="CK140" s="41" t="n">
        <f aca="false">IF(ISBLANK(Actuals!CL50),-26.67*Escalation!$B$86,Actuals!CL50)</f>
        <v>-30.6354467562063</v>
      </c>
      <c r="CL140" s="41" t="n">
        <f aca="false">IF(ISBLANK(Actuals!CM50),-26.67*Escalation!$B$87,Actuals!CM50)</f>
        <v>-30.6354467562063</v>
      </c>
      <c r="CM140" s="41" t="n">
        <f aca="false">IF(ISBLANK(Actuals!CN50),-26.67*Escalation!$B$88,Actuals!CN50)</f>
        <v>-30.6354467562063</v>
      </c>
      <c r="CN140" s="41" t="n">
        <f aca="false">IF(ISBLANK(Actuals!CO50),-26.67*Escalation!$B$89,Actuals!CO50)</f>
        <v>-30.6354467562063</v>
      </c>
      <c r="CO140" s="41" t="n">
        <f aca="false">IF(ISBLANK(Actuals!CP50),-26.67*Escalation!$B$90,Actuals!CP50)</f>
        <v>-30.6354467562063</v>
      </c>
      <c r="CP140" s="41" t="n">
        <f aca="false">IF(ISBLANK(Actuals!CQ50),-26.67*Escalation!$B$91,Actuals!CQ50)</f>
        <v>-30.6354467562063</v>
      </c>
      <c r="CQ140" s="41" t="n">
        <f aca="false">IF(ISBLANK(Actuals!CR50),-26.67*Escalation!$B$92,Actuals!CR50)</f>
        <v>-30.6354467562063</v>
      </c>
      <c r="CR140" s="41" t="n">
        <f aca="false">IF(ISBLANK(Actuals!CS50),-26.67*Escalation!$B$93,Actuals!CS50)</f>
        <v>-30.6354467562063</v>
      </c>
      <c r="CS140" s="41" t="n">
        <f aca="false">IF(ISBLANK(Actuals!CT50),-26.67*Escalation!$B$94,Actuals!CT50)</f>
        <v>-30.6354467562063</v>
      </c>
      <c r="CT140" s="41" t="n">
        <f aca="false">IF(ISBLANK(Actuals!CU50),-26.67*Escalation!$B$95,Actuals!CU50)</f>
        <v>-30.6354467562063</v>
      </c>
      <c r="CU140" s="41" t="n">
        <f aca="false">IF(ISBLANK(Actuals!CV50),-26.67*Escalation!$B$96,Actuals!CV50)</f>
        <v>-30.6354467562063</v>
      </c>
      <c r="CV140" s="41" t="n">
        <f aca="false">IF(ISBLANK(Actuals!CW50),-26.67*Escalation!$B$97,Actuals!CW50)</f>
        <v>-30.6354467562063</v>
      </c>
      <c r="CW140" s="41" t="n">
        <f aca="false">IF(ISBLANK(Actuals!CX50),-26.67*Escalation!$B$98,Actuals!CX50)</f>
        <v>-31.2481556913304</v>
      </c>
      <c r="CX140" s="41" t="n">
        <f aca="false">IF(ISBLANK(Actuals!CY50),-26.67*Escalation!$B$99,Actuals!CY50)</f>
        <v>-31.2481556913304</v>
      </c>
      <c r="CY140" s="41" t="n">
        <f aca="false">IF(ISBLANK(Actuals!CZ50),-26.67*Escalation!$B$100,Actuals!CZ50)</f>
        <v>-31.2481556913304</v>
      </c>
      <c r="CZ140" s="41" t="n">
        <f aca="false">IF(ISBLANK(Actuals!DA50),-26.67*Escalation!$B$101,Actuals!DA50)</f>
        <v>-31.2481556913304</v>
      </c>
      <c r="DA140" s="41" t="n">
        <f aca="false">IF(ISBLANK(Actuals!DB50),-26.67*Escalation!$B$102,Actuals!DB50)</f>
        <v>-31.2481556913304</v>
      </c>
      <c r="DB140" s="41" t="n">
        <f aca="false">IF(ISBLANK(Actuals!DC50),-26.67*Escalation!$B$103,Actuals!DC50)</f>
        <v>-31.2481556913304</v>
      </c>
      <c r="DC140" s="41" t="n">
        <f aca="false">IF(ISBLANK(Actuals!DD50),-26.67*Escalation!$B$104,Actuals!DD50)</f>
        <v>-31.2481556913304</v>
      </c>
      <c r="DD140" s="41" t="n">
        <f aca="false">IF(ISBLANK(Actuals!DE50),-26.67*Escalation!$B$105,Actuals!DE50)</f>
        <v>-31.2481556913304</v>
      </c>
      <c r="DE140" s="41" t="n">
        <f aca="false">IF(ISBLANK(Actuals!DF50),-26.67*Escalation!$B$106,Actuals!DF50)</f>
        <v>-31.2481556913304</v>
      </c>
    </row>
    <row r="141" customFormat="false" ht="15" hidden="false" customHeight="true" outlineLevel="0" collapsed="false">
      <c r="A141" s="29" t="s">
        <v>90</v>
      </c>
      <c r="B141" s="41" t="n">
        <f aca="false">IF(ISBLANK(Actuals!C51),0,Actuals!C51)</f>
        <v>0</v>
      </c>
      <c r="C141" s="41" t="n">
        <f aca="false">IF(ISBLANK(Actuals!D51),0,Actuals!D51)</f>
        <v>-63</v>
      </c>
      <c r="D141" s="41" t="n">
        <f aca="false">IF(ISBLANK(Actuals!E51),0,Actuals!E51)</f>
        <v>0</v>
      </c>
      <c r="E141" s="41" t="n">
        <f aca="false">IF(ISBLANK(Actuals!F51),-21*Escalation!$B$2,Actuals!F51)</f>
        <v>0</v>
      </c>
      <c r="F141" s="41" t="n">
        <f aca="false">IF(ISBLANK(Actuals!G51),-21*Escalation!$B$3,Actuals!G51)</f>
        <v>0</v>
      </c>
      <c r="G141" s="41" t="n">
        <f aca="false">IF(ISBLANK(Actuals!H51),-21*Escalation!$B$4,Actuals!H51)</f>
        <v>0</v>
      </c>
      <c r="H141" s="41" t="n">
        <f aca="false">IF(ISBLANK(Actuals!I51),-21*Escalation!$B$5,Actuals!I51)</f>
        <v>-21</v>
      </c>
      <c r="I141" s="41" t="n">
        <f aca="false">IF(ISBLANK(Actuals!J51),-21*Escalation!$B$6,Actuals!J51)</f>
        <v>-21</v>
      </c>
      <c r="J141" s="41" t="n">
        <f aca="false">IF(ISBLANK(Actuals!K51),-21*Escalation!$B$7,Actuals!K51)</f>
        <v>-21</v>
      </c>
      <c r="K141" s="41" t="n">
        <f aca="false">IF(ISBLANK(Actuals!L51),-21*Escalation!$B$8,Actuals!L51)</f>
        <v>-21</v>
      </c>
      <c r="L141" s="41" t="n">
        <f aca="false">IF(ISBLANK(Actuals!M51),-21*Escalation!$B$9,Actuals!M51)</f>
        <v>-21</v>
      </c>
      <c r="M141" s="41" t="n">
        <f aca="false">IF(ISBLANK(Actuals!N51),-21*Escalation!$B$10,Actuals!N51)</f>
        <v>-21</v>
      </c>
      <c r="N141" s="41" t="n">
        <f aca="false">IF(ISBLANK(Actuals!O51),-21*Escalation!$B$11,Actuals!O51)</f>
        <v>-21</v>
      </c>
      <c r="O141" s="41" t="n">
        <f aca="false">IF(ISBLANK(Actuals!P51),-21*Escalation!$B$12,Actuals!P51)</f>
        <v>-21</v>
      </c>
      <c r="P141" s="41" t="n">
        <f aca="false">IF(ISBLANK(Actuals!Q51),-21*Escalation!$B$13,Actuals!Q51)</f>
        <v>-21</v>
      </c>
      <c r="Q141" s="41" t="n">
        <f aca="false">IF(ISBLANK(Actuals!R51),-21*Escalation!$B$14,Actuals!R51)</f>
        <v>-21.42</v>
      </c>
      <c r="R141" s="41" t="n">
        <f aca="false">IF(ISBLANK(Actuals!S51),-21*Escalation!$B$15,Actuals!S51)</f>
        <v>-21.42</v>
      </c>
      <c r="S141" s="41" t="n">
        <f aca="false">IF(ISBLANK(Actuals!T51),-21*Escalation!$B$16,Actuals!T51)</f>
        <v>-21.42</v>
      </c>
      <c r="T141" s="41" t="n">
        <f aca="false">IF(ISBLANK(Actuals!U51),-21*Escalation!$B$17,Actuals!U51)</f>
        <v>-21.42</v>
      </c>
      <c r="U141" s="41" t="n">
        <f aca="false">IF(ISBLANK(Actuals!V51),-21*Escalation!$B$18,Actuals!V51)</f>
        <v>-21.42</v>
      </c>
      <c r="V141" s="41" t="n">
        <f aca="false">IF(ISBLANK(Actuals!W51),-21*Escalation!$B$19,Actuals!W51)</f>
        <v>-21.42</v>
      </c>
      <c r="W141" s="41" t="n">
        <f aca="false">IF(ISBLANK(Actuals!X51),-21*Escalation!$B$20,Actuals!X51)</f>
        <v>-21.42</v>
      </c>
      <c r="X141" s="41" t="n">
        <f aca="false">IF(ISBLANK(Actuals!Y51),-21*Escalation!$B$21,Actuals!Y51)</f>
        <v>-21.42</v>
      </c>
      <c r="Y141" s="41" t="n">
        <f aca="false">IF(ISBLANK(Actuals!Z51),-21*Escalation!$B$22,Actuals!Z51)</f>
        <v>-21.42</v>
      </c>
      <c r="Z141" s="41" t="n">
        <f aca="false">IF(ISBLANK(Actuals!AA51),-21*Escalation!$B$23,Actuals!AA51)</f>
        <v>-21.42</v>
      </c>
      <c r="AA141" s="41" t="n">
        <f aca="false">IF(ISBLANK(Actuals!AB51),-21*Escalation!$B$24,Actuals!AB51)</f>
        <v>-21.42</v>
      </c>
      <c r="AB141" s="41" t="n">
        <f aca="false">IF(ISBLANK(Actuals!AC51),-21*Escalation!$B$25,Actuals!AC51)</f>
        <v>-21.42</v>
      </c>
      <c r="AC141" s="41" t="n">
        <f aca="false">IF(ISBLANK(Actuals!AD51),-21*Escalation!$B$26,Actuals!AD51)</f>
        <v>-21.8484</v>
      </c>
      <c r="AD141" s="41" t="n">
        <f aca="false">IF(ISBLANK(Actuals!AE51),-21*Escalation!$B$27,Actuals!AE51)</f>
        <v>-21.8484</v>
      </c>
      <c r="AE141" s="41" t="n">
        <f aca="false">IF(ISBLANK(Actuals!AF51),-21*Escalation!$B$28,Actuals!AF51)</f>
        <v>-21.8484</v>
      </c>
      <c r="AF141" s="41" t="n">
        <f aca="false">IF(ISBLANK(Actuals!AG51),-21*Escalation!$B$29,Actuals!AG51)</f>
        <v>-21.8484</v>
      </c>
      <c r="AG141" s="41" t="n">
        <f aca="false">IF(ISBLANK(Actuals!AH51),-21*Escalation!$B$30,Actuals!AH51)</f>
        <v>-21.8484</v>
      </c>
      <c r="AH141" s="41" t="n">
        <f aca="false">IF(ISBLANK(Actuals!AI51),-21*Escalation!$B$31,Actuals!AI51)</f>
        <v>-21.8484</v>
      </c>
      <c r="AI141" s="41" t="n">
        <f aca="false">IF(ISBLANK(Actuals!AJ51),-21*Escalation!$B$32,Actuals!AJ51)</f>
        <v>-21.8484</v>
      </c>
      <c r="AJ141" s="41" t="n">
        <f aca="false">IF(ISBLANK(Actuals!AK51),-21*Escalation!$B$33,Actuals!AK51)</f>
        <v>-21.8484</v>
      </c>
      <c r="AK141" s="41" t="n">
        <f aca="false">IF(ISBLANK(Actuals!AL51),-21*Escalation!$B$34,Actuals!AL51)</f>
        <v>-21.8484</v>
      </c>
      <c r="AL141" s="41" t="n">
        <f aca="false">IF(ISBLANK(Actuals!AM51),-21*Escalation!$B$35,Actuals!AM51)</f>
        <v>-21.8484</v>
      </c>
      <c r="AM141" s="41" t="n">
        <f aca="false">IF(ISBLANK(Actuals!AN51),-21*Escalation!$B$36,Actuals!AN51)</f>
        <v>-21.8484</v>
      </c>
      <c r="AN141" s="41" t="n">
        <f aca="false">IF(ISBLANK(Actuals!AO51),-21*Escalation!$B$37,Actuals!AO51)</f>
        <v>-21.8484</v>
      </c>
      <c r="AO141" s="41" t="n">
        <f aca="false">IF(ISBLANK(Actuals!AP51),-21*Escalation!$B$38,Actuals!AP51)</f>
        <v>-22.285368</v>
      </c>
      <c r="AP141" s="41" t="n">
        <f aca="false">IF(ISBLANK(Actuals!AQ51),-21*Escalation!$B$39,Actuals!AQ51)</f>
        <v>-22.285368</v>
      </c>
      <c r="AQ141" s="41" t="n">
        <f aca="false">IF(ISBLANK(Actuals!AR51),-21*Escalation!$B$40,Actuals!AR51)</f>
        <v>-22.285368</v>
      </c>
      <c r="AR141" s="41" t="n">
        <f aca="false">IF(ISBLANK(Actuals!AS51),-21*Escalation!$B$41,Actuals!AS51)</f>
        <v>-22.285368</v>
      </c>
      <c r="AS141" s="41" t="n">
        <f aca="false">IF(ISBLANK(Actuals!AT51),-21*Escalation!$B$42,Actuals!AT51)</f>
        <v>-22.285368</v>
      </c>
      <c r="AT141" s="41" t="n">
        <f aca="false">IF(ISBLANK(Actuals!AU51),-21*Escalation!$B$43,Actuals!AU51)</f>
        <v>-22.285368</v>
      </c>
      <c r="AU141" s="41" t="n">
        <f aca="false">IF(ISBLANK(Actuals!AV51),-21*Escalation!$B$44,Actuals!AV51)</f>
        <v>-22.285368</v>
      </c>
      <c r="AV141" s="41" t="n">
        <f aca="false">IF(ISBLANK(Actuals!AW51),-21*Escalation!$B$45,Actuals!AW51)</f>
        <v>-22.285368</v>
      </c>
      <c r="AW141" s="41" t="n">
        <f aca="false">IF(ISBLANK(Actuals!AX51),-21*Escalation!$B$46,Actuals!AX51)</f>
        <v>-22.285368</v>
      </c>
      <c r="AX141" s="41" t="n">
        <f aca="false">IF(ISBLANK(Actuals!AY51),-21*Escalation!$B$47,Actuals!AY51)</f>
        <v>-22.285368</v>
      </c>
      <c r="AY141" s="41" t="n">
        <f aca="false">IF(ISBLANK(Actuals!AZ51),-21*Escalation!$B$48,Actuals!AZ51)</f>
        <v>-22.285368</v>
      </c>
      <c r="AZ141" s="41" t="n">
        <f aca="false">IF(ISBLANK(Actuals!BA51),-21*Escalation!$B$49,Actuals!BA51)</f>
        <v>-22.285368</v>
      </c>
      <c r="BA141" s="41" t="n">
        <f aca="false">IF(ISBLANK(Actuals!BB51),-21*Escalation!$B$50,Actuals!BB51)</f>
        <v>-22.73107536</v>
      </c>
      <c r="BB141" s="41" t="n">
        <f aca="false">IF(ISBLANK(Actuals!BC51),-21*Escalation!$B$51,Actuals!BC51)</f>
        <v>-22.73107536</v>
      </c>
      <c r="BC141" s="41" t="n">
        <f aca="false">IF(ISBLANK(Actuals!BD51),-21*Escalation!$B$52,Actuals!BD51)</f>
        <v>-22.73107536</v>
      </c>
      <c r="BD141" s="41" t="n">
        <f aca="false">IF(ISBLANK(Actuals!BE51),-21*Escalation!$B$53,Actuals!BE51)</f>
        <v>-22.73107536</v>
      </c>
      <c r="BE141" s="41" t="n">
        <f aca="false">IF(ISBLANK(Actuals!BF51),-21*Escalation!$B$54,Actuals!BF51)</f>
        <v>-22.73107536</v>
      </c>
      <c r="BF141" s="41" t="n">
        <f aca="false">IF(ISBLANK(Actuals!BG51),-21*Escalation!$B$55,Actuals!BG51)</f>
        <v>-22.73107536</v>
      </c>
      <c r="BG141" s="41" t="n">
        <f aca="false">IF(ISBLANK(Actuals!BH51),-21*Escalation!$B$56,Actuals!BH51)</f>
        <v>-22.73107536</v>
      </c>
      <c r="BH141" s="41" t="n">
        <f aca="false">IF(ISBLANK(Actuals!BI51),-21*Escalation!$B$57,Actuals!BI51)</f>
        <v>-22.73107536</v>
      </c>
      <c r="BI141" s="41" t="n">
        <f aca="false">IF(ISBLANK(Actuals!BJ51),-21*Escalation!$B$58,Actuals!BJ51)</f>
        <v>-22.73107536</v>
      </c>
      <c r="BJ141" s="41" t="n">
        <f aca="false">IF(ISBLANK(Actuals!BK51),-21*Escalation!$B$59,Actuals!BK51)</f>
        <v>-22.73107536</v>
      </c>
      <c r="BK141" s="41" t="n">
        <f aca="false">IF(ISBLANK(Actuals!BL51),-21*Escalation!$B$60,Actuals!BL51)</f>
        <v>-22.73107536</v>
      </c>
      <c r="BL141" s="41" t="n">
        <f aca="false">IF(ISBLANK(Actuals!BM51),-21*Escalation!$B$61,Actuals!BM51)</f>
        <v>-22.73107536</v>
      </c>
      <c r="BM141" s="41" t="n">
        <f aca="false">IF(ISBLANK(Actuals!BN51),-21*Escalation!$B$62,Actuals!BN51)</f>
        <v>-23.1856968672</v>
      </c>
      <c r="BN141" s="41" t="n">
        <f aca="false">IF(ISBLANK(Actuals!BO51),-21*Escalation!$B$63,Actuals!BO51)</f>
        <v>-23.1856968672</v>
      </c>
      <c r="BO141" s="41" t="n">
        <f aca="false">IF(ISBLANK(Actuals!BP51),-21*Escalation!$B$64,Actuals!BP51)</f>
        <v>-23.1856968672</v>
      </c>
      <c r="BP141" s="41" t="n">
        <f aca="false">IF(ISBLANK(Actuals!BQ51),-21*Escalation!$B$65,Actuals!BQ51)</f>
        <v>-23.1856968672</v>
      </c>
      <c r="BQ141" s="41" t="n">
        <f aca="false">IF(ISBLANK(Actuals!BR51),-21*Escalation!$B$66,Actuals!BR51)</f>
        <v>-23.1856968672</v>
      </c>
      <c r="BR141" s="41" t="n">
        <f aca="false">IF(ISBLANK(Actuals!BS51),-21*Escalation!$B$67,Actuals!BS51)</f>
        <v>-23.1856968672</v>
      </c>
      <c r="BS141" s="41" t="n">
        <f aca="false">IF(ISBLANK(Actuals!BT51),-21*Escalation!$B$68,Actuals!BT51)</f>
        <v>-23.1856968672</v>
      </c>
      <c r="BT141" s="41" t="n">
        <f aca="false">IF(ISBLANK(Actuals!BU51),-21*Escalation!$B$69,Actuals!BU51)</f>
        <v>-23.1856968672</v>
      </c>
      <c r="BU141" s="41" t="n">
        <f aca="false">IF(ISBLANK(Actuals!BV51),-21*Escalation!$B$70,Actuals!BV51)</f>
        <v>-23.1856968672</v>
      </c>
      <c r="BV141" s="41" t="n">
        <f aca="false">IF(ISBLANK(Actuals!BW51),-21*Escalation!$B$71,Actuals!BW51)</f>
        <v>-23.1856968672</v>
      </c>
      <c r="BW141" s="41" t="n">
        <f aca="false">IF(ISBLANK(Actuals!BX51),-21*Escalation!$B$72,Actuals!BX51)</f>
        <v>-23.1856968672</v>
      </c>
      <c r="BX141" s="41" t="n">
        <f aca="false">IF(ISBLANK(Actuals!BY51),-21*Escalation!$B$73,Actuals!BY51)</f>
        <v>-23.1856968672</v>
      </c>
      <c r="BY141" s="41" t="n">
        <f aca="false">IF(ISBLANK(Actuals!BZ51),-21*Escalation!$B$74,Actuals!BZ51)</f>
        <v>-23.649410804544</v>
      </c>
      <c r="BZ141" s="41" t="n">
        <f aca="false">IF(ISBLANK(Actuals!CA51),-21*Escalation!$B$75,Actuals!CA51)</f>
        <v>-23.649410804544</v>
      </c>
      <c r="CA141" s="41" t="n">
        <f aca="false">IF(ISBLANK(Actuals!CB51),-21*Escalation!$B$76,Actuals!CB51)</f>
        <v>-23.649410804544</v>
      </c>
      <c r="CB141" s="41" t="n">
        <f aca="false">IF(ISBLANK(Actuals!CC51),-21*Escalation!$B$77,Actuals!CC51)</f>
        <v>-23.649410804544</v>
      </c>
      <c r="CC141" s="41" t="n">
        <f aca="false">IF(ISBLANK(Actuals!CD51),-21*Escalation!$B$78,Actuals!CD51)</f>
        <v>-23.649410804544</v>
      </c>
      <c r="CD141" s="41" t="n">
        <f aca="false">IF(ISBLANK(Actuals!CE51),-21*Escalation!$B$79,Actuals!CE51)</f>
        <v>-23.649410804544</v>
      </c>
      <c r="CE141" s="41" t="n">
        <f aca="false">IF(ISBLANK(Actuals!CF51),-21*Escalation!$B$80,Actuals!CF51)</f>
        <v>-23.649410804544</v>
      </c>
      <c r="CF141" s="41" t="n">
        <f aca="false">IF(ISBLANK(Actuals!CG51),-21*Escalation!$B$81,Actuals!CG51)</f>
        <v>-23.649410804544</v>
      </c>
      <c r="CG141" s="41" t="n">
        <f aca="false">IF(ISBLANK(Actuals!CH51),-21*Escalation!$B$82,Actuals!CH51)</f>
        <v>-23.649410804544</v>
      </c>
      <c r="CH141" s="41" t="n">
        <f aca="false">IF(ISBLANK(Actuals!CI51),-21*Escalation!$B$83,Actuals!CI51)</f>
        <v>-23.649410804544</v>
      </c>
      <c r="CI141" s="41" t="n">
        <f aca="false">IF(ISBLANK(Actuals!CJ51),-21*Escalation!$B$84,Actuals!CJ51)</f>
        <v>-23.649410804544</v>
      </c>
      <c r="CJ141" s="41" t="n">
        <f aca="false">IF(ISBLANK(Actuals!CK51),-21*Escalation!$B$85,Actuals!CK51)</f>
        <v>-23.649410804544</v>
      </c>
      <c r="CK141" s="41" t="n">
        <f aca="false">IF(ISBLANK(Actuals!CL51),-21*Escalation!$B$86,Actuals!CL51)</f>
        <v>-24.1223990206349</v>
      </c>
      <c r="CL141" s="41" t="n">
        <f aca="false">IF(ISBLANK(Actuals!CM51),-21*Escalation!$B$87,Actuals!CM51)</f>
        <v>-24.1223990206349</v>
      </c>
      <c r="CM141" s="41" t="n">
        <f aca="false">IF(ISBLANK(Actuals!CN51),-21*Escalation!$B$88,Actuals!CN51)</f>
        <v>-24.1223990206349</v>
      </c>
      <c r="CN141" s="41" t="n">
        <f aca="false">IF(ISBLANK(Actuals!CO51),-21*Escalation!$B$89,Actuals!CO51)</f>
        <v>-24.1223990206349</v>
      </c>
      <c r="CO141" s="41" t="n">
        <f aca="false">IF(ISBLANK(Actuals!CP51),-21*Escalation!$B$90,Actuals!CP51)</f>
        <v>-24.1223990206349</v>
      </c>
      <c r="CP141" s="41" t="n">
        <f aca="false">IF(ISBLANK(Actuals!CQ51),-21*Escalation!$B$91,Actuals!CQ51)</f>
        <v>-24.1223990206349</v>
      </c>
      <c r="CQ141" s="41" t="n">
        <f aca="false">IF(ISBLANK(Actuals!CR51),-21*Escalation!$B$92,Actuals!CR51)</f>
        <v>-24.1223990206349</v>
      </c>
      <c r="CR141" s="41" t="n">
        <f aca="false">IF(ISBLANK(Actuals!CS51),-21*Escalation!$B$93,Actuals!CS51)</f>
        <v>-24.1223990206349</v>
      </c>
      <c r="CS141" s="41" t="n">
        <f aca="false">IF(ISBLANK(Actuals!CT51),-21*Escalation!$B$94,Actuals!CT51)</f>
        <v>-24.1223990206349</v>
      </c>
      <c r="CT141" s="41" t="n">
        <f aca="false">IF(ISBLANK(Actuals!CU51),-21*Escalation!$B$95,Actuals!CU51)</f>
        <v>-24.1223990206349</v>
      </c>
      <c r="CU141" s="41" t="n">
        <f aca="false">IF(ISBLANK(Actuals!CV51),-21*Escalation!$B$96,Actuals!CV51)</f>
        <v>-24.1223990206349</v>
      </c>
      <c r="CV141" s="41" t="n">
        <f aca="false">IF(ISBLANK(Actuals!CW51),-21*Escalation!$B$97,Actuals!CW51)</f>
        <v>-24.1223990206349</v>
      </c>
      <c r="CW141" s="41" t="n">
        <f aca="false">IF(ISBLANK(Actuals!CX51),-21*Escalation!$B$98,Actuals!CX51)</f>
        <v>-24.6048470010476</v>
      </c>
      <c r="CX141" s="41" t="n">
        <f aca="false">IF(ISBLANK(Actuals!CY51),-21*Escalation!$B$99,Actuals!CY51)</f>
        <v>-24.6048470010476</v>
      </c>
      <c r="CY141" s="41" t="n">
        <f aca="false">IF(ISBLANK(Actuals!CZ51),-21*Escalation!$B$100,Actuals!CZ51)</f>
        <v>-24.6048470010476</v>
      </c>
      <c r="CZ141" s="41" t="n">
        <f aca="false">IF(ISBLANK(Actuals!DA51),-21*Escalation!$B$101,Actuals!DA51)</f>
        <v>-24.6048470010476</v>
      </c>
      <c r="DA141" s="41" t="n">
        <f aca="false">IF(ISBLANK(Actuals!DB51),-21*Escalation!$B$102,Actuals!DB51)</f>
        <v>-24.6048470010476</v>
      </c>
      <c r="DB141" s="41" t="n">
        <f aca="false">IF(ISBLANK(Actuals!DC51),-21*Escalation!$B$103,Actuals!DC51)</f>
        <v>-24.6048470010476</v>
      </c>
      <c r="DC141" s="41" t="n">
        <f aca="false">IF(ISBLANK(Actuals!DD51),-21*Escalation!$B$104,Actuals!DD51)</f>
        <v>-24.6048470010476</v>
      </c>
      <c r="DD141" s="41" t="n">
        <f aca="false">IF(ISBLANK(Actuals!DE51),-21*Escalation!$B$105,Actuals!DE51)</f>
        <v>-24.6048470010476</v>
      </c>
      <c r="DE141" s="41" t="n">
        <f aca="false">IF(ISBLANK(Actuals!DF51),-21*Escalation!$B$106,Actuals!DF51)</f>
        <v>-24.6048470010476</v>
      </c>
    </row>
    <row r="142" customFormat="false" ht="15" hidden="false" customHeight="true" outlineLevel="0" collapsed="false">
      <c r="A142" s="29" t="s">
        <v>91</v>
      </c>
      <c r="B142" s="41" t="n">
        <f aca="false">IF(ISBLANK(Actuals!C52),-'BD Commission Detail'!C53,Actuals!C52)</f>
        <v>-0</v>
      </c>
      <c r="C142" s="41" t="n">
        <f aca="false">IF(ISBLANK(Actuals!D52),-'BD Commission Detail'!D53,Actuals!D52)</f>
        <v>-0</v>
      </c>
      <c r="D142" s="41" t="n">
        <f aca="false">IF(ISBLANK(Actuals!E52),-'BD Commission Detail'!E53,Actuals!E52)</f>
        <v>-0</v>
      </c>
      <c r="E142" s="41" t="n">
        <f aca="false">IF(ISBLANK(Actuals!F52),-'BD Commission Detail'!F53,Actuals!F52)</f>
        <v>-0</v>
      </c>
      <c r="F142" s="41" t="n">
        <f aca="false">IF(ISBLANK(Actuals!G52),-'BD Commission Detail'!G53,Actuals!G52)</f>
        <v>-0</v>
      </c>
      <c r="G142" s="41" t="n">
        <f aca="false">IF(ISBLANK(Actuals!H52),-'BD Commission Detail'!H53,Actuals!H52)</f>
        <v>-0</v>
      </c>
      <c r="H142" s="41" t="n">
        <f aca="false">IF(ISBLANK(Actuals!I52),-'BD Commission Detail'!I53,Actuals!I52)</f>
        <v>-0</v>
      </c>
      <c r="I142" s="41" t="n">
        <f aca="false">IF(ISBLANK(Actuals!J52),-'BD Commission Detail'!J53,Actuals!J52)</f>
        <v>-0</v>
      </c>
      <c r="J142" s="41" t="n">
        <f aca="false">IF(ISBLANK(Actuals!K52),-'BD Commission Detail'!K53,Actuals!K52)</f>
        <v>-0</v>
      </c>
      <c r="K142" s="41" t="n">
        <f aca="false">IF(ISBLANK(Actuals!L52),-'BD Commission Detail'!L53,Actuals!L52)</f>
        <v>-0</v>
      </c>
      <c r="L142" s="41" t="n">
        <f aca="false">IF(ISBLANK(Actuals!M52),-'BD Commission Detail'!M53,Actuals!M52)</f>
        <v>-0</v>
      </c>
      <c r="M142" s="41" t="n">
        <f aca="false">IF(ISBLANK(Actuals!N52),-'BD Commission Detail'!N53,Actuals!N52)</f>
        <v>-0</v>
      </c>
      <c r="N142" s="41" t="n">
        <f aca="false">IF(ISBLANK(Actuals!O52),-'BD Commission Detail'!O53,Actuals!O52)</f>
        <v>-0</v>
      </c>
      <c r="O142" s="41" t="n">
        <f aca="false">IF(ISBLANK(Actuals!P52),-'BD Commission Detail'!P53,Actuals!P52)</f>
        <v>-0</v>
      </c>
      <c r="P142" s="41" t="n">
        <f aca="false">IF(ISBLANK(Actuals!Q52),-'BD Commission Detail'!Q53,Actuals!Q52)</f>
        <v>-0</v>
      </c>
      <c r="Q142" s="41" t="n">
        <f aca="false">IF(ISBLANK(Actuals!R52),-'BD Commission Detail'!R53,Actuals!R52)</f>
        <v>-0</v>
      </c>
      <c r="R142" s="41" t="n">
        <f aca="false">IF(ISBLANK(Actuals!S52),-'BD Commission Detail'!S53,Actuals!S52)</f>
        <v>-0</v>
      </c>
      <c r="S142" s="41" t="n">
        <f aca="false">IF(ISBLANK(Actuals!T52),-'BD Commission Detail'!T53,Actuals!T52)</f>
        <v>-0</v>
      </c>
      <c r="T142" s="41" t="n">
        <f aca="false">IF(ISBLANK(Actuals!U52),-'BD Commission Detail'!U53,Actuals!U52)</f>
        <v>-0</v>
      </c>
      <c r="U142" s="41" t="n">
        <f aca="false">IF(ISBLANK(Actuals!V52),-'BD Commission Detail'!V53,Actuals!V52)</f>
        <v>-0</v>
      </c>
      <c r="V142" s="41" t="n">
        <f aca="false">IF(ISBLANK(Actuals!W52),-'BD Commission Detail'!W53,Actuals!W52)</f>
        <v>-0</v>
      </c>
      <c r="W142" s="41" t="n">
        <f aca="false">IF(ISBLANK(Actuals!X52),-'BD Commission Detail'!X53,Actuals!X52)</f>
        <v>-0</v>
      </c>
      <c r="X142" s="41" t="n">
        <f aca="false">IF(ISBLANK(Actuals!Y52),-'BD Commission Detail'!Y53,Actuals!Y52)</f>
        <v>-0</v>
      </c>
      <c r="Y142" s="41" t="n">
        <f aca="false">IF(ISBLANK(Actuals!Z52),-'BD Commission Detail'!Z53,Actuals!Z52)</f>
        <v>-0</v>
      </c>
      <c r="Z142" s="41" t="n">
        <f aca="false">IF(ISBLANK(Actuals!AA52),-'BD Commission Detail'!AA53,Actuals!AA52)</f>
        <v>-0</v>
      </c>
      <c r="AA142" s="41" t="n">
        <f aca="false">IF(ISBLANK(Actuals!AB52),-'BD Commission Detail'!AB53,Actuals!AB52)</f>
        <v>-0</v>
      </c>
      <c r="AB142" s="41" t="n">
        <f aca="false">IF(ISBLANK(Actuals!AC52),-'BD Commission Detail'!AC53,Actuals!AC52)</f>
        <v>-0</v>
      </c>
      <c r="AC142" s="41" t="n">
        <f aca="false">IF(ISBLANK(Actuals!AD52),-'BD Commission Detail'!AD53,Actuals!AD52)</f>
        <v>-0</v>
      </c>
      <c r="AD142" s="41" t="n">
        <f aca="false">IF(ISBLANK(Actuals!AE52),-'BD Commission Detail'!AE53,Actuals!AE52)</f>
        <v>-0</v>
      </c>
      <c r="AE142" s="41" t="n">
        <f aca="false">IF(ISBLANK(Actuals!AF52),-'BD Commission Detail'!AF53,Actuals!AF52)</f>
        <v>-0</v>
      </c>
      <c r="AF142" s="41" t="n">
        <f aca="false">IF(ISBLANK(Actuals!AG52),-'BD Commission Detail'!AG53,Actuals!AG52)</f>
        <v>-0</v>
      </c>
      <c r="AG142" s="41" t="n">
        <f aca="false">IF(ISBLANK(Actuals!AH52),-'BD Commission Detail'!AH53,Actuals!AH52)</f>
        <v>-0</v>
      </c>
      <c r="AH142" s="41" t="n">
        <f aca="false">IF(ISBLANK(Actuals!AI52),-'BD Commission Detail'!AI53,Actuals!AI52)</f>
        <v>-0</v>
      </c>
      <c r="AI142" s="41" t="n">
        <f aca="false">IF(ISBLANK(Actuals!AJ52),-'BD Commission Detail'!AJ53,Actuals!AJ52)</f>
        <v>-0</v>
      </c>
      <c r="AJ142" s="41" t="n">
        <f aca="false">IF(ISBLANK(Actuals!AK52),-'BD Commission Detail'!AK53,Actuals!AK52)</f>
        <v>-0</v>
      </c>
      <c r="AK142" s="41" t="n">
        <f aca="false">IF(ISBLANK(Actuals!AL52),-'BD Commission Detail'!AL53,Actuals!AL52)</f>
        <v>-0</v>
      </c>
      <c r="AL142" s="41" t="n">
        <f aca="false">IF(ISBLANK(Actuals!AM52),-'BD Commission Detail'!AM53,Actuals!AM52)</f>
        <v>-0</v>
      </c>
      <c r="AM142" s="41" t="n">
        <f aca="false">IF(ISBLANK(Actuals!AN52),-'BD Commission Detail'!AN53,Actuals!AN52)</f>
        <v>-0</v>
      </c>
      <c r="AN142" s="41" t="n">
        <f aca="false">IF(ISBLANK(Actuals!AO52),-'BD Commission Detail'!AO53,Actuals!AO52)</f>
        <v>-0</v>
      </c>
      <c r="AO142" s="41" t="n">
        <f aca="false">IF(ISBLANK(Actuals!AP52),-'BD Commission Detail'!AP53,Actuals!AP52)</f>
        <v>-0</v>
      </c>
      <c r="AP142" s="41" t="n">
        <f aca="false">IF(ISBLANK(Actuals!AQ52),-'BD Commission Detail'!AQ53,Actuals!AQ52)</f>
        <v>-0</v>
      </c>
      <c r="AQ142" s="41" t="n">
        <f aca="false">IF(ISBLANK(Actuals!AR52),-'BD Commission Detail'!AR53,Actuals!AR52)</f>
        <v>-0</v>
      </c>
      <c r="AR142" s="41" t="n">
        <f aca="false">IF(ISBLANK(Actuals!AS52),-'BD Commission Detail'!AS53,Actuals!AS52)</f>
        <v>-0</v>
      </c>
      <c r="AS142" s="41" t="n">
        <f aca="false">IF(ISBLANK(Actuals!AT52),-'BD Commission Detail'!AT53,Actuals!AT52)</f>
        <v>-0</v>
      </c>
      <c r="AT142" s="41" t="n">
        <f aca="false">IF(ISBLANK(Actuals!AU52),-'BD Commission Detail'!AU53,Actuals!AU52)</f>
        <v>-0</v>
      </c>
      <c r="AU142" s="41" t="n">
        <f aca="false">IF(ISBLANK(Actuals!AV52),-'BD Commission Detail'!AV53,Actuals!AV52)</f>
        <v>-0</v>
      </c>
      <c r="AV142" s="41" t="n">
        <f aca="false">IF(ISBLANK(Actuals!AW52),-'BD Commission Detail'!AW53,Actuals!AW52)</f>
        <v>-0</v>
      </c>
      <c r="AW142" s="41" t="n">
        <f aca="false">IF(ISBLANK(Actuals!AX52),-'BD Commission Detail'!AX53,Actuals!AX52)</f>
        <v>-0</v>
      </c>
      <c r="AX142" s="41" t="n">
        <f aca="false">IF(ISBLANK(Actuals!AY52),-'BD Commission Detail'!AY53,Actuals!AY52)</f>
        <v>-0</v>
      </c>
      <c r="AY142" s="41" t="n">
        <f aca="false">IF(ISBLANK(Actuals!AZ52),-'BD Commission Detail'!AZ53,Actuals!AZ52)</f>
        <v>-0</v>
      </c>
      <c r="AZ142" s="41" t="n">
        <f aca="false">IF(ISBLANK(Actuals!BA52),-'BD Commission Detail'!BA53,Actuals!BA52)</f>
        <v>-0</v>
      </c>
      <c r="BA142" s="41" t="n">
        <f aca="false">IF(ISBLANK(Actuals!BB52),-'BD Commission Detail'!BB53,Actuals!BB52)</f>
        <v>-0</v>
      </c>
      <c r="BB142" s="41" t="n">
        <f aca="false">IF(ISBLANK(Actuals!BC52),-'BD Commission Detail'!BC53,Actuals!BC52)</f>
        <v>-0</v>
      </c>
      <c r="BC142" s="41" t="n">
        <f aca="false">IF(ISBLANK(Actuals!BD52),-'BD Commission Detail'!BD53,Actuals!BD52)</f>
        <v>-0</v>
      </c>
      <c r="BD142" s="41" t="n">
        <f aca="false">IF(ISBLANK(Actuals!BE52),-'BD Commission Detail'!BE53,Actuals!BE52)</f>
        <v>-0</v>
      </c>
      <c r="BE142" s="41" t="n">
        <f aca="false">IF(ISBLANK(Actuals!BF52),-'BD Commission Detail'!BF53,Actuals!BF52)</f>
        <v>-0</v>
      </c>
      <c r="BF142" s="41" t="n">
        <f aca="false">IF(ISBLANK(Actuals!BG52),-'BD Commission Detail'!BG53,Actuals!BG52)</f>
        <v>-0</v>
      </c>
      <c r="BG142" s="41" t="n">
        <f aca="false">IF(ISBLANK(Actuals!BH52),-'BD Commission Detail'!BH53,Actuals!BH52)</f>
        <v>-0</v>
      </c>
      <c r="BH142" s="41" t="n">
        <f aca="false">IF(ISBLANK(Actuals!BI52),-'BD Commission Detail'!BI53,Actuals!BI52)</f>
        <v>-0</v>
      </c>
      <c r="BI142" s="41" t="n">
        <f aca="false">IF(ISBLANK(Actuals!BJ52),-'BD Commission Detail'!BJ53,Actuals!BJ52)</f>
        <v>-0</v>
      </c>
      <c r="BJ142" s="41" t="n">
        <f aca="false">IF(ISBLANK(Actuals!BK52),-'BD Commission Detail'!BK53,Actuals!BK52)</f>
        <v>-0</v>
      </c>
      <c r="BK142" s="41" t="n">
        <f aca="false">IF(ISBLANK(Actuals!BL52),-'BD Commission Detail'!BL53,Actuals!BL52)</f>
        <v>-0</v>
      </c>
      <c r="BL142" s="41" t="n">
        <f aca="false">IF(ISBLANK(Actuals!BM52),-'BD Commission Detail'!BM53,Actuals!BM52)</f>
        <v>-0</v>
      </c>
      <c r="BM142" s="41" t="n">
        <f aca="false">IF(ISBLANK(Actuals!BN52),-'BD Commission Detail'!BN53,Actuals!BN52)</f>
        <v>-0</v>
      </c>
      <c r="BN142" s="41" t="n">
        <f aca="false">IF(ISBLANK(Actuals!BO52),-'BD Commission Detail'!BO53,Actuals!BO52)</f>
        <v>-0</v>
      </c>
      <c r="BO142" s="41" t="n">
        <f aca="false">IF(ISBLANK(Actuals!BP52),-'BD Commission Detail'!BP53,Actuals!BP52)</f>
        <v>-0</v>
      </c>
      <c r="BP142" s="41" t="n">
        <f aca="false">IF(ISBLANK(Actuals!BQ52),-'BD Commission Detail'!BQ53,Actuals!BQ52)</f>
        <v>-0</v>
      </c>
      <c r="BQ142" s="41" t="n">
        <f aca="false">IF(ISBLANK(Actuals!BR52),-'BD Commission Detail'!BR53,Actuals!BR52)</f>
        <v>-0</v>
      </c>
      <c r="BR142" s="41" t="n">
        <f aca="false">IF(ISBLANK(Actuals!BS52),-'BD Commission Detail'!BS53,Actuals!BS52)</f>
        <v>-0</v>
      </c>
      <c r="BS142" s="41" t="n">
        <f aca="false">IF(ISBLANK(Actuals!BT52),-'BD Commission Detail'!BT53,Actuals!BT52)</f>
        <v>-0</v>
      </c>
      <c r="BT142" s="41" t="n">
        <f aca="false">IF(ISBLANK(Actuals!BU52),-'BD Commission Detail'!BU53,Actuals!BU52)</f>
        <v>-0</v>
      </c>
      <c r="BU142" s="41" t="n">
        <f aca="false">IF(ISBLANK(Actuals!BV52),-'BD Commission Detail'!BV53,Actuals!BV52)</f>
        <v>-0</v>
      </c>
      <c r="BV142" s="41" t="n">
        <f aca="false">IF(ISBLANK(Actuals!BW52),-'BD Commission Detail'!BW53,Actuals!BW52)</f>
        <v>-0</v>
      </c>
      <c r="BW142" s="41" t="n">
        <f aca="false">IF(ISBLANK(Actuals!BX52),-'BD Commission Detail'!BX53,Actuals!BX52)</f>
        <v>-0</v>
      </c>
      <c r="BX142" s="41" t="n">
        <f aca="false">IF(ISBLANK(Actuals!BY52),-'BD Commission Detail'!BY53,Actuals!BY52)</f>
        <v>-0</v>
      </c>
      <c r="BY142" s="41" t="n">
        <f aca="false">IF(ISBLANK(Actuals!BZ52),-'BD Commission Detail'!BZ53,Actuals!BZ52)</f>
        <v>-0</v>
      </c>
      <c r="BZ142" s="41" t="n">
        <f aca="false">IF(ISBLANK(Actuals!CA52),-'BD Commission Detail'!CA53,Actuals!CA52)</f>
        <v>-0</v>
      </c>
      <c r="CA142" s="41" t="n">
        <f aca="false">IF(ISBLANK(Actuals!CB52),-'BD Commission Detail'!CB53,Actuals!CB52)</f>
        <v>-0</v>
      </c>
      <c r="CB142" s="41" t="n">
        <f aca="false">IF(ISBLANK(Actuals!CC52),-'BD Commission Detail'!CC53,Actuals!CC52)</f>
        <v>-0</v>
      </c>
      <c r="CC142" s="41" t="n">
        <f aca="false">IF(ISBLANK(Actuals!CD52),-'BD Commission Detail'!CD53,Actuals!CD52)</f>
        <v>-0</v>
      </c>
      <c r="CD142" s="41" t="n">
        <f aca="false">IF(ISBLANK(Actuals!CE52),-'BD Commission Detail'!CE53,Actuals!CE52)</f>
        <v>-0</v>
      </c>
      <c r="CE142" s="41" t="n">
        <f aca="false">IF(ISBLANK(Actuals!CF52),-'BD Commission Detail'!CF53,Actuals!CF52)</f>
        <v>-0</v>
      </c>
      <c r="CF142" s="41" t="n">
        <f aca="false">IF(ISBLANK(Actuals!CG52),-'BD Commission Detail'!CG53,Actuals!CG52)</f>
        <v>-0</v>
      </c>
      <c r="CG142" s="41" t="n">
        <f aca="false">IF(ISBLANK(Actuals!CH52),-'BD Commission Detail'!CH53,Actuals!CH52)</f>
        <v>-0</v>
      </c>
      <c r="CH142" s="41" t="n">
        <f aca="false">IF(ISBLANK(Actuals!CI52),-'BD Commission Detail'!CI53,Actuals!CI52)</f>
        <v>-0</v>
      </c>
      <c r="CI142" s="41" t="n">
        <f aca="false">IF(ISBLANK(Actuals!CJ52),-'BD Commission Detail'!CJ53,Actuals!CJ52)</f>
        <v>-0</v>
      </c>
      <c r="CJ142" s="41" t="n">
        <f aca="false">IF(ISBLANK(Actuals!CK52),-'BD Commission Detail'!CK53,Actuals!CK52)</f>
        <v>-0</v>
      </c>
      <c r="CK142" s="41" t="n">
        <f aca="false">IF(ISBLANK(Actuals!CL52),-'BD Commission Detail'!CL53,Actuals!CL52)</f>
        <v>-0</v>
      </c>
      <c r="CL142" s="41" t="n">
        <f aca="false">IF(ISBLANK(Actuals!CM52),-'BD Commission Detail'!CM53,Actuals!CM52)</f>
        <v>-0</v>
      </c>
      <c r="CM142" s="41" t="n">
        <f aca="false">IF(ISBLANK(Actuals!CN52),-'BD Commission Detail'!CN53,Actuals!CN52)</f>
        <v>-0</v>
      </c>
      <c r="CN142" s="41" t="n">
        <f aca="false">IF(ISBLANK(Actuals!CO52),-'BD Commission Detail'!CO53,Actuals!CO52)</f>
        <v>-0</v>
      </c>
      <c r="CO142" s="41" t="n">
        <f aca="false">IF(ISBLANK(Actuals!CP52),-'BD Commission Detail'!CP53,Actuals!CP52)</f>
        <v>-0</v>
      </c>
      <c r="CP142" s="41" t="n">
        <f aca="false">IF(ISBLANK(Actuals!CQ52),-'BD Commission Detail'!CQ53,Actuals!CQ52)</f>
        <v>-0</v>
      </c>
      <c r="CQ142" s="41" t="n">
        <f aca="false">IF(ISBLANK(Actuals!CR52),-'BD Commission Detail'!CR53,Actuals!CR52)</f>
        <v>-0</v>
      </c>
      <c r="CR142" s="41" t="n">
        <f aca="false">IF(ISBLANK(Actuals!CS52),-'BD Commission Detail'!CS53,Actuals!CS52)</f>
        <v>-0</v>
      </c>
      <c r="CS142" s="41" t="n">
        <f aca="false">IF(ISBLANK(Actuals!CT52),-'BD Commission Detail'!CT53,Actuals!CT52)</f>
        <v>-0</v>
      </c>
      <c r="CT142" s="41" t="n">
        <f aca="false">IF(ISBLANK(Actuals!CU52),-'BD Commission Detail'!CU53,Actuals!CU52)</f>
        <v>-0</v>
      </c>
      <c r="CU142" s="41" t="n">
        <f aca="false">IF(ISBLANK(Actuals!CV52),-'BD Commission Detail'!CV53,Actuals!CV52)</f>
        <v>-0</v>
      </c>
      <c r="CV142" s="41" t="n">
        <f aca="false">IF(ISBLANK(Actuals!CW52),-'BD Commission Detail'!CW53,Actuals!CW52)</f>
        <v>-0</v>
      </c>
      <c r="CW142" s="41" t="n">
        <f aca="false">IF(ISBLANK(Actuals!CX52),-'BD Commission Detail'!CX53,Actuals!CX52)</f>
        <v>-0</v>
      </c>
      <c r="CX142" s="41" t="n">
        <f aca="false">IF(ISBLANK(Actuals!CY52),-'BD Commission Detail'!CY53,Actuals!CY52)</f>
        <v>-0</v>
      </c>
      <c r="CY142" s="41" t="n">
        <f aca="false">IF(ISBLANK(Actuals!CZ52),-'BD Commission Detail'!CZ53,Actuals!CZ52)</f>
        <v>-0</v>
      </c>
      <c r="CZ142" s="41" t="n">
        <f aca="false">IF(ISBLANK(Actuals!DA52),-'BD Commission Detail'!DA53,Actuals!DA52)</f>
        <v>-0</v>
      </c>
      <c r="DA142" s="41" t="n">
        <f aca="false">IF(ISBLANK(Actuals!DB52),-'BD Commission Detail'!DB53,Actuals!DB52)</f>
        <v>-0</v>
      </c>
      <c r="DB142" s="41" t="n">
        <f aca="false">IF(ISBLANK(Actuals!DC52),-'BD Commission Detail'!DC53,Actuals!DC52)</f>
        <v>-0</v>
      </c>
      <c r="DC142" s="41" t="n">
        <f aca="false">IF(ISBLANK(Actuals!DD52),-'BD Commission Detail'!DD53,Actuals!DD52)</f>
        <v>-0</v>
      </c>
      <c r="DD142" s="41" t="n">
        <f aca="false">IF(ISBLANK(Actuals!DE52),-'BD Commission Detail'!DE53,Actuals!DE52)</f>
        <v>-0</v>
      </c>
      <c r="DE142" s="41" t="n">
        <f aca="false">IF(ISBLANK(Actuals!DF52),-'BD Commission Detail'!DF53,Actuals!DF52)</f>
        <v>-0</v>
      </c>
    </row>
    <row r="143" customFormat="false" ht="15" hidden="false" customHeight="true" outlineLevel="0" collapsed="false">
      <c r="A143" s="29" t="s">
        <v>92</v>
      </c>
      <c r="B143" s="41" t="n">
        <f aca="false">IF(ISBLANK(Actuals!C53),0,Actuals!C53)</f>
        <v>0</v>
      </c>
      <c r="C143" s="41" t="n">
        <f aca="false">IF(ISBLANK(Actuals!D53),0,Actuals!D53)</f>
        <v>0</v>
      </c>
      <c r="D143" s="41" t="n">
        <f aca="false">IF(ISBLANK(Actuals!E53),0,Actuals!E53)</f>
        <v>-11105.35</v>
      </c>
      <c r="E143" s="41" t="n">
        <f aca="false">IF(ISBLANK(Actuals!F53),-3701.78*Escalation!$B$2,Actuals!F53)</f>
        <v>0</v>
      </c>
      <c r="F143" s="41" t="n">
        <f aca="false">IF(ISBLANK(Actuals!G53),-3701.78*Escalation!$B$3,Actuals!G53)</f>
        <v>0</v>
      </c>
      <c r="G143" s="41" t="n">
        <f aca="false">IF(ISBLANK(Actuals!H53),-3701.78*Escalation!$B$4,Actuals!H53)</f>
        <v>0</v>
      </c>
      <c r="H143" s="41" t="n">
        <f aca="false">IF(ISBLANK(Actuals!I53),-3701.78*Escalation!$B$5,Actuals!I53)</f>
        <v>-3701.78</v>
      </c>
      <c r="I143" s="41" t="n">
        <f aca="false">IF(ISBLANK(Actuals!J53),-3701.78*Escalation!$B$6,Actuals!J53)</f>
        <v>-3701.78</v>
      </c>
      <c r="J143" s="41" t="n">
        <f aca="false">IF(ISBLANK(Actuals!K53),-3701.78*Escalation!$B$7,Actuals!K53)</f>
        <v>-3701.78</v>
      </c>
      <c r="K143" s="41" t="n">
        <f aca="false">IF(ISBLANK(Actuals!L53),-3701.78*Escalation!$B$8,Actuals!L53)</f>
        <v>-3701.78</v>
      </c>
      <c r="L143" s="41" t="n">
        <f aca="false">IF(ISBLANK(Actuals!M53),-3701.78*Escalation!$B$9,Actuals!M53)</f>
        <v>-3701.78</v>
      </c>
      <c r="M143" s="41" t="n">
        <f aca="false">IF(ISBLANK(Actuals!N53),-3701.78*Escalation!$B$10,Actuals!N53)</f>
        <v>-3701.78</v>
      </c>
      <c r="N143" s="41" t="n">
        <f aca="false">IF(ISBLANK(Actuals!O53),-3701.78*Escalation!$B$11,Actuals!O53)</f>
        <v>-3701.78</v>
      </c>
      <c r="O143" s="41" t="n">
        <f aca="false">IF(ISBLANK(Actuals!P53),-3701.78*Escalation!$B$12,Actuals!P53)</f>
        <v>-3701.78</v>
      </c>
      <c r="P143" s="41" t="n">
        <f aca="false">IF(ISBLANK(Actuals!Q53),-3701.78*Escalation!$B$13,Actuals!Q53)</f>
        <v>-3701.78</v>
      </c>
      <c r="Q143" s="41" t="n">
        <f aca="false">IF(ISBLANK(Actuals!R53),-3701.78*Escalation!$B$14,Actuals!R53)</f>
        <v>-3775.8156</v>
      </c>
      <c r="R143" s="41" t="n">
        <f aca="false">IF(ISBLANK(Actuals!S53),-3701.78*Escalation!$B$15,Actuals!S53)</f>
        <v>-3775.8156</v>
      </c>
      <c r="S143" s="41" t="n">
        <f aca="false">IF(ISBLANK(Actuals!T53),-3701.78*Escalation!$B$16,Actuals!T53)</f>
        <v>-3775.8156</v>
      </c>
      <c r="T143" s="41" t="n">
        <f aca="false">IF(ISBLANK(Actuals!U53),-3701.78*Escalation!$B$17,Actuals!U53)</f>
        <v>-3775.8156</v>
      </c>
      <c r="U143" s="41" t="n">
        <f aca="false">IF(ISBLANK(Actuals!V53),-3701.78*Escalation!$B$18,Actuals!V53)</f>
        <v>-3775.8156</v>
      </c>
      <c r="V143" s="41" t="n">
        <f aca="false">IF(ISBLANK(Actuals!W53),-3701.78*Escalation!$B$19,Actuals!W53)</f>
        <v>-3775.8156</v>
      </c>
      <c r="W143" s="41" t="n">
        <f aca="false">IF(ISBLANK(Actuals!X53),-3701.78*Escalation!$B$20,Actuals!X53)</f>
        <v>-3775.8156</v>
      </c>
      <c r="X143" s="41" t="n">
        <f aca="false">IF(ISBLANK(Actuals!Y53),-3701.78*Escalation!$B$21,Actuals!Y53)</f>
        <v>-3775.8156</v>
      </c>
      <c r="Y143" s="41" t="n">
        <f aca="false">IF(ISBLANK(Actuals!Z53),-3701.78*Escalation!$B$22,Actuals!Z53)</f>
        <v>-3775.8156</v>
      </c>
      <c r="Z143" s="41" t="n">
        <f aca="false">IF(ISBLANK(Actuals!AA53),-3701.78*Escalation!$B$23,Actuals!AA53)</f>
        <v>-3775.8156</v>
      </c>
      <c r="AA143" s="41" t="n">
        <f aca="false">IF(ISBLANK(Actuals!AB53),-3701.78*Escalation!$B$24,Actuals!AB53)</f>
        <v>-3775.8156</v>
      </c>
      <c r="AB143" s="41" t="n">
        <f aca="false">IF(ISBLANK(Actuals!AC53),-3701.78*Escalation!$B$25,Actuals!AC53)</f>
        <v>-3775.8156</v>
      </c>
      <c r="AC143" s="41" t="n">
        <f aca="false">IF(ISBLANK(Actuals!AD53),-3701.78*Escalation!$B$26,Actuals!AD53)</f>
        <v>-3851.331912</v>
      </c>
      <c r="AD143" s="41" t="n">
        <f aca="false">IF(ISBLANK(Actuals!AE53),-3701.78*Escalation!$B$27,Actuals!AE53)</f>
        <v>-3851.331912</v>
      </c>
      <c r="AE143" s="41" t="n">
        <f aca="false">IF(ISBLANK(Actuals!AF53),-3701.78*Escalation!$B$28,Actuals!AF53)</f>
        <v>-3851.331912</v>
      </c>
      <c r="AF143" s="41" t="n">
        <f aca="false">IF(ISBLANK(Actuals!AG53),-3701.78*Escalation!$B$29,Actuals!AG53)</f>
        <v>-3851.331912</v>
      </c>
      <c r="AG143" s="41" t="n">
        <f aca="false">IF(ISBLANK(Actuals!AH53),-3701.78*Escalation!$B$30,Actuals!AH53)</f>
        <v>-3851.331912</v>
      </c>
      <c r="AH143" s="41" t="n">
        <f aca="false">IF(ISBLANK(Actuals!AI53),-3701.78*Escalation!$B$31,Actuals!AI53)</f>
        <v>-3851.331912</v>
      </c>
      <c r="AI143" s="41" t="n">
        <f aca="false">IF(ISBLANK(Actuals!AJ53),-3701.78*Escalation!$B$32,Actuals!AJ53)</f>
        <v>-3851.331912</v>
      </c>
      <c r="AJ143" s="41" t="n">
        <f aca="false">IF(ISBLANK(Actuals!AK53),-3701.78*Escalation!$B$33,Actuals!AK53)</f>
        <v>-3851.331912</v>
      </c>
      <c r="AK143" s="41" t="n">
        <f aca="false">IF(ISBLANK(Actuals!AL53),-3701.78*Escalation!$B$34,Actuals!AL53)</f>
        <v>-3851.331912</v>
      </c>
      <c r="AL143" s="41" t="n">
        <f aca="false">IF(ISBLANK(Actuals!AM53),-3701.78*Escalation!$B$35,Actuals!AM53)</f>
        <v>-3851.331912</v>
      </c>
      <c r="AM143" s="41" t="n">
        <f aca="false">IF(ISBLANK(Actuals!AN53),-3701.78*Escalation!$B$36,Actuals!AN53)</f>
        <v>-3851.331912</v>
      </c>
      <c r="AN143" s="41" t="n">
        <f aca="false">IF(ISBLANK(Actuals!AO53),-3701.78*Escalation!$B$37,Actuals!AO53)</f>
        <v>-3851.331912</v>
      </c>
      <c r="AO143" s="41" t="n">
        <f aca="false">IF(ISBLANK(Actuals!AP53),-3701.78*Escalation!$B$38,Actuals!AP53)</f>
        <v>-3928.35855024</v>
      </c>
      <c r="AP143" s="41" t="n">
        <f aca="false">IF(ISBLANK(Actuals!AQ53),-3701.78*Escalation!$B$39,Actuals!AQ53)</f>
        <v>-3928.35855024</v>
      </c>
      <c r="AQ143" s="41" t="n">
        <f aca="false">IF(ISBLANK(Actuals!AR53),-3701.78*Escalation!$B$40,Actuals!AR53)</f>
        <v>-3928.35855024</v>
      </c>
      <c r="AR143" s="41" t="n">
        <f aca="false">IF(ISBLANK(Actuals!AS53),-3701.78*Escalation!$B$41,Actuals!AS53)</f>
        <v>-3928.35855024</v>
      </c>
      <c r="AS143" s="41" t="n">
        <f aca="false">IF(ISBLANK(Actuals!AT53),-3701.78*Escalation!$B$42,Actuals!AT53)</f>
        <v>-3928.35855024</v>
      </c>
      <c r="AT143" s="41" t="n">
        <f aca="false">IF(ISBLANK(Actuals!AU53),-3701.78*Escalation!$B$43,Actuals!AU53)</f>
        <v>-3928.35855024</v>
      </c>
      <c r="AU143" s="41" t="n">
        <f aca="false">IF(ISBLANK(Actuals!AV53),-3701.78*Escalation!$B$44,Actuals!AV53)</f>
        <v>-3928.35855024</v>
      </c>
      <c r="AV143" s="41" t="n">
        <f aca="false">IF(ISBLANK(Actuals!AW53),-3701.78*Escalation!$B$45,Actuals!AW53)</f>
        <v>-3928.35855024</v>
      </c>
      <c r="AW143" s="41" t="n">
        <f aca="false">IF(ISBLANK(Actuals!AX53),-3701.78*Escalation!$B$46,Actuals!AX53)</f>
        <v>-3928.35855024</v>
      </c>
      <c r="AX143" s="41" t="n">
        <f aca="false">IF(ISBLANK(Actuals!AY53),-3701.78*Escalation!$B$47,Actuals!AY53)</f>
        <v>-3928.35855024</v>
      </c>
      <c r="AY143" s="41" t="n">
        <f aca="false">IF(ISBLANK(Actuals!AZ53),-3701.78*Escalation!$B$48,Actuals!AZ53)</f>
        <v>-3928.35855024</v>
      </c>
      <c r="AZ143" s="41" t="n">
        <f aca="false">IF(ISBLANK(Actuals!BA53),-3701.78*Escalation!$B$49,Actuals!BA53)</f>
        <v>-3928.35855024</v>
      </c>
      <c r="BA143" s="41" t="n">
        <f aca="false">IF(ISBLANK(Actuals!BB53),-3701.78*Escalation!$B$50,Actuals!BB53)</f>
        <v>-4006.9257212448</v>
      </c>
      <c r="BB143" s="41" t="n">
        <f aca="false">IF(ISBLANK(Actuals!BC53),-3701.78*Escalation!$B$51,Actuals!BC53)</f>
        <v>-4006.9257212448</v>
      </c>
      <c r="BC143" s="41" t="n">
        <f aca="false">IF(ISBLANK(Actuals!BD53),-3701.78*Escalation!$B$52,Actuals!BD53)</f>
        <v>-4006.9257212448</v>
      </c>
      <c r="BD143" s="41" t="n">
        <f aca="false">IF(ISBLANK(Actuals!BE53),-3701.78*Escalation!$B$53,Actuals!BE53)</f>
        <v>-4006.9257212448</v>
      </c>
      <c r="BE143" s="41" t="n">
        <f aca="false">IF(ISBLANK(Actuals!BF53),-3701.78*Escalation!$B$54,Actuals!BF53)</f>
        <v>-4006.9257212448</v>
      </c>
      <c r="BF143" s="41" t="n">
        <f aca="false">IF(ISBLANK(Actuals!BG53),-3701.78*Escalation!$B$55,Actuals!BG53)</f>
        <v>-4006.9257212448</v>
      </c>
      <c r="BG143" s="41" t="n">
        <f aca="false">IF(ISBLANK(Actuals!BH53),-3701.78*Escalation!$B$56,Actuals!BH53)</f>
        <v>-4006.9257212448</v>
      </c>
      <c r="BH143" s="41" t="n">
        <f aca="false">IF(ISBLANK(Actuals!BI53),-3701.78*Escalation!$B$57,Actuals!BI53)</f>
        <v>-4006.9257212448</v>
      </c>
      <c r="BI143" s="41" t="n">
        <f aca="false">IF(ISBLANK(Actuals!BJ53),-3701.78*Escalation!$B$58,Actuals!BJ53)</f>
        <v>-4006.9257212448</v>
      </c>
      <c r="BJ143" s="41" t="n">
        <f aca="false">IF(ISBLANK(Actuals!BK53),-3701.78*Escalation!$B$59,Actuals!BK53)</f>
        <v>-4006.9257212448</v>
      </c>
      <c r="BK143" s="41" t="n">
        <f aca="false">IF(ISBLANK(Actuals!BL53),-3701.78*Escalation!$B$60,Actuals!BL53)</f>
        <v>-4006.9257212448</v>
      </c>
      <c r="BL143" s="41" t="n">
        <f aca="false">IF(ISBLANK(Actuals!BM53),-3701.78*Escalation!$B$61,Actuals!BM53)</f>
        <v>-4006.9257212448</v>
      </c>
      <c r="BM143" s="41" t="n">
        <f aca="false">IF(ISBLANK(Actuals!BN53),-3701.78*Escalation!$B$62,Actuals!BN53)</f>
        <v>-4087.0642356697</v>
      </c>
      <c r="BN143" s="41" t="n">
        <f aca="false">IF(ISBLANK(Actuals!BO53),-3701.78*Escalation!$B$63,Actuals!BO53)</f>
        <v>-4087.0642356697</v>
      </c>
      <c r="BO143" s="41" t="n">
        <f aca="false">IF(ISBLANK(Actuals!BP53),-3701.78*Escalation!$B$64,Actuals!BP53)</f>
        <v>-4087.0642356697</v>
      </c>
      <c r="BP143" s="41" t="n">
        <f aca="false">IF(ISBLANK(Actuals!BQ53),-3701.78*Escalation!$B$65,Actuals!BQ53)</f>
        <v>-4087.0642356697</v>
      </c>
      <c r="BQ143" s="41" t="n">
        <f aca="false">IF(ISBLANK(Actuals!BR53),-3701.78*Escalation!$B$66,Actuals!BR53)</f>
        <v>-4087.0642356697</v>
      </c>
      <c r="BR143" s="41" t="n">
        <f aca="false">IF(ISBLANK(Actuals!BS53),-3701.78*Escalation!$B$67,Actuals!BS53)</f>
        <v>-4087.0642356697</v>
      </c>
      <c r="BS143" s="41" t="n">
        <f aca="false">IF(ISBLANK(Actuals!BT53),-3701.78*Escalation!$B$68,Actuals!BT53)</f>
        <v>-4087.0642356697</v>
      </c>
      <c r="BT143" s="41" t="n">
        <f aca="false">IF(ISBLANK(Actuals!BU53),-3701.78*Escalation!$B$69,Actuals!BU53)</f>
        <v>-4087.0642356697</v>
      </c>
      <c r="BU143" s="41" t="n">
        <f aca="false">IF(ISBLANK(Actuals!BV53),-3701.78*Escalation!$B$70,Actuals!BV53)</f>
        <v>-4087.0642356697</v>
      </c>
      <c r="BV143" s="41" t="n">
        <f aca="false">IF(ISBLANK(Actuals!BW53),-3701.78*Escalation!$B$71,Actuals!BW53)</f>
        <v>-4087.0642356697</v>
      </c>
      <c r="BW143" s="41" t="n">
        <f aca="false">IF(ISBLANK(Actuals!BX53),-3701.78*Escalation!$B$72,Actuals!BX53)</f>
        <v>-4087.0642356697</v>
      </c>
      <c r="BX143" s="41" t="n">
        <f aca="false">IF(ISBLANK(Actuals!BY53),-3701.78*Escalation!$B$73,Actuals!BY53)</f>
        <v>-4087.0642356697</v>
      </c>
      <c r="BY143" s="41" t="n">
        <f aca="false">IF(ISBLANK(Actuals!BZ53),-3701.78*Escalation!$B$74,Actuals!BZ53)</f>
        <v>-4168.80552038309</v>
      </c>
      <c r="BZ143" s="41" t="n">
        <f aca="false">IF(ISBLANK(Actuals!CA53),-3701.78*Escalation!$B$75,Actuals!CA53)</f>
        <v>-4168.80552038309</v>
      </c>
      <c r="CA143" s="41" t="n">
        <f aca="false">IF(ISBLANK(Actuals!CB53),-3701.78*Escalation!$B$76,Actuals!CB53)</f>
        <v>-4168.80552038309</v>
      </c>
      <c r="CB143" s="41" t="n">
        <f aca="false">IF(ISBLANK(Actuals!CC53),-3701.78*Escalation!$B$77,Actuals!CC53)</f>
        <v>-4168.80552038309</v>
      </c>
      <c r="CC143" s="41" t="n">
        <f aca="false">IF(ISBLANK(Actuals!CD53),-3701.78*Escalation!$B$78,Actuals!CD53)</f>
        <v>-4168.80552038309</v>
      </c>
      <c r="CD143" s="41" t="n">
        <f aca="false">IF(ISBLANK(Actuals!CE53),-3701.78*Escalation!$B$79,Actuals!CE53)</f>
        <v>-4168.80552038309</v>
      </c>
      <c r="CE143" s="41" t="n">
        <f aca="false">IF(ISBLANK(Actuals!CF53),-3701.78*Escalation!$B$80,Actuals!CF53)</f>
        <v>-4168.80552038309</v>
      </c>
      <c r="CF143" s="41" t="n">
        <f aca="false">IF(ISBLANK(Actuals!CG53),-3701.78*Escalation!$B$81,Actuals!CG53)</f>
        <v>-4168.80552038309</v>
      </c>
      <c r="CG143" s="41" t="n">
        <f aca="false">IF(ISBLANK(Actuals!CH53),-3701.78*Escalation!$B$82,Actuals!CH53)</f>
        <v>-4168.80552038309</v>
      </c>
      <c r="CH143" s="41" t="n">
        <f aca="false">IF(ISBLANK(Actuals!CI53),-3701.78*Escalation!$B$83,Actuals!CI53)</f>
        <v>-4168.80552038309</v>
      </c>
      <c r="CI143" s="41" t="n">
        <f aca="false">IF(ISBLANK(Actuals!CJ53),-3701.78*Escalation!$B$84,Actuals!CJ53)</f>
        <v>-4168.80552038309</v>
      </c>
      <c r="CJ143" s="41" t="n">
        <f aca="false">IF(ISBLANK(Actuals!CK53),-3701.78*Escalation!$B$85,Actuals!CK53)</f>
        <v>-4168.80552038309</v>
      </c>
      <c r="CK143" s="41" t="n">
        <f aca="false">IF(ISBLANK(Actuals!CL53),-3701.78*Escalation!$B$86,Actuals!CL53)</f>
        <v>-4252.18163079075</v>
      </c>
      <c r="CL143" s="41" t="n">
        <f aca="false">IF(ISBLANK(Actuals!CM53),-3701.78*Escalation!$B$87,Actuals!CM53)</f>
        <v>-4252.18163079075</v>
      </c>
      <c r="CM143" s="41" t="n">
        <f aca="false">IF(ISBLANK(Actuals!CN53),-3701.78*Escalation!$B$88,Actuals!CN53)</f>
        <v>-4252.18163079075</v>
      </c>
      <c r="CN143" s="41" t="n">
        <f aca="false">IF(ISBLANK(Actuals!CO53),-3701.78*Escalation!$B$89,Actuals!CO53)</f>
        <v>-4252.18163079075</v>
      </c>
      <c r="CO143" s="41" t="n">
        <f aca="false">IF(ISBLANK(Actuals!CP53),-3701.78*Escalation!$B$90,Actuals!CP53)</f>
        <v>-4252.18163079075</v>
      </c>
      <c r="CP143" s="41" t="n">
        <f aca="false">IF(ISBLANK(Actuals!CQ53),-3701.78*Escalation!$B$91,Actuals!CQ53)</f>
        <v>-4252.18163079075</v>
      </c>
      <c r="CQ143" s="41" t="n">
        <f aca="false">IF(ISBLANK(Actuals!CR53),-3701.78*Escalation!$B$92,Actuals!CR53)</f>
        <v>-4252.18163079075</v>
      </c>
      <c r="CR143" s="41" t="n">
        <f aca="false">IF(ISBLANK(Actuals!CS53),-3701.78*Escalation!$B$93,Actuals!CS53)</f>
        <v>-4252.18163079075</v>
      </c>
      <c r="CS143" s="41" t="n">
        <f aca="false">IF(ISBLANK(Actuals!CT53),-3701.78*Escalation!$B$94,Actuals!CT53)</f>
        <v>-4252.18163079075</v>
      </c>
      <c r="CT143" s="41" t="n">
        <f aca="false">IF(ISBLANK(Actuals!CU53),-3701.78*Escalation!$B$95,Actuals!CU53)</f>
        <v>-4252.18163079075</v>
      </c>
      <c r="CU143" s="41" t="n">
        <f aca="false">IF(ISBLANK(Actuals!CV53),-3701.78*Escalation!$B$96,Actuals!CV53)</f>
        <v>-4252.18163079075</v>
      </c>
      <c r="CV143" s="41" t="n">
        <f aca="false">IF(ISBLANK(Actuals!CW53),-3701.78*Escalation!$B$97,Actuals!CW53)</f>
        <v>-4252.18163079075</v>
      </c>
      <c r="CW143" s="41" t="n">
        <f aca="false">IF(ISBLANK(Actuals!CX53),-3701.78*Escalation!$B$98,Actuals!CX53)</f>
        <v>-4337.22526340657</v>
      </c>
      <c r="CX143" s="41" t="n">
        <f aca="false">IF(ISBLANK(Actuals!CY53),-3701.78*Escalation!$B$99,Actuals!CY53)</f>
        <v>-4337.22526340657</v>
      </c>
      <c r="CY143" s="41" t="n">
        <f aca="false">IF(ISBLANK(Actuals!CZ53),-3701.78*Escalation!$B$100,Actuals!CZ53)</f>
        <v>-4337.22526340657</v>
      </c>
      <c r="CZ143" s="41" t="n">
        <f aca="false">IF(ISBLANK(Actuals!DA53),-3701.78*Escalation!$B$101,Actuals!DA53)</f>
        <v>-4337.22526340657</v>
      </c>
      <c r="DA143" s="41" t="n">
        <f aca="false">IF(ISBLANK(Actuals!DB53),-3701.78*Escalation!$B$102,Actuals!DB53)</f>
        <v>-4337.22526340657</v>
      </c>
      <c r="DB143" s="41" t="n">
        <f aca="false">IF(ISBLANK(Actuals!DC53),-3701.78*Escalation!$B$103,Actuals!DC53)</f>
        <v>-4337.22526340657</v>
      </c>
      <c r="DC143" s="41" t="n">
        <f aca="false">IF(ISBLANK(Actuals!DD53),-3701.78*Escalation!$B$104,Actuals!DD53)</f>
        <v>-4337.22526340657</v>
      </c>
      <c r="DD143" s="41" t="n">
        <f aca="false">IF(ISBLANK(Actuals!DE53),-3701.78*Escalation!$B$105,Actuals!DE53)</f>
        <v>-4337.22526340657</v>
      </c>
      <c r="DE143" s="41" t="n">
        <f aca="false">IF(ISBLANK(Actuals!DF53),-3701.78*Escalation!$B$106,Actuals!DF53)</f>
        <v>-4337.22526340657</v>
      </c>
    </row>
    <row r="144" customFormat="false" ht="15" hidden="false" customHeight="true" outlineLevel="0" collapsed="false">
      <c r="A144" s="33" t="s">
        <v>93</v>
      </c>
      <c r="B144" s="34" t="n">
        <f aca="false">SUM(B110:B143)</f>
        <v>-260601.5</v>
      </c>
      <c r="C144" s="34" t="n">
        <f aca="false">SUM(C110:C143)</f>
        <v>-260308.54</v>
      </c>
      <c r="D144" s="34" t="n">
        <f aca="false">SUM(D110:D143)</f>
        <v>-351937.74</v>
      </c>
      <c r="E144" s="34" t="n">
        <f aca="false">SUM(E110:E143)</f>
        <v>-73431.56</v>
      </c>
      <c r="F144" s="34" t="n">
        <f aca="false">SUM(F110:F143)</f>
        <v>-437914.85</v>
      </c>
      <c r="G144" s="34" t="n">
        <f aca="false">SUM(G110:G143)</f>
        <v>-426674.543333333</v>
      </c>
      <c r="H144" s="34" t="n">
        <f aca="false">SUM(H110:H143)</f>
        <v>-529245.725</v>
      </c>
      <c r="I144" s="34" t="n">
        <f aca="false">SUM(I110:I143)</f>
        <v>-484245.725</v>
      </c>
      <c r="J144" s="34" t="n">
        <f aca="false">SUM(J110:J143)</f>
        <v>-523512.391666667</v>
      </c>
      <c r="K144" s="34" t="n">
        <f aca="false">SUM(K110:K143)</f>
        <v>-499512.391666667</v>
      </c>
      <c r="L144" s="34" t="n">
        <f aca="false">SUM(L110:L143)</f>
        <v>-499512.391666667</v>
      </c>
      <c r="M144" s="34" t="n">
        <f aca="false">SUM(M110:M143)</f>
        <v>-531416.558333333</v>
      </c>
      <c r="N144" s="34" t="n">
        <f aca="false">SUM(N110:N143)</f>
        <v>-489572.815</v>
      </c>
      <c r="O144" s="34" t="n">
        <f aca="false">SUM(O110:O143)</f>
        <v>-489572.815</v>
      </c>
      <c r="P144" s="34" t="n">
        <f aca="false">SUM(P110:P143)</f>
        <v>-489572.815</v>
      </c>
      <c r="Q144" s="34" t="n">
        <f aca="false">SUM(Q110:Q143)</f>
        <v>-536859.604633333</v>
      </c>
      <c r="R144" s="34" t="n">
        <f aca="false">SUM(R110:R143)</f>
        <v>-512859.604633333</v>
      </c>
      <c r="S144" s="34" t="n">
        <f aca="false">SUM(S110:S143)</f>
        <v>-512859.604633333</v>
      </c>
      <c r="T144" s="34" t="n">
        <f aca="false">SUM(T110:T143)</f>
        <v>-512859.604633333</v>
      </c>
      <c r="U144" s="34" t="n">
        <f aca="false">SUM(U110:U143)</f>
        <v>-512859.604633333</v>
      </c>
      <c r="V144" s="34" t="n">
        <f aca="false">SUM(V110:V143)</f>
        <v>-512859.604633333</v>
      </c>
      <c r="W144" s="34" t="n">
        <f aca="false">SUM(W110:W143)</f>
        <v>-512859.604633333</v>
      </c>
      <c r="X144" s="34" t="n">
        <f aca="false">SUM(X110:X143)</f>
        <v>-512859.604633333</v>
      </c>
      <c r="Y144" s="34" t="n">
        <f aca="false">SUM(Y110:Y143)</f>
        <v>-512859.604633333</v>
      </c>
      <c r="Z144" s="34" t="n">
        <f aca="false">SUM(Z110:Z143)</f>
        <v>-512859.604633333</v>
      </c>
      <c r="AA144" s="34" t="n">
        <f aca="false">SUM(AA110:AA143)</f>
        <v>-512859.604633333</v>
      </c>
      <c r="AB144" s="34" t="n">
        <f aca="false">SUM(AB110:AB143)</f>
        <v>-512859.604633333</v>
      </c>
      <c r="AC144" s="34" t="n">
        <f aca="false">SUM(AC110:AC143)</f>
        <v>-521040.130059333</v>
      </c>
      <c r="AD144" s="34" t="n">
        <f aca="false">SUM(AD110:AD143)</f>
        <v>-521040.130059333</v>
      </c>
      <c r="AE144" s="34" t="n">
        <f aca="false">SUM(AE110:AE143)</f>
        <v>-521040.130059333</v>
      </c>
      <c r="AF144" s="34" t="n">
        <f aca="false">SUM(AF110:AF143)</f>
        <v>-521040.130059333</v>
      </c>
      <c r="AG144" s="34" t="n">
        <f aca="false">SUM(AG110:AG143)</f>
        <v>-521040.130059333</v>
      </c>
      <c r="AH144" s="34" t="n">
        <f aca="false">SUM(AH110:AH143)</f>
        <v>-521040.130059333</v>
      </c>
      <c r="AI144" s="34" t="n">
        <f aca="false">SUM(AI110:AI143)</f>
        <v>-521040.130059333</v>
      </c>
      <c r="AJ144" s="34" t="n">
        <f aca="false">SUM(AJ110:AJ143)</f>
        <v>-521040.130059333</v>
      </c>
      <c r="AK144" s="34" t="n">
        <f aca="false">SUM(AK110:AK143)</f>
        <v>-521040.130059333</v>
      </c>
      <c r="AL144" s="34" t="n">
        <f aca="false">SUM(AL110:AL143)</f>
        <v>-521040.130059333</v>
      </c>
      <c r="AM144" s="34" t="n">
        <f aca="false">SUM(AM110:AM143)</f>
        <v>-521040.130059333</v>
      </c>
      <c r="AN144" s="34" t="n">
        <f aca="false">SUM(AN110:AN143)</f>
        <v>-521040.130059333</v>
      </c>
      <c r="AO144" s="34" t="n">
        <f aca="false">SUM(AO110:AO143)</f>
        <v>-529384.265993853</v>
      </c>
      <c r="AP144" s="34" t="n">
        <f aca="false">SUM(AP110:AP143)</f>
        <v>-529384.265993853</v>
      </c>
      <c r="AQ144" s="34" t="n">
        <f aca="false">SUM(AQ110:AQ143)</f>
        <v>-529384.265993853</v>
      </c>
      <c r="AR144" s="34" t="n">
        <f aca="false">SUM(AR110:AR143)</f>
        <v>-529384.265993853</v>
      </c>
      <c r="AS144" s="34" t="n">
        <f aca="false">SUM(AS110:AS143)</f>
        <v>-529384.265993853</v>
      </c>
      <c r="AT144" s="34" t="n">
        <f aca="false">SUM(AT110:AT143)</f>
        <v>-529384.265993853</v>
      </c>
      <c r="AU144" s="34" t="n">
        <f aca="false">SUM(AU110:AU143)</f>
        <v>-529384.265993853</v>
      </c>
      <c r="AV144" s="34" t="n">
        <f aca="false">SUM(AV110:AV143)</f>
        <v>-529384.265993853</v>
      </c>
      <c r="AW144" s="34" t="n">
        <f aca="false">SUM(AW110:AW143)</f>
        <v>-529384.265993853</v>
      </c>
      <c r="AX144" s="34" t="n">
        <f aca="false">SUM(AX110:AX143)</f>
        <v>-529384.265993853</v>
      </c>
      <c r="AY144" s="34" t="n">
        <f aca="false">SUM(AY110:AY143)</f>
        <v>-529384.265993853</v>
      </c>
      <c r="AZ144" s="34" t="n">
        <f aca="false">SUM(AZ110:AZ143)</f>
        <v>-529384.265993853</v>
      </c>
      <c r="BA144" s="34" t="n">
        <f aca="false">SUM(BA110:BA143)</f>
        <v>-537895.284647064</v>
      </c>
      <c r="BB144" s="34" t="n">
        <f aca="false">SUM(BB110:BB143)</f>
        <v>-537895.284647064</v>
      </c>
      <c r="BC144" s="34" t="n">
        <f aca="false">SUM(BC110:BC143)</f>
        <v>-537895.284647064</v>
      </c>
      <c r="BD144" s="34" t="n">
        <f aca="false">SUM(BD110:BD143)</f>
        <v>-537895.284647064</v>
      </c>
      <c r="BE144" s="34" t="n">
        <f aca="false">SUM(BE110:BE143)</f>
        <v>-537895.284647064</v>
      </c>
      <c r="BF144" s="34" t="n">
        <f aca="false">SUM(BF110:BF143)</f>
        <v>-537895.284647064</v>
      </c>
      <c r="BG144" s="34" t="n">
        <f aca="false">SUM(BG110:BG143)</f>
        <v>-537895.284647064</v>
      </c>
      <c r="BH144" s="34" t="n">
        <f aca="false">SUM(BH110:BH143)</f>
        <v>-537895.284647064</v>
      </c>
      <c r="BI144" s="34" t="n">
        <f aca="false">SUM(BI110:BI143)</f>
        <v>-537895.284647064</v>
      </c>
      <c r="BJ144" s="34" t="n">
        <f aca="false">SUM(BJ110:BJ143)</f>
        <v>-537895.284647064</v>
      </c>
      <c r="BK144" s="34" t="n">
        <f aca="false">SUM(BK110:BK143)</f>
        <v>-537895.284647064</v>
      </c>
      <c r="BL144" s="34" t="n">
        <f aca="false">SUM(BL110:BL143)</f>
        <v>-537895.284647064</v>
      </c>
      <c r="BM144" s="34" t="n">
        <f aca="false">SUM(BM110:BM143)</f>
        <v>-546576.523673338</v>
      </c>
      <c r="BN144" s="34" t="n">
        <f aca="false">SUM(BN110:BN143)</f>
        <v>-546576.523673338</v>
      </c>
      <c r="BO144" s="34" t="n">
        <f aca="false">SUM(BO110:BO143)</f>
        <v>-546576.523673338</v>
      </c>
      <c r="BP144" s="34" t="n">
        <f aca="false">SUM(BP110:BP143)</f>
        <v>-546576.523673338</v>
      </c>
      <c r="BQ144" s="34" t="n">
        <f aca="false">SUM(BQ110:BQ143)</f>
        <v>-546576.523673338</v>
      </c>
      <c r="BR144" s="34" t="n">
        <f aca="false">SUM(BR110:BR143)</f>
        <v>-546576.523673338</v>
      </c>
      <c r="BS144" s="34" t="n">
        <f aca="false">SUM(BS110:BS143)</f>
        <v>-546576.523673338</v>
      </c>
      <c r="BT144" s="34" t="n">
        <f aca="false">SUM(BT110:BT143)</f>
        <v>-546576.523673338</v>
      </c>
      <c r="BU144" s="34" t="n">
        <f aca="false">SUM(BU110:BU143)</f>
        <v>-546576.523673338</v>
      </c>
      <c r="BV144" s="34" t="n">
        <f aca="false">SUM(BV110:BV143)</f>
        <v>-546576.523673338</v>
      </c>
      <c r="BW144" s="34" t="n">
        <f aca="false">SUM(BW110:BW143)</f>
        <v>-546576.523673338</v>
      </c>
      <c r="BX144" s="34" t="n">
        <f aca="false">SUM(BX110:BX143)</f>
        <v>-546576.523673338</v>
      </c>
      <c r="BY144" s="34" t="n">
        <f aca="false">SUM(BY110:BY143)</f>
        <v>-555431.387480139</v>
      </c>
      <c r="BZ144" s="34" t="n">
        <f aca="false">SUM(BZ110:BZ143)</f>
        <v>-555431.387480139</v>
      </c>
      <c r="CA144" s="34" t="n">
        <f aca="false">SUM(CA110:CA143)</f>
        <v>-555431.387480139</v>
      </c>
      <c r="CB144" s="34" t="n">
        <f aca="false">SUM(CB110:CB143)</f>
        <v>-555431.387480139</v>
      </c>
      <c r="CC144" s="34" t="n">
        <f aca="false">SUM(CC110:CC143)</f>
        <v>-555431.387480139</v>
      </c>
      <c r="CD144" s="34" t="n">
        <f aca="false">SUM(CD110:CD143)</f>
        <v>-555431.387480139</v>
      </c>
      <c r="CE144" s="34" t="n">
        <f aca="false">SUM(CE110:CE143)</f>
        <v>-555431.387480139</v>
      </c>
      <c r="CF144" s="34" t="n">
        <f aca="false">SUM(CF110:CF143)</f>
        <v>-555431.387480139</v>
      </c>
      <c r="CG144" s="34" t="n">
        <f aca="false">SUM(CG110:CG143)</f>
        <v>-555431.387480139</v>
      </c>
      <c r="CH144" s="34" t="n">
        <f aca="false">SUM(CH110:CH143)</f>
        <v>-555431.387480139</v>
      </c>
      <c r="CI144" s="34" t="n">
        <f aca="false">SUM(CI110:CI143)</f>
        <v>-555431.387480139</v>
      </c>
      <c r="CJ144" s="34" t="n">
        <f aca="false">SUM(CJ110:CJ143)</f>
        <v>-555431.387480139</v>
      </c>
      <c r="CK144" s="34" t="n">
        <f aca="false">SUM(CK110:CK143)</f>
        <v>-564463.348563075</v>
      </c>
      <c r="CL144" s="34" t="n">
        <f aca="false">SUM(CL110:CL143)</f>
        <v>-564463.348563075</v>
      </c>
      <c r="CM144" s="34" t="n">
        <f aca="false">SUM(CM110:CM143)</f>
        <v>-564463.348563075</v>
      </c>
      <c r="CN144" s="34" t="n">
        <f aca="false">SUM(CN110:CN143)</f>
        <v>-564463.348563075</v>
      </c>
      <c r="CO144" s="34" t="n">
        <f aca="false">SUM(CO110:CO143)</f>
        <v>-564463.348563075</v>
      </c>
      <c r="CP144" s="34" t="n">
        <f aca="false">SUM(CP110:CP143)</f>
        <v>-564463.348563075</v>
      </c>
      <c r="CQ144" s="34" t="n">
        <f aca="false">SUM(CQ110:CQ143)</f>
        <v>-564463.348563075</v>
      </c>
      <c r="CR144" s="34" t="n">
        <f aca="false">SUM(CR110:CR143)</f>
        <v>-564463.348563075</v>
      </c>
      <c r="CS144" s="34" t="n">
        <f aca="false">SUM(CS110:CS143)</f>
        <v>-564463.348563075</v>
      </c>
      <c r="CT144" s="34" t="n">
        <f aca="false">SUM(CT110:CT143)</f>
        <v>-510019.23755921</v>
      </c>
      <c r="CU144" s="34" t="n">
        <f aca="false">SUM(CU110:CU143)</f>
        <v>-510019.23755921</v>
      </c>
      <c r="CV144" s="34" t="n">
        <f aca="false">SUM(CV110:CV143)</f>
        <v>-510019.23755921</v>
      </c>
      <c r="CW144" s="34" t="n">
        <f aca="false">SUM(CW110:CW143)</f>
        <v>-518142.955643728</v>
      </c>
      <c r="CX144" s="34" t="n">
        <f aca="false">SUM(CX110:CX143)</f>
        <v>-518142.955643728</v>
      </c>
      <c r="CY144" s="34" t="n">
        <f aca="false">SUM(CY110:CY143)</f>
        <v>-518142.955643728</v>
      </c>
      <c r="CZ144" s="34" t="n">
        <f aca="false">SUM(CZ110:CZ143)</f>
        <v>-518142.955643728</v>
      </c>
      <c r="DA144" s="34" t="n">
        <f aca="false">SUM(DA110:DA143)</f>
        <v>-518142.955643728</v>
      </c>
      <c r="DB144" s="34" t="n">
        <f aca="false">SUM(DB110:DB143)</f>
        <v>-518142.955643728</v>
      </c>
      <c r="DC144" s="34" t="n">
        <f aca="false">SUM(DC110:DC143)</f>
        <v>-518142.955643728</v>
      </c>
      <c r="DD144" s="34" t="n">
        <f aca="false">SUM(DD110:DD143)</f>
        <v>-518142.955643728</v>
      </c>
      <c r="DE144" s="34" t="n">
        <f aca="false">SUM(DE110:DE143)</f>
        <v>-518142.955643728</v>
      </c>
    </row>
    <row r="145" customFormat="false" ht="19.5" hidden="false" customHeight="true" outlineLevel="0" collapsed="false">
      <c r="A145" s="42" t="s">
        <v>94</v>
      </c>
      <c r="B145" s="43" t="n">
        <f aca="false">B107+B144</f>
        <v>-41844.6399999999</v>
      </c>
      <c r="C145" s="43" t="n">
        <f aca="false">C107+C144</f>
        <v>-311309.31</v>
      </c>
      <c r="D145" s="43" t="n">
        <f aca="false">D107+D144</f>
        <v>242246.78</v>
      </c>
      <c r="E145" s="43" t="n">
        <f aca="false">E107+E144</f>
        <v>373926.69</v>
      </c>
      <c r="F145" s="43" t="n">
        <f aca="false">F107+F144</f>
        <v>35871.8500000002</v>
      </c>
      <c r="G145" s="43" t="n">
        <f aca="false">G107+G144</f>
        <v>224970.586666667</v>
      </c>
      <c r="H145" s="43" t="n">
        <f aca="false">H107+H144</f>
        <v>-76035.185416696</v>
      </c>
      <c r="I145" s="43" t="n">
        <f aca="false">I107+I144</f>
        <v>296394.633165302</v>
      </c>
      <c r="J145" s="43" t="n">
        <f aca="false">J107+J144</f>
        <v>-63323.2319474525</v>
      </c>
      <c r="K145" s="43" t="n">
        <f aca="false">K107+K144</f>
        <v>417513.614526244</v>
      </c>
      <c r="L145" s="43" t="n">
        <f aca="false">L107+L144</f>
        <v>393607.260726189</v>
      </c>
      <c r="M145" s="43" t="n">
        <f aca="false">M107+M144</f>
        <v>273593.5875938</v>
      </c>
      <c r="N145" s="43" t="n">
        <f aca="false">N107+N144</f>
        <v>293487.26515205</v>
      </c>
      <c r="O145" s="43" t="n">
        <f aca="false">O107+O144</f>
        <v>267890.590634305</v>
      </c>
      <c r="P145" s="43" t="n">
        <f aca="false">P107+P144</f>
        <v>239963.965992099</v>
      </c>
      <c r="Q145" s="43" t="n">
        <f aca="false">Q107+Q144</f>
        <v>-455842.922775748</v>
      </c>
      <c r="R145" s="43" t="n">
        <f aca="false">R107+R144</f>
        <v>331617.059109317</v>
      </c>
      <c r="S145" s="43" t="n">
        <f aca="false">S107+S144</f>
        <v>304179.711590462</v>
      </c>
      <c r="T145" s="43" t="n">
        <f aca="false">T107+T144</f>
        <v>229044.573090154</v>
      </c>
      <c r="U145" s="43" t="n">
        <f aca="false">U107+U144</f>
        <v>176486.238009593</v>
      </c>
      <c r="V145" s="43" t="n">
        <f aca="false">V107+V144</f>
        <v>173703.337351954</v>
      </c>
      <c r="W145" s="43" t="n">
        <f aca="false">W107+W144</f>
        <v>171117.943555453</v>
      </c>
      <c r="X145" s="43" t="n">
        <f aca="false">X107+X144</f>
        <v>160138.301130427</v>
      </c>
      <c r="Y145" s="43" t="n">
        <f aca="false">Y107+Y144</f>
        <v>160138.301130427</v>
      </c>
      <c r="Z145" s="43" t="n">
        <f aca="false">Z107+Z144</f>
        <v>160138.301130427</v>
      </c>
      <c r="AA145" s="43" t="n">
        <f aca="false">AA107+AA144</f>
        <v>238354.985752204</v>
      </c>
      <c r="AB145" s="43" t="n">
        <f aca="false">AB107+AB144</f>
        <v>81921.6165086495</v>
      </c>
      <c r="AC145" s="43" t="n">
        <f aca="false">AC107+AC144</f>
        <v>176809.704282249</v>
      </c>
      <c r="AD145" s="43" t="n">
        <f aca="false">AD107+AD144</f>
        <v>-29327.5221169515</v>
      </c>
      <c r="AE145" s="43" t="n">
        <f aca="false">AE107+AE144</f>
        <v>-595373.941248404</v>
      </c>
      <c r="AF145" s="43" t="n">
        <f aca="false">AF107+AF144</f>
        <v>128332.118751596</v>
      </c>
      <c r="AG145" s="43" t="n">
        <f aca="false">AG107+AG144</f>
        <v>256328.248319346</v>
      </c>
      <c r="AH145" s="43" t="n">
        <f aca="false">AH107+AH144</f>
        <v>27001.8495104608</v>
      </c>
      <c r="AI145" s="43" t="n">
        <f aca="false">AI107+AI144</f>
        <v>27001.8495104603</v>
      </c>
      <c r="AJ145" s="43" t="n">
        <f aca="false">AJ107+AJ144</f>
        <v>27001.8495104603</v>
      </c>
      <c r="AK145" s="43" t="n">
        <f aca="false">AK107+AK144</f>
        <v>27001.8495104603</v>
      </c>
      <c r="AL145" s="43" t="n">
        <f aca="false">AL107+AL144</f>
        <v>370909.430527351</v>
      </c>
      <c r="AM145" s="43" t="n">
        <f aca="false">AM107+AM144</f>
        <v>-190806.28513357</v>
      </c>
      <c r="AN145" s="43" t="n">
        <f aca="false">AN107+AN144</f>
        <v>-190806.28513357</v>
      </c>
      <c r="AO145" s="43" t="n">
        <f aca="false">AO107+AO144</f>
        <v>-199150.42106809</v>
      </c>
      <c r="AP145" s="43" t="n">
        <f aca="false">AP107+AP144</f>
        <v>-199150.42106809</v>
      </c>
      <c r="AQ145" s="43" t="n">
        <f aca="false">AQ107+AQ144</f>
        <v>-199150.42106809</v>
      </c>
      <c r="AR145" s="43" t="n">
        <f aca="false">AR107+AR144</f>
        <v>-199150.42106809</v>
      </c>
      <c r="AS145" s="43" t="n">
        <f aca="false">AS107+AS144</f>
        <v>-199150.42106809</v>
      </c>
      <c r="AT145" s="43" t="n">
        <f aca="false">AT107+AT144</f>
        <v>73335.1642854096</v>
      </c>
      <c r="AU145" s="43" t="n">
        <f aca="false">AU107+AU144</f>
        <v>-371724.625125307</v>
      </c>
      <c r="AV145" s="43" t="n">
        <f aca="false">AV107+AV144</f>
        <v>-371724.625125307</v>
      </c>
      <c r="AW145" s="43" t="n">
        <f aca="false">AW107+AW144</f>
        <v>-371724.625125307</v>
      </c>
      <c r="AX145" s="43" t="n">
        <f aca="false">AX107+AX144</f>
        <v>-371724.625125307</v>
      </c>
      <c r="AY145" s="43" t="n">
        <f aca="false">AY107+AY144</f>
        <v>-371724.625125307</v>
      </c>
      <c r="AZ145" s="43" t="n">
        <f aca="false">AZ107+AZ144</f>
        <v>-371724.625125307</v>
      </c>
      <c r="BA145" s="43" t="n">
        <f aca="false">BA107+BA144</f>
        <v>-380235.643778517</v>
      </c>
      <c r="BB145" s="43" t="n">
        <f aca="false">BB107+BB144</f>
        <v>-380235.643778517</v>
      </c>
      <c r="BC145" s="43" t="n">
        <f aca="false">BC107+BC144</f>
        <v>-380235.643778517</v>
      </c>
      <c r="BD145" s="43" t="n">
        <f aca="false">BD107+BD144</f>
        <v>-380235.643778517</v>
      </c>
      <c r="BE145" s="43" t="n">
        <f aca="false">BE107+BE144</f>
        <v>-380235.643778517</v>
      </c>
      <c r="BF145" s="43" t="n">
        <f aca="false">BF107+BF144</f>
        <v>-380235.643778517</v>
      </c>
      <c r="BG145" s="43" t="n">
        <f aca="false">BG107+BG144</f>
        <v>-380235.643778517</v>
      </c>
      <c r="BH145" s="43" t="n">
        <f aca="false">BH107+BH144</f>
        <v>-131299.368722917</v>
      </c>
      <c r="BI145" s="43" t="n">
        <f aca="false">BI107+BI144</f>
        <v>-537895.284647064</v>
      </c>
      <c r="BJ145" s="43" t="n">
        <f aca="false">BJ107+BJ144</f>
        <v>-537895.284647064</v>
      </c>
      <c r="BK145" s="43" t="n">
        <f aca="false">BK107+BK144</f>
        <v>-537895.284647064</v>
      </c>
      <c r="BL145" s="43" t="n">
        <f aca="false">BL107+BL144</f>
        <v>-537895.284647064</v>
      </c>
      <c r="BM145" s="43" t="n">
        <f aca="false">BM107+BM144</f>
        <v>-546576.523673338</v>
      </c>
      <c r="BN145" s="43" t="n">
        <f aca="false">BN107+BN144</f>
        <v>-546576.523673338</v>
      </c>
      <c r="BO145" s="43" t="n">
        <f aca="false">BO107+BO144</f>
        <v>-546576.523673338</v>
      </c>
      <c r="BP145" s="43" t="n">
        <f aca="false">BP107+BP144</f>
        <v>-546576.523673338</v>
      </c>
      <c r="BQ145" s="43" t="n">
        <f aca="false">BQ107+BQ144</f>
        <v>-546576.523673338</v>
      </c>
      <c r="BR145" s="43" t="n">
        <f aca="false">BR107+BR144</f>
        <v>-546576.523673338</v>
      </c>
      <c r="BS145" s="43" t="n">
        <f aca="false">BS107+BS144</f>
        <v>-546576.523673338</v>
      </c>
      <c r="BT145" s="43" t="n">
        <f aca="false">BT107+BT144</f>
        <v>-546576.523673338</v>
      </c>
      <c r="BU145" s="43" t="n">
        <f aca="false">BU107+BU144</f>
        <v>-546576.523673338</v>
      </c>
      <c r="BV145" s="43" t="n">
        <f aca="false">BV107+BV144</f>
        <v>-546576.523673338</v>
      </c>
      <c r="BW145" s="43" t="n">
        <f aca="false">BW107+BW144</f>
        <v>-546576.523673338</v>
      </c>
      <c r="BX145" s="43" t="n">
        <f aca="false">BX107+BX144</f>
        <v>-546576.523673338</v>
      </c>
      <c r="BY145" s="43" t="n">
        <f aca="false">BY107+BY144</f>
        <v>-555431.387480139</v>
      </c>
      <c r="BZ145" s="43" t="n">
        <f aca="false">BZ107+BZ144</f>
        <v>-555431.387480139</v>
      </c>
      <c r="CA145" s="43" t="n">
        <f aca="false">CA107+CA144</f>
        <v>-555431.387480139</v>
      </c>
      <c r="CB145" s="43" t="n">
        <f aca="false">CB107+CB144</f>
        <v>-555431.387480139</v>
      </c>
      <c r="CC145" s="43" t="n">
        <f aca="false">CC107+CC144</f>
        <v>-555431.387480139</v>
      </c>
      <c r="CD145" s="43" t="n">
        <f aca="false">CD107+CD144</f>
        <v>-555431.387480139</v>
      </c>
      <c r="CE145" s="43" t="n">
        <f aca="false">CE107+CE144</f>
        <v>-555431.387480139</v>
      </c>
      <c r="CF145" s="43" t="n">
        <f aca="false">CF107+CF144</f>
        <v>-555431.387480139</v>
      </c>
      <c r="CG145" s="43" t="n">
        <f aca="false">CG107+CG144</f>
        <v>-555431.387480139</v>
      </c>
      <c r="CH145" s="43" t="n">
        <f aca="false">CH107+CH144</f>
        <v>-555431.387480139</v>
      </c>
      <c r="CI145" s="43" t="n">
        <f aca="false">CI107+CI144</f>
        <v>-555431.387480139</v>
      </c>
      <c r="CJ145" s="43" t="n">
        <f aca="false">CJ107+CJ144</f>
        <v>-555431.387480139</v>
      </c>
      <c r="CK145" s="43" t="n">
        <f aca="false">CK107+CK144</f>
        <v>-564463.348563075</v>
      </c>
      <c r="CL145" s="43" t="n">
        <f aca="false">CL107+CL144</f>
        <v>-564463.348563075</v>
      </c>
      <c r="CM145" s="43" t="n">
        <f aca="false">CM107+CM144</f>
        <v>-564463.348563075</v>
      </c>
      <c r="CN145" s="43" t="n">
        <f aca="false">CN107+CN144</f>
        <v>-564463.348563075</v>
      </c>
      <c r="CO145" s="43" t="n">
        <f aca="false">CO107+CO144</f>
        <v>-564463.348563075</v>
      </c>
      <c r="CP145" s="43" t="n">
        <f aca="false">CP107+CP144</f>
        <v>-564463.348563075</v>
      </c>
      <c r="CQ145" s="43" t="n">
        <f aca="false">CQ107+CQ144</f>
        <v>-564463.348563075</v>
      </c>
      <c r="CR145" s="43" t="n">
        <f aca="false">CR107+CR144</f>
        <v>-564463.348563075</v>
      </c>
      <c r="CS145" s="43" t="n">
        <f aca="false">CS107+CS144</f>
        <v>-564463.348563075</v>
      </c>
      <c r="CT145" s="43" t="n">
        <f aca="false">CT107+CT144</f>
        <v>-510019.23755921</v>
      </c>
      <c r="CU145" s="43" t="n">
        <f aca="false">CU107+CU144</f>
        <v>-510019.23755921</v>
      </c>
      <c r="CV145" s="43" t="n">
        <f aca="false">CV107+CV144</f>
        <v>-510019.23755921</v>
      </c>
      <c r="CW145" s="43" t="n">
        <f aca="false">CW107+CW144</f>
        <v>-518142.955643728</v>
      </c>
      <c r="CX145" s="43" t="n">
        <f aca="false">CX107+CX144</f>
        <v>-518142.955643728</v>
      </c>
      <c r="CY145" s="43" t="n">
        <f aca="false">CY107+CY144</f>
        <v>-518142.955643728</v>
      </c>
      <c r="CZ145" s="43" t="n">
        <f aca="false">CZ107+CZ144</f>
        <v>-518142.955643728</v>
      </c>
      <c r="DA145" s="43" t="n">
        <f aca="false">DA107+DA144</f>
        <v>-518142.955643728</v>
      </c>
      <c r="DB145" s="43" t="n">
        <f aca="false">DB107+DB144</f>
        <v>-518142.955643728</v>
      </c>
      <c r="DC145" s="43" t="n">
        <f aca="false">DC107+DC144</f>
        <v>-518142.955643728</v>
      </c>
      <c r="DD145" s="43" t="n">
        <f aca="false">DD107+DD144</f>
        <v>-518142.955643728</v>
      </c>
      <c r="DE145" s="43" t="n">
        <f aca="false">DE107+DE144</f>
        <v>-518142.955643728</v>
      </c>
    </row>
    <row r="146" customFormat="false" ht="19.5" hidden="false" customHeight="true" outlineLevel="0" collapsed="false">
      <c r="A146" s="29" t="s">
        <v>95</v>
      </c>
      <c r="B146" s="37" t="n">
        <f aca="false">IFERROR(B145/B58,0)</f>
        <v>-0.0287831236019867</v>
      </c>
      <c r="C146" s="37" t="n">
        <f aca="false">IFERROR(C145/C58,0)</f>
        <v>-0.102996554608564</v>
      </c>
      <c r="D146" s="37" t="n">
        <f aca="false">IFERROR(D145/D58,0)</f>
        <v>0.090653886323328</v>
      </c>
      <c r="E146" s="37" t="n">
        <f aca="false">IFERROR(E145/E58,0)</f>
        <v>0.101270434808067</v>
      </c>
      <c r="F146" s="37" t="n">
        <f aca="false">IFERROR(F145/F58,0)</f>
        <v>0.00812304107268544</v>
      </c>
      <c r="G146" s="37" t="n">
        <f aca="false">IFERROR(G145/G58,0)</f>
        <v>0.0359822655231093</v>
      </c>
      <c r="H146" s="37" t="n">
        <f aca="false">IFERROR(H145/H58,0)</f>
        <v>-0.0154135036026272</v>
      </c>
      <c r="I146" s="37" t="n">
        <f aca="false">IFERROR(I145/I58,0)</f>
        <v>0.0481802202887558</v>
      </c>
      <c r="J146" s="37" t="n">
        <f aca="false">IFERROR(J145/J58,0)</f>
        <v>-0.0094691720731135</v>
      </c>
      <c r="K146" s="37" t="n">
        <f aca="false">IFERROR(K145/K58,0)</f>
        <v>0.0574645654969512</v>
      </c>
      <c r="L146" s="37" t="n">
        <f aca="false">IFERROR(L145/L58,0)</f>
        <v>0.0528626055039049</v>
      </c>
      <c r="M146" s="37" t="n">
        <f aca="false">IFERROR(M145/M58,0)</f>
        <v>0.038925083218614</v>
      </c>
      <c r="N146" s="37" t="n">
        <f aca="false">IFERROR(N145/N58,0)</f>
        <v>0.0406174348673748</v>
      </c>
      <c r="O146" s="37" t="n">
        <f aca="false">IFERROR(O145/O58,0)</f>
        <v>0.0363764231996843</v>
      </c>
      <c r="P146" s="37" t="n">
        <f aca="false">IFERROR(P145/P58,0)</f>
        <v>0.0322411167896747</v>
      </c>
      <c r="Q146" s="37" t="n">
        <f aca="false">IFERROR(Q145/Q58,0)</f>
        <v>-0.0556724597178967</v>
      </c>
      <c r="R146" s="37" t="n">
        <f aca="false">IFERROR(R145/R58,0)</f>
        <v>0.0401937982143549</v>
      </c>
      <c r="S146" s="37" t="n">
        <f aca="false">IFERROR(S145/S58,0)</f>
        <v>0.0368415744167875</v>
      </c>
      <c r="T146" s="37" t="n">
        <f aca="false">IFERROR(T145/T58,0)</f>
        <v>0.0301234074206003</v>
      </c>
      <c r="U146" s="37" t="n">
        <f aca="false">IFERROR(U145/U58,0)</f>
        <v>0.0246338508768339</v>
      </c>
      <c r="V146" s="37" t="n">
        <f aca="false">IFERROR(V145/V58,0)</f>
        <v>0.0241056249497716</v>
      </c>
      <c r="W146" s="37" t="n">
        <f aca="false">IFERROR(W145/W58,0)</f>
        <v>0.0238807614361484</v>
      </c>
      <c r="X146" s="37" t="n">
        <f aca="false">IFERROR(X145/X58,0)</f>
        <v>0.0229209311734243</v>
      </c>
      <c r="Y146" s="37" t="n">
        <f aca="false">IFERROR(Y145/Y58,0)</f>
        <v>0.0234699195964702</v>
      </c>
      <c r="Z146" s="37" t="n">
        <f aca="false">IFERROR(Z145/Z58,0)</f>
        <v>0.0242456823622055</v>
      </c>
      <c r="AA146" s="37" t="n">
        <f aca="false">IFERROR(AA145/AA58,0)</f>
        <v>0.0375770165558069</v>
      </c>
      <c r="AB146" s="37" t="n">
        <f aca="false">IFERROR(AB145/AB58,0)</f>
        <v>0.0141806056999942</v>
      </c>
      <c r="AC146" s="37" t="n">
        <f aca="false">IFERROR(AC145/AC58,0)</f>
        <v>0.0320137316498405</v>
      </c>
      <c r="AD146" s="37" t="n">
        <f aca="false">IFERROR(AD145/AD58,0)</f>
        <v>-0.00600293782134907</v>
      </c>
      <c r="AE146" s="37" t="n">
        <f aca="false">IFERROR(AE145/AE58,0)</f>
        <v>-0.111554970862065</v>
      </c>
      <c r="AF146" s="37" t="n">
        <f aca="false">IFERROR(AF145/AF58,0)</f>
        <v>0.0246930895830816</v>
      </c>
      <c r="AG146" s="37" t="n">
        <f aca="false">IFERROR(AG145/AG58,0)</f>
        <v>0.0508246673833665</v>
      </c>
      <c r="AH146" s="37" t="n">
        <f aca="false">IFERROR(AH145/AH58,0)</f>
        <v>0.0059757090843431</v>
      </c>
      <c r="AI146" s="37" t="n">
        <f aca="false">IFERROR(AI145/AI58,0)</f>
        <v>0.00611543046235458</v>
      </c>
      <c r="AJ146" s="37" t="n">
        <f aca="false">IFERROR(AJ145/AJ58,0)</f>
        <v>0.00627886908517722</v>
      </c>
      <c r="AK146" s="37" t="n">
        <f aca="false">IFERROR(AK145/AK58,0)</f>
        <v>0.00646595680202026</v>
      </c>
      <c r="AL146" s="37" t="n">
        <f aca="false">IFERROR(AL145/AL58,0)</f>
        <v>0.0917165916194913</v>
      </c>
      <c r="AM146" s="37" t="n">
        <f aca="false">IFERROR(AM145/AM58,0)</f>
        <v>-0.0612666792580409</v>
      </c>
      <c r="AN146" s="37" t="n">
        <f aca="false">IFERROR(AN145/AN58,0)</f>
        <v>-0.0617749163095585</v>
      </c>
      <c r="AO146" s="37" t="n">
        <f aca="false">IFERROR(AO145/AO58,0)</f>
        <v>-0.0653451644396314</v>
      </c>
      <c r="AP146" s="37" t="n">
        <f aca="false">IFERROR(AP145/AP58,0)</f>
        <v>-0.0665698129276047</v>
      </c>
      <c r="AQ146" s="37" t="n">
        <f aca="false">IFERROR(AQ145/AQ58,0)</f>
        <v>-0.0681769566965712</v>
      </c>
      <c r="AR146" s="37" t="n">
        <f aca="false">IFERROR(AR145/AR58,0)</f>
        <v>-0.0702046237145538</v>
      </c>
      <c r="AS146" s="37" t="n">
        <f aca="false">IFERROR(AS145/AS58,0)</f>
        <v>-0.0727006121146279</v>
      </c>
      <c r="AT146" s="37" t="n">
        <f aca="false">IFERROR(AT145/AT58,0)</f>
        <v>0.0278850185309812</v>
      </c>
      <c r="AU146" s="37" t="n">
        <f aca="false">IFERROR(AU145/AU58,0)</f>
        <v>-0.197497548205476</v>
      </c>
      <c r="AV146" s="37" t="n">
        <f aca="false">IFERROR(AV145/AV58,0)</f>
        <v>-0.201481763420434</v>
      </c>
      <c r="AW146" s="37" t="n">
        <f aca="false">IFERROR(AW145/AW58,0)</f>
        <v>-0.20761533459928</v>
      </c>
      <c r="AX146" s="37" t="n">
        <f aca="false">IFERROR(AX145/AX58,0)</f>
        <v>-0.21607985556085</v>
      </c>
      <c r="AY146" s="37" t="n">
        <f aca="false">IFERROR(AY145/AY58,0)</f>
        <v>-0.22714813280794</v>
      </c>
      <c r="AZ146" s="37" t="n">
        <f aca="false">IFERROR(AZ145/AZ58,0)</f>
        <v>-0.241184520955105</v>
      </c>
      <c r="BA146" s="37" t="n">
        <f aca="false">IFERROR(BA145/BA58,0)</f>
        <v>-0.264575034628348</v>
      </c>
      <c r="BB146" s="37" t="n">
        <f aca="false">IFERROR(BB145/BB58,0)</f>
        <v>-0.28659409025012</v>
      </c>
      <c r="BC146" s="37" t="n">
        <f aca="false">IFERROR(BC145/BC58,0)</f>
        <v>-0.313559717743899</v>
      </c>
      <c r="BD146" s="37" t="n">
        <f aca="false">IFERROR(BD145/BD58,0)</f>
        <v>-0.346505053830954</v>
      </c>
      <c r="BE146" s="37" t="n">
        <f aca="false">IFERROR(BE145/BE58,0)</f>
        <v>-0.386762781449727</v>
      </c>
      <c r="BF146" s="37" t="n">
        <f aca="false">IFERROR(BF145/BF58,0)</f>
        <v>-0.436027486290338</v>
      </c>
      <c r="BG146" s="37" t="n">
        <f aca="false">IFERROR(BG145/BG58,0)</f>
        <v>-0.496517529074649</v>
      </c>
      <c r="BH146" s="37" t="n">
        <f aca="false">IFERROR(BH145/BH58,0)</f>
        <v>-0.197190336215412</v>
      </c>
      <c r="BI146" s="37" t="n">
        <f aca="false">IFERROR(BI145/BI58,0)</f>
        <v>0</v>
      </c>
      <c r="BJ146" s="37" t="n">
        <f aca="false">IFERROR(BJ145/BJ58,0)</f>
        <v>0</v>
      </c>
      <c r="BK146" s="37" t="n">
        <f aca="false">IFERROR(BK145/BK58,0)</f>
        <v>0</v>
      </c>
      <c r="BL146" s="37" t="n">
        <f aca="false">IFERROR(BL145/BL58,0)</f>
        <v>0</v>
      </c>
      <c r="BM146" s="37" t="n">
        <f aca="false">IFERROR(BM145/BM58,0)</f>
        <v>0</v>
      </c>
      <c r="BN146" s="37" t="n">
        <f aca="false">IFERROR(BN145/BN58,0)</f>
        <v>0</v>
      </c>
      <c r="BO146" s="37" t="n">
        <f aca="false">IFERROR(BO145/BO58,0)</f>
        <v>0</v>
      </c>
      <c r="BP146" s="37" t="n">
        <f aca="false">IFERROR(BP145/BP58,0)</f>
        <v>0</v>
      </c>
      <c r="BQ146" s="37" t="n">
        <f aca="false">IFERROR(BQ145/BQ58,0)</f>
        <v>0</v>
      </c>
      <c r="BR146" s="37" t="n">
        <f aca="false">IFERROR(BR145/BR58,0)</f>
        <v>0</v>
      </c>
      <c r="BS146" s="37" t="n">
        <f aca="false">IFERROR(BS145/BS58,0)</f>
        <v>0</v>
      </c>
      <c r="BT146" s="37" t="n">
        <f aca="false">IFERROR(BT145/BT58,0)</f>
        <v>0</v>
      </c>
      <c r="BU146" s="37" t="n">
        <f aca="false">IFERROR(BU145/BU58,0)</f>
        <v>0</v>
      </c>
      <c r="BV146" s="37" t="n">
        <f aca="false">IFERROR(BV145/BV58,0)</f>
        <v>0</v>
      </c>
      <c r="BW146" s="37" t="n">
        <f aca="false">IFERROR(BW145/BW58,0)</f>
        <v>0</v>
      </c>
      <c r="BX146" s="37" t="n">
        <f aca="false">IFERROR(BX145/BX58,0)</f>
        <v>0</v>
      </c>
      <c r="BY146" s="37" t="n">
        <f aca="false">IFERROR(BY145/BY58,0)</f>
        <v>0</v>
      </c>
      <c r="BZ146" s="37" t="n">
        <f aca="false">IFERROR(BZ145/BZ58,0)</f>
        <v>0</v>
      </c>
      <c r="CA146" s="37" t="n">
        <f aca="false">IFERROR(CA145/CA58,0)</f>
        <v>0</v>
      </c>
      <c r="CB146" s="37" t="n">
        <f aca="false">IFERROR(CB145/CB58,0)</f>
        <v>0</v>
      </c>
      <c r="CC146" s="37" t="n">
        <f aca="false">IFERROR(CC145/CC58,0)</f>
        <v>0</v>
      </c>
      <c r="CD146" s="37" t="n">
        <f aca="false">IFERROR(CD145/CD58,0)</f>
        <v>0</v>
      </c>
      <c r="CE146" s="37" t="n">
        <f aca="false">IFERROR(CE145/CE58,0)</f>
        <v>0</v>
      </c>
      <c r="CF146" s="37" t="n">
        <f aca="false">IFERROR(CF145/CF58,0)</f>
        <v>0</v>
      </c>
      <c r="CG146" s="37" t="n">
        <f aca="false">IFERROR(CG145/CG58,0)</f>
        <v>0</v>
      </c>
      <c r="CH146" s="37" t="n">
        <f aca="false">IFERROR(CH145/CH58,0)</f>
        <v>0</v>
      </c>
      <c r="CI146" s="37" t="n">
        <f aca="false">IFERROR(CI145/CI58,0)</f>
        <v>0</v>
      </c>
      <c r="CJ146" s="37" t="n">
        <f aca="false">IFERROR(CJ145/CJ58,0)</f>
        <v>0</v>
      </c>
      <c r="CK146" s="37" t="n">
        <f aca="false">IFERROR(CK145/CK58,0)</f>
        <v>0</v>
      </c>
      <c r="CL146" s="37" t="n">
        <f aca="false">IFERROR(CL145/CL58,0)</f>
        <v>0</v>
      </c>
      <c r="CM146" s="37" t="n">
        <f aca="false">IFERROR(CM145/CM58,0)</f>
        <v>0</v>
      </c>
      <c r="CN146" s="37" t="n">
        <f aca="false">IFERROR(CN145/CN58,0)</f>
        <v>0</v>
      </c>
      <c r="CO146" s="37" t="n">
        <f aca="false">IFERROR(CO145/CO58,0)</f>
        <v>0</v>
      </c>
      <c r="CP146" s="37" t="n">
        <f aca="false">IFERROR(CP145/CP58,0)</f>
        <v>0</v>
      </c>
      <c r="CQ146" s="37" t="n">
        <f aca="false">IFERROR(CQ145/CQ58,0)</f>
        <v>0</v>
      </c>
      <c r="CR146" s="37" t="n">
        <f aca="false">IFERROR(CR145/CR58,0)</f>
        <v>0</v>
      </c>
      <c r="CS146" s="37" t="n">
        <f aca="false">IFERROR(CS145/CS58,0)</f>
        <v>0</v>
      </c>
      <c r="CT146" s="37" t="n">
        <f aca="false">IFERROR(CT145/CT58,0)</f>
        <v>0</v>
      </c>
      <c r="CU146" s="37" t="n">
        <f aca="false">IFERROR(CU145/CU58,0)</f>
        <v>0</v>
      </c>
      <c r="CV146" s="37" t="n">
        <f aca="false">IFERROR(CV145/CV58,0)</f>
        <v>0</v>
      </c>
      <c r="CW146" s="37" t="n">
        <f aca="false">IFERROR(CW145/CW58,0)</f>
        <v>0</v>
      </c>
      <c r="CX146" s="37" t="n">
        <f aca="false">IFERROR(CX145/CX58,0)</f>
        <v>0</v>
      </c>
      <c r="CY146" s="37" t="n">
        <f aca="false">IFERROR(CY145/CY58,0)</f>
        <v>0</v>
      </c>
      <c r="CZ146" s="37" t="n">
        <f aca="false">IFERROR(CZ145/CZ58,0)</f>
        <v>0</v>
      </c>
      <c r="DA146" s="37" t="n">
        <f aca="false">IFERROR(DA145/DA58,0)</f>
        <v>0</v>
      </c>
      <c r="DB146" s="37" t="n">
        <f aca="false">IFERROR(DB145/DB58,0)</f>
        <v>0</v>
      </c>
      <c r="DC146" s="37" t="n">
        <f aca="false">IFERROR(DC145/DC58,0)</f>
        <v>0</v>
      </c>
      <c r="DD146" s="37" t="n">
        <f aca="false">IFERROR(DD145/DD58,0)</f>
        <v>0</v>
      </c>
      <c r="DE146" s="37" t="n">
        <f aca="false">IFERROR(DE145/DE58,0)</f>
        <v>0</v>
      </c>
    </row>
    <row r="147" customFormat="false" ht="15" hidden="false" customHeight="true" outlineLevel="0" collapsed="false">
      <c r="A147" s="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</row>
    <row r="148" customFormat="false" ht="15" hidden="false" customHeight="true" outlineLevel="0" collapsed="false">
      <c r="A148" s="38" t="s">
        <v>96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</row>
    <row r="149" customFormat="false" ht="15" hidden="false" customHeight="true" outlineLevel="0" collapsed="false">
      <c r="A149" s="29" t="s">
        <v>97</v>
      </c>
      <c r="B149" s="14" t="n">
        <f aca="false">IF(ISBLANK(Actuals!C64),0,Actuals!C64)</f>
        <v>833.33</v>
      </c>
      <c r="C149" s="14" t="n">
        <f aca="false">IF(ISBLANK(Actuals!D64),0,Actuals!D64)</f>
        <v>833.33</v>
      </c>
      <c r="D149" s="14" t="n">
        <f aca="false">IF(ISBLANK(Actuals!E64),0,Actuals!E64)</f>
        <v>833.33</v>
      </c>
      <c r="E149" s="14" t="n">
        <f aca="false">IF(ISBLANK(Actuals!F64),IF(1&lt;=Assumptions!$B$68,Assumptions!$B$67,0),Actuals!F64)</f>
        <v>833.33</v>
      </c>
      <c r="F149" s="14" t="n">
        <f aca="false">IF(ISBLANK(Actuals!G64),IF(2&lt;=Assumptions!$B$68,Assumptions!$B$67,0),Actuals!G64)</f>
        <v>833.33</v>
      </c>
      <c r="G149" s="14" t="n">
        <f aca="false">IF(ISBLANK(Actuals!H64),IF(3&lt;=Assumptions!$B$68,Assumptions!$B$67,0),Actuals!H64)</f>
        <v>833.33</v>
      </c>
      <c r="H149" s="14" t="n">
        <f aca="false">IF(ISBLANK(Actuals!I64),IF(4&lt;=Assumptions!$B$68,Assumptions!$B$67,0),Actuals!I64)</f>
        <v>833.33</v>
      </c>
      <c r="I149" s="14" t="n">
        <f aca="false">IF(ISBLANK(Actuals!J64),IF(5&lt;=Assumptions!$B$68,Assumptions!$B$67,0),Actuals!J64)</f>
        <v>833.33</v>
      </c>
      <c r="J149" s="14" t="n">
        <f aca="false">IF(ISBLANK(Actuals!K64),IF(6&lt;=Assumptions!$B$68,Assumptions!$B$67,0),Actuals!K64)</f>
        <v>0</v>
      </c>
      <c r="K149" s="14" t="n">
        <f aca="false">IF(ISBLANK(Actuals!L64),IF(7&lt;=Assumptions!$B$68,Assumptions!$B$67,0),Actuals!L64)</f>
        <v>0</v>
      </c>
      <c r="L149" s="14" t="n">
        <f aca="false">IF(ISBLANK(Actuals!M64),IF(8&lt;=Assumptions!$B$68,Assumptions!$B$67,0),Actuals!M64)</f>
        <v>0</v>
      </c>
      <c r="M149" s="14" t="n">
        <f aca="false">IF(ISBLANK(Actuals!N64),IF(9&lt;=Assumptions!$B$68,Assumptions!$B$67,0),Actuals!N64)</f>
        <v>0</v>
      </c>
      <c r="N149" s="14" t="n">
        <f aca="false">IF(ISBLANK(Actuals!O64),IF(10&lt;=Assumptions!$B$68,Assumptions!$B$67,0),Actuals!O64)</f>
        <v>0</v>
      </c>
      <c r="O149" s="14" t="n">
        <f aca="false">IF(ISBLANK(Actuals!P64),IF(11&lt;=Assumptions!$B$68,Assumptions!$B$67,0),Actuals!P64)</f>
        <v>0</v>
      </c>
      <c r="P149" s="14" t="n">
        <f aca="false">IF(ISBLANK(Actuals!Q64),IF(12&lt;=Assumptions!$B$68,Assumptions!$B$67,0),Actuals!Q64)</f>
        <v>0</v>
      </c>
      <c r="Q149" s="14" t="n">
        <f aca="false">IF(ISBLANK(Actuals!R64),IF(13&lt;=Assumptions!$B$68,Assumptions!$B$67,0),Actuals!R64)</f>
        <v>0</v>
      </c>
      <c r="R149" s="14" t="n">
        <f aca="false">IF(ISBLANK(Actuals!S64),IF(14&lt;=Assumptions!$B$68,Assumptions!$B$67,0),Actuals!S64)</f>
        <v>0</v>
      </c>
      <c r="S149" s="14" t="n">
        <f aca="false">IF(ISBLANK(Actuals!T64),IF(15&lt;=Assumptions!$B$68,Assumptions!$B$67,0),Actuals!T64)</f>
        <v>0</v>
      </c>
      <c r="T149" s="14" t="n">
        <f aca="false">IF(ISBLANK(Actuals!U64),IF(16&lt;=Assumptions!$B$68,Assumptions!$B$67,0),Actuals!U64)</f>
        <v>0</v>
      </c>
      <c r="U149" s="14" t="n">
        <f aca="false">IF(ISBLANK(Actuals!V64),IF(17&lt;=Assumptions!$B$68,Assumptions!$B$67,0),Actuals!V64)</f>
        <v>0</v>
      </c>
      <c r="V149" s="14" t="n">
        <f aca="false">IF(ISBLANK(Actuals!W64),IF(18&lt;=Assumptions!$B$68,Assumptions!$B$67,0),Actuals!W64)</f>
        <v>0</v>
      </c>
      <c r="W149" s="14" t="n">
        <f aca="false">IF(ISBLANK(Actuals!X64),IF(19&lt;=Assumptions!$B$68,Assumptions!$B$67,0),Actuals!X64)</f>
        <v>0</v>
      </c>
      <c r="X149" s="14" t="n">
        <f aca="false">IF(ISBLANK(Actuals!Y64),IF(20&lt;=Assumptions!$B$68,Assumptions!$B$67,0),Actuals!Y64)</f>
        <v>0</v>
      </c>
      <c r="Y149" s="14" t="n">
        <f aca="false">IF(ISBLANK(Actuals!Z64),IF(21&lt;=Assumptions!$B$68,Assumptions!$B$67,0),Actuals!Z64)</f>
        <v>0</v>
      </c>
      <c r="Z149" s="14" t="n">
        <f aca="false">IF(ISBLANK(Actuals!AA64),IF(22&lt;=Assumptions!$B$68,Assumptions!$B$67,0),Actuals!AA64)</f>
        <v>0</v>
      </c>
      <c r="AA149" s="14" t="n">
        <f aca="false">IF(ISBLANK(Actuals!AB64),IF(23&lt;=Assumptions!$B$68,Assumptions!$B$67,0),Actuals!AB64)</f>
        <v>0</v>
      </c>
      <c r="AB149" s="14" t="n">
        <f aca="false">IF(ISBLANK(Actuals!AC64),IF(24&lt;=Assumptions!$B$68,Assumptions!$B$67,0),Actuals!AC64)</f>
        <v>0</v>
      </c>
      <c r="AC149" s="14" t="n">
        <f aca="false">IF(ISBLANK(Actuals!AD64),IF(25&lt;=Assumptions!$B$68,Assumptions!$B$67,0),Actuals!AD64)</f>
        <v>0</v>
      </c>
      <c r="AD149" s="14" t="n">
        <f aca="false">IF(ISBLANK(Actuals!AE64),IF(26&lt;=Assumptions!$B$68,Assumptions!$B$67,0),Actuals!AE64)</f>
        <v>0</v>
      </c>
      <c r="AE149" s="14" t="n">
        <f aca="false">IF(ISBLANK(Actuals!AF64),IF(27&lt;=Assumptions!$B$68,Assumptions!$B$67,0),Actuals!AF64)</f>
        <v>0</v>
      </c>
      <c r="AF149" s="14" t="n">
        <f aca="false">IF(ISBLANK(Actuals!AG64),IF(28&lt;=Assumptions!$B$68,Assumptions!$B$67,0),Actuals!AG64)</f>
        <v>0</v>
      </c>
      <c r="AG149" s="14" t="n">
        <f aca="false">IF(ISBLANK(Actuals!AH64),IF(29&lt;=Assumptions!$B$68,Assumptions!$B$67,0),Actuals!AH64)</f>
        <v>0</v>
      </c>
      <c r="AH149" s="14" t="n">
        <f aca="false">IF(ISBLANK(Actuals!AI64),IF(30&lt;=Assumptions!$B$68,Assumptions!$B$67,0),Actuals!AI64)</f>
        <v>0</v>
      </c>
      <c r="AI149" s="14" t="n">
        <f aca="false">IF(ISBLANK(Actuals!AJ64),IF(31&lt;=Assumptions!$B$68,Assumptions!$B$67,0),Actuals!AJ64)</f>
        <v>0</v>
      </c>
      <c r="AJ149" s="14" t="n">
        <f aca="false">IF(ISBLANK(Actuals!AK64),IF(32&lt;=Assumptions!$B$68,Assumptions!$B$67,0),Actuals!AK64)</f>
        <v>0</v>
      </c>
      <c r="AK149" s="14" t="n">
        <f aca="false">IF(ISBLANK(Actuals!AL64),IF(33&lt;=Assumptions!$B$68,Assumptions!$B$67,0),Actuals!AL64)</f>
        <v>0</v>
      </c>
      <c r="AL149" s="14" t="n">
        <f aca="false">IF(ISBLANK(Actuals!AM64),IF(34&lt;=Assumptions!$B$68,Assumptions!$B$67,0),Actuals!AM64)</f>
        <v>0</v>
      </c>
      <c r="AM149" s="14" t="n">
        <f aca="false">IF(ISBLANK(Actuals!AN64),IF(35&lt;=Assumptions!$B$68,Assumptions!$B$67,0),Actuals!AN64)</f>
        <v>0</v>
      </c>
      <c r="AN149" s="14" t="n">
        <f aca="false">IF(ISBLANK(Actuals!AO64),IF(36&lt;=Assumptions!$B$68,Assumptions!$B$67,0),Actuals!AO64)</f>
        <v>0</v>
      </c>
      <c r="AO149" s="14" t="n">
        <f aca="false">IF(ISBLANK(Actuals!AP64),IF(37&lt;=Assumptions!$B$68,Assumptions!$B$67,0),Actuals!AP64)</f>
        <v>0</v>
      </c>
      <c r="AP149" s="14" t="n">
        <f aca="false">IF(ISBLANK(Actuals!AQ64),IF(38&lt;=Assumptions!$B$68,Assumptions!$B$67,0),Actuals!AQ64)</f>
        <v>0</v>
      </c>
      <c r="AQ149" s="14" t="n">
        <f aca="false">IF(ISBLANK(Actuals!AR64),IF(39&lt;=Assumptions!$B$68,Assumptions!$B$67,0),Actuals!AR64)</f>
        <v>0</v>
      </c>
      <c r="AR149" s="14" t="n">
        <f aca="false">IF(ISBLANK(Actuals!AS64),IF(40&lt;=Assumptions!$B$68,Assumptions!$B$67,0),Actuals!AS64)</f>
        <v>0</v>
      </c>
      <c r="AS149" s="14" t="n">
        <f aca="false">IF(ISBLANK(Actuals!AT64),IF(41&lt;=Assumptions!$B$68,Assumptions!$B$67,0),Actuals!AT64)</f>
        <v>0</v>
      </c>
      <c r="AT149" s="14" t="n">
        <f aca="false">IF(ISBLANK(Actuals!AU64),IF(42&lt;=Assumptions!$B$68,Assumptions!$B$67,0),Actuals!AU64)</f>
        <v>0</v>
      </c>
      <c r="AU149" s="14" t="n">
        <f aca="false">IF(ISBLANK(Actuals!AV64),IF(43&lt;=Assumptions!$B$68,Assumptions!$B$67,0),Actuals!AV64)</f>
        <v>0</v>
      </c>
      <c r="AV149" s="14" t="n">
        <f aca="false">IF(ISBLANK(Actuals!AW64),IF(44&lt;=Assumptions!$B$68,Assumptions!$B$67,0),Actuals!AW64)</f>
        <v>0</v>
      </c>
      <c r="AW149" s="14" t="n">
        <f aca="false">IF(ISBLANK(Actuals!AX64),IF(45&lt;=Assumptions!$B$68,Assumptions!$B$67,0),Actuals!AX64)</f>
        <v>0</v>
      </c>
      <c r="AX149" s="14" t="n">
        <f aca="false">IF(ISBLANK(Actuals!AY64),IF(46&lt;=Assumptions!$B$68,Assumptions!$B$67,0),Actuals!AY64)</f>
        <v>0</v>
      </c>
      <c r="AY149" s="14" t="n">
        <f aca="false">IF(ISBLANK(Actuals!AZ64),IF(47&lt;=Assumptions!$B$68,Assumptions!$B$67,0),Actuals!AZ64)</f>
        <v>0</v>
      </c>
      <c r="AZ149" s="14" t="n">
        <f aca="false">IF(ISBLANK(Actuals!BA64),IF(48&lt;=Assumptions!$B$68,Assumptions!$B$67,0),Actuals!BA64)</f>
        <v>0</v>
      </c>
      <c r="BA149" s="14" t="n">
        <f aca="false">IF(ISBLANK(Actuals!BB64),IF(49&lt;=Assumptions!$B$68,Assumptions!$B$67,0),Actuals!BB64)</f>
        <v>0</v>
      </c>
      <c r="BB149" s="14" t="n">
        <f aca="false">IF(ISBLANK(Actuals!BC64),IF(50&lt;=Assumptions!$B$68,Assumptions!$B$67,0),Actuals!BC64)</f>
        <v>0</v>
      </c>
      <c r="BC149" s="14" t="n">
        <f aca="false">IF(ISBLANK(Actuals!BD64),IF(51&lt;=Assumptions!$B$68,Assumptions!$B$67,0),Actuals!BD64)</f>
        <v>0</v>
      </c>
      <c r="BD149" s="14" t="n">
        <f aca="false">IF(ISBLANK(Actuals!BE64),IF(52&lt;=Assumptions!$B$68,Assumptions!$B$67,0),Actuals!BE64)</f>
        <v>0</v>
      </c>
      <c r="BE149" s="14" t="n">
        <f aca="false">IF(ISBLANK(Actuals!BF64),IF(53&lt;=Assumptions!$B$68,Assumptions!$B$67,0),Actuals!BF64)</f>
        <v>0</v>
      </c>
      <c r="BF149" s="14" t="n">
        <f aca="false">IF(ISBLANK(Actuals!BG64),IF(54&lt;=Assumptions!$B$68,Assumptions!$B$67,0),Actuals!BG64)</f>
        <v>0</v>
      </c>
      <c r="BG149" s="14" t="n">
        <f aca="false">IF(ISBLANK(Actuals!BH64),IF(55&lt;=Assumptions!$B$68,Assumptions!$B$67,0),Actuals!BH64)</f>
        <v>0</v>
      </c>
      <c r="BH149" s="14" t="n">
        <f aca="false">IF(ISBLANK(Actuals!BI64),IF(56&lt;=Assumptions!$B$68,Assumptions!$B$67,0),Actuals!BI64)</f>
        <v>0</v>
      </c>
      <c r="BI149" s="14" t="n">
        <f aca="false">IF(ISBLANK(Actuals!BJ64),IF(57&lt;=Assumptions!$B$68,Assumptions!$B$67,0),Actuals!BJ64)</f>
        <v>0</v>
      </c>
      <c r="BJ149" s="14" t="n">
        <f aca="false">IF(ISBLANK(Actuals!BK64),IF(58&lt;=Assumptions!$B$68,Assumptions!$B$67,0),Actuals!BK64)</f>
        <v>0</v>
      </c>
      <c r="BK149" s="14" t="n">
        <f aca="false">IF(ISBLANK(Actuals!BL64),IF(59&lt;=Assumptions!$B$68,Assumptions!$B$67,0),Actuals!BL64)</f>
        <v>0</v>
      </c>
      <c r="BL149" s="14" t="n">
        <f aca="false">IF(ISBLANK(Actuals!BM64),IF(60&lt;=Assumptions!$B$68,Assumptions!$B$67,0),Actuals!BM64)</f>
        <v>0</v>
      </c>
      <c r="BM149" s="14" t="n">
        <f aca="false">IF(ISBLANK(Actuals!BN64),IF(61&lt;=Assumptions!$B$68,Assumptions!$B$67,0),Actuals!BN64)</f>
        <v>0</v>
      </c>
      <c r="BN149" s="14" t="n">
        <f aca="false">IF(ISBLANK(Actuals!BO64),IF(62&lt;=Assumptions!$B$68,Assumptions!$B$67,0),Actuals!BO64)</f>
        <v>0</v>
      </c>
      <c r="BO149" s="14" t="n">
        <f aca="false">IF(ISBLANK(Actuals!BP64),IF(63&lt;=Assumptions!$B$68,Assumptions!$B$67,0),Actuals!BP64)</f>
        <v>0</v>
      </c>
      <c r="BP149" s="14" t="n">
        <f aca="false">IF(ISBLANK(Actuals!BQ64),IF(64&lt;=Assumptions!$B$68,Assumptions!$B$67,0),Actuals!BQ64)</f>
        <v>0</v>
      </c>
      <c r="BQ149" s="14" t="n">
        <f aca="false">IF(ISBLANK(Actuals!BR64),IF(65&lt;=Assumptions!$B$68,Assumptions!$B$67,0),Actuals!BR64)</f>
        <v>0</v>
      </c>
      <c r="BR149" s="14" t="n">
        <f aca="false">IF(ISBLANK(Actuals!BS64),IF(66&lt;=Assumptions!$B$68,Assumptions!$B$67,0),Actuals!BS64)</f>
        <v>0</v>
      </c>
      <c r="BS149" s="14" t="n">
        <f aca="false">IF(ISBLANK(Actuals!BT64),IF(67&lt;=Assumptions!$B$68,Assumptions!$B$67,0),Actuals!BT64)</f>
        <v>0</v>
      </c>
      <c r="BT149" s="14" t="n">
        <f aca="false">IF(ISBLANK(Actuals!BU64),IF(68&lt;=Assumptions!$B$68,Assumptions!$B$67,0),Actuals!BU64)</f>
        <v>0</v>
      </c>
      <c r="BU149" s="14" t="n">
        <f aca="false">IF(ISBLANK(Actuals!BV64),IF(69&lt;=Assumptions!$B$68,Assumptions!$B$67,0),Actuals!BV64)</f>
        <v>0</v>
      </c>
      <c r="BV149" s="14" t="n">
        <f aca="false">IF(ISBLANK(Actuals!BW64),IF(70&lt;=Assumptions!$B$68,Assumptions!$B$67,0),Actuals!BW64)</f>
        <v>0</v>
      </c>
      <c r="BW149" s="14" t="n">
        <f aca="false">IF(ISBLANK(Actuals!BX64),IF(71&lt;=Assumptions!$B$68,Assumptions!$B$67,0),Actuals!BX64)</f>
        <v>0</v>
      </c>
      <c r="BX149" s="14" t="n">
        <f aca="false">IF(ISBLANK(Actuals!BY64),IF(72&lt;=Assumptions!$B$68,Assumptions!$B$67,0),Actuals!BY64)</f>
        <v>0</v>
      </c>
      <c r="BY149" s="14" t="n">
        <f aca="false">IF(ISBLANK(Actuals!BZ64),IF(73&lt;=Assumptions!$B$68,Assumptions!$B$67,0),Actuals!BZ64)</f>
        <v>0</v>
      </c>
      <c r="BZ149" s="14" t="n">
        <f aca="false">IF(ISBLANK(Actuals!CA64),IF(74&lt;=Assumptions!$B$68,Assumptions!$B$67,0),Actuals!CA64)</f>
        <v>0</v>
      </c>
      <c r="CA149" s="14" t="n">
        <f aca="false">IF(ISBLANK(Actuals!CB64),IF(75&lt;=Assumptions!$B$68,Assumptions!$B$67,0),Actuals!CB64)</f>
        <v>0</v>
      </c>
      <c r="CB149" s="14" t="n">
        <f aca="false">IF(ISBLANK(Actuals!CC64),IF(76&lt;=Assumptions!$B$68,Assumptions!$B$67,0),Actuals!CC64)</f>
        <v>0</v>
      </c>
      <c r="CC149" s="14" t="n">
        <f aca="false">IF(ISBLANK(Actuals!CD64),IF(77&lt;=Assumptions!$B$68,Assumptions!$B$67,0),Actuals!CD64)</f>
        <v>0</v>
      </c>
      <c r="CD149" s="14" t="n">
        <f aca="false">IF(ISBLANK(Actuals!CE64),IF(78&lt;=Assumptions!$B$68,Assumptions!$B$67,0),Actuals!CE64)</f>
        <v>0</v>
      </c>
      <c r="CE149" s="14" t="n">
        <f aca="false">IF(ISBLANK(Actuals!CF64),IF(79&lt;=Assumptions!$B$68,Assumptions!$B$67,0),Actuals!CF64)</f>
        <v>0</v>
      </c>
      <c r="CF149" s="14" t="n">
        <f aca="false">IF(ISBLANK(Actuals!CG64),IF(80&lt;=Assumptions!$B$68,Assumptions!$B$67,0),Actuals!CG64)</f>
        <v>0</v>
      </c>
      <c r="CG149" s="14" t="n">
        <f aca="false">IF(ISBLANK(Actuals!CH64),IF(81&lt;=Assumptions!$B$68,Assumptions!$B$67,0),Actuals!CH64)</f>
        <v>0</v>
      </c>
      <c r="CH149" s="14" t="n">
        <f aca="false">IF(ISBLANK(Actuals!CI64),IF(82&lt;=Assumptions!$B$68,Assumptions!$B$67,0),Actuals!CI64)</f>
        <v>0</v>
      </c>
      <c r="CI149" s="14" t="n">
        <f aca="false">IF(ISBLANK(Actuals!CJ64),IF(83&lt;=Assumptions!$B$68,Assumptions!$B$67,0),Actuals!CJ64)</f>
        <v>0</v>
      </c>
      <c r="CJ149" s="14" t="n">
        <f aca="false">IF(ISBLANK(Actuals!CK64),IF(84&lt;=Assumptions!$B$68,Assumptions!$B$67,0),Actuals!CK64)</f>
        <v>0</v>
      </c>
      <c r="CK149" s="14" t="n">
        <f aca="false">IF(ISBLANK(Actuals!CL64),IF(85&lt;=Assumptions!$B$68,Assumptions!$B$67,0),Actuals!CL64)</f>
        <v>0</v>
      </c>
      <c r="CL149" s="14" t="n">
        <f aca="false">IF(ISBLANK(Actuals!CM64),IF(86&lt;=Assumptions!$B$68,Assumptions!$B$67,0),Actuals!CM64)</f>
        <v>0</v>
      </c>
      <c r="CM149" s="14" t="n">
        <f aca="false">IF(ISBLANK(Actuals!CN64),IF(87&lt;=Assumptions!$B$68,Assumptions!$B$67,0),Actuals!CN64)</f>
        <v>0</v>
      </c>
      <c r="CN149" s="14" t="n">
        <f aca="false">IF(ISBLANK(Actuals!CO64),IF(88&lt;=Assumptions!$B$68,Assumptions!$B$67,0),Actuals!CO64)</f>
        <v>0</v>
      </c>
      <c r="CO149" s="14" t="n">
        <f aca="false">IF(ISBLANK(Actuals!CP64),IF(89&lt;=Assumptions!$B$68,Assumptions!$B$67,0),Actuals!CP64)</f>
        <v>0</v>
      </c>
      <c r="CP149" s="14" t="n">
        <f aca="false">IF(ISBLANK(Actuals!CQ64),IF(90&lt;=Assumptions!$B$68,Assumptions!$B$67,0),Actuals!CQ64)</f>
        <v>0</v>
      </c>
      <c r="CQ149" s="14" t="n">
        <f aca="false">IF(ISBLANK(Actuals!CR64),IF(91&lt;=Assumptions!$B$68,Assumptions!$B$67,0),Actuals!CR64)</f>
        <v>0</v>
      </c>
      <c r="CR149" s="14" t="n">
        <f aca="false">IF(ISBLANK(Actuals!CS64),IF(92&lt;=Assumptions!$B$68,Assumptions!$B$67,0),Actuals!CS64)</f>
        <v>0</v>
      </c>
      <c r="CS149" s="14" t="n">
        <f aca="false">IF(ISBLANK(Actuals!CT64),IF(93&lt;=Assumptions!$B$68,Assumptions!$B$67,0),Actuals!CT64)</f>
        <v>0</v>
      </c>
      <c r="CT149" s="14" t="n">
        <f aca="false">IF(ISBLANK(Actuals!CU64),IF(94&lt;=Assumptions!$B$68,Assumptions!$B$67,0),Actuals!CU64)</f>
        <v>0</v>
      </c>
      <c r="CU149" s="14" t="n">
        <f aca="false">IF(ISBLANK(Actuals!CV64),IF(95&lt;=Assumptions!$B$68,Assumptions!$B$67,0),Actuals!CV64)</f>
        <v>0</v>
      </c>
      <c r="CV149" s="14" t="n">
        <f aca="false">IF(ISBLANK(Actuals!CW64),IF(96&lt;=Assumptions!$B$68,Assumptions!$B$67,0),Actuals!CW64)</f>
        <v>0</v>
      </c>
      <c r="CW149" s="14" t="n">
        <f aca="false">IF(ISBLANK(Actuals!CX64),IF(97&lt;=Assumptions!$B$68,Assumptions!$B$67,0),Actuals!CX64)</f>
        <v>0</v>
      </c>
      <c r="CX149" s="14" t="n">
        <f aca="false">IF(ISBLANK(Actuals!CY64),IF(98&lt;=Assumptions!$B$68,Assumptions!$B$67,0),Actuals!CY64)</f>
        <v>0</v>
      </c>
      <c r="CY149" s="14" t="n">
        <f aca="false">IF(ISBLANK(Actuals!CZ64),IF(99&lt;=Assumptions!$B$68,Assumptions!$B$67,0),Actuals!CZ64)</f>
        <v>0</v>
      </c>
      <c r="CZ149" s="14" t="n">
        <f aca="false">IF(ISBLANK(Actuals!DA64),IF(100&lt;=Assumptions!$B$68,Assumptions!$B$67,0),Actuals!DA64)</f>
        <v>0</v>
      </c>
      <c r="DA149" s="14" t="n">
        <f aca="false">IF(ISBLANK(Actuals!DB64),IF(101&lt;=Assumptions!$B$68,Assumptions!$B$67,0),Actuals!DB64)</f>
        <v>0</v>
      </c>
      <c r="DB149" s="14" t="n">
        <f aca="false">IF(ISBLANK(Actuals!DC64),IF(102&lt;=Assumptions!$B$68,Assumptions!$B$67,0),Actuals!DC64)</f>
        <v>0</v>
      </c>
      <c r="DC149" s="14" t="n">
        <f aca="false">IF(ISBLANK(Actuals!DD64),IF(103&lt;=Assumptions!$B$68,Assumptions!$B$67,0),Actuals!DD64)</f>
        <v>0</v>
      </c>
      <c r="DD149" s="14" t="n">
        <f aca="false">IF(ISBLANK(Actuals!DE64),IF(104&lt;=Assumptions!$B$68,Assumptions!$B$67,0),Actuals!DE64)</f>
        <v>0</v>
      </c>
      <c r="DE149" s="14" t="n">
        <f aca="false">IF(ISBLANK(Actuals!DF64),IF(105&lt;=Assumptions!$B$68,Assumptions!$B$67,0),Actuals!DF64)</f>
        <v>0</v>
      </c>
    </row>
    <row r="150" customFormat="false" ht="15" hidden="false" customHeight="true" outlineLevel="0" collapsed="false">
      <c r="A150" s="29" t="s">
        <v>98</v>
      </c>
      <c r="B150" s="14" t="n">
        <f aca="false">IF(ISBLANK(Actuals!C65),0,Actuals!C65)</f>
        <v>23906.25</v>
      </c>
      <c r="C150" s="14" t="n">
        <f aca="false">IF(ISBLANK(Actuals!D65),0,Actuals!D65)</f>
        <v>23906.25</v>
      </c>
      <c r="D150" s="14" t="n">
        <f aca="false">IF(ISBLANK(Actuals!E65),0,Actuals!E65)</f>
        <v>23906.25</v>
      </c>
      <c r="E150" s="14" t="n">
        <f aca="false">IF(ISBLANK(Actuals!F65),IF(Projects!$G$3="Yes",23906.25,0),Actuals!F65)</f>
        <v>23906.25</v>
      </c>
      <c r="F150" s="14" t="n">
        <f aca="false">IF(ISBLANK(Actuals!G65),IF(Projects!$G$3="Yes",23906.25,0),Actuals!G65)</f>
        <v>23906.25</v>
      </c>
      <c r="G150" s="14" t="n">
        <f aca="false">IF(ISBLANK(Actuals!H65),IF(Projects!$G$3="Yes",23906.25,0),Actuals!H65)</f>
        <v>23906.25</v>
      </c>
      <c r="H150" s="14" t="n">
        <f aca="false">IF(ISBLANK(Actuals!I65),IF(Projects!$G$3="Yes",23906.25,0),Actuals!I65)</f>
        <v>23906.25</v>
      </c>
      <c r="I150" s="14" t="n">
        <f aca="false">IF(ISBLANK(Actuals!J65),IF(Projects!$G$3="Yes",23906.25,0),Actuals!J65)</f>
        <v>23906.25</v>
      </c>
      <c r="J150" s="14" t="n">
        <f aca="false">IF(ISBLANK(Actuals!K65),IF(Projects!$G$3="Yes",23906.25,0),Actuals!K65)</f>
        <v>23906.25</v>
      </c>
      <c r="K150" s="14" t="n">
        <f aca="false">IF(ISBLANK(Actuals!L65),IF(Projects!$G$3="Yes",23906.25,0),Actuals!L65)</f>
        <v>23906.25</v>
      </c>
      <c r="L150" s="14" t="n">
        <f aca="false">IF(ISBLANK(Actuals!M65),IF(Projects!$G$3="Yes",23906.25,0),Actuals!M65)</f>
        <v>23906.25</v>
      </c>
      <c r="M150" s="14" t="n">
        <f aca="false">IF(ISBLANK(Actuals!N65),IF(Projects!$G$3="Yes",23906.25,0),Actuals!N65)</f>
        <v>23906.25</v>
      </c>
      <c r="N150" s="14" t="n">
        <f aca="false">IF(ISBLANK(Actuals!O65),IF(Projects!$G$3="Yes",23906.25,0),Actuals!O65)</f>
        <v>23906.25</v>
      </c>
      <c r="O150" s="14" t="n">
        <f aca="false">IF(ISBLANK(Actuals!P65),IF(Projects!$G$3="Yes",23906.25,0),Actuals!P65)</f>
        <v>23906.25</v>
      </c>
      <c r="P150" s="14" t="n">
        <f aca="false">IF(ISBLANK(Actuals!Q65),IF(Projects!$G$3="Yes",23906.25,0),Actuals!Q65)</f>
        <v>23906.25</v>
      </c>
      <c r="Q150" s="14" t="n">
        <f aca="false">IF(ISBLANK(Actuals!R65),IF(Projects!$G$3="Yes",23906.25,0),Actuals!R65)</f>
        <v>23906.25</v>
      </c>
      <c r="R150" s="14" t="n">
        <f aca="false">IF(ISBLANK(Actuals!S65),IF(Projects!$G$3="Yes",23906.25,0),Actuals!S65)</f>
        <v>23906.25</v>
      </c>
      <c r="S150" s="14" t="n">
        <f aca="false">IF(ISBLANK(Actuals!T65),IF(Projects!$G$3="Yes",23906.25,0),Actuals!T65)</f>
        <v>23906.25</v>
      </c>
      <c r="T150" s="14" t="n">
        <f aca="false">IF(ISBLANK(Actuals!U65),0,Actuals!U65)</f>
        <v>0</v>
      </c>
      <c r="U150" s="14" t="n">
        <f aca="false">IF(ISBLANK(Actuals!V65),0,Actuals!V65)</f>
        <v>0</v>
      </c>
      <c r="V150" s="14" t="n">
        <f aca="false">IF(ISBLANK(Actuals!W65),0,Actuals!W65)</f>
        <v>0</v>
      </c>
      <c r="W150" s="14" t="n">
        <f aca="false">IF(ISBLANK(Actuals!X65),0,Actuals!X65)</f>
        <v>0</v>
      </c>
      <c r="X150" s="14" t="n">
        <f aca="false">IF(ISBLANK(Actuals!Y65),0,Actuals!Y65)</f>
        <v>0</v>
      </c>
      <c r="Y150" s="14" t="n">
        <f aca="false">IF(ISBLANK(Actuals!Z65),0,Actuals!Z65)</f>
        <v>0</v>
      </c>
      <c r="Z150" s="14" t="n">
        <f aca="false">IF(ISBLANK(Actuals!AA65),0,Actuals!AA65)</f>
        <v>0</v>
      </c>
      <c r="AA150" s="14" t="n">
        <f aca="false">IF(ISBLANK(Actuals!AB65),0,Actuals!AB65)</f>
        <v>0</v>
      </c>
      <c r="AB150" s="14" t="n">
        <f aca="false">IF(ISBLANK(Actuals!AC65),0,Actuals!AC65)</f>
        <v>0</v>
      </c>
      <c r="AC150" s="14" t="n">
        <f aca="false">IF(ISBLANK(Actuals!AD65),0,Actuals!AD65)</f>
        <v>0</v>
      </c>
      <c r="AD150" s="14" t="n">
        <f aca="false">IF(ISBLANK(Actuals!AE65),0,Actuals!AE65)</f>
        <v>0</v>
      </c>
      <c r="AE150" s="14" t="n">
        <f aca="false">IF(ISBLANK(Actuals!AF65),0,Actuals!AF65)</f>
        <v>0</v>
      </c>
      <c r="AF150" s="14" t="n">
        <f aca="false">IF(ISBLANK(Actuals!AG65),0,Actuals!AG65)</f>
        <v>0</v>
      </c>
      <c r="AG150" s="14" t="n">
        <f aca="false">IF(ISBLANK(Actuals!AH65),0,Actuals!AH65)</f>
        <v>0</v>
      </c>
      <c r="AH150" s="14" t="n">
        <f aca="false">IF(ISBLANK(Actuals!AI65),0,Actuals!AI65)</f>
        <v>0</v>
      </c>
      <c r="AI150" s="14" t="n">
        <f aca="false">IF(ISBLANK(Actuals!AJ65),0,Actuals!AJ65)</f>
        <v>0</v>
      </c>
      <c r="AJ150" s="14" t="n">
        <f aca="false">IF(ISBLANK(Actuals!AK65),0,Actuals!AK65)</f>
        <v>0</v>
      </c>
      <c r="AK150" s="14" t="n">
        <f aca="false">IF(ISBLANK(Actuals!AL65),0,Actuals!AL65)</f>
        <v>0</v>
      </c>
      <c r="AL150" s="14" t="n">
        <f aca="false">IF(ISBLANK(Actuals!AM65),0,Actuals!AM65)</f>
        <v>0</v>
      </c>
      <c r="AM150" s="14" t="n">
        <f aca="false">IF(ISBLANK(Actuals!AN65),0,Actuals!AN65)</f>
        <v>0</v>
      </c>
      <c r="AN150" s="14" t="n">
        <f aca="false">IF(ISBLANK(Actuals!AO65),0,Actuals!AO65)</f>
        <v>0</v>
      </c>
      <c r="AO150" s="14" t="n">
        <f aca="false">IF(ISBLANK(Actuals!AP65),0,Actuals!AP65)</f>
        <v>0</v>
      </c>
      <c r="AP150" s="14" t="n">
        <f aca="false">IF(ISBLANK(Actuals!AQ65),0,Actuals!AQ65)</f>
        <v>0</v>
      </c>
      <c r="AQ150" s="14" t="n">
        <f aca="false">IF(ISBLANK(Actuals!AR65),0,Actuals!AR65)</f>
        <v>0</v>
      </c>
      <c r="AR150" s="14" t="n">
        <f aca="false">IF(ISBLANK(Actuals!AS65),0,Actuals!AS65)</f>
        <v>0</v>
      </c>
      <c r="AS150" s="14" t="n">
        <f aca="false">IF(ISBLANK(Actuals!AT65),0,Actuals!AT65)</f>
        <v>0</v>
      </c>
      <c r="AT150" s="14" t="n">
        <f aca="false">IF(ISBLANK(Actuals!AU65),0,Actuals!AU65)</f>
        <v>0</v>
      </c>
      <c r="AU150" s="14" t="n">
        <f aca="false">IF(ISBLANK(Actuals!AV65),0,Actuals!AV65)</f>
        <v>0</v>
      </c>
      <c r="AV150" s="14" t="n">
        <f aca="false">IF(ISBLANK(Actuals!AW65),0,Actuals!AW65)</f>
        <v>0</v>
      </c>
      <c r="AW150" s="14" t="n">
        <f aca="false">IF(ISBLANK(Actuals!AX65),0,Actuals!AX65)</f>
        <v>0</v>
      </c>
      <c r="AX150" s="14" t="n">
        <f aca="false">IF(ISBLANK(Actuals!AY65),0,Actuals!AY65)</f>
        <v>0</v>
      </c>
      <c r="AY150" s="14" t="n">
        <f aca="false">IF(ISBLANK(Actuals!AZ65),0,Actuals!AZ65)</f>
        <v>0</v>
      </c>
      <c r="AZ150" s="14" t="n">
        <f aca="false">IF(ISBLANK(Actuals!BA65),0,Actuals!BA65)</f>
        <v>0</v>
      </c>
      <c r="BA150" s="14" t="n">
        <f aca="false">IF(ISBLANK(Actuals!BB65),0,Actuals!BB65)</f>
        <v>0</v>
      </c>
      <c r="BB150" s="14" t="n">
        <f aca="false">IF(ISBLANK(Actuals!BC65),0,Actuals!BC65)</f>
        <v>0</v>
      </c>
      <c r="BC150" s="14" t="n">
        <f aca="false">IF(ISBLANK(Actuals!BD65),0,Actuals!BD65)</f>
        <v>0</v>
      </c>
      <c r="BD150" s="14" t="n">
        <f aca="false">IF(ISBLANK(Actuals!BE65),0,Actuals!BE65)</f>
        <v>0</v>
      </c>
      <c r="BE150" s="14" t="n">
        <f aca="false">IF(ISBLANK(Actuals!BF65),0,Actuals!BF65)</f>
        <v>0</v>
      </c>
      <c r="BF150" s="14" t="n">
        <f aca="false">IF(ISBLANK(Actuals!BG65),0,Actuals!BG65)</f>
        <v>0</v>
      </c>
      <c r="BG150" s="14" t="n">
        <f aca="false">IF(ISBLANK(Actuals!BH65),0,Actuals!BH65)</f>
        <v>0</v>
      </c>
      <c r="BH150" s="14" t="n">
        <f aca="false">IF(ISBLANK(Actuals!BI65),0,Actuals!BI65)</f>
        <v>0</v>
      </c>
      <c r="BI150" s="14" t="n">
        <f aca="false">IF(ISBLANK(Actuals!BJ65),0,Actuals!BJ65)</f>
        <v>0</v>
      </c>
      <c r="BJ150" s="14" t="n">
        <f aca="false">IF(ISBLANK(Actuals!BK65),0,Actuals!BK65)</f>
        <v>0</v>
      </c>
      <c r="BK150" s="14" t="n">
        <f aca="false">IF(ISBLANK(Actuals!BL65),0,Actuals!BL65)</f>
        <v>0</v>
      </c>
      <c r="BL150" s="14" t="n">
        <f aca="false">IF(ISBLANK(Actuals!BM65),0,Actuals!BM65)</f>
        <v>0</v>
      </c>
      <c r="BM150" s="14" t="n">
        <f aca="false">IF(ISBLANK(Actuals!BN65),0,Actuals!BN65)</f>
        <v>0</v>
      </c>
      <c r="BN150" s="14" t="n">
        <f aca="false">IF(ISBLANK(Actuals!BO65),0,Actuals!BO65)</f>
        <v>0</v>
      </c>
      <c r="BO150" s="14" t="n">
        <f aca="false">IF(ISBLANK(Actuals!BP65),0,Actuals!BP65)</f>
        <v>0</v>
      </c>
      <c r="BP150" s="14" t="n">
        <f aca="false">IF(ISBLANK(Actuals!BQ65),0,Actuals!BQ65)</f>
        <v>0</v>
      </c>
      <c r="BQ150" s="14" t="n">
        <f aca="false">IF(ISBLANK(Actuals!BR65),0,Actuals!BR65)</f>
        <v>0</v>
      </c>
      <c r="BR150" s="14" t="n">
        <f aca="false">IF(ISBLANK(Actuals!BS65),0,Actuals!BS65)</f>
        <v>0</v>
      </c>
      <c r="BS150" s="14" t="n">
        <f aca="false">IF(ISBLANK(Actuals!BT65),0,Actuals!BT65)</f>
        <v>0</v>
      </c>
      <c r="BT150" s="14" t="n">
        <f aca="false">IF(ISBLANK(Actuals!BU65),0,Actuals!BU65)</f>
        <v>0</v>
      </c>
      <c r="BU150" s="14" t="n">
        <f aca="false">IF(ISBLANK(Actuals!BV65),0,Actuals!BV65)</f>
        <v>0</v>
      </c>
      <c r="BV150" s="14" t="n">
        <f aca="false">IF(ISBLANK(Actuals!BW65),0,Actuals!BW65)</f>
        <v>0</v>
      </c>
      <c r="BW150" s="14" t="n">
        <f aca="false">IF(ISBLANK(Actuals!BX65),0,Actuals!BX65)</f>
        <v>0</v>
      </c>
      <c r="BX150" s="14" t="n">
        <f aca="false">IF(ISBLANK(Actuals!BY65),0,Actuals!BY65)</f>
        <v>0</v>
      </c>
      <c r="BY150" s="14" t="n">
        <f aca="false">IF(ISBLANK(Actuals!BZ65),0,Actuals!BZ65)</f>
        <v>0</v>
      </c>
      <c r="BZ150" s="14" t="n">
        <f aca="false">IF(ISBLANK(Actuals!CA65),0,Actuals!CA65)</f>
        <v>0</v>
      </c>
      <c r="CA150" s="14" t="n">
        <f aca="false">IF(ISBLANK(Actuals!CB65),0,Actuals!CB65)</f>
        <v>0</v>
      </c>
      <c r="CB150" s="14" t="n">
        <f aca="false">IF(ISBLANK(Actuals!CC65),0,Actuals!CC65)</f>
        <v>0</v>
      </c>
      <c r="CC150" s="14" t="n">
        <f aca="false">IF(ISBLANK(Actuals!CD65),0,Actuals!CD65)</f>
        <v>0</v>
      </c>
      <c r="CD150" s="14" t="n">
        <f aca="false">IF(ISBLANK(Actuals!CE65),0,Actuals!CE65)</f>
        <v>0</v>
      </c>
      <c r="CE150" s="14" t="n">
        <f aca="false">IF(ISBLANK(Actuals!CF65),0,Actuals!CF65)</f>
        <v>0</v>
      </c>
      <c r="CF150" s="14" t="n">
        <f aca="false">IF(ISBLANK(Actuals!CG65),0,Actuals!CG65)</f>
        <v>0</v>
      </c>
      <c r="CG150" s="14" t="n">
        <f aca="false">IF(ISBLANK(Actuals!CH65),0,Actuals!CH65)</f>
        <v>0</v>
      </c>
      <c r="CH150" s="14" t="n">
        <f aca="false">IF(ISBLANK(Actuals!CI65),0,Actuals!CI65)</f>
        <v>0</v>
      </c>
      <c r="CI150" s="14" t="n">
        <f aca="false">IF(ISBLANK(Actuals!CJ65),0,Actuals!CJ65)</f>
        <v>0</v>
      </c>
      <c r="CJ150" s="14" t="n">
        <f aca="false">IF(ISBLANK(Actuals!CK65),0,Actuals!CK65)</f>
        <v>0</v>
      </c>
      <c r="CK150" s="14" t="n">
        <f aca="false">IF(ISBLANK(Actuals!CL65),0,Actuals!CL65)</f>
        <v>0</v>
      </c>
      <c r="CL150" s="14" t="n">
        <f aca="false">IF(ISBLANK(Actuals!CM65),0,Actuals!CM65)</f>
        <v>0</v>
      </c>
      <c r="CM150" s="14" t="n">
        <f aca="false">IF(ISBLANK(Actuals!CN65),0,Actuals!CN65)</f>
        <v>0</v>
      </c>
      <c r="CN150" s="14" t="n">
        <f aca="false">IF(ISBLANK(Actuals!CO65),0,Actuals!CO65)</f>
        <v>0</v>
      </c>
      <c r="CO150" s="14" t="n">
        <f aca="false">IF(ISBLANK(Actuals!CP65),0,Actuals!CP65)</f>
        <v>0</v>
      </c>
      <c r="CP150" s="14" t="n">
        <f aca="false">IF(ISBLANK(Actuals!CQ65),0,Actuals!CQ65)</f>
        <v>0</v>
      </c>
      <c r="CQ150" s="14" t="n">
        <f aca="false">IF(ISBLANK(Actuals!CR65),0,Actuals!CR65)</f>
        <v>0</v>
      </c>
      <c r="CR150" s="14" t="n">
        <f aca="false">IF(ISBLANK(Actuals!CS65),0,Actuals!CS65)</f>
        <v>0</v>
      </c>
      <c r="CS150" s="14" t="n">
        <f aca="false">IF(ISBLANK(Actuals!CT65),0,Actuals!CT65)</f>
        <v>0</v>
      </c>
      <c r="CT150" s="14" t="n">
        <f aca="false">IF(ISBLANK(Actuals!CU65),0,Actuals!CU65)</f>
        <v>0</v>
      </c>
      <c r="CU150" s="14" t="n">
        <f aca="false">IF(ISBLANK(Actuals!CV65),0,Actuals!CV65)</f>
        <v>0</v>
      </c>
      <c r="CV150" s="14" t="n">
        <f aca="false">IF(ISBLANK(Actuals!CW65),0,Actuals!CW65)</f>
        <v>0</v>
      </c>
      <c r="CW150" s="14" t="n">
        <f aca="false">IF(ISBLANK(Actuals!CX65),0,Actuals!CX65)</f>
        <v>0</v>
      </c>
      <c r="CX150" s="14" t="n">
        <f aca="false">IF(ISBLANK(Actuals!CY65),0,Actuals!CY65)</f>
        <v>0</v>
      </c>
      <c r="CY150" s="14" t="n">
        <f aca="false">IF(ISBLANK(Actuals!CZ65),0,Actuals!CZ65)</f>
        <v>0</v>
      </c>
      <c r="CZ150" s="14" t="n">
        <f aca="false">IF(ISBLANK(Actuals!DA65),0,Actuals!DA65)</f>
        <v>0</v>
      </c>
      <c r="DA150" s="14" t="n">
        <f aca="false">IF(ISBLANK(Actuals!DB65),0,Actuals!DB65)</f>
        <v>0</v>
      </c>
      <c r="DB150" s="14" t="n">
        <f aca="false">IF(ISBLANK(Actuals!DC65),0,Actuals!DC65)</f>
        <v>0</v>
      </c>
      <c r="DC150" s="14" t="n">
        <f aca="false">IF(ISBLANK(Actuals!DD65),0,Actuals!DD65)</f>
        <v>0</v>
      </c>
      <c r="DD150" s="14" t="n">
        <f aca="false">IF(ISBLANK(Actuals!DE65),0,Actuals!DE65)</f>
        <v>0</v>
      </c>
      <c r="DE150" s="14" t="n">
        <f aca="false">IF(ISBLANK(Actuals!DF65),0,Actuals!DF65)</f>
        <v>0</v>
      </c>
    </row>
    <row r="151" customFormat="false" ht="15" hidden="false" customHeight="true" outlineLevel="0" collapsed="false">
      <c r="A151" s="29" t="s">
        <v>99</v>
      </c>
      <c r="B151" s="14" t="n">
        <f aca="false">IF(ISBLANK(Actuals!C66),0,Actuals!C66)</f>
        <v>0</v>
      </c>
      <c r="C151" s="14" t="n">
        <f aca="false">IF(ISBLANK(Actuals!D66),0,Actuals!D66)</f>
        <v>0</v>
      </c>
      <c r="D151" s="14" t="n">
        <f aca="false">IF(ISBLANK(Actuals!E66),0,Actuals!E66)</f>
        <v>0</v>
      </c>
      <c r="E151" s="14" t="n">
        <f aca="false">IF(ISBLANK(Actuals!F66),0,Actuals!F66)</f>
        <v>0</v>
      </c>
      <c r="F151" s="14" t="n">
        <f aca="false">IF(ISBLANK(Actuals!G66),0,Actuals!G66)</f>
        <v>0</v>
      </c>
      <c r="G151" s="14" t="n">
        <f aca="false">IF(ISBLANK(Actuals!H66),0,Actuals!H66)</f>
        <v>0</v>
      </c>
      <c r="H151" s="14" t="n">
        <f aca="false">IF(ISBLANK(Actuals!I66),0,Actuals!I66)</f>
        <v>0</v>
      </c>
      <c r="I151" s="14" t="n">
        <f aca="false">IF(ISBLANK(Actuals!J66),0,Actuals!J66)</f>
        <v>0</v>
      </c>
      <c r="J151" s="14" t="n">
        <f aca="false">IF(ISBLANK(Actuals!K66),0,Actuals!K66)</f>
        <v>0</v>
      </c>
      <c r="K151" s="14" t="n">
        <f aca="false">IF(ISBLANK(Actuals!L66),0,Actuals!L66)</f>
        <v>0</v>
      </c>
      <c r="L151" s="14" t="n">
        <f aca="false">IF(ISBLANK(Actuals!M66),0,Actuals!M66)</f>
        <v>0</v>
      </c>
      <c r="M151" s="14" t="n">
        <f aca="false">IF(ISBLANK(Actuals!N66),0,Actuals!N66)</f>
        <v>0</v>
      </c>
      <c r="N151" s="14" t="n">
        <f aca="false">IF(ISBLANK(Actuals!O66),0,Actuals!O66)</f>
        <v>0</v>
      </c>
      <c r="O151" s="14" t="n">
        <f aca="false">IF(ISBLANK(Actuals!P66),0,Actuals!P66)</f>
        <v>0</v>
      </c>
      <c r="P151" s="14" t="n">
        <f aca="false">IF(ISBLANK(Actuals!Q66),0,Actuals!Q66)</f>
        <v>0</v>
      </c>
      <c r="Q151" s="14" t="n">
        <f aca="false">IF(ISBLANK(Actuals!R66),0,Actuals!R66)</f>
        <v>0</v>
      </c>
      <c r="R151" s="14" t="n">
        <f aca="false">IF(ISBLANK(Actuals!S66),0,Actuals!S66)</f>
        <v>0</v>
      </c>
      <c r="S151" s="14" t="n">
        <f aca="false">IF(ISBLANK(Actuals!T66),0,Actuals!T66)</f>
        <v>0</v>
      </c>
      <c r="T151" s="14" t="n">
        <f aca="false">IF(ISBLANK(Actuals!U66),0,Actuals!U66)</f>
        <v>0</v>
      </c>
      <c r="U151" s="14" t="n">
        <f aca="false">IF(ISBLANK(Actuals!V66),0,Actuals!V66)</f>
        <v>0</v>
      </c>
      <c r="V151" s="14" t="n">
        <f aca="false">IF(ISBLANK(Actuals!W66),0,Actuals!W66)</f>
        <v>0</v>
      </c>
      <c r="W151" s="14" t="n">
        <f aca="false">IF(ISBLANK(Actuals!X66),0,Actuals!X66)</f>
        <v>0</v>
      </c>
      <c r="X151" s="14" t="n">
        <f aca="false">IF(ISBLANK(Actuals!Y66),0,Actuals!Y66)</f>
        <v>0</v>
      </c>
      <c r="Y151" s="14" t="n">
        <f aca="false">IF(ISBLANK(Actuals!Z66),IF(Projects!$G$3="Yes",57375,0),Actuals!Z66)</f>
        <v>57375</v>
      </c>
      <c r="Z151" s="14" t="n">
        <f aca="false">IF(ISBLANK(Actuals!AA66),0,Actuals!AA66)</f>
        <v>0</v>
      </c>
      <c r="AA151" s="14" t="n">
        <f aca="false">IF(ISBLANK(Actuals!AB66),0,Actuals!AB66)</f>
        <v>0</v>
      </c>
      <c r="AB151" s="14" t="n">
        <f aca="false">IF(ISBLANK(Actuals!AC66),0,Actuals!AC66)</f>
        <v>0</v>
      </c>
      <c r="AC151" s="14" t="n">
        <f aca="false">IF(ISBLANK(Actuals!AD66),0,Actuals!AD66)</f>
        <v>0</v>
      </c>
      <c r="AD151" s="14" t="n">
        <f aca="false">IF(ISBLANK(Actuals!AE66),0,Actuals!AE66)</f>
        <v>0</v>
      </c>
      <c r="AE151" s="14" t="n">
        <f aca="false">IF(ISBLANK(Actuals!AF66),0,Actuals!AF66)</f>
        <v>0</v>
      </c>
      <c r="AF151" s="14" t="n">
        <f aca="false">IF(ISBLANK(Actuals!AG66),0,Actuals!AG66)</f>
        <v>0</v>
      </c>
      <c r="AG151" s="14" t="n">
        <f aca="false">IF(ISBLANK(Actuals!AH66),0,Actuals!AH66)</f>
        <v>0</v>
      </c>
      <c r="AH151" s="14" t="n">
        <f aca="false">IF(ISBLANK(Actuals!AI66),0,Actuals!AI66)</f>
        <v>0</v>
      </c>
      <c r="AI151" s="14" t="n">
        <f aca="false">IF(ISBLANK(Actuals!AJ66),0,Actuals!AJ66)</f>
        <v>0</v>
      </c>
      <c r="AJ151" s="14" t="n">
        <f aca="false">IF(ISBLANK(Actuals!AK66),0,Actuals!AK66)</f>
        <v>0</v>
      </c>
      <c r="AK151" s="14" t="n">
        <f aca="false">IF(ISBLANK(Actuals!AL66),0,Actuals!AL66)</f>
        <v>0</v>
      </c>
      <c r="AL151" s="14" t="n">
        <f aca="false">IF(ISBLANK(Actuals!AM66),0,Actuals!AM66)</f>
        <v>0</v>
      </c>
      <c r="AM151" s="14" t="n">
        <f aca="false">IF(ISBLANK(Actuals!AN66),0,Actuals!AN66)</f>
        <v>0</v>
      </c>
      <c r="AN151" s="14" t="n">
        <f aca="false">IF(ISBLANK(Actuals!AO66),0,Actuals!AO66)</f>
        <v>0</v>
      </c>
      <c r="AO151" s="14" t="n">
        <f aca="false">IF(ISBLANK(Actuals!AP66),0,Actuals!AP66)</f>
        <v>0</v>
      </c>
      <c r="AP151" s="14" t="n">
        <f aca="false">IF(ISBLANK(Actuals!AQ66),0,Actuals!AQ66)</f>
        <v>0</v>
      </c>
      <c r="AQ151" s="14" t="n">
        <f aca="false">IF(ISBLANK(Actuals!AR66),0,Actuals!AR66)</f>
        <v>0</v>
      </c>
      <c r="AR151" s="14" t="n">
        <f aca="false">IF(ISBLANK(Actuals!AS66),0,Actuals!AS66)</f>
        <v>0</v>
      </c>
      <c r="AS151" s="14" t="n">
        <f aca="false">IF(ISBLANK(Actuals!AT66),0,Actuals!AT66)</f>
        <v>0</v>
      </c>
      <c r="AT151" s="14" t="n">
        <f aca="false">IF(ISBLANK(Actuals!AU66),0,Actuals!AU66)</f>
        <v>0</v>
      </c>
      <c r="AU151" s="14" t="n">
        <f aca="false">IF(ISBLANK(Actuals!AV66),0,Actuals!AV66)</f>
        <v>0</v>
      </c>
      <c r="AV151" s="14" t="n">
        <f aca="false">IF(ISBLANK(Actuals!AW66),0,Actuals!AW66)</f>
        <v>0</v>
      </c>
      <c r="AW151" s="14" t="n">
        <f aca="false">IF(ISBLANK(Actuals!AX66),0,Actuals!AX66)</f>
        <v>0</v>
      </c>
      <c r="AX151" s="14" t="n">
        <f aca="false">IF(ISBLANK(Actuals!AY66),0,Actuals!AY66)</f>
        <v>0</v>
      </c>
      <c r="AY151" s="14" t="n">
        <f aca="false">IF(ISBLANK(Actuals!AZ66),0,Actuals!AZ66)</f>
        <v>0</v>
      </c>
      <c r="AZ151" s="14" t="n">
        <f aca="false">IF(ISBLANK(Actuals!BA66),0,Actuals!BA66)</f>
        <v>0</v>
      </c>
      <c r="BA151" s="14" t="n">
        <f aca="false">IF(ISBLANK(Actuals!BB66),0,Actuals!BB66)</f>
        <v>0</v>
      </c>
      <c r="BB151" s="14" t="n">
        <f aca="false">IF(ISBLANK(Actuals!BC66),0,Actuals!BC66)</f>
        <v>0</v>
      </c>
      <c r="BC151" s="14" t="n">
        <f aca="false">IF(ISBLANK(Actuals!BD66),0,Actuals!BD66)</f>
        <v>0</v>
      </c>
      <c r="BD151" s="14" t="n">
        <f aca="false">IF(ISBLANK(Actuals!BE66),0,Actuals!BE66)</f>
        <v>0</v>
      </c>
      <c r="BE151" s="14" t="n">
        <f aca="false">IF(ISBLANK(Actuals!BF66),0,Actuals!BF66)</f>
        <v>0</v>
      </c>
      <c r="BF151" s="14" t="n">
        <f aca="false">IF(ISBLANK(Actuals!BG66),0,Actuals!BG66)</f>
        <v>0</v>
      </c>
      <c r="BG151" s="14" t="n">
        <f aca="false">IF(ISBLANK(Actuals!BH66),0,Actuals!BH66)</f>
        <v>0</v>
      </c>
      <c r="BH151" s="14" t="n">
        <f aca="false">IF(ISBLANK(Actuals!BI66),0,Actuals!BI66)</f>
        <v>0</v>
      </c>
      <c r="BI151" s="14" t="n">
        <f aca="false">IF(ISBLANK(Actuals!BJ66),0,Actuals!BJ66)</f>
        <v>0</v>
      </c>
      <c r="BJ151" s="14" t="n">
        <f aca="false">IF(ISBLANK(Actuals!BK66),0,Actuals!BK66)</f>
        <v>0</v>
      </c>
      <c r="BK151" s="14" t="n">
        <f aca="false">IF(ISBLANK(Actuals!BL66),0,Actuals!BL66)</f>
        <v>0</v>
      </c>
      <c r="BL151" s="14" t="n">
        <f aca="false">IF(ISBLANK(Actuals!BM66),0,Actuals!BM66)</f>
        <v>0</v>
      </c>
      <c r="BM151" s="14" t="n">
        <f aca="false">IF(ISBLANK(Actuals!BN66),0,Actuals!BN66)</f>
        <v>0</v>
      </c>
      <c r="BN151" s="14" t="n">
        <f aca="false">IF(ISBLANK(Actuals!BO66),0,Actuals!BO66)</f>
        <v>0</v>
      </c>
      <c r="BO151" s="14" t="n">
        <f aca="false">IF(ISBLANK(Actuals!BP66),0,Actuals!BP66)</f>
        <v>0</v>
      </c>
      <c r="BP151" s="14" t="n">
        <f aca="false">IF(ISBLANK(Actuals!BQ66),0,Actuals!BQ66)</f>
        <v>0</v>
      </c>
      <c r="BQ151" s="14" t="n">
        <f aca="false">IF(ISBLANK(Actuals!BR66),0,Actuals!BR66)</f>
        <v>0</v>
      </c>
      <c r="BR151" s="14" t="n">
        <f aca="false">IF(ISBLANK(Actuals!BS66),0,Actuals!BS66)</f>
        <v>0</v>
      </c>
      <c r="BS151" s="14" t="n">
        <f aca="false">IF(ISBLANK(Actuals!BT66),0,Actuals!BT66)</f>
        <v>0</v>
      </c>
      <c r="BT151" s="14" t="n">
        <f aca="false">IF(ISBLANK(Actuals!BU66),0,Actuals!BU66)</f>
        <v>0</v>
      </c>
      <c r="BU151" s="14" t="n">
        <f aca="false">IF(ISBLANK(Actuals!BV66),0,Actuals!BV66)</f>
        <v>0</v>
      </c>
      <c r="BV151" s="14" t="n">
        <f aca="false">IF(ISBLANK(Actuals!BW66),0,Actuals!BW66)</f>
        <v>0</v>
      </c>
      <c r="BW151" s="14" t="n">
        <f aca="false">IF(ISBLANK(Actuals!BX66),0,Actuals!BX66)</f>
        <v>0</v>
      </c>
      <c r="BX151" s="14" t="n">
        <f aca="false">IF(ISBLANK(Actuals!BY66),0,Actuals!BY66)</f>
        <v>0</v>
      </c>
      <c r="BY151" s="14" t="n">
        <f aca="false">IF(ISBLANK(Actuals!BZ66),0,Actuals!BZ66)</f>
        <v>0</v>
      </c>
      <c r="BZ151" s="14" t="n">
        <f aca="false">IF(ISBLANK(Actuals!CA66),0,Actuals!CA66)</f>
        <v>0</v>
      </c>
      <c r="CA151" s="14" t="n">
        <f aca="false">IF(ISBLANK(Actuals!CB66),0,Actuals!CB66)</f>
        <v>0</v>
      </c>
      <c r="CB151" s="14" t="n">
        <f aca="false">IF(ISBLANK(Actuals!CC66),0,Actuals!CC66)</f>
        <v>0</v>
      </c>
      <c r="CC151" s="14" t="n">
        <f aca="false">IF(ISBLANK(Actuals!CD66),0,Actuals!CD66)</f>
        <v>0</v>
      </c>
      <c r="CD151" s="14" t="n">
        <f aca="false">IF(ISBLANK(Actuals!CE66),0,Actuals!CE66)</f>
        <v>0</v>
      </c>
      <c r="CE151" s="14" t="n">
        <f aca="false">IF(ISBLANK(Actuals!CF66),0,Actuals!CF66)</f>
        <v>0</v>
      </c>
      <c r="CF151" s="14" t="n">
        <f aca="false">IF(ISBLANK(Actuals!CG66),0,Actuals!CG66)</f>
        <v>0</v>
      </c>
      <c r="CG151" s="14" t="n">
        <f aca="false">IF(ISBLANK(Actuals!CH66),0,Actuals!CH66)</f>
        <v>0</v>
      </c>
      <c r="CH151" s="14" t="n">
        <f aca="false">IF(ISBLANK(Actuals!CI66),0,Actuals!CI66)</f>
        <v>0</v>
      </c>
      <c r="CI151" s="14" t="n">
        <f aca="false">IF(ISBLANK(Actuals!CJ66),0,Actuals!CJ66)</f>
        <v>0</v>
      </c>
      <c r="CJ151" s="14" t="n">
        <f aca="false">IF(ISBLANK(Actuals!CK66),0,Actuals!CK66)</f>
        <v>0</v>
      </c>
      <c r="CK151" s="14" t="n">
        <f aca="false">IF(ISBLANK(Actuals!CL66),0,Actuals!CL66)</f>
        <v>0</v>
      </c>
      <c r="CL151" s="14" t="n">
        <f aca="false">IF(ISBLANK(Actuals!CM66),0,Actuals!CM66)</f>
        <v>0</v>
      </c>
      <c r="CM151" s="14" t="n">
        <f aca="false">IF(ISBLANK(Actuals!CN66),0,Actuals!CN66)</f>
        <v>0</v>
      </c>
      <c r="CN151" s="14" t="n">
        <f aca="false">IF(ISBLANK(Actuals!CO66),0,Actuals!CO66)</f>
        <v>0</v>
      </c>
      <c r="CO151" s="14" t="n">
        <f aca="false">IF(ISBLANK(Actuals!CP66),0,Actuals!CP66)</f>
        <v>0</v>
      </c>
      <c r="CP151" s="14" t="n">
        <f aca="false">IF(ISBLANK(Actuals!CQ66),0,Actuals!CQ66)</f>
        <v>0</v>
      </c>
      <c r="CQ151" s="14" t="n">
        <f aca="false">IF(ISBLANK(Actuals!CR66),0,Actuals!CR66)</f>
        <v>0</v>
      </c>
      <c r="CR151" s="14" t="n">
        <f aca="false">IF(ISBLANK(Actuals!CS66),0,Actuals!CS66)</f>
        <v>0</v>
      </c>
      <c r="CS151" s="14" t="n">
        <f aca="false">IF(ISBLANK(Actuals!CT66),0,Actuals!CT66)</f>
        <v>0</v>
      </c>
      <c r="CT151" s="14" t="n">
        <f aca="false">IF(ISBLANK(Actuals!CU66),0,Actuals!CU66)</f>
        <v>0</v>
      </c>
      <c r="CU151" s="14" t="n">
        <f aca="false">IF(ISBLANK(Actuals!CV66),0,Actuals!CV66)</f>
        <v>0</v>
      </c>
      <c r="CV151" s="14" t="n">
        <f aca="false">IF(ISBLANK(Actuals!CW66),0,Actuals!CW66)</f>
        <v>0</v>
      </c>
      <c r="CW151" s="14" t="n">
        <f aca="false">IF(ISBLANK(Actuals!CX66),0,Actuals!CX66)</f>
        <v>0</v>
      </c>
      <c r="CX151" s="14" t="n">
        <f aca="false">IF(ISBLANK(Actuals!CY66),0,Actuals!CY66)</f>
        <v>0</v>
      </c>
      <c r="CY151" s="14" t="n">
        <f aca="false">IF(ISBLANK(Actuals!CZ66),0,Actuals!CZ66)</f>
        <v>0</v>
      </c>
      <c r="CZ151" s="14" t="n">
        <f aca="false">IF(ISBLANK(Actuals!DA66),0,Actuals!DA66)</f>
        <v>0</v>
      </c>
      <c r="DA151" s="14" t="n">
        <f aca="false">IF(ISBLANK(Actuals!DB66),0,Actuals!DB66)</f>
        <v>0</v>
      </c>
      <c r="DB151" s="14" t="n">
        <f aca="false">IF(ISBLANK(Actuals!DC66),0,Actuals!DC66)</f>
        <v>0</v>
      </c>
      <c r="DC151" s="14" t="n">
        <f aca="false">IF(ISBLANK(Actuals!DD66),0,Actuals!DD66)</f>
        <v>0</v>
      </c>
      <c r="DD151" s="14" t="n">
        <f aca="false">IF(ISBLANK(Actuals!DE66),0,Actuals!DE66)</f>
        <v>0</v>
      </c>
      <c r="DE151" s="14" t="n">
        <f aca="false">IF(ISBLANK(Actuals!DF66),0,Actuals!DF66)</f>
        <v>0</v>
      </c>
    </row>
    <row r="152" customFormat="false" ht="15" hidden="false" customHeight="true" outlineLevel="0" collapsed="false">
      <c r="A152" s="29" t="s">
        <v>100</v>
      </c>
      <c r="B152" s="14" t="n">
        <f aca="false">IF(ISBLANK(Actuals!C67),0,Actuals!C67)</f>
        <v>0</v>
      </c>
      <c r="C152" s="14" t="n">
        <f aca="false">IF(ISBLANK(Actuals!D67),0,Actuals!D67)</f>
        <v>0</v>
      </c>
      <c r="D152" s="14" t="n">
        <f aca="false">IF(ISBLANK(Actuals!E67),0,Actuals!E67)</f>
        <v>0</v>
      </c>
      <c r="E152" s="14" t="n">
        <f aca="false">IF(ISBLANK(Actuals!F67),0,Actuals!F67)</f>
        <v>0</v>
      </c>
      <c r="F152" s="14" t="n">
        <f aca="false">IF(ISBLANK(Actuals!G67),0,Actuals!G67)</f>
        <v>0</v>
      </c>
      <c r="G152" s="14" t="n">
        <f aca="false">IF(ISBLANK(Actuals!H67),0,Actuals!H67)</f>
        <v>0</v>
      </c>
      <c r="H152" s="14" t="n">
        <f aca="false">IF(ISBLANK(Actuals!I67),0,Actuals!I67)</f>
        <v>0</v>
      </c>
      <c r="I152" s="14" t="n">
        <f aca="false">IF(ISBLANK(Actuals!J67),0,Actuals!J67)</f>
        <v>0</v>
      </c>
      <c r="J152" s="14" t="n">
        <f aca="false">IF(ISBLANK(Actuals!K67),0,Actuals!K67)</f>
        <v>0</v>
      </c>
      <c r="K152" s="14" t="n">
        <f aca="false">IF(ISBLANK(Actuals!L67),0,Actuals!L67)</f>
        <v>0</v>
      </c>
      <c r="L152" s="14" t="n">
        <f aca="false">IF(ISBLANK(Actuals!M67),0,Actuals!M67)</f>
        <v>0</v>
      </c>
      <c r="M152" s="14" t="n">
        <f aca="false">IF(ISBLANK(Actuals!N67),0,Actuals!N67)</f>
        <v>0</v>
      </c>
      <c r="N152" s="14" t="n">
        <f aca="false">IF(ISBLANK(Actuals!O67),0,Actuals!O67)</f>
        <v>0</v>
      </c>
      <c r="O152" s="14" t="n">
        <f aca="false">IF(ISBLANK(Actuals!P67),0,Actuals!P67)</f>
        <v>0</v>
      </c>
      <c r="P152" s="14" t="n">
        <f aca="false">IF(ISBLANK(Actuals!Q67),0,Actuals!Q67)</f>
        <v>0</v>
      </c>
      <c r="Q152" s="14" t="n">
        <f aca="false">IF(ISBLANK(Actuals!R67),0,Actuals!R67)</f>
        <v>0</v>
      </c>
      <c r="R152" s="14" t="n">
        <f aca="false">IF(ISBLANK(Actuals!S67),0,Actuals!S67)</f>
        <v>0</v>
      </c>
      <c r="S152" s="14" t="n">
        <f aca="false">IF(ISBLANK(Actuals!T67),0,Actuals!T67)</f>
        <v>0</v>
      </c>
      <c r="T152" s="14" t="n">
        <f aca="false">IF(ISBLANK(Actuals!U67),0,Actuals!U67)</f>
        <v>0</v>
      </c>
      <c r="U152" s="14" t="n">
        <f aca="false">IF(ISBLANK(Actuals!V67),0,Actuals!V67)</f>
        <v>0</v>
      </c>
      <c r="V152" s="14" t="n">
        <f aca="false">IF(ISBLANK(Actuals!W67),0,Actuals!W67)</f>
        <v>0</v>
      </c>
      <c r="W152" s="14" t="n">
        <f aca="false">IF(ISBLANK(Actuals!X67),0,Actuals!X67)</f>
        <v>0</v>
      </c>
      <c r="X152" s="14" t="n">
        <f aca="false">IF(ISBLANK(Actuals!Y67),0,Actuals!Y67)</f>
        <v>0</v>
      </c>
      <c r="Y152" s="14" t="n">
        <f aca="false">IF(ISBLANK(Actuals!Z67),0,Actuals!Z67)</f>
        <v>0</v>
      </c>
      <c r="Z152" s="14" t="n">
        <f aca="false">IF(ISBLANK(Actuals!AA67),0,Actuals!AA67)</f>
        <v>0</v>
      </c>
      <c r="AA152" s="14" t="n">
        <f aca="false">IF(ISBLANK(Actuals!AB67),0,Actuals!AB67)</f>
        <v>0</v>
      </c>
      <c r="AB152" s="14" t="n">
        <f aca="false">IF(ISBLANK(Actuals!AC67),IF(Projects!$G$3="Yes",57375,0),Actuals!AC67)</f>
        <v>57375</v>
      </c>
      <c r="AC152" s="14" t="n">
        <f aca="false">IF(ISBLANK(Actuals!AD67),0,Actuals!AD67)</f>
        <v>0</v>
      </c>
      <c r="AD152" s="14" t="n">
        <f aca="false">IF(ISBLANK(Actuals!AE67),0,Actuals!AE67)</f>
        <v>0</v>
      </c>
      <c r="AE152" s="14" t="n">
        <f aca="false">IF(ISBLANK(Actuals!AF67),0,Actuals!AF67)</f>
        <v>0</v>
      </c>
      <c r="AF152" s="14" t="n">
        <f aca="false">IF(ISBLANK(Actuals!AG67),0,Actuals!AG67)</f>
        <v>0</v>
      </c>
      <c r="AG152" s="14" t="n">
        <f aca="false">IF(ISBLANK(Actuals!AH67),0,Actuals!AH67)</f>
        <v>0</v>
      </c>
      <c r="AH152" s="14" t="n">
        <f aca="false">IF(ISBLANK(Actuals!AI67),0,Actuals!AI67)</f>
        <v>0</v>
      </c>
      <c r="AI152" s="14" t="n">
        <f aca="false">IF(ISBLANK(Actuals!AJ67),0,Actuals!AJ67)</f>
        <v>0</v>
      </c>
      <c r="AJ152" s="14" t="n">
        <f aca="false">IF(ISBLANK(Actuals!AK67),0,Actuals!AK67)</f>
        <v>0</v>
      </c>
      <c r="AK152" s="14" t="n">
        <f aca="false">IF(ISBLANK(Actuals!AL67),0,Actuals!AL67)</f>
        <v>0</v>
      </c>
      <c r="AL152" s="14" t="n">
        <f aca="false">IF(ISBLANK(Actuals!AM67),0,Actuals!AM67)</f>
        <v>0</v>
      </c>
      <c r="AM152" s="14" t="n">
        <f aca="false">IF(ISBLANK(Actuals!AN67),0,Actuals!AN67)</f>
        <v>0</v>
      </c>
      <c r="AN152" s="14" t="n">
        <f aca="false">IF(ISBLANK(Actuals!AO67),0,Actuals!AO67)</f>
        <v>0</v>
      </c>
      <c r="AO152" s="14" t="n">
        <f aca="false">IF(ISBLANK(Actuals!AP67),0,Actuals!AP67)</f>
        <v>0</v>
      </c>
      <c r="AP152" s="14" t="n">
        <f aca="false">IF(ISBLANK(Actuals!AQ67),0,Actuals!AQ67)</f>
        <v>0</v>
      </c>
      <c r="AQ152" s="14" t="n">
        <f aca="false">IF(ISBLANK(Actuals!AR67),0,Actuals!AR67)</f>
        <v>0</v>
      </c>
      <c r="AR152" s="14" t="n">
        <f aca="false">IF(ISBLANK(Actuals!AS67),0,Actuals!AS67)</f>
        <v>0</v>
      </c>
      <c r="AS152" s="14" t="n">
        <f aca="false">IF(ISBLANK(Actuals!AT67),0,Actuals!AT67)</f>
        <v>0</v>
      </c>
      <c r="AT152" s="14" t="n">
        <f aca="false">IF(ISBLANK(Actuals!AU67),0,Actuals!AU67)</f>
        <v>0</v>
      </c>
      <c r="AU152" s="14" t="n">
        <f aca="false">IF(ISBLANK(Actuals!AV67),0,Actuals!AV67)</f>
        <v>0</v>
      </c>
      <c r="AV152" s="14" t="n">
        <f aca="false">IF(ISBLANK(Actuals!AW67),0,Actuals!AW67)</f>
        <v>0</v>
      </c>
      <c r="AW152" s="14" t="n">
        <f aca="false">IF(ISBLANK(Actuals!AX67),0,Actuals!AX67)</f>
        <v>0</v>
      </c>
      <c r="AX152" s="14" t="n">
        <f aca="false">IF(ISBLANK(Actuals!AY67),0,Actuals!AY67)</f>
        <v>0</v>
      </c>
      <c r="AY152" s="14" t="n">
        <f aca="false">IF(ISBLANK(Actuals!AZ67),0,Actuals!AZ67)</f>
        <v>0</v>
      </c>
      <c r="AZ152" s="14" t="n">
        <f aca="false">IF(ISBLANK(Actuals!BA67),0,Actuals!BA67)</f>
        <v>0</v>
      </c>
      <c r="BA152" s="14" t="n">
        <f aca="false">IF(ISBLANK(Actuals!BB67),0,Actuals!BB67)</f>
        <v>0</v>
      </c>
      <c r="BB152" s="14" t="n">
        <f aca="false">IF(ISBLANK(Actuals!BC67),0,Actuals!BC67)</f>
        <v>0</v>
      </c>
      <c r="BC152" s="14" t="n">
        <f aca="false">IF(ISBLANK(Actuals!BD67),0,Actuals!BD67)</f>
        <v>0</v>
      </c>
      <c r="BD152" s="14" t="n">
        <f aca="false">IF(ISBLANK(Actuals!BE67),0,Actuals!BE67)</f>
        <v>0</v>
      </c>
      <c r="BE152" s="14" t="n">
        <f aca="false">IF(ISBLANK(Actuals!BF67),0,Actuals!BF67)</f>
        <v>0</v>
      </c>
      <c r="BF152" s="14" t="n">
        <f aca="false">IF(ISBLANK(Actuals!BG67),0,Actuals!BG67)</f>
        <v>0</v>
      </c>
      <c r="BG152" s="14" t="n">
        <f aca="false">IF(ISBLANK(Actuals!BH67),0,Actuals!BH67)</f>
        <v>0</v>
      </c>
      <c r="BH152" s="14" t="n">
        <f aca="false">IF(ISBLANK(Actuals!BI67),0,Actuals!BI67)</f>
        <v>0</v>
      </c>
      <c r="BI152" s="14" t="n">
        <f aca="false">IF(ISBLANK(Actuals!BJ67),0,Actuals!BJ67)</f>
        <v>0</v>
      </c>
      <c r="BJ152" s="14" t="n">
        <f aca="false">IF(ISBLANK(Actuals!BK67),0,Actuals!BK67)</f>
        <v>0</v>
      </c>
      <c r="BK152" s="14" t="n">
        <f aca="false">IF(ISBLANK(Actuals!BL67),0,Actuals!BL67)</f>
        <v>0</v>
      </c>
      <c r="BL152" s="14" t="n">
        <f aca="false">IF(ISBLANK(Actuals!BM67),0,Actuals!BM67)</f>
        <v>0</v>
      </c>
      <c r="BM152" s="14" t="n">
        <f aca="false">IF(ISBLANK(Actuals!BN67),0,Actuals!BN67)</f>
        <v>0</v>
      </c>
      <c r="BN152" s="14" t="n">
        <f aca="false">IF(ISBLANK(Actuals!BO67),0,Actuals!BO67)</f>
        <v>0</v>
      </c>
      <c r="BO152" s="14" t="n">
        <f aca="false">IF(ISBLANK(Actuals!BP67),0,Actuals!BP67)</f>
        <v>0</v>
      </c>
      <c r="BP152" s="14" t="n">
        <f aca="false">IF(ISBLANK(Actuals!BQ67),0,Actuals!BQ67)</f>
        <v>0</v>
      </c>
      <c r="BQ152" s="14" t="n">
        <f aca="false">IF(ISBLANK(Actuals!BR67),0,Actuals!BR67)</f>
        <v>0</v>
      </c>
      <c r="BR152" s="14" t="n">
        <f aca="false">IF(ISBLANK(Actuals!BS67),0,Actuals!BS67)</f>
        <v>0</v>
      </c>
      <c r="BS152" s="14" t="n">
        <f aca="false">IF(ISBLANK(Actuals!BT67),0,Actuals!BT67)</f>
        <v>0</v>
      </c>
      <c r="BT152" s="14" t="n">
        <f aca="false">IF(ISBLANK(Actuals!BU67),0,Actuals!BU67)</f>
        <v>0</v>
      </c>
      <c r="BU152" s="14" t="n">
        <f aca="false">IF(ISBLANK(Actuals!BV67),0,Actuals!BV67)</f>
        <v>0</v>
      </c>
      <c r="BV152" s="14" t="n">
        <f aca="false">IF(ISBLANK(Actuals!BW67),0,Actuals!BW67)</f>
        <v>0</v>
      </c>
      <c r="BW152" s="14" t="n">
        <f aca="false">IF(ISBLANK(Actuals!BX67),0,Actuals!BX67)</f>
        <v>0</v>
      </c>
      <c r="BX152" s="14" t="n">
        <f aca="false">IF(ISBLANK(Actuals!BY67),0,Actuals!BY67)</f>
        <v>0</v>
      </c>
      <c r="BY152" s="14" t="n">
        <f aca="false">IF(ISBLANK(Actuals!BZ67),0,Actuals!BZ67)</f>
        <v>0</v>
      </c>
      <c r="BZ152" s="14" t="n">
        <f aca="false">IF(ISBLANK(Actuals!CA67),0,Actuals!CA67)</f>
        <v>0</v>
      </c>
      <c r="CA152" s="14" t="n">
        <f aca="false">IF(ISBLANK(Actuals!CB67),0,Actuals!CB67)</f>
        <v>0</v>
      </c>
      <c r="CB152" s="14" t="n">
        <f aca="false">IF(ISBLANK(Actuals!CC67),0,Actuals!CC67)</f>
        <v>0</v>
      </c>
      <c r="CC152" s="14" t="n">
        <f aca="false">IF(ISBLANK(Actuals!CD67),0,Actuals!CD67)</f>
        <v>0</v>
      </c>
      <c r="CD152" s="14" t="n">
        <f aca="false">IF(ISBLANK(Actuals!CE67),0,Actuals!CE67)</f>
        <v>0</v>
      </c>
      <c r="CE152" s="14" t="n">
        <f aca="false">IF(ISBLANK(Actuals!CF67),0,Actuals!CF67)</f>
        <v>0</v>
      </c>
      <c r="CF152" s="14" t="n">
        <f aca="false">IF(ISBLANK(Actuals!CG67),0,Actuals!CG67)</f>
        <v>0</v>
      </c>
      <c r="CG152" s="14" t="n">
        <f aca="false">IF(ISBLANK(Actuals!CH67),0,Actuals!CH67)</f>
        <v>0</v>
      </c>
      <c r="CH152" s="14" t="n">
        <f aca="false">IF(ISBLANK(Actuals!CI67),0,Actuals!CI67)</f>
        <v>0</v>
      </c>
      <c r="CI152" s="14" t="n">
        <f aca="false">IF(ISBLANK(Actuals!CJ67),0,Actuals!CJ67)</f>
        <v>0</v>
      </c>
      <c r="CJ152" s="14" t="n">
        <f aca="false">IF(ISBLANK(Actuals!CK67),0,Actuals!CK67)</f>
        <v>0</v>
      </c>
      <c r="CK152" s="14" t="n">
        <f aca="false">IF(ISBLANK(Actuals!CL67),0,Actuals!CL67)</f>
        <v>0</v>
      </c>
      <c r="CL152" s="14" t="n">
        <f aca="false">IF(ISBLANK(Actuals!CM67),0,Actuals!CM67)</f>
        <v>0</v>
      </c>
      <c r="CM152" s="14" t="n">
        <f aca="false">IF(ISBLANK(Actuals!CN67),0,Actuals!CN67)</f>
        <v>0</v>
      </c>
      <c r="CN152" s="14" t="n">
        <f aca="false">IF(ISBLANK(Actuals!CO67),0,Actuals!CO67)</f>
        <v>0</v>
      </c>
      <c r="CO152" s="14" t="n">
        <f aca="false">IF(ISBLANK(Actuals!CP67),0,Actuals!CP67)</f>
        <v>0</v>
      </c>
      <c r="CP152" s="14" t="n">
        <f aca="false">IF(ISBLANK(Actuals!CQ67),0,Actuals!CQ67)</f>
        <v>0</v>
      </c>
      <c r="CQ152" s="14" t="n">
        <f aca="false">IF(ISBLANK(Actuals!CR67),0,Actuals!CR67)</f>
        <v>0</v>
      </c>
      <c r="CR152" s="14" t="n">
        <f aca="false">IF(ISBLANK(Actuals!CS67),0,Actuals!CS67)</f>
        <v>0</v>
      </c>
      <c r="CS152" s="14" t="n">
        <f aca="false">IF(ISBLANK(Actuals!CT67),0,Actuals!CT67)</f>
        <v>0</v>
      </c>
      <c r="CT152" s="14" t="n">
        <f aca="false">IF(ISBLANK(Actuals!CU67),0,Actuals!CU67)</f>
        <v>0</v>
      </c>
      <c r="CU152" s="14" t="n">
        <f aca="false">IF(ISBLANK(Actuals!CV67),0,Actuals!CV67)</f>
        <v>0</v>
      </c>
      <c r="CV152" s="14" t="n">
        <f aca="false">IF(ISBLANK(Actuals!CW67),0,Actuals!CW67)</f>
        <v>0</v>
      </c>
      <c r="CW152" s="14" t="n">
        <f aca="false">IF(ISBLANK(Actuals!CX67),0,Actuals!CX67)</f>
        <v>0</v>
      </c>
      <c r="CX152" s="14" t="n">
        <f aca="false">IF(ISBLANK(Actuals!CY67),0,Actuals!CY67)</f>
        <v>0</v>
      </c>
      <c r="CY152" s="14" t="n">
        <f aca="false">IF(ISBLANK(Actuals!CZ67),0,Actuals!CZ67)</f>
        <v>0</v>
      </c>
      <c r="CZ152" s="14" t="n">
        <f aca="false">IF(ISBLANK(Actuals!DA67),0,Actuals!DA67)</f>
        <v>0</v>
      </c>
      <c r="DA152" s="14" t="n">
        <f aca="false">IF(ISBLANK(Actuals!DB67),0,Actuals!DB67)</f>
        <v>0</v>
      </c>
      <c r="DB152" s="14" t="n">
        <f aca="false">IF(ISBLANK(Actuals!DC67),0,Actuals!DC67)</f>
        <v>0</v>
      </c>
      <c r="DC152" s="14" t="n">
        <f aca="false">IF(ISBLANK(Actuals!DD67),0,Actuals!DD67)</f>
        <v>0</v>
      </c>
      <c r="DD152" s="14" t="n">
        <f aca="false">IF(ISBLANK(Actuals!DE67),0,Actuals!DE67)</f>
        <v>0</v>
      </c>
      <c r="DE152" s="14" t="n">
        <f aca="false">IF(ISBLANK(Actuals!DF67),0,Actuals!DF67)</f>
        <v>0</v>
      </c>
    </row>
    <row r="153" customFormat="false" ht="15" hidden="false" customHeight="true" outlineLevel="0" collapsed="false">
      <c r="A153" s="29" t="s">
        <v>101</v>
      </c>
      <c r="B153" s="14" t="n">
        <f aca="false">IF(ISBLANK(Actuals!C68),0,Actuals!C68)</f>
        <v>0</v>
      </c>
      <c r="C153" s="14" t="n">
        <f aca="false">IF(ISBLANK(Actuals!D68),0,Actuals!D68)</f>
        <v>0</v>
      </c>
      <c r="D153" s="14" t="n">
        <f aca="false">IF(ISBLANK(Actuals!E68),0,Actuals!E68)</f>
        <v>0</v>
      </c>
      <c r="E153" s="14" t="n">
        <f aca="false">IF(ISBLANK(Actuals!F68),0,Actuals!F68)</f>
        <v>0</v>
      </c>
      <c r="F153" s="14" t="n">
        <f aca="false">IF(ISBLANK(Actuals!G68),0,Actuals!G68)</f>
        <v>0</v>
      </c>
      <c r="G153" s="14" t="n">
        <f aca="false">IF(ISBLANK(Actuals!H68),0,Actuals!H68)</f>
        <v>0</v>
      </c>
      <c r="H153" s="14" t="n">
        <f aca="false">IF(ISBLANK(Actuals!I68),0,Actuals!I68)</f>
        <v>0</v>
      </c>
      <c r="I153" s="14" t="n">
        <f aca="false">IF(ISBLANK(Actuals!J68),0,Actuals!J68)</f>
        <v>0</v>
      </c>
      <c r="J153" s="14" t="n">
        <f aca="false">IF(ISBLANK(Actuals!K68),0,Actuals!K68)</f>
        <v>0</v>
      </c>
      <c r="K153" s="14" t="n">
        <f aca="false">IF(ISBLANK(Actuals!L68),0,Actuals!L68)</f>
        <v>0</v>
      </c>
      <c r="L153" s="14" t="n">
        <f aca="false">IF(ISBLANK(Actuals!M68),0,Actuals!M68)</f>
        <v>0</v>
      </c>
      <c r="M153" s="14" t="n">
        <f aca="false">IF(ISBLANK(Actuals!N68),0,Actuals!N68)</f>
        <v>0</v>
      </c>
      <c r="N153" s="14" t="n">
        <f aca="false">IF(ISBLANK(Actuals!O68),0,Actuals!O68)</f>
        <v>0</v>
      </c>
      <c r="O153" s="14" t="n">
        <f aca="false">IF(ISBLANK(Actuals!P68),0,Actuals!P68)</f>
        <v>0</v>
      </c>
      <c r="P153" s="14" t="n">
        <f aca="false">IF(ISBLANK(Actuals!Q68),0,Actuals!Q68)</f>
        <v>0</v>
      </c>
      <c r="Q153" s="14" t="n">
        <f aca="false">IF(ISBLANK(Actuals!R68),0,Actuals!R68)</f>
        <v>0</v>
      </c>
      <c r="R153" s="14" t="n">
        <f aca="false">IF(ISBLANK(Actuals!S68),0,Actuals!S68)</f>
        <v>0</v>
      </c>
      <c r="S153" s="14" t="n">
        <f aca="false">IF(ISBLANK(Actuals!T68),0,Actuals!T68)</f>
        <v>0</v>
      </c>
      <c r="T153" s="14" t="n">
        <f aca="false">IF(ISBLANK(Actuals!U68),0,Actuals!U68)</f>
        <v>0</v>
      </c>
      <c r="U153" s="14" t="n">
        <f aca="false">IF(ISBLANK(Actuals!V68),0,Actuals!V68)</f>
        <v>0</v>
      </c>
      <c r="V153" s="14" t="n">
        <f aca="false">IF(ISBLANK(Actuals!W68),0,Actuals!W68)</f>
        <v>0</v>
      </c>
      <c r="W153" s="14" t="n">
        <f aca="false">IF(ISBLANK(Actuals!X68),0,Actuals!X68)</f>
        <v>0</v>
      </c>
      <c r="X153" s="14" t="n">
        <f aca="false">IF(ISBLANK(Actuals!Y68),0,Actuals!Y68)</f>
        <v>0</v>
      </c>
      <c r="Y153" s="14" t="n">
        <f aca="false">IF(ISBLANK(Actuals!Z68),0,Actuals!Z68)</f>
        <v>0</v>
      </c>
      <c r="Z153" s="14" t="n">
        <f aca="false">IF(ISBLANK(Actuals!AA68),0,Actuals!AA68)</f>
        <v>0</v>
      </c>
      <c r="AA153" s="14" t="n">
        <f aca="false">IF(ISBLANK(Actuals!AB68),0,Actuals!AB68)</f>
        <v>0</v>
      </c>
      <c r="AB153" s="14" t="n">
        <f aca="false">IF(ISBLANK(Actuals!AC68),0,Actuals!AC68)</f>
        <v>0</v>
      </c>
      <c r="AC153" s="14" t="n">
        <f aca="false">IF(ISBLANK(Actuals!AD68),0,Actuals!AD68)</f>
        <v>0</v>
      </c>
      <c r="AD153" s="14" t="n">
        <f aca="false">IF(ISBLANK(Actuals!AE68),0,Actuals!AE68)</f>
        <v>0</v>
      </c>
      <c r="AE153" s="14" t="n">
        <f aca="false">IF(ISBLANK(Actuals!AF68),IF(Projects!$G$3="Yes",57375,0),Actuals!AF68)</f>
        <v>57375</v>
      </c>
      <c r="AF153" s="14" t="n">
        <f aca="false">IF(ISBLANK(Actuals!AG68),0,Actuals!AG68)</f>
        <v>0</v>
      </c>
      <c r="AG153" s="14" t="n">
        <f aca="false">IF(ISBLANK(Actuals!AH68),0,Actuals!AH68)</f>
        <v>0</v>
      </c>
      <c r="AH153" s="14" t="n">
        <f aca="false">IF(ISBLANK(Actuals!AI68),0,Actuals!AI68)</f>
        <v>0</v>
      </c>
      <c r="AI153" s="14" t="n">
        <f aca="false">IF(ISBLANK(Actuals!AJ68),0,Actuals!AJ68)</f>
        <v>0</v>
      </c>
      <c r="AJ153" s="14" t="n">
        <f aca="false">IF(ISBLANK(Actuals!AK68),0,Actuals!AK68)</f>
        <v>0</v>
      </c>
      <c r="AK153" s="14" t="n">
        <f aca="false">IF(ISBLANK(Actuals!AL68),0,Actuals!AL68)</f>
        <v>0</v>
      </c>
      <c r="AL153" s="14" t="n">
        <f aca="false">IF(ISBLANK(Actuals!AM68),0,Actuals!AM68)</f>
        <v>0</v>
      </c>
      <c r="AM153" s="14" t="n">
        <f aca="false">IF(ISBLANK(Actuals!AN68),0,Actuals!AN68)</f>
        <v>0</v>
      </c>
      <c r="AN153" s="14" t="n">
        <f aca="false">IF(ISBLANK(Actuals!AO68),0,Actuals!AO68)</f>
        <v>0</v>
      </c>
      <c r="AO153" s="14" t="n">
        <f aca="false">IF(ISBLANK(Actuals!AP68),0,Actuals!AP68)</f>
        <v>0</v>
      </c>
      <c r="AP153" s="14" t="n">
        <f aca="false">IF(ISBLANK(Actuals!AQ68),0,Actuals!AQ68)</f>
        <v>0</v>
      </c>
      <c r="AQ153" s="14" t="n">
        <f aca="false">IF(ISBLANK(Actuals!AR68),0,Actuals!AR68)</f>
        <v>0</v>
      </c>
      <c r="AR153" s="14" t="n">
        <f aca="false">IF(ISBLANK(Actuals!AS68),0,Actuals!AS68)</f>
        <v>0</v>
      </c>
      <c r="AS153" s="14" t="n">
        <f aca="false">IF(ISBLANK(Actuals!AT68),0,Actuals!AT68)</f>
        <v>0</v>
      </c>
      <c r="AT153" s="14" t="n">
        <f aca="false">IF(ISBLANK(Actuals!AU68),0,Actuals!AU68)</f>
        <v>0</v>
      </c>
      <c r="AU153" s="14" t="n">
        <f aca="false">IF(ISBLANK(Actuals!AV68),0,Actuals!AV68)</f>
        <v>0</v>
      </c>
      <c r="AV153" s="14" t="n">
        <f aca="false">IF(ISBLANK(Actuals!AW68),0,Actuals!AW68)</f>
        <v>0</v>
      </c>
      <c r="AW153" s="14" t="n">
        <f aca="false">IF(ISBLANK(Actuals!AX68),0,Actuals!AX68)</f>
        <v>0</v>
      </c>
      <c r="AX153" s="14" t="n">
        <f aca="false">IF(ISBLANK(Actuals!AY68),0,Actuals!AY68)</f>
        <v>0</v>
      </c>
      <c r="AY153" s="14" t="n">
        <f aca="false">IF(ISBLANK(Actuals!AZ68),0,Actuals!AZ68)</f>
        <v>0</v>
      </c>
      <c r="AZ153" s="14" t="n">
        <f aca="false">IF(ISBLANK(Actuals!BA68),0,Actuals!BA68)</f>
        <v>0</v>
      </c>
      <c r="BA153" s="14" t="n">
        <f aca="false">IF(ISBLANK(Actuals!BB68),0,Actuals!BB68)</f>
        <v>0</v>
      </c>
      <c r="BB153" s="14" t="n">
        <f aca="false">IF(ISBLANK(Actuals!BC68),0,Actuals!BC68)</f>
        <v>0</v>
      </c>
      <c r="BC153" s="14" t="n">
        <f aca="false">IF(ISBLANK(Actuals!BD68),0,Actuals!BD68)</f>
        <v>0</v>
      </c>
      <c r="BD153" s="14" t="n">
        <f aca="false">IF(ISBLANK(Actuals!BE68),0,Actuals!BE68)</f>
        <v>0</v>
      </c>
      <c r="BE153" s="14" t="n">
        <f aca="false">IF(ISBLANK(Actuals!BF68),0,Actuals!BF68)</f>
        <v>0</v>
      </c>
      <c r="BF153" s="14" t="n">
        <f aca="false">IF(ISBLANK(Actuals!BG68),0,Actuals!BG68)</f>
        <v>0</v>
      </c>
      <c r="BG153" s="14" t="n">
        <f aca="false">IF(ISBLANK(Actuals!BH68),0,Actuals!BH68)</f>
        <v>0</v>
      </c>
      <c r="BH153" s="14" t="n">
        <f aca="false">IF(ISBLANK(Actuals!BI68),0,Actuals!BI68)</f>
        <v>0</v>
      </c>
      <c r="BI153" s="14" t="n">
        <f aca="false">IF(ISBLANK(Actuals!BJ68),0,Actuals!BJ68)</f>
        <v>0</v>
      </c>
      <c r="BJ153" s="14" t="n">
        <f aca="false">IF(ISBLANK(Actuals!BK68),0,Actuals!BK68)</f>
        <v>0</v>
      </c>
      <c r="BK153" s="14" t="n">
        <f aca="false">IF(ISBLANK(Actuals!BL68),0,Actuals!BL68)</f>
        <v>0</v>
      </c>
      <c r="BL153" s="14" t="n">
        <f aca="false">IF(ISBLANK(Actuals!BM68),0,Actuals!BM68)</f>
        <v>0</v>
      </c>
      <c r="BM153" s="14" t="n">
        <f aca="false">IF(ISBLANK(Actuals!BN68),0,Actuals!BN68)</f>
        <v>0</v>
      </c>
      <c r="BN153" s="14" t="n">
        <f aca="false">IF(ISBLANK(Actuals!BO68),0,Actuals!BO68)</f>
        <v>0</v>
      </c>
      <c r="BO153" s="14" t="n">
        <f aca="false">IF(ISBLANK(Actuals!BP68),0,Actuals!BP68)</f>
        <v>0</v>
      </c>
      <c r="BP153" s="14" t="n">
        <f aca="false">IF(ISBLANK(Actuals!BQ68),0,Actuals!BQ68)</f>
        <v>0</v>
      </c>
      <c r="BQ153" s="14" t="n">
        <f aca="false">IF(ISBLANK(Actuals!BR68),0,Actuals!BR68)</f>
        <v>0</v>
      </c>
      <c r="BR153" s="14" t="n">
        <f aca="false">IF(ISBLANK(Actuals!BS68),0,Actuals!BS68)</f>
        <v>0</v>
      </c>
      <c r="BS153" s="14" t="n">
        <f aca="false">IF(ISBLANK(Actuals!BT68),0,Actuals!BT68)</f>
        <v>0</v>
      </c>
      <c r="BT153" s="14" t="n">
        <f aca="false">IF(ISBLANK(Actuals!BU68),0,Actuals!BU68)</f>
        <v>0</v>
      </c>
      <c r="BU153" s="14" t="n">
        <f aca="false">IF(ISBLANK(Actuals!BV68),0,Actuals!BV68)</f>
        <v>0</v>
      </c>
      <c r="BV153" s="14" t="n">
        <f aca="false">IF(ISBLANK(Actuals!BW68),0,Actuals!BW68)</f>
        <v>0</v>
      </c>
      <c r="BW153" s="14" t="n">
        <f aca="false">IF(ISBLANK(Actuals!BX68),0,Actuals!BX68)</f>
        <v>0</v>
      </c>
      <c r="BX153" s="14" t="n">
        <f aca="false">IF(ISBLANK(Actuals!BY68),0,Actuals!BY68)</f>
        <v>0</v>
      </c>
      <c r="BY153" s="14" t="n">
        <f aca="false">IF(ISBLANK(Actuals!BZ68),0,Actuals!BZ68)</f>
        <v>0</v>
      </c>
      <c r="BZ153" s="14" t="n">
        <f aca="false">IF(ISBLANK(Actuals!CA68),0,Actuals!CA68)</f>
        <v>0</v>
      </c>
      <c r="CA153" s="14" t="n">
        <f aca="false">IF(ISBLANK(Actuals!CB68),0,Actuals!CB68)</f>
        <v>0</v>
      </c>
      <c r="CB153" s="14" t="n">
        <f aca="false">IF(ISBLANK(Actuals!CC68),0,Actuals!CC68)</f>
        <v>0</v>
      </c>
      <c r="CC153" s="14" t="n">
        <f aca="false">IF(ISBLANK(Actuals!CD68),0,Actuals!CD68)</f>
        <v>0</v>
      </c>
      <c r="CD153" s="14" t="n">
        <f aca="false">IF(ISBLANK(Actuals!CE68),0,Actuals!CE68)</f>
        <v>0</v>
      </c>
      <c r="CE153" s="14" t="n">
        <f aca="false">IF(ISBLANK(Actuals!CF68),0,Actuals!CF68)</f>
        <v>0</v>
      </c>
      <c r="CF153" s="14" t="n">
        <f aca="false">IF(ISBLANK(Actuals!CG68),0,Actuals!CG68)</f>
        <v>0</v>
      </c>
      <c r="CG153" s="14" t="n">
        <f aca="false">IF(ISBLANK(Actuals!CH68),0,Actuals!CH68)</f>
        <v>0</v>
      </c>
      <c r="CH153" s="14" t="n">
        <f aca="false">IF(ISBLANK(Actuals!CI68),0,Actuals!CI68)</f>
        <v>0</v>
      </c>
      <c r="CI153" s="14" t="n">
        <f aca="false">IF(ISBLANK(Actuals!CJ68),0,Actuals!CJ68)</f>
        <v>0</v>
      </c>
      <c r="CJ153" s="14" t="n">
        <f aca="false">IF(ISBLANK(Actuals!CK68),0,Actuals!CK68)</f>
        <v>0</v>
      </c>
      <c r="CK153" s="14" t="n">
        <f aca="false">IF(ISBLANK(Actuals!CL68),0,Actuals!CL68)</f>
        <v>0</v>
      </c>
      <c r="CL153" s="14" t="n">
        <f aca="false">IF(ISBLANK(Actuals!CM68),0,Actuals!CM68)</f>
        <v>0</v>
      </c>
      <c r="CM153" s="14" t="n">
        <f aca="false">IF(ISBLANK(Actuals!CN68),0,Actuals!CN68)</f>
        <v>0</v>
      </c>
      <c r="CN153" s="14" t="n">
        <f aca="false">IF(ISBLANK(Actuals!CO68),0,Actuals!CO68)</f>
        <v>0</v>
      </c>
      <c r="CO153" s="14" t="n">
        <f aca="false">IF(ISBLANK(Actuals!CP68),0,Actuals!CP68)</f>
        <v>0</v>
      </c>
      <c r="CP153" s="14" t="n">
        <f aca="false">IF(ISBLANK(Actuals!CQ68),0,Actuals!CQ68)</f>
        <v>0</v>
      </c>
      <c r="CQ153" s="14" t="n">
        <f aca="false">IF(ISBLANK(Actuals!CR68),0,Actuals!CR68)</f>
        <v>0</v>
      </c>
      <c r="CR153" s="14" t="n">
        <f aca="false">IF(ISBLANK(Actuals!CS68),0,Actuals!CS68)</f>
        <v>0</v>
      </c>
      <c r="CS153" s="14" t="n">
        <f aca="false">IF(ISBLANK(Actuals!CT68),0,Actuals!CT68)</f>
        <v>0</v>
      </c>
      <c r="CT153" s="14" t="n">
        <f aca="false">IF(ISBLANK(Actuals!CU68),0,Actuals!CU68)</f>
        <v>0</v>
      </c>
      <c r="CU153" s="14" t="n">
        <f aca="false">IF(ISBLANK(Actuals!CV68),0,Actuals!CV68)</f>
        <v>0</v>
      </c>
      <c r="CV153" s="14" t="n">
        <f aca="false">IF(ISBLANK(Actuals!CW68),0,Actuals!CW68)</f>
        <v>0</v>
      </c>
      <c r="CW153" s="14" t="n">
        <f aca="false">IF(ISBLANK(Actuals!CX68),0,Actuals!CX68)</f>
        <v>0</v>
      </c>
      <c r="CX153" s="14" t="n">
        <f aca="false">IF(ISBLANK(Actuals!CY68),0,Actuals!CY68)</f>
        <v>0</v>
      </c>
      <c r="CY153" s="14" t="n">
        <f aca="false">IF(ISBLANK(Actuals!CZ68),0,Actuals!CZ68)</f>
        <v>0</v>
      </c>
      <c r="CZ153" s="14" t="n">
        <f aca="false">IF(ISBLANK(Actuals!DA68),0,Actuals!DA68)</f>
        <v>0</v>
      </c>
      <c r="DA153" s="14" t="n">
        <f aca="false">IF(ISBLANK(Actuals!DB68),0,Actuals!DB68)</f>
        <v>0</v>
      </c>
      <c r="DB153" s="14" t="n">
        <f aca="false">IF(ISBLANK(Actuals!DC68),0,Actuals!DC68)</f>
        <v>0</v>
      </c>
      <c r="DC153" s="14" t="n">
        <f aca="false">IF(ISBLANK(Actuals!DD68),0,Actuals!DD68)</f>
        <v>0</v>
      </c>
      <c r="DD153" s="14" t="n">
        <f aca="false">IF(ISBLANK(Actuals!DE68),0,Actuals!DE68)</f>
        <v>0</v>
      </c>
      <c r="DE153" s="14" t="n">
        <f aca="false">IF(ISBLANK(Actuals!DF68),0,Actuals!DF68)</f>
        <v>0</v>
      </c>
    </row>
    <row r="154" customFormat="false" ht="15" hidden="false" customHeight="true" outlineLevel="0" collapsed="false">
      <c r="A154" s="29" t="s">
        <v>102</v>
      </c>
      <c r="B154" s="14" t="n">
        <f aca="false">IF(ISBLANK(Actuals!C69),0,Actuals!C69)</f>
        <v>9375</v>
      </c>
      <c r="C154" s="14" t="n">
        <f aca="false">IF(ISBLANK(Actuals!D69),0,Actuals!D69)</f>
        <v>9375</v>
      </c>
      <c r="D154" s="14" t="n">
        <f aca="false">IF(ISBLANK(Actuals!E69),0,Actuals!E69)</f>
        <v>9375</v>
      </c>
      <c r="E154" s="14" t="n">
        <f aca="false">IF(ISBLANK(Actuals!F69),IF(Projects!$G$2="Yes",9375,0),Actuals!F69)</f>
        <v>9375</v>
      </c>
      <c r="F154" s="14" t="n">
        <f aca="false">IF(ISBLANK(Actuals!G69),IF(Projects!$G$2="Yes",9375,0),Actuals!G69)</f>
        <v>9375</v>
      </c>
      <c r="G154" s="14" t="n">
        <f aca="false">IF(ISBLANK(Actuals!H69),IF(Projects!$G$2="Yes",9375,0),Actuals!H69)</f>
        <v>9375</v>
      </c>
      <c r="H154" s="14" t="n">
        <f aca="false">IF(ISBLANK(Actuals!I69),IF(Projects!$G$2="Yes",9375,0),Actuals!I69)</f>
        <v>9375</v>
      </c>
      <c r="I154" s="14" t="n">
        <f aca="false">IF(ISBLANK(Actuals!J69),IF(Projects!$G$2="Yes",9375,0),Actuals!J69)</f>
        <v>9375</v>
      </c>
      <c r="J154" s="14" t="n">
        <f aca="false">IF(ISBLANK(Actuals!K69),IF(Projects!$G$2="Yes",9375,0),Actuals!K69)</f>
        <v>9375</v>
      </c>
      <c r="K154" s="14" t="n">
        <f aca="false">IF(ISBLANK(Actuals!L69),IF(Projects!$G$2="Yes",9375,0),Actuals!L69)</f>
        <v>9375</v>
      </c>
      <c r="L154" s="14" t="n">
        <f aca="false">IF(ISBLANK(Actuals!M69),0,Actuals!M69)</f>
        <v>0</v>
      </c>
      <c r="M154" s="14" t="n">
        <f aca="false">IF(ISBLANK(Actuals!N69),0,Actuals!N69)</f>
        <v>0</v>
      </c>
      <c r="N154" s="14" t="n">
        <f aca="false">IF(ISBLANK(Actuals!O69),0,Actuals!O69)</f>
        <v>0</v>
      </c>
      <c r="O154" s="14" t="n">
        <f aca="false">IF(ISBLANK(Actuals!P69),0,Actuals!P69)</f>
        <v>0</v>
      </c>
      <c r="P154" s="14" t="n">
        <f aca="false">IF(ISBLANK(Actuals!Q69),0,Actuals!Q69)</f>
        <v>0</v>
      </c>
      <c r="Q154" s="14" t="n">
        <f aca="false">IF(ISBLANK(Actuals!R69),0,Actuals!R69)</f>
        <v>0</v>
      </c>
      <c r="R154" s="14" t="n">
        <f aca="false">IF(ISBLANK(Actuals!S69),0,Actuals!S69)</f>
        <v>0</v>
      </c>
      <c r="S154" s="14" t="n">
        <f aca="false">IF(ISBLANK(Actuals!T69),0,Actuals!T69)</f>
        <v>0</v>
      </c>
      <c r="T154" s="14" t="n">
        <f aca="false">IF(ISBLANK(Actuals!U69),0,Actuals!U69)</f>
        <v>0</v>
      </c>
      <c r="U154" s="14" t="n">
        <f aca="false">IF(ISBLANK(Actuals!V69),0,Actuals!V69)</f>
        <v>0</v>
      </c>
      <c r="V154" s="14" t="n">
        <f aca="false">IF(ISBLANK(Actuals!W69),0,Actuals!W69)</f>
        <v>0</v>
      </c>
      <c r="W154" s="14" t="n">
        <f aca="false">IF(ISBLANK(Actuals!X69),0,Actuals!X69)</f>
        <v>0</v>
      </c>
      <c r="X154" s="14" t="n">
        <f aca="false">IF(ISBLANK(Actuals!Y69),0,Actuals!Y69)</f>
        <v>0</v>
      </c>
      <c r="Y154" s="14" t="n">
        <f aca="false">IF(ISBLANK(Actuals!Z69),0,Actuals!Z69)</f>
        <v>0</v>
      </c>
      <c r="Z154" s="14" t="n">
        <f aca="false">IF(ISBLANK(Actuals!AA69),0,Actuals!AA69)</f>
        <v>0</v>
      </c>
      <c r="AA154" s="14" t="n">
        <f aca="false">IF(ISBLANK(Actuals!AB69),0,Actuals!AB69)</f>
        <v>0</v>
      </c>
      <c r="AB154" s="14" t="n">
        <f aca="false">IF(ISBLANK(Actuals!AC69),0,Actuals!AC69)</f>
        <v>0</v>
      </c>
      <c r="AC154" s="14" t="n">
        <f aca="false">IF(ISBLANK(Actuals!AD69),0,Actuals!AD69)</f>
        <v>0</v>
      </c>
      <c r="AD154" s="14" t="n">
        <f aca="false">IF(ISBLANK(Actuals!AE69),0,Actuals!AE69)</f>
        <v>0</v>
      </c>
      <c r="AE154" s="14" t="n">
        <f aca="false">IF(ISBLANK(Actuals!AF69),0,Actuals!AF69)</f>
        <v>0</v>
      </c>
      <c r="AF154" s="14" t="n">
        <f aca="false">IF(ISBLANK(Actuals!AG69),0,Actuals!AG69)</f>
        <v>0</v>
      </c>
      <c r="AG154" s="14" t="n">
        <f aca="false">IF(ISBLANK(Actuals!AH69),0,Actuals!AH69)</f>
        <v>0</v>
      </c>
      <c r="AH154" s="14" t="n">
        <f aca="false">IF(ISBLANK(Actuals!AI69),0,Actuals!AI69)</f>
        <v>0</v>
      </c>
      <c r="AI154" s="14" t="n">
        <f aca="false">IF(ISBLANK(Actuals!AJ69),0,Actuals!AJ69)</f>
        <v>0</v>
      </c>
      <c r="AJ154" s="14" t="n">
        <f aca="false">IF(ISBLANK(Actuals!AK69),0,Actuals!AK69)</f>
        <v>0</v>
      </c>
      <c r="AK154" s="14" t="n">
        <f aca="false">IF(ISBLANK(Actuals!AL69),0,Actuals!AL69)</f>
        <v>0</v>
      </c>
      <c r="AL154" s="14" t="n">
        <f aca="false">IF(ISBLANK(Actuals!AM69),0,Actuals!AM69)</f>
        <v>0</v>
      </c>
      <c r="AM154" s="14" t="n">
        <f aca="false">IF(ISBLANK(Actuals!AN69),0,Actuals!AN69)</f>
        <v>0</v>
      </c>
      <c r="AN154" s="14" t="n">
        <f aca="false">IF(ISBLANK(Actuals!AO69),0,Actuals!AO69)</f>
        <v>0</v>
      </c>
      <c r="AO154" s="14" t="n">
        <f aca="false">IF(ISBLANK(Actuals!AP69),0,Actuals!AP69)</f>
        <v>0</v>
      </c>
      <c r="AP154" s="14" t="n">
        <f aca="false">IF(ISBLANK(Actuals!AQ69),0,Actuals!AQ69)</f>
        <v>0</v>
      </c>
      <c r="AQ154" s="14" t="n">
        <f aca="false">IF(ISBLANK(Actuals!AR69),0,Actuals!AR69)</f>
        <v>0</v>
      </c>
      <c r="AR154" s="14" t="n">
        <f aca="false">IF(ISBLANK(Actuals!AS69),0,Actuals!AS69)</f>
        <v>0</v>
      </c>
      <c r="AS154" s="14" t="n">
        <f aca="false">IF(ISBLANK(Actuals!AT69),0,Actuals!AT69)</f>
        <v>0</v>
      </c>
      <c r="AT154" s="14" t="n">
        <f aca="false">IF(ISBLANK(Actuals!AU69),0,Actuals!AU69)</f>
        <v>0</v>
      </c>
      <c r="AU154" s="14" t="n">
        <f aca="false">IF(ISBLANK(Actuals!AV69),0,Actuals!AV69)</f>
        <v>0</v>
      </c>
      <c r="AV154" s="14" t="n">
        <f aca="false">IF(ISBLANK(Actuals!AW69),0,Actuals!AW69)</f>
        <v>0</v>
      </c>
      <c r="AW154" s="14" t="n">
        <f aca="false">IF(ISBLANK(Actuals!AX69),0,Actuals!AX69)</f>
        <v>0</v>
      </c>
      <c r="AX154" s="14" t="n">
        <f aca="false">IF(ISBLANK(Actuals!AY69),0,Actuals!AY69)</f>
        <v>0</v>
      </c>
      <c r="AY154" s="14" t="n">
        <f aca="false">IF(ISBLANK(Actuals!AZ69),0,Actuals!AZ69)</f>
        <v>0</v>
      </c>
      <c r="AZ154" s="14" t="n">
        <f aca="false">IF(ISBLANK(Actuals!BA69),0,Actuals!BA69)</f>
        <v>0</v>
      </c>
      <c r="BA154" s="14" t="n">
        <f aca="false">IF(ISBLANK(Actuals!BB69),0,Actuals!BB69)</f>
        <v>0</v>
      </c>
      <c r="BB154" s="14" t="n">
        <f aca="false">IF(ISBLANK(Actuals!BC69),0,Actuals!BC69)</f>
        <v>0</v>
      </c>
      <c r="BC154" s="14" t="n">
        <f aca="false">IF(ISBLANK(Actuals!BD69),0,Actuals!BD69)</f>
        <v>0</v>
      </c>
      <c r="BD154" s="14" t="n">
        <f aca="false">IF(ISBLANK(Actuals!BE69),0,Actuals!BE69)</f>
        <v>0</v>
      </c>
      <c r="BE154" s="14" t="n">
        <f aca="false">IF(ISBLANK(Actuals!BF69),0,Actuals!BF69)</f>
        <v>0</v>
      </c>
      <c r="BF154" s="14" t="n">
        <f aca="false">IF(ISBLANK(Actuals!BG69),0,Actuals!BG69)</f>
        <v>0</v>
      </c>
      <c r="BG154" s="14" t="n">
        <f aca="false">IF(ISBLANK(Actuals!BH69),0,Actuals!BH69)</f>
        <v>0</v>
      </c>
      <c r="BH154" s="14" t="n">
        <f aca="false">IF(ISBLANK(Actuals!BI69),0,Actuals!BI69)</f>
        <v>0</v>
      </c>
      <c r="BI154" s="14" t="n">
        <f aca="false">IF(ISBLANK(Actuals!BJ69),0,Actuals!BJ69)</f>
        <v>0</v>
      </c>
      <c r="BJ154" s="14" t="n">
        <f aca="false">IF(ISBLANK(Actuals!BK69),0,Actuals!BK69)</f>
        <v>0</v>
      </c>
      <c r="BK154" s="14" t="n">
        <f aca="false">IF(ISBLANK(Actuals!BL69),0,Actuals!BL69)</f>
        <v>0</v>
      </c>
      <c r="BL154" s="14" t="n">
        <f aca="false">IF(ISBLANK(Actuals!BM69),0,Actuals!BM69)</f>
        <v>0</v>
      </c>
      <c r="BM154" s="14" t="n">
        <f aca="false">IF(ISBLANK(Actuals!BN69),0,Actuals!BN69)</f>
        <v>0</v>
      </c>
      <c r="BN154" s="14" t="n">
        <f aca="false">IF(ISBLANK(Actuals!BO69),0,Actuals!BO69)</f>
        <v>0</v>
      </c>
      <c r="BO154" s="14" t="n">
        <f aca="false">IF(ISBLANK(Actuals!BP69),0,Actuals!BP69)</f>
        <v>0</v>
      </c>
      <c r="BP154" s="14" t="n">
        <f aca="false">IF(ISBLANK(Actuals!BQ69),0,Actuals!BQ69)</f>
        <v>0</v>
      </c>
      <c r="BQ154" s="14" t="n">
        <f aca="false">IF(ISBLANK(Actuals!BR69),0,Actuals!BR69)</f>
        <v>0</v>
      </c>
      <c r="BR154" s="14" t="n">
        <f aca="false">IF(ISBLANK(Actuals!BS69),0,Actuals!BS69)</f>
        <v>0</v>
      </c>
      <c r="BS154" s="14" t="n">
        <f aca="false">IF(ISBLANK(Actuals!BT69),0,Actuals!BT69)</f>
        <v>0</v>
      </c>
      <c r="BT154" s="14" t="n">
        <f aca="false">IF(ISBLANK(Actuals!BU69),0,Actuals!BU69)</f>
        <v>0</v>
      </c>
      <c r="BU154" s="14" t="n">
        <f aca="false">IF(ISBLANK(Actuals!BV69),0,Actuals!BV69)</f>
        <v>0</v>
      </c>
      <c r="BV154" s="14" t="n">
        <f aca="false">IF(ISBLANK(Actuals!BW69),0,Actuals!BW69)</f>
        <v>0</v>
      </c>
      <c r="BW154" s="14" t="n">
        <f aca="false">IF(ISBLANK(Actuals!BX69),0,Actuals!BX69)</f>
        <v>0</v>
      </c>
      <c r="BX154" s="14" t="n">
        <f aca="false">IF(ISBLANK(Actuals!BY69),0,Actuals!BY69)</f>
        <v>0</v>
      </c>
      <c r="BY154" s="14" t="n">
        <f aca="false">IF(ISBLANK(Actuals!BZ69),0,Actuals!BZ69)</f>
        <v>0</v>
      </c>
      <c r="BZ154" s="14" t="n">
        <f aca="false">IF(ISBLANK(Actuals!CA69),0,Actuals!CA69)</f>
        <v>0</v>
      </c>
      <c r="CA154" s="14" t="n">
        <f aca="false">IF(ISBLANK(Actuals!CB69),0,Actuals!CB69)</f>
        <v>0</v>
      </c>
      <c r="CB154" s="14" t="n">
        <f aca="false">IF(ISBLANK(Actuals!CC69),0,Actuals!CC69)</f>
        <v>0</v>
      </c>
      <c r="CC154" s="14" t="n">
        <f aca="false">IF(ISBLANK(Actuals!CD69),0,Actuals!CD69)</f>
        <v>0</v>
      </c>
      <c r="CD154" s="14" t="n">
        <f aca="false">IF(ISBLANK(Actuals!CE69),0,Actuals!CE69)</f>
        <v>0</v>
      </c>
      <c r="CE154" s="14" t="n">
        <f aca="false">IF(ISBLANK(Actuals!CF69),0,Actuals!CF69)</f>
        <v>0</v>
      </c>
      <c r="CF154" s="14" t="n">
        <f aca="false">IF(ISBLANK(Actuals!CG69),0,Actuals!CG69)</f>
        <v>0</v>
      </c>
      <c r="CG154" s="14" t="n">
        <f aca="false">IF(ISBLANK(Actuals!CH69),0,Actuals!CH69)</f>
        <v>0</v>
      </c>
      <c r="CH154" s="14" t="n">
        <f aca="false">IF(ISBLANK(Actuals!CI69),0,Actuals!CI69)</f>
        <v>0</v>
      </c>
      <c r="CI154" s="14" t="n">
        <f aca="false">IF(ISBLANK(Actuals!CJ69),0,Actuals!CJ69)</f>
        <v>0</v>
      </c>
      <c r="CJ154" s="14" t="n">
        <f aca="false">IF(ISBLANK(Actuals!CK69),0,Actuals!CK69)</f>
        <v>0</v>
      </c>
      <c r="CK154" s="14" t="n">
        <f aca="false">IF(ISBLANK(Actuals!CL69),0,Actuals!CL69)</f>
        <v>0</v>
      </c>
      <c r="CL154" s="14" t="n">
        <f aca="false">IF(ISBLANK(Actuals!CM69),0,Actuals!CM69)</f>
        <v>0</v>
      </c>
      <c r="CM154" s="14" t="n">
        <f aca="false">IF(ISBLANK(Actuals!CN69),0,Actuals!CN69)</f>
        <v>0</v>
      </c>
      <c r="CN154" s="14" t="n">
        <f aca="false">IF(ISBLANK(Actuals!CO69),0,Actuals!CO69)</f>
        <v>0</v>
      </c>
      <c r="CO154" s="14" t="n">
        <f aca="false">IF(ISBLANK(Actuals!CP69),0,Actuals!CP69)</f>
        <v>0</v>
      </c>
      <c r="CP154" s="14" t="n">
        <f aca="false">IF(ISBLANK(Actuals!CQ69),0,Actuals!CQ69)</f>
        <v>0</v>
      </c>
      <c r="CQ154" s="14" t="n">
        <f aca="false">IF(ISBLANK(Actuals!CR69),0,Actuals!CR69)</f>
        <v>0</v>
      </c>
      <c r="CR154" s="14" t="n">
        <f aca="false">IF(ISBLANK(Actuals!CS69),0,Actuals!CS69)</f>
        <v>0</v>
      </c>
      <c r="CS154" s="14" t="n">
        <f aca="false">IF(ISBLANK(Actuals!CT69),0,Actuals!CT69)</f>
        <v>0</v>
      </c>
      <c r="CT154" s="14" t="n">
        <f aca="false">IF(ISBLANK(Actuals!CU69),0,Actuals!CU69)</f>
        <v>0</v>
      </c>
      <c r="CU154" s="14" t="n">
        <f aca="false">IF(ISBLANK(Actuals!CV69),0,Actuals!CV69)</f>
        <v>0</v>
      </c>
      <c r="CV154" s="14" t="n">
        <f aca="false">IF(ISBLANK(Actuals!CW69),0,Actuals!CW69)</f>
        <v>0</v>
      </c>
      <c r="CW154" s="14" t="n">
        <f aca="false">IF(ISBLANK(Actuals!CX69),0,Actuals!CX69)</f>
        <v>0</v>
      </c>
      <c r="CX154" s="14" t="n">
        <f aca="false">IF(ISBLANK(Actuals!CY69),0,Actuals!CY69)</f>
        <v>0</v>
      </c>
      <c r="CY154" s="14" t="n">
        <f aca="false">IF(ISBLANK(Actuals!CZ69),0,Actuals!CZ69)</f>
        <v>0</v>
      </c>
      <c r="CZ154" s="14" t="n">
        <f aca="false">IF(ISBLANK(Actuals!DA69),0,Actuals!DA69)</f>
        <v>0</v>
      </c>
      <c r="DA154" s="14" t="n">
        <f aca="false">IF(ISBLANK(Actuals!DB69),0,Actuals!DB69)</f>
        <v>0</v>
      </c>
      <c r="DB154" s="14" t="n">
        <f aca="false">IF(ISBLANK(Actuals!DC69),0,Actuals!DC69)</f>
        <v>0</v>
      </c>
      <c r="DC154" s="14" t="n">
        <f aca="false">IF(ISBLANK(Actuals!DD69),0,Actuals!DD69)</f>
        <v>0</v>
      </c>
      <c r="DD154" s="14" t="n">
        <f aca="false">IF(ISBLANK(Actuals!DE69),0,Actuals!DE69)</f>
        <v>0</v>
      </c>
      <c r="DE154" s="14" t="n">
        <f aca="false">IF(ISBLANK(Actuals!DF69),0,Actuals!DF69)</f>
        <v>0</v>
      </c>
    </row>
    <row r="155" customFormat="false" ht="15" hidden="false" customHeight="true" outlineLevel="0" collapsed="false">
      <c r="A155" s="29" t="s">
        <v>103</v>
      </c>
      <c r="B155" s="14" t="n">
        <f aca="false">IF(ISBLANK(Actuals!C70),0,Actuals!C70)</f>
        <v>0</v>
      </c>
      <c r="C155" s="14" t="n">
        <f aca="false">IF(ISBLANK(Actuals!D70),0,Actuals!D70)</f>
        <v>0</v>
      </c>
      <c r="D155" s="14" t="n">
        <f aca="false">IF(ISBLANK(Actuals!E70),0,Actuals!E70)</f>
        <v>0</v>
      </c>
      <c r="E155" s="14" t="n">
        <f aca="false">IF(ISBLANK(Actuals!F70),9500,Actuals!F70)</f>
        <v>9500</v>
      </c>
      <c r="F155" s="14" t="n">
        <f aca="false">IF(ISBLANK(Actuals!G70),9500,Actuals!G70)</f>
        <v>9500</v>
      </c>
      <c r="G155" s="14" t="n">
        <f aca="false">IF(ISBLANK(Actuals!H70),9500,Actuals!H70)</f>
        <v>9500</v>
      </c>
      <c r="H155" s="14" t="n">
        <f aca="false">IF(ISBLANK(Actuals!I70),9500,Actuals!I70)</f>
        <v>9500</v>
      </c>
      <c r="I155" s="14" t="n">
        <f aca="false">IF(ISBLANK(Actuals!J70),9500,Actuals!J70)</f>
        <v>9500</v>
      </c>
      <c r="J155" s="14" t="n">
        <f aca="false">IF(ISBLANK(Actuals!K70),9500,Actuals!K70)</f>
        <v>9500</v>
      </c>
      <c r="K155" s="14" t="n">
        <f aca="false">IF(ISBLANK(Actuals!L70),9500,Actuals!L70)</f>
        <v>9500</v>
      </c>
      <c r="L155" s="14" t="n">
        <f aca="false">IF(ISBLANK(Actuals!M70),9500,Actuals!M70)</f>
        <v>9500</v>
      </c>
      <c r="M155" s="14" t="n">
        <f aca="false">IF(ISBLANK(Actuals!N70),9500,Actuals!N70)</f>
        <v>9500</v>
      </c>
      <c r="N155" s="14" t="n">
        <f aca="false">IF(ISBLANK(Actuals!O70),9500,Actuals!O70)</f>
        <v>9500</v>
      </c>
      <c r="O155" s="14" t="n">
        <f aca="false">IF(ISBLANK(Actuals!P70),9500,Actuals!P70)</f>
        <v>9500</v>
      </c>
      <c r="P155" s="14" t="n">
        <f aca="false">IF(ISBLANK(Actuals!Q70),9500,Actuals!Q70)</f>
        <v>9500</v>
      </c>
      <c r="Q155" s="14" t="n">
        <f aca="false">IF(ISBLANK(Actuals!R70),9500,Actuals!R70)</f>
        <v>9500</v>
      </c>
      <c r="R155" s="14" t="n">
        <f aca="false">IF(ISBLANK(Actuals!S70),9500,Actuals!S70)</f>
        <v>9500</v>
      </c>
      <c r="S155" s="14" t="n">
        <f aca="false">IF(ISBLANK(Actuals!T70),9500,Actuals!T70)</f>
        <v>9500</v>
      </c>
      <c r="T155" s="14" t="n">
        <f aca="false">IF(ISBLANK(Actuals!U70),9500,Actuals!U70)</f>
        <v>9500</v>
      </c>
      <c r="U155" s="14" t="n">
        <f aca="false">IF(ISBLANK(Actuals!V70),9500,Actuals!V70)</f>
        <v>9500</v>
      </c>
      <c r="V155" s="14" t="n">
        <f aca="false">IF(ISBLANK(Actuals!W70),9500,Actuals!W70)</f>
        <v>9500</v>
      </c>
      <c r="W155" s="14" t="n">
        <f aca="false">IF(ISBLANK(Actuals!X70),9500,Actuals!X70)</f>
        <v>9500</v>
      </c>
      <c r="X155" s="14" t="n">
        <f aca="false">IF(ISBLANK(Actuals!Y70),9500,Actuals!Y70)</f>
        <v>9500</v>
      </c>
      <c r="Y155" s="14" t="n">
        <f aca="false">IF(ISBLANK(Actuals!Z70),9500,Actuals!Z70)</f>
        <v>9500</v>
      </c>
      <c r="Z155" s="14" t="n">
        <f aca="false">IF(ISBLANK(Actuals!AA70),9500,Actuals!AA70)</f>
        <v>9500</v>
      </c>
      <c r="AA155" s="14" t="n">
        <f aca="false">IF(ISBLANK(Actuals!AB70),9500,Actuals!AB70)</f>
        <v>9500</v>
      </c>
      <c r="AB155" s="14" t="n">
        <f aca="false">IF(ISBLANK(Actuals!AC70),9500,Actuals!AC70)</f>
        <v>9500</v>
      </c>
      <c r="AC155" s="14" t="n">
        <f aca="false">IF(ISBLANK(Actuals!AD70),9500,Actuals!AD70)</f>
        <v>9500</v>
      </c>
      <c r="AD155" s="14" t="n">
        <f aca="false">IF(ISBLANK(Actuals!AE70),9500,Actuals!AE70)</f>
        <v>9500</v>
      </c>
      <c r="AE155" s="14" t="n">
        <f aca="false">IF(ISBLANK(Actuals!AF70),9500,Actuals!AF70)</f>
        <v>9500</v>
      </c>
      <c r="AF155" s="14" t="n">
        <f aca="false">IF(ISBLANK(Actuals!AG70),9500,Actuals!AG70)</f>
        <v>9500</v>
      </c>
      <c r="AG155" s="14" t="n">
        <f aca="false">IF(ISBLANK(Actuals!AH70),9500,Actuals!AH70)</f>
        <v>9500</v>
      </c>
      <c r="AH155" s="14" t="n">
        <f aca="false">IF(ISBLANK(Actuals!AI70),9500,Actuals!AI70)</f>
        <v>9500</v>
      </c>
      <c r="AI155" s="14" t="n">
        <f aca="false">IF(ISBLANK(Actuals!AJ70),0,Actuals!AJ70)</f>
        <v>0</v>
      </c>
      <c r="AJ155" s="14" t="n">
        <f aca="false">IF(ISBLANK(Actuals!AK70),0,Actuals!AK70)</f>
        <v>0</v>
      </c>
      <c r="AK155" s="14" t="n">
        <f aca="false">IF(ISBLANK(Actuals!AL70),0,Actuals!AL70)</f>
        <v>0</v>
      </c>
      <c r="AL155" s="14" t="n">
        <f aca="false">IF(ISBLANK(Actuals!AM70),0,Actuals!AM70)</f>
        <v>0</v>
      </c>
      <c r="AM155" s="14" t="n">
        <f aca="false">IF(ISBLANK(Actuals!AN70),0,Actuals!AN70)</f>
        <v>0</v>
      </c>
      <c r="AN155" s="14" t="n">
        <f aca="false">IF(ISBLANK(Actuals!AO70),0,Actuals!AO70)</f>
        <v>0</v>
      </c>
      <c r="AO155" s="14" t="n">
        <f aca="false">IF(ISBLANK(Actuals!AP70),0,Actuals!AP70)</f>
        <v>0</v>
      </c>
      <c r="AP155" s="14" t="n">
        <f aca="false">IF(ISBLANK(Actuals!AQ70),0,Actuals!AQ70)</f>
        <v>0</v>
      </c>
      <c r="AQ155" s="14" t="n">
        <f aca="false">IF(ISBLANK(Actuals!AR70),0,Actuals!AR70)</f>
        <v>0</v>
      </c>
      <c r="AR155" s="14" t="n">
        <f aca="false">IF(ISBLANK(Actuals!AS70),0,Actuals!AS70)</f>
        <v>0</v>
      </c>
      <c r="AS155" s="14" t="n">
        <f aca="false">IF(ISBLANK(Actuals!AT70),0,Actuals!AT70)</f>
        <v>0</v>
      </c>
      <c r="AT155" s="14" t="n">
        <f aca="false">IF(ISBLANK(Actuals!AU70),0,Actuals!AU70)</f>
        <v>0</v>
      </c>
      <c r="AU155" s="14" t="n">
        <f aca="false">IF(ISBLANK(Actuals!AV70),0,Actuals!AV70)</f>
        <v>0</v>
      </c>
      <c r="AV155" s="14" t="n">
        <f aca="false">IF(ISBLANK(Actuals!AW70),0,Actuals!AW70)</f>
        <v>0</v>
      </c>
      <c r="AW155" s="14" t="n">
        <f aca="false">IF(ISBLANK(Actuals!AX70),0,Actuals!AX70)</f>
        <v>0</v>
      </c>
      <c r="AX155" s="14" t="n">
        <f aca="false">IF(ISBLANK(Actuals!AY70),0,Actuals!AY70)</f>
        <v>0</v>
      </c>
      <c r="AY155" s="14" t="n">
        <f aca="false">IF(ISBLANK(Actuals!AZ70),0,Actuals!AZ70)</f>
        <v>0</v>
      </c>
      <c r="AZ155" s="14" t="n">
        <f aca="false">IF(ISBLANK(Actuals!BA70),0,Actuals!BA70)</f>
        <v>0</v>
      </c>
      <c r="BA155" s="14" t="n">
        <f aca="false">IF(ISBLANK(Actuals!BB70),0,Actuals!BB70)</f>
        <v>0</v>
      </c>
      <c r="BB155" s="14" t="n">
        <f aca="false">IF(ISBLANK(Actuals!BC70),0,Actuals!BC70)</f>
        <v>0</v>
      </c>
      <c r="BC155" s="14" t="n">
        <f aca="false">IF(ISBLANK(Actuals!BD70),0,Actuals!BD70)</f>
        <v>0</v>
      </c>
      <c r="BD155" s="14" t="n">
        <f aca="false">IF(ISBLANK(Actuals!BE70),0,Actuals!BE70)</f>
        <v>0</v>
      </c>
      <c r="BE155" s="14" t="n">
        <f aca="false">IF(ISBLANK(Actuals!BF70),0,Actuals!BF70)</f>
        <v>0</v>
      </c>
      <c r="BF155" s="14" t="n">
        <f aca="false">IF(ISBLANK(Actuals!BG70),0,Actuals!BG70)</f>
        <v>0</v>
      </c>
      <c r="BG155" s="14" t="n">
        <f aca="false">IF(ISBLANK(Actuals!BH70),0,Actuals!BH70)</f>
        <v>0</v>
      </c>
      <c r="BH155" s="14" t="n">
        <f aca="false">IF(ISBLANK(Actuals!BI70),0,Actuals!BI70)</f>
        <v>0</v>
      </c>
      <c r="BI155" s="14" t="n">
        <f aca="false">IF(ISBLANK(Actuals!BJ70),0,Actuals!BJ70)</f>
        <v>0</v>
      </c>
      <c r="BJ155" s="14" t="n">
        <f aca="false">IF(ISBLANK(Actuals!BK70),0,Actuals!BK70)</f>
        <v>0</v>
      </c>
      <c r="BK155" s="14" t="n">
        <f aca="false">IF(ISBLANK(Actuals!BL70),0,Actuals!BL70)</f>
        <v>0</v>
      </c>
      <c r="BL155" s="14" t="n">
        <f aca="false">IF(ISBLANK(Actuals!BM70),0,Actuals!BM70)</f>
        <v>0</v>
      </c>
      <c r="BM155" s="14" t="n">
        <f aca="false">IF(ISBLANK(Actuals!BN70),0,Actuals!BN70)</f>
        <v>0</v>
      </c>
      <c r="BN155" s="14" t="n">
        <f aca="false">IF(ISBLANK(Actuals!BO70),0,Actuals!BO70)</f>
        <v>0</v>
      </c>
      <c r="BO155" s="14" t="n">
        <f aca="false">IF(ISBLANK(Actuals!BP70),0,Actuals!BP70)</f>
        <v>0</v>
      </c>
      <c r="BP155" s="14" t="n">
        <f aca="false">IF(ISBLANK(Actuals!BQ70),0,Actuals!BQ70)</f>
        <v>0</v>
      </c>
      <c r="BQ155" s="14" t="n">
        <f aca="false">IF(ISBLANK(Actuals!BR70),0,Actuals!BR70)</f>
        <v>0</v>
      </c>
      <c r="BR155" s="14" t="n">
        <f aca="false">IF(ISBLANK(Actuals!BS70),0,Actuals!BS70)</f>
        <v>0</v>
      </c>
      <c r="BS155" s="14" t="n">
        <f aca="false">IF(ISBLANK(Actuals!BT70),0,Actuals!BT70)</f>
        <v>0</v>
      </c>
      <c r="BT155" s="14" t="n">
        <f aca="false">IF(ISBLANK(Actuals!BU70),0,Actuals!BU70)</f>
        <v>0</v>
      </c>
      <c r="BU155" s="14" t="n">
        <f aca="false">IF(ISBLANK(Actuals!BV70),0,Actuals!BV70)</f>
        <v>0</v>
      </c>
      <c r="BV155" s="14" t="n">
        <f aca="false">IF(ISBLANK(Actuals!BW70),0,Actuals!BW70)</f>
        <v>0</v>
      </c>
      <c r="BW155" s="14" t="n">
        <f aca="false">IF(ISBLANK(Actuals!BX70),0,Actuals!BX70)</f>
        <v>0</v>
      </c>
      <c r="BX155" s="14" t="n">
        <f aca="false">IF(ISBLANK(Actuals!BY70),0,Actuals!BY70)</f>
        <v>0</v>
      </c>
      <c r="BY155" s="14" t="n">
        <f aca="false">IF(ISBLANK(Actuals!BZ70),0,Actuals!BZ70)</f>
        <v>0</v>
      </c>
      <c r="BZ155" s="14" t="n">
        <f aca="false">IF(ISBLANK(Actuals!CA70),0,Actuals!CA70)</f>
        <v>0</v>
      </c>
      <c r="CA155" s="14" t="n">
        <f aca="false">IF(ISBLANK(Actuals!CB70),0,Actuals!CB70)</f>
        <v>0</v>
      </c>
      <c r="CB155" s="14" t="n">
        <f aca="false">IF(ISBLANK(Actuals!CC70),0,Actuals!CC70)</f>
        <v>0</v>
      </c>
      <c r="CC155" s="14" t="n">
        <f aca="false">IF(ISBLANK(Actuals!CD70),0,Actuals!CD70)</f>
        <v>0</v>
      </c>
      <c r="CD155" s="14" t="n">
        <f aca="false">IF(ISBLANK(Actuals!CE70),0,Actuals!CE70)</f>
        <v>0</v>
      </c>
      <c r="CE155" s="14" t="n">
        <f aca="false">IF(ISBLANK(Actuals!CF70),0,Actuals!CF70)</f>
        <v>0</v>
      </c>
      <c r="CF155" s="14" t="n">
        <f aca="false">IF(ISBLANK(Actuals!CG70),0,Actuals!CG70)</f>
        <v>0</v>
      </c>
      <c r="CG155" s="14" t="n">
        <f aca="false">IF(ISBLANK(Actuals!CH70),0,Actuals!CH70)</f>
        <v>0</v>
      </c>
      <c r="CH155" s="14" t="n">
        <f aca="false">IF(ISBLANK(Actuals!CI70),0,Actuals!CI70)</f>
        <v>0</v>
      </c>
      <c r="CI155" s="14" t="n">
        <f aca="false">IF(ISBLANK(Actuals!CJ70),0,Actuals!CJ70)</f>
        <v>0</v>
      </c>
      <c r="CJ155" s="14" t="n">
        <f aca="false">IF(ISBLANK(Actuals!CK70),0,Actuals!CK70)</f>
        <v>0</v>
      </c>
      <c r="CK155" s="14" t="n">
        <f aca="false">IF(ISBLANK(Actuals!CL70),0,Actuals!CL70)</f>
        <v>0</v>
      </c>
      <c r="CL155" s="14" t="n">
        <f aca="false">IF(ISBLANK(Actuals!CM70),0,Actuals!CM70)</f>
        <v>0</v>
      </c>
      <c r="CM155" s="14" t="n">
        <f aca="false">IF(ISBLANK(Actuals!CN70),0,Actuals!CN70)</f>
        <v>0</v>
      </c>
      <c r="CN155" s="14" t="n">
        <f aca="false">IF(ISBLANK(Actuals!CO70),0,Actuals!CO70)</f>
        <v>0</v>
      </c>
      <c r="CO155" s="14" t="n">
        <f aca="false">IF(ISBLANK(Actuals!CP70),0,Actuals!CP70)</f>
        <v>0</v>
      </c>
      <c r="CP155" s="14" t="n">
        <f aca="false">IF(ISBLANK(Actuals!CQ70),0,Actuals!CQ70)</f>
        <v>0</v>
      </c>
      <c r="CQ155" s="14" t="n">
        <f aca="false">IF(ISBLANK(Actuals!CR70),0,Actuals!CR70)</f>
        <v>0</v>
      </c>
      <c r="CR155" s="14" t="n">
        <f aca="false">IF(ISBLANK(Actuals!CS70),0,Actuals!CS70)</f>
        <v>0</v>
      </c>
      <c r="CS155" s="14" t="n">
        <f aca="false">IF(ISBLANK(Actuals!CT70),0,Actuals!CT70)</f>
        <v>0</v>
      </c>
      <c r="CT155" s="14" t="n">
        <f aca="false">IF(ISBLANK(Actuals!CU70),0,Actuals!CU70)</f>
        <v>0</v>
      </c>
      <c r="CU155" s="14" t="n">
        <f aca="false">IF(ISBLANK(Actuals!CV70),0,Actuals!CV70)</f>
        <v>0</v>
      </c>
      <c r="CV155" s="14" t="n">
        <f aca="false">IF(ISBLANK(Actuals!CW70),0,Actuals!CW70)</f>
        <v>0</v>
      </c>
      <c r="CW155" s="14" t="n">
        <f aca="false">IF(ISBLANK(Actuals!CX70),0,Actuals!CX70)</f>
        <v>0</v>
      </c>
      <c r="CX155" s="14" t="n">
        <f aca="false">IF(ISBLANK(Actuals!CY70),0,Actuals!CY70)</f>
        <v>0</v>
      </c>
      <c r="CY155" s="14" t="n">
        <f aca="false">IF(ISBLANK(Actuals!CZ70),0,Actuals!CZ70)</f>
        <v>0</v>
      </c>
      <c r="CZ155" s="14" t="n">
        <f aca="false">IF(ISBLANK(Actuals!DA70),0,Actuals!DA70)</f>
        <v>0</v>
      </c>
      <c r="DA155" s="14" t="n">
        <f aca="false">IF(ISBLANK(Actuals!DB70),0,Actuals!DB70)</f>
        <v>0</v>
      </c>
      <c r="DB155" s="14" t="n">
        <f aca="false">IF(ISBLANK(Actuals!DC70),0,Actuals!DC70)</f>
        <v>0</v>
      </c>
      <c r="DC155" s="14" t="n">
        <f aca="false">IF(ISBLANK(Actuals!DD70),0,Actuals!DD70)</f>
        <v>0</v>
      </c>
      <c r="DD155" s="14" t="n">
        <f aca="false">IF(ISBLANK(Actuals!DE70),0,Actuals!DE70)</f>
        <v>0</v>
      </c>
      <c r="DE155" s="14" t="n">
        <f aca="false">IF(ISBLANK(Actuals!DF70),0,Actuals!DF70)</f>
        <v>0</v>
      </c>
    </row>
    <row r="156" customFormat="false" ht="15" hidden="false" customHeight="true" outlineLevel="0" collapsed="false">
      <c r="A156" s="29" t="s">
        <v>104</v>
      </c>
      <c r="B156" s="14" t="n">
        <f aca="false">IF(ISBLANK(Actuals!C71),0,Actuals!C71)</f>
        <v>0</v>
      </c>
      <c r="C156" s="14" t="n">
        <f aca="false">IF(ISBLANK(Actuals!D71),0,Actuals!D71)</f>
        <v>0</v>
      </c>
      <c r="D156" s="14" t="n">
        <f aca="false">IF(ISBLANK(Actuals!E71),0,Actuals!E71)</f>
        <v>0</v>
      </c>
      <c r="E156" s="14" t="n">
        <f aca="false">IF(ISBLANK(Actuals!F71),IF(AND(Projects!$G$11="Yes",1&gt;=Projects!$C$11,1&lt;Projects!$C$11+Projects!$D$11),6315.79,0),Actuals!F71)</f>
        <v>0</v>
      </c>
      <c r="F156" s="14" t="n">
        <f aca="false">IF(ISBLANK(Actuals!G71),IF(AND(Projects!$G$11="Yes",2&gt;=Projects!$C$11,2&lt;Projects!$C$11+Projects!$D$11),6315.79,0),Actuals!G71)</f>
        <v>0</v>
      </c>
      <c r="G156" s="14" t="n">
        <f aca="false">IF(ISBLANK(Actuals!H71),IF(AND(Projects!$G$11="Yes",3&gt;=Projects!$C$11,3&lt;Projects!$C$11+Projects!$D$11),6315.79,0),Actuals!H71)</f>
        <v>0</v>
      </c>
      <c r="H156" s="14" t="n">
        <f aca="false">IF(ISBLANK(Actuals!I71),IF(AND(Projects!$G$11="Yes",4&gt;=Projects!$C$11,4&lt;Projects!$C$11+Projects!$D$11),6315.79,0),Actuals!I71)</f>
        <v>0</v>
      </c>
      <c r="I156" s="14" t="n">
        <f aca="false">IF(ISBLANK(Actuals!J71),IF(AND(Projects!$G$11="Yes",5&gt;=Projects!$C$11,5&lt;Projects!$C$11+Projects!$D$11),6315.79,0),Actuals!J71)</f>
        <v>0</v>
      </c>
      <c r="J156" s="14" t="n">
        <f aca="false">IF(ISBLANK(Actuals!K71),IF(AND(Projects!$G$11="Yes",6&gt;=Projects!$C$11,6&lt;Projects!$C$11+Projects!$D$11),6315.79,0),Actuals!K71)</f>
        <v>0</v>
      </c>
      <c r="K156" s="14" t="n">
        <f aca="false">IF(ISBLANK(Actuals!L71),IF(AND(Projects!$G$11="Yes",7&gt;=Projects!$C$11,7&lt;Projects!$C$11+Projects!$D$11),6315.79,0),Actuals!L71)</f>
        <v>6315.79</v>
      </c>
      <c r="L156" s="14" t="n">
        <f aca="false">IF(ISBLANK(Actuals!M71),IF(AND(Projects!$G$11="Yes",8&gt;=Projects!$C$11,8&lt;Projects!$C$11+Projects!$D$11),6315.79,0),Actuals!M71)</f>
        <v>6315.79</v>
      </c>
      <c r="M156" s="14" t="n">
        <f aca="false">IF(ISBLANK(Actuals!N71),IF(AND(Projects!$G$11="Yes",9&gt;=Projects!$C$11,9&lt;Projects!$C$11+Projects!$D$11),6315.79,0),Actuals!N71)</f>
        <v>6315.79</v>
      </c>
      <c r="N156" s="14" t="n">
        <f aca="false">IF(ISBLANK(Actuals!O71),IF(AND(Projects!$G$11="Yes",10&gt;=Projects!$C$11,10&lt;Projects!$C$11+Projects!$D$11),6315.79,0),Actuals!O71)</f>
        <v>6315.79</v>
      </c>
      <c r="O156" s="14" t="n">
        <f aca="false">IF(ISBLANK(Actuals!P71),IF(AND(Projects!$G$11="Yes",11&gt;=Projects!$C$11,11&lt;Projects!$C$11+Projects!$D$11),6315.79,0),Actuals!P71)</f>
        <v>6315.79</v>
      </c>
      <c r="P156" s="14" t="n">
        <f aca="false">IF(ISBLANK(Actuals!Q71),IF(AND(Projects!$G$11="Yes",12&gt;=Projects!$C$11,12&lt;Projects!$C$11+Projects!$D$11),6315.79,0),Actuals!Q71)</f>
        <v>6315.79</v>
      </c>
      <c r="Q156" s="14" t="n">
        <f aca="false">IF(ISBLANK(Actuals!R71),IF(AND(Projects!$G$11="Yes",13&gt;=Projects!$C$11,13&lt;Projects!$C$11+Projects!$D$11),6315.79,0),Actuals!R71)</f>
        <v>6315.79</v>
      </c>
      <c r="R156" s="14" t="n">
        <f aca="false">IF(ISBLANK(Actuals!S71),IF(AND(Projects!$G$11="Yes",14&gt;=Projects!$C$11,14&lt;Projects!$C$11+Projects!$D$11),6315.79,0),Actuals!S71)</f>
        <v>6315.79</v>
      </c>
      <c r="S156" s="14" t="n">
        <f aca="false">IF(ISBLANK(Actuals!T71),IF(AND(Projects!$G$11="Yes",15&gt;=Projects!$C$11,15&lt;Projects!$C$11+Projects!$D$11),6315.79,0),Actuals!T71)</f>
        <v>6315.79</v>
      </c>
      <c r="T156" s="14" t="n">
        <f aca="false">IF(ISBLANK(Actuals!U71),IF(AND(Projects!$G$11="Yes",16&gt;=Projects!$C$11,16&lt;Projects!$C$11+Projects!$D$11),6315.79,0),Actuals!U71)</f>
        <v>6315.79</v>
      </c>
      <c r="U156" s="14" t="n">
        <f aca="false">IF(ISBLANK(Actuals!V71),IF(AND(Projects!$G$11="Yes",17&gt;=Projects!$C$11,17&lt;Projects!$C$11+Projects!$D$11),6315.79,0),Actuals!V71)</f>
        <v>6315.79</v>
      </c>
      <c r="V156" s="14" t="n">
        <f aca="false">IF(ISBLANK(Actuals!W71),IF(AND(Projects!$G$11="Yes",18&gt;=Projects!$C$11,18&lt;Projects!$C$11+Projects!$D$11),6315.79,0),Actuals!W71)</f>
        <v>6315.79</v>
      </c>
      <c r="W156" s="14" t="n">
        <f aca="false">IF(ISBLANK(Actuals!X71),IF(AND(Projects!$G$11="Yes",19&gt;=Projects!$C$11,19&lt;Projects!$C$11+Projects!$D$11),6315.79,0),Actuals!X71)</f>
        <v>6315.79</v>
      </c>
      <c r="X156" s="14" t="n">
        <f aca="false">IF(ISBLANK(Actuals!Y71),IF(AND(Projects!$G$11="Yes",20&gt;=Projects!$C$11,20&lt;Projects!$C$11+Projects!$D$11),6315.79,0),Actuals!Y71)</f>
        <v>6315.79</v>
      </c>
      <c r="Y156" s="14" t="n">
        <f aca="false">IF(ISBLANK(Actuals!Z71),IF(AND(Projects!$G$11="Yes",21&gt;=Projects!$C$11,21&lt;Projects!$C$11+Projects!$D$11),6315.79,0),Actuals!Z71)</f>
        <v>6315.79</v>
      </c>
      <c r="Z156" s="14" t="n">
        <f aca="false">IF(ISBLANK(Actuals!AA71),IF(AND(Projects!$G$11="Yes",22&gt;=Projects!$C$11,22&lt;Projects!$C$11+Projects!$D$11),6315.79,0),Actuals!AA71)</f>
        <v>6315.79</v>
      </c>
      <c r="AA156" s="14" t="n">
        <f aca="false">IF(ISBLANK(Actuals!AB71),IF(AND(Projects!$G$11="Yes",23&gt;=Projects!$C$11,23&lt;Projects!$C$11+Projects!$D$11),6315.79,0),Actuals!AB71)</f>
        <v>6315.79</v>
      </c>
      <c r="AB156" s="14" t="n">
        <f aca="false">IF(ISBLANK(Actuals!AC71),IF(AND(Projects!$G$11="Yes",24&gt;=Projects!$C$11,24&lt;Projects!$C$11+Projects!$D$11),6315.79,0),Actuals!AC71)</f>
        <v>6315.79</v>
      </c>
      <c r="AC156" s="14" t="n">
        <f aca="false">IF(ISBLANK(Actuals!AD71),IF(AND(Projects!$G$11="Yes",25&gt;=Projects!$C$11,25&lt;Projects!$C$11+Projects!$D$11),6315.79,0),Actuals!AD71)</f>
        <v>6315.79</v>
      </c>
      <c r="AD156" s="14" t="n">
        <f aca="false">IF(ISBLANK(Actuals!AE71),IF(AND(Projects!$G$11="Yes",26&gt;=Projects!$C$11,26&lt;Projects!$C$11+Projects!$D$11),6315.79,0),Actuals!AE71)</f>
        <v>0</v>
      </c>
      <c r="AE156" s="14" t="n">
        <f aca="false">IF(ISBLANK(Actuals!AF71),IF(AND(Projects!$G$11="Yes",27&gt;=Projects!$C$11,27&lt;Projects!$C$11+Projects!$D$11),6315.79,0),Actuals!AF71)</f>
        <v>0</v>
      </c>
      <c r="AF156" s="14" t="n">
        <f aca="false">IF(ISBLANK(Actuals!AG71),IF(AND(Projects!$G$11="Yes",28&gt;=Projects!$C$11,28&lt;Projects!$C$11+Projects!$D$11),6315.79,0),Actuals!AG71)</f>
        <v>0</v>
      </c>
      <c r="AG156" s="14" t="n">
        <f aca="false">IF(ISBLANK(Actuals!AH71),IF(AND(Projects!$G$11="Yes",29&gt;=Projects!$C$11,29&lt;Projects!$C$11+Projects!$D$11),6315.79,0),Actuals!AH71)</f>
        <v>0</v>
      </c>
      <c r="AH156" s="14" t="n">
        <f aca="false">IF(ISBLANK(Actuals!AI71),IF(AND(Projects!$G$11="Yes",30&gt;=Projects!$C$11,30&lt;Projects!$C$11+Projects!$D$11),6315.79,0),Actuals!AI71)</f>
        <v>0</v>
      </c>
      <c r="AI156" s="14" t="n">
        <f aca="false">IF(ISBLANK(Actuals!AJ71),IF(AND(Projects!$G$11="Yes",31&gt;=Projects!$C$11,31&lt;Projects!$C$11+Projects!$D$11),6315.79,0),Actuals!AJ71)</f>
        <v>0</v>
      </c>
      <c r="AJ156" s="14" t="n">
        <f aca="false">IF(ISBLANK(Actuals!AK71),IF(AND(Projects!$G$11="Yes",32&gt;=Projects!$C$11,32&lt;Projects!$C$11+Projects!$D$11),6315.79,0),Actuals!AK71)</f>
        <v>0</v>
      </c>
      <c r="AK156" s="14" t="n">
        <f aca="false">IF(ISBLANK(Actuals!AL71),IF(AND(Projects!$G$11="Yes",33&gt;=Projects!$C$11,33&lt;Projects!$C$11+Projects!$D$11),6315.79,0),Actuals!AL71)</f>
        <v>0</v>
      </c>
      <c r="AL156" s="14" t="n">
        <f aca="false">IF(ISBLANK(Actuals!AM71),IF(AND(Projects!$G$11="Yes",34&gt;=Projects!$C$11,34&lt;Projects!$C$11+Projects!$D$11),6315.79,0),Actuals!AM71)</f>
        <v>0</v>
      </c>
      <c r="AM156" s="14" t="n">
        <f aca="false">IF(ISBLANK(Actuals!AN71),IF(AND(Projects!$G$11="Yes",35&gt;=Projects!$C$11,35&lt;Projects!$C$11+Projects!$D$11),6315.79,0),Actuals!AN71)</f>
        <v>0</v>
      </c>
      <c r="AN156" s="14" t="n">
        <f aca="false">IF(ISBLANK(Actuals!AO71),IF(AND(Projects!$G$11="Yes",36&gt;=Projects!$C$11,36&lt;Projects!$C$11+Projects!$D$11),6315.79,0),Actuals!AO71)</f>
        <v>0</v>
      </c>
      <c r="AO156" s="14" t="n">
        <f aca="false">IF(ISBLANK(Actuals!AP71),IF(AND(Projects!$G$11="Yes",37&gt;=Projects!$C$11,37&lt;Projects!$C$11+Projects!$D$11),6315.79,0),Actuals!AP71)</f>
        <v>0</v>
      </c>
      <c r="AP156" s="14" t="n">
        <f aca="false">IF(ISBLANK(Actuals!AQ71),IF(AND(Projects!$G$11="Yes",38&gt;=Projects!$C$11,38&lt;Projects!$C$11+Projects!$D$11),6315.79,0),Actuals!AQ71)</f>
        <v>0</v>
      </c>
      <c r="AQ156" s="14" t="n">
        <f aca="false">IF(ISBLANK(Actuals!AR71),IF(AND(Projects!$G$11="Yes",39&gt;=Projects!$C$11,39&lt;Projects!$C$11+Projects!$D$11),6315.79,0),Actuals!AR71)</f>
        <v>0</v>
      </c>
      <c r="AR156" s="14" t="n">
        <f aca="false">IF(ISBLANK(Actuals!AS71),IF(AND(Projects!$G$11="Yes",40&gt;=Projects!$C$11,40&lt;Projects!$C$11+Projects!$D$11),6315.79,0),Actuals!AS71)</f>
        <v>0</v>
      </c>
      <c r="AS156" s="14" t="n">
        <f aca="false">IF(ISBLANK(Actuals!AT71),IF(AND(Projects!$G$11="Yes",41&gt;=Projects!$C$11,41&lt;Projects!$C$11+Projects!$D$11),6315.79,0),Actuals!AT71)</f>
        <v>0</v>
      </c>
      <c r="AT156" s="14" t="n">
        <f aca="false">IF(ISBLANK(Actuals!AU71),IF(AND(Projects!$G$11="Yes",42&gt;=Projects!$C$11,42&lt;Projects!$C$11+Projects!$D$11),6315.79,0),Actuals!AU71)</f>
        <v>0</v>
      </c>
      <c r="AU156" s="14" t="n">
        <f aca="false">IF(ISBLANK(Actuals!AV71),IF(AND(Projects!$G$11="Yes",43&gt;=Projects!$C$11,43&lt;Projects!$C$11+Projects!$D$11),6315.79,0),Actuals!AV71)</f>
        <v>0</v>
      </c>
      <c r="AV156" s="14" t="n">
        <f aca="false">IF(ISBLANK(Actuals!AW71),IF(AND(Projects!$G$11="Yes",44&gt;=Projects!$C$11,44&lt;Projects!$C$11+Projects!$D$11),6315.79,0),Actuals!AW71)</f>
        <v>0</v>
      </c>
      <c r="AW156" s="14" t="n">
        <f aca="false">IF(ISBLANK(Actuals!AX71),IF(AND(Projects!$G$11="Yes",45&gt;=Projects!$C$11,45&lt;Projects!$C$11+Projects!$D$11),6315.79,0),Actuals!AX71)</f>
        <v>0</v>
      </c>
      <c r="AX156" s="14" t="n">
        <f aca="false">IF(ISBLANK(Actuals!AY71),IF(AND(Projects!$G$11="Yes",46&gt;=Projects!$C$11,46&lt;Projects!$C$11+Projects!$D$11),6315.79,0),Actuals!AY71)</f>
        <v>0</v>
      </c>
      <c r="AY156" s="14" t="n">
        <f aca="false">IF(ISBLANK(Actuals!AZ71),IF(AND(Projects!$G$11="Yes",47&gt;=Projects!$C$11,47&lt;Projects!$C$11+Projects!$D$11),6315.79,0),Actuals!AZ71)</f>
        <v>0</v>
      </c>
      <c r="AZ156" s="14" t="n">
        <f aca="false">IF(ISBLANK(Actuals!BA71),IF(AND(Projects!$G$11="Yes",48&gt;=Projects!$C$11,48&lt;Projects!$C$11+Projects!$D$11),6315.79,0),Actuals!BA71)</f>
        <v>0</v>
      </c>
      <c r="BA156" s="14" t="n">
        <f aca="false">IF(ISBLANK(Actuals!BB71),IF(AND(Projects!$G$11="Yes",49&gt;=Projects!$C$11,49&lt;Projects!$C$11+Projects!$D$11),6315.79,0),Actuals!BB71)</f>
        <v>0</v>
      </c>
      <c r="BB156" s="14" t="n">
        <f aca="false">IF(ISBLANK(Actuals!BC71),IF(AND(Projects!$G$11="Yes",50&gt;=Projects!$C$11,50&lt;Projects!$C$11+Projects!$D$11),6315.79,0),Actuals!BC71)</f>
        <v>0</v>
      </c>
      <c r="BC156" s="14" t="n">
        <f aca="false">IF(ISBLANK(Actuals!BD71),IF(AND(Projects!$G$11="Yes",51&gt;=Projects!$C$11,51&lt;Projects!$C$11+Projects!$D$11),6315.79,0),Actuals!BD71)</f>
        <v>0</v>
      </c>
      <c r="BD156" s="14" t="n">
        <f aca="false">IF(ISBLANK(Actuals!BE71),IF(AND(Projects!$G$11="Yes",52&gt;=Projects!$C$11,52&lt;Projects!$C$11+Projects!$D$11),6315.79,0),Actuals!BE71)</f>
        <v>0</v>
      </c>
      <c r="BE156" s="14" t="n">
        <f aca="false">IF(ISBLANK(Actuals!BF71),IF(AND(Projects!$G$11="Yes",53&gt;=Projects!$C$11,53&lt;Projects!$C$11+Projects!$D$11),6315.79,0),Actuals!BF71)</f>
        <v>0</v>
      </c>
      <c r="BF156" s="14" t="n">
        <f aca="false">IF(ISBLANK(Actuals!BG71),IF(AND(Projects!$G$11="Yes",54&gt;=Projects!$C$11,54&lt;Projects!$C$11+Projects!$D$11),6315.79,0),Actuals!BG71)</f>
        <v>0</v>
      </c>
      <c r="BG156" s="14" t="n">
        <f aca="false">IF(ISBLANK(Actuals!BH71),IF(AND(Projects!$G$11="Yes",55&gt;=Projects!$C$11,55&lt;Projects!$C$11+Projects!$D$11),6315.79,0),Actuals!BH71)</f>
        <v>0</v>
      </c>
      <c r="BH156" s="14" t="n">
        <f aca="false">IF(ISBLANK(Actuals!BI71),IF(AND(Projects!$G$11="Yes",56&gt;=Projects!$C$11,56&lt;Projects!$C$11+Projects!$D$11),6315.79,0),Actuals!BI71)</f>
        <v>0</v>
      </c>
      <c r="BI156" s="14" t="n">
        <f aca="false">IF(ISBLANK(Actuals!BJ71),IF(AND(Projects!$G$11="Yes",57&gt;=Projects!$C$11,57&lt;Projects!$C$11+Projects!$D$11),6315.79,0),Actuals!BJ71)</f>
        <v>0</v>
      </c>
      <c r="BJ156" s="14" t="n">
        <f aca="false">IF(ISBLANK(Actuals!BK71),IF(AND(Projects!$G$11="Yes",58&gt;=Projects!$C$11,58&lt;Projects!$C$11+Projects!$D$11),6315.79,0),Actuals!BK71)</f>
        <v>0</v>
      </c>
      <c r="BK156" s="14" t="n">
        <f aca="false">IF(ISBLANK(Actuals!BL71),IF(AND(Projects!$G$11="Yes",59&gt;=Projects!$C$11,59&lt;Projects!$C$11+Projects!$D$11),6315.79,0),Actuals!BL71)</f>
        <v>0</v>
      </c>
      <c r="BL156" s="14" t="n">
        <f aca="false">IF(ISBLANK(Actuals!BM71),IF(AND(Projects!$G$11="Yes",60&gt;=Projects!$C$11,60&lt;Projects!$C$11+Projects!$D$11),6315.79,0),Actuals!BM71)</f>
        <v>0</v>
      </c>
      <c r="BM156" s="14" t="n">
        <f aca="false">IF(ISBLANK(Actuals!BN71),IF(AND(Projects!$G$11="Yes",61&gt;=Projects!$C$11,61&lt;Projects!$C$11+Projects!$D$11),6315.79,0),Actuals!BN71)</f>
        <v>0</v>
      </c>
      <c r="BN156" s="14" t="n">
        <f aca="false">IF(ISBLANK(Actuals!BO71),IF(AND(Projects!$G$11="Yes",62&gt;=Projects!$C$11,62&lt;Projects!$C$11+Projects!$D$11),6315.79,0),Actuals!BO71)</f>
        <v>0</v>
      </c>
      <c r="BO156" s="14" t="n">
        <f aca="false">IF(ISBLANK(Actuals!BP71),IF(AND(Projects!$G$11="Yes",63&gt;=Projects!$C$11,63&lt;Projects!$C$11+Projects!$D$11),6315.79,0),Actuals!BP71)</f>
        <v>0</v>
      </c>
      <c r="BP156" s="14" t="n">
        <f aca="false">IF(ISBLANK(Actuals!BQ71),IF(AND(Projects!$G$11="Yes",64&gt;=Projects!$C$11,64&lt;Projects!$C$11+Projects!$D$11),6315.79,0),Actuals!BQ71)</f>
        <v>0</v>
      </c>
      <c r="BQ156" s="14" t="n">
        <f aca="false">IF(ISBLANK(Actuals!BR71),IF(AND(Projects!$G$11="Yes",65&gt;=Projects!$C$11,65&lt;Projects!$C$11+Projects!$D$11),6315.79,0),Actuals!BR71)</f>
        <v>0</v>
      </c>
      <c r="BR156" s="14" t="n">
        <f aca="false">IF(ISBLANK(Actuals!BS71),IF(AND(Projects!$G$11="Yes",66&gt;=Projects!$C$11,66&lt;Projects!$C$11+Projects!$D$11),6315.79,0),Actuals!BS71)</f>
        <v>0</v>
      </c>
      <c r="BS156" s="14" t="n">
        <f aca="false">IF(ISBLANK(Actuals!BT71),IF(AND(Projects!$G$11="Yes",67&gt;=Projects!$C$11,67&lt;Projects!$C$11+Projects!$D$11),6315.79,0),Actuals!BT71)</f>
        <v>0</v>
      </c>
      <c r="BT156" s="14" t="n">
        <f aca="false">IF(ISBLANK(Actuals!BU71),IF(AND(Projects!$G$11="Yes",68&gt;=Projects!$C$11,68&lt;Projects!$C$11+Projects!$D$11),6315.79,0),Actuals!BU71)</f>
        <v>0</v>
      </c>
      <c r="BU156" s="14" t="n">
        <f aca="false">IF(ISBLANK(Actuals!BV71),IF(AND(Projects!$G$11="Yes",69&gt;=Projects!$C$11,69&lt;Projects!$C$11+Projects!$D$11),6315.79,0),Actuals!BV71)</f>
        <v>0</v>
      </c>
      <c r="BV156" s="14" t="n">
        <f aca="false">IF(ISBLANK(Actuals!BW71),IF(AND(Projects!$G$11="Yes",70&gt;=Projects!$C$11,70&lt;Projects!$C$11+Projects!$D$11),6315.79,0),Actuals!BW71)</f>
        <v>0</v>
      </c>
      <c r="BW156" s="14" t="n">
        <f aca="false">IF(ISBLANK(Actuals!BX71),IF(AND(Projects!$G$11="Yes",71&gt;=Projects!$C$11,71&lt;Projects!$C$11+Projects!$D$11),6315.79,0),Actuals!BX71)</f>
        <v>0</v>
      </c>
      <c r="BX156" s="14" t="n">
        <f aca="false">IF(ISBLANK(Actuals!BY71),IF(AND(Projects!$G$11="Yes",72&gt;=Projects!$C$11,72&lt;Projects!$C$11+Projects!$D$11),6315.79,0),Actuals!BY71)</f>
        <v>0</v>
      </c>
      <c r="BY156" s="14" t="n">
        <f aca="false">IF(ISBLANK(Actuals!BZ71),IF(AND(Projects!$G$11="Yes",73&gt;=Projects!$C$11,73&lt;Projects!$C$11+Projects!$D$11),6315.79,0),Actuals!BZ71)</f>
        <v>0</v>
      </c>
      <c r="BZ156" s="14" t="n">
        <f aca="false">IF(ISBLANK(Actuals!CA71),IF(AND(Projects!$G$11="Yes",74&gt;=Projects!$C$11,74&lt;Projects!$C$11+Projects!$D$11),6315.79,0),Actuals!CA71)</f>
        <v>0</v>
      </c>
      <c r="CA156" s="14" t="n">
        <f aca="false">IF(ISBLANK(Actuals!CB71),IF(AND(Projects!$G$11="Yes",75&gt;=Projects!$C$11,75&lt;Projects!$C$11+Projects!$D$11),6315.79,0),Actuals!CB71)</f>
        <v>0</v>
      </c>
      <c r="CB156" s="14" t="n">
        <f aca="false">IF(ISBLANK(Actuals!CC71),IF(AND(Projects!$G$11="Yes",76&gt;=Projects!$C$11,76&lt;Projects!$C$11+Projects!$D$11),6315.79,0),Actuals!CC71)</f>
        <v>0</v>
      </c>
      <c r="CC156" s="14" t="n">
        <f aca="false">IF(ISBLANK(Actuals!CD71),IF(AND(Projects!$G$11="Yes",77&gt;=Projects!$C$11,77&lt;Projects!$C$11+Projects!$D$11),6315.79,0),Actuals!CD71)</f>
        <v>0</v>
      </c>
      <c r="CD156" s="14" t="n">
        <f aca="false">IF(ISBLANK(Actuals!CE71),IF(AND(Projects!$G$11="Yes",78&gt;=Projects!$C$11,78&lt;Projects!$C$11+Projects!$D$11),6315.79,0),Actuals!CE71)</f>
        <v>0</v>
      </c>
      <c r="CE156" s="14" t="n">
        <f aca="false">IF(ISBLANK(Actuals!CF71),IF(AND(Projects!$G$11="Yes",79&gt;=Projects!$C$11,79&lt;Projects!$C$11+Projects!$D$11),6315.79,0),Actuals!CF71)</f>
        <v>0</v>
      </c>
      <c r="CF156" s="14" t="n">
        <f aca="false">IF(ISBLANK(Actuals!CG71),IF(AND(Projects!$G$11="Yes",80&gt;=Projects!$C$11,80&lt;Projects!$C$11+Projects!$D$11),6315.79,0),Actuals!CG71)</f>
        <v>0</v>
      </c>
      <c r="CG156" s="14" t="n">
        <f aca="false">IF(ISBLANK(Actuals!CH71),IF(AND(Projects!$G$11="Yes",81&gt;=Projects!$C$11,81&lt;Projects!$C$11+Projects!$D$11),6315.79,0),Actuals!CH71)</f>
        <v>0</v>
      </c>
      <c r="CH156" s="14" t="n">
        <f aca="false">IF(ISBLANK(Actuals!CI71),IF(AND(Projects!$G$11="Yes",82&gt;=Projects!$C$11,82&lt;Projects!$C$11+Projects!$D$11),6315.79,0),Actuals!CI71)</f>
        <v>0</v>
      </c>
      <c r="CI156" s="14" t="n">
        <f aca="false">IF(ISBLANK(Actuals!CJ71),IF(AND(Projects!$G$11="Yes",83&gt;=Projects!$C$11,83&lt;Projects!$C$11+Projects!$D$11),6315.79,0),Actuals!CJ71)</f>
        <v>0</v>
      </c>
      <c r="CJ156" s="14" t="n">
        <f aca="false">IF(ISBLANK(Actuals!CK71),IF(AND(Projects!$G$11="Yes",84&gt;=Projects!$C$11,84&lt;Projects!$C$11+Projects!$D$11),6315.79,0),Actuals!CK71)</f>
        <v>0</v>
      </c>
      <c r="CK156" s="14" t="n">
        <f aca="false">IF(ISBLANK(Actuals!CL71),IF(AND(Projects!$G$11="Yes",85&gt;=Projects!$C$11,85&lt;Projects!$C$11+Projects!$D$11),6315.79,0),Actuals!CL71)</f>
        <v>0</v>
      </c>
      <c r="CL156" s="14" t="n">
        <f aca="false">IF(ISBLANK(Actuals!CM71),IF(AND(Projects!$G$11="Yes",86&gt;=Projects!$C$11,86&lt;Projects!$C$11+Projects!$D$11),6315.79,0),Actuals!CM71)</f>
        <v>0</v>
      </c>
      <c r="CM156" s="14" t="n">
        <f aca="false">IF(ISBLANK(Actuals!CN71),IF(AND(Projects!$G$11="Yes",87&gt;=Projects!$C$11,87&lt;Projects!$C$11+Projects!$D$11),6315.79,0),Actuals!CN71)</f>
        <v>0</v>
      </c>
      <c r="CN156" s="14" t="n">
        <f aca="false">IF(ISBLANK(Actuals!CO71),IF(AND(Projects!$G$11="Yes",88&gt;=Projects!$C$11,88&lt;Projects!$C$11+Projects!$D$11),6315.79,0),Actuals!CO71)</f>
        <v>0</v>
      </c>
      <c r="CO156" s="14" t="n">
        <f aca="false">IF(ISBLANK(Actuals!CP71),IF(AND(Projects!$G$11="Yes",89&gt;=Projects!$C$11,89&lt;Projects!$C$11+Projects!$D$11),6315.79,0),Actuals!CP71)</f>
        <v>0</v>
      </c>
      <c r="CP156" s="14" t="n">
        <f aca="false">IF(ISBLANK(Actuals!CQ71),IF(AND(Projects!$G$11="Yes",90&gt;=Projects!$C$11,90&lt;Projects!$C$11+Projects!$D$11),6315.79,0),Actuals!CQ71)</f>
        <v>0</v>
      </c>
      <c r="CQ156" s="14" t="n">
        <f aca="false">IF(ISBLANK(Actuals!CR71),IF(AND(Projects!$G$11="Yes",91&gt;=Projects!$C$11,91&lt;Projects!$C$11+Projects!$D$11),6315.79,0),Actuals!CR71)</f>
        <v>0</v>
      </c>
      <c r="CR156" s="14" t="n">
        <f aca="false">IF(ISBLANK(Actuals!CS71),IF(AND(Projects!$G$11="Yes",92&gt;=Projects!$C$11,92&lt;Projects!$C$11+Projects!$D$11),6315.79,0),Actuals!CS71)</f>
        <v>0</v>
      </c>
      <c r="CS156" s="14" t="n">
        <f aca="false">IF(ISBLANK(Actuals!CT71),IF(AND(Projects!$G$11="Yes",93&gt;=Projects!$C$11,93&lt;Projects!$C$11+Projects!$D$11),6315.79,0),Actuals!CT71)</f>
        <v>0</v>
      </c>
      <c r="CT156" s="14" t="n">
        <f aca="false">IF(ISBLANK(Actuals!CU71),IF(AND(Projects!$G$11="Yes",94&gt;=Projects!$C$11,94&lt;Projects!$C$11+Projects!$D$11),6315.79,0),Actuals!CU71)</f>
        <v>0</v>
      </c>
      <c r="CU156" s="14" t="n">
        <f aca="false">IF(ISBLANK(Actuals!CV71),IF(AND(Projects!$G$11="Yes",95&gt;=Projects!$C$11,95&lt;Projects!$C$11+Projects!$D$11),6315.79,0),Actuals!CV71)</f>
        <v>0</v>
      </c>
      <c r="CV156" s="14" t="n">
        <f aca="false">IF(ISBLANK(Actuals!CW71),IF(AND(Projects!$G$11="Yes",96&gt;=Projects!$C$11,96&lt;Projects!$C$11+Projects!$D$11),6315.79,0),Actuals!CW71)</f>
        <v>0</v>
      </c>
      <c r="CW156" s="14" t="n">
        <f aca="false">IF(ISBLANK(Actuals!CX71),IF(AND(Projects!$G$11="Yes",97&gt;=Projects!$C$11,97&lt;Projects!$C$11+Projects!$D$11),6315.79,0),Actuals!CX71)</f>
        <v>0</v>
      </c>
      <c r="CX156" s="14" t="n">
        <f aca="false">IF(ISBLANK(Actuals!CY71),IF(AND(Projects!$G$11="Yes",98&gt;=Projects!$C$11,98&lt;Projects!$C$11+Projects!$D$11),6315.79,0),Actuals!CY71)</f>
        <v>0</v>
      </c>
      <c r="CY156" s="14" t="n">
        <f aca="false">IF(ISBLANK(Actuals!CZ71),IF(AND(Projects!$G$11="Yes",99&gt;=Projects!$C$11,99&lt;Projects!$C$11+Projects!$D$11),6315.79,0),Actuals!CZ71)</f>
        <v>0</v>
      </c>
      <c r="CZ156" s="14" t="n">
        <f aca="false">IF(ISBLANK(Actuals!DA71),IF(AND(Projects!$G$11="Yes",100&gt;=Projects!$C$11,100&lt;Projects!$C$11+Projects!$D$11),6315.79,0),Actuals!DA71)</f>
        <v>0</v>
      </c>
      <c r="DA156" s="14" t="n">
        <f aca="false">IF(ISBLANK(Actuals!DB71),IF(AND(Projects!$G$11="Yes",101&gt;=Projects!$C$11,101&lt;Projects!$C$11+Projects!$D$11),6315.79,0),Actuals!DB71)</f>
        <v>0</v>
      </c>
      <c r="DB156" s="14" t="n">
        <f aca="false">IF(ISBLANK(Actuals!DC71),IF(AND(Projects!$G$11="Yes",102&gt;=Projects!$C$11,102&lt;Projects!$C$11+Projects!$D$11),6315.79,0),Actuals!DC71)</f>
        <v>0</v>
      </c>
      <c r="DC156" s="14" t="n">
        <f aca="false">IF(ISBLANK(Actuals!DD71),IF(AND(Projects!$G$11="Yes",103&gt;=Projects!$C$11,103&lt;Projects!$C$11+Projects!$D$11),6315.79,0),Actuals!DD71)</f>
        <v>0</v>
      </c>
      <c r="DD156" s="14" t="n">
        <f aca="false">IF(ISBLANK(Actuals!DE71),IF(AND(Projects!$G$11="Yes",104&gt;=Projects!$C$11,104&lt;Projects!$C$11+Projects!$D$11),6315.79,0),Actuals!DE71)</f>
        <v>0</v>
      </c>
      <c r="DE156" s="14" t="n">
        <f aca="false">IF(ISBLANK(Actuals!DF71),IF(AND(Projects!$G$11="Yes",105&gt;=Projects!$C$11,105&lt;Projects!$C$11+Projects!$D$11),6315.79,0),Actuals!DF71)</f>
        <v>0</v>
      </c>
    </row>
    <row r="157" customFormat="false" ht="15" hidden="false" customHeight="true" outlineLevel="0" collapsed="false">
      <c r="A157" s="29" t="s">
        <v>105</v>
      </c>
      <c r="B157" s="14" t="n">
        <f aca="false">IF(ISBLANK(Actuals!C72),0,Actuals!C72)</f>
        <v>0</v>
      </c>
      <c r="C157" s="14" t="n">
        <f aca="false">IF(ISBLANK(Actuals!D72),0,Actuals!D72)</f>
        <v>0</v>
      </c>
      <c r="D157" s="14" t="n">
        <f aca="false">IF(ISBLANK(Actuals!E72),0,Actuals!E72)</f>
        <v>0</v>
      </c>
      <c r="E157" s="14" t="n">
        <f aca="false">IF(ISBLANK(Actuals!F72),IF(AND(Projects!$G$11="Yes",1&gt;=Projects!$C$11,1&lt;Projects!$C$11+Projects!$D$11),6315.79,0),Actuals!F72)</f>
        <v>0</v>
      </c>
      <c r="F157" s="14" t="n">
        <f aca="false">IF(ISBLANK(Actuals!G72),IF(AND(Projects!$G$11="Yes",2&gt;=Projects!$C$11,2&lt;Projects!$C$11+Projects!$D$11),6315.79,0),Actuals!G72)</f>
        <v>0</v>
      </c>
      <c r="G157" s="14" t="n">
        <f aca="false">IF(ISBLANK(Actuals!H72),IF(AND(Projects!$G$11="Yes",3&gt;=Projects!$C$11,3&lt;Projects!$C$11+Projects!$D$11),6315.79,0),Actuals!H72)</f>
        <v>0</v>
      </c>
      <c r="H157" s="14" t="n">
        <f aca="false">IF(ISBLANK(Actuals!I72),IF(AND(Projects!$G$11="Yes",4&gt;=Projects!$C$11,4&lt;Projects!$C$11+Projects!$D$11),6315.79,0),Actuals!I72)</f>
        <v>0</v>
      </c>
      <c r="I157" s="14" t="n">
        <f aca="false">IF(ISBLANK(Actuals!J72),IF(AND(Projects!$G$11="Yes",5&gt;=Projects!$C$11,5&lt;Projects!$C$11+Projects!$D$11),6315.79,0),Actuals!J72)</f>
        <v>0</v>
      </c>
      <c r="J157" s="14" t="n">
        <f aca="false">IF(ISBLANK(Actuals!K72),IF(AND(Projects!$G$11="Yes",6&gt;=Projects!$C$11,6&lt;Projects!$C$11+Projects!$D$11),6315.79,0),Actuals!K72)</f>
        <v>0</v>
      </c>
      <c r="K157" s="14" t="n">
        <f aca="false">IF(ISBLANK(Actuals!L72),IF(AND(Projects!$G$11="Yes",7&gt;=Projects!$C$11,7&lt;Projects!$C$11+Projects!$D$11),6315.79,0),Actuals!L72)</f>
        <v>6315.79</v>
      </c>
      <c r="L157" s="14" t="n">
        <f aca="false">IF(ISBLANK(Actuals!M72),IF(AND(Projects!$G$11="Yes",8&gt;=Projects!$C$11,8&lt;Projects!$C$11+Projects!$D$11),6315.79,0),Actuals!M72)</f>
        <v>6315.79</v>
      </c>
      <c r="M157" s="14" t="n">
        <f aca="false">IF(ISBLANK(Actuals!N72),IF(AND(Projects!$G$11="Yes",9&gt;=Projects!$C$11,9&lt;Projects!$C$11+Projects!$D$11),6315.79,0),Actuals!N72)</f>
        <v>6315.79</v>
      </c>
      <c r="N157" s="14" t="n">
        <f aca="false">IF(ISBLANK(Actuals!O72),IF(AND(Projects!$G$11="Yes",10&gt;=Projects!$C$11,10&lt;Projects!$C$11+Projects!$D$11),6315.79,0),Actuals!O72)</f>
        <v>6315.79</v>
      </c>
      <c r="O157" s="14" t="n">
        <f aca="false">IF(ISBLANK(Actuals!P72),IF(AND(Projects!$G$11="Yes",11&gt;=Projects!$C$11,11&lt;Projects!$C$11+Projects!$D$11),6315.79,0),Actuals!P72)</f>
        <v>6315.79</v>
      </c>
      <c r="P157" s="14" t="n">
        <f aca="false">IF(ISBLANK(Actuals!Q72),IF(AND(Projects!$G$11="Yes",12&gt;=Projects!$C$11,12&lt;Projects!$C$11+Projects!$D$11),6315.79,0),Actuals!Q72)</f>
        <v>6315.79</v>
      </c>
      <c r="Q157" s="14" t="n">
        <f aca="false">IF(ISBLANK(Actuals!R72),IF(AND(Projects!$G$11="Yes",13&gt;=Projects!$C$11,13&lt;Projects!$C$11+Projects!$D$11),6315.79,0),Actuals!R72)</f>
        <v>6315.79</v>
      </c>
      <c r="R157" s="14" t="n">
        <f aca="false">IF(ISBLANK(Actuals!S72),IF(AND(Projects!$G$11="Yes",14&gt;=Projects!$C$11,14&lt;Projects!$C$11+Projects!$D$11),6315.79,0),Actuals!S72)</f>
        <v>6315.79</v>
      </c>
      <c r="S157" s="14" t="n">
        <f aca="false">IF(ISBLANK(Actuals!T72),IF(AND(Projects!$G$11="Yes",15&gt;=Projects!$C$11,15&lt;Projects!$C$11+Projects!$D$11),6315.79,0),Actuals!T72)</f>
        <v>6315.79</v>
      </c>
      <c r="T157" s="14" t="n">
        <f aca="false">IF(ISBLANK(Actuals!U72),IF(AND(Projects!$G$11="Yes",16&gt;=Projects!$C$11,16&lt;Projects!$C$11+Projects!$D$11),6315.79,0),Actuals!U72)</f>
        <v>6315.79</v>
      </c>
      <c r="U157" s="14" t="n">
        <f aca="false">IF(ISBLANK(Actuals!V72),IF(AND(Projects!$G$11="Yes",17&gt;=Projects!$C$11,17&lt;Projects!$C$11+Projects!$D$11),6315.79,0),Actuals!V72)</f>
        <v>6315.79</v>
      </c>
      <c r="V157" s="14" t="n">
        <f aca="false">IF(ISBLANK(Actuals!W72),IF(AND(Projects!$G$11="Yes",18&gt;=Projects!$C$11,18&lt;Projects!$C$11+Projects!$D$11),6315.79,0),Actuals!W72)</f>
        <v>6315.79</v>
      </c>
      <c r="W157" s="14" t="n">
        <f aca="false">IF(ISBLANK(Actuals!X72),IF(AND(Projects!$G$11="Yes",19&gt;=Projects!$C$11,19&lt;Projects!$C$11+Projects!$D$11),6315.79,0),Actuals!X72)</f>
        <v>6315.79</v>
      </c>
      <c r="X157" s="14" t="n">
        <f aca="false">IF(ISBLANK(Actuals!Y72),IF(AND(Projects!$G$11="Yes",20&gt;=Projects!$C$11,20&lt;Projects!$C$11+Projects!$D$11),6315.79,0),Actuals!Y72)</f>
        <v>6315.79</v>
      </c>
      <c r="Y157" s="14" t="n">
        <f aca="false">IF(ISBLANK(Actuals!Z72),IF(AND(Projects!$G$11="Yes",21&gt;=Projects!$C$11,21&lt;Projects!$C$11+Projects!$D$11),6315.79,0),Actuals!Z72)</f>
        <v>6315.79</v>
      </c>
      <c r="Z157" s="14" t="n">
        <f aca="false">IF(ISBLANK(Actuals!AA72),IF(AND(Projects!$G$11="Yes",22&gt;=Projects!$C$11,22&lt;Projects!$C$11+Projects!$D$11),6315.79,0),Actuals!AA72)</f>
        <v>6315.79</v>
      </c>
      <c r="AA157" s="14" t="n">
        <f aca="false">IF(ISBLANK(Actuals!AB72),IF(AND(Projects!$G$11="Yes",23&gt;=Projects!$C$11,23&lt;Projects!$C$11+Projects!$D$11),6315.79,0),Actuals!AB72)</f>
        <v>6315.79</v>
      </c>
      <c r="AB157" s="14" t="n">
        <f aca="false">IF(ISBLANK(Actuals!AC72),IF(AND(Projects!$G$11="Yes",24&gt;=Projects!$C$11,24&lt;Projects!$C$11+Projects!$D$11),6315.79,0),Actuals!AC72)</f>
        <v>6315.79</v>
      </c>
      <c r="AC157" s="14" t="n">
        <f aca="false">IF(ISBLANK(Actuals!AD72),IF(AND(Projects!$G$11="Yes",25&gt;=Projects!$C$11,25&lt;Projects!$C$11+Projects!$D$11),6315.79,0),Actuals!AD72)</f>
        <v>6315.79</v>
      </c>
      <c r="AD157" s="14" t="n">
        <f aca="false">IF(ISBLANK(Actuals!AE72),IF(AND(Projects!$G$11="Yes",26&gt;=Projects!$C$11,26&lt;Projects!$C$11+Projects!$D$11),6315.79,0),Actuals!AE72)</f>
        <v>0</v>
      </c>
      <c r="AE157" s="14" t="n">
        <f aca="false">IF(ISBLANK(Actuals!AF72),IF(AND(Projects!$G$11="Yes",27&gt;=Projects!$C$11,27&lt;Projects!$C$11+Projects!$D$11),6315.79,0),Actuals!AF72)</f>
        <v>0</v>
      </c>
      <c r="AF157" s="14" t="n">
        <f aca="false">IF(ISBLANK(Actuals!AG72),IF(AND(Projects!$G$11="Yes",28&gt;=Projects!$C$11,28&lt;Projects!$C$11+Projects!$D$11),6315.79,0),Actuals!AG72)</f>
        <v>0</v>
      </c>
      <c r="AG157" s="14" t="n">
        <f aca="false">IF(ISBLANK(Actuals!AH72),IF(AND(Projects!$G$11="Yes",29&gt;=Projects!$C$11,29&lt;Projects!$C$11+Projects!$D$11),6315.79,0),Actuals!AH72)</f>
        <v>0</v>
      </c>
      <c r="AH157" s="14" t="n">
        <f aca="false">IF(ISBLANK(Actuals!AI72),IF(AND(Projects!$G$11="Yes",30&gt;=Projects!$C$11,30&lt;Projects!$C$11+Projects!$D$11),6315.79,0),Actuals!AI72)</f>
        <v>0</v>
      </c>
      <c r="AI157" s="14" t="n">
        <f aca="false">IF(ISBLANK(Actuals!AJ72),IF(AND(Projects!$G$11="Yes",31&gt;=Projects!$C$11,31&lt;Projects!$C$11+Projects!$D$11),6315.79,0),Actuals!AJ72)</f>
        <v>0</v>
      </c>
      <c r="AJ157" s="14" t="n">
        <f aca="false">IF(ISBLANK(Actuals!AK72),IF(AND(Projects!$G$11="Yes",32&gt;=Projects!$C$11,32&lt;Projects!$C$11+Projects!$D$11),6315.79,0),Actuals!AK72)</f>
        <v>0</v>
      </c>
      <c r="AK157" s="14" t="n">
        <f aca="false">IF(ISBLANK(Actuals!AL72),IF(AND(Projects!$G$11="Yes",33&gt;=Projects!$C$11,33&lt;Projects!$C$11+Projects!$D$11),6315.79,0),Actuals!AL72)</f>
        <v>0</v>
      </c>
      <c r="AL157" s="14" t="n">
        <f aca="false">IF(ISBLANK(Actuals!AM72),IF(AND(Projects!$G$11="Yes",34&gt;=Projects!$C$11,34&lt;Projects!$C$11+Projects!$D$11),6315.79,0),Actuals!AM72)</f>
        <v>0</v>
      </c>
      <c r="AM157" s="14" t="n">
        <f aca="false">IF(ISBLANK(Actuals!AN72),IF(AND(Projects!$G$11="Yes",35&gt;=Projects!$C$11,35&lt;Projects!$C$11+Projects!$D$11),6315.79,0),Actuals!AN72)</f>
        <v>0</v>
      </c>
      <c r="AN157" s="14" t="n">
        <f aca="false">IF(ISBLANK(Actuals!AO72),IF(AND(Projects!$G$11="Yes",36&gt;=Projects!$C$11,36&lt;Projects!$C$11+Projects!$D$11),6315.79,0),Actuals!AO72)</f>
        <v>0</v>
      </c>
      <c r="AO157" s="14" t="n">
        <f aca="false">IF(ISBLANK(Actuals!AP72),IF(AND(Projects!$G$11="Yes",37&gt;=Projects!$C$11,37&lt;Projects!$C$11+Projects!$D$11),6315.79,0),Actuals!AP72)</f>
        <v>0</v>
      </c>
      <c r="AP157" s="14" t="n">
        <f aca="false">IF(ISBLANK(Actuals!AQ72),IF(AND(Projects!$G$11="Yes",38&gt;=Projects!$C$11,38&lt;Projects!$C$11+Projects!$D$11),6315.79,0),Actuals!AQ72)</f>
        <v>0</v>
      </c>
      <c r="AQ157" s="14" t="n">
        <f aca="false">IF(ISBLANK(Actuals!AR72),IF(AND(Projects!$G$11="Yes",39&gt;=Projects!$C$11,39&lt;Projects!$C$11+Projects!$D$11),6315.79,0),Actuals!AR72)</f>
        <v>0</v>
      </c>
      <c r="AR157" s="14" t="n">
        <f aca="false">IF(ISBLANK(Actuals!AS72),IF(AND(Projects!$G$11="Yes",40&gt;=Projects!$C$11,40&lt;Projects!$C$11+Projects!$D$11),6315.79,0),Actuals!AS72)</f>
        <v>0</v>
      </c>
      <c r="AS157" s="14" t="n">
        <f aca="false">IF(ISBLANK(Actuals!AT72),IF(AND(Projects!$G$11="Yes",41&gt;=Projects!$C$11,41&lt;Projects!$C$11+Projects!$D$11),6315.79,0),Actuals!AT72)</f>
        <v>0</v>
      </c>
      <c r="AT157" s="14" t="n">
        <f aca="false">IF(ISBLANK(Actuals!AU72),IF(AND(Projects!$G$11="Yes",42&gt;=Projects!$C$11,42&lt;Projects!$C$11+Projects!$D$11),6315.79,0),Actuals!AU72)</f>
        <v>0</v>
      </c>
      <c r="AU157" s="14" t="n">
        <f aca="false">IF(ISBLANK(Actuals!AV72),IF(AND(Projects!$G$11="Yes",43&gt;=Projects!$C$11,43&lt;Projects!$C$11+Projects!$D$11),6315.79,0),Actuals!AV72)</f>
        <v>0</v>
      </c>
      <c r="AV157" s="14" t="n">
        <f aca="false">IF(ISBLANK(Actuals!AW72),IF(AND(Projects!$G$11="Yes",44&gt;=Projects!$C$11,44&lt;Projects!$C$11+Projects!$D$11),6315.79,0),Actuals!AW72)</f>
        <v>0</v>
      </c>
      <c r="AW157" s="14" t="n">
        <f aca="false">IF(ISBLANK(Actuals!AX72),IF(AND(Projects!$G$11="Yes",45&gt;=Projects!$C$11,45&lt;Projects!$C$11+Projects!$D$11),6315.79,0),Actuals!AX72)</f>
        <v>0</v>
      </c>
      <c r="AX157" s="14" t="n">
        <f aca="false">IF(ISBLANK(Actuals!AY72),IF(AND(Projects!$G$11="Yes",46&gt;=Projects!$C$11,46&lt;Projects!$C$11+Projects!$D$11),6315.79,0),Actuals!AY72)</f>
        <v>0</v>
      </c>
      <c r="AY157" s="14" t="n">
        <f aca="false">IF(ISBLANK(Actuals!AZ72),IF(AND(Projects!$G$11="Yes",47&gt;=Projects!$C$11,47&lt;Projects!$C$11+Projects!$D$11),6315.79,0),Actuals!AZ72)</f>
        <v>0</v>
      </c>
      <c r="AZ157" s="14" t="n">
        <f aca="false">IF(ISBLANK(Actuals!BA72),IF(AND(Projects!$G$11="Yes",48&gt;=Projects!$C$11,48&lt;Projects!$C$11+Projects!$D$11),6315.79,0),Actuals!BA72)</f>
        <v>0</v>
      </c>
      <c r="BA157" s="14" t="n">
        <f aca="false">IF(ISBLANK(Actuals!BB72),IF(AND(Projects!$G$11="Yes",49&gt;=Projects!$C$11,49&lt;Projects!$C$11+Projects!$D$11),6315.79,0),Actuals!BB72)</f>
        <v>0</v>
      </c>
      <c r="BB157" s="14" t="n">
        <f aca="false">IF(ISBLANK(Actuals!BC72),IF(AND(Projects!$G$11="Yes",50&gt;=Projects!$C$11,50&lt;Projects!$C$11+Projects!$D$11),6315.79,0),Actuals!BC72)</f>
        <v>0</v>
      </c>
      <c r="BC157" s="14" t="n">
        <f aca="false">IF(ISBLANK(Actuals!BD72),IF(AND(Projects!$G$11="Yes",51&gt;=Projects!$C$11,51&lt;Projects!$C$11+Projects!$D$11),6315.79,0),Actuals!BD72)</f>
        <v>0</v>
      </c>
      <c r="BD157" s="14" t="n">
        <f aca="false">IF(ISBLANK(Actuals!BE72),IF(AND(Projects!$G$11="Yes",52&gt;=Projects!$C$11,52&lt;Projects!$C$11+Projects!$D$11),6315.79,0),Actuals!BE72)</f>
        <v>0</v>
      </c>
      <c r="BE157" s="14" t="n">
        <f aca="false">IF(ISBLANK(Actuals!BF72),IF(AND(Projects!$G$11="Yes",53&gt;=Projects!$C$11,53&lt;Projects!$C$11+Projects!$D$11),6315.79,0),Actuals!BF72)</f>
        <v>0</v>
      </c>
      <c r="BF157" s="14" t="n">
        <f aca="false">IF(ISBLANK(Actuals!BG72),IF(AND(Projects!$G$11="Yes",54&gt;=Projects!$C$11,54&lt;Projects!$C$11+Projects!$D$11),6315.79,0),Actuals!BG72)</f>
        <v>0</v>
      </c>
      <c r="BG157" s="14" t="n">
        <f aca="false">IF(ISBLANK(Actuals!BH72),IF(AND(Projects!$G$11="Yes",55&gt;=Projects!$C$11,55&lt;Projects!$C$11+Projects!$D$11),6315.79,0),Actuals!BH72)</f>
        <v>0</v>
      </c>
      <c r="BH157" s="14" t="n">
        <f aca="false">IF(ISBLANK(Actuals!BI72),IF(AND(Projects!$G$11="Yes",56&gt;=Projects!$C$11,56&lt;Projects!$C$11+Projects!$D$11),6315.79,0),Actuals!BI72)</f>
        <v>0</v>
      </c>
      <c r="BI157" s="14" t="n">
        <f aca="false">IF(ISBLANK(Actuals!BJ72),IF(AND(Projects!$G$11="Yes",57&gt;=Projects!$C$11,57&lt;Projects!$C$11+Projects!$D$11),6315.79,0),Actuals!BJ72)</f>
        <v>0</v>
      </c>
      <c r="BJ157" s="14" t="n">
        <f aca="false">IF(ISBLANK(Actuals!BK72),IF(AND(Projects!$G$11="Yes",58&gt;=Projects!$C$11,58&lt;Projects!$C$11+Projects!$D$11),6315.79,0),Actuals!BK72)</f>
        <v>0</v>
      </c>
      <c r="BK157" s="14" t="n">
        <f aca="false">IF(ISBLANK(Actuals!BL72),IF(AND(Projects!$G$11="Yes",59&gt;=Projects!$C$11,59&lt;Projects!$C$11+Projects!$D$11),6315.79,0),Actuals!BL72)</f>
        <v>0</v>
      </c>
      <c r="BL157" s="14" t="n">
        <f aca="false">IF(ISBLANK(Actuals!BM72),IF(AND(Projects!$G$11="Yes",60&gt;=Projects!$C$11,60&lt;Projects!$C$11+Projects!$D$11),6315.79,0),Actuals!BM72)</f>
        <v>0</v>
      </c>
      <c r="BM157" s="14" t="n">
        <f aca="false">IF(ISBLANK(Actuals!BN72),IF(AND(Projects!$G$11="Yes",61&gt;=Projects!$C$11,61&lt;Projects!$C$11+Projects!$D$11),6315.79,0),Actuals!BN72)</f>
        <v>0</v>
      </c>
      <c r="BN157" s="14" t="n">
        <f aca="false">IF(ISBLANK(Actuals!BO72),IF(AND(Projects!$G$11="Yes",62&gt;=Projects!$C$11,62&lt;Projects!$C$11+Projects!$D$11),6315.79,0),Actuals!BO72)</f>
        <v>0</v>
      </c>
      <c r="BO157" s="14" t="n">
        <f aca="false">IF(ISBLANK(Actuals!BP72),IF(AND(Projects!$G$11="Yes",63&gt;=Projects!$C$11,63&lt;Projects!$C$11+Projects!$D$11),6315.79,0),Actuals!BP72)</f>
        <v>0</v>
      </c>
      <c r="BP157" s="14" t="n">
        <f aca="false">IF(ISBLANK(Actuals!BQ72),IF(AND(Projects!$G$11="Yes",64&gt;=Projects!$C$11,64&lt;Projects!$C$11+Projects!$D$11),6315.79,0),Actuals!BQ72)</f>
        <v>0</v>
      </c>
      <c r="BQ157" s="14" t="n">
        <f aca="false">IF(ISBLANK(Actuals!BR72),IF(AND(Projects!$G$11="Yes",65&gt;=Projects!$C$11,65&lt;Projects!$C$11+Projects!$D$11),6315.79,0),Actuals!BR72)</f>
        <v>0</v>
      </c>
      <c r="BR157" s="14" t="n">
        <f aca="false">IF(ISBLANK(Actuals!BS72),IF(AND(Projects!$G$11="Yes",66&gt;=Projects!$C$11,66&lt;Projects!$C$11+Projects!$D$11),6315.79,0),Actuals!BS72)</f>
        <v>0</v>
      </c>
      <c r="BS157" s="14" t="n">
        <f aca="false">IF(ISBLANK(Actuals!BT72),IF(AND(Projects!$G$11="Yes",67&gt;=Projects!$C$11,67&lt;Projects!$C$11+Projects!$D$11),6315.79,0),Actuals!BT72)</f>
        <v>0</v>
      </c>
      <c r="BT157" s="14" t="n">
        <f aca="false">IF(ISBLANK(Actuals!BU72),IF(AND(Projects!$G$11="Yes",68&gt;=Projects!$C$11,68&lt;Projects!$C$11+Projects!$D$11),6315.79,0),Actuals!BU72)</f>
        <v>0</v>
      </c>
      <c r="BU157" s="14" t="n">
        <f aca="false">IF(ISBLANK(Actuals!BV72),IF(AND(Projects!$G$11="Yes",69&gt;=Projects!$C$11,69&lt;Projects!$C$11+Projects!$D$11),6315.79,0),Actuals!BV72)</f>
        <v>0</v>
      </c>
      <c r="BV157" s="14" t="n">
        <f aca="false">IF(ISBLANK(Actuals!BW72),IF(AND(Projects!$G$11="Yes",70&gt;=Projects!$C$11,70&lt;Projects!$C$11+Projects!$D$11),6315.79,0),Actuals!BW72)</f>
        <v>0</v>
      </c>
      <c r="BW157" s="14" t="n">
        <f aca="false">IF(ISBLANK(Actuals!BX72),IF(AND(Projects!$G$11="Yes",71&gt;=Projects!$C$11,71&lt;Projects!$C$11+Projects!$D$11),6315.79,0),Actuals!BX72)</f>
        <v>0</v>
      </c>
      <c r="BX157" s="14" t="n">
        <f aca="false">IF(ISBLANK(Actuals!BY72),IF(AND(Projects!$G$11="Yes",72&gt;=Projects!$C$11,72&lt;Projects!$C$11+Projects!$D$11),6315.79,0),Actuals!BY72)</f>
        <v>0</v>
      </c>
      <c r="BY157" s="14" t="n">
        <f aca="false">IF(ISBLANK(Actuals!BZ72),IF(AND(Projects!$G$11="Yes",73&gt;=Projects!$C$11,73&lt;Projects!$C$11+Projects!$D$11),6315.79,0),Actuals!BZ72)</f>
        <v>0</v>
      </c>
      <c r="BZ157" s="14" t="n">
        <f aca="false">IF(ISBLANK(Actuals!CA72),IF(AND(Projects!$G$11="Yes",74&gt;=Projects!$C$11,74&lt;Projects!$C$11+Projects!$D$11),6315.79,0),Actuals!CA72)</f>
        <v>0</v>
      </c>
      <c r="CA157" s="14" t="n">
        <f aca="false">IF(ISBLANK(Actuals!CB72),IF(AND(Projects!$G$11="Yes",75&gt;=Projects!$C$11,75&lt;Projects!$C$11+Projects!$D$11),6315.79,0),Actuals!CB72)</f>
        <v>0</v>
      </c>
      <c r="CB157" s="14" t="n">
        <f aca="false">IF(ISBLANK(Actuals!CC72),IF(AND(Projects!$G$11="Yes",76&gt;=Projects!$C$11,76&lt;Projects!$C$11+Projects!$D$11),6315.79,0),Actuals!CC72)</f>
        <v>0</v>
      </c>
      <c r="CC157" s="14" t="n">
        <f aca="false">IF(ISBLANK(Actuals!CD72),IF(AND(Projects!$G$11="Yes",77&gt;=Projects!$C$11,77&lt;Projects!$C$11+Projects!$D$11),6315.79,0),Actuals!CD72)</f>
        <v>0</v>
      </c>
      <c r="CD157" s="14" t="n">
        <f aca="false">IF(ISBLANK(Actuals!CE72),IF(AND(Projects!$G$11="Yes",78&gt;=Projects!$C$11,78&lt;Projects!$C$11+Projects!$D$11),6315.79,0),Actuals!CE72)</f>
        <v>0</v>
      </c>
      <c r="CE157" s="14" t="n">
        <f aca="false">IF(ISBLANK(Actuals!CF72),IF(AND(Projects!$G$11="Yes",79&gt;=Projects!$C$11,79&lt;Projects!$C$11+Projects!$D$11),6315.79,0),Actuals!CF72)</f>
        <v>0</v>
      </c>
      <c r="CF157" s="14" t="n">
        <f aca="false">IF(ISBLANK(Actuals!CG72),IF(AND(Projects!$G$11="Yes",80&gt;=Projects!$C$11,80&lt;Projects!$C$11+Projects!$D$11),6315.79,0),Actuals!CG72)</f>
        <v>0</v>
      </c>
      <c r="CG157" s="14" t="n">
        <f aca="false">IF(ISBLANK(Actuals!CH72),IF(AND(Projects!$G$11="Yes",81&gt;=Projects!$C$11,81&lt;Projects!$C$11+Projects!$D$11),6315.79,0),Actuals!CH72)</f>
        <v>0</v>
      </c>
      <c r="CH157" s="14" t="n">
        <f aca="false">IF(ISBLANK(Actuals!CI72),IF(AND(Projects!$G$11="Yes",82&gt;=Projects!$C$11,82&lt;Projects!$C$11+Projects!$D$11),6315.79,0),Actuals!CI72)</f>
        <v>0</v>
      </c>
      <c r="CI157" s="14" t="n">
        <f aca="false">IF(ISBLANK(Actuals!CJ72),IF(AND(Projects!$G$11="Yes",83&gt;=Projects!$C$11,83&lt;Projects!$C$11+Projects!$D$11),6315.79,0),Actuals!CJ72)</f>
        <v>0</v>
      </c>
      <c r="CJ157" s="14" t="n">
        <f aca="false">IF(ISBLANK(Actuals!CK72),IF(AND(Projects!$G$11="Yes",84&gt;=Projects!$C$11,84&lt;Projects!$C$11+Projects!$D$11),6315.79,0),Actuals!CK72)</f>
        <v>0</v>
      </c>
      <c r="CK157" s="14" t="n">
        <f aca="false">IF(ISBLANK(Actuals!CL72),IF(AND(Projects!$G$11="Yes",85&gt;=Projects!$C$11,85&lt;Projects!$C$11+Projects!$D$11),6315.79,0),Actuals!CL72)</f>
        <v>0</v>
      </c>
      <c r="CL157" s="14" t="n">
        <f aca="false">IF(ISBLANK(Actuals!CM72),IF(AND(Projects!$G$11="Yes",86&gt;=Projects!$C$11,86&lt;Projects!$C$11+Projects!$D$11),6315.79,0),Actuals!CM72)</f>
        <v>0</v>
      </c>
      <c r="CM157" s="14" t="n">
        <f aca="false">IF(ISBLANK(Actuals!CN72),IF(AND(Projects!$G$11="Yes",87&gt;=Projects!$C$11,87&lt;Projects!$C$11+Projects!$D$11),6315.79,0),Actuals!CN72)</f>
        <v>0</v>
      </c>
      <c r="CN157" s="14" t="n">
        <f aca="false">IF(ISBLANK(Actuals!CO72),IF(AND(Projects!$G$11="Yes",88&gt;=Projects!$C$11,88&lt;Projects!$C$11+Projects!$D$11),6315.79,0),Actuals!CO72)</f>
        <v>0</v>
      </c>
      <c r="CO157" s="14" t="n">
        <f aca="false">IF(ISBLANK(Actuals!CP72),IF(AND(Projects!$G$11="Yes",89&gt;=Projects!$C$11,89&lt;Projects!$C$11+Projects!$D$11),6315.79,0),Actuals!CP72)</f>
        <v>0</v>
      </c>
      <c r="CP157" s="14" t="n">
        <f aca="false">IF(ISBLANK(Actuals!CQ72),IF(AND(Projects!$G$11="Yes",90&gt;=Projects!$C$11,90&lt;Projects!$C$11+Projects!$D$11),6315.79,0),Actuals!CQ72)</f>
        <v>0</v>
      </c>
      <c r="CQ157" s="14" t="n">
        <f aca="false">IF(ISBLANK(Actuals!CR72),IF(AND(Projects!$G$11="Yes",91&gt;=Projects!$C$11,91&lt;Projects!$C$11+Projects!$D$11),6315.79,0),Actuals!CR72)</f>
        <v>0</v>
      </c>
      <c r="CR157" s="14" t="n">
        <f aca="false">IF(ISBLANK(Actuals!CS72),IF(AND(Projects!$G$11="Yes",92&gt;=Projects!$C$11,92&lt;Projects!$C$11+Projects!$D$11),6315.79,0),Actuals!CS72)</f>
        <v>0</v>
      </c>
      <c r="CS157" s="14" t="n">
        <f aca="false">IF(ISBLANK(Actuals!CT72),IF(AND(Projects!$G$11="Yes",93&gt;=Projects!$C$11,93&lt;Projects!$C$11+Projects!$D$11),6315.79,0),Actuals!CT72)</f>
        <v>0</v>
      </c>
      <c r="CT157" s="14" t="n">
        <f aca="false">IF(ISBLANK(Actuals!CU72),IF(AND(Projects!$G$11="Yes",94&gt;=Projects!$C$11,94&lt;Projects!$C$11+Projects!$D$11),6315.79,0),Actuals!CU72)</f>
        <v>0</v>
      </c>
      <c r="CU157" s="14" t="n">
        <f aca="false">IF(ISBLANK(Actuals!CV72),IF(AND(Projects!$G$11="Yes",95&gt;=Projects!$C$11,95&lt;Projects!$C$11+Projects!$D$11),6315.79,0),Actuals!CV72)</f>
        <v>0</v>
      </c>
      <c r="CV157" s="14" t="n">
        <f aca="false">IF(ISBLANK(Actuals!CW72),IF(AND(Projects!$G$11="Yes",96&gt;=Projects!$C$11,96&lt;Projects!$C$11+Projects!$D$11),6315.79,0),Actuals!CW72)</f>
        <v>0</v>
      </c>
      <c r="CW157" s="14" t="n">
        <f aca="false">IF(ISBLANK(Actuals!CX72),IF(AND(Projects!$G$11="Yes",97&gt;=Projects!$C$11,97&lt;Projects!$C$11+Projects!$D$11),6315.79,0),Actuals!CX72)</f>
        <v>0</v>
      </c>
      <c r="CX157" s="14" t="n">
        <f aca="false">IF(ISBLANK(Actuals!CY72),IF(AND(Projects!$G$11="Yes",98&gt;=Projects!$C$11,98&lt;Projects!$C$11+Projects!$D$11),6315.79,0),Actuals!CY72)</f>
        <v>0</v>
      </c>
      <c r="CY157" s="14" t="n">
        <f aca="false">IF(ISBLANK(Actuals!CZ72),IF(AND(Projects!$G$11="Yes",99&gt;=Projects!$C$11,99&lt;Projects!$C$11+Projects!$D$11),6315.79,0),Actuals!CZ72)</f>
        <v>0</v>
      </c>
      <c r="CZ157" s="14" t="n">
        <f aca="false">IF(ISBLANK(Actuals!DA72),IF(AND(Projects!$G$11="Yes",100&gt;=Projects!$C$11,100&lt;Projects!$C$11+Projects!$D$11),6315.79,0),Actuals!DA72)</f>
        <v>0</v>
      </c>
      <c r="DA157" s="14" t="n">
        <f aca="false">IF(ISBLANK(Actuals!DB72),IF(AND(Projects!$G$11="Yes",101&gt;=Projects!$C$11,101&lt;Projects!$C$11+Projects!$D$11),6315.79,0),Actuals!DB72)</f>
        <v>0</v>
      </c>
      <c r="DB157" s="14" t="n">
        <f aca="false">IF(ISBLANK(Actuals!DC72),IF(AND(Projects!$G$11="Yes",102&gt;=Projects!$C$11,102&lt;Projects!$C$11+Projects!$D$11),6315.79,0),Actuals!DC72)</f>
        <v>0</v>
      </c>
      <c r="DC157" s="14" t="n">
        <f aca="false">IF(ISBLANK(Actuals!DD72),IF(AND(Projects!$G$11="Yes",103&gt;=Projects!$C$11,103&lt;Projects!$C$11+Projects!$D$11),6315.79,0),Actuals!DD72)</f>
        <v>0</v>
      </c>
      <c r="DD157" s="14" t="n">
        <f aca="false">IF(ISBLANK(Actuals!DE72),IF(AND(Projects!$G$11="Yes",104&gt;=Projects!$C$11,104&lt;Projects!$C$11+Projects!$D$11),6315.79,0),Actuals!DE72)</f>
        <v>0</v>
      </c>
      <c r="DE157" s="14" t="n">
        <f aca="false">IF(ISBLANK(Actuals!DF72),IF(AND(Projects!$G$11="Yes",105&gt;=Projects!$C$11,105&lt;Projects!$C$11+Projects!$D$11),6315.79,0),Actuals!DF72)</f>
        <v>0</v>
      </c>
    </row>
    <row r="158" customFormat="false" ht="15" hidden="false" customHeight="true" outlineLevel="0" collapsed="false">
      <c r="A158" s="29" t="s">
        <v>106</v>
      </c>
      <c r="B158" s="14" t="n">
        <f aca="false">IF(ISBLANK(Actuals!C73),0,Actuals!C73)</f>
        <v>0</v>
      </c>
      <c r="C158" s="14" t="n">
        <f aca="false">IF(ISBLANK(Actuals!D73),0,Actuals!D73)</f>
        <v>0</v>
      </c>
      <c r="D158" s="14" t="n">
        <f aca="false">IF(ISBLANK(Actuals!E73),0,Actuals!E73)</f>
        <v>0</v>
      </c>
      <c r="E158" s="14" t="n">
        <f aca="false">IF(ISBLANK(Actuals!F73),0,Actuals!F73)</f>
        <v>0</v>
      </c>
      <c r="F158" s="14" t="n">
        <f aca="false">IF(ISBLANK(Actuals!G73),0,Actuals!G73)</f>
        <v>0</v>
      </c>
      <c r="G158" s="14" t="n">
        <f aca="false">IF(ISBLANK(Actuals!H73),0,Actuals!H73)</f>
        <v>0</v>
      </c>
      <c r="H158" s="14" t="n">
        <f aca="false">IF(ISBLANK(Actuals!I73),0,Actuals!I73)</f>
        <v>0</v>
      </c>
      <c r="I158" s="14" t="n">
        <f aca="false">IF(ISBLANK(Actuals!J73),IF(Projects!$G$11="Yes",253980,0),Actuals!J73)</f>
        <v>253980</v>
      </c>
      <c r="J158" s="14" t="n">
        <f aca="false">IF(ISBLANK(Actuals!K73),0,Actuals!K73)</f>
        <v>0</v>
      </c>
      <c r="K158" s="14" t="n">
        <f aca="false">IF(ISBLANK(Actuals!L73),0,Actuals!L73)</f>
        <v>0</v>
      </c>
      <c r="L158" s="14" t="n">
        <f aca="false">IF(ISBLANK(Actuals!M73),0,Actuals!M73)</f>
        <v>0</v>
      </c>
      <c r="M158" s="14" t="n">
        <f aca="false">IF(ISBLANK(Actuals!N73),0,Actuals!N73)</f>
        <v>0</v>
      </c>
      <c r="N158" s="14" t="n">
        <f aca="false">IF(ISBLANK(Actuals!O73),0,Actuals!O73)</f>
        <v>0</v>
      </c>
      <c r="O158" s="14" t="n">
        <f aca="false">IF(ISBLANK(Actuals!P73),0,Actuals!P73)</f>
        <v>0</v>
      </c>
      <c r="P158" s="14" t="n">
        <f aca="false">IF(ISBLANK(Actuals!Q73),0,Actuals!Q73)</f>
        <v>0</v>
      </c>
      <c r="Q158" s="14" t="n">
        <f aca="false">IF(ISBLANK(Actuals!R73),0,Actuals!R73)</f>
        <v>0</v>
      </c>
      <c r="R158" s="14" t="n">
        <f aca="false">IF(ISBLANK(Actuals!S73),0,Actuals!S73)</f>
        <v>0</v>
      </c>
      <c r="S158" s="14" t="n">
        <f aca="false">IF(ISBLANK(Actuals!T73),0,Actuals!T73)</f>
        <v>0</v>
      </c>
      <c r="T158" s="14" t="n">
        <f aca="false">IF(ISBLANK(Actuals!U73),0,Actuals!U73)</f>
        <v>0</v>
      </c>
      <c r="U158" s="14" t="n">
        <f aca="false">IF(ISBLANK(Actuals!V73),0,Actuals!V73)</f>
        <v>0</v>
      </c>
      <c r="V158" s="14" t="n">
        <f aca="false">IF(ISBLANK(Actuals!W73),0,Actuals!W73)</f>
        <v>0</v>
      </c>
      <c r="W158" s="14" t="n">
        <f aca="false">IF(ISBLANK(Actuals!X73),0,Actuals!X73)</f>
        <v>0</v>
      </c>
      <c r="X158" s="14" t="n">
        <f aca="false">IF(ISBLANK(Actuals!Y73),0,Actuals!Y73)</f>
        <v>0</v>
      </c>
      <c r="Y158" s="14" t="n">
        <f aca="false">IF(ISBLANK(Actuals!Z73),0,Actuals!Z73)</f>
        <v>0</v>
      </c>
      <c r="Z158" s="14" t="n">
        <f aca="false">IF(ISBLANK(Actuals!AA73),0,Actuals!AA73)</f>
        <v>0</v>
      </c>
      <c r="AA158" s="14" t="n">
        <f aca="false">IF(ISBLANK(Actuals!AB73),0,Actuals!AB73)</f>
        <v>0</v>
      </c>
      <c r="AB158" s="14" t="n">
        <f aca="false">IF(ISBLANK(Actuals!AC73),0,Actuals!AC73)</f>
        <v>0</v>
      </c>
      <c r="AC158" s="14" t="n">
        <f aca="false">IF(ISBLANK(Actuals!AD73),0,Actuals!AD73)</f>
        <v>0</v>
      </c>
      <c r="AD158" s="14" t="n">
        <f aca="false">IF(ISBLANK(Actuals!AE73),0,Actuals!AE73)</f>
        <v>0</v>
      </c>
      <c r="AE158" s="14" t="n">
        <f aca="false">IF(ISBLANK(Actuals!AF73),0,Actuals!AF73)</f>
        <v>0</v>
      </c>
      <c r="AF158" s="14" t="n">
        <f aca="false">IF(ISBLANK(Actuals!AG73),0,Actuals!AG73)</f>
        <v>0</v>
      </c>
      <c r="AG158" s="14" t="n">
        <f aca="false">IF(ISBLANK(Actuals!AH73),0,Actuals!AH73)</f>
        <v>0</v>
      </c>
      <c r="AH158" s="14" t="n">
        <f aca="false">IF(ISBLANK(Actuals!AI73),0,Actuals!AI73)</f>
        <v>0</v>
      </c>
      <c r="AI158" s="14" t="n">
        <f aca="false">IF(ISBLANK(Actuals!AJ73),0,Actuals!AJ73)</f>
        <v>0</v>
      </c>
      <c r="AJ158" s="14" t="n">
        <f aca="false">IF(ISBLANK(Actuals!AK73),0,Actuals!AK73)</f>
        <v>0</v>
      </c>
      <c r="AK158" s="14" t="n">
        <f aca="false">IF(ISBLANK(Actuals!AL73),0,Actuals!AL73)</f>
        <v>0</v>
      </c>
      <c r="AL158" s="14" t="n">
        <f aca="false">IF(ISBLANK(Actuals!AM73),0,Actuals!AM73)</f>
        <v>0</v>
      </c>
      <c r="AM158" s="14" t="n">
        <f aca="false">IF(ISBLANK(Actuals!AN73),0,Actuals!AN73)</f>
        <v>0</v>
      </c>
      <c r="AN158" s="14" t="n">
        <f aca="false">IF(ISBLANK(Actuals!AO73),0,Actuals!AO73)</f>
        <v>0</v>
      </c>
      <c r="AO158" s="14" t="n">
        <f aca="false">IF(ISBLANK(Actuals!AP73),0,Actuals!AP73)</f>
        <v>0</v>
      </c>
      <c r="AP158" s="14" t="n">
        <f aca="false">IF(ISBLANK(Actuals!AQ73),0,Actuals!AQ73)</f>
        <v>0</v>
      </c>
      <c r="AQ158" s="14" t="n">
        <f aca="false">IF(ISBLANK(Actuals!AR73),0,Actuals!AR73)</f>
        <v>0</v>
      </c>
      <c r="AR158" s="14" t="n">
        <f aca="false">IF(ISBLANK(Actuals!AS73),0,Actuals!AS73)</f>
        <v>0</v>
      </c>
      <c r="AS158" s="14" t="n">
        <f aca="false">IF(ISBLANK(Actuals!AT73),0,Actuals!AT73)</f>
        <v>0</v>
      </c>
      <c r="AT158" s="14" t="n">
        <f aca="false">IF(ISBLANK(Actuals!AU73),0,Actuals!AU73)</f>
        <v>0</v>
      </c>
      <c r="AU158" s="14" t="n">
        <f aca="false">IF(ISBLANK(Actuals!AV73),0,Actuals!AV73)</f>
        <v>0</v>
      </c>
      <c r="AV158" s="14" t="n">
        <f aca="false">IF(ISBLANK(Actuals!AW73),0,Actuals!AW73)</f>
        <v>0</v>
      </c>
      <c r="AW158" s="14" t="n">
        <f aca="false">IF(ISBLANK(Actuals!AX73),0,Actuals!AX73)</f>
        <v>0</v>
      </c>
      <c r="AX158" s="14" t="n">
        <f aca="false">IF(ISBLANK(Actuals!AY73),0,Actuals!AY73)</f>
        <v>0</v>
      </c>
      <c r="AY158" s="14" t="n">
        <f aca="false">IF(ISBLANK(Actuals!AZ73),0,Actuals!AZ73)</f>
        <v>0</v>
      </c>
      <c r="AZ158" s="14" t="n">
        <f aca="false">IF(ISBLANK(Actuals!BA73),0,Actuals!BA73)</f>
        <v>0</v>
      </c>
      <c r="BA158" s="14" t="n">
        <f aca="false">IF(ISBLANK(Actuals!BB73),0,Actuals!BB73)</f>
        <v>0</v>
      </c>
      <c r="BB158" s="14" t="n">
        <f aca="false">IF(ISBLANK(Actuals!BC73),0,Actuals!BC73)</f>
        <v>0</v>
      </c>
      <c r="BC158" s="14" t="n">
        <f aca="false">IF(ISBLANK(Actuals!BD73),0,Actuals!BD73)</f>
        <v>0</v>
      </c>
      <c r="BD158" s="14" t="n">
        <f aca="false">IF(ISBLANK(Actuals!BE73),0,Actuals!BE73)</f>
        <v>0</v>
      </c>
      <c r="BE158" s="14" t="n">
        <f aca="false">IF(ISBLANK(Actuals!BF73),0,Actuals!BF73)</f>
        <v>0</v>
      </c>
      <c r="BF158" s="14" t="n">
        <f aca="false">IF(ISBLANK(Actuals!BG73),0,Actuals!BG73)</f>
        <v>0</v>
      </c>
      <c r="BG158" s="14" t="n">
        <f aca="false">IF(ISBLANK(Actuals!BH73),0,Actuals!BH73)</f>
        <v>0</v>
      </c>
      <c r="BH158" s="14" t="n">
        <f aca="false">IF(ISBLANK(Actuals!BI73),0,Actuals!BI73)</f>
        <v>0</v>
      </c>
      <c r="BI158" s="14" t="n">
        <f aca="false">IF(ISBLANK(Actuals!BJ73),0,Actuals!BJ73)</f>
        <v>0</v>
      </c>
      <c r="BJ158" s="14" t="n">
        <f aca="false">IF(ISBLANK(Actuals!BK73),0,Actuals!BK73)</f>
        <v>0</v>
      </c>
      <c r="BK158" s="14" t="n">
        <f aca="false">IF(ISBLANK(Actuals!BL73),0,Actuals!BL73)</f>
        <v>0</v>
      </c>
      <c r="BL158" s="14" t="n">
        <f aca="false">IF(ISBLANK(Actuals!BM73),0,Actuals!BM73)</f>
        <v>0</v>
      </c>
      <c r="BM158" s="14" t="n">
        <f aca="false">IF(ISBLANK(Actuals!BN73),0,Actuals!BN73)</f>
        <v>0</v>
      </c>
      <c r="BN158" s="14" t="n">
        <f aca="false">IF(ISBLANK(Actuals!BO73),0,Actuals!BO73)</f>
        <v>0</v>
      </c>
      <c r="BO158" s="14" t="n">
        <f aca="false">IF(ISBLANK(Actuals!BP73),0,Actuals!BP73)</f>
        <v>0</v>
      </c>
      <c r="BP158" s="14" t="n">
        <f aca="false">IF(ISBLANK(Actuals!BQ73),0,Actuals!BQ73)</f>
        <v>0</v>
      </c>
      <c r="BQ158" s="14" t="n">
        <f aca="false">IF(ISBLANK(Actuals!BR73),0,Actuals!BR73)</f>
        <v>0</v>
      </c>
      <c r="BR158" s="14" t="n">
        <f aca="false">IF(ISBLANK(Actuals!BS73),0,Actuals!BS73)</f>
        <v>0</v>
      </c>
      <c r="BS158" s="14" t="n">
        <f aca="false">IF(ISBLANK(Actuals!BT73),0,Actuals!BT73)</f>
        <v>0</v>
      </c>
      <c r="BT158" s="14" t="n">
        <f aca="false">IF(ISBLANK(Actuals!BU73),0,Actuals!BU73)</f>
        <v>0</v>
      </c>
      <c r="BU158" s="14" t="n">
        <f aca="false">IF(ISBLANK(Actuals!BV73),0,Actuals!BV73)</f>
        <v>0</v>
      </c>
      <c r="BV158" s="14" t="n">
        <f aca="false">IF(ISBLANK(Actuals!BW73),0,Actuals!BW73)</f>
        <v>0</v>
      </c>
      <c r="BW158" s="14" t="n">
        <f aca="false">IF(ISBLANK(Actuals!BX73),0,Actuals!BX73)</f>
        <v>0</v>
      </c>
      <c r="BX158" s="14" t="n">
        <f aca="false">IF(ISBLANK(Actuals!BY73),0,Actuals!BY73)</f>
        <v>0</v>
      </c>
      <c r="BY158" s="14" t="n">
        <f aca="false">IF(ISBLANK(Actuals!BZ73),0,Actuals!BZ73)</f>
        <v>0</v>
      </c>
      <c r="BZ158" s="14" t="n">
        <f aca="false">IF(ISBLANK(Actuals!CA73),0,Actuals!CA73)</f>
        <v>0</v>
      </c>
      <c r="CA158" s="14" t="n">
        <f aca="false">IF(ISBLANK(Actuals!CB73),0,Actuals!CB73)</f>
        <v>0</v>
      </c>
      <c r="CB158" s="14" t="n">
        <f aca="false">IF(ISBLANK(Actuals!CC73),0,Actuals!CC73)</f>
        <v>0</v>
      </c>
      <c r="CC158" s="14" t="n">
        <f aca="false">IF(ISBLANK(Actuals!CD73),0,Actuals!CD73)</f>
        <v>0</v>
      </c>
      <c r="CD158" s="14" t="n">
        <f aca="false">IF(ISBLANK(Actuals!CE73),0,Actuals!CE73)</f>
        <v>0</v>
      </c>
      <c r="CE158" s="14" t="n">
        <f aca="false">IF(ISBLANK(Actuals!CF73),0,Actuals!CF73)</f>
        <v>0</v>
      </c>
      <c r="CF158" s="14" t="n">
        <f aca="false">IF(ISBLANK(Actuals!CG73),0,Actuals!CG73)</f>
        <v>0</v>
      </c>
      <c r="CG158" s="14" t="n">
        <f aca="false">IF(ISBLANK(Actuals!CH73),0,Actuals!CH73)</f>
        <v>0</v>
      </c>
      <c r="CH158" s="14" t="n">
        <f aca="false">IF(ISBLANK(Actuals!CI73),0,Actuals!CI73)</f>
        <v>0</v>
      </c>
      <c r="CI158" s="14" t="n">
        <f aca="false">IF(ISBLANK(Actuals!CJ73),0,Actuals!CJ73)</f>
        <v>0</v>
      </c>
      <c r="CJ158" s="14" t="n">
        <f aca="false">IF(ISBLANK(Actuals!CK73),0,Actuals!CK73)</f>
        <v>0</v>
      </c>
      <c r="CK158" s="14" t="n">
        <f aca="false">IF(ISBLANK(Actuals!CL73),0,Actuals!CL73)</f>
        <v>0</v>
      </c>
      <c r="CL158" s="14" t="n">
        <f aca="false">IF(ISBLANK(Actuals!CM73),0,Actuals!CM73)</f>
        <v>0</v>
      </c>
      <c r="CM158" s="14" t="n">
        <f aca="false">IF(ISBLANK(Actuals!CN73),0,Actuals!CN73)</f>
        <v>0</v>
      </c>
      <c r="CN158" s="14" t="n">
        <f aca="false">IF(ISBLANK(Actuals!CO73),0,Actuals!CO73)</f>
        <v>0</v>
      </c>
      <c r="CO158" s="14" t="n">
        <f aca="false">IF(ISBLANK(Actuals!CP73),0,Actuals!CP73)</f>
        <v>0</v>
      </c>
      <c r="CP158" s="14" t="n">
        <f aca="false">IF(ISBLANK(Actuals!CQ73),0,Actuals!CQ73)</f>
        <v>0</v>
      </c>
      <c r="CQ158" s="14" t="n">
        <f aca="false">IF(ISBLANK(Actuals!CR73),0,Actuals!CR73)</f>
        <v>0</v>
      </c>
      <c r="CR158" s="14" t="n">
        <f aca="false">IF(ISBLANK(Actuals!CS73),0,Actuals!CS73)</f>
        <v>0</v>
      </c>
      <c r="CS158" s="14" t="n">
        <f aca="false">IF(ISBLANK(Actuals!CT73),0,Actuals!CT73)</f>
        <v>0</v>
      </c>
      <c r="CT158" s="14" t="n">
        <f aca="false">IF(ISBLANK(Actuals!CU73),0,Actuals!CU73)</f>
        <v>0</v>
      </c>
      <c r="CU158" s="14" t="n">
        <f aca="false">IF(ISBLANK(Actuals!CV73),0,Actuals!CV73)</f>
        <v>0</v>
      </c>
      <c r="CV158" s="14" t="n">
        <f aca="false">IF(ISBLANK(Actuals!CW73),0,Actuals!CW73)</f>
        <v>0</v>
      </c>
      <c r="CW158" s="14" t="n">
        <f aca="false">IF(ISBLANK(Actuals!CX73),0,Actuals!CX73)</f>
        <v>0</v>
      </c>
      <c r="CX158" s="14" t="n">
        <f aca="false">IF(ISBLANK(Actuals!CY73),0,Actuals!CY73)</f>
        <v>0</v>
      </c>
      <c r="CY158" s="14" t="n">
        <f aca="false">IF(ISBLANK(Actuals!CZ73),0,Actuals!CZ73)</f>
        <v>0</v>
      </c>
      <c r="CZ158" s="14" t="n">
        <f aca="false">IF(ISBLANK(Actuals!DA73),0,Actuals!DA73)</f>
        <v>0</v>
      </c>
      <c r="DA158" s="14" t="n">
        <f aca="false">IF(ISBLANK(Actuals!DB73),0,Actuals!DB73)</f>
        <v>0</v>
      </c>
      <c r="DB158" s="14" t="n">
        <f aca="false">IF(ISBLANK(Actuals!DC73),0,Actuals!DC73)</f>
        <v>0</v>
      </c>
      <c r="DC158" s="14" t="n">
        <f aca="false">IF(ISBLANK(Actuals!DD73),0,Actuals!DD73)</f>
        <v>0</v>
      </c>
      <c r="DD158" s="14" t="n">
        <f aca="false">IF(ISBLANK(Actuals!DE73),0,Actuals!DE73)</f>
        <v>0</v>
      </c>
      <c r="DE158" s="14" t="n">
        <f aca="false">IF(ISBLANK(Actuals!DF73),0,Actuals!DF73)</f>
        <v>0</v>
      </c>
    </row>
    <row r="159" customFormat="false" ht="15" hidden="false" customHeight="true" outlineLevel="0" collapsed="false">
      <c r="A159" s="29" t="s">
        <v>107</v>
      </c>
      <c r="B159" s="14" t="n">
        <f aca="false">IF(ISBLANK(Actuals!C74),0,Actuals!C74)</f>
        <v>0</v>
      </c>
      <c r="C159" s="14" t="n">
        <f aca="false">IF(ISBLANK(Actuals!D74),0,Actuals!D74)</f>
        <v>0</v>
      </c>
      <c r="D159" s="14" t="n">
        <f aca="false">IF(ISBLANK(Actuals!E74),0,Actuals!E74)</f>
        <v>0</v>
      </c>
      <c r="E159" s="14" t="n">
        <f aca="false">IF(ISBLANK(Actuals!F74),IF(AND(Projects!$G$12="Yes",1&gt;=Projects!$C$12,1&lt;Projects!$C$12+Projects!$D$12),6315.79,0),Actuals!F74)</f>
        <v>0</v>
      </c>
      <c r="F159" s="14" t="n">
        <f aca="false">IF(ISBLANK(Actuals!G74),IF(AND(Projects!$G$12="Yes",2&gt;=Projects!$C$12,2&lt;Projects!$C$12+Projects!$D$12),6315.79,0),Actuals!G74)</f>
        <v>0</v>
      </c>
      <c r="G159" s="14" t="n">
        <f aca="false">IF(ISBLANK(Actuals!H74),IF(AND(Projects!$G$12="Yes",3&gt;=Projects!$C$12,3&lt;Projects!$C$12+Projects!$D$12),6315.79,0),Actuals!H74)</f>
        <v>0</v>
      </c>
      <c r="H159" s="14" t="n">
        <f aca="false">IF(ISBLANK(Actuals!I74),IF(AND(Projects!$G$12="Yes",4&gt;=Projects!$C$12,4&lt;Projects!$C$12+Projects!$D$12),6315.79,0),Actuals!I74)</f>
        <v>0</v>
      </c>
      <c r="I159" s="14" t="n">
        <f aca="false">IF(ISBLANK(Actuals!J74),IF(AND(Projects!$G$12="Yes",5&gt;=Projects!$C$12,5&lt;Projects!$C$12+Projects!$D$12),6315.79,0),Actuals!J74)</f>
        <v>0</v>
      </c>
      <c r="J159" s="14" t="n">
        <f aca="false">IF(ISBLANK(Actuals!K74),IF(AND(Projects!$G$12="Yes",6&gt;=Projects!$C$12,6&lt;Projects!$C$12+Projects!$D$12),6315.79,0),Actuals!K74)</f>
        <v>0</v>
      </c>
      <c r="K159" s="14" t="n">
        <f aca="false">IF(ISBLANK(Actuals!L74),IF(AND(Projects!$G$12="Yes",7&gt;=Projects!$C$12,7&lt;Projects!$C$12+Projects!$D$12),6315.79,0),Actuals!L74)</f>
        <v>6315.79</v>
      </c>
      <c r="L159" s="14" t="n">
        <f aca="false">IF(ISBLANK(Actuals!M74),IF(AND(Projects!$G$12="Yes",8&gt;=Projects!$C$12,8&lt;Projects!$C$12+Projects!$D$12),6315.79,0),Actuals!M74)</f>
        <v>6315.79</v>
      </c>
      <c r="M159" s="14" t="n">
        <f aca="false">IF(ISBLANK(Actuals!N74),IF(AND(Projects!$G$12="Yes",9&gt;=Projects!$C$12,9&lt;Projects!$C$12+Projects!$D$12),6315.79,0),Actuals!N74)</f>
        <v>6315.79</v>
      </c>
      <c r="N159" s="14" t="n">
        <f aca="false">IF(ISBLANK(Actuals!O74),IF(AND(Projects!$G$12="Yes",10&gt;=Projects!$C$12,10&lt;Projects!$C$12+Projects!$D$12),6315.79,0),Actuals!O74)</f>
        <v>6315.79</v>
      </c>
      <c r="O159" s="14" t="n">
        <f aca="false">IF(ISBLANK(Actuals!P74),IF(AND(Projects!$G$12="Yes",11&gt;=Projects!$C$12,11&lt;Projects!$C$12+Projects!$D$12),6315.79,0),Actuals!P74)</f>
        <v>6315.79</v>
      </c>
      <c r="P159" s="14" t="n">
        <f aca="false">IF(ISBLANK(Actuals!Q74),IF(AND(Projects!$G$12="Yes",12&gt;=Projects!$C$12,12&lt;Projects!$C$12+Projects!$D$12),6315.79,0),Actuals!Q74)</f>
        <v>6315.79</v>
      </c>
      <c r="Q159" s="14" t="n">
        <f aca="false">IF(ISBLANK(Actuals!R74),IF(AND(Projects!$G$12="Yes",13&gt;=Projects!$C$12,13&lt;Projects!$C$12+Projects!$D$12),6315.79,0),Actuals!R74)</f>
        <v>6315.79</v>
      </c>
      <c r="R159" s="14" t="n">
        <f aca="false">IF(ISBLANK(Actuals!S74),IF(AND(Projects!$G$12="Yes",14&gt;=Projects!$C$12,14&lt;Projects!$C$12+Projects!$D$12),6315.79,0),Actuals!S74)</f>
        <v>6315.79</v>
      </c>
      <c r="S159" s="14" t="n">
        <f aca="false">IF(ISBLANK(Actuals!T74),IF(AND(Projects!$G$12="Yes",15&gt;=Projects!$C$12,15&lt;Projects!$C$12+Projects!$D$12),6315.79,0),Actuals!T74)</f>
        <v>6315.79</v>
      </c>
      <c r="T159" s="14" t="n">
        <f aca="false">IF(ISBLANK(Actuals!U74),IF(AND(Projects!$G$12="Yes",16&gt;=Projects!$C$12,16&lt;Projects!$C$12+Projects!$D$12),6315.79,0),Actuals!U74)</f>
        <v>6315.79</v>
      </c>
      <c r="U159" s="14" t="n">
        <f aca="false">IF(ISBLANK(Actuals!V74),IF(AND(Projects!$G$12="Yes",17&gt;=Projects!$C$12,17&lt;Projects!$C$12+Projects!$D$12),6315.79,0),Actuals!V74)</f>
        <v>6315.79</v>
      </c>
      <c r="V159" s="14" t="n">
        <f aca="false">IF(ISBLANK(Actuals!W74),IF(AND(Projects!$G$12="Yes",18&gt;=Projects!$C$12,18&lt;Projects!$C$12+Projects!$D$12),6315.79,0),Actuals!W74)</f>
        <v>6315.79</v>
      </c>
      <c r="W159" s="14" t="n">
        <f aca="false">IF(ISBLANK(Actuals!X74),IF(AND(Projects!$G$12="Yes",19&gt;=Projects!$C$12,19&lt;Projects!$C$12+Projects!$D$12),6315.79,0),Actuals!X74)</f>
        <v>6315.79</v>
      </c>
      <c r="X159" s="14" t="n">
        <f aca="false">IF(ISBLANK(Actuals!Y74),IF(AND(Projects!$G$12="Yes",20&gt;=Projects!$C$12,20&lt;Projects!$C$12+Projects!$D$12),6315.79,0),Actuals!Y74)</f>
        <v>6315.79</v>
      </c>
      <c r="Y159" s="14" t="n">
        <f aca="false">IF(ISBLANK(Actuals!Z74),IF(AND(Projects!$G$12="Yes",21&gt;=Projects!$C$12,21&lt;Projects!$C$12+Projects!$D$12),6315.79,0),Actuals!Z74)</f>
        <v>6315.79</v>
      </c>
      <c r="Z159" s="14" t="n">
        <f aca="false">IF(ISBLANK(Actuals!AA74),IF(AND(Projects!$G$12="Yes",22&gt;=Projects!$C$12,22&lt;Projects!$C$12+Projects!$D$12),6315.79,0),Actuals!AA74)</f>
        <v>6315.79</v>
      </c>
      <c r="AA159" s="14" t="n">
        <f aca="false">IF(ISBLANK(Actuals!AB74),IF(AND(Projects!$G$12="Yes",23&gt;=Projects!$C$12,23&lt;Projects!$C$12+Projects!$D$12),6315.79,0),Actuals!AB74)</f>
        <v>6315.79</v>
      </c>
      <c r="AB159" s="14" t="n">
        <f aca="false">IF(ISBLANK(Actuals!AC74),IF(AND(Projects!$G$12="Yes",24&gt;=Projects!$C$12,24&lt;Projects!$C$12+Projects!$D$12),6315.79,0),Actuals!AC74)</f>
        <v>6315.79</v>
      </c>
      <c r="AC159" s="14" t="n">
        <f aca="false">IF(ISBLANK(Actuals!AD74),IF(AND(Projects!$G$12="Yes",25&gt;=Projects!$C$12,25&lt;Projects!$C$12+Projects!$D$12),6315.79,0),Actuals!AD74)</f>
        <v>6315.79</v>
      </c>
      <c r="AD159" s="14" t="n">
        <f aca="false">IF(ISBLANK(Actuals!AE74),IF(AND(Projects!$G$12="Yes",26&gt;=Projects!$C$12,26&lt;Projects!$C$12+Projects!$D$12),6315.79,0),Actuals!AE74)</f>
        <v>0</v>
      </c>
      <c r="AE159" s="14" t="n">
        <f aca="false">IF(ISBLANK(Actuals!AF74),IF(AND(Projects!$G$12="Yes",27&gt;=Projects!$C$12,27&lt;Projects!$C$12+Projects!$D$12),6315.79,0),Actuals!AF74)</f>
        <v>0</v>
      </c>
      <c r="AF159" s="14" t="n">
        <f aca="false">IF(ISBLANK(Actuals!AG74),IF(AND(Projects!$G$12="Yes",28&gt;=Projects!$C$12,28&lt;Projects!$C$12+Projects!$D$12),6315.79,0),Actuals!AG74)</f>
        <v>0</v>
      </c>
      <c r="AG159" s="14" t="n">
        <f aca="false">IF(ISBLANK(Actuals!AH74),IF(AND(Projects!$G$12="Yes",29&gt;=Projects!$C$12,29&lt;Projects!$C$12+Projects!$D$12),6315.79,0),Actuals!AH74)</f>
        <v>0</v>
      </c>
      <c r="AH159" s="14" t="n">
        <f aca="false">IF(ISBLANK(Actuals!AI74),IF(AND(Projects!$G$12="Yes",30&gt;=Projects!$C$12,30&lt;Projects!$C$12+Projects!$D$12),6315.79,0),Actuals!AI74)</f>
        <v>0</v>
      </c>
      <c r="AI159" s="14" t="n">
        <f aca="false">IF(ISBLANK(Actuals!AJ74),IF(AND(Projects!$G$12="Yes",31&gt;=Projects!$C$12,31&lt;Projects!$C$12+Projects!$D$12),6315.79,0),Actuals!AJ74)</f>
        <v>0</v>
      </c>
      <c r="AJ159" s="14" t="n">
        <f aca="false">IF(ISBLANK(Actuals!AK74),IF(AND(Projects!$G$12="Yes",32&gt;=Projects!$C$12,32&lt;Projects!$C$12+Projects!$D$12),6315.79,0),Actuals!AK74)</f>
        <v>0</v>
      </c>
      <c r="AK159" s="14" t="n">
        <f aca="false">IF(ISBLANK(Actuals!AL74),IF(AND(Projects!$G$12="Yes",33&gt;=Projects!$C$12,33&lt;Projects!$C$12+Projects!$D$12),6315.79,0),Actuals!AL74)</f>
        <v>0</v>
      </c>
      <c r="AL159" s="14" t="n">
        <f aca="false">IF(ISBLANK(Actuals!AM74),IF(AND(Projects!$G$12="Yes",34&gt;=Projects!$C$12,34&lt;Projects!$C$12+Projects!$D$12),6315.79,0),Actuals!AM74)</f>
        <v>0</v>
      </c>
      <c r="AM159" s="14" t="n">
        <f aca="false">IF(ISBLANK(Actuals!AN74),IF(AND(Projects!$G$12="Yes",35&gt;=Projects!$C$12,35&lt;Projects!$C$12+Projects!$D$12),6315.79,0),Actuals!AN74)</f>
        <v>0</v>
      </c>
      <c r="AN159" s="14" t="n">
        <f aca="false">IF(ISBLANK(Actuals!AO74),IF(AND(Projects!$G$12="Yes",36&gt;=Projects!$C$12,36&lt;Projects!$C$12+Projects!$D$12),6315.79,0),Actuals!AO74)</f>
        <v>0</v>
      </c>
      <c r="AO159" s="14" t="n">
        <f aca="false">IF(ISBLANK(Actuals!AP74),IF(AND(Projects!$G$12="Yes",37&gt;=Projects!$C$12,37&lt;Projects!$C$12+Projects!$D$12),6315.79,0),Actuals!AP74)</f>
        <v>0</v>
      </c>
      <c r="AP159" s="14" t="n">
        <f aca="false">IF(ISBLANK(Actuals!AQ74),IF(AND(Projects!$G$12="Yes",38&gt;=Projects!$C$12,38&lt;Projects!$C$12+Projects!$D$12),6315.79,0),Actuals!AQ74)</f>
        <v>0</v>
      </c>
      <c r="AQ159" s="14" t="n">
        <f aca="false">IF(ISBLANK(Actuals!AR74),IF(AND(Projects!$G$12="Yes",39&gt;=Projects!$C$12,39&lt;Projects!$C$12+Projects!$D$12),6315.79,0),Actuals!AR74)</f>
        <v>0</v>
      </c>
      <c r="AR159" s="14" t="n">
        <f aca="false">IF(ISBLANK(Actuals!AS74),IF(AND(Projects!$G$12="Yes",40&gt;=Projects!$C$12,40&lt;Projects!$C$12+Projects!$D$12),6315.79,0),Actuals!AS74)</f>
        <v>0</v>
      </c>
      <c r="AS159" s="14" t="n">
        <f aca="false">IF(ISBLANK(Actuals!AT74),IF(AND(Projects!$G$12="Yes",41&gt;=Projects!$C$12,41&lt;Projects!$C$12+Projects!$D$12),6315.79,0),Actuals!AT74)</f>
        <v>0</v>
      </c>
      <c r="AT159" s="14" t="n">
        <f aca="false">IF(ISBLANK(Actuals!AU74),IF(AND(Projects!$G$12="Yes",42&gt;=Projects!$C$12,42&lt;Projects!$C$12+Projects!$D$12),6315.79,0),Actuals!AU74)</f>
        <v>0</v>
      </c>
      <c r="AU159" s="14" t="n">
        <f aca="false">IF(ISBLANK(Actuals!AV74),IF(AND(Projects!$G$12="Yes",43&gt;=Projects!$C$12,43&lt;Projects!$C$12+Projects!$D$12),6315.79,0),Actuals!AV74)</f>
        <v>0</v>
      </c>
      <c r="AV159" s="14" t="n">
        <f aca="false">IF(ISBLANK(Actuals!AW74),IF(AND(Projects!$G$12="Yes",44&gt;=Projects!$C$12,44&lt;Projects!$C$12+Projects!$D$12),6315.79,0),Actuals!AW74)</f>
        <v>0</v>
      </c>
      <c r="AW159" s="14" t="n">
        <f aca="false">IF(ISBLANK(Actuals!AX74),IF(AND(Projects!$G$12="Yes",45&gt;=Projects!$C$12,45&lt;Projects!$C$12+Projects!$D$12),6315.79,0),Actuals!AX74)</f>
        <v>0</v>
      </c>
      <c r="AX159" s="14" t="n">
        <f aca="false">IF(ISBLANK(Actuals!AY74),IF(AND(Projects!$G$12="Yes",46&gt;=Projects!$C$12,46&lt;Projects!$C$12+Projects!$D$12),6315.79,0),Actuals!AY74)</f>
        <v>0</v>
      </c>
      <c r="AY159" s="14" t="n">
        <f aca="false">IF(ISBLANK(Actuals!AZ74),IF(AND(Projects!$G$12="Yes",47&gt;=Projects!$C$12,47&lt;Projects!$C$12+Projects!$D$12),6315.79,0),Actuals!AZ74)</f>
        <v>0</v>
      </c>
      <c r="AZ159" s="14" t="n">
        <f aca="false">IF(ISBLANK(Actuals!BA74),IF(AND(Projects!$G$12="Yes",48&gt;=Projects!$C$12,48&lt;Projects!$C$12+Projects!$D$12),6315.79,0),Actuals!BA74)</f>
        <v>0</v>
      </c>
      <c r="BA159" s="14" t="n">
        <f aca="false">IF(ISBLANK(Actuals!BB74),IF(AND(Projects!$G$12="Yes",49&gt;=Projects!$C$12,49&lt;Projects!$C$12+Projects!$D$12),6315.79,0),Actuals!BB74)</f>
        <v>0</v>
      </c>
      <c r="BB159" s="14" t="n">
        <f aca="false">IF(ISBLANK(Actuals!BC74),IF(AND(Projects!$G$12="Yes",50&gt;=Projects!$C$12,50&lt;Projects!$C$12+Projects!$D$12),6315.79,0),Actuals!BC74)</f>
        <v>0</v>
      </c>
      <c r="BC159" s="14" t="n">
        <f aca="false">IF(ISBLANK(Actuals!BD74),IF(AND(Projects!$G$12="Yes",51&gt;=Projects!$C$12,51&lt;Projects!$C$12+Projects!$D$12),6315.79,0),Actuals!BD74)</f>
        <v>0</v>
      </c>
      <c r="BD159" s="14" t="n">
        <f aca="false">IF(ISBLANK(Actuals!BE74),IF(AND(Projects!$G$12="Yes",52&gt;=Projects!$C$12,52&lt;Projects!$C$12+Projects!$D$12),6315.79,0),Actuals!BE74)</f>
        <v>0</v>
      </c>
      <c r="BE159" s="14" t="n">
        <f aca="false">IF(ISBLANK(Actuals!BF74),IF(AND(Projects!$G$12="Yes",53&gt;=Projects!$C$12,53&lt;Projects!$C$12+Projects!$D$12),6315.79,0),Actuals!BF74)</f>
        <v>0</v>
      </c>
      <c r="BF159" s="14" t="n">
        <f aca="false">IF(ISBLANK(Actuals!BG74),IF(AND(Projects!$G$12="Yes",54&gt;=Projects!$C$12,54&lt;Projects!$C$12+Projects!$D$12),6315.79,0),Actuals!BG74)</f>
        <v>0</v>
      </c>
      <c r="BG159" s="14" t="n">
        <f aca="false">IF(ISBLANK(Actuals!BH74),IF(AND(Projects!$G$12="Yes",55&gt;=Projects!$C$12,55&lt;Projects!$C$12+Projects!$D$12),6315.79,0),Actuals!BH74)</f>
        <v>0</v>
      </c>
      <c r="BH159" s="14" t="n">
        <f aca="false">IF(ISBLANK(Actuals!BI74),IF(AND(Projects!$G$12="Yes",56&gt;=Projects!$C$12,56&lt;Projects!$C$12+Projects!$D$12),6315.79,0),Actuals!BI74)</f>
        <v>0</v>
      </c>
      <c r="BI159" s="14" t="n">
        <f aca="false">IF(ISBLANK(Actuals!BJ74),IF(AND(Projects!$G$12="Yes",57&gt;=Projects!$C$12,57&lt;Projects!$C$12+Projects!$D$12),6315.79,0),Actuals!BJ74)</f>
        <v>0</v>
      </c>
      <c r="BJ159" s="14" t="n">
        <f aca="false">IF(ISBLANK(Actuals!BK74),IF(AND(Projects!$G$12="Yes",58&gt;=Projects!$C$12,58&lt;Projects!$C$12+Projects!$D$12),6315.79,0),Actuals!BK74)</f>
        <v>0</v>
      </c>
      <c r="BK159" s="14" t="n">
        <f aca="false">IF(ISBLANK(Actuals!BL74),IF(AND(Projects!$G$12="Yes",59&gt;=Projects!$C$12,59&lt;Projects!$C$12+Projects!$D$12),6315.79,0),Actuals!BL74)</f>
        <v>0</v>
      </c>
      <c r="BL159" s="14" t="n">
        <f aca="false">IF(ISBLANK(Actuals!BM74),IF(AND(Projects!$G$12="Yes",60&gt;=Projects!$C$12,60&lt;Projects!$C$12+Projects!$D$12),6315.79,0),Actuals!BM74)</f>
        <v>0</v>
      </c>
      <c r="BM159" s="14" t="n">
        <f aca="false">IF(ISBLANK(Actuals!BN74),IF(AND(Projects!$G$12="Yes",61&gt;=Projects!$C$12,61&lt;Projects!$C$12+Projects!$D$12),6315.79,0),Actuals!BN74)</f>
        <v>0</v>
      </c>
      <c r="BN159" s="14" t="n">
        <f aca="false">IF(ISBLANK(Actuals!BO74),IF(AND(Projects!$G$12="Yes",62&gt;=Projects!$C$12,62&lt;Projects!$C$12+Projects!$D$12),6315.79,0),Actuals!BO74)</f>
        <v>0</v>
      </c>
      <c r="BO159" s="14" t="n">
        <f aca="false">IF(ISBLANK(Actuals!BP74),IF(AND(Projects!$G$12="Yes",63&gt;=Projects!$C$12,63&lt;Projects!$C$12+Projects!$D$12),6315.79,0),Actuals!BP74)</f>
        <v>0</v>
      </c>
      <c r="BP159" s="14" t="n">
        <f aca="false">IF(ISBLANK(Actuals!BQ74),IF(AND(Projects!$G$12="Yes",64&gt;=Projects!$C$12,64&lt;Projects!$C$12+Projects!$D$12),6315.79,0),Actuals!BQ74)</f>
        <v>0</v>
      </c>
      <c r="BQ159" s="14" t="n">
        <f aca="false">IF(ISBLANK(Actuals!BR74),IF(AND(Projects!$G$12="Yes",65&gt;=Projects!$C$12,65&lt;Projects!$C$12+Projects!$D$12),6315.79,0),Actuals!BR74)</f>
        <v>0</v>
      </c>
      <c r="BR159" s="14" t="n">
        <f aca="false">IF(ISBLANK(Actuals!BS74),IF(AND(Projects!$G$12="Yes",66&gt;=Projects!$C$12,66&lt;Projects!$C$12+Projects!$D$12),6315.79,0),Actuals!BS74)</f>
        <v>0</v>
      </c>
      <c r="BS159" s="14" t="n">
        <f aca="false">IF(ISBLANK(Actuals!BT74),IF(AND(Projects!$G$12="Yes",67&gt;=Projects!$C$12,67&lt;Projects!$C$12+Projects!$D$12),6315.79,0),Actuals!BT74)</f>
        <v>0</v>
      </c>
      <c r="BT159" s="14" t="n">
        <f aca="false">IF(ISBLANK(Actuals!BU74),IF(AND(Projects!$G$12="Yes",68&gt;=Projects!$C$12,68&lt;Projects!$C$12+Projects!$D$12),6315.79,0),Actuals!BU74)</f>
        <v>0</v>
      </c>
      <c r="BU159" s="14" t="n">
        <f aca="false">IF(ISBLANK(Actuals!BV74),IF(AND(Projects!$G$12="Yes",69&gt;=Projects!$C$12,69&lt;Projects!$C$12+Projects!$D$12),6315.79,0),Actuals!BV74)</f>
        <v>0</v>
      </c>
      <c r="BV159" s="14" t="n">
        <f aca="false">IF(ISBLANK(Actuals!BW74),IF(AND(Projects!$G$12="Yes",70&gt;=Projects!$C$12,70&lt;Projects!$C$12+Projects!$D$12),6315.79,0),Actuals!BW74)</f>
        <v>0</v>
      </c>
      <c r="BW159" s="14" t="n">
        <f aca="false">IF(ISBLANK(Actuals!BX74),IF(AND(Projects!$G$12="Yes",71&gt;=Projects!$C$12,71&lt;Projects!$C$12+Projects!$D$12),6315.79,0),Actuals!BX74)</f>
        <v>0</v>
      </c>
      <c r="BX159" s="14" t="n">
        <f aca="false">IF(ISBLANK(Actuals!BY74),IF(AND(Projects!$G$12="Yes",72&gt;=Projects!$C$12,72&lt;Projects!$C$12+Projects!$D$12),6315.79,0),Actuals!BY74)</f>
        <v>0</v>
      </c>
      <c r="BY159" s="14" t="n">
        <f aca="false">IF(ISBLANK(Actuals!BZ74),IF(AND(Projects!$G$12="Yes",73&gt;=Projects!$C$12,73&lt;Projects!$C$12+Projects!$D$12),6315.79,0),Actuals!BZ74)</f>
        <v>0</v>
      </c>
      <c r="BZ159" s="14" t="n">
        <f aca="false">IF(ISBLANK(Actuals!CA74),IF(AND(Projects!$G$12="Yes",74&gt;=Projects!$C$12,74&lt;Projects!$C$12+Projects!$D$12),6315.79,0),Actuals!CA74)</f>
        <v>0</v>
      </c>
      <c r="CA159" s="14" t="n">
        <f aca="false">IF(ISBLANK(Actuals!CB74),IF(AND(Projects!$G$12="Yes",75&gt;=Projects!$C$12,75&lt;Projects!$C$12+Projects!$D$12),6315.79,0),Actuals!CB74)</f>
        <v>0</v>
      </c>
      <c r="CB159" s="14" t="n">
        <f aca="false">IF(ISBLANK(Actuals!CC74),IF(AND(Projects!$G$12="Yes",76&gt;=Projects!$C$12,76&lt;Projects!$C$12+Projects!$D$12),6315.79,0),Actuals!CC74)</f>
        <v>0</v>
      </c>
      <c r="CC159" s="14" t="n">
        <f aca="false">IF(ISBLANK(Actuals!CD74),IF(AND(Projects!$G$12="Yes",77&gt;=Projects!$C$12,77&lt;Projects!$C$12+Projects!$D$12),6315.79,0),Actuals!CD74)</f>
        <v>0</v>
      </c>
      <c r="CD159" s="14" t="n">
        <f aca="false">IF(ISBLANK(Actuals!CE74),IF(AND(Projects!$G$12="Yes",78&gt;=Projects!$C$12,78&lt;Projects!$C$12+Projects!$D$12),6315.79,0),Actuals!CE74)</f>
        <v>0</v>
      </c>
      <c r="CE159" s="14" t="n">
        <f aca="false">IF(ISBLANK(Actuals!CF74),IF(AND(Projects!$G$12="Yes",79&gt;=Projects!$C$12,79&lt;Projects!$C$12+Projects!$D$12),6315.79,0),Actuals!CF74)</f>
        <v>0</v>
      </c>
      <c r="CF159" s="14" t="n">
        <f aca="false">IF(ISBLANK(Actuals!CG74),IF(AND(Projects!$G$12="Yes",80&gt;=Projects!$C$12,80&lt;Projects!$C$12+Projects!$D$12),6315.79,0),Actuals!CG74)</f>
        <v>0</v>
      </c>
      <c r="CG159" s="14" t="n">
        <f aca="false">IF(ISBLANK(Actuals!CH74),IF(AND(Projects!$G$12="Yes",81&gt;=Projects!$C$12,81&lt;Projects!$C$12+Projects!$D$12),6315.79,0),Actuals!CH74)</f>
        <v>0</v>
      </c>
      <c r="CH159" s="14" t="n">
        <f aca="false">IF(ISBLANK(Actuals!CI74),IF(AND(Projects!$G$12="Yes",82&gt;=Projects!$C$12,82&lt;Projects!$C$12+Projects!$D$12),6315.79,0),Actuals!CI74)</f>
        <v>0</v>
      </c>
      <c r="CI159" s="14" t="n">
        <f aca="false">IF(ISBLANK(Actuals!CJ74),IF(AND(Projects!$G$12="Yes",83&gt;=Projects!$C$12,83&lt;Projects!$C$12+Projects!$D$12),6315.79,0),Actuals!CJ74)</f>
        <v>0</v>
      </c>
      <c r="CJ159" s="14" t="n">
        <f aca="false">IF(ISBLANK(Actuals!CK74),IF(AND(Projects!$G$12="Yes",84&gt;=Projects!$C$12,84&lt;Projects!$C$12+Projects!$D$12),6315.79,0),Actuals!CK74)</f>
        <v>0</v>
      </c>
      <c r="CK159" s="14" t="n">
        <f aca="false">IF(ISBLANK(Actuals!CL74),IF(AND(Projects!$G$12="Yes",85&gt;=Projects!$C$12,85&lt;Projects!$C$12+Projects!$D$12),6315.79,0),Actuals!CL74)</f>
        <v>0</v>
      </c>
      <c r="CL159" s="14" t="n">
        <f aca="false">IF(ISBLANK(Actuals!CM74),IF(AND(Projects!$G$12="Yes",86&gt;=Projects!$C$12,86&lt;Projects!$C$12+Projects!$D$12),6315.79,0),Actuals!CM74)</f>
        <v>0</v>
      </c>
      <c r="CM159" s="14" t="n">
        <f aca="false">IF(ISBLANK(Actuals!CN74),IF(AND(Projects!$G$12="Yes",87&gt;=Projects!$C$12,87&lt;Projects!$C$12+Projects!$D$12),6315.79,0),Actuals!CN74)</f>
        <v>0</v>
      </c>
      <c r="CN159" s="14" t="n">
        <f aca="false">IF(ISBLANK(Actuals!CO74),IF(AND(Projects!$G$12="Yes",88&gt;=Projects!$C$12,88&lt;Projects!$C$12+Projects!$D$12),6315.79,0),Actuals!CO74)</f>
        <v>0</v>
      </c>
      <c r="CO159" s="14" t="n">
        <f aca="false">IF(ISBLANK(Actuals!CP74),IF(AND(Projects!$G$12="Yes",89&gt;=Projects!$C$12,89&lt;Projects!$C$12+Projects!$D$12),6315.79,0),Actuals!CP74)</f>
        <v>0</v>
      </c>
      <c r="CP159" s="14" t="n">
        <f aca="false">IF(ISBLANK(Actuals!CQ74),IF(AND(Projects!$G$12="Yes",90&gt;=Projects!$C$12,90&lt;Projects!$C$12+Projects!$D$12),6315.79,0),Actuals!CQ74)</f>
        <v>0</v>
      </c>
      <c r="CQ159" s="14" t="n">
        <f aca="false">IF(ISBLANK(Actuals!CR74),IF(AND(Projects!$G$12="Yes",91&gt;=Projects!$C$12,91&lt;Projects!$C$12+Projects!$D$12),6315.79,0),Actuals!CR74)</f>
        <v>0</v>
      </c>
      <c r="CR159" s="14" t="n">
        <f aca="false">IF(ISBLANK(Actuals!CS74),IF(AND(Projects!$G$12="Yes",92&gt;=Projects!$C$12,92&lt;Projects!$C$12+Projects!$D$12),6315.79,0),Actuals!CS74)</f>
        <v>0</v>
      </c>
      <c r="CS159" s="14" t="n">
        <f aca="false">IF(ISBLANK(Actuals!CT74),IF(AND(Projects!$G$12="Yes",93&gt;=Projects!$C$12,93&lt;Projects!$C$12+Projects!$D$12),6315.79,0),Actuals!CT74)</f>
        <v>0</v>
      </c>
      <c r="CT159" s="14" t="n">
        <f aca="false">IF(ISBLANK(Actuals!CU74),IF(AND(Projects!$G$12="Yes",94&gt;=Projects!$C$12,94&lt;Projects!$C$12+Projects!$D$12),6315.79,0),Actuals!CU74)</f>
        <v>0</v>
      </c>
      <c r="CU159" s="14" t="n">
        <f aca="false">IF(ISBLANK(Actuals!CV74),IF(AND(Projects!$G$12="Yes",95&gt;=Projects!$C$12,95&lt;Projects!$C$12+Projects!$D$12),6315.79,0),Actuals!CV74)</f>
        <v>0</v>
      </c>
      <c r="CV159" s="14" t="n">
        <f aca="false">IF(ISBLANK(Actuals!CW74),IF(AND(Projects!$G$12="Yes",96&gt;=Projects!$C$12,96&lt;Projects!$C$12+Projects!$D$12),6315.79,0),Actuals!CW74)</f>
        <v>0</v>
      </c>
      <c r="CW159" s="14" t="n">
        <f aca="false">IF(ISBLANK(Actuals!CX74),IF(AND(Projects!$G$12="Yes",97&gt;=Projects!$C$12,97&lt;Projects!$C$12+Projects!$D$12),6315.79,0),Actuals!CX74)</f>
        <v>0</v>
      </c>
      <c r="CX159" s="14" t="n">
        <f aca="false">IF(ISBLANK(Actuals!CY74),IF(AND(Projects!$G$12="Yes",98&gt;=Projects!$C$12,98&lt;Projects!$C$12+Projects!$D$12),6315.79,0),Actuals!CY74)</f>
        <v>0</v>
      </c>
      <c r="CY159" s="14" t="n">
        <f aca="false">IF(ISBLANK(Actuals!CZ74),IF(AND(Projects!$G$12="Yes",99&gt;=Projects!$C$12,99&lt;Projects!$C$12+Projects!$D$12),6315.79,0),Actuals!CZ74)</f>
        <v>0</v>
      </c>
      <c r="CZ159" s="14" t="n">
        <f aca="false">IF(ISBLANK(Actuals!DA74),IF(AND(Projects!$G$12="Yes",100&gt;=Projects!$C$12,100&lt;Projects!$C$12+Projects!$D$12),6315.79,0),Actuals!DA74)</f>
        <v>0</v>
      </c>
      <c r="DA159" s="14" t="n">
        <f aca="false">IF(ISBLANK(Actuals!DB74),IF(AND(Projects!$G$12="Yes",101&gt;=Projects!$C$12,101&lt;Projects!$C$12+Projects!$D$12),6315.79,0),Actuals!DB74)</f>
        <v>0</v>
      </c>
      <c r="DB159" s="14" t="n">
        <f aca="false">IF(ISBLANK(Actuals!DC74),IF(AND(Projects!$G$12="Yes",102&gt;=Projects!$C$12,102&lt;Projects!$C$12+Projects!$D$12),6315.79,0),Actuals!DC74)</f>
        <v>0</v>
      </c>
      <c r="DC159" s="14" t="n">
        <f aca="false">IF(ISBLANK(Actuals!DD74),IF(AND(Projects!$G$12="Yes",103&gt;=Projects!$C$12,103&lt;Projects!$C$12+Projects!$D$12),6315.79,0),Actuals!DD74)</f>
        <v>0</v>
      </c>
      <c r="DD159" s="14" t="n">
        <f aca="false">IF(ISBLANK(Actuals!DE74),IF(AND(Projects!$G$12="Yes",104&gt;=Projects!$C$12,104&lt;Projects!$C$12+Projects!$D$12),6315.79,0),Actuals!DE74)</f>
        <v>0</v>
      </c>
      <c r="DE159" s="14" t="n">
        <f aca="false">IF(ISBLANK(Actuals!DF74),IF(AND(Projects!$G$12="Yes",105&gt;=Projects!$C$12,105&lt;Projects!$C$12+Projects!$D$12),6315.79,0),Actuals!DF74)</f>
        <v>0</v>
      </c>
    </row>
    <row r="160" customFormat="false" ht="15" hidden="false" customHeight="true" outlineLevel="0" collapsed="false">
      <c r="A160" s="29" t="s">
        <v>108</v>
      </c>
      <c r="B160" s="14" t="n">
        <f aca="false">IF(ISBLANK(Actuals!C75),0,Actuals!C75)</f>
        <v>0</v>
      </c>
      <c r="C160" s="14" t="n">
        <f aca="false">IF(ISBLANK(Actuals!D75),0,Actuals!D75)</f>
        <v>0</v>
      </c>
      <c r="D160" s="14" t="n">
        <f aca="false">IF(ISBLANK(Actuals!E75),0,Actuals!E75)</f>
        <v>0</v>
      </c>
      <c r="E160" s="14" t="n">
        <f aca="false">IF(ISBLANK(Actuals!F75),IF(AND(Projects!$G$12="Yes",1&gt;=Projects!$C$12,1&lt;Projects!$C$12+Projects!$D$12),4736.84,0),Actuals!F75)</f>
        <v>0</v>
      </c>
      <c r="F160" s="14" t="n">
        <f aca="false">IF(ISBLANK(Actuals!G75),IF(AND(Projects!$G$12="Yes",2&gt;=Projects!$C$12,2&lt;Projects!$C$12+Projects!$D$12),4736.84,0),Actuals!G75)</f>
        <v>0</v>
      </c>
      <c r="G160" s="14" t="n">
        <f aca="false">IF(ISBLANK(Actuals!H75),IF(AND(Projects!$G$12="Yes",3&gt;=Projects!$C$12,3&lt;Projects!$C$12+Projects!$D$12),4736.84,0),Actuals!H75)</f>
        <v>0</v>
      </c>
      <c r="H160" s="14" t="n">
        <f aca="false">IF(ISBLANK(Actuals!I75),IF(AND(Projects!$G$12="Yes",4&gt;=Projects!$C$12,4&lt;Projects!$C$12+Projects!$D$12),4736.84,0),Actuals!I75)</f>
        <v>0</v>
      </c>
      <c r="I160" s="14" t="n">
        <f aca="false">IF(ISBLANK(Actuals!J75),IF(AND(Projects!$G$12="Yes",5&gt;=Projects!$C$12,5&lt;Projects!$C$12+Projects!$D$12),4736.84,0),Actuals!J75)</f>
        <v>0</v>
      </c>
      <c r="J160" s="14" t="n">
        <f aca="false">IF(ISBLANK(Actuals!K75),IF(AND(Projects!$G$12="Yes",6&gt;=Projects!$C$12,6&lt;Projects!$C$12+Projects!$D$12),4736.84,0),Actuals!K75)</f>
        <v>0</v>
      </c>
      <c r="K160" s="14" t="n">
        <f aca="false">IF(ISBLANK(Actuals!L75),IF(AND(Projects!$G$12="Yes",7&gt;=Projects!$C$12,7&lt;Projects!$C$12+Projects!$D$12),4736.84,0),Actuals!L75)</f>
        <v>4736.84</v>
      </c>
      <c r="L160" s="14" t="n">
        <f aca="false">IF(ISBLANK(Actuals!M75),IF(AND(Projects!$G$12="Yes",8&gt;=Projects!$C$12,8&lt;Projects!$C$12+Projects!$D$12),4736.84,0),Actuals!M75)</f>
        <v>4736.84</v>
      </c>
      <c r="M160" s="14" t="n">
        <f aca="false">IF(ISBLANK(Actuals!N75),IF(AND(Projects!$G$12="Yes",9&gt;=Projects!$C$12,9&lt;Projects!$C$12+Projects!$D$12),4736.84,0),Actuals!N75)</f>
        <v>4736.84</v>
      </c>
      <c r="N160" s="14" t="n">
        <f aca="false">IF(ISBLANK(Actuals!O75),IF(AND(Projects!$G$12="Yes",10&gt;=Projects!$C$12,10&lt;Projects!$C$12+Projects!$D$12),4736.84,0),Actuals!O75)</f>
        <v>4736.84</v>
      </c>
      <c r="O160" s="14" t="n">
        <f aca="false">IF(ISBLANK(Actuals!P75),IF(AND(Projects!$G$12="Yes",11&gt;=Projects!$C$12,11&lt;Projects!$C$12+Projects!$D$12),4736.84,0),Actuals!P75)</f>
        <v>4736.84</v>
      </c>
      <c r="P160" s="14" t="n">
        <f aca="false">IF(ISBLANK(Actuals!Q75),IF(AND(Projects!$G$12="Yes",12&gt;=Projects!$C$12,12&lt;Projects!$C$12+Projects!$D$12),4736.84,0),Actuals!Q75)</f>
        <v>4736.84</v>
      </c>
      <c r="Q160" s="14" t="n">
        <f aca="false">IF(ISBLANK(Actuals!R75),IF(AND(Projects!$G$12="Yes",13&gt;=Projects!$C$12,13&lt;Projects!$C$12+Projects!$D$12),4736.84,0),Actuals!R75)</f>
        <v>4736.84</v>
      </c>
      <c r="R160" s="14" t="n">
        <f aca="false">IF(ISBLANK(Actuals!S75),IF(AND(Projects!$G$12="Yes",14&gt;=Projects!$C$12,14&lt;Projects!$C$12+Projects!$D$12),4736.84,0),Actuals!S75)</f>
        <v>4736.84</v>
      </c>
      <c r="S160" s="14" t="n">
        <f aca="false">IF(ISBLANK(Actuals!T75),IF(AND(Projects!$G$12="Yes",15&gt;=Projects!$C$12,15&lt;Projects!$C$12+Projects!$D$12),4736.84,0),Actuals!T75)</f>
        <v>4736.84</v>
      </c>
      <c r="T160" s="14" t="n">
        <f aca="false">IF(ISBLANK(Actuals!U75),IF(AND(Projects!$G$12="Yes",16&gt;=Projects!$C$12,16&lt;Projects!$C$12+Projects!$D$12),4736.84,0),Actuals!U75)</f>
        <v>4736.84</v>
      </c>
      <c r="U160" s="14" t="n">
        <f aca="false">IF(ISBLANK(Actuals!V75),IF(AND(Projects!$G$12="Yes",17&gt;=Projects!$C$12,17&lt;Projects!$C$12+Projects!$D$12),4736.84,0),Actuals!V75)</f>
        <v>4736.84</v>
      </c>
      <c r="V160" s="14" t="n">
        <f aca="false">IF(ISBLANK(Actuals!W75),IF(AND(Projects!$G$12="Yes",18&gt;=Projects!$C$12,18&lt;Projects!$C$12+Projects!$D$12),4736.84,0),Actuals!W75)</f>
        <v>4736.84</v>
      </c>
      <c r="W160" s="14" t="n">
        <f aca="false">IF(ISBLANK(Actuals!X75),IF(AND(Projects!$G$12="Yes",19&gt;=Projects!$C$12,19&lt;Projects!$C$12+Projects!$D$12),4736.84,0),Actuals!X75)</f>
        <v>4736.84</v>
      </c>
      <c r="X160" s="14" t="n">
        <f aca="false">IF(ISBLANK(Actuals!Y75),IF(AND(Projects!$G$12="Yes",20&gt;=Projects!$C$12,20&lt;Projects!$C$12+Projects!$D$12),4736.84,0),Actuals!Y75)</f>
        <v>4736.84</v>
      </c>
      <c r="Y160" s="14" t="n">
        <f aca="false">IF(ISBLANK(Actuals!Z75),IF(AND(Projects!$G$12="Yes",21&gt;=Projects!$C$12,21&lt;Projects!$C$12+Projects!$D$12),4736.84,0),Actuals!Z75)</f>
        <v>4736.84</v>
      </c>
      <c r="Z160" s="14" t="n">
        <f aca="false">IF(ISBLANK(Actuals!AA75),IF(AND(Projects!$G$12="Yes",22&gt;=Projects!$C$12,22&lt;Projects!$C$12+Projects!$D$12),4736.84,0),Actuals!AA75)</f>
        <v>4736.84</v>
      </c>
      <c r="AA160" s="14" t="n">
        <f aca="false">IF(ISBLANK(Actuals!AB75),IF(AND(Projects!$G$12="Yes",23&gt;=Projects!$C$12,23&lt;Projects!$C$12+Projects!$D$12),4736.84,0),Actuals!AB75)</f>
        <v>4736.84</v>
      </c>
      <c r="AB160" s="14" t="n">
        <f aca="false">IF(ISBLANK(Actuals!AC75),IF(AND(Projects!$G$12="Yes",24&gt;=Projects!$C$12,24&lt;Projects!$C$12+Projects!$D$12),4736.84,0),Actuals!AC75)</f>
        <v>4736.84</v>
      </c>
      <c r="AC160" s="14" t="n">
        <f aca="false">IF(ISBLANK(Actuals!AD75),IF(AND(Projects!$G$12="Yes",25&gt;=Projects!$C$12,25&lt;Projects!$C$12+Projects!$D$12),4736.84,0),Actuals!AD75)</f>
        <v>4736.84</v>
      </c>
      <c r="AD160" s="14" t="n">
        <f aca="false">IF(ISBLANK(Actuals!AE75),IF(AND(Projects!$G$12="Yes",26&gt;=Projects!$C$12,26&lt;Projects!$C$12+Projects!$D$12),4736.84,0),Actuals!AE75)</f>
        <v>0</v>
      </c>
      <c r="AE160" s="14" t="n">
        <f aca="false">IF(ISBLANK(Actuals!AF75),IF(AND(Projects!$G$12="Yes",27&gt;=Projects!$C$12,27&lt;Projects!$C$12+Projects!$D$12),4736.84,0),Actuals!AF75)</f>
        <v>0</v>
      </c>
      <c r="AF160" s="14" t="n">
        <f aca="false">IF(ISBLANK(Actuals!AG75),IF(AND(Projects!$G$12="Yes",28&gt;=Projects!$C$12,28&lt;Projects!$C$12+Projects!$D$12),4736.84,0),Actuals!AG75)</f>
        <v>0</v>
      </c>
      <c r="AG160" s="14" t="n">
        <f aca="false">IF(ISBLANK(Actuals!AH75),IF(AND(Projects!$G$12="Yes",29&gt;=Projects!$C$12,29&lt;Projects!$C$12+Projects!$D$12),4736.84,0),Actuals!AH75)</f>
        <v>0</v>
      </c>
      <c r="AH160" s="14" t="n">
        <f aca="false">IF(ISBLANK(Actuals!AI75),IF(AND(Projects!$G$12="Yes",30&gt;=Projects!$C$12,30&lt;Projects!$C$12+Projects!$D$12),4736.84,0),Actuals!AI75)</f>
        <v>0</v>
      </c>
      <c r="AI160" s="14" t="n">
        <f aca="false">IF(ISBLANK(Actuals!AJ75),IF(AND(Projects!$G$12="Yes",31&gt;=Projects!$C$12,31&lt;Projects!$C$12+Projects!$D$12),4736.84,0),Actuals!AJ75)</f>
        <v>0</v>
      </c>
      <c r="AJ160" s="14" t="n">
        <f aca="false">IF(ISBLANK(Actuals!AK75),IF(AND(Projects!$G$12="Yes",32&gt;=Projects!$C$12,32&lt;Projects!$C$12+Projects!$D$12),4736.84,0),Actuals!AK75)</f>
        <v>0</v>
      </c>
      <c r="AK160" s="14" t="n">
        <f aca="false">IF(ISBLANK(Actuals!AL75),IF(AND(Projects!$G$12="Yes",33&gt;=Projects!$C$12,33&lt;Projects!$C$12+Projects!$D$12),4736.84,0),Actuals!AL75)</f>
        <v>0</v>
      </c>
      <c r="AL160" s="14" t="n">
        <f aca="false">IF(ISBLANK(Actuals!AM75),IF(AND(Projects!$G$12="Yes",34&gt;=Projects!$C$12,34&lt;Projects!$C$12+Projects!$D$12),4736.84,0),Actuals!AM75)</f>
        <v>0</v>
      </c>
      <c r="AM160" s="14" t="n">
        <f aca="false">IF(ISBLANK(Actuals!AN75),IF(AND(Projects!$G$12="Yes",35&gt;=Projects!$C$12,35&lt;Projects!$C$12+Projects!$D$12),4736.84,0),Actuals!AN75)</f>
        <v>0</v>
      </c>
      <c r="AN160" s="14" t="n">
        <f aca="false">IF(ISBLANK(Actuals!AO75),IF(AND(Projects!$G$12="Yes",36&gt;=Projects!$C$12,36&lt;Projects!$C$12+Projects!$D$12),4736.84,0),Actuals!AO75)</f>
        <v>0</v>
      </c>
      <c r="AO160" s="14" t="n">
        <f aca="false">IF(ISBLANK(Actuals!AP75),IF(AND(Projects!$G$12="Yes",37&gt;=Projects!$C$12,37&lt;Projects!$C$12+Projects!$D$12),4736.84,0),Actuals!AP75)</f>
        <v>0</v>
      </c>
      <c r="AP160" s="14" t="n">
        <f aca="false">IF(ISBLANK(Actuals!AQ75),IF(AND(Projects!$G$12="Yes",38&gt;=Projects!$C$12,38&lt;Projects!$C$12+Projects!$D$12),4736.84,0),Actuals!AQ75)</f>
        <v>0</v>
      </c>
      <c r="AQ160" s="14" t="n">
        <f aca="false">IF(ISBLANK(Actuals!AR75),IF(AND(Projects!$G$12="Yes",39&gt;=Projects!$C$12,39&lt;Projects!$C$12+Projects!$D$12),4736.84,0),Actuals!AR75)</f>
        <v>0</v>
      </c>
      <c r="AR160" s="14" t="n">
        <f aca="false">IF(ISBLANK(Actuals!AS75),IF(AND(Projects!$G$12="Yes",40&gt;=Projects!$C$12,40&lt;Projects!$C$12+Projects!$D$12),4736.84,0),Actuals!AS75)</f>
        <v>0</v>
      </c>
      <c r="AS160" s="14" t="n">
        <f aca="false">IF(ISBLANK(Actuals!AT75),IF(AND(Projects!$G$12="Yes",41&gt;=Projects!$C$12,41&lt;Projects!$C$12+Projects!$D$12),4736.84,0),Actuals!AT75)</f>
        <v>0</v>
      </c>
      <c r="AT160" s="14" t="n">
        <f aca="false">IF(ISBLANK(Actuals!AU75),IF(AND(Projects!$G$12="Yes",42&gt;=Projects!$C$12,42&lt;Projects!$C$12+Projects!$D$12),4736.84,0),Actuals!AU75)</f>
        <v>0</v>
      </c>
      <c r="AU160" s="14" t="n">
        <f aca="false">IF(ISBLANK(Actuals!AV75),IF(AND(Projects!$G$12="Yes",43&gt;=Projects!$C$12,43&lt;Projects!$C$12+Projects!$D$12),4736.84,0),Actuals!AV75)</f>
        <v>0</v>
      </c>
      <c r="AV160" s="14" t="n">
        <f aca="false">IF(ISBLANK(Actuals!AW75),IF(AND(Projects!$G$12="Yes",44&gt;=Projects!$C$12,44&lt;Projects!$C$12+Projects!$D$12),4736.84,0),Actuals!AW75)</f>
        <v>0</v>
      </c>
      <c r="AW160" s="14" t="n">
        <f aca="false">IF(ISBLANK(Actuals!AX75),IF(AND(Projects!$G$12="Yes",45&gt;=Projects!$C$12,45&lt;Projects!$C$12+Projects!$D$12),4736.84,0),Actuals!AX75)</f>
        <v>0</v>
      </c>
      <c r="AX160" s="14" t="n">
        <f aca="false">IF(ISBLANK(Actuals!AY75),IF(AND(Projects!$G$12="Yes",46&gt;=Projects!$C$12,46&lt;Projects!$C$12+Projects!$D$12),4736.84,0),Actuals!AY75)</f>
        <v>0</v>
      </c>
      <c r="AY160" s="14" t="n">
        <f aca="false">IF(ISBLANK(Actuals!AZ75),IF(AND(Projects!$G$12="Yes",47&gt;=Projects!$C$12,47&lt;Projects!$C$12+Projects!$D$12),4736.84,0),Actuals!AZ75)</f>
        <v>0</v>
      </c>
      <c r="AZ160" s="14" t="n">
        <f aca="false">IF(ISBLANK(Actuals!BA75),IF(AND(Projects!$G$12="Yes",48&gt;=Projects!$C$12,48&lt;Projects!$C$12+Projects!$D$12),4736.84,0),Actuals!BA75)</f>
        <v>0</v>
      </c>
      <c r="BA160" s="14" t="n">
        <f aca="false">IF(ISBLANK(Actuals!BB75),IF(AND(Projects!$G$12="Yes",49&gt;=Projects!$C$12,49&lt;Projects!$C$12+Projects!$D$12),4736.84,0),Actuals!BB75)</f>
        <v>0</v>
      </c>
      <c r="BB160" s="14" t="n">
        <f aca="false">IF(ISBLANK(Actuals!BC75),IF(AND(Projects!$G$12="Yes",50&gt;=Projects!$C$12,50&lt;Projects!$C$12+Projects!$D$12),4736.84,0),Actuals!BC75)</f>
        <v>0</v>
      </c>
      <c r="BC160" s="14" t="n">
        <f aca="false">IF(ISBLANK(Actuals!BD75),IF(AND(Projects!$G$12="Yes",51&gt;=Projects!$C$12,51&lt;Projects!$C$12+Projects!$D$12),4736.84,0),Actuals!BD75)</f>
        <v>0</v>
      </c>
      <c r="BD160" s="14" t="n">
        <f aca="false">IF(ISBLANK(Actuals!BE75),IF(AND(Projects!$G$12="Yes",52&gt;=Projects!$C$12,52&lt;Projects!$C$12+Projects!$D$12),4736.84,0),Actuals!BE75)</f>
        <v>0</v>
      </c>
      <c r="BE160" s="14" t="n">
        <f aca="false">IF(ISBLANK(Actuals!BF75),IF(AND(Projects!$G$12="Yes",53&gt;=Projects!$C$12,53&lt;Projects!$C$12+Projects!$D$12),4736.84,0),Actuals!BF75)</f>
        <v>0</v>
      </c>
      <c r="BF160" s="14" t="n">
        <f aca="false">IF(ISBLANK(Actuals!BG75),IF(AND(Projects!$G$12="Yes",54&gt;=Projects!$C$12,54&lt;Projects!$C$12+Projects!$D$12),4736.84,0),Actuals!BG75)</f>
        <v>0</v>
      </c>
      <c r="BG160" s="14" t="n">
        <f aca="false">IF(ISBLANK(Actuals!BH75),IF(AND(Projects!$G$12="Yes",55&gt;=Projects!$C$12,55&lt;Projects!$C$12+Projects!$D$12),4736.84,0),Actuals!BH75)</f>
        <v>0</v>
      </c>
      <c r="BH160" s="14" t="n">
        <f aca="false">IF(ISBLANK(Actuals!BI75),IF(AND(Projects!$G$12="Yes",56&gt;=Projects!$C$12,56&lt;Projects!$C$12+Projects!$D$12),4736.84,0),Actuals!BI75)</f>
        <v>0</v>
      </c>
      <c r="BI160" s="14" t="n">
        <f aca="false">IF(ISBLANK(Actuals!BJ75),IF(AND(Projects!$G$12="Yes",57&gt;=Projects!$C$12,57&lt;Projects!$C$12+Projects!$D$12),4736.84,0),Actuals!BJ75)</f>
        <v>0</v>
      </c>
      <c r="BJ160" s="14" t="n">
        <f aca="false">IF(ISBLANK(Actuals!BK75),IF(AND(Projects!$G$12="Yes",58&gt;=Projects!$C$12,58&lt;Projects!$C$12+Projects!$D$12),4736.84,0),Actuals!BK75)</f>
        <v>0</v>
      </c>
      <c r="BK160" s="14" t="n">
        <f aca="false">IF(ISBLANK(Actuals!BL75),IF(AND(Projects!$G$12="Yes",59&gt;=Projects!$C$12,59&lt;Projects!$C$12+Projects!$D$12),4736.84,0),Actuals!BL75)</f>
        <v>0</v>
      </c>
      <c r="BL160" s="14" t="n">
        <f aca="false">IF(ISBLANK(Actuals!BM75),IF(AND(Projects!$G$12="Yes",60&gt;=Projects!$C$12,60&lt;Projects!$C$12+Projects!$D$12),4736.84,0),Actuals!BM75)</f>
        <v>0</v>
      </c>
      <c r="BM160" s="14" t="n">
        <f aca="false">IF(ISBLANK(Actuals!BN75),IF(AND(Projects!$G$12="Yes",61&gt;=Projects!$C$12,61&lt;Projects!$C$12+Projects!$D$12),4736.84,0),Actuals!BN75)</f>
        <v>0</v>
      </c>
      <c r="BN160" s="14" t="n">
        <f aca="false">IF(ISBLANK(Actuals!BO75),IF(AND(Projects!$G$12="Yes",62&gt;=Projects!$C$12,62&lt;Projects!$C$12+Projects!$D$12),4736.84,0),Actuals!BO75)</f>
        <v>0</v>
      </c>
      <c r="BO160" s="14" t="n">
        <f aca="false">IF(ISBLANK(Actuals!BP75),IF(AND(Projects!$G$12="Yes",63&gt;=Projects!$C$12,63&lt;Projects!$C$12+Projects!$D$12),4736.84,0),Actuals!BP75)</f>
        <v>0</v>
      </c>
      <c r="BP160" s="14" t="n">
        <f aca="false">IF(ISBLANK(Actuals!BQ75),IF(AND(Projects!$G$12="Yes",64&gt;=Projects!$C$12,64&lt;Projects!$C$12+Projects!$D$12),4736.84,0),Actuals!BQ75)</f>
        <v>0</v>
      </c>
      <c r="BQ160" s="14" t="n">
        <f aca="false">IF(ISBLANK(Actuals!BR75),IF(AND(Projects!$G$12="Yes",65&gt;=Projects!$C$12,65&lt;Projects!$C$12+Projects!$D$12),4736.84,0),Actuals!BR75)</f>
        <v>0</v>
      </c>
      <c r="BR160" s="14" t="n">
        <f aca="false">IF(ISBLANK(Actuals!BS75),IF(AND(Projects!$G$12="Yes",66&gt;=Projects!$C$12,66&lt;Projects!$C$12+Projects!$D$12),4736.84,0),Actuals!BS75)</f>
        <v>0</v>
      </c>
      <c r="BS160" s="14" t="n">
        <f aca="false">IF(ISBLANK(Actuals!BT75),IF(AND(Projects!$G$12="Yes",67&gt;=Projects!$C$12,67&lt;Projects!$C$12+Projects!$D$12),4736.84,0),Actuals!BT75)</f>
        <v>0</v>
      </c>
      <c r="BT160" s="14" t="n">
        <f aca="false">IF(ISBLANK(Actuals!BU75),IF(AND(Projects!$G$12="Yes",68&gt;=Projects!$C$12,68&lt;Projects!$C$12+Projects!$D$12),4736.84,0),Actuals!BU75)</f>
        <v>0</v>
      </c>
      <c r="BU160" s="14" t="n">
        <f aca="false">IF(ISBLANK(Actuals!BV75),IF(AND(Projects!$G$12="Yes",69&gt;=Projects!$C$12,69&lt;Projects!$C$12+Projects!$D$12),4736.84,0),Actuals!BV75)</f>
        <v>0</v>
      </c>
      <c r="BV160" s="14" t="n">
        <f aca="false">IF(ISBLANK(Actuals!BW75),IF(AND(Projects!$G$12="Yes",70&gt;=Projects!$C$12,70&lt;Projects!$C$12+Projects!$D$12),4736.84,0),Actuals!BW75)</f>
        <v>0</v>
      </c>
      <c r="BW160" s="14" t="n">
        <f aca="false">IF(ISBLANK(Actuals!BX75),IF(AND(Projects!$G$12="Yes",71&gt;=Projects!$C$12,71&lt;Projects!$C$12+Projects!$D$12),4736.84,0),Actuals!BX75)</f>
        <v>0</v>
      </c>
      <c r="BX160" s="14" t="n">
        <f aca="false">IF(ISBLANK(Actuals!BY75),IF(AND(Projects!$G$12="Yes",72&gt;=Projects!$C$12,72&lt;Projects!$C$12+Projects!$D$12),4736.84,0),Actuals!BY75)</f>
        <v>0</v>
      </c>
      <c r="BY160" s="14" t="n">
        <f aca="false">IF(ISBLANK(Actuals!BZ75),IF(AND(Projects!$G$12="Yes",73&gt;=Projects!$C$12,73&lt;Projects!$C$12+Projects!$D$12),4736.84,0),Actuals!BZ75)</f>
        <v>0</v>
      </c>
      <c r="BZ160" s="14" t="n">
        <f aca="false">IF(ISBLANK(Actuals!CA75),IF(AND(Projects!$G$12="Yes",74&gt;=Projects!$C$12,74&lt;Projects!$C$12+Projects!$D$12),4736.84,0),Actuals!CA75)</f>
        <v>0</v>
      </c>
      <c r="CA160" s="14" t="n">
        <f aca="false">IF(ISBLANK(Actuals!CB75),IF(AND(Projects!$G$12="Yes",75&gt;=Projects!$C$12,75&lt;Projects!$C$12+Projects!$D$12),4736.84,0),Actuals!CB75)</f>
        <v>0</v>
      </c>
      <c r="CB160" s="14" t="n">
        <f aca="false">IF(ISBLANK(Actuals!CC75),IF(AND(Projects!$G$12="Yes",76&gt;=Projects!$C$12,76&lt;Projects!$C$12+Projects!$D$12),4736.84,0),Actuals!CC75)</f>
        <v>0</v>
      </c>
      <c r="CC160" s="14" t="n">
        <f aca="false">IF(ISBLANK(Actuals!CD75),IF(AND(Projects!$G$12="Yes",77&gt;=Projects!$C$12,77&lt;Projects!$C$12+Projects!$D$12),4736.84,0),Actuals!CD75)</f>
        <v>0</v>
      </c>
      <c r="CD160" s="14" t="n">
        <f aca="false">IF(ISBLANK(Actuals!CE75),IF(AND(Projects!$G$12="Yes",78&gt;=Projects!$C$12,78&lt;Projects!$C$12+Projects!$D$12),4736.84,0),Actuals!CE75)</f>
        <v>0</v>
      </c>
      <c r="CE160" s="14" t="n">
        <f aca="false">IF(ISBLANK(Actuals!CF75),IF(AND(Projects!$G$12="Yes",79&gt;=Projects!$C$12,79&lt;Projects!$C$12+Projects!$D$12),4736.84,0),Actuals!CF75)</f>
        <v>0</v>
      </c>
      <c r="CF160" s="14" t="n">
        <f aca="false">IF(ISBLANK(Actuals!CG75),IF(AND(Projects!$G$12="Yes",80&gt;=Projects!$C$12,80&lt;Projects!$C$12+Projects!$D$12),4736.84,0),Actuals!CG75)</f>
        <v>0</v>
      </c>
      <c r="CG160" s="14" t="n">
        <f aca="false">IF(ISBLANK(Actuals!CH75),IF(AND(Projects!$G$12="Yes",81&gt;=Projects!$C$12,81&lt;Projects!$C$12+Projects!$D$12),4736.84,0),Actuals!CH75)</f>
        <v>0</v>
      </c>
      <c r="CH160" s="14" t="n">
        <f aca="false">IF(ISBLANK(Actuals!CI75),IF(AND(Projects!$G$12="Yes",82&gt;=Projects!$C$12,82&lt;Projects!$C$12+Projects!$D$12),4736.84,0),Actuals!CI75)</f>
        <v>0</v>
      </c>
      <c r="CI160" s="14" t="n">
        <f aca="false">IF(ISBLANK(Actuals!CJ75),IF(AND(Projects!$G$12="Yes",83&gt;=Projects!$C$12,83&lt;Projects!$C$12+Projects!$D$12),4736.84,0),Actuals!CJ75)</f>
        <v>0</v>
      </c>
      <c r="CJ160" s="14" t="n">
        <f aca="false">IF(ISBLANK(Actuals!CK75),IF(AND(Projects!$G$12="Yes",84&gt;=Projects!$C$12,84&lt;Projects!$C$12+Projects!$D$12),4736.84,0),Actuals!CK75)</f>
        <v>0</v>
      </c>
      <c r="CK160" s="14" t="n">
        <f aca="false">IF(ISBLANK(Actuals!CL75),IF(AND(Projects!$G$12="Yes",85&gt;=Projects!$C$12,85&lt;Projects!$C$12+Projects!$D$12),4736.84,0),Actuals!CL75)</f>
        <v>0</v>
      </c>
      <c r="CL160" s="14" t="n">
        <f aca="false">IF(ISBLANK(Actuals!CM75),IF(AND(Projects!$G$12="Yes",86&gt;=Projects!$C$12,86&lt;Projects!$C$12+Projects!$D$12),4736.84,0),Actuals!CM75)</f>
        <v>0</v>
      </c>
      <c r="CM160" s="14" t="n">
        <f aca="false">IF(ISBLANK(Actuals!CN75),IF(AND(Projects!$G$12="Yes",87&gt;=Projects!$C$12,87&lt;Projects!$C$12+Projects!$D$12),4736.84,0),Actuals!CN75)</f>
        <v>0</v>
      </c>
      <c r="CN160" s="14" t="n">
        <f aca="false">IF(ISBLANK(Actuals!CO75),IF(AND(Projects!$G$12="Yes",88&gt;=Projects!$C$12,88&lt;Projects!$C$12+Projects!$D$12),4736.84,0),Actuals!CO75)</f>
        <v>0</v>
      </c>
      <c r="CO160" s="14" t="n">
        <f aca="false">IF(ISBLANK(Actuals!CP75),IF(AND(Projects!$G$12="Yes",89&gt;=Projects!$C$12,89&lt;Projects!$C$12+Projects!$D$12),4736.84,0),Actuals!CP75)</f>
        <v>0</v>
      </c>
      <c r="CP160" s="14" t="n">
        <f aca="false">IF(ISBLANK(Actuals!CQ75),IF(AND(Projects!$G$12="Yes",90&gt;=Projects!$C$12,90&lt;Projects!$C$12+Projects!$D$12),4736.84,0),Actuals!CQ75)</f>
        <v>0</v>
      </c>
      <c r="CQ160" s="14" t="n">
        <f aca="false">IF(ISBLANK(Actuals!CR75),IF(AND(Projects!$G$12="Yes",91&gt;=Projects!$C$12,91&lt;Projects!$C$12+Projects!$D$12),4736.84,0),Actuals!CR75)</f>
        <v>0</v>
      </c>
      <c r="CR160" s="14" t="n">
        <f aca="false">IF(ISBLANK(Actuals!CS75),IF(AND(Projects!$G$12="Yes",92&gt;=Projects!$C$12,92&lt;Projects!$C$12+Projects!$D$12),4736.84,0),Actuals!CS75)</f>
        <v>0</v>
      </c>
      <c r="CS160" s="14" t="n">
        <f aca="false">IF(ISBLANK(Actuals!CT75),IF(AND(Projects!$G$12="Yes",93&gt;=Projects!$C$12,93&lt;Projects!$C$12+Projects!$D$12),4736.84,0),Actuals!CT75)</f>
        <v>0</v>
      </c>
      <c r="CT160" s="14" t="n">
        <f aca="false">IF(ISBLANK(Actuals!CU75),IF(AND(Projects!$G$12="Yes",94&gt;=Projects!$C$12,94&lt;Projects!$C$12+Projects!$D$12),4736.84,0),Actuals!CU75)</f>
        <v>0</v>
      </c>
      <c r="CU160" s="14" t="n">
        <f aca="false">IF(ISBLANK(Actuals!CV75),IF(AND(Projects!$G$12="Yes",95&gt;=Projects!$C$12,95&lt;Projects!$C$12+Projects!$D$12),4736.84,0),Actuals!CV75)</f>
        <v>0</v>
      </c>
      <c r="CV160" s="14" t="n">
        <f aca="false">IF(ISBLANK(Actuals!CW75),IF(AND(Projects!$G$12="Yes",96&gt;=Projects!$C$12,96&lt;Projects!$C$12+Projects!$D$12),4736.84,0),Actuals!CW75)</f>
        <v>0</v>
      </c>
      <c r="CW160" s="14" t="n">
        <f aca="false">IF(ISBLANK(Actuals!CX75),IF(AND(Projects!$G$12="Yes",97&gt;=Projects!$C$12,97&lt;Projects!$C$12+Projects!$D$12),4736.84,0),Actuals!CX75)</f>
        <v>0</v>
      </c>
      <c r="CX160" s="14" t="n">
        <f aca="false">IF(ISBLANK(Actuals!CY75),IF(AND(Projects!$G$12="Yes",98&gt;=Projects!$C$12,98&lt;Projects!$C$12+Projects!$D$12),4736.84,0),Actuals!CY75)</f>
        <v>0</v>
      </c>
      <c r="CY160" s="14" t="n">
        <f aca="false">IF(ISBLANK(Actuals!CZ75),IF(AND(Projects!$G$12="Yes",99&gt;=Projects!$C$12,99&lt;Projects!$C$12+Projects!$D$12),4736.84,0),Actuals!CZ75)</f>
        <v>0</v>
      </c>
      <c r="CZ160" s="14" t="n">
        <f aca="false">IF(ISBLANK(Actuals!DA75),IF(AND(Projects!$G$12="Yes",100&gt;=Projects!$C$12,100&lt;Projects!$C$12+Projects!$D$12),4736.84,0),Actuals!DA75)</f>
        <v>0</v>
      </c>
      <c r="DA160" s="14" t="n">
        <f aca="false">IF(ISBLANK(Actuals!DB75),IF(AND(Projects!$G$12="Yes",101&gt;=Projects!$C$12,101&lt;Projects!$C$12+Projects!$D$12),4736.84,0),Actuals!DB75)</f>
        <v>0</v>
      </c>
      <c r="DB160" s="14" t="n">
        <f aca="false">IF(ISBLANK(Actuals!DC75),IF(AND(Projects!$G$12="Yes",102&gt;=Projects!$C$12,102&lt;Projects!$C$12+Projects!$D$12),4736.84,0),Actuals!DC75)</f>
        <v>0</v>
      </c>
      <c r="DC160" s="14" t="n">
        <f aca="false">IF(ISBLANK(Actuals!DD75),IF(AND(Projects!$G$12="Yes",103&gt;=Projects!$C$12,103&lt;Projects!$C$12+Projects!$D$12),4736.84,0),Actuals!DD75)</f>
        <v>0</v>
      </c>
      <c r="DD160" s="14" t="n">
        <f aca="false">IF(ISBLANK(Actuals!DE75),IF(AND(Projects!$G$12="Yes",104&gt;=Projects!$C$12,104&lt;Projects!$C$12+Projects!$D$12),4736.84,0),Actuals!DE75)</f>
        <v>0</v>
      </c>
      <c r="DE160" s="14" t="n">
        <f aca="false">IF(ISBLANK(Actuals!DF75),IF(AND(Projects!$G$12="Yes",105&gt;=Projects!$C$12,105&lt;Projects!$C$12+Projects!$D$12),4736.84,0),Actuals!DF75)</f>
        <v>0</v>
      </c>
    </row>
    <row r="161" customFormat="false" ht="15" hidden="false" customHeight="true" outlineLevel="0" collapsed="false">
      <c r="A161" s="29" t="s">
        <v>109</v>
      </c>
      <c r="B161" s="14" t="n">
        <f aca="false">IF(ISBLANK(Actuals!C76),0,Actuals!C76)</f>
        <v>0</v>
      </c>
      <c r="C161" s="14" t="n">
        <f aca="false">IF(ISBLANK(Actuals!D76),0,Actuals!D76)</f>
        <v>0</v>
      </c>
      <c r="D161" s="14" t="n">
        <f aca="false">IF(ISBLANK(Actuals!E76),0,Actuals!E76)</f>
        <v>0</v>
      </c>
      <c r="E161" s="14" t="n">
        <f aca="false">IF(ISBLANK(Actuals!F76),IF(AND(Projects!$G$12="Yes",1=Projects!$C$12),181745,0),Actuals!F76)</f>
        <v>0</v>
      </c>
      <c r="F161" s="14" t="n">
        <f aca="false">IF(ISBLANK(Actuals!G76),IF(AND(Projects!$G$12="Yes",2=Projects!$C$12),181745,0),Actuals!G76)</f>
        <v>0</v>
      </c>
      <c r="G161" s="14" t="n">
        <f aca="false">IF(ISBLANK(Actuals!H76),IF(AND(Projects!$G$12="Yes",3=Projects!$C$12),181745,0),Actuals!H76)</f>
        <v>0</v>
      </c>
      <c r="H161" s="14" t="n">
        <f aca="false">IF(ISBLANK(Actuals!I76),IF(AND(Projects!$G$12="Yes",4=Projects!$C$12),181745,0),Actuals!I76)</f>
        <v>0</v>
      </c>
      <c r="I161" s="14" t="n">
        <f aca="false">IF(ISBLANK(Actuals!J76),IF(AND(Projects!$G$12="Yes",5=Projects!$C$12),181745,0),Actuals!J76)</f>
        <v>0</v>
      </c>
      <c r="J161" s="14" t="n">
        <f aca="false">IF(ISBLANK(Actuals!K76),IF(AND(Projects!$G$12="Yes",6=Projects!$C$12),181745,0),Actuals!K76)</f>
        <v>0</v>
      </c>
      <c r="K161" s="14" t="n">
        <f aca="false">IF(ISBLANK(Actuals!L76),IF(AND(Projects!$G$12="Yes",7=Projects!$C$12),181745,0),Actuals!L76)</f>
        <v>181745</v>
      </c>
      <c r="L161" s="14" t="n">
        <f aca="false">IF(ISBLANK(Actuals!M76),IF(AND(Projects!$G$12="Yes",8=Projects!$C$12),181745,0),Actuals!M76)</f>
        <v>0</v>
      </c>
      <c r="M161" s="14" t="n">
        <f aca="false">IF(ISBLANK(Actuals!N76),IF(AND(Projects!$G$12="Yes",9=Projects!$C$12),181745,0),Actuals!N76)</f>
        <v>0</v>
      </c>
      <c r="N161" s="14" t="n">
        <f aca="false">IF(ISBLANK(Actuals!O76),IF(AND(Projects!$G$12="Yes",10=Projects!$C$12),181745,0),Actuals!O76)</f>
        <v>0</v>
      </c>
      <c r="O161" s="14" t="n">
        <f aca="false">IF(ISBLANK(Actuals!P76),IF(AND(Projects!$G$12="Yes",11=Projects!$C$12),181745,0),Actuals!P76)</f>
        <v>0</v>
      </c>
      <c r="P161" s="14" t="n">
        <f aca="false">IF(ISBLANK(Actuals!Q76),IF(AND(Projects!$G$12="Yes",12=Projects!$C$12),181745,0),Actuals!Q76)</f>
        <v>0</v>
      </c>
      <c r="Q161" s="14" t="n">
        <f aca="false">IF(ISBLANK(Actuals!R76),IF(AND(Projects!$G$12="Yes",13=Projects!$C$12),181745,0),Actuals!R76)</f>
        <v>0</v>
      </c>
      <c r="R161" s="14" t="n">
        <f aca="false">IF(ISBLANK(Actuals!S76),IF(AND(Projects!$G$12="Yes",14=Projects!$C$12),181745,0),Actuals!S76)</f>
        <v>0</v>
      </c>
      <c r="S161" s="14" t="n">
        <f aca="false">IF(ISBLANK(Actuals!T76),IF(AND(Projects!$G$12="Yes",15=Projects!$C$12),181745,0),Actuals!T76)</f>
        <v>0</v>
      </c>
      <c r="T161" s="14" t="n">
        <f aca="false">IF(ISBLANK(Actuals!U76),IF(AND(Projects!$G$12="Yes",16=Projects!$C$12),181745,0),Actuals!U76)</f>
        <v>0</v>
      </c>
      <c r="U161" s="14" t="n">
        <f aca="false">IF(ISBLANK(Actuals!V76),IF(AND(Projects!$G$12="Yes",17=Projects!$C$12),181745,0),Actuals!V76)</f>
        <v>0</v>
      </c>
      <c r="V161" s="14" t="n">
        <f aca="false">IF(ISBLANK(Actuals!W76),IF(AND(Projects!$G$12="Yes",18=Projects!$C$12),181745,0),Actuals!W76)</f>
        <v>0</v>
      </c>
      <c r="W161" s="14" t="n">
        <f aca="false">IF(ISBLANK(Actuals!X76),IF(AND(Projects!$G$12="Yes",19=Projects!$C$12),181745,0),Actuals!X76)</f>
        <v>0</v>
      </c>
      <c r="X161" s="14" t="n">
        <f aca="false">IF(ISBLANK(Actuals!Y76),IF(AND(Projects!$G$12="Yes",20=Projects!$C$12),181745,0),Actuals!Y76)</f>
        <v>0</v>
      </c>
      <c r="Y161" s="14" t="n">
        <f aca="false">IF(ISBLANK(Actuals!Z76),IF(AND(Projects!$G$12="Yes",21=Projects!$C$12),181745,0),Actuals!Z76)</f>
        <v>0</v>
      </c>
      <c r="Z161" s="14" t="n">
        <f aca="false">IF(ISBLANK(Actuals!AA76),IF(AND(Projects!$G$12="Yes",22=Projects!$C$12),181745,0),Actuals!AA76)</f>
        <v>0</v>
      </c>
      <c r="AA161" s="14" t="n">
        <f aca="false">IF(ISBLANK(Actuals!AB76),IF(AND(Projects!$G$12="Yes",23=Projects!$C$12),181745,0),Actuals!AB76)</f>
        <v>0</v>
      </c>
      <c r="AB161" s="14" t="n">
        <f aca="false">IF(ISBLANK(Actuals!AC76),IF(AND(Projects!$G$12="Yes",24=Projects!$C$12),181745,0),Actuals!AC76)</f>
        <v>0</v>
      </c>
      <c r="AC161" s="14" t="n">
        <f aca="false">IF(ISBLANK(Actuals!AD76),IF(AND(Projects!$G$12="Yes",25=Projects!$C$12),181745,0),Actuals!AD76)</f>
        <v>0</v>
      </c>
      <c r="AD161" s="14" t="n">
        <f aca="false">IF(ISBLANK(Actuals!AE76),IF(AND(Projects!$G$12="Yes",26=Projects!$C$12),181745,0),Actuals!AE76)</f>
        <v>0</v>
      </c>
      <c r="AE161" s="14" t="n">
        <f aca="false">IF(ISBLANK(Actuals!AF76),IF(AND(Projects!$G$12="Yes",27=Projects!$C$12),181745,0),Actuals!AF76)</f>
        <v>0</v>
      </c>
      <c r="AF161" s="14" t="n">
        <f aca="false">IF(ISBLANK(Actuals!AG76),IF(AND(Projects!$G$12="Yes",28=Projects!$C$12),181745,0),Actuals!AG76)</f>
        <v>0</v>
      </c>
      <c r="AG161" s="14" t="n">
        <f aca="false">IF(ISBLANK(Actuals!AH76),IF(AND(Projects!$G$12="Yes",29=Projects!$C$12),181745,0),Actuals!AH76)</f>
        <v>0</v>
      </c>
      <c r="AH161" s="14" t="n">
        <f aca="false">IF(ISBLANK(Actuals!AI76),IF(AND(Projects!$G$12="Yes",30=Projects!$C$12),181745,0),Actuals!AI76)</f>
        <v>0</v>
      </c>
      <c r="AI161" s="14" t="n">
        <f aca="false">IF(ISBLANK(Actuals!AJ76),IF(AND(Projects!$G$12="Yes",31=Projects!$C$12),181745,0),Actuals!AJ76)</f>
        <v>0</v>
      </c>
      <c r="AJ161" s="14" t="n">
        <f aca="false">IF(ISBLANK(Actuals!AK76),IF(AND(Projects!$G$12="Yes",32=Projects!$C$12),181745,0),Actuals!AK76)</f>
        <v>0</v>
      </c>
      <c r="AK161" s="14" t="n">
        <f aca="false">IF(ISBLANK(Actuals!AL76),IF(AND(Projects!$G$12="Yes",33=Projects!$C$12),181745,0),Actuals!AL76)</f>
        <v>0</v>
      </c>
      <c r="AL161" s="14" t="n">
        <f aca="false">IF(ISBLANK(Actuals!AM76),IF(AND(Projects!$G$12="Yes",34=Projects!$C$12),181745,0),Actuals!AM76)</f>
        <v>0</v>
      </c>
      <c r="AM161" s="14" t="n">
        <f aca="false">IF(ISBLANK(Actuals!AN76),IF(AND(Projects!$G$12="Yes",35=Projects!$C$12),181745,0),Actuals!AN76)</f>
        <v>0</v>
      </c>
      <c r="AN161" s="14" t="n">
        <f aca="false">IF(ISBLANK(Actuals!AO76),IF(AND(Projects!$G$12="Yes",36=Projects!$C$12),181745,0),Actuals!AO76)</f>
        <v>0</v>
      </c>
      <c r="AO161" s="14" t="n">
        <f aca="false">IF(ISBLANK(Actuals!AP76),IF(AND(Projects!$G$12="Yes",37=Projects!$C$12),181745,0),Actuals!AP76)</f>
        <v>0</v>
      </c>
      <c r="AP161" s="14" t="n">
        <f aca="false">IF(ISBLANK(Actuals!AQ76),IF(AND(Projects!$G$12="Yes",38=Projects!$C$12),181745,0),Actuals!AQ76)</f>
        <v>0</v>
      </c>
      <c r="AQ161" s="14" t="n">
        <f aca="false">IF(ISBLANK(Actuals!AR76),IF(AND(Projects!$G$12="Yes",39=Projects!$C$12),181745,0),Actuals!AR76)</f>
        <v>0</v>
      </c>
      <c r="AR161" s="14" t="n">
        <f aca="false">IF(ISBLANK(Actuals!AS76),IF(AND(Projects!$G$12="Yes",40=Projects!$C$12),181745,0),Actuals!AS76)</f>
        <v>0</v>
      </c>
      <c r="AS161" s="14" t="n">
        <f aca="false">IF(ISBLANK(Actuals!AT76),IF(AND(Projects!$G$12="Yes",41=Projects!$C$12),181745,0),Actuals!AT76)</f>
        <v>0</v>
      </c>
      <c r="AT161" s="14" t="n">
        <f aca="false">IF(ISBLANK(Actuals!AU76),IF(AND(Projects!$G$12="Yes",42=Projects!$C$12),181745,0),Actuals!AU76)</f>
        <v>0</v>
      </c>
      <c r="AU161" s="14" t="n">
        <f aca="false">IF(ISBLANK(Actuals!AV76),IF(AND(Projects!$G$12="Yes",43=Projects!$C$12),181745,0),Actuals!AV76)</f>
        <v>0</v>
      </c>
      <c r="AV161" s="14" t="n">
        <f aca="false">IF(ISBLANK(Actuals!AW76),IF(AND(Projects!$G$12="Yes",44=Projects!$C$12),181745,0),Actuals!AW76)</f>
        <v>0</v>
      </c>
      <c r="AW161" s="14" t="n">
        <f aca="false">IF(ISBLANK(Actuals!AX76),IF(AND(Projects!$G$12="Yes",45=Projects!$C$12),181745,0),Actuals!AX76)</f>
        <v>0</v>
      </c>
      <c r="AX161" s="14" t="n">
        <f aca="false">IF(ISBLANK(Actuals!AY76),IF(AND(Projects!$G$12="Yes",46=Projects!$C$12),181745,0),Actuals!AY76)</f>
        <v>0</v>
      </c>
      <c r="AY161" s="14" t="n">
        <f aca="false">IF(ISBLANK(Actuals!AZ76),IF(AND(Projects!$G$12="Yes",47=Projects!$C$12),181745,0),Actuals!AZ76)</f>
        <v>0</v>
      </c>
      <c r="AZ161" s="14" t="n">
        <f aca="false">IF(ISBLANK(Actuals!BA76),IF(AND(Projects!$G$12="Yes",48=Projects!$C$12),181745,0),Actuals!BA76)</f>
        <v>0</v>
      </c>
      <c r="BA161" s="14" t="n">
        <f aca="false">IF(ISBLANK(Actuals!BB76),IF(AND(Projects!$G$12="Yes",49=Projects!$C$12),181745,0),Actuals!BB76)</f>
        <v>0</v>
      </c>
      <c r="BB161" s="14" t="n">
        <f aca="false">IF(ISBLANK(Actuals!BC76),IF(AND(Projects!$G$12="Yes",50=Projects!$C$12),181745,0),Actuals!BC76)</f>
        <v>0</v>
      </c>
      <c r="BC161" s="14" t="n">
        <f aca="false">IF(ISBLANK(Actuals!BD76),IF(AND(Projects!$G$12="Yes",51=Projects!$C$12),181745,0),Actuals!BD76)</f>
        <v>0</v>
      </c>
      <c r="BD161" s="14" t="n">
        <f aca="false">IF(ISBLANK(Actuals!BE76),IF(AND(Projects!$G$12="Yes",52=Projects!$C$12),181745,0),Actuals!BE76)</f>
        <v>0</v>
      </c>
      <c r="BE161" s="14" t="n">
        <f aca="false">IF(ISBLANK(Actuals!BF76),IF(AND(Projects!$G$12="Yes",53=Projects!$C$12),181745,0),Actuals!BF76)</f>
        <v>0</v>
      </c>
      <c r="BF161" s="14" t="n">
        <f aca="false">IF(ISBLANK(Actuals!BG76),IF(AND(Projects!$G$12="Yes",54=Projects!$C$12),181745,0),Actuals!BG76)</f>
        <v>0</v>
      </c>
      <c r="BG161" s="14" t="n">
        <f aca="false">IF(ISBLANK(Actuals!BH76),IF(AND(Projects!$G$12="Yes",55=Projects!$C$12),181745,0),Actuals!BH76)</f>
        <v>0</v>
      </c>
      <c r="BH161" s="14" t="n">
        <f aca="false">IF(ISBLANK(Actuals!BI76),IF(AND(Projects!$G$12="Yes",56=Projects!$C$12),181745,0),Actuals!BI76)</f>
        <v>0</v>
      </c>
      <c r="BI161" s="14" t="n">
        <f aca="false">IF(ISBLANK(Actuals!BJ76),IF(AND(Projects!$G$12="Yes",57=Projects!$C$12),181745,0),Actuals!BJ76)</f>
        <v>0</v>
      </c>
      <c r="BJ161" s="14" t="n">
        <f aca="false">IF(ISBLANK(Actuals!BK76),IF(AND(Projects!$G$12="Yes",58=Projects!$C$12),181745,0),Actuals!BK76)</f>
        <v>0</v>
      </c>
      <c r="BK161" s="14" t="n">
        <f aca="false">IF(ISBLANK(Actuals!BL76),IF(AND(Projects!$G$12="Yes",59=Projects!$C$12),181745,0),Actuals!BL76)</f>
        <v>0</v>
      </c>
      <c r="BL161" s="14" t="n">
        <f aca="false">IF(ISBLANK(Actuals!BM76),IF(AND(Projects!$G$12="Yes",60=Projects!$C$12),181745,0),Actuals!BM76)</f>
        <v>0</v>
      </c>
      <c r="BM161" s="14" t="n">
        <f aca="false">IF(ISBLANK(Actuals!BN76),IF(AND(Projects!$G$12="Yes",61=Projects!$C$12),181745,0),Actuals!BN76)</f>
        <v>0</v>
      </c>
      <c r="BN161" s="14" t="n">
        <f aca="false">IF(ISBLANK(Actuals!BO76),IF(AND(Projects!$G$12="Yes",62=Projects!$C$12),181745,0),Actuals!BO76)</f>
        <v>0</v>
      </c>
      <c r="BO161" s="14" t="n">
        <f aca="false">IF(ISBLANK(Actuals!BP76),IF(AND(Projects!$G$12="Yes",63=Projects!$C$12),181745,0),Actuals!BP76)</f>
        <v>0</v>
      </c>
      <c r="BP161" s="14" t="n">
        <f aca="false">IF(ISBLANK(Actuals!BQ76),IF(AND(Projects!$G$12="Yes",64=Projects!$C$12),181745,0),Actuals!BQ76)</f>
        <v>0</v>
      </c>
      <c r="BQ161" s="14" t="n">
        <f aca="false">IF(ISBLANK(Actuals!BR76),IF(AND(Projects!$G$12="Yes",65=Projects!$C$12),181745,0),Actuals!BR76)</f>
        <v>0</v>
      </c>
      <c r="BR161" s="14" t="n">
        <f aca="false">IF(ISBLANK(Actuals!BS76),IF(AND(Projects!$G$12="Yes",66=Projects!$C$12),181745,0),Actuals!BS76)</f>
        <v>0</v>
      </c>
      <c r="BS161" s="14" t="n">
        <f aca="false">IF(ISBLANK(Actuals!BT76),IF(AND(Projects!$G$12="Yes",67=Projects!$C$12),181745,0),Actuals!BT76)</f>
        <v>0</v>
      </c>
      <c r="BT161" s="14" t="n">
        <f aca="false">IF(ISBLANK(Actuals!BU76),IF(AND(Projects!$G$12="Yes",68=Projects!$C$12),181745,0),Actuals!BU76)</f>
        <v>0</v>
      </c>
      <c r="BU161" s="14" t="n">
        <f aca="false">IF(ISBLANK(Actuals!BV76),IF(AND(Projects!$G$12="Yes",69=Projects!$C$12),181745,0),Actuals!BV76)</f>
        <v>0</v>
      </c>
      <c r="BV161" s="14" t="n">
        <f aca="false">IF(ISBLANK(Actuals!BW76),IF(AND(Projects!$G$12="Yes",70=Projects!$C$12),181745,0),Actuals!BW76)</f>
        <v>0</v>
      </c>
      <c r="BW161" s="14" t="n">
        <f aca="false">IF(ISBLANK(Actuals!BX76),IF(AND(Projects!$G$12="Yes",71=Projects!$C$12),181745,0),Actuals!BX76)</f>
        <v>0</v>
      </c>
      <c r="BX161" s="14" t="n">
        <f aca="false">IF(ISBLANK(Actuals!BY76),IF(AND(Projects!$G$12="Yes",72=Projects!$C$12),181745,0),Actuals!BY76)</f>
        <v>0</v>
      </c>
      <c r="BY161" s="14" t="n">
        <f aca="false">IF(ISBLANK(Actuals!BZ76),IF(AND(Projects!$G$12="Yes",73=Projects!$C$12),181745,0),Actuals!BZ76)</f>
        <v>0</v>
      </c>
      <c r="BZ161" s="14" t="n">
        <f aca="false">IF(ISBLANK(Actuals!CA76),IF(AND(Projects!$G$12="Yes",74=Projects!$C$12),181745,0),Actuals!CA76)</f>
        <v>0</v>
      </c>
      <c r="CA161" s="14" t="n">
        <f aca="false">IF(ISBLANK(Actuals!CB76),IF(AND(Projects!$G$12="Yes",75=Projects!$C$12),181745,0),Actuals!CB76)</f>
        <v>0</v>
      </c>
      <c r="CB161" s="14" t="n">
        <f aca="false">IF(ISBLANK(Actuals!CC76),IF(AND(Projects!$G$12="Yes",76=Projects!$C$12),181745,0),Actuals!CC76)</f>
        <v>0</v>
      </c>
      <c r="CC161" s="14" t="n">
        <f aca="false">IF(ISBLANK(Actuals!CD76),IF(AND(Projects!$G$12="Yes",77=Projects!$C$12),181745,0),Actuals!CD76)</f>
        <v>0</v>
      </c>
      <c r="CD161" s="14" t="n">
        <f aca="false">IF(ISBLANK(Actuals!CE76),IF(AND(Projects!$G$12="Yes",78=Projects!$C$12),181745,0),Actuals!CE76)</f>
        <v>0</v>
      </c>
      <c r="CE161" s="14" t="n">
        <f aca="false">IF(ISBLANK(Actuals!CF76),IF(AND(Projects!$G$12="Yes",79=Projects!$C$12),181745,0),Actuals!CF76)</f>
        <v>0</v>
      </c>
      <c r="CF161" s="14" t="n">
        <f aca="false">IF(ISBLANK(Actuals!CG76),IF(AND(Projects!$G$12="Yes",80=Projects!$C$12),181745,0),Actuals!CG76)</f>
        <v>0</v>
      </c>
      <c r="CG161" s="14" t="n">
        <f aca="false">IF(ISBLANK(Actuals!CH76),IF(AND(Projects!$G$12="Yes",81=Projects!$C$12),181745,0),Actuals!CH76)</f>
        <v>0</v>
      </c>
      <c r="CH161" s="14" t="n">
        <f aca="false">IF(ISBLANK(Actuals!CI76),IF(AND(Projects!$G$12="Yes",82=Projects!$C$12),181745,0),Actuals!CI76)</f>
        <v>0</v>
      </c>
      <c r="CI161" s="14" t="n">
        <f aca="false">IF(ISBLANK(Actuals!CJ76),IF(AND(Projects!$G$12="Yes",83=Projects!$C$12),181745,0),Actuals!CJ76)</f>
        <v>0</v>
      </c>
      <c r="CJ161" s="14" t="n">
        <f aca="false">IF(ISBLANK(Actuals!CK76),IF(AND(Projects!$G$12="Yes",84=Projects!$C$12),181745,0),Actuals!CK76)</f>
        <v>0</v>
      </c>
      <c r="CK161" s="14" t="n">
        <f aca="false">IF(ISBLANK(Actuals!CL76),IF(AND(Projects!$G$12="Yes",85=Projects!$C$12),181745,0),Actuals!CL76)</f>
        <v>0</v>
      </c>
      <c r="CL161" s="14" t="n">
        <f aca="false">IF(ISBLANK(Actuals!CM76),IF(AND(Projects!$G$12="Yes",86=Projects!$C$12),181745,0),Actuals!CM76)</f>
        <v>0</v>
      </c>
      <c r="CM161" s="14" t="n">
        <f aca="false">IF(ISBLANK(Actuals!CN76),IF(AND(Projects!$G$12="Yes",87=Projects!$C$12),181745,0),Actuals!CN76)</f>
        <v>0</v>
      </c>
      <c r="CN161" s="14" t="n">
        <f aca="false">IF(ISBLANK(Actuals!CO76),IF(AND(Projects!$G$12="Yes",88=Projects!$C$12),181745,0),Actuals!CO76)</f>
        <v>0</v>
      </c>
      <c r="CO161" s="14" t="n">
        <f aca="false">IF(ISBLANK(Actuals!CP76),IF(AND(Projects!$G$12="Yes",89=Projects!$C$12),181745,0),Actuals!CP76)</f>
        <v>0</v>
      </c>
      <c r="CP161" s="14" t="n">
        <f aca="false">IF(ISBLANK(Actuals!CQ76),IF(AND(Projects!$G$12="Yes",90=Projects!$C$12),181745,0),Actuals!CQ76)</f>
        <v>0</v>
      </c>
      <c r="CQ161" s="14" t="n">
        <f aca="false">IF(ISBLANK(Actuals!CR76),IF(AND(Projects!$G$12="Yes",91=Projects!$C$12),181745,0),Actuals!CR76)</f>
        <v>0</v>
      </c>
      <c r="CR161" s="14" t="n">
        <f aca="false">IF(ISBLANK(Actuals!CS76),IF(AND(Projects!$G$12="Yes",92=Projects!$C$12),181745,0),Actuals!CS76)</f>
        <v>0</v>
      </c>
      <c r="CS161" s="14" t="n">
        <f aca="false">IF(ISBLANK(Actuals!CT76),IF(AND(Projects!$G$12="Yes",93=Projects!$C$12),181745,0),Actuals!CT76)</f>
        <v>0</v>
      </c>
      <c r="CT161" s="14" t="n">
        <f aca="false">IF(ISBLANK(Actuals!CU76),IF(AND(Projects!$G$12="Yes",94=Projects!$C$12),181745,0),Actuals!CU76)</f>
        <v>0</v>
      </c>
      <c r="CU161" s="14" t="n">
        <f aca="false">IF(ISBLANK(Actuals!CV76),IF(AND(Projects!$G$12="Yes",95=Projects!$C$12),181745,0),Actuals!CV76)</f>
        <v>0</v>
      </c>
      <c r="CV161" s="14" t="n">
        <f aca="false">IF(ISBLANK(Actuals!CW76),IF(AND(Projects!$G$12="Yes",96=Projects!$C$12),181745,0),Actuals!CW76)</f>
        <v>0</v>
      </c>
      <c r="CW161" s="14" t="n">
        <f aca="false">IF(ISBLANK(Actuals!CX76),IF(AND(Projects!$G$12="Yes",97=Projects!$C$12),181745,0),Actuals!CX76)</f>
        <v>0</v>
      </c>
      <c r="CX161" s="14" t="n">
        <f aca="false">IF(ISBLANK(Actuals!CY76),IF(AND(Projects!$G$12="Yes",98=Projects!$C$12),181745,0),Actuals!CY76)</f>
        <v>0</v>
      </c>
      <c r="CY161" s="14" t="n">
        <f aca="false">IF(ISBLANK(Actuals!CZ76),IF(AND(Projects!$G$12="Yes",99=Projects!$C$12),181745,0),Actuals!CZ76)</f>
        <v>0</v>
      </c>
      <c r="CZ161" s="14" t="n">
        <f aca="false">IF(ISBLANK(Actuals!DA76),IF(AND(Projects!$G$12="Yes",100=Projects!$C$12),181745,0),Actuals!DA76)</f>
        <v>0</v>
      </c>
      <c r="DA161" s="14" t="n">
        <f aca="false">IF(ISBLANK(Actuals!DB76),IF(AND(Projects!$G$12="Yes",101=Projects!$C$12),181745,0),Actuals!DB76)</f>
        <v>0</v>
      </c>
      <c r="DB161" s="14" t="n">
        <f aca="false">IF(ISBLANK(Actuals!DC76),IF(AND(Projects!$G$12="Yes",102=Projects!$C$12),181745,0),Actuals!DC76)</f>
        <v>0</v>
      </c>
      <c r="DC161" s="14" t="n">
        <f aca="false">IF(ISBLANK(Actuals!DD76),IF(AND(Projects!$G$12="Yes",103=Projects!$C$12),181745,0),Actuals!DD76)</f>
        <v>0</v>
      </c>
      <c r="DD161" s="14" t="n">
        <f aca="false">IF(ISBLANK(Actuals!DE76),IF(AND(Projects!$G$12="Yes",104=Projects!$C$12),181745,0),Actuals!DE76)</f>
        <v>0</v>
      </c>
      <c r="DE161" s="14" t="n">
        <f aca="false">IF(ISBLANK(Actuals!DF76),IF(AND(Projects!$G$12="Yes",105=Projects!$C$12),181745,0),Actuals!DF76)</f>
        <v>0</v>
      </c>
    </row>
    <row r="162" customFormat="false" ht="15" hidden="false" customHeight="true" outlineLevel="0" collapsed="false">
      <c r="A162" s="29" t="s">
        <v>110</v>
      </c>
      <c r="B162" s="14" t="n">
        <f aca="false">IF(ISBLANK(Actuals!C77),0,Actuals!C77)</f>
        <v>0</v>
      </c>
      <c r="C162" s="14" t="n">
        <f aca="false">IF(ISBLANK(Actuals!D77),0,Actuals!D77)</f>
        <v>0</v>
      </c>
      <c r="D162" s="14" t="n">
        <f aca="false">IF(ISBLANK(Actuals!E77),0,Actuals!E77)</f>
        <v>0</v>
      </c>
      <c r="E162" s="14" t="n">
        <f aca="false">IF(ISBLANK(Actuals!F77),0,Actuals!F77)</f>
        <v>0</v>
      </c>
      <c r="F162" s="14" t="n">
        <f aca="false">IF(ISBLANK(Actuals!G77),0,Actuals!G77)</f>
        <v>0</v>
      </c>
      <c r="G162" s="14" t="n">
        <f aca="false">IF(ISBLANK(Actuals!H77),0,Actuals!H77)</f>
        <v>0</v>
      </c>
      <c r="H162" s="14" t="n">
        <f aca="false">IF(ISBLANK(Actuals!I77),0,Actuals!I77)</f>
        <v>0</v>
      </c>
      <c r="I162" s="14" t="n">
        <f aca="false">IF(ISBLANK(Actuals!J77),0,Actuals!J77)</f>
        <v>0</v>
      </c>
      <c r="J162" s="14" t="n">
        <f aca="false">IF(ISBLANK(Actuals!K77),0,Actuals!K77)</f>
        <v>0</v>
      </c>
      <c r="K162" s="14" t="n">
        <f aca="false">IF(ISBLANK(Actuals!L77),0,Actuals!L77)</f>
        <v>0</v>
      </c>
      <c r="L162" s="14" t="n">
        <f aca="false">IF(ISBLANK(Actuals!M77),0,Actuals!M77)</f>
        <v>0</v>
      </c>
      <c r="M162" s="14" t="n">
        <f aca="false">IF(ISBLANK(Actuals!N77),0,Actuals!N77)</f>
        <v>0</v>
      </c>
      <c r="N162" s="14" t="n">
        <f aca="false">IF(ISBLANK(Actuals!O77),0,Actuals!O77)</f>
        <v>0</v>
      </c>
      <c r="O162" s="14" t="n">
        <f aca="false">IF(ISBLANK(Actuals!P77),0,Actuals!P77)</f>
        <v>0</v>
      </c>
      <c r="P162" s="14" t="n">
        <f aca="false">IF(ISBLANK(Actuals!Q77),0,Actuals!Q77)</f>
        <v>0</v>
      </c>
      <c r="Q162" s="14" t="n">
        <f aca="false">IF(ISBLANK(Actuals!R77),0,Actuals!R77)</f>
        <v>0</v>
      </c>
      <c r="R162" s="14" t="n">
        <f aca="false">IF(ISBLANK(Actuals!S77),0,Actuals!S77)</f>
        <v>0</v>
      </c>
      <c r="S162" s="14" t="n">
        <f aca="false">IF(ISBLANK(Actuals!T77),0,Actuals!T77)</f>
        <v>0</v>
      </c>
      <c r="T162" s="14" t="n">
        <f aca="false">IF(ISBLANK(Actuals!U77),0,Actuals!U77)</f>
        <v>0</v>
      </c>
      <c r="U162" s="14" t="n">
        <f aca="false">IF(ISBLANK(Actuals!V77),0,Actuals!V77)</f>
        <v>0</v>
      </c>
      <c r="V162" s="14" t="n">
        <f aca="false">IF(ISBLANK(Actuals!W77),0,Actuals!W77)</f>
        <v>0</v>
      </c>
      <c r="W162" s="14" t="n">
        <f aca="false">IF(ISBLANK(Actuals!X77),0,Actuals!X77)</f>
        <v>0</v>
      </c>
      <c r="X162" s="14" t="n">
        <f aca="false">IF(ISBLANK(Actuals!Y77),0,Actuals!Y77)</f>
        <v>0</v>
      </c>
      <c r="Y162" s="14" t="n">
        <f aca="false">IF(ISBLANK(Actuals!Z77),0,Actuals!Z77)</f>
        <v>0</v>
      </c>
      <c r="Z162" s="14" t="n">
        <f aca="false">IF(ISBLANK(Actuals!AA77),0,Actuals!AA77)</f>
        <v>0</v>
      </c>
      <c r="AA162" s="14" t="n">
        <f aca="false">IF(ISBLANK(Actuals!AB77),0,Actuals!AB77)</f>
        <v>0</v>
      </c>
      <c r="AB162" s="14" t="n">
        <f aca="false">IF(ISBLANK(Actuals!AC77),0,Actuals!AC77)</f>
        <v>0</v>
      </c>
      <c r="AC162" s="14" t="n">
        <f aca="false">IF(ISBLANK(Actuals!AD77),0,Actuals!AD77)</f>
        <v>0</v>
      </c>
      <c r="AD162" s="14" t="n">
        <f aca="false">IF(ISBLANK(Actuals!AE77),0,Actuals!AE77)</f>
        <v>0</v>
      </c>
      <c r="AE162" s="14" t="n">
        <f aca="false">IF(ISBLANK(Actuals!AF77),0,Actuals!AF77)</f>
        <v>0</v>
      </c>
      <c r="AF162" s="14" t="n">
        <f aca="false">IF(ISBLANK(Actuals!AG77),0,Actuals!AG77)</f>
        <v>0</v>
      </c>
      <c r="AG162" s="14" t="n">
        <f aca="false">IF(ISBLANK(Actuals!AH77),0,Actuals!AH77)</f>
        <v>0</v>
      </c>
      <c r="AH162" s="14" t="n">
        <f aca="false">IF(ISBLANK(Actuals!AI77),0,Actuals!AI77)</f>
        <v>0</v>
      </c>
      <c r="AI162" s="14" t="n">
        <f aca="false">IF(ISBLANK(Actuals!AJ77),0,Actuals!AJ77)</f>
        <v>0</v>
      </c>
      <c r="AJ162" s="14" t="n">
        <f aca="false">IF(ISBLANK(Actuals!AK77),0,Actuals!AK77)</f>
        <v>0</v>
      </c>
      <c r="AK162" s="14" t="n">
        <f aca="false">IF(ISBLANK(Actuals!AL77),0,Actuals!AL77)</f>
        <v>0</v>
      </c>
      <c r="AL162" s="14" t="n">
        <f aca="false">IF(ISBLANK(Actuals!AM77),0,Actuals!AM77)</f>
        <v>0</v>
      </c>
      <c r="AM162" s="14" t="n">
        <f aca="false">IF(ISBLANK(Actuals!AN77),0,Actuals!AN77)</f>
        <v>0</v>
      </c>
      <c r="AN162" s="14" t="n">
        <f aca="false">IF(ISBLANK(Actuals!AO77),0,Actuals!AO77)</f>
        <v>0</v>
      </c>
      <c r="AO162" s="14" t="n">
        <f aca="false">IF(ISBLANK(Actuals!AP77),0,Actuals!AP77)</f>
        <v>0</v>
      </c>
      <c r="AP162" s="14" t="n">
        <f aca="false">IF(ISBLANK(Actuals!AQ77),0,Actuals!AQ77)</f>
        <v>0</v>
      </c>
      <c r="AQ162" s="14" t="n">
        <f aca="false">IF(ISBLANK(Actuals!AR77),0,Actuals!AR77)</f>
        <v>0</v>
      </c>
      <c r="AR162" s="14" t="n">
        <f aca="false">IF(ISBLANK(Actuals!AS77),0,Actuals!AS77)</f>
        <v>0</v>
      </c>
      <c r="AS162" s="14" t="n">
        <f aca="false">IF(ISBLANK(Actuals!AT77),0,Actuals!AT77)</f>
        <v>0</v>
      </c>
      <c r="AT162" s="14" t="n">
        <f aca="false">IF(ISBLANK(Actuals!AU77),IF(Projects!$G$7="Yes",81683,0),Actuals!AU77)</f>
        <v>81683</v>
      </c>
      <c r="AU162" s="14" t="n">
        <f aca="false">IF(ISBLANK(Actuals!AV77),0,Actuals!AV77)</f>
        <v>0</v>
      </c>
      <c r="AV162" s="14" t="n">
        <f aca="false">IF(ISBLANK(Actuals!AW77),0,Actuals!AW77)</f>
        <v>0</v>
      </c>
      <c r="AW162" s="14" t="n">
        <f aca="false">IF(ISBLANK(Actuals!AX77),IF(Projects!$G$7="Yes",81682,0),Actuals!AX77)</f>
        <v>81682</v>
      </c>
      <c r="AX162" s="14" t="n">
        <f aca="false">IF(ISBLANK(Actuals!AY77),0,Actuals!AY77)</f>
        <v>0</v>
      </c>
      <c r="AY162" s="14" t="n">
        <f aca="false">IF(ISBLANK(Actuals!AZ77),0,Actuals!AZ77)</f>
        <v>0</v>
      </c>
      <c r="AZ162" s="14" t="n">
        <f aca="false">IF(ISBLANK(Actuals!BA77),IF(Projects!$G$7="Yes",81682,0),Actuals!BA77)</f>
        <v>81682</v>
      </c>
      <c r="BA162" s="14" t="n">
        <f aca="false">IF(ISBLANK(Actuals!BB77),0,Actuals!BB77)</f>
        <v>0</v>
      </c>
      <c r="BB162" s="14" t="n">
        <f aca="false">IF(ISBLANK(Actuals!BC77),0,Actuals!BC77)</f>
        <v>0</v>
      </c>
      <c r="BC162" s="14" t="n">
        <f aca="false">IF(ISBLANK(Actuals!BD77),IF(Projects!$G$7="Yes",81682,0),Actuals!BD77)</f>
        <v>81682</v>
      </c>
      <c r="BD162" s="14" t="n">
        <f aca="false">IF(ISBLANK(Actuals!BE77),0,Actuals!BE77)</f>
        <v>0</v>
      </c>
      <c r="BE162" s="14" t="n">
        <f aca="false">IF(ISBLANK(Actuals!BF77),0,Actuals!BF77)</f>
        <v>0</v>
      </c>
      <c r="BF162" s="14" t="n">
        <f aca="false">IF(ISBLANK(Actuals!BG77),IF(Projects!$G$7="Yes",59178,0),Actuals!BG77)</f>
        <v>59178</v>
      </c>
      <c r="BG162" s="14" t="n">
        <f aca="false">IF(ISBLANK(Actuals!BH77),0,Actuals!BH77)</f>
        <v>0</v>
      </c>
      <c r="BH162" s="14" t="n">
        <f aca="false">IF(ISBLANK(Actuals!BI77),0,Actuals!BI77)</f>
        <v>0</v>
      </c>
      <c r="BI162" s="14" t="n">
        <f aca="false">IF(ISBLANK(Actuals!BJ77),IF(Projects!$G$7="Yes",59176,0),Actuals!BJ77)</f>
        <v>59176</v>
      </c>
      <c r="BJ162" s="14" t="n">
        <f aca="false">IF(ISBLANK(Actuals!BK77),0,Actuals!BK77)</f>
        <v>0</v>
      </c>
      <c r="BK162" s="14" t="n">
        <f aca="false">IF(ISBLANK(Actuals!BL77),0,Actuals!BL77)</f>
        <v>0</v>
      </c>
      <c r="BL162" s="14" t="n">
        <f aca="false">IF(ISBLANK(Actuals!BM77),IF(Projects!$G$7="Yes",59176,0),Actuals!BM77)</f>
        <v>59176</v>
      </c>
      <c r="BM162" s="14" t="n">
        <f aca="false">IF(ISBLANK(Actuals!BN77),0,Actuals!BN77)</f>
        <v>0</v>
      </c>
      <c r="BN162" s="14" t="n">
        <f aca="false">IF(ISBLANK(Actuals!BO77),0,Actuals!BO77)</f>
        <v>0</v>
      </c>
      <c r="BO162" s="14" t="n">
        <f aca="false">IF(ISBLANK(Actuals!BP77),IF(Projects!$G$7="Yes",59176,0),Actuals!BP77)</f>
        <v>59176</v>
      </c>
      <c r="BP162" s="14" t="n">
        <f aca="false">IF(ISBLANK(Actuals!BQ77),0,Actuals!BQ77)</f>
        <v>0</v>
      </c>
      <c r="BQ162" s="14" t="n">
        <f aca="false">IF(ISBLANK(Actuals!BR77),0,Actuals!BR77)</f>
        <v>0</v>
      </c>
      <c r="BR162" s="14" t="n">
        <f aca="false">IF(ISBLANK(Actuals!BS77),IF(Projects!$G$7="Yes",67763,0),Actuals!BS77)</f>
        <v>67763</v>
      </c>
      <c r="BS162" s="14" t="n">
        <f aca="false">IF(ISBLANK(Actuals!BT77),0,Actuals!BT77)</f>
        <v>0</v>
      </c>
      <c r="BT162" s="14" t="n">
        <f aca="false">IF(ISBLANK(Actuals!BU77),0,Actuals!BU77)</f>
        <v>0</v>
      </c>
      <c r="BU162" s="14" t="n">
        <f aca="false">IF(ISBLANK(Actuals!BV77),IF(Projects!$G$7="Yes",67762,0),Actuals!BV77)</f>
        <v>67762</v>
      </c>
      <c r="BV162" s="14" t="n">
        <f aca="false">IF(ISBLANK(Actuals!BW77),0,Actuals!BW77)</f>
        <v>0</v>
      </c>
      <c r="BW162" s="14" t="n">
        <f aca="false">IF(ISBLANK(Actuals!BX77),0,Actuals!BX77)</f>
        <v>0</v>
      </c>
      <c r="BX162" s="14" t="n">
        <f aca="false">IF(ISBLANK(Actuals!BY77),IF(Projects!$G$7="Yes",67762,0),Actuals!BY77)</f>
        <v>67762</v>
      </c>
      <c r="BY162" s="14" t="n">
        <f aca="false">IF(ISBLANK(Actuals!BZ77),0,Actuals!BZ77)</f>
        <v>0</v>
      </c>
      <c r="BZ162" s="14" t="n">
        <f aca="false">IF(ISBLANK(Actuals!CA77),0,Actuals!CA77)</f>
        <v>0</v>
      </c>
      <c r="CA162" s="14" t="n">
        <f aca="false">IF(ISBLANK(Actuals!CB77),IF(Projects!$G$7="Yes",67762,0),Actuals!CB77)</f>
        <v>67762</v>
      </c>
      <c r="CB162" s="14" t="n">
        <f aca="false">IF(ISBLANK(Actuals!CC77),0,Actuals!CC77)</f>
        <v>0</v>
      </c>
      <c r="CC162" s="14" t="n">
        <f aca="false">IF(ISBLANK(Actuals!CD77),0,Actuals!CD77)</f>
        <v>0</v>
      </c>
      <c r="CD162" s="14" t="n">
        <f aca="false">IF(ISBLANK(Actuals!CE77),IF(Projects!$G$7="Yes",76499,0),Actuals!CE77)</f>
        <v>76499</v>
      </c>
      <c r="CE162" s="14" t="n">
        <f aca="false">IF(ISBLANK(Actuals!CF77),0,Actuals!CF77)</f>
        <v>0</v>
      </c>
      <c r="CF162" s="14" t="n">
        <f aca="false">IF(ISBLANK(Actuals!CG77),0,Actuals!CG77)</f>
        <v>0</v>
      </c>
      <c r="CG162" s="14" t="n">
        <f aca="false">IF(ISBLANK(Actuals!CH77),IF(Projects!$G$7="Yes",76499,0),Actuals!CH77)</f>
        <v>76499</v>
      </c>
      <c r="CH162" s="14" t="n">
        <f aca="false">IF(ISBLANK(Actuals!CI77),0,Actuals!CI77)</f>
        <v>0</v>
      </c>
      <c r="CI162" s="14" t="n">
        <f aca="false">IF(ISBLANK(Actuals!CJ77),0,Actuals!CJ77)</f>
        <v>0</v>
      </c>
      <c r="CJ162" s="14" t="n">
        <f aca="false">IF(ISBLANK(Actuals!CK77),IF(Projects!$G$7="Yes",76499,0),Actuals!CK77)</f>
        <v>76499</v>
      </c>
      <c r="CK162" s="14" t="n">
        <f aca="false">IF(ISBLANK(Actuals!CL77),IF(Projects!$G$7="Yes",76499,0),Actuals!CL77)</f>
        <v>76499</v>
      </c>
      <c r="CL162" s="14" t="n">
        <f aca="false">IF(ISBLANK(Actuals!CM77),IF(Projects!$G$7="Yes",76499,0),Actuals!CM77)</f>
        <v>76499</v>
      </c>
      <c r="CM162" s="14" t="n">
        <f aca="false">IF(ISBLANK(Actuals!CN77),IF(Projects!$G$7="Yes",76499,0),Actuals!CN77)</f>
        <v>76499</v>
      </c>
      <c r="CN162" s="14" t="n">
        <f aca="false">IF(ISBLANK(Actuals!CO77),IF(Projects!$G$7="Yes",76499,0),Actuals!CO77)</f>
        <v>76499</v>
      </c>
      <c r="CO162" s="14" t="n">
        <f aca="false">IF(ISBLANK(Actuals!CP77),IF(Projects!$G$7="Yes",76499,0),Actuals!CP77)</f>
        <v>76499</v>
      </c>
      <c r="CP162" s="14" t="n">
        <f aca="false">IF(ISBLANK(Actuals!CQ77),IF(Projects!$G$7="Yes",76499,0),Actuals!CQ77)</f>
        <v>76499</v>
      </c>
      <c r="CQ162" s="14" t="n">
        <f aca="false">IF(ISBLANK(Actuals!CR77),IF(Projects!$G$7="Yes",76499,0),Actuals!CR77)</f>
        <v>76499</v>
      </c>
      <c r="CR162" s="14" t="n">
        <f aca="false">IF(ISBLANK(Actuals!CS77),IF(Projects!$G$7="Yes",76499,0),Actuals!CS77)</f>
        <v>76499</v>
      </c>
      <c r="CS162" s="14" t="n">
        <f aca="false">IF(ISBLANK(Actuals!CT77),IF(Projects!$G$7="Yes",76499,0),Actuals!CT77)</f>
        <v>76499</v>
      </c>
      <c r="CT162" s="14" t="n">
        <f aca="false">IF(ISBLANK(Actuals!CU77),IF(Projects!$G$7="Yes",76499,0),Actuals!CU77)</f>
        <v>76499</v>
      </c>
      <c r="CU162" s="14" t="n">
        <f aca="false">IF(ISBLANK(Actuals!CV77),IF(Projects!$G$7="Yes",76499,0),Actuals!CV77)</f>
        <v>76499</v>
      </c>
      <c r="CV162" s="14" t="n">
        <f aca="false">IF(ISBLANK(Actuals!CW77),IF(Projects!$G$7="Yes",76499,0),Actuals!CW77)</f>
        <v>76499</v>
      </c>
      <c r="CW162" s="14" t="n">
        <f aca="false">IF(ISBLANK(Actuals!CX77),IF(Projects!$G$7="Yes",76499,0),Actuals!CX77)</f>
        <v>76499</v>
      </c>
      <c r="CX162" s="14" t="n">
        <f aca="false">IF(ISBLANK(Actuals!CY77),IF(Projects!$G$7="Yes",76499,0),Actuals!CY77)</f>
        <v>76499</v>
      </c>
      <c r="CY162" s="14" t="n">
        <f aca="false">IF(ISBLANK(Actuals!CZ77),IF(Projects!$G$7="Yes",76499,0),Actuals!CZ77)</f>
        <v>76499</v>
      </c>
      <c r="CZ162" s="14" t="n">
        <f aca="false">IF(ISBLANK(Actuals!DA77),IF(Projects!$G$7="Yes",76499,0),Actuals!DA77)</f>
        <v>76499</v>
      </c>
      <c r="DA162" s="14" t="n">
        <f aca="false">IF(ISBLANK(Actuals!DB77),IF(Projects!$G$7="Yes",76499,0),Actuals!DB77)</f>
        <v>76499</v>
      </c>
      <c r="DB162" s="14" t="n">
        <f aca="false">IF(ISBLANK(Actuals!DC77),IF(Projects!$G$7="Yes",76499,0),Actuals!DC77)</f>
        <v>76499</v>
      </c>
      <c r="DC162" s="14" t="n">
        <f aca="false">IF(ISBLANK(Actuals!DD77),IF(Projects!$G$7="Yes",76499,0),Actuals!DD77)</f>
        <v>76499</v>
      </c>
      <c r="DD162" s="14" t="n">
        <f aca="false">IF(ISBLANK(Actuals!DE77),IF(Projects!$G$7="Yes",76499,0),Actuals!DE77)</f>
        <v>76499</v>
      </c>
      <c r="DE162" s="14" t="n">
        <f aca="false">IF(ISBLANK(Actuals!DF77),IF(Projects!$G$7="Yes",76499,0),Actuals!DF77)</f>
        <v>76499</v>
      </c>
    </row>
    <row r="163" customFormat="false" ht="15" hidden="false" customHeight="true" outlineLevel="0" collapsed="false">
      <c r="A163" s="29" t="s">
        <v>111</v>
      </c>
      <c r="B163" s="14" t="n">
        <f aca="false">IF(ISBLANK(Actuals!C78),0,Actuals!C78)</f>
        <v>0</v>
      </c>
      <c r="C163" s="14" t="n">
        <f aca="false">IF(ISBLANK(Actuals!D78),0,Actuals!D78)</f>
        <v>0</v>
      </c>
      <c r="D163" s="14" t="n">
        <f aca="false">IF(ISBLANK(Actuals!E78),0,Actuals!E78)</f>
        <v>0</v>
      </c>
      <c r="E163" s="14" t="n">
        <f aca="false">IF(ISBLANK(Actuals!F78),0,Actuals!F78)</f>
        <v>0</v>
      </c>
      <c r="F163" s="14" t="n">
        <f aca="false">IF(ISBLANK(Actuals!G78),0,Actuals!G78)</f>
        <v>0</v>
      </c>
      <c r="G163" s="14" t="n">
        <f aca="false">IF(ISBLANK(Actuals!H78),0,Actuals!H78)</f>
        <v>0</v>
      </c>
      <c r="H163" s="14" t="n">
        <f aca="false">IF(ISBLANK(Actuals!I78),0,Actuals!I78)</f>
        <v>0</v>
      </c>
      <c r="I163" s="14" t="n">
        <f aca="false">IF(ISBLANK(Actuals!J78),0,Actuals!J78)</f>
        <v>0</v>
      </c>
      <c r="J163" s="14" t="n">
        <f aca="false">IF(ISBLANK(Actuals!K78),0,Actuals!K78)</f>
        <v>0</v>
      </c>
      <c r="K163" s="14" t="n">
        <f aca="false">IF(ISBLANK(Actuals!L78),0,Actuals!L78)</f>
        <v>0</v>
      </c>
      <c r="L163" s="14" t="n">
        <f aca="false">IF(ISBLANK(Actuals!M78),0,Actuals!M78)</f>
        <v>0</v>
      </c>
      <c r="M163" s="14" t="n">
        <f aca="false">IF(ISBLANK(Actuals!N78),0,Actuals!N78)</f>
        <v>0</v>
      </c>
      <c r="N163" s="14" t="n">
        <f aca="false">IF(ISBLANK(Actuals!O78),0,Actuals!O78)</f>
        <v>0</v>
      </c>
      <c r="O163" s="14" t="n">
        <f aca="false">IF(ISBLANK(Actuals!P78),0,Actuals!P78)</f>
        <v>0</v>
      </c>
      <c r="P163" s="14" t="n">
        <f aca="false">IF(ISBLANK(Actuals!Q78),0,Actuals!Q78)</f>
        <v>0</v>
      </c>
      <c r="Q163" s="14" t="n">
        <f aca="false">IF(ISBLANK(Actuals!R78),0,Actuals!R78)</f>
        <v>0</v>
      </c>
      <c r="R163" s="14" t="n">
        <f aca="false">IF(ISBLANK(Actuals!S78),0,Actuals!S78)</f>
        <v>0</v>
      </c>
      <c r="S163" s="14" t="n">
        <f aca="false">IF(ISBLANK(Actuals!T78),0,Actuals!T78)</f>
        <v>0</v>
      </c>
      <c r="T163" s="14" t="n">
        <f aca="false">IF(ISBLANK(Actuals!U78),0,Actuals!U78)</f>
        <v>0</v>
      </c>
      <c r="U163" s="14" t="n">
        <f aca="false">IF(ISBLANK(Actuals!V78),0,Actuals!V78)</f>
        <v>0</v>
      </c>
      <c r="V163" s="14" t="n">
        <f aca="false">IF(ISBLANK(Actuals!W78),0,Actuals!W78)</f>
        <v>0</v>
      </c>
      <c r="W163" s="14" t="n">
        <f aca="false">IF(ISBLANK(Actuals!X78),0,Actuals!X78)</f>
        <v>0</v>
      </c>
      <c r="X163" s="14" t="n">
        <f aca="false">IF(ISBLANK(Actuals!Y78),0,Actuals!Y78)</f>
        <v>0</v>
      </c>
      <c r="Y163" s="14" t="n">
        <f aca="false">IF(ISBLANK(Actuals!Z78),0,Actuals!Z78)</f>
        <v>0</v>
      </c>
      <c r="Z163" s="14" t="n">
        <f aca="false">IF(ISBLANK(Actuals!AA78),0,Actuals!AA78)</f>
        <v>0</v>
      </c>
      <c r="AA163" s="14" t="n">
        <f aca="false">IF(ISBLANK(Actuals!AB78),0,Actuals!AB78)</f>
        <v>0</v>
      </c>
      <c r="AB163" s="14" t="n">
        <f aca="false">IF(ISBLANK(Actuals!AC78),0,Actuals!AC78)</f>
        <v>0</v>
      </c>
      <c r="AC163" s="14" t="n">
        <f aca="false">IF(ISBLANK(Actuals!AD78),0,Actuals!AD78)</f>
        <v>0</v>
      </c>
      <c r="AD163" s="14" t="n">
        <f aca="false">IF(ISBLANK(Actuals!AE78),0,Actuals!AE78)</f>
        <v>0</v>
      </c>
      <c r="AE163" s="14" t="n">
        <f aca="false">IF(ISBLANK(Actuals!AF78),0,Actuals!AF78)</f>
        <v>0</v>
      </c>
      <c r="AF163" s="14" t="n">
        <f aca="false">IF(ISBLANK(Actuals!AG78),0,Actuals!AG78)</f>
        <v>0</v>
      </c>
      <c r="AG163" s="14" t="n">
        <f aca="false">IF(ISBLANK(Actuals!AH78),0,Actuals!AH78)</f>
        <v>0</v>
      </c>
      <c r="AH163" s="14" t="n">
        <f aca="false">IF(ISBLANK(Actuals!AI78),0,Actuals!AI78)</f>
        <v>0</v>
      </c>
      <c r="AI163" s="14" t="n">
        <f aca="false">IF(ISBLANK(Actuals!AJ78),0,Actuals!AJ78)</f>
        <v>0</v>
      </c>
      <c r="AJ163" s="14" t="n">
        <f aca="false">IF(ISBLANK(Actuals!AK78),0,Actuals!AK78)</f>
        <v>0</v>
      </c>
      <c r="AK163" s="14" t="n">
        <f aca="false">IF(ISBLANK(Actuals!AL78),0,Actuals!AL78)</f>
        <v>0</v>
      </c>
      <c r="AL163" s="14" t="n">
        <f aca="false">IF(ISBLANK(Actuals!AM78),0,Actuals!AM78)</f>
        <v>0</v>
      </c>
      <c r="AM163" s="14" t="n">
        <f aca="false">IF(ISBLANK(Actuals!AN78),0,Actuals!AN78)</f>
        <v>0</v>
      </c>
      <c r="AN163" s="14" t="n">
        <f aca="false">IF(ISBLANK(Actuals!AO78),0,Actuals!AO78)</f>
        <v>0</v>
      </c>
      <c r="AO163" s="14" t="n">
        <f aca="false">IF(ISBLANK(Actuals!AP78),0,Actuals!AP78)</f>
        <v>0</v>
      </c>
      <c r="AP163" s="14" t="n">
        <f aca="false">IF(ISBLANK(Actuals!AQ78),0,Actuals!AQ78)</f>
        <v>0</v>
      </c>
      <c r="AQ163" s="14" t="n">
        <f aca="false">IF(ISBLANK(Actuals!AR78),0,Actuals!AR78)</f>
        <v>0</v>
      </c>
      <c r="AR163" s="14" t="n">
        <f aca="false">IF(ISBLANK(Actuals!AS78),0,Actuals!AS78)</f>
        <v>0</v>
      </c>
      <c r="AS163" s="14" t="n">
        <f aca="false">IF(ISBLANK(Actuals!AT78),0,Actuals!AT78)</f>
        <v>0</v>
      </c>
      <c r="AT163" s="14" t="n">
        <f aca="false">IF(ISBLANK(Actuals!AU78),0,Actuals!AU78)</f>
        <v>0</v>
      </c>
      <c r="AU163" s="14" t="n">
        <f aca="false">IF(ISBLANK(Actuals!AV78),0,Actuals!AV78)</f>
        <v>0</v>
      </c>
      <c r="AV163" s="14" t="n">
        <f aca="false">IF(ISBLANK(Actuals!AW78),0,Actuals!AW78)</f>
        <v>0</v>
      </c>
      <c r="AW163" s="14" t="n">
        <f aca="false">IF(ISBLANK(Actuals!AX78),0,Actuals!AX78)</f>
        <v>0</v>
      </c>
      <c r="AX163" s="14" t="n">
        <f aca="false">IF(ISBLANK(Actuals!AY78),0,Actuals!AY78)</f>
        <v>0</v>
      </c>
      <c r="AY163" s="14" t="n">
        <f aca="false">IF(ISBLANK(Actuals!AZ78),0,Actuals!AZ78)</f>
        <v>0</v>
      </c>
      <c r="AZ163" s="14" t="n">
        <f aca="false">IF(ISBLANK(Actuals!BA78),0,Actuals!BA78)</f>
        <v>0</v>
      </c>
      <c r="BA163" s="14" t="n">
        <f aca="false">IF(ISBLANK(Actuals!BB78),0,Actuals!BB78)</f>
        <v>0</v>
      </c>
      <c r="BB163" s="14" t="n">
        <f aca="false">IF(ISBLANK(Actuals!BC78),0,Actuals!BC78)</f>
        <v>0</v>
      </c>
      <c r="BC163" s="14" t="n">
        <f aca="false">IF(ISBLANK(Actuals!BD78),IF(Projects!$G$13="Yes",851839,0),Actuals!BD78)</f>
        <v>851839</v>
      </c>
      <c r="BD163" s="14" t="n">
        <f aca="false">IF(ISBLANK(Actuals!BE78),0,Actuals!BE78)</f>
        <v>0</v>
      </c>
      <c r="BE163" s="14" t="n">
        <f aca="false">IF(ISBLANK(Actuals!BF78),0,Actuals!BF78)</f>
        <v>0</v>
      </c>
      <c r="BF163" s="14" t="n">
        <f aca="false">IF(ISBLANK(Actuals!BG78),IF(Projects!$G$13="Yes",71700,0),Actuals!BG78)</f>
        <v>71700</v>
      </c>
      <c r="BG163" s="14" t="n">
        <f aca="false">IF(ISBLANK(Actuals!BH78),0,Actuals!BH78)</f>
        <v>0</v>
      </c>
      <c r="BH163" s="14" t="n">
        <f aca="false">IF(ISBLANK(Actuals!BI78),0,Actuals!BI78)</f>
        <v>0</v>
      </c>
      <c r="BI163" s="14" t="n">
        <f aca="false">IF(ISBLANK(Actuals!BJ78),IF(Projects!$G$13="Yes",71700,0),Actuals!BJ78)</f>
        <v>71700</v>
      </c>
      <c r="BJ163" s="14" t="n">
        <f aca="false">IF(ISBLANK(Actuals!BK78),0,Actuals!BK78)</f>
        <v>0</v>
      </c>
      <c r="BK163" s="14" t="n">
        <f aca="false">IF(ISBLANK(Actuals!BL78),0,Actuals!BL78)</f>
        <v>0</v>
      </c>
      <c r="BL163" s="14" t="n">
        <f aca="false">IF(ISBLANK(Actuals!BM78),IF(Projects!$G$13="Yes",71700,0),Actuals!BM78)</f>
        <v>71700</v>
      </c>
      <c r="BM163" s="14" t="n">
        <f aca="false">IF(ISBLANK(Actuals!BN78),0,Actuals!BN78)</f>
        <v>0</v>
      </c>
      <c r="BN163" s="14" t="n">
        <f aca="false">IF(ISBLANK(Actuals!BO78),0,Actuals!BO78)</f>
        <v>0</v>
      </c>
      <c r="BO163" s="14" t="n">
        <f aca="false">IF(ISBLANK(Actuals!BP78),IF(Projects!$G$13="Yes",71700,0),Actuals!BP78)</f>
        <v>71700</v>
      </c>
      <c r="BP163" s="14" t="n">
        <f aca="false">IF(ISBLANK(Actuals!BQ78),0,Actuals!BQ78)</f>
        <v>0</v>
      </c>
      <c r="BQ163" s="14" t="n">
        <f aca="false">IF(ISBLANK(Actuals!BR78),0,Actuals!BR78)</f>
        <v>0</v>
      </c>
      <c r="BR163" s="14" t="n">
        <f aca="false">IF(ISBLANK(Actuals!BS78),IF(Projects!$G$13="Yes",74643,0),Actuals!BS78)</f>
        <v>74643</v>
      </c>
      <c r="BS163" s="14" t="n">
        <f aca="false">IF(ISBLANK(Actuals!BT78),0,Actuals!BT78)</f>
        <v>0</v>
      </c>
      <c r="BT163" s="14" t="n">
        <f aca="false">IF(ISBLANK(Actuals!BU78),0,Actuals!BU78)</f>
        <v>0</v>
      </c>
      <c r="BU163" s="14" t="n">
        <f aca="false">IF(ISBLANK(Actuals!BV78),IF(Projects!$G$13="Yes",74640,0),Actuals!BV78)</f>
        <v>74640</v>
      </c>
      <c r="BV163" s="14" t="n">
        <f aca="false">IF(ISBLANK(Actuals!BW78),0,Actuals!BW78)</f>
        <v>0</v>
      </c>
      <c r="BW163" s="14" t="n">
        <f aca="false">IF(ISBLANK(Actuals!BX78),0,Actuals!BX78)</f>
        <v>0</v>
      </c>
      <c r="BX163" s="14" t="n">
        <f aca="false">IF(ISBLANK(Actuals!BY78),IF(Projects!$G$13="Yes",74640,0),Actuals!BY78)</f>
        <v>74640</v>
      </c>
      <c r="BY163" s="14" t="n">
        <f aca="false">IF(ISBLANK(Actuals!BZ78),0,Actuals!BZ78)</f>
        <v>0</v>
      </c>
      <c r="BZ163" s="14" t="n">
        <f aca="false">IF(ISBLANK(Actuals!CA78),0,Actuals!CA78)</f>
        <v>0</v>
      </c>
      <c r="CA163" s="14" t="n">
        <f aca="false">IF(ISBLANK(Actuals!CB78),IF(Projects!$G$13="Yes",74640,0),Actuals!CB78)</f>
        <v>74640</v>
      </c>
      <c r="CB163" s="14" t="n">
        <f aca="false">IF(ISBLANK(Actuals!CC78),0,Actuals!CC78)</f>
        <v>0</v>
      </c>
      <c r="CC163" s="14" t="n">
        <f aca="false">IF(ISBLANK(Actuals!CD78),0,Actuals!CD78)</f>
        <v>0</v>
      </c>
      <c r="CD163" s="14" t="n">
        <f aca="false">IF(ISBLANK(Actuals!CE78),IF(Projects!$G$13="Yes",81363,0),Actuals!CE78)</f>
        <v>81363</v>
      </c>
      <c r="CE163" s="14" t="n">
        <f aca="false">IF(ISBLANK(Actuals!CF78),0,Actuals!CF78)</f>
        <v>0</v>
      </c>
      <c r="CF163" s="14" t="n">
        <f aca="false">IF(ISBLANK(Actuals!CG78),0,Actuals!CG78)</f>
        <v>0</v>
      </c>
      <c r="CG163" s="14" t="n">
        <f aca="false">IF(ISBLANK(Actuals!CH78),IF(Projects!$G$13="Yes",81362,0),Actuals!CH78)</f>
        <v>81362</v>
      </c>
      <c r="CH163" s="14" t="n">
        <f aca="false">IF(ISBLANK(Actuals!CI78),0,Actuals!CI78)</f>
        <v>0</v>
      </c>
      <c r="CI163" s="14" t="n">
        <f aca="false">IF(ISBLANK(Actuals!CJ78),0,Actuals!CJ78)</f>
        <v>0</v>
      </c>
      <c r="CJ163" s="14" t="n">
        <f aca="false">IF(ISBLANK(Actuals!CK78),IF(Projects!$G$13="Yes",81362,0),Actuals!CK78)</f>
        <v>81362</v>
      </c>
      <c r="CK163" s="14" t="n">
        <f aca="false">IF(ISBLANK(Actuals!CL78),IF(Projects!$G$13="Yes",81362,0),Actuals!CL78)</f>
        <v>81362</v>
      </c>
      <c r="CL163" s="14" t="n">
        <f aca="false">IF(ISBLANK(Actuals!CM78),IF(Projects!$G$13="Yes",81362,0),Actuals!CM78)</f>
        <v>81362</v>
      </c>
      <c r="CM163" s="14" t="n">
        <f aca="false">IF(ISBLANK(Actuals!CN78),IF(Projects!$G$13="Yes",81362,0),Actuals!CN78)</f>
        <v>81362</v>
      </c>
      <c r="CN163" s="14" t="n">
        <f aca="false">IF(ISBLANK(Actuals!CO78),IF(Projects!$G$13="Yes",81362,0),Actuals!CO78)</f>
        <v>81362</v>
      </c>
      <c r="CO163" s="14" t="n">
        <f aca="false">IF(ISBLANK(Actuals!CP78),IF(Projects!$G$13="Yes",81362,0),Actuals!CP78)</f>
        <v>81362</v>
      </c>
      <c r="CP163" s="14" t="n">
        <f aca="false">IF(ISBLANK(Actuals!CQ78),IF(Projects!$G$13="Yes",81362,0),Actuals!CQ78)</f>
        <v>81362</v>
      </c>
      <c r="CQ163" s="14" t="n">
        <f aca="false">IF(ISBLANK(Actuals!CR78),IF(Projects!$G$13="Yes",81362,0),Actuals!CR78)</f>
        <v>81362</v>
      </c>
      <c r="CR163" s="14" t="n">
        <f aca="false">IF(ISBLANK(Actuals!CS78),IF(Projects!$G$13="Yes",81362,0),Actuals!CS78)</f>
        <v>81362</v>
      </c>
      <c r="CS163" s="14" t="n">
        <f aca="false">IF(ISBLANK(Actuals!CT78),IF(Projects!$G$13="Yes",81362,0),Actuals!CT78)</f>
        <v>81362</v>
      </c>
      <c r="CT163" s="14" t="n">
        <f aca="false">IF(ISBLANK(Actuals!CU78),IF(Projects!$G$13="Yes",81362,0),Actuals!CU78)</f>
        <v>81362</v>
      </c>
      <c r="CU163" s="14" t="n">
        <f aca="false">IF(ISBLANK(Actuals!CV78),IF(Projects!$G$13="Yes",81362,0),Actuals!CV78)</f>
        <v>81362</v>
      </c>
      <c r="CV163" s="14" t="n">
        <f aca="false">IF(ISBLANK(Actuals!CW78),IF(Projects!$G$13="Yes",81362,0),Actuals!CW78)</f>
        <v>81362</v>
      </c>
      <c r="CW163" s="14" t="n">
        <f aca="false">IF(ISBLANK(Actuals!CX78),IF(Projects!$G$13="Yes",81362,0),Actuals!CX78)</f>
        <v>81362</v>
      </c>
      <c r="CX163" s="14" t="n">
        <f aca="false">IF(ISBLANK(Actuals!CY78),IF(Projects!$G$13="Yes",81362,0),Actuals!CY78)</f>
        <v>81362</v>
      </c>
      <c r="CY163" s="14" t="n">
        <f aca="false">IF(ISBLANK(Actuals!CZ78),IF(Projects!$G$13="Yes",81362,0),Actuals!CZ78)</f>
        <v>81362</v>
      </c>
      <c r="CZ163" s="14" t="n">
        <f aca="false">IF(ISBLANK(Actuals!DA78),IF(Projects!$G$13="Yes",81362,0),Actuals!DA78)</f>
        <v>81362</v>
      </c>
      <c r="DA163" s="14" t="n">
        <f aca="false">IF(ISBLANK(Actuals!DB78),IF(Projects!$G$13="Yes",81362,0),Actuals!DB78)</f>
        <v>81362</v>
      </c>
      <c r="DB163" s="14" t="n">
        <f aca="false">IF(ISBLANK(Actuals!DC78),IF(Projects!$G$13="Yes",81362,0),Actuals!DC78)</f>
        <v>81362</v>
      </c>
      <c r="DC163" s="14" t="n">
        <f aca="false">IF(ISBLANK(Actuals!DD78),IF(Projects!$G$13="Yes",81362,0),Actuals!DD78)</f>
        <v>81362</v>
      </c>
      <c r="DD163" s="14" t="n">
        <f aca="false">IF(ISBLANK(Actuals!DE78),IF(Projects!$G$13="Yes",81362,0),Actuals!DE78)</f>
        <v>81362</v>
      </c>
      <c r="DE163" s="14" t="n">
        <f aca="false">IF(ISBLANK(Actuals!DF78),IF(Projects!$G$13="Yes",81362,0),Actuals!DF78)</f>
        <v>81362</v>
      </c>
    </row>
    <row r="164" customFormat="false" ht="15" hidden="false" customHeight="true" outlineLevel="0" collapsed="false">
      <c r="A164" s="29" t="s">
        <v>112</v>
      </c>
      <c r="B164" s="14" t="n">
        <f aca="false">IF(ISBLANK(Actuals!C79),0,Actuals!C79)</f>
        <v>0</v>
      </c>
      <c r="C164" s="14" t="n">
        <f aca="false">IF(ISBLANK(Actuals!D79),0,Actuals!D79)</f>
        <v>0</v>
      </c>
      <c r="D164" s="14" t="n">
        <f aca="false">IF(ISBLANK(Actuals!E79),0,Actuals!E79)</f>
        <v>0</v>
      </c>
      <c r="E164" s="14" t="n">
        <f aca="false">IF(ISBLANK(Actuals!F79),0,Actuals!F79)</f>
        <v>0</v>
      </c>
      <c r="F164" s="14" t="n">
        <f aca="false">IF(ISBLANK(Actuals!G79),0,Actuals!G79)</f>
        <v>0</v>
      </c>
      <c r="G164" s="14" t="n">
        <f aca="false">IF(ISBLANK(Actuals!H79),0,Actuals!H79)</f>
        <v>0</v>
      </c>
      <c r="H164" s="14" t="n">
        <f aca="false">IF(ISBLANK(Actuals!I79),0,Actuals!I79)</f>
        <v>0</v>
      </c>
      <c r="I164" s="14" t="n">
        <f aca="false">IF(ISBLANK(Actuals!J79),0,Actuals!J79)</f>
        <v>0</v>
      </c>
      <c r="J164" s="14" t="n">
        <f aca="false">IF(ISBLANK(Actuals!K79),0,Actuals!K79)</f>
        <v>0</v>
      </c>
      <c r="K164" s="14" t="n">
        <f aca="false">IF(ISBLANK(Actuals!L79),0,Actuals!L79)</f>
        <v>0</v>
      </c>
      <c r="L164" s="14" t="n">
        <f aca="false">IF(ISBLANK(Actuals!M79),0,Actuals!M79)</f>
        <v>0</v>
      </c>
      <c r="M164" s="14" t="n">
        <f aca="false">IF(ISBLANK(Actuals!N79),0,Actuals!N79)</f>
        <v>0</v>
      </c>
      <c r="N164" s="14" t="n">
        <f aca="false">IF(ISBLANK(Actuals!O79),0,Actuals!O79)</f>
        <v>0</v>
      </c>
      <c r="O164" s="14" t="n">
        <f aca="false">IF(ISBLANK(Actuals!P79),0,Actuals!P79)</f>
        <v>0</v>
      </c>
      <c r="P164" s="14" t="n">
        <f aca="false">IF(ISBLANK(Actuals!Q79),0,Actuals!Q79)</f>
        <v>0</v>
      </c>
      <c r="Q164" s="14" t="n">
        <f aca="false">IF(ISBLANK(Actuals!R79),0,Actuals!R79)</f>
        <v>0</v>
      </c>
      <c r="R164" s="14" t="n">
        <f aca="false">IF(ISBLANK(Actuals!S79),0,Actuals!S79)</f>
        <v>0</v>
      </c>
      <c r="S164" s="14" t="n">
        <f aca="false">IF(ISBLANK(Actuals!T79),0,Actuals!T79)</f>
        <v>0</v>
      </c>
      <c r="T164" s="14" t="n">
        <f aca="false">IF(ISBLANK(Actuals!U79),0,Actuals!U79)</f>
        <v>0</v>
      </c>
      <c r="U164" s="14" t="n">
        <f aca="false">IF(ISBLANK(Actuals!V79),0,Actuals!V79)</f>
        <v>0</v>
      </c>
      <c r="V164" s="14" t="n">
        <f aca="false">IF(ISBLANK(Actuals!W79),0,Actuals!W79)</f>
        <v>0</v>
      </c>
      <c r="W164" s="14" t="n">
        <f aca="false">IF(ISBLANK(Actuals!X79),0,Actuals!X79)</f>
        <v>0</v>
      </c>
      <c r="X164" s="14" t="n">
        <f aca="false">IF(ISBLANK(Actuals!Y79),0,Actuals!Y79)</f>
        <v>0</v>
      </c>
      <c r="Y164" s="14" t="n">
        <f aca="false">IF(ISBLANK(Actuals!Z79),0,Actuals!Z79)</f>
        <v>0</v>
      </c>
      <c r="Z164" s="14" t="n">
        <f aca="false">IF(ISBLANK(Actuals!AA79),0,Actuals!AA79)</f>
        <v>0</v>
      </c>
      <c r="AA164" s="14" t="n">
        <f aca="false">IF(ISBLANK(Actuals!AB79),0,Actuals!AB79)</f>
        <v>0</v>
      </c>
      <c r="AB164" s="14" t="n">
        <f aca="false">IF(ISBLANK(Actuals!AC79),0,Actuals!AC79)</f>
        <v>0</v>
      </c>
      <c r="AC164" s="14" t="n">
        <f aca="false">IF(ISBLANK(Actuals!AD79),0,Actuals!AD79)</f>
        <v>0</v>
      </c>
      <c r="AD164" s="14" t="n">
        <f aca="false">IF(ISBLANK(Actuals!AE79),0,Actuals!AE79)</f>
        <v>0</v>
      </c>
      <c r="AE164" s="14" t="n">
        <f aca="false">IF(ISBLANK(Actuals!AF79),0,Actuals!AF79)</f>
        <v>0</v>
      </c>
      <c r="AF164" s="14" t="n">
        <f aca="false">IF(ISBLANK(Actuals!AG79),0,Actuals!AG79)</f>
        <v>0</v>
      </c>
      <c r="AG164" s="14" t="n">
        <f aca="false">IF(ISBLANK(Actuals!AH79),0,Actuals!AH79)</f>
        <v>0</v>
      </c>
      <c r="AH164" s="14" t="n">
        <f aca="false">IF(ISBLANK(Actuals!AI79),0,Actuals!AI79)</f>
        <v>0</v>
      </c>
      <c r="AI164" s="14" t="n">
        <f aca="false">IF(ISBLANK(Actuals!AJ79),0,Actuals!AJ79)</f>
        <v>0</v>
      </c>
      <c r="AJ164" s="14" t="n">
        <f aca="false">IF(ISBLANK(Actuals!AK79),0,Actuals!AK79)</f>
        <v>0</v>
      </c>
      <c r="AK164" s="14" t="n">
        <f aca="false">IF(ISBLANK(Actuals!AL79),0,Actuals!AL79)</f>
        <v>0</v>
      </c>
      <c r="AL164" s="14" t="n">
        <f aca="false">IF(ISBLANK(Actuals!AM79),0,Actuals!AM79)</f>
        <v>0</v>
      </c>
      <c r="AM164" s="14" t="n">
        <f aca="false">IF(ISBLANK(Actuals!AN79),0,Actuals!AN79)</f>
        <v>0</v>
      </c>
      <c r="AN164" s="14" t="n">
        <f aca="false">IF(ISBLANK(Actuals!AO79),0,Actuals!AO79)</f>
        <v>0</v>
      </c>
      <c r="AO164" s="14" t="n">
        <f aca="false">IF(ISBLANK(Actuals!AP79),0,Actuals!AP79)</f>
        <v>0</v>
      </c>
      <c r="AP164" s="14" t="n">
        <f aca="false">IF(ISBLANK(Actuals!AQ79),0,Actuals!AQ79)</f>
        <v>0</v>
      </c>
      <c r="AQ164" s="14" t="n">
        <f aca="false">IF(ISBLANK(Actuals!AR79),0,Actuals!AR79)</f>
        <v>0</v>
      </c>
      <c r="AR164" s="14" t="n">
        <f aca="false">IF(ISBLANK(Actuals!AS79),0,Actuals!AS79)</f>
        <v>0</v>
      </c>
      <c r="AS164" s="14" t="n">
        <f aca="false">IF(ISBLANK(Actuals!AT79),0,Actuals!AT79)</f>
        <v>0</v>
      </c>
      <c r="AT164" s="14" t="n">
        <f aca="false">IF(ISBLANK(Actuals!AU79),0,Actuals!AU79)</f>
        <v>0</v>
      </c>
      <c r="AU164" s="14" t="n">
        <f aca="false">IF(ISBLANK(Actuals!AV79),0,Actuals!AV79)</f>
        <v>0</v>
      </c>
      <c r="AV164" s="14" t="n">
        <f aca="false">IF(ISBLANK(Actuals!AW79),0,Actuals!AW79)</f>
        <v>0</v>
      </c>
      <c r="AW164" s="14" t="n">
        <f aca="false">IF(ISBLANK(Actuals!AX79),0,Actuals!AX79)</f>
        <v>0</v>
      </c>
      <c r="AX164" s="14" t="n">
        <f aca="false">IF(ISBLANK(Actuals!AY79),0,Actuals!AY79)</f>
        <v>0</v>
      </c>
      <c r="AY164" s="14" t="n">
        <f aca="false">IF(ISBLANK(Actuals!AZ79),0,Actuals!AZ79)</f>
        <v>0</v>
      </c>
      <c r="AZ164" s="14" t="n">
        <f aca="false">IF(ISBLANK(Actuals!BA79),0,Actuals!BA79)</f>
        <v>0</v>
      </c>
      <c r="BA164" s="14" t="n">
        <f aca="false">IF(ISBLANK(Actuals!BB79),0,Actuals!BB79)</f>
        <v>0</v>
      </c>
      <c r="BB164" s="14" t="n">
        <f aca="false">IF(ISBLANK(Actuals!BC79),0,Actuals!BC79)</f>
        <v>0</v>
      </c>
      <c r="BC164" s="14" t="n">
        <f aca="false">IF(ISBLANK(Actuals!BD79),0,Actuals!BD79)</f>
        <v>0</v>
      </c>
      <c r="BD164" s="14" t="n">
        <f aca="false">IF(ISBLANK(Actuals!BE79),0,Actuals!BE79)</f>
        <v>0</v>
      </c>
      <c r="BE164" s="14" t="n">
        <f aca="false">IF(ISBLANK(Actuals!BF79),0,Actuals!BF79)</f>
        <v>0</v>
      </c>
      <c r="BF164" s="14" t="n">
        <f aca="false">IF(ISBLANK(Actuals!BG79),0,Actuals!BG79)</f>
        <v>0</v>
      </c>
      <c r="BG164" s="14" t="n">
        <f aca="false">IF(ISBLANK(Actuals!BH79),0,Actuals!BH79)</f>
        <v>0</v>
      </c>
      <c r="BH164" s="14" t="n">
        <f aca="false">IF(ISBLANK(Actuals!BI79),0,Actuals!BI79)</f>
        <v>0</v>
      </c>
      <c r="BI164" s="14" t="n">
        <f aca="false">IF(ISBLANK(Actuals!BJ79),0,Actuals!BJ79)</f>
        <v>0</v>
      </c>
      <c r="BJ164" s="14" t="n">
        <f aca="false">IF(ISBLANK(Actuals!BK79),0,Actuals!BK79)</f>
        <v>0</v>
      </c>
      <c r="BK164" s="14" t="n">
        <f aca="false">IF(ISBLANK(Actuals!BL79),0,Actuals!BL79)</f>
        <v>0</v>
      </c>
      <c r="BL164" s="14" t="n">
        <f aca="false">IF(ISBLANK(Actuals!BM79),0,Actuals!BM79)</f>
        <v>0</v>
      </c>
      <c r="BM164" s="14" t="n">
        <f aca="false">IF(ISBLANK(Actuals!BN79),0,Actuals!BN79)</f>
        <v>0</v>
      </c>
      <c r="BN164" s="14" t="n">
        <f aca="false">IF(ISBLANK(Actuals!BO79),0,Actuals!BO79)</f>
        <v>0</v>
      </c>
      <c r="BO164" s="14" t="n">
        <f aca="false">IF(ISBLANK(Actuals!BP79),0,Actuals!BP79)</f>
        <v>0</v>
      </c>
      <c r="BP164" s="14" t="n">
        <f aca="false">IF(ISBLANK(Actuals!BQ79),0,Actuals!BQ79)</f>
        <v>0</v>
      </c>
      <c r="BQ164" s="14" t="n">
        <f aca="false">IF(ISBLANK(Actuals!BR79),0,Actuals!BR79)</f>
        <v>0</v>
      </c>
      <c r="BR164" s="14" t="n">
        <f aca="false">IF(ISBLANK(Actuals!BS79),0,Actuals!BS79)</f>
        <v>0</v>
      </c>
      <c r="BS164" s="14" t="n">
        <f aca="false">IF(ISBLANK(Actuals!BT79),0,Actuals!BT79)</f>
        <v>0</v>
      </c>
      <c r="BT164" s="14" t="n">
        <f aca="false">IF(ISBLANK(Actuals!BU79),0,Actuals!BU79)</f>
        <v>0</v>
      </c>
      <c r="BU164" s="14" t="n">
        <f aca="false">IF(ISBLANK(Actuals!BV79),0,Actuals!BV79)</f>
        <v>0</v>
      </c>
      <c r="BV164" s="14" t="n">
        <f aca="false">IF(ISBLANK(Actuals!BW79),0,Actuals!BW79)</f>
        <v>0</v>
      </c>
      <c r="BW164" s="14" t="n">
        <f aca="false">IF(ISBLANK(Actuals!BX79),0,Actuals!BX79)</f>
        <v>0</v>
      </c>
      <c r="BX164" s="14" t="n">
        <f aca="false">IF(ISBLANK(Actuals!BY79),0,Actuals!BY79)</f>
        <v>0</v>
      </c>
      <c r="BY164" s="14" t="n">
        <f aca="false">IF(ISBLANK(Actuals!BZ79),0,Actuals!BZ79)</f>
        <v>0</v>
      </c>
      <c r="BZ164" s="14" t="n">
        <f aca="false">IF(ISBLANK(Actuals!CA79),0,Actuals!CA79)</f>
        <v>0</v>
      </c>
      <c r="CA164" s="14" t="n">
        <f aca="false">IF(ISBLANK(Actuals!CB79),IF(Projects!$G$14="Yes",73156,0),Actuals!CB79)</f>
        <v>73156</v>
      </c>
      <c r="CB164" s="14" t="n">
        <f aca="false">IF(ISBLANK(Actuals!CC79),0,Actuals!CC79)</f>
        <v>0</v>
      </c>
      <c r="CC164" s="14" t="n">
        <f aca="false">IF(ISBLANK(Actuals!CD79),0,Actuals!CD79)</f>
        <v>0</v>
      </c>
      <c r="CD164" s="14" t="n">
        <f aca="false">IF(ISBLANK(Actuals!CE79),IF(Projects!$G$14="Yes",73155,0),Actuals!CE79)</f>
        <v>73155</v>
      </c>
      <c r="CE164" s="14" t="n">
        <f aca="false">IF(ISBLANK(Actuals!CF79),0,Actuals!CF79)</f>
        <v>0</v>
      </c>
      <c r="CF164" s="14" t="n">
        <f aca="false">IF(ISBLANK(Actuals!CG79),0,Actuals!CG79)</f>
        <v>0</v>
      </c>
      <c r="CG164" s="14" t="n">
        <f aca="false">IF(ISBLANK(Actuals!CH79),IF(Projects!$G$14="Yes",73155,0),Actuals!CH79)</f>
        <v>73155</v>
      </c>
      <c r="CH164" s="14" t="n">
        <f aca="false">IF(ISBLANK(Actuals!CI79),0,Actuals!CI79)</f>
        <v>0</v>
      </c>
      <c r="CI164" s="14" t="n">
        <f aca="false">IF(ISBLANK(Actuals!CJ79),0,Actuals!CJ79)</f>
        <v>0</v>
      </c>
      <c r="CJ164" s="14" t="n">
        <f aca="false">IF(ISBLANK(Actuals!CK79),IF(Projects!$G$14="Yes",73155,0),Actuals!CK79)</f>
        <v>73155</v>
      </c>
      <c r="CK164" s="14" t="n">
        <f aca="false">IF(ISBLANK(Actuals!CL79),IF(Projects!$G$14="Yes",73155,0),Actuals!CL79)</f>
        <v>73155</v>
      </c>
      <c r="CL164" s="14" t="n">
        <f aca="false">IF(ISBLANK(Actuals!CM79),IF(Projects!$G$14="Yes",73155,0),Actuals!CM79)</f>
        <v>73155</v>
      </c>
      <c r="CM164" s="14" t="n">
        <f aca="false">IF(ISBLANK(Actuals!CN79),IF(Projects!$G$14="Yes",73155,0),Actuals!CN79)</f>
        <v>73155</v>
      </c>
      <c r="CN164" s="14" t="n">
        <f aca="false">IF(ISBLANK(Actuals!CO79),IF(Projects!$G$14="Yes",73155,0),Actuals!CO79)</f>
        <v>73155</v>
      </c>
      <c r="CO164" s="14" t="n">
        <f aca="false">IF(ISBLANK(Actuals!CP79),IF(Projects!$G$14="Yes",73155,0),Actuals!CP79)</f>
        <v>73155</v>
      </c>
      <c r="CP164" s="14" t="n">
        <f aca="false">IF(ISBLANK(Actuals!CQ79),IF(Projects!$G$14="Yes",73155,0),Actuals!CQ79)</f>
        <v>73155</v>
      </c>
      <c r="CQ164" s="14" t="n">
        <f aca="false">IF(ISBLANK(Actuals!CR79),IF(Projects!$G$14="Yes",73155,0),Actuals!CR79)</f>
        <v>73155</v>
      </c>
      <c r="CR164" s="14" t="n">
        <f aca="false">IF(ISBLANK(Actuals!CS79),IF(Projects!$G$14="Yes",73155,0),Actuals!CS79)</f>
        <v>73155</v>
      </c>
      <c r="CS164" s="14" t="n">
        <f aca="false">IF(ISBLANK(Actuals!CT79),IF(Projects!$G$14="Yes",73155,0),Actuals!CT79)</f>
        <v>73155</v>
      </c>
      <c r="CT164" s="14" t="n">
        <f aca="false">IF(ISBLANK(Actuals!CU79),IF(Projects!$G$14="Yes",73155,0),Actuals!CU79)</f>
        <v>73155</v>
      </c>
      <c r="CU164" s="14" t="n">
        <f aca="false">IF(ISBLANK(Actuals!CV79),IF(Projects!$G$14="Yes",73155,0),Actuals!CV79)</f>
        <v>73155</v>
      </c>
      <c r="CV164" s="14" t="n">
        <f aca="false">IF(ISBLANK(Actuals!CW79),IF(Projects!$G$14="Yes",73155,0),Actuals!CW79)</f>
        <v>73155</v>
      </c>
      <c r="CW164" s="14" t="n">
        <f aca="false">IF(ISBLANK(Actuals!CX79),IF(Projects!$G$14="Yes",73155,0),Actuals!CX79)</f>
        <v>73155</v>
      </c>
      <c r="CX164" s="14" t="n">
        <f aca="false">IF(ISBLANK(Actuals!CY79),IF(Projects!$G$14="Yes",73155,0),Actuals!CY79)</f>
        <v>73155</v>
      </c>
      <c r="CY164" s="14" t="n">
        <f aca="false">IF(ISBLANK(Actuals!CZ79),IF(Projects!$G$14="Yes",73155,0),Actuals!CZ79)</f>
        <v>73155</v>
      </c>
      <c r="CZ164" s="14" t="n">
        <f aca="false">IF(ISBLANK(Actuals!DA79),IF(Projects!$G$14="Yes",73155,0),Actuals!DA79)</f>
        <v>73155</v>
      </c>
      <c r="DA164" s="14" t="n">
        <f aca="false">IF(ISBLANK(Actuals!DB79),IF(Projects!$G$14="Yes",73155,0),Actuals!DB79)</f>
        <v>73155</v>
      </c>
      <c r="DB164" s="14" t="n">
        <f aca="false">IF(ISBLANK(Actuals!DC79),IF(Projects!$G$14="Yes",73155,0),Actuals!DC79)</f>
        <v>73155</v>
      </c>
      <c r="DC164" s="14" t="n">
        <f aca="false">IF(ISBLANK(Actuals!DD79),IF(Projects!$G$14="Yes",73155,0),Actuals!DD79)</f>
        <v>73155</v>
      </c>
      <c r="DD164" s="14" t="n">
        <f aca="false">IF(ISBLANK(Actuals!DE79),IF(Projects!$G$14="Yes",73155,0),Actuals!DE79)</f>
        <v>73155</v>
      </c>
      <c r="DE164" s="14" t="n">
        <f aca="false">IF(ISBLANK(Actuals!DF79),IF(Projects!$G$14="Yes",73155,0),Actuals!DF79)</f>
        <v>73155</v>
      </c>
    </row>
    <row r="165" customFormat="false" ht="15" hidden="false" customHeight="true" outlineLevel="0" collapsed="false">
      <c r="A165" s="29" t="s">
        <v>113</v>
      </c>
      <c r="B165" s="14" t="n">
        <f aca="false">IF(ISBLANK(Actuals!C80),0,Actuals!C80)</f>
        <v>0</v>
      </c>
      <c r="C165" s="14" t="n">
        <f aca="false">IF(ISBLANK(Actuals!D80),0,Actuals!D80)</f>
        <v>0</v>
      </c>
      <c r="D165" s="14" t="n">
        <f aca="false">IF(ISBLANK(Actuals!E80),0,Actuals!E80)</f>
        <v>0</v>
      </c>
      <c r="E165" s="14" t="n">
        <f aca="false">IF(ISBLANK(Actuals!F80),IF(Uplifters!$B$2="Yes",Uplifters!C107,0),Actuals!F80)</f>
        <v>0</v>
      </c>
      <c r="F165" s="14" t="n">
        <f aca="false">IF(ISBLANK(Actuals!G80),IF(Uplifters!$B$2="Yes",Uplifters!D107,0),Actuals!G80)</f>
        <v>0</v>
      </c>
      <c r="G165" s="14" t="n">
        <f aca="false">IF(ISBLANK(Actuals!H80),IF(Uplifters!$B$2="Yes",Uplifters!E107,0),Actuals!H80)</f>
        <v>0</v>
      </c>
      <c r="H165" s="14" t="n">
        <f aca="false">IF(ISBLANK(Actuals!I80),IF(Uplifters!$B$2="Yes",Uplifters!F107,0),Actuals!I80)</f>
        <v>0</v>
      </c>
      <c r="I165" s="14" t="n">
        <f aca="false">IF(ISBLANK(Actuals!J80),IF(Uplifters!$B$2="Yes",Uplifters!G107,0),Actuals!J80)</f>
        <v>0</v>
      </c>
      <c r="J165" s="14" t="n">
        <f aca="false">IF(ISBLANK(Actuals!K80),IF(Uplifters!$B$2="Yes",Uplifters!H107,0),Actuals!K80)</f>
        <v>0</v>
      </c>
      <c r="K165" s="14" t="n">
        <f aca="false">IF(ISBLANK(Actuals!L80),IF(Uplifters!$B$2="Yes",Uplifters!I107,0),Actuals!L80)</f>
        <v>0</v>
      </c>
      <c r="L165" s="14" t="n">
        <f aca="false">IF(ISBLANK(Actuals!M80),IF(Uplifters!$B$2="Yes",Uplifters!J107,0),Actuals!M80)</f>
        <v>0</v>
      </c>
      <c r="M165" s="14" t="n">
        <f aca="false">IF(ISBLANK(Actuals!N80),IF(Uplifters!$B$2="Yes",Uplifters!K107,0),Actuals!N80)</f>
        <v>0</v>
      </c>
      <c r="N165" s="14" t="n">
        <f aca="false">IF(ISBLANK(Actuals!O80),IF(Uplifters!$B$2="Yes",Uplifters!L107,0),Actuals!O80)</f>
        <v>0</v>
      </c>
      <c r="O165" s="14" t="n">
        <f aca="false">IF(ISBLANK(Actuals!P80),IF(Uplifters!$B$2="Yes",Uplifters!M107,0),Actuals!P80)</f>
        <v>0</v>
      </c>
      <c r="P165" s="14" t="n">
        <f aca="false">IF(ISBLANK(Actuals!Q80),IF(Uplifters!$B$2="Yes",Uplifters!N107,0),Actuals!Q80)</f>
        <v>0</v>
      </c>
      <c r="Q165" s="14" t="n">
        <f aca="false">IF(ISBLANK(Actuals!R80),IF(Uplifters!$B$2="Yes",Uplifters!O107,0),Actuals!R80)</f>
        <v>0</v>
      </c>
      <c r="R165" s="14" t="n">
        <f aca="false">IF(ISBLANK(Actuals!S80),IF(Uplifters!$B$2="Yes",Uplifters!P107,0),Actuals!S80)</f>
        <v>0</v>
      </c>
      <c r="S165" s="14" t="n">
        <f aca="false">IF(ISBLANK(Actuals!T80),IF(Uplifters!$B$2="Yes",Uplifters!Q107,0),Actuals!T80)</f>
        <v>0</v>
      </c>
      <c r="T165" s="14" t="n">
        <f aca="false">IF(ISBLANK(Actuals!U80),IF(Uplifters!$B$2="Yes",Uplifters!R107,0),Actuals!U80)</f>
        <v>0</v>
      </c>
      <c r="U165" s="14" t="n">
        <f aca="false">IF(ISBLANK(Actuals!V80),IF(Uplifters!$B$2="Yes",Uplifters!S107,0),Actuals!V80)</f>
        <v>0</v>
      </c>
      <c r="V165" s="14" t="n">
        <f aca="false">IF(ISBLANK(Actuals!W80),IF(Uplifters!$B$2="Yes",Uplifters!T107,0),Actuals!W80)</f>
        <v>0</v>
      </c>
      <c r="W165" s="14" t="n">
        <f aca="false">IF(ISBLANK(Actuals!X80),IF(Uplifters!$B$2="Yes",Uplifters!U107,0),Actuals!X80)</f>
        <v>0</v>
      </c>
      <c r="X165" s="14" t="n">
        <f aca="false">IF(ISBLANK(Actuals!Y80),IF(Uplifters!$B$2="Yes",Uplifters!V107,0),Actuals!Y80)</f>
        <v>0</v>
      </c>
      <c r="Y165" s="14" t="n">
        <f aca="false">IF(ISBLANK(Actuals!Z80),IF(Uplifters!$B$2="Yes",Uplifters!W107,0),Actuals!Z80)</f>
        <v>0</v>
      </c>
      <c r="Z165" s="14" t="n">
        <f aca="false">IF(ISBLANK(Actuals!AA80),IF(Uplifters!$B$2="Yes",Uplifters!X107,0),Actuals!AA80)</f>
        <v>0</v>
      </c>
      <c r="AA165" s="14" t="n">
        <f aca="false">IF(ISBLANK(Actuals!AB80),IF(Uplifters!$B$2="Yes",Uplifters!Y107,0),Actuals!AB80)</f>
        <v>0</v>
      </c>
      <c r="AB165" s="14" t="n">
        <f aca="false">IF(ISBLANK(Actuals!AC80),IF(Uplifters!$B$2="Yes",Uplifters!Z107,0),Actuals!AC80)</f>
        <v>0</v>
      </c>
      <c r="AC165" s="14" t="n">
        <f aca="false">IF(ISBLANK(Actuals!AD80),IF(Uplifters!$B$2="Yes",Uplifters!AA107,0),Actuals!AD80)</f>
        <v>0</v>
      </c>
      <c r="AD165" s="14" t="n">
        <f aca="false">IF(ISBLANK(Actuals!AE80),IF(Uplifters!$B$2="Yes",Uplifters!AB107,0),Actuals!AE80)</f>
        <v>0</v>
      </c>
      <c r="AE165" s="14" t="n">
        <f aca="false">IF(ISBLANK(Actuals!AF80),IF(Uplifters!$B$2="Yes",Uplifters!AC107,0),Actuals!AF80)</f>
        <v>0</v>
      </c>
      <c r="AF165" s="14" t="n">
        <f aca="false">IF(ISBLANK(Actuals!AG80),IF(Uplifters!$B$2="Yes",Uplifters!AD107,0),Actuals!AG80)</f>
        <v>0</v>
      </c>
      <c r="AG165" s="14" t="n">
        <f aca="false">IF(ISBLANK(Actuals!AH80),IF(Uplifters!$B$2="Yes",Uplifters!AE107,0),Actuals!AH80)</f>
        <v>0</v>
      </c>
      <c r="AH165" s="14" t="n">
        <f aca="false">IF(ISBLANK(Actuals!AI80),IF(Uplifters!$B$2="Yes",Uplifters!AF107,0),Actuals!AI80)</f>
        <v>0</v>
      </c>
      <c r="AI165" s="14" t="n">
        <f aca="false">IF(ISBLANK(Actuals!AJ80),IF(Uplifters!$B$2="Yes",Uplifters!AG107,0),Actuals!AJ80)</f>
        <v>0</v>
      </c>
      <c r="AJ165" s="14" t="n">
        <f aca="false">IF(ISBLANK(Actuals!AK80),IF(Uplifters!$B$2="Yes",Uplifters!AH107,0),Actuals!AK80)</f>
        <v>0</v>
      </c>
      <c r="AK165" s="14" t="n">
        <f aca="false">IF(ISBLANK(Actuals!AL80),IF(Uplifters!$B$2="Yes",Uplifters!AI107,0),Actuals!AL80)</f>
        <v>0</v>
      </c>
      <c r="AL165" s="14" t="n">
        <f aca="false">IF(ISBLANK(Actuals!AM80),IF(Uplifters!$B$2="Yes",Uplifters!AJ107,0),Actuals!AM80)</f>
        <v>0</v>
      </c>
      <c r="AM165" s="14" t="n">
        <f aca="false">IF(ISBLANK(Actuals!AN80),IF(Uplifters!$B$2="Yes",Uplifters!AK107,0),Actuals!AN80)</f>
        <v>0</v>
      </c>
      <c r="AN165" s="14" t="n">
        <f aca="false">IF(ISBLANK(Actuals!AO80),IF(Uplifters!$B$2="Yes",Uplifters!AL107,0),Actuals!AO80)</f>
        <v>0</v>
      </c>
      <c r="AO165" s="14" t="n">
        <f aca="false">IF(ISBLANK(Actuals!AP80),IF(Uplifters!$B$2="Yes",Uplifters!AM107,0),Actuals!AP80)</f>
        <v>0</v>
      </c>
      <c r="AP165" s="14" t="n">
        <f aca="false">IF(ISBLANK(Actuals!AQ80),IF(Uplifters!$B$2="Yes",Uplifters!AN107,0),Actuals!AQ80)</f>
        <v>0</v>
      </c>
      <c r="AQ165" s="14" t="n">
        <f aca="false">IF(ISBLANK(Actuals!AR80),IF(Uplifters!$B$2="Yes",Uplifters!AO107,0),Actuals!AR80)</f>
        <v>0</v>
      </c>
      <c r="AR165" s="14" t="n">
        <f aca="false">IF(ISBLANK(Actuals!AS80),IF(Uplifters!$B$2="Yes",Uplifters!AP107,0),Actuals!AS80)</f>
        <v>0</v>
      </c>
      <c r="AS165" s="14" t="n">
        <f aca="false">IF(ISBLANK(Actuals!AT80),IF(Uplifters!$B$2="Yes",Uplifters!AQ107,0),Actuals!AT80)</f>
        <v>0</v>
      </c>
      <c r="AT165" s="14" t="n">
        <f aca="false">IF(ISBLANK(Actuals!AU80),IF(Uplifters!$B$2="Yes",Uplifters!AR107,0),Actuals!AU80)</f>
        <v>0</v>
      </c>
      <c r="AU165" s="14" t="n">
        <f aca="false">IF(ISBLANK(Actuals!AV80),IF(Uplifters!$B$2="Yes",Uplifters!AS107,0),Actuals!AV80)</f>
        <v>0</v>
      </c>
      <c r="AV165" s="14" t="n">
        <f aca="false">IF(ISBLANK(Actuals!AW80),IF(Uplifters!$B$2="Yes",Uplifters!AT107,0),Actuals!AW80)</f>
        <v>0</v>
      </c>
      <c r="AW165" s="14" t="n">
        <f aca="false">IF(ISBLANK(Actuals!AX80),IF(Uplifters!$B$2="Yes",Uplifters!AU107,0),Actuals!AX80)</f>
        <v>0</v>
      </c>
      <c r="AX165" s="14" t="n">
        <f aca="false">IF(ISBLANK(Actuals!AY80),IF(Uplifters!$B$2="Yes",Uplifters!AV107,0),Actuals!AY80)</f>
        <v>0</v>
      </c>
      <c r="AY165" s="14" t="n">
        <f aca="false">IF(ISBLANK(Actuals!AZ80),IF(Uplifters!$B$2="Yes",Uplifters!AW107,0),Actuals!AZ80)</f>
        <v>0</v>
      </c>
      <c r="AZ165" s="14" t="n">
        <f aca="false">IF(ISBLANK(Actuals!BA80),IF(Uplifters!$B$2="Yes",Uplifters!AX107,0),Actuals!BA80)</f>
        <v>0</v>
      </c>
      <c r="BA165" s="14" t="n">
        <f aca="false">IF(ISBLANK(Actuals!BB80),IF(Uplifters!$B$2="Yes",Uplifters!AY107,0),Actuals!BB80)</f>
        <v>0</v>
      </c>
      <c r="BB165" s="14" t="n">
        <f aca="false">IF(ISBLANK(Actuals!BC80),IF(Uplifters!$B$2="Yes",Uplifters!AZ107,0),Actuals!BC80)</f>
        <v>0</v>
      </c>
      <c r="BC165" s="14" t="n">
        <f aca="false">IF(ISBLANK(Actuals!BD80),IF(Uplifters!$B$2="Yes",Uplifters!BA107,0),Actuals!BD80)</f>
        <v>0</v>
      </c>
      <c r="BD165" s="14" t="n">
        <f aca="false">IF(ISBLANK(Actuals!BE80),IF(Uplifters!$B$2="Yes",Uplifters!BB107,0),Actuals!BE80)</f>
        <v>0</v>
      </c>
      <c r="BE165" s="14" t="n">
        <f aca="false">IF(ISBLANK(Actuals!BF80),IF(Uplifters!$B$2="Yes",Uplifters!BC107,0),Actuals!BF80)</f>
        <v>0</v>
      </c>
      <c r="BF165" s="14" t="n">
        <f aca="false">IF(ISBLANK(Actuals!BG80),IF(Uplifters!$B$2="Yes",Uplifters!BD107,0),Actuals!BG80)</f>
        <v>0</v>
      </c>
      <c r="BG165" s="14" t="n">
        <f aca="false">IF(ISBLANK(Actuals!BH80),IF(Uplifters!$B$2="Yes",Uplifters!BE107,0),Actuals!BH80)</f>
        <v>0</v>
      </c>
      <c r="BH165" s="14" t="n">
        <f aca="false">IF(ISBLANK(Actuals!BI80),IF(Uplifters!$B$2="Yes",Uplifters!BF107,0),Actuals!BI80)</f>
        <v>0</v>
      </c>
      <c r="BI165" s="14" t="n">
        <f aca="false">IF(ISBLANK(Actuals!BJ80),IF(Uplifters!$B$2="Yes",Uplifters!BG107,0),Actuals!BJ80)</f>
        <v>0</v>
      </c>
      <c r="BJ165" s="14" t="n">
        <f aca="false">IF(ISBLANK(Actuals!BK80),IF(Uplifters!$B$2="Yes",Uplifters!BH107,0),Actuals!BK80)</f>
        <v>0</v>
      </c>
      <c r="BK165" s="14" t="n">
        <f aca="false">IF(ISBLANK(Actuals!BL80),IF(Uplifters!$B$2="Yes",Uplifters!BI107,0),Actuals!BL80)</f>
        <v>0</v>
      </c>
      <c r="BL165" s="14" t="n">
        <f aca="false">IF(ISBLANK(Actuals!BM80),IF(Uplifters!$B$2="Yes",Uplifters!BJ107,0),Actuals!BM80)</f>
        <v>0</v>
      </c>
      <c r="BM165" s="14" t="n">
        <f aca="false">IF(ISBLANK(Actuals!BN80),IF(Uplifters!$B$2="Yes",Uplifters!BK107,0),Actuals!BN80)</f>
        <v>0</v>
      </c>
      <c r="BN165" s="14" t="n">
        <f aca="false">IF(ISBLANK(Actuals!BO80),IF(Uplifters!$B$2="Yes",Uplifters!BL107,0),Actuals!BO80)</f>
        <v>0</v>
      </c>
      <c r="BO165" s="14" t="n">
        <f aca="false">IF(ISBLANK(Actuals!BP80),IF(Uplifters!$B$2="Yes",Uplifters!BM107,0),Actuals!BP80)</f>
        <v>0</v>
      </c>
      <c r="BP165" s="14" t="n">
        <f aca="false">IF(ISBLANK(Actuals!BQ80),IF(Uplifters!$B$2="Yes",Uplifters!BN107,0),Actuals!BQ80)</f>
        <v>0</v>
      </c>
      <c r="BQ165" s="14" t="n">
        <f aca="false">IF(ISBLANK(Actuals!BR80),IF(Uplifters!$B$2="Yes",Uplifters!BO107,0),Actuals!BR80)</f>
        <v>0</v>
      </c>
      <c r="BR165" s="14" t="n">
        <f aca="false">IF(ISBLANK(Actuals!BS80),IF(Uplifters!$B$2="Yes",Uplifters!BP107,0),Actuals!BS80)</f>
        <v>0</v>
      </c>
      <c r="BS165" s="14" t="n">
        <f aca="false">IF(ISBLANK(Actuals!BT80),IF(Uplifters!$B$2="Yes",Uplifters!BQ107,0),Actuals!BT80)</f>
        <v>0</v>
      </c>
      <c r="BT165" s="14" t="n">
        <f aca="false">IF(ISBLANK(Actuals!BU80),IF(Uplifters!$B$2="Yes",Uplifters!BR107,0),Actuals!BU80)</f>
        <v>0</v>
      </c>
      <c r="BU165" s="14" t="n">
        <f aca="false">IF(ISBLANK(Actuals!BV80),IF(Uplifters!$B$2="Yes",Uplifters!BS107,0),Actuals!BV80)</f>
        <v>0</v>
      </c>
      <c r="BV165" s="14" t="n">
        <f aca="false">IF(ISBLANK(Actuals!BW80),IF(Uplifters!$B$2="Yes",Uplifters!BT107,0),Actuals!BW80)</f>
        <v>0</v>
      </c>
      <c r="BW165" s="14" t="n">
        <f aca="false">IF(ISBLANK(Actuals!BX80),IF(Uplifters!$B$2="Yes",Uplifters!BU107,0),Actuals!BX80)</f>
        <v>0</v>
      </c>
      <c r="BX165" s="14" t="n">
        <f aca="false">IF(ISBLANK(Actuals!BY80),IF(Uplifters!$B$2="Yes",Uplifters!BV107,0),Actuals!BY80)</f>
        <v>0</v>
      </c>
      <c r="BY165" s="14" t="n">
        <f aca="false">IF(ISBLANK(Actuals!BZ80),IF(Uplifters!$B$2="Yes",Uplifters!BW107,0),Actuals!BZ80)</f>
        <v>0</v>
      </c>
      <c r="BZ165" s="14" t="n">
        <f aca="false">IF(ISBLANK(Actuals!CA80),IF(Uplifters!$B$2="Yes",Uplifters!BX107,0),Actuals!CA80)</f>
        <v>0</v>
      </c>
      <c r="CA165" s="14" t="n">
        <f aca="false">IF(ISBLANK(Actuals!CB80),IF(Uplifters!$B$2="Yes",Uplifters!BY107,0),Actuals!CB80)</f>
        <v>0</v>
      </c>
      <c r="CB165" s="14" t="n">
        <f aca="false">IF(ISBLANK(Actuals!CC80),IF(Uplifters!$B$2="Yes",Uplifters!BZ107,0),Actuals!CC80)</f>
        <v>0</v>
      </c>
      <c r="CC165" s="14" t="n">
        <f aca="false">IF(ISBLANK(Actuals!CD80),IF(Uplifters!$B$2="Yes",Uplifters!CA107,0),Actuals!CD80)</f>
        <v>0</v>
      </c>
      <c r="CD165" s="14" t="n">
        <f aca="false">IF(ISBLANK(Actuals!CE80),IF(Uplifters!$B$2="Yes",Uplifters!CB107,0),Actuals!CE80)</f>
        <v>0</v>
      </c>
      <c r="CE165" s="14" t="n">
        <f aca="false">IF(ISBLANK(Actuals!CF80),IF(Uplifters!$B$2="Yes",Uplifters!CC107,0),Actuals!CF80)</f>
        <v>0</v>
      </c>
      <c r="CF165" s="14" t="n">
        <f aca="false">IF(ISBLANK(Actuals!CG80),IF(Uplifters!$B$2="Yes",Uplifters!CD107,0),Actuals!CG80)</f>
        <v>0</v>
      </c>
      <c r="CG165" s="14" t="n">
        <f aca="false">IF(ISBLANK(Actuals!CH80),IF(Uplifters!$B$2="Yes",Uplifters!CE107,0),Actuals!CH80)</f>
        <v>0</v>
      </c>
      <c r="CH165" s="14" t="n">
        <f aca="false">IF(ISBLANK(Actuals!CI80),IF(Uplifters!$B$2="Yes",Uplifters!CF107,0),Actuals!CI80)</f>
        <v>0</v>
      </c>
      <c r="CI165" s="14" t="n">
        <f aca="false">IF(ISBLANK(Actuals!CJ80),IF(Uplifters!$B$2="Yes",Uplifters!CG107,0),Actuals!CJ80)</f>
        <v>0</v>
      </c>
      <c r="CJ165" s="14" t="n">
        <f aca="false">IF(ISBLANK(Actuals!CK80),IF(Uplifters!$B$2="Yes",Uplifters!CH107,0),Actuals!CK80)</f>
        <v>0</v>
      </c>
      <c r="CK165" s="14" t="n">
        <f aca="false">IF(ISBLANK(Actuals!CL80),IF(Uplifters!$B$2="Yes",Uplifters!CI107,0),Actuals!CL80)</f>
        <v>0</v>
      </c>
      <c r="CL165" s="14" t="n">
        <f aca="false">IF(ISBLANK(Actuals!CM80),IF(Uplifters!$B$2="Yes",Uplifters!CJ107,0),Actuals!CM80)</f>
        <v>0</v>
      </c>
      <c r="CM165" s="14" t="n">
        <f aca="false">IF(ISBLANK(Actuals!CN80),IF(Uplifters!$B$2="Yes",Uplifters!CK107,0),Actuals!CN80)</f>
        <v>0</v>
      </c>
      <c r="CN165" s="14" t="n">
        <f aca="false">IF(ISBLANK(Actuals!CO80),IF(Uplifters!$B$2="Yes",Uplifters!CL107,0),Actuals!CO80)</f>
        <v>0</v>
      </c>
      <c r="CO165" s="14" t="n">
        <f aca="false">IF(ISBLANK(Actuals!CP80),IF(Uplifters!$B$2="Yes",Uplifters!CM107,0),Actuals!CP80)</f>
        <v>0</v>
      </c>
      <c r="CP165" s="14" t="n">
        <f aca="false">IF(ISBLANK(Actuals!CQ80),IF(Uplifters!$B$2="Yes",Uplifters!CN107,0),Actuals!CQ80)</f>
        <v>0</v>
      </c>
      <c r="CQ165" s="14" t="n">
        <f aca="false">IF(ISBLANK(Actuals!CR80),IF(Uplifters!$B$2="Yes",Uplifters!CO107,0),Actuals!CR80)</f>
        <v>0</v>
      </c>
      <c r="CR165" s="14" t="n">
        <f aca="false">IF(ISBLANK(Actuals!CS80),IF(Uplifters!$B$2="Yes",Uplifters!CP107,0),Actuals!CS80)</f>
        <v>0</v>
      </c>
      <c r="CS165" s="14" t="n">
        <f aca="false">IF(ISBLANK(Actuals!CT80),IF(Uplifters!$B$2="Yes",Uplifters!CQ107,0),Actuals!CT80)</f>
        <v>0</v>
      </c>
      <c r="CT165" s="14" t="n">
        <f aca="false">IF(ISBLANK(Actuals!CU80),IF(Uplifters!$B$2="Yes",Uplifters!CR107,0),Actuals!CU80)</f>
        <v>0</v>
      </c>
      <c r="CU165" s="14" t="n">
        <f aca="false">IF(ISBLANK(Actuals!CV80),IF(Uplifters!$B$2="Yes",Uplifters!CS107,0),Actuals!CV80)</f>
        <v>0</v>
      </c>
      <c r="CV165" s="14" t="n">
        <f aca="false">IF(ISBLANK(Actuals!CW80),IF(Uplifters!$B$2="Yes",Uplifters!CT107,0),Actuals!CW80)</f>
        <v>0</v>
      </c>
      <c r="CW165" s="14" t="n">
        <f aca="false">IF(ISBLANK(Actuals!CX80),IF(Uplifters!$B$2="Yes",Uplifters!CU107,0),Actuals!CX80)</f>
        <v>0</v>
      </c>
      <c r="CX165" s="14" t="n">
        <f aca="false">IF(ISBLANK(Actuals!CY80),IF(Uplifters!$B$2="Yes",Uplifters!CV107,0),Actuals!CY80)</f>
        <v>0</v>
      </c>
      <c r="CY165" s="14" t="n">
        <f aca="false">IF(ISBLANK(Actuals!CZ80),IF(Uplifters!$B$2="Yes",Uplifters!CW107,0),Actuals!CZ80)</f>
        <v>0</v>
      </c>
      <c r="CZ165" s="14" t="n">
        <f aca="false">IF(ISBLANK(Actuals!DA80),IF(Uplifters!$B$2="Yes",Uplifters!CX107,0),Actuals!DA80)</f>
        <v>0</v>
      </c>
      <c r="DA165" s="14" t="n">
        <f aca="false">IF(ISBLANK(Actuals!DB80),IF(Uplifters!$B$2="Yes",Uplifters!CY107,0),Actuals!DB80)</f>
        <v>0</v>
      </c>
      <c r="DB165" s="14" t="n">
        <f aca="false">IF(ISBLANK(Actuals!DC80),IF(Uplifters!$B$2="Yes",Uplifters!CZ107,0),Actuals!DC80)</f>
        <v>0</v>
      </c>
      <c r="DC165" s="14" t="n">
        <f aca="false">IF(ISBLANK(Actuals!DD80),IF(Uplifters!$B$2="Yes",Uplifters!DA107,0),Actuals!DD80)</f>
        <v>0</v>
      </c>
      <c r="DD165" s="14" t="n">
        <f aca="false">IF(ISBLANK(Actuals!DE80),IF(Uplifters!$B$2="Yes",Uplifters!DB107,0),Actuals!DE80)</f>
        <v>0</v>
      </c>
      <c r="DE165" s="14" t="n">
        <f aca="false">IF(ISBLANK(Actuals!DF80),IF(Uplifters!$B$2="Yes",Uplifters!DC107,0),Actuals!DF80)</f>
        <v>0</v>
      </c>
    </row>
    <row r="166" customFormat="false" ht="15" hidden="false" customHeight="false" outlineLevel="0" collapsed="false">
      <c r="A166" s="29" t="s">
        <v>114</v>
      </c>
      <c r="B166" s="14" t="n">
        <f aca="false">IF(ISBLANK(Actuals!C63),0,Actuals!C63)</f>
        <v>0</v>
      </c>
      <c r="C166" s="14" t="n">
        <f aca="false">IF(ISBLANK(Actuals!D63),0,Actuals!D63)</f>
        <v>0</v>
      </c>
      <c r="D166" s="14" t="n">
        <f aca="false">IF(ISBLANK(Actuals!E63),0,Actuals!E63)</f>
        <v>0</v>
      </c>
      <c r="E166" s="14" t="n">
        <f aca="false">IF(ISBLANK(Actuals!F63),0,Actuals!F63)</f>
        <v>0</v>
      </c>
      <c r="F166" s="14" t="n">
        <f aca="false">IF(ISBLANK(Actuals!G63),0,Actuals!G63)</f>
        <v>0</v>
      </c>
      <c r="G166" s="14" t="n">
        <f aca="false">IF(ISBLANK(Actuals!H63),0,Actuals!H63)</f>
        <v>299000</v>
      </c>
      <c r="H166" s="14" t="n">
        <f aca="false">IF(ISBLANK(Actuals!I63),0,Actuals!I63)</f>
        <v>0</v>
      </c>
      <c r="I166" s="14" t="n">
        <f aca="false">IF(ISBLANK(Actuals!J63),0,Actuals!J63)</f>
        <v>0</v>
      </c>
      <c r="J166" s="14" t="n">
        <f aca="false">IF(ISBLANK(Actuals!K63),0,Actuals!K63)</f>
        <v>0</v>
      </c>
      <c r="K166" s="14" t="n">
        <f aca="false">IF(ISBLANK(Actuals!L63),0,Actuals!L63)</f>
        <v>0</v>
      </c>
      <c r="L166" s="14" t="n">
        <f aca="false">IF(ISBLANK(Actuals!M63),0,Actuals!M63)</f>
        <v>0</v>
      </c>
      <c r="M166" s="14" t="n">
        <f aca="false">IF(ISBLANK(Actuals!N63),0,Actuals!N63)</f>
        <v>0</v>
      </c>
      <c r="N166" s="14" t="n">
        <f aca="false">IF(ISBLANK(Actuals!O63),0,Actuals!O63)</f>
        <v>0</v>
      </c>
      <c r="O166" s="14" t="n">
        <f aca="false">IF(ISBLANK(Actuals!P63),0,Actuals!P63)</f>
        <v>0</v>
      </c>
      <c r="P166" s="14" t="n">
        <f aca="false">IF(ISBLANK(Actuals!Q63),0,Actuals!Q63)</f>
        <v>0</v>
      </c>
      <c r="Q166" s="14" t="n">
        <f aca="false">IF(ISBLANK(Actuals!R63),0,Actuals!R63)</f>
        <v>0</v>
      </c>
      <c r="R166" s="14" t="n">
        <f aca="false">IF(ISBLANK(Actuals!S63),0,Actuals!S63)</f>
        <v>0</v>
      </c>
      <c r="S166" s="14" t="n">
        <f aca="false">IF(ISBLANK(Actuals!T63),0,Actuals!T63)</f>
        <v>0</v>
      </c>
      <c r="T166" s="14" t="n">
        <f aca="false">IF(ISBLANK(Actuals!U63),0,Actuals!U63)</f>
        <v>0</v>
      </c>
      <c r="U166" s="14" t="n">
        <f aca="false">IF(ISBLANK(Actuals!V63),0,Actuals!V63)</f>
        <v>0</v>
      </c>
      <c r="V166" s="14" t="n">
        <f aca="false">IF(ISBLANK(Actuals!W63),0,Actuals!W63)</f>
        <v>0</v>
      </c>
      <c r="W166" s="14" t="n">
        <f aca="false">IF(ISBLANK(Actuals!X63),0,Actuals!X63)</f>
        <v>0</v>
      </c>
      <c r="X166" s="14" t="n">
        <f aca="false">IF(ISBLANK(Actuals!Y63),0,Actuals!Y63)</f>
        <v>0</v>
      </c>
      <c r="Y166" s="14" t="n">
        <f aca="false">IF(ISBLANK(Actuals!Z63),IF(Projects!$G$3="Yes",57375,0),Actuals!Z63)</f>
        <v>57375</v>
      </c>
      <c r="Z166" s="14" t="n">
        <f aca="false">IF(ISBLANK(Actuals!AA63),0,Actuals!AA63)</f>
        <v>0</v>
      </c>
      <c r="AA166" s="14" t="n">
        <f aca="false">IF(ISBLANK(Actuals!AB63),0,Actuals!AB63)</f>
        <v>0</v>
      </c>
      <c r="AB166" s="14" t="n">
        <f aca="false">IF(ISBLANK(Actuals!AC63),0,Actuals!AC63)</f>
        <v>0</v>
      </c>
      <c r="AC166" s="14" t="n">
        <f aca="false">IF(ISBLANK(Actuals!AD63),0,Actuals!AD63)</f>
        <v>0</v>
      </c>
      <c r="AD166" s="14" t="n">
        <f aca="false">IF(ISBLANK(Actuals!AE63),0,Actuals!AE63)</f>
        <v>0</v>
      </c>
      <c r="AE166" s="14" t="n">
        <f aca="false">IF(ISBLANK(Actuals!AF63),0,Actuals!AF63)</f>
        <v>0</v>
      </c>
      <c r="AF166" s="14" t="n">
        <f aca="false">IF(ISBLANK(Actuals!AG63),0,Actuals!AG63)</f>
        <v>0</v>
      </c>
      <c r="AG166" s="14" t="n">
        <f aca="false">IF(ISBLANK(Actuals!AH63),0,Actuals!AH63)</f>
        <v>0</v>
      </c>
      <c r="AH166" s="14" t="n">
        <f aca="false">IF(ISBLANK(Actuals!AI63),0,Actuals!AI63)</f>
        <v>0</v>
      </c>
      <c r="AI166" s="14" t="n">
        <f aca="false">IF(ISBLANK(Actuals!AJ63),0,Actuals!AJ63)</f>
        <v>0</v>
      </c>
      <c r="AJ166" s="14" t="n">
        <f aca="false">IF(ISBLANK(Actuals!AK63),0,Actuals!AK63)</f>
        <v>0</v>
      </c>
      <c r="AK166" s="14" t="n">
        <f aca="false">IF(ISBLANK(Actuals!AL63),0,Actuals!AL63)</f>
        <v>0</v>
      </c>
      <c r="AL166" s="14" t="n">
        <f aca="false">IF(ISBLANK(Actuals!AM63),0,Actuals!AM63)</f>
        <v>0</v>
      </c>
      <c r="AM166" s="14" t="n">
        <f aca="false">IF(ISBLANK(Actuals!AN63),0,Actuals!AN63)</f>
        <v>0</v>
      </c>
      <c r="AN166" s="14" t="n">
        <f aca="false">IF(ISBLANK(Actuals!AO63),0,Actuals!AO63)</f>
        <v>0</v>
      </c>
      <c r="AO166" s="14" t="n">
        <f aca="false">IF(ISBLANK(Actuals!AP63),0,Actuals!AP63)</f>
        <v>0</v>
      </c>
      <c r="AP166" s="14" t="n">
        <f aca="false">IF(ISBLANK(Actuals!AQ63),0,Actuals!AQ63)</f>
        <v>0</v>
      </c>
      <c r="AQ166" s="14" t="n">
        <f aca="false">IF(ISBLANK(Actuals!AR63),0,Actuals!AR63)</f>
        <v>0</v>
      </c>
      <c r="AR166" s="14" t="n">
        <f aca="false">IF(ISBLANK(Actuals!AS63),0,Actuals!AS63)</f>
        <v>0</v>
      </c>
      <c r="AS166" s="14" t="n">
        <f aca="false">IF(ISBLANK(Actuals!AT63),0,Actuals!AT63)</f>
        <v>0</v>
      </c>
      <c r="AT166" s="14" t="n">
        <f aca="false">IF(ISBLANK(Actuals!AU63),0,Actuals!AU63)</f>
        <v>0</v>
      </c>
      <c r="AU166" s="14" t="n">
        <f aca="false">IF(ISBLANK(Actuals!AV63),0,Actuals!AV63)</f>
        <v>0</v>
      </c>
      <c r="AV166" s="14" t="n">
        <f aca="false">IF(ISBLANK(Actuals!AW63),0,Actuals!AW63)</f>
        <v>0</v>
      </c>
      <c r="AW166" s="14" t="n">
        <f aca="false">IF(ISBLANK(Actuals!AX63),0,Actuals!AX63)</f>
        <v>0</v>
      </c>
      <c r="AX166" s="14" t="n">
        <f aca="false">IF(ISBLANK(Actuals!AY63),0,Actuals!AY63)</f>
        <v>0</v>
      </c>
      <c r="AY166" s="14" t="n">
        <f aca="false">IF(ISBLANK(Actuals!AZ63),0,Actuals!AZ63)</f>
        <v>0</v>
      </c>
      <c r="AZ166" s="14" t="n">
        <f aca="false">IF(ISBLANK(Actuals!BA63),0,Actuals!BA63)</f>
        <v>0</v>
      </c>
      <c r="BA166" s="14" t="n">
        <f aca="false">IF(ISBLANK(Actuals!BB63),0,Actuals!BB63)</f>
        <v>0</v>
      </c>
      <c r="BB166" s="14" t="n">
        <f aca="false">IF(ISBLANK(Actuals!BC63),0,Actuals!BC63)</f>
        <v>0</v>
      </c>
      <c r="BC166" s="14" t="n">
        <f aca="false">IF(ISBLANK(Actuals!BD63),0,Actuals!BD63)</f>
        <v>0</v>
      </c>
      <c r="BD166" s="14" t="n">
        <f aca="false">IF(ISBLANK(Actuals!BE63),0,Actuals!BE63)</f>
        <v>0</v>
      </c>
      <c r="BE166" s="14" t="n">
        <f aca="false">IF(ISBLANK(Actuals!BF63),0,Actuals!BF63)</f>
        <v>0</v>
      </c>
      <c r="BF166" s="14" t="n">
        <f aca="false">IF(ISBLANK(Actuals!BG63),0,Actuals!BG63)</f>
        <v>0</v>
      </c>
      <c r="BG166" s="14" t="n">
        <f aca="false">IF(ISBLANK(Actuals!BH63),0,Actuals!BH63)</f>
        <v>0</v>
      </c>
      <c r="BH166" s="14" t="n">
        <f aca="false">IF(ISBLANK(Actuals!BI63),0,Actuals!BI63)</f>
        <v>0</v>
      </c>
      <c r="BI166" s="14" t="n">
        <f aca="false">IF(ISBLANK(Actuals!BJ63),0,Actuals!BJ63)</f>
        <v>0</v>
      </c>
      <c r="BJ166" s="14" t="n">
        <f aca="false">IF(ISBLANK(Actuals!BK63),0,Actuals!BK63)</f>
        <v>0</v>
      </c>
      <c r="BK166" s="14" t="n">
        <f aca="false">IF(ISBLANK(Actuals!BL63),0,Actuals!BL63)</f>
        <v>0</v>
      </c>
      <c r="BL166" s="14" t="n">
        <f aca="false">IF(ISBLANK(Actuals!BM63),0,Actuals!BM63)</f>
        <v>0</v>
      </c>
      <c r="BM166" s="14" t="n">
        <f aca="false">IF(ISBLANK(Actuals!BN63),0,Actuals!BN63)</f>
        <v>0</v>
      </c>
      <c r="BN166" s="14" t="n">
        <f aca="false">IF(ISBLANK(Actuals!BO63),0,Actuals!BO63)</f>
        <v>0</v>
      </c>
      <c r="BO166" s="14" t="n">
        <f aca="false">IF(ISBLANK(Actuals!BP63),0,Actuals!BP63)</f>
        <v>0</v>
      </c>
      <c r="BP166" s="14" t="n">
        <f aca="false">IF(ISBLANK(Actuals!BQ63),0,Actuals!BQ63)</f>
        <v>0</v>
      </c>
      <c r="BQ166" s="14" t="n">
        <f aca="false">IF(ISBLANK(Actuals!BR63),0,Actuals!BR63)</f>
        <v>0</v>
      </c>
      <c r="BR166" s="14" t="n">
        <f aca="false">IF(ISBLANK(Actuals!BS63),0,Actuals!BS63)</f>
        <v>0</v>
      </c>
      <c r="BS166" s="14" t="n">
        <f aca="false">IF(ISBLANK(Actuals!BT63),0,Actuals!BT63)</f>
        <v>0</v>
      </c>
      <c r="BT166" s="14" t="n">
        <f aca="false">IF(ISBLANK(Actuals!BU63),0,Actuals!BU63)</f>
        <v>0</v>
      </c>
      <c r="BU166" s="14" t="n">
        <f aca="false">IF(ISBLANK(Actuals!BV63),0,Actuals!BV63)</f>
        <v>0</v>
      </c>
      <c r="BV166" s="14" t="n">
        <f aca="false">IF(ISBLANK(Actuals!BW63),0,Actuals!BW63)</f>
        <v>0</v>
      </c>
      <c r="BW166" s="14" t="n">
        <f aca="false">IF(ISBLANK(Actuals!BX63),0,Actuals!BX63)</f>
        <v>0</v>
      </c>
      <c r="BX166" s="14" t="n">
        <f aca="false">IF(ISBLANK(Actuals!BY63),0,Actuals!BY63)</f>
        <v>0</v>
      </c>
      <c r="BY166" s="14" t="n">
        <f aca="false">IF(ISBLANK(Actuals!BZ63),0,Actuals!BZ63)</f>
        <v>0</v>
      </c>
      <c r="BZ166" s="14" t="n">
        <f aca="false">IF(ISBLANK(Actuals!CA63),0,Actuals!CA63)</f>
        <v>0</v>
      </c>
      <c r="CA166" s="14" t="n">
        <f aca="false">IF(ISBLANK(Actuals!CB63),0,Actuals!CB63)</f>
        <v>0</v>
      </c>
      <c r="CB166" s="14" t="n">
        <f aca="false">IF(ISBLANK(Actuals!CC63),0,Actuals!CC63)</f>
        <v>0</v>
      </c>
      <c r="CC166" s="14" t="n">
        <f aca="false">IF(ISBLANK(Actuals!CD63),0,Actuals!CD63)</f>
        <v>0</v>
      </c>
      <c r="CD166" s="14" t="n">
        <f aca="false">IF(ISBLANK(Actuals!CE63),0,Actuals!CE63)</f>
        <v>0</v>
      </c>
      <c r="CE166" s="14" t="n">
        <f aca="false">IF(ISBLANK(Actuals!CF63),0,Actuals!CF63)</f>
        <v>0</v>
      </c>
      <c r="CF166" s="14" t="n">
        <f aca="false">IF(ISBLANK(Actuals!CG63),0,Actuals!CG63)</f>
        <v>0</v>
      </c>
      <c r="CG166" s="14" t="n">
        <f aca="false">IF(ISBLANK(Actuals!CH63),0,Actuals!CH63)</f>
        <v>0</v>
      </c>
      <c r="CH166" s="14" t="n">
        <f aca="false">IF(ISBLANK(Actuals!CI63),0,Actuals!CI63)</f>
        <v>0</v>
      </c>
      <c r="CI166" s="14" t="n">
        <f aca="false">IF(ISBLANK(Actuals!CJ63),0,Actuals!CJ63)</f>
        <v>0</v>
      </c>
      <c r="CJ166" s="14" t="n">
        <f aca="false">IF(ISBLANK(Actuals!CK63),0,Actuals!CK63)</f>
        <v>0</v>
      </c>
      <c r="CK166" s="14" t="n">
        <f aca="false">IF(ISBLANK(Actuals!CL63),0,Actuals!CL63)</f>
        <v>0</v>
      </c>
      <c r="CL166" s="14" t="n">
        <f aca="false">IF(ISBLANK(Actuals!CM63),0,Actuals!CM63)</f>
        <v>0</v>
      </c>
      <c r="CM166" s="14" t="n">
        <f aca="false">IF(ISBLANK(Actuals!CN63),0,Actuals!CN63)</f>
        <v>0</v>
      </c>
      <c r="CN166" s="14" t="n">
        <f aca="false">IF(ISBLANK(Actuals!CO63),0,Actuals!CO63)</f>
        <v>0</v>
      </c>
      <c r="CO166" s="14" t="n">
        <f aca="false">IF(ISBLANK(Actuals!CP63),0,Actuals!CP63)</f>
        <v>0</v>
      </c>
      <c r="CP166" s="14" t="n">
        <f aca="false">IF(ISBLANK(Actuals!CQ63),0,Actuals!CQ63)</f>
        <v>0</v>
      </c>
      <c r="CQ166" s="14" t="n">
        <f aca="false">IF(ISBLANK(Actuals!CR63),0,Actuals!CR63)</f>
        <v>0</v>
      </c>
      <c r="CR166" s="14" t="n">
        <f aca="false">IF(ISBLANK(Actuals!CS63),0,Actuals!CS63)</f>
        <v>0</v>
      </c>
      <c r="CS166" s="14" t="n">
        <f aca="false">IF(ISBLANK(Actuals!CT63),0,Actuals!CT63)</f>
        <v>0</v>
      </c>
      <c r="CT166" s="14" t="n">
        <f aca="false">IF(ISBLANK(Actuals!CU63),0,Actuals!CU63)</f>
        <v>0</v>
      </c>
      <c r="CU166" s="14" t="n">
        <f aca="false">IF(ISBLANK(Actuals!CV63),0,Actuals!CV63)</f>
        <v>0</v>
      </c>
      <c r="CV166" s="14" t="n">
        <f aca="false">IF(ISBLANK(Actuals!CW63),0,Actuals!CW63)</f>
        <v>0</v>
      </c>
      <c r="CW166" s="14" t="n">
        <f aca="false">IF(ISBLANK(Actuals!CX63),0,Actuals!CX63)</f>
        <v>0</v>
      </c>
      <c r="CX166" s="14" t="n">
        <f aca="false">IF(ISBLANK(Actuals!CY63),0,Actuals!CY63)</f>
        <v>0</v>
      </c>
      <c r="CY166" s="14" t="n">
        <f aca="false">IF(ISBLANK(Actuals!CZ63),0,Actuals!CZ63)</f>
        <v>0</v>
      </c>
      <c r="CZ166" s="14" t="n">
        <f aca="false">IF(ISBLANK(Actuals!DA63),0,Actuals!DA63)</f>
        <v>0</v>
      </c>
      <c r="DA166" s="14" t="n">
        <f aca="false">IF(ISBLANK(Actuals!DB63),0,Actuals!DB63)</f>
        <v>0</v>
      </c>
      <c r="DB166" s="14" t="n">
        <f aca="false">IF(ISBLANK(Actuals!DC63),0,Actuals!DC63)</f>
        <v>0</v>
      </c>
      <c r="DC166" s="14" t="n">
        <f aca="false">IF(ISBLANK(Actuals!DD63),0,Actuals!DD63)</f>
        <v>0</v>
      </c>
      <c r="DD166" s="14" t="n">
        <f aca="false">IF(ISBLANK(Actuals!DE63),0,Actuals!DE63)</f>
        <v>0</v>
      </c>
      <c r="DE166" s="14" t="n">
        <f aca="false">IF(ISBLANK(Actuals!DF63),0,Actuals!DF63)</f>
        <v>0</v>
      </c>
    </row>
    <row r="167" customFormat="false" ht="15" hidden="false" customHeight="true" outlineLevel="0" collapsed="false">
      <c r="A167" s="29" t="s">
        <v>115</v>
      </c>
      <c r="B167" s="14"/>
      <c r="C167" s="14"/>
      <c r="D167" s="14"/>
      <c r="E167" s="14"/>
      <c r="F167" s="14"/>
      <c r="G167" s="14"/>
      <c r="H167" s="14" t="n">
        <f aca="false">0.5*'APA Projection'!B$23</f>
        <v>2424.64285714286</v>
      </c>
      <c r="I167" s="14" t="n">
        <f aca="false">0.5*'APA Projection'!C$23</f>
        <v>9021.64285714286</v>
      </c>
      <c r="J167" s="14" t="n">
        <f aca="false">0.5*'APA Projection'!D$23</f>
        <v>12771.6428571429</v>
      </c>
      <c r="K167" s="14" t="n">
        <f aca="false">0.5*'APA Projection'!E$23</f>
        <v>12771.6428571429</v>
      </c>
      <c r="L167" s="14" t="n">
        <f aca="false">0.5*'APA Projection'!F$23</f>
        <v>12771.6428571429</v>
      </c>
      <c r="M167" s="14" t="n">
        <f aca="false">0.5*'APA Projection'!G$23</f>
        <v>10021.6428571429</v>
      </c>
      <c r="N167" s="14" t="n">
        <f aca="false">0.5*'APA Projection'!H$23</f>
        <v>30896.6428571429</v>
      </c>
      <c r="O167" s="14" t="n">
        <f aca="false">0.5*'APA Projection'!I$23</f>
        <v>18039.5</v>
      </c>
      <c r="P167" s="14" t="n">
        <f aca="false">0.5*'APA Projection'!J$23</f>
        <v>19289.5</v>
      </c>
      <c r="Q167" s="14" t="n">
        <f aca="false">0.5*'APA Projection'!K$23</f>
        <v>19289.5</v>
      </c>
      <c r="R167" s="14" t="n">
        <f aca="false">0.5*'APA Projection'!L$23</f>
        <v>19289.5</v>
      </c>
      <c r="S167" s="14" t="n">
        <f aca="false">0.5*'APA Projection'!M$23</f>
        <v>19289.5</v>
      </c>
      <c r="T167" s="14" t="n">
        <f aca="false">0.5*'APA Projection'!N$23</f>
        <v>15289.5</v>
      </c>
      <c r="U167" s="14" t="n">
        <f aca="false">0.5*'APA Projection'!O$23</f>
        <v>19289.5</v>
      </c>
      <c r="V167" s="14" t="n">
        <f aca="false">0.5*'APA Projection'!P$23</f>
        <v>19289.5</v>
      </c>
      <c r="W167" s="14" t="n">
        <f aca="false">0.5*'APA Projection'!Q$23</f>
        <v>19289.5</v>
      </c>
      <c r="X167" s="14" t="n">
        <f aca="false">0.5*'APA Projection'!R$23</f>
        <v>17942.5</v>
      </c>
      <c r="Y167" s="14" t="n">
        <f aca="false">0.5*'APA Projection'!S$23</f>
        <v>17942.5</v>
      </c>
      <c r="Z167" s="14" t="n">
        <f aca="false">0.5*'APA Projection'!T$23</f>
        <v>-7057.5</v>
      </c>
      <c r="AA167" s="14" t="n">
        <f aca="false">0.5*'APA Projection'!U$23</f>
        <v>-7057.5</v>
      </c>
      <c r="AB167" s="14" t="n">
        <f aca="false">0.5*'APA Projection'!V$23</f>
        <v>-7057.5</v>
      </c>
      <c r="AC167" s="14" t="n">
        <f aca="false">0.5*'APA Projection'!W$23</f>
        <v>-5807.5</v>
      </c>
      <c r="AD167" s="14" t="n">
        <f aca="false">0.5*'APA Projection'!X$23</f>
        <v>-5807.5</v>
      </c>
      <c r="AE167" s="14" t="n">
        <f aca="false">0.5*'APA Projection'!Y$23</f>
        <v>-5807.5</v>
      </c>
      <c r="AF167" s="14" t="n">
        <f aca="false">0.5*'APA Projection'!Z$23</f>
        <v>-9807.5</v>
      </c>
      <c r="AG167" s="14" t="n">
        <f aca="false">0.5*'APA Projection'!AA$23</f>
        <v>-5807.5</v>
      </c>
      <c r="AH167" s="14" t="n">
        <f aca="false">0.5*'APA Projection'!AB$23</f>
        <v>-5807.5</v>
      </c>
      <c r="AI167" s="14" t="n">
        <f aca="false">0.5*'APA Projection'!AC$23</f>
        <v>-5807.5</v>
      </c>
      <c r="AJ167" s="14" t="n">
        <f aca="false">0.5*'APA Projection'!AD$23</f>
        <v>-5807.5</v>
      </c>
      <c r="AK167" s="14" t="n">
        <f aca="false">0.5*'APA Projection'!AE$23</f>
        <v>-5807.5</v>
      </c>
      <c r="AL167" s="14" t="n">
        <f aca="false">0.5*'APA Projection'!AF$23</f>
        <v>-5807.5</v>
      </c>
      <c r="AM167" s="14" t="n">
        <f aca="false">0.5*'APA Projection'!AG$23</f>
        <v>-7057.5</v>
      </c>
      <c r="AN167" s="14" t="n">
        <f aca="false">0.5*'APA Projection'!AH$23</f>
        <v>-7057.5</v>
      </c>
      <c r="AO167" s="14" t="n">
        <f aca="false">0.5*'APA Projection'!AI$23</f>
        <v>-7057.5</v>
      </c>
      <c r="AP167" s="14" t="n">
        <f aca="false">0.5*'APA Projection'!AJ$23</f>
        <v>-7057.5</v>
      </c>
      <c r="AQ167" s="14" t="n">
        <f aca="false">0.5*'APA Projection'!AK$23</f>
        <v>-7057.5</v>
      </c>
      <c r="AR167" s="14" t="n">
        <f aca="false">0.5*'APA Projection'!AL$23</f>
        <v>-11057.5</v>
      </c>
      <c r="AS167" s="14" t="n">
        <f aca="false">0.5*'APA Projection'!AM$23</f>
        <v>-7057.5</v>
      </c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</row>
    <row r="168" customFormat="false" ht="19.5" hidden="false" customHeight="true" outlineLevel="0" collapsed="false">
      <c r="A168" s="33" t="s">
        <v>116</v>
      </c>
      <c r="B168" s="34" t="n">
        <f aca="false">SUM(B148:B167)</f>
        <v>34114.58</v>
      </c>
      <c r="C168" s="34" t="n">
        <f aca="false">SUM(C148:C167)</f>
        <v>34114.58</v>
      </c>
      <c r="D168" s="34" t="n">
        <f aca="false">SUM(D148:D167)</f>
        <v>34114.58</v>
      </c>
      <c r="E168" s="34" t="n">
        <f aca="false">SUM(E148:E167)</f>
        <v>43614.58</v>
      </c>
      <c r="F168" s="34" t="n">
        <f aca="false">SUM(F148:F167)</f>
        <v>43614.58</v>
      </c>
      <c r="G168" s="34" t="n">
        <f aca="false">SUM(G148:G167)</f>
        <v>342614.58</v>
      </c>
      <c r="H168" s="34" t="n">
        <f aca="false">SUM(H148:H167)</f>
        <v>46039.2228571429</v>
      </c>
      <c r="I168" s="34" t="n">
        <f aca="false">SUM(I148:I167)</f>
        <v>306616.222857143</v>
      </c>
      <c r="J168" s="34" t="n">
        <f aca="false">SUM(J148:J167)</f>
        <v>55552.8928571429</v>
      </c>
      <c r="K168" s="34" t="n">
        <f aca="false">SUM(K148:K167)</f>
        <v>260982.102857143</v>
      </c>
      <c r="L168" s="34" t="n">
        <f aca="false">SUM(L148:L167)</f>
        <v>69862.1028571429</v>
      </c>
      <c r="M168" s="34" t="n">
        <f aca="false">SUM(M148:M167)</f>
        <v>67112.1028571429</v>
      </c>
      <c r="N168" s="34" t="n">
        <f aca="false">SUM(N148:N167)</f>
        <v>87987.1028571429</v>
      </c>
      <c r="O168" s="34" t="n">
        <f aca="false">SUM(O148:O167)</f>
        <v>75129.96</v>
      </c>
      <c r="P168" s="34" t="n">
        <f aca="false">SUM(P148:P167)</f>
        <v>76379.96</v>
      </c>
      <c r="Q168" s="34" t="n">
        <f aca="false">SUM(Q148:Q167)</f>
        <v>76379.96</v>
      </c>
      <c r="R168" s="34" t="n">
        <f aca="false">SUM(R148:R167)</f>
        <v>76379.96</v>
      </c>
      <c r="S168" s="34" t="n">
        <f aca="false">SUM(S148:S167)</f>
        <v>76379.96</v>
      </c>
      <c r="T168" s="34" t="n">
        <f aca="false">SUM(T148:T167)</f>
        <v>48473.71</v>
      </c>
      <c r="U168" s="34" t="n">
        <f aca="false">SUM(U148:U167)</f>
        <v>52473.71</v>
      </c>
      <c r="V168" s="34" t="n">
        <f aca="false">SUM(V148:V167)</f>
        <v>52473.71</v>
      </c>
      <c r="W168" s="34" t="n">
        <f aca="false">SUM(W148:W167)</f>
        <v>52473.71</v>
      </c>
      <c r="X168" s="34" t="n">
        <f aca="false">SUM(X148:X167)</f>
        <v>51126.71</v>
      </c>
      <c r="Y168" s="34" t="n">
        <f aca="false">SUM(Y148:Y167)</f>
        <v>165876.71</v>
      </c>
      <c r="Z168" s="34" t="n">
        <f aca="false">SUM(Z148:Z167)</f>
        <v>26126.71</v>
      </c>
      <c r="AA168" s="34" t="n">
        <f aca="false">SUM(AA148:AA167)</f>
        <v>26126.71</v>
      </c>
      <c r="AB168" s="34" t="n">
        <f aca="false">SUM(AB148:AB167)</f>
        <v>83501.71</v>
      </c>
      <c r="AC168" s="34" t="n">
        <f aca="false">SUM(AC148:AC167)</f>
        <v>27376.71</v>
      </c>
      <c r="AD168" s="34" t="n">
        <f aca="false">SUM(AD148:AD167)</f>
        <v>3692.5</v>
      </c>
      <c r="AE168" s="34" t="n">
        <f aca="false">SUM(AE148:AE167)</f>
        <v>61067.5</v>
      </c>
      <c r="AF168" s="34" t="n">
        <f aca="false">SUM(AF148:AF167)</f>
        <v>-307.5</v>
      </c>
      <c r="AG168" s="34" t="n">
        <f aca="false">SUM(AG148:AG167)</f>
        <v>3692.5</v>
      </c>
      <c r="AH168" s="34" t="n">
        <f aca="false">SUM(AH148:AH167)</f>
        <v>3692.5</v>
      </c>
      <c r="AI168" s="34" t="n">
        <f aca="false">SUM(AI148:AI167)</f>
        <v>-5807.5</v>
      </c>
      <c r="AJ168" s="34" t="n">
        <f aca="false">SUM(AJ148:AJ167)</f>
        <v>-5807.5</v>
      </c>
      <c r="AK168" s="34" t="n">
        <f aca="false">SUM(AK148:AK167)</f>
        <v>-5807.5</v>
      </c>
      <c r="AL168" s="34" t="n">
        <f aca="false">SUM(AL148:AL167)</f>
        <v>-5807.5</v>
      </c>
      <c r="AM168" s="34" t="n">
        <f aca="false">SUM(AM148:AM167)</f>
        <v>-7057.5</v>
      </c>
      <c r="AN168" s="34" t="n">
        <f aca="false">SUM(AN148:AN167)</f>
        <v>-7057.5</v>
      </c>
      <c r="AO168" s="34" t="n">
        <f aca="false">SUM(AO148:AO167)</f>
        <v>-7057.5</v>
      </c>
      <c r="AP168" s="34" t="n">
        <f aca="false">SUM(AP148:AP167)</f>
        <v>-7057.5</v>
      </c>
      <c r="AQ168" s="34" t="n">
        <f aca="false">SUM(AQ148:AQ167)</f>
        <v>-7057.5</v>
      </c>
      <c r="AR168" s="34" t="n">
        <f aca="false">SUM(AR148:AR167)</f>
        <v>-11057.5</v>
      </c>
      <c r="AS168" s="34" t="n">
        <f aca="false">SUM(AS148:AS167)</f>
        <v>-7057.5</v>
      </c>
      <c r="AT168" s="34" t="n">
        <f aca="false">SUM(AT148:AT167)</f>
        <v>81683</v>
      </c>
      <c r="AU168" s="34" t="n">
        <f aca="false">SUM(AU148:AU167)</f>
        <v>0</v>
      </c>
      <c r="AV168" s="34" t="n">
        <f aca="false">SUM(AV148:AV167)</f>
        <v>0</v>
      </c>
      <c r="AW168" s="34" t="n">
        <f aca="false">SUM(AW148:AW167)</f>
        <v>81682</v>
      </c>
      <c r="AX168" s="34" t="n">
        <f aca="false">SUM(AX148:AX167)</f>
        <v>0</v>
      </c>
      <c r="AY168" s="34" t="n">
        <f aca="false">SUM(AY148:AY167)</f>
        <v>0</v>
      </c>
      <c r="AZ168" s="34" t="n">
        <f aca="false">SUM(AZ148:AZ167)</f>
        <v>81682</v>
      </c>
      <c r="BA168" s="34" t="n">
        <f aca="false">SUM(BA148:BA167)</f>
        <v>0</v>
      </c>
      <c r="BB168" s="34" t="n">
        <f aca="false">SUM(BB148:BB167)</f>
        <v>0</v>
      </c>
      <c r="BC168" s="34" t="n">
        <f aca="false">SUM(BC148:BC167)</f>
        <v>933521</v>
      </c>
      <c r="BD168" s="34" t="n">
        <f aca="false">SUM(BD148:BD167)</f>
        <v>0</v>
      </c>
      <c r="BE168" s="34" t="n">
        <f aca="false">SUM(BE148:BE167)</f>
        <v>0</v>
      </c>
      <c r="BF168" s="34" t="n">
        <f aca="false">SUM(BF148:BF167)</f>
        <v>130878</v>
      </c>
      <c r="BG168" s="34" t="n">
        <f aca="false">SUM(BG148:BG167)</f>
        <v>0</v>
      </c>
      <c r="BH168" s="34" t="n">
        <f aca="false">SUM(BH148:BH167)</f>
        <v>0</v>
      </c>
      <c r="BI168" s="34" t="n">
        <f aca="false">SUM(BI148:BI167)</f>
        <v>130876</v>
      </c>
      <c r="BJ168" s="34" t="n">
        <f aca="false">SUM(BJ148:BJ167)</f>
        <v>0</v>
      </c>
      <c r="BK168" s="34" t="n">
        <f aca="false">SUM(BK148:BK167)</f>
        <v>0</v>
      </c>
      <c r="BL168" s="34" t="n">
        <f aca="false">SUM(BL148:BL167)</f>
        <v>130876</v>
      </c>
      <c r="BM168" s="34" t="n">
        <f aca="false">SUM(BM148:BM167)</f>
        <v>0</v>
      </c>
      <c r="BN168" s="34" t="n">
        <f aca="false">SUM(BN148:BN167)</f>
        <v>0</v>
      </c>
      <c r="BO168" s="34" t="n">
        <f aca="false">SUM(BO148:BO167)</f>
        <v>130876</v>
      </c>
      <c r="BP168" s="34" t="n">
        <f aca="false">SUM(BP148:BP167)</f>
        <v>0</v>
      </c>
      <c r="BQ168" s="34" t="n">
        <f aca="false">SUM(BQ148:BQ167)</f>
        <v>0</v>
      </c>
      <c r="BR168" s="34" t="n">
        <f aca="false">SUM(BR148:BR167)</f>
        <v>142406</v>
      </c>
      <c r="BS168" s="34" t="n">
        <f aca="false">SUM(BS148:BS167)</f>
        <v>0</v>
      </c>
      <c r="BT168" s="34" t="n">
        <f aca="false">SUM(BT148:BT167)</f>
        <v>0</v>
      </c>
      <c r="BU168" s="34" t="n">
        <f aca="false">SUM(BU148:BU167)</f>
        <v>142402</v>
      </c>
      <c r="BV168" s="34" t="n">
        <f aca="false">SUM(BV148:BV167)</f>
        <v>0</v>
      </c>
      <c r="BW168" s="34" t="n">
        <f aca="false">SUM(BW148:BW167)</f>
        <v>0</v>
      </c>
      <c r="BX168" s="34" t="n">
        <f aca="false">SUM(BX148:BX167)</f>
        <v>142402</v>
      </c>
      <c r="BY168" s="34" t="n">
        <f aca="false">SUM(BY148:BY167)</f>
        <v>0</v>
      </c>
      <c r="BZ168" s="34" t="n">
        <f aca="false">SUM(BZ148:BZ167)</f>
        <v>0</v>
      </c>
      <c r="CA168" s="34" t="n">
        <f aca="false">SUM(CA148:CA167)</f>
        <v>215558</v>
      </c>
      <c r="CB168" s="34" t="n">
        <f aca="false">SUM(CB148:CB167)</f>
        <v>0</v>
      </c>
      <c r="CC168" s="34" t="n">
        <f aca="false">SUM(CC148:CC167)</f>
        <v>0</v>
      </c>
      <c r="CD168" s="34" t="n">
        <f aca="false">SUM(CD148:CD167)</f>
        <v>231017</v>
      </c>
      <c r="CE168" s="34" t="n">
        <f aca="false">SUM(CE148:CE167)</f>
        <v>0</v>
      </c>
      <c r="CF168" s="34" t="n">
        <f aca="false">SUM(CF148:CF167)</f>
        <v>0</v>
      </c>
      <c r="CG168" s="34" t="n">
        <f aca="false">SUM(CG148:CG167)</f>
        <v>231016</v>
      </c>
      <c r="CH168" s="34" t="n">
        <f aca="false">SUM(CH148:CH167)</f>
        <v>0</v>
      </c>
      <c r="CI168" s="34" t="n">
        <f aca="false">SUM(CI148:CI167)</f>
        <v>0</v>
      </c>
      <c r="CJ168" s="34" t="n">
        <f aca="false">SUM(CJ148:CJ167)</f>
        <v>231016</v>
      </c>
      <c r="CK168" s="34" t="n">
        <f aca="false">SUM(CK148:CK167)</f>
        <v>231016</v>
      </c>
      <c r="CL168" s="34" t="n">
        <f aca="false">SUM(CL148:CL167)</f>
        <v>231016</v>
      </c>
      <c r="CM168" s="34" t="n">
        <f aca="false">SUM(CM148:CM167)</f>
        <v>231016</v>
      </c>
      <c r="CN168" s="34" t="n">
        <f aca="false">SUM(CN148:CN167)</f>
        <v>231016</v>
      </c>
      <c r="CO168" s="34" t="n">
        <f aca="false">SUM(CO148:CO167)</f>
        <v>231016</v>
      </c>
      <c r="CP168" s="34" t="n">
        <f aca="false">SUM(CP148:CP167)</f>
        <v>231016</v>
      </c>
      <c r="CQ168" s="34" t="n">
        <f aca="false">SUM(CQ148:CQ167)</f>
        <v>231016</v>
      </c>
      <c r="CR168" s="34" t="n">
        <f aca="false">SUM(CR148:CR167)</f>
        <v>231016</v>
      </c>
      <c r="CS168" s="34" t="n">
        <f aca="false">SUM(CS148:CS167)</f>
        <v>231016</v>
      </c>
      <c r="CT168" s="34" t="n">
        <f aca="false">SUM(CT148:CT167)</f>
        <v>231016</v>
      </c>
      <c r="CU168" s="34" t="n">
        <f aca="false">SUM(CU148:CU167)</f>
        <v>231016</v>
      </c>
      <c r="CV168" s="34" t="n">
        <f aca="false">SUM(CV148:CV167)</f>
        <v>231016</v>
      </c>
      <c r="CW168" s="34" t="n">
        <f aca="false">SUM(CW148:CW167)</f>
        <v>231016</v>
      </c>
      <c r="CX168" s="34" t="n">
        <f aca="false">SUM(CX148:CX167)</f>
        <v>231016</v>
      </c>
      <c r="CY168" s="34" t="n">
        <f aca="false">SUM(CY148:CY167)</f>
        <v>231016</v>
      </c>
      <c r="CZ168" s="34" t="n">
        <f aca="false">SUM(CZ148:CZ167)</f>
        <v>231016</v>
      </c>
      <c r="DA168" s="34" t="n">
        <f aca="false">SUM(DA148:DA167)</f>
        <v>231016</v>
      </c>
      <c r="DB168" s="34" t="n">
        <f aca="false">SUM(DB148:DB167)</f>
        <v>231016</v>
      </c>
      <c r="DC168" s="34" t="n">
        <f aca="false">SUM(DC148:DC167)</f>
        <v>231016</v>
      </c>
      <c r="DD168" s="34" t="n">
        <f aca="false">SUM(DD148:DD167)</f>
        <v>231016</v>
      </c>
      <c r="DE168" s="34" t="n">
        <f aca="false">SUM(DE148:DE167)</f>
        <v>231016</v>
      </c>
    </row>
    <row r="169" customFormat="false" ht="15" hidden="false" customHeight="true" outlineLevel="0" collapsed="false">
      <c r="A169" s="38" t="s">
        <v>117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</row>
    <row r="170" customFormat="false" ht="15" hidden="false" customHeight="true" outlineLevel="0" collapsed="false">
      <c r="A170" s="44" t="s">
        <v>60</v>
      </c>
      <c r="B170" s="22" t="n">
        <f aca="false">IF(ISBLANK(Actuals!C83),0,Actuals!C83)</f>
        <v>-54421</v>
      </c>
      <c r="C170" s="22" t="n">
        <f aca="false">IF(ISBLANK(Actuals!D83),0,Actuals!D83)</f>
        <v>-54166.68</v>
      </c>
      <c r="D170" s="22" t="n">
        <f aca="false">IF(ISBLANK(Actuals!E83),0,Actuals!E83)</f>
        <v>-54166.68</v>
      </c>
      <c r="E170" s="22" t="n">
        <f aca="false">IF(ISBLANK(Actuals!F83),(-(IF(AND(1&gt;=Personnel!$E$40,Personnel!$G$40="Yes"),Personnel!$D$40*(1-Personnel!$I$40),0)+IF(AND(1&gt;=Personnel!$E$41,Personnel!$G$41="Yes"),Personnel!$D$41*(1-Personnel!$I$41),0)+IF(AND(1&gt;=Personnel!$E$42,Personnel!$G$42="Yes"),Personnel!$D$42*(1-Personnel!$I$42),0)))*Escalation!$B$2,Actuals!F83)</f>
        <v>-54166.68</v>
      </c>
      <c r="F170" s="22" t="n">
        <f aca="false">IF(ISBLANK(Actuals!G83),(-(IF(AND(2&gt;=Personnel!$E$40,Personnel!$G$40="Yes"),Personnel!$D$40*(1-Personnel!$I$40),0)+IF(AND(2&gt;=Personnel!$E$41,Personnel!$G$41="Yes"),Personnel!$D$41*(1-Personnel!$I$41),0)+IF(AND(2&gt;=Personnel!$E$42,Personnel!$G$42="Yes"),Personnel!$D$42*(1-Personnel!$I$42),0)))*Escalation!$B$3,Actuals!G83)</f>
        <v>-54166.68</v>
      </c>
      <c r="G170" s="22" t="n">
        <f aca="false">IF(ISBLANK(Actuals!H83),(-(IF(AND(3&gt;=Personnel!$E$40,Personnel!$G$40="Yes"),Personnel!$D$40*(1-Personnel!$I$40),0)+IF(AND(3&gt;=Personnel!$E$41,Personnel!$G$41="Yes"),Personnel!$D$41*(1-Personnel!$I$41),0)+IF(AND(3&gt;=Personnel!$E$42,Personnel!$G$42="Yes"),Personnel!$D$42*(1-Personnel!$I$42),0)))*Escalation!$B$4,Actuals!H83)</f>
        <v>-54166.68</v>
      </c>
      <c r="H170" s="22" t="n">
        <f aca="false">IF(ISBLANK(Actuals!I83),(-(IF(AND(4&gt;=Personnel!$E$40,Personnel!$G$40="Yes"),Personnel!$D$40*(1-Personnel!$I$40),0)+IF(AND(4&gt;=Personnel!$E$41,Personnel!$G$41="Yes"),Personnel!$D$41*(1-Personnel!$I$41),0)+IF(AND(4&gt;=Personnel!$E$42,Personnel!$G$42="Yes"),Personnel!$D$42*(1-Personnel!$I$42),0)))*Escalation!$B$5,Actuals!I83)</f>
        <v>-11458.3333333333</v>
      </c>
      <c r="I170" s="22" t="n">
        <f aca="false">IF(ISBLANK(Actuals!J83),(-(IF(AND(5&gt;=Personnel!$E$40,Personnel!$G$40="Yes"),Personnel!$D$40*(1-Personnel!$I$40),0)+IF(AND(5&gt;=Personnel!$E$41,Personnel!$G$41="Yes"),Personnel!$D$41*(1-Personnel!$I$41),0)+IF(AND(5&gt;=Personnel!$E$42,Personnel!$G$42="Yes"),Personnel!$D$42*(1-Personnel!$I$42),0)))*Escalation!$B$6,Actuals!J83)</f>
        <v>-11458.3333333333</v>
      </c>
      <c r="J170" s="22" t="n">
        <f aca="false">IF(ISBLANK(Actuals!K83),(-(IF(AND(6&gt;=Personnel!$E$40,Personnel!$G$40="Yes"),Personnel!$D$40*(1-Personnel!$I$40),0)+IF(AND(6&gt;=Personnel!$E$41,Personnel!$G$41="Yes"),Personnel!$D$41*(1-Personnel!$I$41),0)+IF(AND(6&gt;=Personnel!$E$42,Personnel!$G$42="Yes"),Personnel!$D$42*(1-Personnel!$I$42),0)))*Escalation!$B$7,Actuals!K83)</f>
        <v>-11458.3333333333</v>
      </c>
      <c r="K170" s="22" t="n">
        <f aca="false">IF(ISBLANK(Actuals!L83),(-(IF(AND(7&gt;=Personnel!$E$40,Personnel!$G$40="Yes"),Personnel!$D$40*(1-Personnel!$I$40),0)+IF(AND(7&gt;=Personnel!$E$41,Personnel!$G$41="Yes"),Personnel!$D$41*(1-Personnel!$I$41),0)+IF(AND(7&gt;=Personnel!$E$42,Personnel!$G$42="Yes"),Personnel!$D$42*(1-Personnel!$I$42),0)))*Escalation!$B$8,Actuals!L83)</f>
        <v>-11458.3333333333</v>
      </c>
      <c r="L170" s="22" t="n">
        <f aca="false">IF(ISBLANK(Actuals!M83),(-(IF(AND(8&gt;=Personnel!$E$40,Personnel!$G$40="Yes"),Personnel!$D$40*(1-Personnel!$I$40),0)+IF(AND(8&gt;=Personnel!$E$41,Personnel!$G$41="Yes"),Personnel!$D$41*(1-Personnel!$I$41),0)+IF(AND(8&gt;=Personnel!$E$42,Personnel!$G$42="Yes"),Personnel!$D$42*(1-Personnel!$I$42),0)))*Escalation!$B$9,Actuals!M83)</f>
        <v>-11458.3333333333</v>
      </c>
      <c r="M170" s="22" t="n">
        <f aca="false">IF(ISBLANK(Actuals!N83),(-(IF(AND(9&gt;=Personnel!$E$40,Personnel!$G$40="Yes"),Personnel!$D$40*(1-Personnel!$I$40),0)+IF(AND(9&gt;=Personnel!$E$41,Personnel!$G$41="Yes"),Personnel!$D$41*(1-Personnel!$I$41),0)+IF(AND(9&gt;=Personnel!$E$42,Personnel!$G$42="Yes"),Personnel!$D$42*(1-Personnel!$I$42),0)))*Escalation!$B$10,Actuals!N83)</f>
        <v>-11458.3333333333</v>
      </c>
      <c r="N170" s="22" t="n">
        <f aca="false">IF(ISBLANK(Actuals!O83),(-(IF(AND(10&gt;=Personnel!$E$40,Personnel!$G$40="Yes"),Personnel!$D$40*(1-Personnel!$I$40),0)+IF(AND(10&gt;=Personnel!$E$41,Personnel!$G$41="Yes"),Personnel!$D$41*(1-Personnel!$I$41),0)+IF(AND(10&gt;=Personnel!$E$42,Personnel!$G$42="Yes"),Personnel!$D$42*(1-Personnel!$I$42),0)))*Escalation!$B$11,Actuals!O83)</f>
        <v>-11458.3333333333</v>
      </c>
      <c r="O170" s="22" t="n">
        <f aca="false">IF(ISBLANK(Actuals!P83),(-(IF(AND(11&gt;=Personnel!$E$40,Personnel!$G$40="Yes"),Personnel!$D$40*(1-Personnel!$I$40),0)+IF(AND(11&gt;=Personnel!$E$41,Personnel!$G$41="Yes"),Personnel!$D$41*(1-Personnel!$I$41),0)+IF(AND(11&gt;=Personnel!$E$42,Personnel!$G$42="Yes"),Personnel!$D$42*(1-Personnel!$I$42),0)))*Escalation!$B$12,Actuals!P83)</f>
        <v>-11458.3333333333</v>
      </c>
      <c r="P170" s="22" t="n">
        <f aca="false">IF(ISBLANK(Actuals!Q83),(-(IF(AND(12&gt;=Personnel!$E$40,Personnel!$G$40="Yes"),Personnel!$D$40*(1-Personnel!$I$40),0)+IF(AND(12&gt;=Personnel!$E$41,Personnel!$G$41="Yes"),Personnel!$D$41*(1-Personnel!$I$41),0)+IF(AND(12&gt;=Personnel!$E$42,Personnel!$G$42="Yes"),Personnel!$D$42*(1-Personnel!$I$42),0)))*Escalation!$B$13,Actuals!Q83)</f>
        <v>-11458.3333333333</v>
      </c>
      <c r="Q170" s="22" t="n">
        <f aca="false">IF(ISBLANK(Actuals!R83),(-(IF(AND(13&gt;=Personnel!$E$40,Personnel!$G$40="Yes"),Personnel!$D$40*(1-Personnel!$I$40),0)+IF(AND(13&gt;=Personnel!$E$41,Personnel!$G$41="Yes"),Personnel!$D$41*(1-Personnel!$I$41),0)+IF(AND(13&gt;=Personnel!$E$42,Personnel!$G$42="Yes"),Personnel!$D$42*(1-Personnel!$I$42),0)))*Escalation!$B$14,Actuals!R83)</f>
        <v>-11687.5</v>
      </c>
      <c r="R170" s="22" t="n">
        <f aca="false">IF(ISBLANK(Actuals!S83),(-(IF(AND(14&gt;=Personnel!$E$40,Personnel!$G$40="Yes"),Personnel!$D$40*(1-Personnel!$I$40),0)+IF(AND(14&gt;=Personnel!$E$41,Personnel!$G$41="Yes"),Personnel!$D$41*(1-Personnel!$I$41),0)+IF(AND(14&gt;=Personnel!$E$42,Personnel!$G$42="Yes"),Personnel!$D$42*(1-Personnel!$I$42),0)))*Escalation!$B$15,Actuals!S83)</f>
        <v>-11687.5</v>
      </c>
      <c r="S170" s="22" t="n">
        <f aca="false">IF(ISBLANK(Actuals!T83),(-(IF(AND(15&gt;=Personnel!$E$40,Personnel!$G$40="Yes"),Personnel!$D$40*(1-Personnel!$I$40),0)+IF(AND(15&gt;=Personnel!$E$41,Personnel!$G$41="Yes"),Personnel!$D$41*(1-Personnel!$I$41),0)+IF(AND(15&gt;=Personnel!$E$42,Personnel!$G$42="Yes"),Personnel!$D$42*(1-Personnel!$I$42),0)))*Escalation!$B$16,Actuals!T83)</f>
        <v>-11687.5</v>
      </c>
      <c r="T170" s="22" t="n">
        <f aca="false">IF(ISBLANK(Actuals!U83),(-(IF(AND(16&gt;=Personnel!$E$40,Personnel!$G$40="Yes"),Personnel!$D$40*(1-Personnel!$I$40),0)+IF(AND(16&gt;=Personnel!$E$41,Personnel!$G$41="Yes"),Personnel!$D$41*(1-Personnel!$I$41),0)+IF(AND(16&gt;=Personnel!$E$42,Personnel!$G$42="Yes"),Personnel!$D$42*(1-Personnel!$I$42),0)))*Escalation!$B$17,Actuals!U83)</f>
        <v>-11687.5</v>
      </c>
      <c r="U170" s="22" t="n">
        <f aca="false">IF(ISBLANK(Actuals!V83),(-(IF(AND(17&gt;=Personnel!$E$40,Personnel!$G$40="Yes"),Personnel!$D$40*(1-Personnel!$I$40),0)+IF(AND(17&gt;=Personnel!$E$41,Personnel!$G$41="Yes"),Personnel!$D$41*(1-Personnel!$I$41),0)+IF(AND(17&gt;=Personnel!$E$42,Personnel!$G$42="Yes"),Personnel!$D$42*(1-Personnel!$I$42),0)))*Escalation!$B$18,Actuals!V83)</f>
        <v>-11687.5</v>
      </c>
      <c r="V170" s="22" t="n">
        <f aca="false">IF(ISBLANK(Actuals!W83),(-(IF(AND(18&gt;=Personnel!$E$40,Personnel!$G$40="Yes"),Personnel!$D$40*(1-Personnel!$I$40),0)+IF(AND(18&gt;=Personnel!$E$41,Personnel!$G$41="Yes"),Personnel!$D$41*(1-Personnel!$I$41),0)+IF(AND(18&gt;=Personnel!$E$42,Personnel!$G$42="Yes"),Personnel!$D$42*(1-Personnel!$I$42),0)))*Escalation!$B$19,Actuals!W83)</f>
        <v>-11687.5</v>
      </c>
      <c r="W170" s="22" t="n">
        <f aca="false">IF(ISBLANK(Actuals!X83),(-(IF(AND(19&gt;=Personnel!$E$40,Personnel!$G$40="Yes"),Personnel!$D$40*(1-Personnel!$I$40),0)+IF(AND(19&gt;=Personnel!$E$41,Personnel!$G$41="Yes"),Personnel!$D$41*(1-Personnel!$I$41),0)+IF(AND(19&gt;=Personnel!$E$42,Personnel!$G$42="Yes"),Personnel!$D$42*(1-Personnel!$I$42),0)))*Escalation!$B$20,Actuals!X83)</f>
        <v>-11687.5</v>
      </c>
      <c r="X170" s="22" t="n">
        <f aca="false">IF(ISBLANK(Actuals!Y83),(-(IF(AND(20&gt;=Personnel!$E$40,Personnel!$G$40="Yes"),Personnel!$D$40*(1-Personnel!$I$40),0)+IF(AND(20&gt;=Personnel!$E$41,Personnel!$G$41="Yes"),Personnel!$D$41*(1-Personnel!$I$41),0)+IF(AND(20&gt;=Personnel!$E$42,Personnel!$G$42="Yes"),Personnel!$D$42*(1-Personnel!$I$42),0)))*Escalation!$B$21,Actuals!Y83)</f>
        <v>-11687.5</v>
      </c>
      <c r="Y170" s="22" t="n">
        <f aca="false">IF(ISBLANK(Actuals!Z83),(-(IF(AND(21&gt;=Personnel!$E$40,Personnel!$G$40="Yes"),Personnel!$D$40*(1-Personnel!$I$40),0)+IF(AND(21&gt;=Personnel!$E$41,Personnel!$G$41="Yes"),Personnel!$D$41*(1-Personnel!$I$41),0)+IF(AND(21&gt;=Personnel!$E$42,Personnel!$G$42="Yes"),Personnel!$D$42*(1-Personnel!$I$42),0)))*Escalation!$B$22,Actuals!Z83)</f>
        <v>-11687.5</v>
      </c>
      <c r="Z170" s="22" t="n">
        <f aca="false">IF(ISBLANK(Actuals!AA83),(-(IF(AND(22&gt;=Personnel!$E$40,Personnel!$G$40="Yes"),Personnel!$D$40*(1-Personnel!$I$40),0)+IF(AND(22&gt;=Personnel!$E$41,Personnel!$G$41="Yes"),Personnel!$D$41*(1-Personnel!$I$41),0)+IF(AND(22&gt;=Personnel!$E$42,Personnel!$G$42="Yes"),Personnel!$D$42*(1-Personnel!$I$42),0)))*Escalation!$B$23,Actuals!AA83)</f>
        <v>-11687.5</v>
      </c>
      <c r="AA170" s="22" t="n">
        <f aca="false">IF(ISBLANK(Actuals!AB83),(-(IF(AND(23&gt;=Personnel!$E$40,Personnel!$G$40="Yes"),Personnel!$D$40*(1-Personnel!$I$40),0)+IF(AND(23&gt;=Personnel!$E$41,Personnel!$G$41="Yes"),Personnel!$D$41*(1-Personnel!$I$41),0)+IF(AND(23&gt;=Personnel!$E$42,Personnel!$G$42="Yes"),Personnel!$D$42*(1-Personnel!$I$42),0)))*Escalation!$B$24,Actuals!AB83)</f>
        <v>-11687.5</v>
      </c>
      <c r="AB170" s="22" t="n">
        <f aca="false">IF(ISBLANK(Actuals!AC83),(-(IF(AND(24&gt;=Personnel!$E$40,Personnel!$G$40="Yes"),Personnel!$D$40*(1-Personnel!$I$40),0)+IF(AND(24&gt;=Personnel!$E$41,Personnel!$G$41="Yes"),Personnel!$D$41*(1-Personnel!$I$41),0)+IF(AND(24&gt;=Personnel!$E$42,Personnel!$G$42="Yes"),Personnel!$D$42*(1-Personnel!$I$42),0)))*Escalation!$B$25,Actuals!AC83)</f>
        <v>-11687.5</v>
      </c>
      <c r="AC170" s="22" t="n">
        <f aca="false">IF(ISBLANK(Actuals!AD83),(-(IF(AND(25&gt;=Personnel!$E$40,Personnel!$G$40="Yes"),Personnel!$D$40*(1-Personnel!$I$40),0)+IF(AND(25&gt;=Personnel!$E$41,Personnel!$G$41="Yes"),Personnel!$D$41*(1-Personnel!$I$41),0)+IF(AND(25&gt;=Personnel!$E$42,Personnel!$G$42="Yes"),Personnel!$D$42*(1-Personnel!$I$42),0)))*Escalation!$B$26,Actuals!AD83)</f>
        <v>-11921.25</v>
      </c>
      <c r="AD170" s="22" t="n">
        <f aca="false">IF(ISBLANK(Actuals!AE83),(-(IF(AND(26&gt;=Personnel!$E$40,Personnel!$G$40="Yes"),Personnel!$D$40*(1-Personnel!$I$40),0)+IF(AND(26&gt;=Personnel!$E$41,Personnel!$G$41="Yes"),Personnel!$D$41*(1-Personnel!$I$41),0)+IF(AND(26&gt;=Personnel!$E$42,Personnel!$G$42="Yes"),Personnel!$D$42*(1-Personnel!$I$42),0)))*Escalation!$B$27,Actuals!AE83)</f>
        <v>-11921.25</v>
      </c>
      <c r="AE170" s="22" t="n">
        <f aca="false">IF(ISBLANK(Actuals!AF83),(-(IF(AND(27&gt;=Personnel!$E$40,Personnel!$G$40="Yes"),Personnel!$D$40*(1-Personnel!$I$40),0)+IF(AND(27&gt;=Personnel!$E$41,Personnel!$G$41="Yes"),Personnel!$D$41*(1-Personnel!$I$41),0)+IF(AND(27&gt;=Personnel!$E$42,Personnel!$G$42="Yes"),Personnel!$D$42*(1-Personnel!$I$42),0)))*Escalation!$B$28,Actuals!AF83)</f>
        <v>-11921.25</v>
      </c>
      <c r="AF170" s="22" t="n">
        <f aca="false">IF(ISBLANK(Actuals!AG83),(-(IF(AND(28&gt;=Personnel!$E$40,Personnel!$G$40="Yes"),Personnel!$D$40*(1-Personnel!$I$40),0)+IF(AND(28&gt;=Personnel!$E$41,Personnel!$G$41="Yes"),Personnel!$D$41*(1-Personnel!$I$41),0)+IF(AND(28&gt;=Personnel!$E$42,Personnel!$G$42="Yes"),Personnel!$D$42*(1-Personnel!$I$42),0)))*Escalation!$B$29,Actuals!AG83)</f>
        <v>-11921.25</v>
      </c>
      <c r="AG170" s="22" t="n">
        <f aca="false">IF(ISBLANK(Actuals!AH83),(-(IF(AND(29&gt;=Personnel!$E$40,Personnel!$G$40="Yes"),Personnel!$D$40*(1-Personnel!$I$40),0)+IF(AND(29&gt;=Personnel!$E$41,Personnel!$G$41="Yes"),Personnel!$D$41*(1-Personnel!$I$41),0)+IF(AND(29&gt;=Personnel!$E$42,Personnel!$G$42="Yes"),Personnel!$D$42*(1-Personnel!$I$42),0)))*Escalation!$B$30,Actuals!AH83)</f>
        <v>-11921.25</v>
      </c>
      <c r="AH170" s="22" t="n">
        <f aca="false">IF(ISBLANK(Actuals!AI83),(-(IF(AND(30&gt;=Personnel!$E$40,Personnel!$G$40="Yes"),Personnel!$D$40*(1-Personnel!$I$40),0)+IF(AND(30&gt;=Personnel!$E$41,Personnel!$G$41="Yes"),Personnel!$D$41*(1-Personnel!$I$41),0)+IF(AND(30&gt;=Personnel!$E$42,Personnel!$G$42="Yes"),Personnel!$D$42*(1-Personnel!$I$42),0)))*Escalation!$B$31,Actuals!AI83)</f>
        <v>-11921.25</v>
      </c>
      <c r="AI170" s="22" t="n">
        <f aca="false">IF(ISBLANK(Actuals!AJ83),(-(IF(AND(31&gt;=Personnel!$E$40,Personnel!$G$40="Yes"),Personnel!$D$40*(1-Personnel!$I$40),0)+IF(AND(31&gt;=Personnel!$E$41,Personnel!$G$41="Yes"),Personnel!$D$41*(1-Personnel!$I$41),0)+IF(AND(31&gt;=Personnel!$E$42,Personnel!$G$42="Yes"),Personnel!$D$42*(1-Personnel!$I$42),0)))*Escalation!$B$32,Actuals!AJ83)</f>
        <v>-11921.25</v>
      </c>
      <c r="AJ170" s="22" t="n">
        <f aca="false">IF(ISBLANK(Actuals!AK83),(-(IF(AND(32&gt;=Personnel!$E$40,Personnel!$G$40="Yes"),Personnel!$D$40*(1-Personnel!$I$40),0)+IF(AND(32&gt;=Personnel!$E$41,Personnel!$G$41="Yes"),Personnel!$D$41*(1-Personnel!$I$41),0)+IF(AND(32&gt;=Personnel!$E$42,Personnel!$G$42="Yes"),Personnel!$D$42*(1-Personnel!$I$42),0)))*Escalation!$B$33,Actuals!AK83)</f>
        <v>-11921.25</v>
      </c>
      <c r="AK170" s="22" t="n">
        <f aca="false">IF(ISBLANK(Actuals!AL83),(-(IF(AND(33&gt;=Personnel!$E$40,Personnel!$G$40="Yes"),Personnel!$D$40*(1-Personnel!$I$40),0)+IF(AND(33&gt;=Personnel!$E$41,Personnel!$G$41="Yes"),Personnel!$D$41*(1-Personnel!$I$41),0)+IF(AND(33&gt;=Personnel!$E$42,Personnel!$G$42="Yes"),Personnel!$D$42*(1-Personnel!$I$42),0)))*Escalation!$B$34,Actuals!AL83)</f>
        <v>-11921.25</v>
      </c>
      <c r="AL170" s="22" t="n">
        <f aca="false">IF(ISBLANK(Actuals!AM83),(-(IF(AND(34&gt;=Personnel!$E$40,Personnel!$G$40="Yes"),Personnel!$D$40*(1-Personnel!$I$40),0)+IF(AND(34&gt;=Personnel!$E$41,Personnel!$G$41="Yes"),Personnel!$D$41*(1-Personnel!$I$41),0)+IF(AND(34&gt;=Personnel!$E$42,Personnel!$G$42="Yes"),Personnel!$D$42*(1-Personnel!$I$42),0)))*Escalation!$B$35,Actuals!AM83)</f>
        <v>-11921.25</v>
      </c>
      <c r="AM170" s="22" t="n">
        <f aca="false">IF(ISBLANK(Actuals!AN83),(-(IF(AND(35&gt;=Personnel!$E$40,Personnel!$G$40="Yes"),Personnel!$D$40*(1-Personnel!$I$40),0)+IF(AND(35&gt;=Personnel!$E$41,Personnel!$G$41="Yes"),Personnel!$D$41*(1-Personnel!$I$41),0)+IF(AND(35&gt;=Personnel!$E$42,Personnel!$G$42="Yes"),Personnel!$D$42*(1-Personnel!$I$42),0)))*Escalation!$B$36,Actuals!AN83)</f>
        <v>-11921.25</v>
      </c>
      <c r="AN170" s="22" t="n">
        <f aca="false">IF(ISBLANK(Actuals!AO83),(-(IF(AND(36&gt;=Personnel!$E$40,Personnel!$G$40="Yes"),Personnel!$D$40*(1-Personnel!$I$40),0)+IF(AND(36&gt;=Personnel!$E$41,Personnel!$G$41="Yes"),Personnel!$D$41*(1-Personnel!$I$41),0)+IF(AND(36&gt;=Personnel!$E$42,Personnel!$G$42="Yes"),Personnel!$D$42*(1-Personnel!$I$42),0)))*Escalation!$B$37,Actuals!AO83)</f>
        <v>-11921.25</v>
      </c>
      <c r="AO170" s="22" t="n">
        <f aca="false">IF(ISBLANK(Actuals!AP83),(-(IF(AND(37&gt;=Personnel!$E$40,Personnel!$G$40="Yes"),Personnel!$D$40*(1-Personnel!$I$40),0)+IF(AND(37&gt;=Personnel!$E$41,Personnel!$G$41="Yes"),Personnel!$D$41*(1-Personnel!$I$41),0)+IF(AND(37&gt;=Personnel!$E$42,Personnel!$G$42="Yes"),Personnel!$D$42*(1-Personnel!$I$42),0)))*Escalation!$B$38,Actuals!AP83)</f>
        <v>-12159.675</v>
      </c>
      <c r="AP170" s="22" t="n">
        <f aca="false">IF(ISBLANK(Actuals!AQ83),(-(IF(AND(38&gt;=Personnel!$E$40,Personnel!$G$40="Yes"),Personnel!$D$40*(1-Personnel!$I$40),0)+IF(AND(38&gt;=Personnel!$E$41,Personnel!$G$41="Yes"),Personnel!$D$41*(1-Personnel!$I$41),0)+IF(AND(38&gt;=Personnel!$E$42,Personnel!$G$42="Yes"),Personnel!$D$42*(1-Personnel!$I$42),0)))*Escalation!$B$39,Actuals!AQ83)</f>
        <v>-12159.675</v>
      </c>
      <c r="AQ170" s="22" t="n">
        <f aca="false">IF(ISBLANK(Actuals!AR83),(-(IF(AND(39&gt;=Personnel!$E$40,Personnel!$G$40="Yes"),Personnel!$D$40*(1-Personnel!$I$40),0)+IF(AND(39&gt;=Personnel!$E$41,Personnel!$G$41="Yes"),Personnel!$D$41*(1-Personnel!$I$41),0)+IF(AND(39&gt;=Personnel!$E$42,Personnel!$G$42="Yes"),Personnel!$D$42*(1-Personnel!$I$42),0)))*Escalation!$B$40,Actuals!AR83)</f>
        <v>-12159.675</v>
      </c>
      <c r="AR170" s="22" t="n">
        <f aca="false">IF(ISBLANK(Actuals!AS83),(-(IF(AND(40&gt;=Personnel!$E$40,Personnel!$G$40="Yes"),Personnel!$D$40*(1-Personnel!$I$40),0)+IF(AND(40&gt;=Personnel!$E$41,Personnel!$G$41="Yes"),Personnel!$D$41*(1-Personnel!$I$41),0)+IF(AND(40&gt;=Personnel!$E$42,Personnel!$G$42="Yes"),Personnel!$D$42*(1-Personnel!$I$42),0)))*Escalation!$B$41,Actuals!AS83)</f>
        <v>-12159.675</v>
      </c>
      <c r="AS170" s="22" t="n">
        <f aca="false">IF(ISBLANK(Actuals!AT83),(-(IF(AND(41&gt;=Personnel!$E$40,Personnel!$G$40="Yes"),Personnel!$D$40*(1-Personnel!$I$40),0)+IF(AND(41&gt;=Personnel!$E$41,Personnel!$G$41="Yes"),Personnel!$D$41*(1-Personnel!$I$41),0)+IF(AND(41&gt;=Personnel!$E$42,Personnel!$G$42="Yes"),Personnel!$D$42*(1-Personnel!$I$42),0)))*Escalation!$B$42,Actuals!AT83)</f>
        <v>-12159.675</v>
      </c>
      <c r="AT170" s="22" t="n">
        <f aca="false">IF(ISBLANK(Actuals!AU83),(-(IF(AND(42&gt;=Personnel!$E$40,Personnel!$G$40="Yes"),Personnel!$D$40*(1-Personnel!$I$40),0)+IF(AND(42&gt;=Personnel!$E$41,Personnel!$G$41="Yes"),Personnel!$D$41*(1-Personnel!$I$41),0)+IF(AND(42&gt;=Personnel!$E$42,Personnel!$G$42="Yes"),Personnel!$D$42*(1-Personnel!$I$42),0)))*Escalation!$B$43,Actuals!AU83)</f>
        <v>-12159.675</v>
      </c>
      <c r="AU170" s="22" t="n">
        <f aca="false">IF(ISBLANK(Actuals!AV83),(-(IF(AND(43&gt;=Personnel!$E$40,Personnel!$G$40="Yes"),Personnel!$D$40*(1-Personnel!$I$40),0)+IF(AND(43&gt;=Personnel!$E$41,Personnel!$G$41="Yes"),Personnel!$D$41*(1-Personnel!$I$41),0)+IF(AND(43&gt;=Personnel!$E$42,Personnel!$G$42="Yes"),Personnel!$D$42*(1-Personnel!$I$42),0)))*Escalation!$B$44,Actuals!AV83)</f>
        <v>-12159.675</v>
      </c>
      <c r="AV170" s="22" t="n">
        <f aca="false">IF(ISBLANK(Actuals!AW83),(-(IF(AND(44&gt;=Personnel!$E$40,Personnel!$G$40="Yes"),Personnel!$D$40*(1-Personnel!$I$40),0)+IF(AND(44&gt;=Personnel!$E$41,Personnel!$G$41="Yes"),Personnel!$D$41*(1-Personnel!$I$41),0)+IF(AND(44&gt;=Personnel!$E$42,Personnel!$G$42="Yes"),Personnel!$D$42*(1-Personnel!$I$42),0)))*Escalation!$B$45,Actuals!AW83)</f>
        <v>-12159.675</v>
      </c>
      <c r="AW170" s="22" t="n">
        <f aca="false">IF(ISBLANK(Actuals!AX83),(-(IF(AND(45&gt;=Personnel!$E$40,Personnel!$G$40="Yes"),Personnel!$D$40*(1-Personnel!$I$40),0)+IF(AND(45&gt;=Personnel!$E$41,Personnel!$G$41="Yes"),Personnel!$D$41*(1-Personnel!$I$41),0)+IF(AND(45&gt;=Personnel!$E$42,Personnel!$G$42="Yes"),Personnel!$D$42*(1-Personnel!$I$42),0)))*Escalation!$B$46,Actuals!AX83)</f>
        <v>-12159.675</v>
      </c>
      <c r="AX170" s="22" t="n">
        <f aca="false">IF(ISBLANK(Actuals!AY83),(-(IF(AND(46&gt;=Personnel!$E$40,Personnel!$G$40="Yes"),Personnel!$D$40*(1-Personnel!$I$40),0)+IF(AND(46&gt;=Personnel!$E$41,Personnel!$G$41="Yes"),Personnel!$D$41*(1-Personnel!$I$41),0)+IF(AND(46&gt;=Personnel!$E$42,Personnel!$G$42="Yes"),Personnel!$D$42*(1-Personnel!$I$42),0)))*Escalation!$B$47,Actuals!AY83)</f>
        <v>-12159.675</v>
      </c>
      <c r="AY170" s="22" t="n">
        <f aca="false">IF(ISBLANK(Actuals!AZ83),(-(IF(AND(47&gt;=Personnel!$E$40,Personnel!$G$40="Yes"),Personnel!$D$40*(1-Personnel!$I$40),0)+IF(AND(47&gt;=Personnel!$E$41,Personnel!$G$41="Yes"),Personnel!$D$41*(1-Personnel!$I$41),0)+IF(AND(47&gt;=Personnel!$E$42,Personnel!$G$42="Yes"),Personnel!$D$42*(1-Personnel!$I$42),0)))*Escalation!$B$48,Actuals!AZ83)</f>
        <v>-12159.675</v>
      </c>
      <c r="AZ170" s="22" t="n">
        <f aca="false">IF(ISBLANK(Actuals!BA83),(-(IF(AND(48&gt;=Personnel!$E$40,Personnel!$G$40="Yes"),Personnel!$D$40*(1-Personnel!$I$40),0)+IF(AND(48&gt;=Personnel!$E$41,Personnel!$G$41="Yes"),Personnel!$D$41*(1-Personnel!$I$41),0)+IF(AND(48&gt;=Personnel!$E$42,Personnel!$G$42="Yes"),Personnel!$D$42*(1-Personnel!$I$42),0)))*Escalation!$B$49,Actuals!BA83)</f>
        <v>-12159.675</v>
      </c>
      <c r="BA170" s="22" t="n">
        <f aca="false">IF(ISBLANK(Actuals!BB83),(-(IF(AND(49&gt;=Personnel!$E$40,Personnel!$G$40="Yes"),Personnel!$D$40*(1-Personnel!$I$40),0)+IF(AND(49&gt;=Personnel!$E$41,Personnel!$G$41="Yes"),Personnel!$D$41*(1-Personnel!$I$41),0)+IF(AND(49&gt;=Personnel!$E$42,Personnel!$G$42="Yes"),Personnel!$D$42*(1-Personnel!$I$42),0)))*Escalation!$B$50,Actuals!BB83)</f>
        <v>-12402.8685</v>
      </c>
      <c r="BB170" s="22" t="n">
        <f aca="false">IF(ISBLANK(Actuals!BC83),(-(IF(AND(50&gt;=Personnel!$E$40,Personnel!$G$40="Yes"),Personnel!$D$40*(1-Personnel!$I$40),0)+IF(AND(50&gt;=Personnel!$E$41,Personnel!$G$41="Yes"),Personnel!$D$41*(1-Personnel!$I$41),0)+IF(AND(50&gt;=Personnel!$E$42,Personnel!$G$42="Yes"),Personnel!$D$42*(1-Personnel!$I$42),0)))*Escalation!$B$51,Actuals!BC83)</f>
        <v>-12402.8685</v>
      </c>
      <c r="BC170" s="22" t="n">
        <f aca="false">IF(ISBLANK(Actuals!BD83),(-(IF(AND(51&gt;=Personnel!$E$40,Personnel!$G$40="Yes"),Personnel!$D$40*(1-Personnel!$I$40),0)+IF(AND(51&gt;=Personnel!$E$41,Personnel!$G$41="Yes"),Personnel!$D$41*(1-Personnel!$I$41),0)+IF(AND(51&gt;=Personnel!$E$42,Personnel!$G$42="Yes"),Personnel!$D$42*(1-Personnel!$I$42),0)))*Escalation!$B$52,Actuals!BD83)</f>
        <v>-12402.8685</v>
      </c>
      <c r="BD170" s="22" t="n">
        <f aca="false">IF(ISBLANK(Actuals!BE83),(-(IF(AND(52&gt;=Personnel!$E$40,Personnel!$G$40="Yes"),Personnel!$D$40*(1-Personnel!$I$40),0)+IF(AND(52&gt;=Personnel!$E$41,Personnel!$G$41="Yes"),Personnel!$D$41*(1-Personnel!$I$41),0)+IF(AND(52&gt;=Personnel!$E$42,Personnel!$G$42="Yes"),Personnel!$D$42*(1-Personnel!$I$42),0)))*Escalation!$B$53,Actuals!BE83)</f>
        <v>-12402.8685</v>
      </c>
      <c r="BE170" s="22" t="n">
        <f aca="false">IF(ISBLANK(Actuals!BF83),(-(IF(AND(53&gt;=Personnel!$E$40,Personnel!$G$40="Yes"),Personnel!$D$40*(1-Personnel!$I$40),0)+IF(AND(53&gt;=Personnel!$E$41,Personnel!$G$41="Yes"),Personnel!$D$41*(1-Personnel!$I$41),0)+IF(AND(53&gt;=Personnel!$E$42,Personnel!$G$42="Yes"),Personnel!$D$42*(1-Personnel!$I$42),0)))*Escalation!$B$54,Actuals!BF83)</f>
        <v>-12402.8685</v>
      </c>
      <c r="BF170" s="22" t="n">
        <f aca="false">IF(ISBLANK(Actuals!BG83),(-(IF(AND(54&gt;=Personnel!$E$40,Personnel!$G$40="Yes"),Personnel!$D$40*(1-Personnel!$I$40),0)+IF(AND(54&gt;=Personnel!$E$41,Personnel!$G$41="Yes"),Personnel!$D$41*(1-Personnel!$I$41),0)+IF(AND(54&gt;=Personnel!$E$42,Personnel!$G$42="Yes"),Personnel!$D$42*(1-Personnel!$I$42),0)))*Escalation!$B$55,Actuals!BG83)</f>
        <v>-12402.8685</v>
      </c>
      <c r="BG170" s="22" t="n">
        <f aca="false">IF(ISBLANK(Actuals!BH83),(-(IF(AND(55&gt;=Personnel!$E$40,Personnel!$G$40="Yes"),Personnel!$D$40*(1-Personnel!$I$40),0)+IF(AND(55&gt;=Personnel!$E$41,Personnel!$G$41="Yes"),Personnel!$D$41*(1-Personnel!$I$41),0)+IF(AND(55&gt;=Personnel!$E$42,Personnel!$G$42="Yes"),Personnel!$D$42*(1-Personnel!$I$42),0)))*Escalation!$B$56,Actuals!BH83)</f>
        <v>-12402.8685</v>
      </c>
      <c r="BH170" s="22" t="n">
        <f aca="false">IF(ISBLANK(Actuals!BI83),(-(IF(AND(56&gt;=Personnel!$E$40,Personnel!$G$40="Yes"),Personnel!$D$40*(1-Personnel!$I$40),0)+IF(AND(56&gt;=Personnel!$E$41,Personnel!$G$41="Yes"),Personnel!$D$41*(1-Personnel!$I$41),0)+IF(AND(56&gt;=Personnel!$E$42,Personnel!$G$42="Yes"),Personnel!$D$42*(1-Personnel!$I$42),0)))*Escalation!$B$57,Actuals!BI83)</f>
        <v>-12402.8685</v>
      </c>
      <c r="BI170" s="22" t="n">
        <f aca="false">IF(ISBLANK(Actuals!BJ83),(-(IF(AND(57&gt;=Personnel!$E$40,Personnel!$G$40="Yes"),Personnel!$D$40*(1-Personnel!$I$40),0)+IF(AND(57&gt;=Personnel!$E$41,Personnel!$G$41="Yes"),Personnel!$D$41*(1-Personnel!$I$41),0)+IF(AND(57&gt;=Personnel!$E$42,Personnel!$G$42="Yes"),Personnel!$D$42*(1-Personnel!$I$42),0)))*Escalation!$B$58,Actuals!BJ83)</f>
        <v>-12402.8685</v>
      </c>
      <c r="BJ170" s="22" t="n">
        <f aca="false">IF(ISBLANK(Actuals!BK83),(-(IF(AND(58&gt;=Personnel!$E$40,Personnel!$G$40="Yes"),Personnel!$D$40*(1-Personnel!$I$40),0)+IF(AND(58&gt;=Personnel!$E$41,Personnel!$G$41="Yes"),Personnel!$D$41*(1-Personnel!$I$41),0)+IF(AND(58&gt;=Personnel!$E$42,Personnel!$G$42="Yes"),Personnel!$D$42*(1-Personnel!$I$42),0)))*Escalation!$B$59,Actuals!BK83)</f>
        <v>-12402.8685</v>
      </c>
      <c r="BK170" s="22" t="n">
        <f aca="false">IF(ISBLANK(Actuals!BL83),(-(IF(AND(59&gt;=Personnel!$E$40,Personnel!$G$40="Yes"),Personnel!$D$40*(1-Personnel!$I$40),0)+IF(AND(59&gt;=Personnel!$E$41,Personnel!$G$41="Yes"),Personnel!$D$41*(1-Personnel!$I$41),0)+IF(AND(59&gt;=Personnel!$E$42,Personnel!$G$42="Yes"),Personnel!$D$42*(1-Personnel!$I$42),0)))*Escalation!$B$60,Actuals!BL83)</f>
        <v>-12402.8685</v>
      </c>
      <c r="BL170" s="22" t="n">
        <f aca="false">IF(ISBLANK(Actuals!BM83),(-(IF(AND(60&gt;=Personnel!$E$40,Personnel!$G$40="Yes"),Personnel!$D$40*(1-Personnel!$I$40),0)+IF(AND(60&gt;=Personnel!$E$41,Personnel!$G$41="Yes"),Personnel!$D$41*(1-Personnel!$I$41),0)+IF(AND(60&gt;=Personnel!$E$42,Personnel!$G$42="Yes"),Personnel!$D$42*(1-Personnel!$I$42),0)))*Escalation!$B$61,Actuals!BM83)</f>
        <v>-12402.8685</v>
      </c>
      <c r="BM170" s="22" t="n">
        <f aca="false">IF(ISBLANK(Actuals!BN83),(-(IF(AND(61&gt;=Personnel!$E$40,Personnel!$G$40="Yes"),Personnel!$D$40*(1-Personnel!$I$40),0)+IF(AND(61&gt;=Personnel!$E$41,Personnel!$G$41="Yes"),Personnel!$D$41*(1-Personnel!$I$41),0)+IF(AND(61&gt;=Personnel!$E$42,Personnel!$G$42="Yes"),Personnel!$D$42*(1-Personnel!$I$42),0)))*Escalation!$B$62,Actuals!BN83)</f>
        <v>-12650.92587</v>
      </c>
      <c r="BN170" s="22" t="n">
        <f aca="false">IF(ISBLANK(Actuals!BO83),(-(IF(AND(62&gt;=Personnel!$E$40,Personnel!$G$40="Yes"),Personnel!$D$40*(1-Personnel!$I$40),0)+IF(AND(62&gt;=Personnel!$E$41,Personnel!$G$41="Yes"),Personnel!$D$41*(1-Personnel!$I$41),0)+IF(AND(62&gt;=Personnel!$E$42,Personnel!$G$42="Yes"),Personnel!$D$42*(1-Personnel!$I$42),0)))*Escalation!$B$63,Actuals!BO83)</f>
        <v>-12650.92587</v>
      </c>
      <c r="BO170" s="22" t="n">
        <f aca="false">IF(ISBLANK(Actuals!BP83),(-(IF(AND(63&gt;=Personnel!$E$40,Personnel!$G$40="Yes"),Personnel!$D$40*(1-Personnel!$I$40),0)+IF(AND(63&gt;=Personnel!$E$41,Personnel!$G$41="Yes"),Personnel!$D$41*(1-Personnel!$I$41),0)+IF(AND(63&gt;=Personnel!$E$42,Personnel!$G$42="Yes"),Personnel!$D$42*(1-Personnel!$I$42),0)))*Escalation!$B$64,Actuals!BP83)</f>
        <v>-12650.92587</v>
      </c>
      <c r="BP170" s="22" t="n">
        <f aca="false">IF(ISBLANK(Actuals!BQ83),(-(IF(AND(64&gt;=Personnel!$E$40,Personnel!$G$40="Yes"),Personnel!$D$40*(1-Personnel!$I$40),0)+IF(AND(64&gt;=Personnel!$E$41,Personnel!$G$41="Yes"),Personnel!$D$41*(1-Personnel!$I$41),0)+IF(AND(64&gt;=Personnel!$E$42,Personnel!$G$42="Yes"),Personnel!$D$42*(1-Personnel!$I$42),0)))*Escalation!$B$65,Actuals!BQ83)</f>
        <v>-12650.92587</v>
      </c>
      <c r="BQ170" s="22" t="n">
        <f aca="false">IF(ISBLANK(Actuals!BR83),(-(IF(AND(65&gt;=Personnel!$E$40,Personnel!$G$40="Yes"),Personnel!$D$40*(1-Personnel!$I$40),0)+IF(AND(65&gt;=Personnel!$E$41,Personnel!$G$41="Yes"),Personnel!$D$41*(1-Personnel!$I$41),0)+IF(AND(65&gt;=Personnel!$E$42,Personnel!$G$42="Yes"),Personnel!$D$42*(1-Personnel!$I$42),0)))*Escalation!$B$66,Actuals!BR83)</f>
        <v>-12650.92587</v>
      </c>
      <c r="BR170" s="22" t="n">
        <f aca="false">IF(ISBLANK(Actuals!BS83),(-(IF(AND(66&gt;=Personnel!$E$40,Personnel!$G$40="Yes"),Personnel!$D$40*(1-Personnel!$I$40),0)+IF(AND(66&gt;=Personnel!$E$41,Personnel!$G$41="Yes"),Personnel!$D$41*(1-Personnel!$I$41),0)+IF(AND(66&gt;=Personnel!$E$42,Personnel!$G$42="Yes"),Personnel!$D$42*(1-Personnel!$I$42),0)))*Escalation!$B$67,Actuals!BS83)</f>
        <v>-12650.92587</v>
      </c>
      <c r="BS170" s="22" t="n">
        <f aca="false">IF(ISBLANK(Actuals!BT83),(-(IF(AND(67&gt;=Personnel!$E$40,Personnel!$G$40="Yes"),Personnel!$D$40*(1-Personnel!$I$40),0)+IF(AND(67&gt;=Personnel!$E$41,Personnel!$G$41="Yes"),Personnel!$D$41*(1-Personnel!$I$41),0)+IF(AND(67&gt;=Personnel!$E$42,Personnel!$G$42="Yes"),Personnel!$D$42*(1-Personnel!$I$42),0)))*Escalation!$B$68,Actuals!BT83)</f>
        <v>-12650.92587</v>
      </c>
      <c r="BT170" s="22" t="n">
        <f aca="false">IF(ISBLANK(Actuals!BU83),(-(IF(AND(68&gt;=Personnel!$E$40,Personnel!$G$40="Yes"),Personnel!$D$40*(1-Personnel!$I$40),0)+IF(AND(68&gt;=Personnel!$E$41,Personnel!$G$41="Yes"),Personnel!$D$41*(1-Personnel!$I$41),0)+IF(AND(68&gt;=Personnel!$E$42,Personnel!$G$42="Yes"),Personnel!$D$42*(1-Personnel!$I$42),0)))*Escalation!$B$69,Actuals!BU83)</f>
        <v>-12650.92587</v>
      </c>
      <c r="BU170" s="22" t="n">
        <f aca="false">IF(ISBLANK(Actuals!BV83),(-(IF(AND(69&gt;=Personnel!$E$40,Personnel!$G$40="Yes"),Personnel!$D$40*(1-Personnel!$I$40),0)+IF(AND(69&gt;=Personnel!$E$41,Personnel!$G$41="Yes"),Personnel!$D$41*(1-Personnel!$I$41),0)+IF(AND(69&gt;=Personnel!$E$42,Personnel!$G$42="Yes"),Personnel!$D$42*(1-Personnel!$I$42),0)))*Escalation!$B$70,Actuals!BV83)</f>
        <v>-12650.92587</v>
      </c>
      <c r="BV170" s="22" t="n">
        <f aca="false">IF(ISBLANK(Actuals!BW83),(-(IF(AND(70&gt;=Personnel!$E$40,Personnel!$G$40="Yes"),Personnel!$D$40*(1-Personnel!$I$40),0)+IF(AND(70&gt;=Personnel!$E$41,Personnel!$G$41="Yes"),Personnel!$D$41*(1-Personnel!$I$41),0)+IF(AND(70&gt;=Personnel!$E$42,Personnel!$G$42="Yes"),Personnel!$D$42*(1-Personnel!$I$42),0)))*Escalation!$B$71,Actuals!BW83)</f>
        <v>-12650.92587</v>
      </c>
      <c r="BW170" s="22" t="n">
        <f aca="false">IF(ISBLANK(Actuals!BX83),(-(IF(AND(71&gt;=Personnel!$E$40,Personnel!$G$40="Yes"),Personnel!$D$40*(1-Personnel!$I$40),0)+IF(AND(71&gt;=Personnel!$E$41,Personnel!$G$41="Yes"),Personnel!$D$41*(1-Personnel!$I$41),0)+IF(AND(71&gt;=Personnel!$E$42,Personnel!$G$42="Yes"),Personnel!$D$42*(1-Personnel!$I$42),0)))*Escalation!$B$72,Actuals!BX83)</f>
        <v>-12650.92587</v>
      </c>
      <c r="BX170" s="22" t="n">
        <f aca="false">IF(ISBLANK(Actuals!BY83),(-(IF(AND(72&gt;=Personnel!$E$40,Personnel!$G$40="Yes"),Personnel!$D$40*(1-Personnel!$I$40),0)+IF(AND(72&gt;=Personnel!$E$41,Personnel!$G$41="Yes"),Personnel!$D$41*(1-Personnel!$I$41),0)+IF(AND(72&gt;=Personnel!$E$42,Personnel!$G$42="Yes"),Personnel!$D$42*(1-Personnel!$I$42),0)))*Escalation!$B$73,Actuals!BY83)</f>
        <v>-12650.92587</v>
      </c>
      <c r="BY170" s="22" t="n">
        <f aca="false">IF(ISBLANK(Actuals!BZ83),(-(IF(AND(73&gt;=Personnel!$E$40,Personnel!$G$40="Yes"),Personnel!$D$40*(1-Personnel!$I$40),0)+IF(AND(73&gt;=Personnel!$E$41,Personnel!$G$41="Yes"),Personnel!$D$41*(1-Personnel!$I$41),0)+IF(AND(73&gt;=Personnel!$E$42,Personnel!$G$42="Yes"),Personnel!$D$42*(1-Personnel!$I$42),0)))*Escalation!$B$74,Actuals!BZ83)</f>
        <v>-12903.9443874</v>
      </c>
      <c r="BZ170" s="22" t="n">
        <f aca="false">IF(ISBLANK(Actuals!CA83),(-(IF(AND(74&gt;=Personnel!$E$40,Personnel!$G$40="Yes"),Personnel!$D$40*(1-Personnel!$I$40),0)+IF(AND(74&gt;=Personnel!$E$41,Personnel!$G$41="Yes"),Personnel!$D$41*(1-Personnel!$I$41),0)+IF(AND(74&gt;=Personnel!$E$42,Personnel!$G$42="Yes"),Personnel!$D$42*(1-Personnel!$I$42),0)))*Escalation!$B$75,Actuals!CA83)</f>
        <v>-12903.9443874</v>
      </c>
      <c r="CA170" s="22" t="n">
        <f aca="false">IF(ISBLANK(Actuals!CB83),(-(IF(AND(75&gt;=Personnel!$E$40,Personnel!$G$40="Yes"),Personnel!$D$40*(1-Personnel!$I$40),0)+IF(AND(75&gt;=Personnel!$E$41,Personnel!$G$41="Yes"),Personnel!$D$41*(1-Personnel!$I$41),0)+IF(AND(75&gt;=Personnel!$E$42,Personnel!$G$42="Yes"),Personnel!$D$42*(1-Personnel!$I$42),0)))*Escalation!$B$76,Actuals!CB83)</f>
        <v>-12903.9443874</v>
      </c>
      <c r="CB170" s="22" t="n">
        <f aca="false">IF(ISBLANK(Actuals!CC83),(-(IF(AND(76&gt;=Personnel!$E$40,Personnel!$G$40="Yes"),Personnel!$D$40*(1-Personnel!$I$40),0)+IF(AND(76&gt;=Personnel!$E$41,Personnel!$G$41="Yes"),Personnel!$D$41*(1-Personnel!$I$41),0)+IF(AND(76&gt;=Personnel!$E$42,Personnel!$G$42="Yes"),Personnel!$D$42*(1-Personnel!$I$42),0)))*Escalation!$B$77,Actuals!CC83)</f>
        <v>-12903.9443874</v>
      </c>
      <c r="CC170" s="22" t="n">
        <f aca="false">IF(ISBLANK(Actuals!CD83),(-(IF(AND(77&gt;=Personnel!$E$40,Personnel!$G$40="Yes"),Personnel!$D$40*(1-Personnel!$I$40),0)+IF(AND(77&gt;=Personnel!$E$41,Personnel!$G$41="Yes"),Personnel!$D$41*(1-Personnel!$I$41),0)+IF(AND(77&gt;=Personnel!$E$42,Personnel!$G$42="Yes"),Personnel!$D$42*(1-Personnel!$I$42),0)))*Escalation!$B$78,Actuals!CD83)</f>
        <v>-12903.9443874</v>
      </c>
      <c r="CD170" s="22" t="n">
        <f aca="false">IF(ISBLANK(Actuals!CE83),(-(IF(AND(78&gt;=Personnel!$E$40,Personnel!$G$40="Yes"),Personnel!$D$40*(1-Personnel!$I$40),0)+IF(AND(78&gt;=Personnel!$E$41,Personnel!$G$41="Yes"),Personnel!$D$41*(1-Personnel!$I$41),0)+IF(AND(78&gt;=Personnel!$E$42,Personnel!$G$42="Yes"),Personnel!$D$42*(1-Personnel!$I$42),0)))*Escalation!$B$79,Actuals!CE83)</f>
        <v>-12903.9443874</v>
      </c>
      <c r="CE170" s="22" t="n">
        <f aca="false">IF(ISBLANK(Actuals!CF83),(-(IF(AND(79&gt;=Personnel!$E$40,Personnel!$G$40="Yes"),Personnel!$D$40*(1-Personnel!$I$40),0)+IF(AND(79&gt;=Personnel!$E$41,Personnel!$G$41="Yes"),Personnel!$D$41*(1-Personnel!$I$41),0)+IF(AND(79&gt;=Personnel!$E$42,Personnel!$G$42="Yes"),Personnel!$D$42*(1-Personnel!$I$42),0)))*Escalation!$B$80,Actuals!CF83)</f>
        <v>-12903.9443874</v>
      </c>
      <c r="CF170" s="22" t="n">
        <f aca="false">IF(ISBLANK(Actuals!CG83),(-(IF(AND(80&gt;=Personnel!$E$40,Personnel!$G$40="Yes"),Personnel!$D$40*(1-Personnel!$I$40),0)+IF(AND(80&gt;=Personnel!$E$41,Personnel!$G$41="Yes"),Personnel!$D$41*(1-Personnel!$I$41),0)+IF(AND(80&gt;=Personnel!$E$42,Personnel!$G$42="Yes"),Personnel!$D$42*(1-Personnel!$I$42),0)))*Escalation!$B$81,Actuals!CG83)</f>
        <v>-12903.9443874</v>
      </c>
      <c r="CG170" s="22" t="n">
        <f aca="false">IF(ISBLANK(Actuals!CH83),(-(IF(AND(81&gt;=Personnel!$E$40,Personnel!$G$40="Yes"),Personnel!$D$40*(1-Personnel!$I$40),0)+IF(AND(81&gt;=Personnel!$E$41,Personnel!$G$41="Yes"),Personnel!$D$41*(1-Personnel!$I$41),0)+IF(AND(81&gt;=Personnel!$E$42,Personnel!$G$42="Yes"),Personnel!$D$42*(1-Personnel!$I$42),0)))*Escalation!$B$82,Actuals!CH83)</f>
        <v>-12903.9443874</v>
      </c>
      <c r="CH170" s="22" t="n">
        <f aca="false">IF(ISBLANK(Actuals!CI83),(-(IF(AND(82&gt;=Personnel!$E$40,Personnel!$G$40="Yes"),Personnel!$D$40*(1-Personnel!$I$40),0)+IF(AND(82&gt;=Personnel!$E$41,Personnel!$G$41="Yes"),Personnel!$D$41*(1-Personnel!$I$41),0)+IF(AND(82&gt;=Personnel!$E$42,Personnel!$G$42="Yes"),Personnel!$D$42*(1-Personnel!$I$42),0)))*Escalation!$B$83,Actuals!CI83)</f>
        <v>-12903.9443874</v>
      </c>
      <c r="CI170" s="22" t="n">
        <f aca="false">IF(ISBLANK(Actuals!CJ83),(-(IF(AND(83&gt;=Personnel!$E$40,Personnel!$G$40="Yes"),Personnel!$D$40*(1-Personnel!$I$40),0)+IF(AND(83&gt;=Personnel!$E$41,Personnel!$G$41="Yes"),Personnel!$D$41*(1-Personnel!$I$41),0)+IF(AND(83&gt;=Personnel!$E$42,Personnel!$G$42="Yes"),Personnel!$D$42*(1-Personnel!$I$42),0)))*Escalation!$B$84,Actuals!CJ83)</f>
        <v>-12903.9443874</v>
      </c>
      <c r="CJ170" s="22" t="n">
        <f aca="false">IF(ISBLANK(Actuals!CK83),(-(IF(AND(84&gt;=Personnel!$E$40,Personnel!$G$40="Yes"),Personnel!$D$40*(1-Personnel!$I$40),0)+IF(AND(84&gt;=Personnel!$E$41,Personnel!$G$41="Yes"),Personnel!$D$41*(1-Personnel!$I$41),0)+IF(AND(84&gt;=Personnel!$E$42,Personnel!$G$42="Yes"),Personnel!$D$42*(1-Personnel!$I$42),0)))*Escalation!$B$85,Actuals!CK83)</f>
        <v>-12903.9443874</v>
      </c>
      <c r="CK170" s="22" t="n">
        <f aca="false">IF(ISBLANK(Actuals!CL83),(-(IF(AND(85&gt;=Personnel!$E$40,Personnel!$G$40="Yes"),Personnel!$D$40*(1-Personnel!$I$40),0)+IF(AND(85&gt;=Personnel!$E$41,Personnel!$G$41="Yes"),Personnel!$D$41*(1-Personnel!$I$41),0)+IF(AND(85&gt;=Personnel!$E$42,Personnel!$G$42="Yes"),Personnel!$D$42*(1-Personnel!$I$42),0)))*Escalation!$B$86,Actuals!CL83)</f>
        <v>-13162.023275148</v>
      </c>
      <c r="CL170" s="22" t="n">
        <f aca="false">IF(ISBLANK(Actuals!CM83),(-(IF(AND(86&gt;=Personnel!$E$40,Personnel!$G$40="Yes"),Personnel!$D$40*(1-Personnel!$I$40),0)+IF(AND(86&gt;=Personnel!$E$41,Personnel!$G$41="Yes"),Personnel!$D$41*(1-Personnel!$I$41),0)+IF(AND(86&gt;=Personnel!$E$42,Personnel!$G$42="Yes"),Personnel!$D$42*(1-Personnel!$I$42),0)))*Escalation!$B$87,Actuals!CM83)</f>
        <v>-13162.023275148</v>
      </c>
      <c r="CM170" s="22" t="n">
        <f aca="false">IF(ISBLANK(Actuals!CN83),(-(IF(AND(87&gt;=Personnel!$E$40,Personnel!$G$40="Yes"),Personnel!$D$40*(1-Personnel!$I$40),0)+IF(AND(87&gt;=Personnel!$E$41,Personnel!$G$41="Yes"),Personnel!$D$41*(1-Personnel!$I$41),0)+IF(AND(87&gt;=Personnel!$E$42,Personnel!$G$42="Yes"),Personnel!$D$42*(1-Personnel!$I$42),0)))*Escalation!$B$88,Actuals!CN83)</f>
        <v>-13162.023275148</v>
      </c>
      <c r="CN170" s="22" t="n">
        <f aca="false">IF(ISBLANK(Actuals!CO83),(-(IF(AND(88&gt;=Personnel!$E$40,Personnel!$G$40="Yes"),Personnel!$D$40*(1-Personnel!$I$40),0)+IF(AND(88&gt;=Personnel!$E$41,Personnel!$G$41="Yes"),Personnel!$D$41*(1-Personnel!$I$41),0)+IF(AND(88&gt;=Personnel!$E$42,Personnel!$G$42="Yes"),Personnel!$D$42*(1-Personnel!$I$42),0)))*Escalation!$B$89,Actuals!CO83)</f>
        <v>-13162.023275148</v>
      </c>
      <c r="CO170" s="22" t="n">
        <f aca="false">IF(ISBLANK(Actuals!CP83),(-(IF(AND(89&gt;=Personnel!$E$40,Personnel!$G$40="Yes"),Personnel!$D$40*(1-Personnel!$I$40),0)+IF(AND(89&gt;=Personnel!$E$41,Personnel!$G$41="Yes"),Personnel!$D$41*(1-Personnel!$I$41),0)+IF(AND(89&gt;=Personnel!$E$42,Personnel!$G$42="Yes"),Personnel!$D$42*(1-Personnel!$I$42),0)))*Escalation!$B$90,Actuals!CP83)</f>
        <v>-13162.023275148</v>
      </c>
      <c r="CP170" s="22" t="n">
        <f aca="false">IF(ISBLANK(Actuals!CQ83),(-(IF(AND(90&gt;=Personnel!$E$40,Personnel!$G$40="Yes"),Personnel!$D$40*(1-Personnel!$I$40),0)+IF(AND(90&gt;=Personnel!$E$41,Personnel!$G$41="Yes"),Personnel!$D$41*(1-Personnel!$I$41),0)+IF(AND(90&gt;=Personnel!$E$42,Personnel!$G$42="Yes"),Personnel!$D$42*(1-Personnel!$I$42),0)))*Escalation!$B$91,Actuals!CQ83)</f>
        <v>-13162.023275148</v>
      </c>
      <c r="CQ170" s="22" t="n">
        <f aca="false">IF(ISBLANK(Actuals!CR83),(-(IF(AND(91&gt;=Personnel!$E$40,Personnel!$G$40="Yes"),Personnel!$D$40*(1-Personnel!$I$40),0)+IF(AND(91&gt;=Personnel!$E$41,Personnel!$G$41="Yes"),Personnel!$D$41*(1-Personnel!$I$41),0)+IF(AND(91&gt;=Personnel!$E$42,Personnel!$G$42="Yes"),Personnel!$D$42*(1-Personnel!$I$42),0)))*Escalation!$B$92,Actuals!CR83)</f>
        <v>-13162.023275148</v>
      </c>
      <c r="CR170" s="22" t="n">
        <f aca="false">IF(ISBLANK(Actuals!CS83),(-(IF(AND(92&gt;=Personnel!$E$40,Personnel!$G$40="Yes"),Personnel!$D$40*(1-Personnel!$I$40),0)+IF(AND(92&gt;=Personnel!$E$41,Personnel!$G$41="Yes"),Personnel!$D$41*(1-Personnel!$I$41),0)+IF(AND(92&gt;=Personnel!$E$42,Personnel!$G$42="Yes"),Personnel!$D$42*(1-Personnel!$I$42),0)))*Escalation!$B$93,Actuals!CS83)</f>
        <v>-13162.023275148</v>
      </c>
      <c r="CS170" s="22" t="n">
        <f aca="false">IF(ISBLANK(Actuals!CT83),(-(IF(AND(93&gt;=Personnel!$E$40,Personnel!$G$40="Yes"),Personnel!$D$40*(1-Personnel!$I$40),0)+IF(AND(93&gt;=Personnel!$E$41,Personnel!$G$41="Yes"),Personnel!$D$41*(1-Personnel!$I$41),0)+IF(AND(93&gt;=Personnel!$E$42,Personnel!$G$42="Yes"),Personnel!$D$42*(1-Personnel!$I$42),0)))*Escalation!$B$94,Actuals!CT83)</f>
        <v>-13162.023275148</v>
      </c>
      <c r="CT170" s="22" t="n">
        <f aca="false">IF(ISBLANK(Actuals!CU83),(-(IF(AND(94&gt;=Personnel!$E$40,Personnel!$G$40="Yes"),Personnel!$D$40*(1-Personnel!$I$40),0)+IF(AND(94&gt;=Personnel!$E$41,Personnel!$G$41="Yes"),Personnel!$D$41*(1-Personnel!$I$41),0)+IF(AND(94&gt;=Personnel!$E$42,Personnel!$G$42="Yes"),Personnel!$D$42*(1-Personnel!$I$42),0)))*Escalation!$B$95,Actuals!CU83)</f>
        <v>-13162.023275148</v>
      </c>
      <c r="CU170" s="22" t="n">
        <f aca="false">IF(ISBLANK(Actuals!CV83),(-(IF(AND(95&gt;=Personnel!$E$40,Personnel!$G$40="Yes"),Personnel!$D$40*(1-Personnel!$I$40),0)+IF(AND(95&gt;=Personnel!$E$41,Personnel!$G$41="Yes"),Personnel!$D$41*(1-Personnel!$I$41),0)+IF(AND(95&gt;=Personnel!$E$42,Personnel!$G$42="Yes"),Personnel!$D$42*(1-Personnel!$I$42),0)))*Escalation!$B$96,Actuals!CV83)</f>
        <v>-13162.023275148</v>
      </c>
      <c r="CV170" s="22" t="n">
        <f aca="false">IF(ISBLANK(Actuals!CW83),(-(IF(AND(96&gt;=Personnel!$E$40,Personnel!$G$40="Yes"),Personnel!$D$40*(1-Personnel!$I$40),0)+IF(AND(96&gt;=Personnel!$E$41,Personnel!$G$41="Yes"),Personnel!$D$41*(1-Personnel!$I$41),0)+IF(AND(96&gt;=Personnel!$E$42,Personnel!$G$42="Yes"),Personnel!$D$42*(1-Personnel!$I$42),0)))*Escalation!$B$97,Actuals!CW83)</f>
        <v>-13162.023275148</v>
      </c>
      <c r="CW170" s="22" t="n">
        <f aca="false">IF(ISBLANK(Actuals!CX83),(-(IF(AND(97&gt;=Personnel!$E$40,Personnel!$G$40="Yes"),Personnel!$D$40*(1-Personnel!$I$40),0)+IF(AND(97&gt;=Personnel!$E$41,Personnel!$G$41="Yes"),Personnel!$D$41*(1-Personnel!$I$41),0)+IF(AND(97&gt;=Personnel!$E$42,Personnel!$G$42="Yes"),Personnel!$D$42*(1-Personnel!$I$42),0)))*Escalation!$B$98,Actuals!CX83)</f>
        <v>-13425.263740651</v>
      </c>
      <c r="CX170" s="22" t="n">
        <f aca="false">IF(ISBLANK(Actuals!CY83),(-(IF(AND(98&gt;=Personnel!$E$40,Personnel!$G$40="Yes"),Personnel!$D$40*(1-Personnel!$I$40),0)+IF(AND(98&gt;=Personnel!$E$41,Personnel!$G$41="Yes"),Personnel!$D$41*(1-Personnel!$I$41),0)+IF(AND(98&gt;=Personnel!$E$42,Personnel!$G$42="Yes"),Personnel!$D$42*(1-Personnel!$I$42),0)))*Escalation!$B$99,Actuals!CY83)</f>
        <v>-13425.263740651</v>
      </c>
      <c r="CY170" s="22" t="n">
        <f aca="false">IF(ISBLANK(Actuals!CZ83),(-(IF(AND(99&gt;=Personnel!$E$40,Personnel!$G$40="Yes"),Personnel!$D$40*(1-Personnel!$I$40),0)+IF(AND(99&gt;=Personnel!$E$41,Personnel!$G$41="Yes"),Personnel!$D$41*(1-Personnel!$I$41),0)+IF(AND(99&gt;=Personnel!$E$42,Personnel!$G$42="Yes"),Personnel!$D$42*(1-Personnel!$I$42),0)))*Escalation!$B$100,Actuals!CZ83)</f>
        <v>-13425.263740651</v>
      </c>
      <c r="CZ170" s="22" t="n">
        <f aca="false">IF(ISBLANK(Actuals!DA83),(-(IF(AND(100&gt;=Personnel!$E$40,Personnel!$G$40="Yes"),Personnel!$D$40*(1-Personnel!$I$40),0)+IF(AND(100&gt;=Personnel!$E$41,Personnel!$G$41="Yes"),Personnel!$D$41*(1-Personnel!$I$41),0)+IF(AND(100&gt;=Personnel!$E$42,Personnel!$G$42="Yes"),Personnel!$D$42*(1-Personnel!$I$42),0)))*Escalation!$B$101,Actuals!DA83)</f>
        <v>-13425.263740651</v>
      </c>
      <c r="DA170" s="22" t="n">
        <f aca="false">IF(ISBLANK(Actuals!DB83),(-(IF(AND(101&gt;=Personnel!$E$40,Personnel!$G$40="Yes"),Personnel!$D$40*(1-Personnel!$I$40),0)+IF(AND(101&gt;=Personnel!$E$41,Personnel!$G$41="Yes"),Personnel!$D$41*(1-Personnel!$I$41),0)+IF(AND(101&gt;=Personnel!$E$42,Personnel!$G$42="Yes"),Personnel!$D$42*(1-Personnel!$I$42),0)))*Escalation!$B$102,Actuals!DB83)</f>
        <v>-13425.263740651</v>
      </c>
      <c r="DB170" s="22" t="n">
        <f aca="false">IF(ISBLANK(Actuals!DC83),(-(IF(AND(102&gt;=Personnel!$E$40,Personnel!$G$40="Yes"),Personnel!$D$40*(1-Personnel!$I$40),0)+IF(AND(102&gt;=Personnel!$E$41,Personnel!$G$41="Yes"),Personnel!$D$41*(1-Personnel!$I$41),0)+IF(AND(102&gt;=Personnel!$E$42,Personnel!$G$42="Yes"),Personnel!$D$42*(1-Personnel!$I$42),0)))*Escalation!$B$103,Actuals!DC83)</f>
        <v>-13425.263740651</v>
      </c>
      <c r="DC170" s="22" t="n">
        <f aca="false">IF(ISBLANK(Actuals!DD83),(-(IF(AND(103&gt;=Personnel!$E$40,Personnel!$G$40="Yes"),Personnel!$D$40*(1-Personnel!$I$40),0)+IF(AND(103&gt;=Personnel!$E$41,Personnel!$G$41="Yes"),Personnel!$D$41*(1-Personnel!$I$41),0)+IF(AND(103&gt;=Personnel!$E$42,Personnel!$G$42="Yes"),Personnel!$D$42*(1-Personnel!$I$42),0)))*Escalation!$B$104,Actuals!DD83)</f>
        <v>-13425.263740651</v>
      </c>
      <c r="DD170" s="22" t="n">
        <f aca="false">IF(ISBLANK(Actuals!DE83),(-(IF(AND(104&gt;=Personnel!$E$40,Personnel!$G$40="Yes"),Personnel!$D$40*(1-Personnel!$I$40),0)+IF(AND(104&gt;=Personnel!$E$41,Personnel!$G$41="Yes"),Personnel!$D$41*(1-Personnel!$I$41),0)+IF(AND(104&gt;=Personnel!$E$42,Personnel!$G$42="Yes"),Personnel!$D$42*(1-Personnel!$I$42),0)))*Escalation!$B$105,Actuals!DE83)</f>
        <v>-13425.263740651</v>
      </c>
      <c r="DE170" s="22" t="n">
        <f aca="false">IF(ISBLANK(Actuals!DF83),(-(IF(AND(105&gt;=Personnel!$E$40,Personnel!$G$40="Yes"),Personnel!$D$40*(1-Personnel!$I$40),0)+IF(AND(105&gt;=Personnel!$E$41,Personnel!$G$41="Yes"),Personnel!$D$41*(1-Personnel!$I$41),0)+IF(AND(105&gt;=Personnel!$E$42,Personnel!$G$42="Yes"),Personnel!$D$42*(1-Personnel!$I$42),0)))*Escalation!$B$106,Actuals!DF83)</f>
        <v>-13425.263740651</v>
      </c>
    </row>
    <row r="171" customFormat="false" ht="15" hidden="false" customHeight="true" outlineLevel="0" collapsed="false">
      <c r="A171" s="44" t="s">
        <v>61</v>
      </c>
      <c r="B171" s="22" t="n">
        <f aca="false">IF(ISBLANK(Actuals!C84),0,Actuals!C84)</f>
        <v>-5302</v>
      </c>
      <c r="C171" s="22" t="n">
        <f aca="false">IF(ISBLANK(Actuals!D84),0,Actuals!D84)</f>
        <v>-4279.79</v>
      </c>
      <c r="D171" s="22" t="n">
        <f aca="false">IF(ISBLANK(Actuals!E84),0,Actuals!E84)</f>
        <v>-4145.97</v>
      </c>
      <c r="E171" s="22" t="n">
        <f aca="false">IF(ISBLANK(Actuals!F84),-Helpers!C5*Assumptions!$B$20,Actuals!F84)</f>
        <v>-4145.96</v>
      </c>
      <c r="F171" s="22" t="n">
        <f aca="false">IF(ISBLANK(Actuals!G84),-Helpers!D5*Assumptions!$B$20,Actuals!G84)</f>
        <v>-4145.99</v>
      </c>
      <c r="G171" s="22" t="n">
        <f aca="false">IF(ISBLANK(Actuals!H84),-Helpers!E5*Assumptions!$B$20,Actuals!H84)</f>
        <v>-4145.95</v>
      </c>
      <c r="H171" s="22" t="n">
        <f aca="false">IF(ISBLANK(Actuals!I84),-Helpers!F5*Assumptions!$B$20,Actuals!I84)</f>
        <v>-802.083333333334</v>
      </c>
      <c r="I171" s="22" t="n">
        <f aca="false">IF(ISBLANK(Actuals!J84),-Helpers!G5*Assumptions!$B$20,Actuals!J84)</f>
        <v>-802.083333333334</v>
      </c>
      <c r="J171" s="22" t="n">
        <f aca="false">IF(ISBLANK(Actuals!K84),-Helpers!H5*Assumptions!$B$20,Actuals!K84)</f>
        <v>-802.083333333334</v>
      </c>
      <c r="K171" s="22" t="n">
        <f aca="false">IF(ISBLANK(Actuals!L84),-Helpers!I5*Assumptions!$B$20,Actuals!L84)</f>
        <v>-802.083333333334</v>
      </c>
      <c r="L171" s="22" t="n">
        <f aca="false">IF(ISBLANK(Actuals!M84),-Helpers!J5*Assumptions!$B$20,Actuals!M84)</f>
        <v>-802.083333333334</v>
      </c>
      <c r="M171" s="22" t="n">
        <f aca="false">IF(ISBLANK(Actuals!N84),-Helpers!K5*Assumptions!$B$20,Actuals!N84)</f>
        <v>-802.083333333334</v>
      </c>
      <c r="N171" s="22" t="n">
        <f aca="false">IF(ISBLANK(Actuals!O84),-Helpers!L5*Assumptions!$B$20,Actuals!O84)</f>
        <v>-802.083333333334</v>
      </c>
      <c r="O171" s="22" t="n">
        <f aca="false">IF(ISBLANK(Actuals!P84),-Helpers!M5*Assumptions!$B$20,Actuals!P84)</f>
        <v>-802.083333333334</v>
      </c>
      <c r="P171" s="22" t="n">
        <f aca="false">IF(ISBLANK(Actuals!Q84),-Helpers!N5*Assumptions!$B$20,Actuals!Q84)</f>
        <v>-802.083333333334</v>
      </c>
      <c r="Q171" s="22" t="n">
        <f aca="false">IF(ISBLANK(Actuals!R84),-Helpers!O5*Assumptions!$B$20,Actuals!R84)</f>
        <v>-818.125</v>
      </c>
      <c r="R171" s="22" t="n">
        <f aca="false">IF(ISBLANK(Actuals!S84),-Helpers!P5*Assumptions!$B$20,Actuals!S84)</f>
        <v>-818.125</v>
      </c>
      <c r="S171" s="22" t="n">
        <f aca="false">IF(ISBLANK(Actuals!T84),-Helpers!Q5*Assumptions!$B$20,Actuals!T84)</f>
        <v>-818.125</v>
      </c>
      <c r="T171" s="22" t="n">
        <f aca="false">IF(ISBLANK(Actuals!U84),-Helpers!R5*Assumptions!$B$20,Actuals!U84)</f>
        <v>-818.125</v>
      </c>
      <c r="U171" s="22" t="n">
        <f aca="false">IF(ISBLANK(Actuals!V84),-Helpers!S5*Assumptions!$B$20,Actuals!V84)</f>
        <v>-818.125</v>
      </c>
      <c r="V171" s="22" t="n">
        <f aca="false">IF(ISBLANK(Actuals!W84),-Helpers!T5*Assumptions!$B$20,Actuals!W84)</f>
        <v>-818.125</v>
      </c>
      <c r="W171" s="22" t="n">
        <f aca="false">IF(ISBLANK(Actuals!X84),-Helpers!U5*Assumptions!$B$20,Actuals!X84)</f>
        <v>-818.125</v>
      </c>
      <c r="X171" s="22" t="n">
        <f aca="false">IF(ISBLANK(Actuals!Y84),-Helpers!V5*Assumptions!$B$20,Actuals!Y84)</f>
        <v>-818.125</v>
      </c>
      <c r="Y171" s="22" t="n">
        <f aca="false">IF(ISBLANK(Actuals!Z84),-Helpers!W5*Assumptions!$B$20,Actuals!Z84)</f>
        <v>-818.125</v>
      </c>
      <c r="Z171" s="22" t="n">
        <f aca="false">IF(ISBLANK(Actuals!AA84),-Helpers!X5*Assumptions!$B$20,Actuals!AA84)</f>
        <v>-818.125</v>
      </c>
      <c r="AA171" s="22" t="n">
        <f aca="false">IF(ISBLANK(Actuals!AB84),-Helpers!Y5*Assumptions!$B$20,Actuals!AB84)</f>
        <v>-818.125</v>
      </c>
      <c r="AB171" s="22" t="n">
        <f aca="false">IF(ISBLANK(Actuals!AC84),-Helpers!Z5*Assumptions!$B$20,Actuals!AC84)</f>
        <v>-818.125</v>
      </c>
      <c r="AC171" s="22" t="n">
        <f aca="false">IF(ISBLANK(Actuals!AD84),-Helpers!AA5*Assumptions!$B$20,Actuals!AD84)</f>
        <v>-834.4875</v>
      </c>
      <c r="AD171" s="22" t="n">
        <f aca="false">IF(ISBLANK(Actuals!AE84),-Helpers!AB5*Assumptions!$B$20,Actuals!AE84)</f>
        <v>-834.4875</v>
      </c>
      <c r="AE171" s="22" t="n">
        <f aca="false">IF(ISBLANK(Actuals!AF84),-Helpers!AC5*Assumptions!$B$20,Actuals!AF84)</f>
        <v>-834.4875</v>
      </c>
      <c r="AF171" s="22" t="n">
        <f aca="false">IF(ISBLANK(Actuals!AG84),-Helpers!AD5*Assumptions!$B$20,Actuals!AG84)</f>
        <v>-834.4875</v>
      </c>
      <c r="AG171" s="22" t="n">
        <f aca="false">IF(ISBLANK(Actuals!AH84),-Helpers!AE5*Assumptions!$B$20,Actuals!AH84)</f>
        <v>-834.4875</v>
      </c>
      <c r="AH171" s="22" t="n">
        <f aca="false">IF(ISBLANK(Actuals!AI84),-Helpers!AF5*Assumptions!$B$20,Actuals!AI84)</f>
        <v>-834.4875</v>
      </c>
      <c r="AI171" s="22" t="n">
        <f aca="false">IF(ISBLANK(Actuals!AJ84),-Helpers!AG5*Assumptions!$B$20,Actuals!AJ84)</f>
        <v>-834.4875</v>
      </c>
      <c r="AJ171" s="22" t="n">
        <f aca="false">IF(ISBLANK(Actuals!AK84),-Helpers!AH5*Assumptions!$B$20,Actuals!AK84)</f>
        <v>-834.4875</v>
      </c>
      <c r="AK171" s="22" t="n">
        <f aca="false">IF(ISBLANK(Actuals!AL84),-Helpers!AI5*Assumptions!$B$20,Actuals!AL84)</f>
        <v>-834.4875</v>
      </c>
      <c r="AL171" s="22" t="n">
        <f aca="false">IF(ISBLANK(Actuals!AM84),-Helpers!AJ5*Assumptions!$B$20,Actuals!AM84)</f>
        <v>-834.4875</v>
      </c>
      <c r="AM171" s="22" t="n">
        <f aca="false">IF(ISBLANK(Actuals!AN84),-Helpers!AK5*Assumptions!$B$20,Actuals!AN84)</f>
        <v>-834.4875</v>
      </c>
      <c r="AN171" s="22" t="n">
        <f aca="false">IF(ISBLANK(Actuals!AO84),-Helpers!AL5*Assumptions!$B$20,Actuals!AO84)</f>
        <v>-834.4875</v>
      </c>
      <c r="AO171" s="22" t="n">
        <f aca="false">IF(ISBLANK(Actuals!AP84),-Helpers!AM5*Assumptions!$B$20,Actuals!AP84)</f>
        <v>-851.17725</v>
      </c>
      <c r="AP171" s="22" t="n">
        <f aca="false">IF(ISBLANK(Actuals!AQ84),-Helpers!AN5*Assumptions!$B$20,Actuals!AQ84)</f>
        <v>-851.17725</v>
      </c>
      <c r="AQ171" s="22" t="n">
        <f aca="false">IF(ISBLANK(Actuals!AR84),-Helpers!AO5*Assumptions!$B$20,Actuals!AR84)</f>
        <v>-851.17725</v>
      </c>
      <c r="AR171" s="22" t="n">
        <f aca="false">IF(ISBLANK(Actuals!AS84),-Helpers!AP5*Assumptions!$B$20,Actuals!AS84)</f>
        <v>-851.17725</v>
      </c>
      <c r="AS171" s="22" t="n">
        <f aca="false">IF(ISBLANK(Actuals!AT84),-Helpers!AQ5*Assumptions!$B$20,Actuals!AT84)</f>
        <v>-851.17725</v>
      </c>
      <c r="AT171" s="22" t="n">
        <f aca="false">IF(ISBLANK(Actuals!AU84),-Helpers!AR5*Assumptions!$B$20,Actuals!AU84)</f>
        <v>-851.17725</v>
      </c>
      <c r="AU171" s="22" t="n">
        <f aca="false">IF(ISBLANK(Actuals!AV84),-Helpers!AS5*Assumptions!$B$20,Actuals!AV84)</f>
        <v>-851.17725</v>
      </c>
      <c r="AV171" s="22" t="n">
        <f aca="false">IF(ISBLANK(Actuals!AW84),-Helpers!AT5*Assumptions!$B$20,Actuals!AW84)</f>
        <v>-851.17725</v>
      </c>
      <c r="AW171" s="22" t="n">
        <f aca="false">IF(ISBLANK(Actuals!AX84),-Helpers!AU5*Assumptions!$B$20,Actuals!AX84)</f>
        <v>-851.17725</v>
      </c>
      <c r="AX171" s="22" t="n">
        <f aca="false">IF(ISBLANK(Actuals!AY84),-Helpers!AV5*Assumptions!$B$20,Actuals!AY84)</f>
        <v>-851.17725</v>
      </c>
      <c r="AY171" s="22" t="n">
        <f aca="false">IF(ISBLANK(Actuals!AZ84),-Helpers!AW5*Assumptions!$B$20,Actuals!AZ84)</f>
        <v>-851.17725</v>
      </c>
      <c r="AZ171" s="22" t="n">
        <f aca="false">IF(ISBLANK(Actuals!BA84),-Helpers!AX5*Assumptions!$B$20,Actuals!BA84)</f>
        <v>-851.17725</v>
      </c>
      <c r="BA171" s="22" t="n">
        <f aca="false">IF(ISBLANK(Actuals!BB84),-Helpers!AY5*Assumptions!$B$20,Actuals!BB84)</f>
        <v>-868.200795</v>
      </c>
      <c r="BB171" s="22" t="n">
        <f aca="false">IF(ISBLANK(Actuals!BC84),-Helpers!AZ5*Assumptions!$B$20,Actuals!BC84)</f>
        <v>-868.200795</v>
      </c>
      <c r="BC171" s="22" t="n">
        <f aca="false">IF(ISBLANK(Actuals!BD84),-Helpers!BA5*Assumptions!$B$20,Actuals!BD84)</f>
        <v>-868.200795</v>
      </c>
      <c r="BD171" s="22" t="n">
        <f aca="false">IF(ISBLANK(Actuals!BE84),-Helpers!BB5*Assumptions!$B$20,Actuals!BE84)</f>
        <v>-868.200795</v>
      </c>
      <c r="BE171" s="22" t="n">
        <f aca="false">IF(ISBLANK(Actuals!BF84),-Helpers!BC5*Assumptions!$B$20,Actuals!BF84)</f>
        <v>-868.200795</v>
      </c>
      <c r="BF171" s="22" t="n">
        <f aca="false">IF(ISBLANK(Actuals!BG84),-Helpers!BD5*Assumptions!$B$20,Actuals!BG84)</f>
        <v>-868.200795</v>
      </c>
      <c r="BG171" s="22" t="n">
        <f aca="false">IF(ISBLANK(Actuals!BH84),-Helpers!BE5*Assumptions!$B$20,Actuals!BH84)</f>
        <v>-868.200795</v>
      </c>
      <c r="BH171" s="22" t="n">
        <f aca="false">IF(ISBLANK(Actuals!BI84),-Helpers!BF5*Assumptions!$B$20,Actuals!BI84)</f>
        <v>-868.200795</v>
      </c>
      <c r="BI171" s="22" t="n">
        <f aca="false">IF(ISBLANK(Actuals!BJ84),-Helpers!BG5*Assumptions!$B$20,Actuals!BJ84)</f>
        <v>-868.200795</v>
      </c>
      <c r="BJ171" s="22" t="n">
        <f aca="false">IF(ISBLANK(Actuals!BK84),-Helpers!BH5*Assumptions!$B$20,Actuals!BK84)</f>
        <v>-868.200795</v>
      </c>
      <c r="BK171" s="22" t="n">
        <f aca="false">IF(ISBLANK(Actuals!BL84),-Helpers!BI5*Assumptions!$B$20,Actuals!BL84)</f>
        <v>-868.200795</v>
      </c>
      <c r="BL171" s="22" t="n">
        <f aca="false">IF(ISBLANK(Actuals!BM84),-Helpers!BJ5*Assumptions!$B$20,Actuals!BM84)</f>
        <v>-868.200795</v>
      </c>
      <c r="BM171" s="22" t="n">
        <f aca="false">IF(ISBLANK(Actuals!BN84),-Helpers!BK5*Assumptions!$B$20,Actuals!BN84)</f>
        <v>-885.5648109</v>
      </c>
      <c r="BN171" s="22" t="n">
        <f aca="false">IF(ISBLANK(Actuals!BO84),-Helpers!BL5*Assumptions!$B$20,Actuals!BO84)</f>
        <v>-885.5648109</v>
      </c>
      <c r="BO171" s="22" t="n">
        <f aca="false">IF(ISBLANK(Actuals!BP84),-Helpers!BM5*Assumptions!$B$20,Actuals!BP84)</f>
        <v>-885.5648109</v>
      </c>
      <c r="BP171" s="22" t="n">
        <f aca="false">IF(ISBLANK(Actuals!BQ84),-Helpers!BN5*Assumptions!$B$20,Actuals!BQ84)</f>
        <v>-885.5648109</v>
      </c>
      <c r="BQ171" s="22" t="n">
        <f aca="false">IF(ISBLANK(Actuals!BR84),-Helpers!BO5*Assumptions!$B$20,Actuals!BR84)</f>
        <v>-885.5648109</v>
      </c>
      <c r="BR171" s="22" t="n">
        <f aca="false">IF(ISBLANK(Actuals!BS84),-Helpers!BP5*Assumptions!$B$20,Actuals!BS84)</f>
        <v>-885.5648109</v>
      </c>
      <c r="BS171" s="22" t="n">
        <f aca="false">IF(ISBLANK(Actuals!BT84),-Helpers!BQ5*Assumptions!$B$20,Actuals!BT84)</f>
        <v>-885.5648109</v>
      </c>
      <c r="BT171" s="22" t="n">
        <f aca="false">IF(ISBLANK(Actuals!BU84),-Helpers!BR5*Assumptions!$B$20,Actuals!BU84)</f>
        <v>-885.5648109</v>
      </c>
      <c r="BU171" s="22" t="n">
        <f aca="false">IF(ISBLANK(Actuals!BV84),-Helpers!BS5*Assumptions!$B$20,Actuals!BV84)</f>
        <v>-885.5648109</v>
      </c>
      <c r="BV171" s="22" t="n">
        <f aca="false">IF(ISBLANK(Actuals!BW84),-Helpers!BT5*Assumptions!$B$20,Actuals!BW84)</f>
        <v>-885.5648109</v>
      </c>
      <c r="BW171" s="22" t="n">
        <f aca="false">IF(ISBLANK(Actuals!BX84),-Helpers!BU5*Assumptions!$B$20,Actuals!BX84)</f>
        <v>-885.5648109</v>
      </c>
      <c r="BX171" s="22" t="n">
        <f aca="false">IF(ISBLANK(Actuals!BY84),-Helpers!BV5*Assumptions!$B$20,Actuals!BY84)</f>
        <v>-885.5648109</v>
      </c>
      <c r="BY171" s="22" t="n">
        <f aca="false">IF(ISBLANK(Actuals!BZ84),-Helpers!BW5*Assumptions!$B$20,Actuals!BZ84)</f>
        <v>-903.276107118</v>
      </c>
      <c r="BZ171" s="22" t="n">
        <f aca="false">IF(ISBLANK(Actuals!CA84),-Helpers!BX5*Assumptions!$B$20,Actuals!CA84)</f>
        <v>-903.276107118</v>
      </c>
      <c r="CA171" s="22" t="n">
        <f aca="false">IF(ISBLANK(Actuals!CB84),-Helpers!BY5*Assumptions!$B$20,Actuals!CB84)</f>
        <v>-903.276107118</v>
      </c>
      <c r="CB171" s="22" t="n">
        <f aca="false">IF(ISBLANK(Actuals!CC84),-Helpers!BZ5*Assumptions!$B$20,Actuals!CC84)</f>
        <v>-903.276107118</v>
      </c>
      <c r="CC171" s="22" t="n">
        <f aca="false">IF(ISBLANK(Actuals!CD84),-Helpers!CA5*Assumptions!$B$20,Actuals!CD84)</f>
        <v>-903.276107118</v>
      </c>
      <c r="CD171" s="22" t="n">
        <f aca="false">IF(ISBLANK(Actuals!CE84),-Helpers!CB5*Assumptions!$B$20,Actuals!CE84)</f>
        <v>-903.276107118</v>
      </c>
      <c r="CE171" s="22" t="n">
        <f aca="false">IF(ISBLANK(Actuals!CF84),-Helpers!CC5*Assumptions!$B$20,Actuals!CF84)</f>
        <v>-903.276107118</v>
      </c>
      <c r="CF171" s="22" t="n">
        <f aca="false">IF(ISBLANK(Actuals!CG84),-Helpers!CD5*Assumptions!$B$20,Actuals!CG84)</f>
        <v>-903.276107118</v>
      </c>
      <c r="CG171" s="22" t="n">
        <f aca="false">IF(ISBLANK(Actuals!CH84),-Helpers!CE5*Assumptions!$B$20,Actuals!CH84)</f>
        <v>-903.276107118</v>
      </c>
      <c r="CH171" s="22" t="n">
        <f aca="false">IF(ISBLANK(Actuals!CI84),-Helpers!CF5*Assumptions!$B$20,Actuals!CI84)</f>
        <v>-903.276107118</v>
      </c>
      <c r="CI171" s="22" t="n">
        <f aca="false">IF(ISBLANK(Actuals!CJ84),-Helpers!CG5*Assumptions!$B$20,Actuals!CJ84)</f>
        <v>-903.276107118</v>
      </c>
      <c r="CJ171" s="22" t="n">
        <f aca="false">IF(ISBLANK(Actuals!CK84),-Helpers!CH5*Assumptions!$B$20,Actuals!CK84)</f>
        <v>-903.276107118</v>
      </c>
      <c r="CK171" s="22" t="n">
        <f aca="false">IF(ISBLANK(Actuals!CL84),-Helpers!CI5*Assumptions!$B$20,Actuals!CL84)</f>
        <v>-921.34162926036</v>
      </c>
      <c r="CL171" s="22" t="n">
        <f aca="false">IF(ISBLANK(Actuals!CM84),-Helpers!CJ5*Assumptions!$B$20,Actuals!CM84)</f>
        <v>-921.34162926036</v>
      </c>
      <c r="CM171" s="22" t="n">
        <f aca="false">IF(ISBLANK(Actuals!CN84),-Helpers!CK5*Assumptions!$B$20,Actuals!CN84)</f>
        <v>-921.34162926036</v>
      </c>
      <c r="CN171" s="22" t="n">
        <f aca="false">IF(ISBLANK(Actuals!CO84),-Helpers!CL5*Assumptions!$B$20,Actuals!CO84)</f>
        <v>-921.34162926036</v>
      </c>
      <c r="CO171" s="22" t="n">
        <f aca="false">IF(ISBLANK(Actuals!CP84),-Helpers!CM5*Assumptions!$B$20,Actuals!CP84)</f>
        <v>-921.34162926036</v>
      </c>
      <c r="CP171" s="22" t="n">
        <f aca="false">IF(ISBLANK(Actuals!CQ84),-Helpers!CN5*Assumptions!$B$20,Actuals!CQ84)</f>
        <v>-921.34162926036</v>
      </c>
      <c r="CQ171" s="22" t="n">
        <f aca="false">IF(ISBLANK(Actuals!CR84),-Helpers!CO5*Assumptions!$B$20,Actuals!CR84)</f>
        <v>-921.34162926036</v>
      </c>
      <c r="CR171" s="22" t="n">
        <f aca="false">IF(ISBLANK(Actuals!CS84),-Helpers!CP5*Assumptions!$B$20,Actuals!CS84)</f>
        <v>-921.34162926036</v>
      </c>
      <c r="CS171" s="22" t="n">
        <f aca="false">IF(ISBLANK(Actuals!CT84),-Helpers!CQ5*Assumptions!$B$20,Actuals!CT84)</f>
        <v>-921.34162926036</v>
      </c>
      <c r="CT171" s="22" t="n">
        <f aca="false">IF(ISBLANK(Actuals!CU84),-Helpers!CR5*Assumptions!$B$20,Actuals!CU84)</f>
        <v>-0</v>
      </c>
      <c r="CU171" s="22" t="n">
        <f aca="false">IF(ISBLANK(Actuals!CV84),-Helpers!CS5*Assumptions!$B$20,Actuals!CV84)</f>
        <v>-0</v>
      </c>
      <c r="CV171" s="22" t="n">
        <f aca="false">IF(ISBLANK(Actuals!CW84),-Helpers!CT5*Assumptions!$B$20,Actuals!CW84)</f>
        <v>-0</v>
      </c>
      <c r="CW171" s="22" t="n">
        <f aca="false">IF(ISBLANK(Actuals!CX84),-Helpers!CU5*Assumptions!$B$20,Actuals!CX84)</f>
        <v>-0</v>
      </c>
      <c r="CX171" s="22" t="n">
        <f aca="false">IF(ISBLANK(Actuals!CY84),-Helpers!CV5*Assumptions!$B$20,Actuals!CY84)</f>
        <v>-0</v>
      </c>
      <c r="CY171" s="22" t="n">
        <f aca="false">IF(ISBLANK(Actuals!CZ84),-Helpers!CW5*Assumptions!$B$20,Actuals!CZ84)</f>
        <v>-0</v>
      </c>
      <c r="CZ171" s="22" t="n">
        <f aca="false">IF(ISBLANK(Actuals!DA84),-Helpers!CX5*Assumptions!$B$20,Actuals!DA84)</f>
        <v>-0</v>
      </c>
      <c r="DA171" s="22" t="n">
        <f aca="false">IF(ISBLANK(Actuals!DB84),-Helpers!CY5*Assumptions!$B$20,Actuals!DB84)</f>
        <v>-0</v>
      </c>
      <c r="DB171" s="22" t="n">
        <f aca="false">IF(ISBLANK(Actuals!DC84),-Helpers!CZ5*Assumptions!$B$20,Actuals!DC84)</f>
        <v>-0</v>
      </c>
      <c r="DC171" s="22" t="n">
        <f aca="false">IF(ISBLANK(Actuals!DD84),-Helpers!DA5*Assumptions!$B$20,Actuals!DD84)</f>
        <v>-0</v>
      </c>
      <c r="DD171" s="22" t="n">
        <f aca="false">IF(ISBLANK(Actuals!DE84),-Helpers!DB5*Assumptions!$B$20,Actuals!DE84)</f>
        <v>-0</v>
      </c>
      <c r="DE171" s="22" t="n">
        <f aca="false">IF(ISBLANK(Actuals!DF84),-Helpers!DC5*Assumptions!$B$20,Actuals!DF84)</f>
        <v>-0</v>
      </c>
    </row>
    <row r="172" customFormat="false" ht="15" hidden="false" customHeight="true" outlineLevel="0" collapsed="false">
      <c r="A172" s="44" t="s">
        <v>63</v>
      </c>
      <c r="B172" s="22" t="n">
        <f aca="false">IF(ISBLANK(Actuals!C85),0,Actuals!C85)</f>
        <v>-12137.77</v>
      </c>
      <c r="C172" s="22" t="n">
        <f aca="false">IF(ISBLANK(Actuals!D85),0,Actuals!D85)</f>
        <v>-12137.78</v>
      </c>
      <c r="D172" s="22" t="n">
        <f aca="false">IF(ISBLANK(Actuals!E85),0,Actuals!E85)</f>
        <v>-12137.78</v>
      </c>
      <c r="E172" s="22" t="n">
        <f aca="false">IF(ISBLANK(Actuals!F85),-Helpers!C5*Assumptions!$B$22,Actuals!F85)</f>
        <v>-12137.78</v>
      </c>
      <c r="F172" s="22" t="n">
        <f aca="false">IF(ISBLANK(Actuals!G85),-Helpers!D5*Assumptions!$B$22,Actuals!G85)</f>
        <v>-12137.78</v>
      </c>
      <c r="G172" s="22" t="n">
        <f aca="false">IF(ISBLANK(Actuals!H85),-Helpers!E5*Assumptions!$B$22,Actuals!H85)</f>
        <v>-12137.78</v>
      </c>
      <c r="H172" s="22" t="n">
        <f aca="false">IF(ISBLANK(Actuals!I85),-Helpers!F5*Assumptions!$B$22,Actuals!I85)</f>
        <v>-572.916666666667</v>
      </c>
      <c r="I172" s="22" t="n">
        <f aca="false">IF(ISBLANK(Actuals!J85),-Helpers!G5*Assumptions!$B$22,Actuals!J85)</f>
        <v>-572.916666666667</v>
      </c>
      <c r="J172" s="22" t="n">
        <f aca="false">IF(ISBLANK(Actuals!K85),-Helpers!H5*Assumptions!$B$22,Actuals!K85)</f>
        <v>-572.916666666667</v>
      </c>
      <c r="K172" s="22" t="n">
        <f aca="false">IF(ISBLANK(Actuals!L85),-Helpers!I5*Assumptions!$B$22,Actuals!L85)</f>
        <v>-572.916666666667</v>
      </c>
      <c r="L172" s="22" t="n">
        <f aca="false">IF(ISBLANK(Actuals!M85),-Helpers!J5*Assumptions!$B$22,Actuals!M85)</f>
        <v>-572.916666666667</v>
      </c>
      <c r="M172" s="22" t="n">
        <f aca="false">IF(ISBLANK(Actuals!N85),-Helpers!K5*Assumptions!$B$22,Actuals!N85)</f>
        <v>-572.916666666667</v>
      </c>
      <c r="N172" s="22" t="n">
        <f aca="false">IF(ISBLANK(Actuals!O85),-Helpers!L5*Assumptions!$B$22,Actuals!O85)</f>
        <v>-572.916666666667</v>
      </c>
      <c r="O172" s="22" t="n">
        <f aca="false">IF(ISBLANK(Actuals!P85),-Helpers!M5*Assumptions!$B$22,Actuals!P85)</f>
        <v>-572.916666666667</v>
      </c>
      <c r="P172" s="22" t="n">
        <f aca="false">IF(ISBLANK(Actuals!Q85),-Helpers!N5*Assumptions!$B$22,Actuals!Q85)</f>
        <v>-572.916666666667</v>
      </c>
      <c r="Q172" s="22" t="n">
        <f aca="false">IF(ISBLANK(Actuals!R85),-Helpers!O5*Assumptions!$B$22,Actuals!R85)</f>
        <v>-584.375</v>
      </c>
      <c r="R172" s="22" t="n">
        <f aca="false">IF(ISBLANK(Actuals!S85),-Helpers!P5*Assumptions!$B$22,Actuals!S85)</f>
        <v>-584.375</v>
      </c>
      <c r="S172" s="22" t="n">
        <f aca="false">IF(ISBLANK(Actuals!T85),-Helpers!Q5*Assumptions!$B$22,Actuals!T85)</f>
        <v>-584.375</v>
      </c>
      <c r="T172" s="22" t="n">
        <f aca="false">IF(ISBLANK(Actuals!U85),-Helpers!R5*Assumptions!$B$22,Actuals!U85)</f>
        <v>-584.375</v>
      </c>
      <c r="U172" s="22" t="n">
        <f aca="false">IF(ISBLANK(Actuals!V85),-Helpers!S5*Assumptions!$B$22,Actuals!V85)</f>
        <v>-584.375</v>
      </c>
      <c r="V172" s="22" t="n">
        <f aca="false">IF(ISBLANK(Actuals!W85),-Helpers!T5*Assumptions!$B$22,Actuals!W85)</f>
        <v>-584.375</v>
      </c>
      <c r="W172" s="22" t="n">
        <f aca="false">IF(ISBLANK(Actuals!X85),-Helpers!U5*Assumptions!$B$22,Actuals!X85)</f>
        <v>-584.375</v>
      </c>
      <c r="X172" s="22" t="n">
        <f aca="false">IF(ISBLANK(Actuals!Y85),-Helpers!V5*Assumptions!$B$22,Actuals!Y85)</f>
        <v>-584.375</v>
      </c>
      <c r="Y172" s="22" t="n">
        <f aca="false">IF(ISBLANK(Actuals!Z85),-Helpers!W5*Assumptions!$B$22,Actuals!Z85)</f>
        <v>-584.375</v>
      </c>
      <c r="Z172" s="22" t="n">
        <f aca="false">IF(ISBLANK(Actuals!AA85),-Helpers!X5*Assumptions!$B$22,Actuals!AA85)</f>
        <v>-584.375</v>
      </c>
      <c r="AA172" s="22" t="n">
        <f aca="false">IF(ISBLANK(Actuals!AB85),-Helpers!Y5*Assumptions!$B$22,Actuals!AB85)</f>
        <v>-584.375</v>
      </c>
      <c r="AB172" s="22" t="n">
        <f aca="false">IF(ISBLANK(Actuals!AC85),-Helpers!Z5*Assumptions!$B$22,Actuals!AC85)</f>
        <v>-584.375</v>
      </c>
      <c r="AC172" s="22" t="n">
        <f aca="false">IF(ISBLANK(Actuals!AD85),-Helpers!AA5*Assumptions!$B$22,Actuals!AD85)</f>
        <v>-596.0625</v>
      </c>
      <c r="AD172" s="22" t="n">
        <f aca="false">IF(ISBLANK(Actuals!AE85),-Helpers!AB5*Assumptions!$B$22,Actuals!AE85)</f>
        <v>-596.0625</v>
      </c>
      <c r="AE172" s="22" t="n">
        <f aca="false">IF(ISBLANK(Actuals!AF85),-Helpers!AC5*Assumptions!$B$22,Actuals!AF85)</f>
        <v>-596.0625</v>
      </c>
      <c r="AF172" s="22" t="n">
        <f aca="false">IF(ISBLANK(Actuals!AG85),-Helpers!AD5*Assumptions!$B$22,Actuals!AG85)</f>
        <v>-596.0625</v>
      </c>
      <c r="AG172" s="22" t="n">
        <f aca="false">IF(ISBLANK(Actuals!AH85),-Helpers!AE5*Assumptions!$B$22,Actuals!AH85)</f>
        <v>-596.0625</v>
      </c>
      <c r="AH172" s="22" t="n">
        <f aca="false">IF(ISBLANK(Actuals!AI85),-Helpers!AF5*Assumptions!$B$22,Actuals!AI85)</f>
        <v>-596.0625</v>
      </c>
      <c r="AI172" s="22" t="n">
        <f aca="false">IF(ISBLANK(Actuals!AJ85),-Helpers!AG5*Assumptions!$B$22,Actuals!AJ85)</f>
        <v>-596.0625</v>
      </c>
      <c r="AJ172" s="22" t="n">
        <f aca="false">IF(ISBLANK(Actuals!AK85),-Helpers!AH5*Assumptions!$B$22,Actuals!AK85)</f>
        <v>-596.0625</v>
      </c>
      <c r="AK172" s="22" t="n">
        <f aca="false">IF(ISBLANK(Actuals!AL85),-Helpers!AI5*Assumptions!$B$22,Actuals!AL85)</f>
        <v>-596.0625</v>
      </c>
      <c r="AL172" s="22" t="n">
        <f aca="false">IF(ISBLANK(Actuals!AM85),-Helpers!AJ5*Assumptions!$B$22,Actuals!AM85)</f>
        <v>-596.0625</v>
      </c>
      <c r="AM172" s="22" t="n">
        <f aca="false">IF(ISBLANK(Actuals!AN85),-Helpers!AK5*Assumptions!$B$22,Actuals!AN85)</f>
        <v>-596.0625</v>
      </c>
      <c r="AN172" s="22" t="n">
        <f aca="false">IF(ISBLANK(Actuals!AO85),-Helpers!AL5*Assumptions!$B$22,Actuals!AO85)</f>
        <v>-596.0625</v>
      </c>
      <c r="AO172" s="22" t="n">
        <f aca="false">IF(ISBLANK(Actuals!AP85),-Helpers!AM5*Assumptions!$B$22,Actuals!AP85)</f>
        <v>-607.98375</v>
      </c>
      <c r="AP172" s="22" t="n">
        <f aca="false">IF(ISBLANK(Actuals!AQ85),-Helpers!AN5*Assumptions!$B$22,Actuals!AQ85)</f>
        <v>-607.98375</v>
      </c>
      <c r="AQ172" s="22" t="n">
        <f aca="false">IF(ISBLANK(Actuals!AR85),-Helpers!AO5*Assumptions!$B$22,Actuals!AR85)</f>
        <v>-607.98375</v>
      </c>
      <c r="AR172" s="22" t="n">
        <f aca="false">IF(ISBLANK(Actuals!AS85),-Helpers!AP5*Assumptions!$B$22,Actuals!AS85)</f>
        <v>-607.98375</v>
      </c>
      <c r="AS172" s="22" t="n">
        <f aca="false">IF(ISBLANK(Actuals!AT85),-Helpers!AQ5*Assumptions!$B$22,Actuals!AT85)</f>
        <v>-607.98375</v>
      </c>
      <c r="AT172" s="22" t="n">
        <f aca="false">IF(ISBLANK(Actuals!AU85),-Helpers!AR5*Assumptions!$B$22,Actuals!AU85)</f>
        <v>-607.98375</v>
      </c>
      <c r="AU172" s="22" t="n">
        <f aca="false">IF(ISBLANK(Actuals!AV85),-Helpers!AS5*Assumptions!$B$22,Actuals!AV85)</f>
        <v>-607.98375</v>
      </c>
      <c r="AV172" s="22" t="n">
        <f aca="false">IF(ISBLANK(Actuals!AW85),-Helpers!AT5*Assumptions!$B$22,Actuals!AW85)</f>
        <v>-607.98375</v>
      </c>
      <c r="AW172" s="22" t="n">
        <f aca="false">IF(ISBLANK(Actuals!AX85),-Helpers!AU5*Assumptions!$B$22,Actuals!AX85)</f>
        <v>-607.98375</v>
      </c>
      <c r="AX172" s="22" t="n">
        <f aca="false">IF(ISBLANK(Actuals!AY85),-Helpers!AV5*Assumptions!$B$22,Actuals!AY85)</f>
        <v>-607.98375</v>
      </c>
      <c r="AY172" s="22" t="n">
        <f aca="false">IF(ISBLANK(Actuals!AZ85),-Helpers!AW5*Assumptions!$B$22,Actuals!AZ85)</f>
        <v>-607.98375</v>
      </c>
      <c r="AZ172" s="22" t="n">
        <f aca="false">IF(ISBLANK(Actuals!BA85),-Helpers!AX5*Assumptions!$B$22,Actuals!BA85)</f>
        <v>-607.98375</v>
      </c>
      <c r="BA172" s="22" t="n">
        <f aca="false">IF(ISBLANK(Actuals!BB85),-Helpers!AY5*Assumptions!$B$22,Actuals!BB85)</f>
        <v>-620.143425</v>
      </c>
      <c r="BB172" s="22" t="n">
        <f aca="false">IF(ISBLANK(Actuals!BC85),-Helpers!AZ5*Assumptions!$B$22,Actuals!BC85)</f>
        <v>-620.143425</v>
      </c>
      <c r="BC172" s="22" t="n">
        <f aca="false">IF(ISBLANK(Actuals!BD85),-Helpers!BA5*Assumptions!$B$22,Actuals!BD85)</f>
        <v>-620.143425</v>
      </c>
      <c r="BD172" s="22" t="n">
        <f aca="false">IF(ISBLANK(Actuals!BE85),-Helpers!BB5*Assumptions!$B$22,Actuals!BE85)</f>
        <v>-620.143425</v>
      </c>
      <c r="BE172" s="22" t="n">
        <f aca="false">IF(ISBLANK(Actuals!BF85),-Helpers!BC5*Assumptions!$B$22,Actuals!BF85)</f>
        <v>-620.143425</v>
      </c>
      <c r="BF172" s="22" t="n">
        <f aca="false">IF(ISBLANK(Actuals!BG85),-Helpers!BD5*Assumptions!$B$22,Actuals!BG85)</f>
        <v>-620.143425</v>
      </c>
      <c r="BG172" s="22" t="n">
        <f aca="false">IF(ISBLANK(Actuals!BH85),-Helpers!BE5*Assumptions!$B$22,Actuals!BH85)</f>
        <v>-620.143425</v>
      </c>
      <c r="BH172" s="22" t="n">
        <f aca="false">IF(ISBLANK(Actuals!BI85),-Helpers!BF5*Assumptions!$B$22,Actuals!BI85)</f>
        <v>-620.143425</v>
      </c>
      <c r="BI172" s="22" t="n">
        <f aca="false">IF(ISBLANK(Actuals!BJ85),-Helpers!BG5*Assumptions!$B$22,Actuals!BJ85)</f>
        <v>-620.143425</v>
      </c>
      <c r="BJ172" s="22" t="n">
        <f aca="false">IF(ISBLANK(Actuals!BK85),-Helpers!BH5*Assumptions!$B$22,Actuals!BK85)</f>
        <v>-620.143425</v>
      </c>
      <c r="BK172" s="22" t="n">
        <f aca="false">IF(ISBLANK(Actuals!BL85),-Helpers!BI5*Assumptions!$B$22,Actuals!BL85)</f>
        <v>-620.143425</v>
      </c>
      <c r="BL172" s="22" t="n">
        <f aca="false">IF(ISBLANK(Actuals!BM85),-Helpers!BJ5*Assumptions!$B$22,Actuals!BM85)</f>
        <v>-620.143425</v>
      </c>
      <c r="BM172" s="22" t="n">
        <f aca="false">IF(ISBLANK(Actuals!BN85),-Helpers!BK5*Assumptions!$B$22,Actuals!BN85)</f>
        <v>-632.5462935</v>
      </c>
      <c r="BN172" s="22" t="n">
        <f aca="false">IF(ISBLANK(Actuals!BO85),-Helpers!BL5*Assumptions!$B$22,Actuals!BO85)</f>
        <v>-632.5462935</v>
      </c>
      <c r="BO172" s="22" t="n">
        <f aca="false">IF(ISBLANK(Actuals!BP85),-Helpers!BM5*Assumptions!$B$22,Actuals!BP85)</f>
        <v>-632.5462935</v>
      </c>
      <c r="BP172" s="22" t="n">
        <f aca="false">IF(ISBLANK(Actuals!BQ85),-Helpers!BN5*Assumptions!$B$22,Actuals!BQ85)</f>
        <v>-632.5462935</v>
      </c>
      <c r="BQ172" s="22" t="n">
        <f aca="false">IF(ISBLANK(Actuals!BR85),-Helpers!BO5*Assumptions!$B$22,Actuals!BR85)</f>
        <v>-632.5462935</v>
      </c>
      <c r="BR172" s="22" t="n">
        <f aca="false">IF(ISBLANK(Actuals!BS85),-Helpers!BP5*Assumptions!$B$22,Actuals!BS85)</f>
        <v>-632.5462935</v>
      </c>
      <c r="BS172" s="22" t="n">
        <f aca="false">IF(ISBLANK(Actuals!BT85),-Helpers!BQ5*Assumptions!$B$22,Actuals!BT85)</f>
        <v>-632.5462935</v>
      </c>
      <c r="BT172" s="22" t="n">
        <f aca="false">IF(ISBLANK(Actuals!BU85),-Helpers!BR5*Assumptions!$B$22,Actuals!BU85)</f>
        <v>-632.5462935</v>
      </c>
      <c r="BU172" s="22" t="n">
        <f aca="false">IF(ISBLANK(Actuals!BV85),-Helpers!BS5*Assumptions!$B$22,Actuals!BV85)</f>
        <v>-632.5462935</v>
      </c>
      <c r="BV172" s="22" t="n">
        <f aca="false">IF(ISBLANK(Actuals!BW85),-Helpers!BT5*Assumptions!$B$22,Actuals!BW85)</f>
        <v>-632.5462935</v>
      </c>
      <c r="BW172" s="22" t="n">
        <f aca="false">IF(ISBLANK(Actuals!BX85),-Helpers!BU5*Assumptions!$B$22,Actuals!BX85)</f>
        <v>-632.5462935</v>
      </c>
      <c r="BX172" s="22" t="n">
        <f aca="false">IF(ISBLANK(Actuals!BY85),-Helpers!BV5*Assumptions!$B$22,Actuals!BY85)</f>
        <v>-632.5462935</v>
      </c>
      <c r="BY172" s="22" t="n">
        <f aca="false">IF(ISBLANK(Actuals!BZ85),-Helpers!BW5*Assumptions!$B$22,Actuals!BZ85)</f>
        <v>-645.19721937</v>
      </c>
      <c r="BZ172" s="22" t="n">
        <f aca="false">IF(ISBLANK(Actuals!CA85),-Helpers!BX5*Assumptions!$B$22,Actuals!CA85)</f>
        <v>-645.19721937</v>
      </c>
      <c r="CA172" s="22" t="n">
        <f aca="false">IF(ISBLANK(Actuals!CB85),-Helpers!BY5*Assumptions!$B$22,Actuals!CB85)</f>
        <v>-645.19721937</v>
      </c>
      <c r="CB172" s="22" t="n">
        <f aca="false">IF(ISBLANK(Actuals!CC85),-Helpers!BZ5*Assumptions!$B$22,Actuals!CC85)</f>
        <v>-645.19721937</v>
      </c>
      <c r="CC172" s="22" t="n">
        <f aca="false">IF(ISBLANK(Actuals!CD85),-Helpers!CA5*Assumptions!$B$22,Actuals!CD85)</f>
        <v>-645.19721937</v>
      </c>
      <c r="CD172" s="22" t="n">
        <f aca="false">IF(ISBLANK(Actuals!CE85),-Helpers!CB5*Assumptions!$B$22,Actuals!CE85)</f>
        <v>-645.19721937</v>
      </c>
      <c r="CE172" s="22" t="n">
        <f aca="false">IF(ISBLANK(Actuals!CF85),-Helpers!CC5*Assumptions!$B$22,Actuals!CF85)</f>
        <v>-645.19721937</v>
      </c>
      <c r="CF172" s="22" t="n">
        <f aca="false">IF(ISBLANK(Actuals!CG85),-Helpers!CD5*Assumptions!$B$22,Actuals!CG85)</f>
        <v>-645.19721937</v>
      </c>
      <c r="CG172" s="22" t="n">
        <f aca="false">IF(ISBLANK(Actuals!CH85),-Helpers!CE5*Assumptions!$B$22,Actuals!CH85)</f>
        <v>-645.19721937</v>
      </c>
      <c r="CH172" s="22" t="n">
        <f aca="false">IF(ISBLANK(Actuals!CI85),-Helpers!CF5*Assumptions!$B$22,Actuals!CI85)</f>
        <v>-645.19721937</v>
      </c>
      <c r="CI172" s="22" t="n">
        <f aca="false">IF(ISBLANK(Actuals!CJ85),-Helpers!CG5*Assumptions!$B$22,Actuals!CJ85)</f>
        <v>-645.19721937</v>
      </c>
      <c r="CJ172" s="22" t="n">
        <f aca="false">IF(ISBLANK(Actuals!CK85),-Helpers!CH5*Assumptions!$B$22,Actuals!CK85)</f>
        <v>-645.19721937</v>
      </c>
      <c r="CK172" s="22" t="n">
        <f aca="false">IF(ISBLANK(Actuals!CL85),-Helpers!CI5*Assumptions!$B$22,Actuals!CL85)</f>
        <v>-658.1011637574</v>
      </c>
      <c r="CL172" s="22" t="n">
        <f aca="false">IF(ISBLANK(Actuals!CM85),-Helpers!CJ5*Assumptions!$B$22,Actuals!CM85)</f>
        <v>-658.1011637574</v>
      </c>
      <c r="CM172" s="22" t="n">
        <f aca="false">IF(ISBLANK(Actuals!CN85),-Helpers!CK5*Assumptions!$B$22,Actuals!CN85)</f>
        <v>-658.1011637574</v>
      </c>
      <c r="CN172" s="22" t="n">
        <f aca="false">IF(ISBLANK(Actuals!CO85),-Helpers!CL5*Assumptions!$B$22,Actuals!CO85)</f>
        <v>-658.1011637574</v>
      </c>
      <c r="CO172" s="22" t="n">
        <f aca="false">IF(ISBLANK(Actuals!CP85),-Helpers!CM5*Assumptions!$B$22,Actuals!CP85)</f>
        <v>-658.1011637574</v>
      </c>
      <c r="CP172" s="22" t="n">
        <f aca="false">IF(ISBLANK(Actuals!CQ85),-Helpers!CN5*Assumptions!$B$22,Actuals!CQ85)</f>
        <v>-658.1011637574</v>
      </c>
      <c r="CQ172" s="22" t="n">
        <f aca="false">IF(ISBLANK(Actuals!CR85),-Helpers!CO5*Assumptions!$B$22,Actuals!CR85)</f>
        <v>-658.1011637574</v>
      </c>
      <c r="CR172" s="22" t="n">
        <f aca="false">IF(ISBLANK(Actuals!CS85),-Helpers!CP5*Assumptions!$B$22,Actuals!CS85)</f>
        <v>-658.1011637574</v>
      </c>
      <c r="CS172" s="22" t="n">
        <f aca="false">IF(ISBLANK(Actuals!CT85),-Helpers!CQ5*Assumptions!$B$22,Actuals!CT85)</f>
        <v>-658.1011637574</v>
      </c>
      <c r="CT172" s="22" t="n">
        <f aca="false">IF(ISBLANK(Actuals!CU85),-Helpers!CR5*Assumptions!$B$22,Actuals!CU85)</f>
        <v>-0</v>
      </c>
      <c r="CU172" s="22" t="n">
        <f aca="false">IF(ISBLANK(Actuals!CV85),-Helpers!CS5*Assumptions!$B$22,Actuals!CV85)</f>
        <v>-0</v>
      </c>
      <c r="CV172" s="22" t="n">
        <f aca="false">IF(ISBLANK(Actuals!CW85),-Helpers!CT5*Assumptions!$B$22,Actuals!CW85)</f>
        <v>-0</v>
      </c>
      <c r="CW172" s="22" t="n">
        <f aca="false">IF(ISBLANK(Actuals!CX85),-Helpers!CU5*Assumptions!$B$22,Actuals!CX85)</f>
        <v>-0</v>
      </c>
      <c r="CX172" s="22" t="n">
        <f aca="false">IF(ISBLANK(Actuals!CY85),-Helpers!CV5*Assumptions!$B$22,Actuals!CY85)</f>
        <v>-0</v>
      </c>
      <c r="CY172" s="22" t="n">
        <f aca="false">IF(ISBLANK(Actuals!CZ85),-Helpers!CW5*Assumptions!$B$22,Actuals!CZ85)</f>
        <v>-0</v>
      </c>
      <c r="CZ172" s="22" t="n">
        <f aca="false">IF(ISBLANK(Actuals!DA85),-Helpers!CX5*Assumptions!$B$22,Actuals!DA85)</f>
        <v>-0</v>
      </c>
      <c r="DA172" s="22" t="n">
        <f aca="false">IF(ISBLANK(Actuals!DB85),-Helpers!CY5*Assumptions!$B$22,Actuals!DB85)</f>
        <v>-0</v>
      </c>
      <c r="DB172" s="22" t="n">
        <f aca="false">IF(ISBLANK(Actuals!DC85),-Helpers!CZ5*Assumptions!$B$22,Actuals!DC85)</f>
        <v>-0</v>
      </c>
      <c r="DC172" s="22" t="n">
        <f aca="false">IF(ISBLANK(Actuals!DD85),-Helpers!DA5*Assumptions!$B$22,Actuals!DD85)</f>
        <v>-0</v>
      </c>
      <c r="DD172" s="22" t="n">
        <f aca="false">IF(ISBLANK(Actuals!DE85),-Helpers!DB5*Assumptions!$B$22,Actuals!DE85)</f>
        <v>-0</v>
      </c>
      <c r="DE172" s="22" t="n">
        <f aca="false">IF(ISBLANK(Actuals!DF85),-Helpers!DC5*Assumptions!$B$22,Actuals!DF85)</f>
        <v>-0</v>
      </c>
    </row>
    <row r="173" customFormat="false" ht="15" hidden="false" customHeight="true" outlineLevel="0" collapsed="false">
      <c r="A173" s="44" t="s">
        <v>64</v>
      </c>
      <c r="B173" s="22" t="n">
        <f aca="false">IF(ISBLANK(Actuals!C86),0,Actuals!C86)</f>
        <v>-475.76</v>
      </c>
      <c r="C173" s="22" t="n">
        <f aca="false">IF(ISBLANK(Actuals!D86),0,Actuals!D86)</f>
        <v>-475.76</v>
      </c>
      <c r="D173" s="22" t="n">
        <f aca="false">IF(ISBLANK(Actuals!E86),0,Actuals!E86)</f>
        <v>-475.76</v>
      </c>
      <c r="E173" s="22" t="n">
        <f aca="false">IF(ISBLANK(Actuals!F86),-Helpers!C5*Assumptions!$B$23,Actuals!F86)</f>
        <v>-475.76</v>
      </c>
      <c r="F173" s="22" t="n">
        <f aca="false">IF(ISBLANK(Actuals!G86),-Helpers!D5*Assumptions!$B$23,Actuals!G86)</f>
        <v>-475.76</v>
      </c>
      <c r="G173" s="22" t="n">
        <f aca="false">IF(ISBLANK(Actuals!H86),-Helpers!E5*Assumptions!$B$23,Actuals!H86)</f>
        <v>-475.76</v>
      </c>
      <c r="H173" s="22" t="n">
        <f aca="false">IF(ISBLANK(Actuals!I86),-Helpers!F5*Assumptions!$B$23,Actuals!I86)</f>
        <v>-229.166666666667</v>
      </c>
      <c r="I173" s="22" t="n">
        <f aca="false">IF(ISBLANK(Actuals!J86),-Helpers!G5*Assumptions!$B$23,Actuals!J86)</f>
        <v>-229.166666666667</v>
      </c>
      <c r="J173" s="22" t="n">
        <f aca="false">IF(ISBLANK(Actuals!K86),-Helpers!H5*Assumptions!$B$23,Actuals!K86)</f>
        <v>-229.166666666667</v>
      </c>
      <c r="K173" s="22" t="n">
        <f aca="false">IF(ISBLANK(Actuals!L86),-Helpers!I5*Assumptions!$B$23,Actuals!L86)</f>
        <v>-229.166666666667</v>
      </c>
      <c r="L173" s="22" t="n">
        <f aca="false">IF(ISBLANK(Actuals!M86),-Helpers!J5*Assumptions!$B$23,Actuals!M86)</f>
        <v>-229.166666666667</v>
      </c>
      <c r="M173" s="22" t="n">
        <f aca="false">IF(ISBLANK(Actuals!N86),-Helpers!K5*Assumptions!$B$23,Actuals!N86)</f>
        <v>-229.166666666667</v>
      </c>
      <c r="N173" s="22" t="n">
        <f aca="false">IF(ISBLANK(Actuals!O86),-Helpers!L5*Assumptions!$B$23,Actuals!O86)</f>
        <v>-229.166666666667</v>
      </c>
      <c r="O173" s="22" t="n">
        <f aca="false">IF(ISBLANK(Actuals!P86),-Helpers!M5*Assumptions!$B$23,Actuals!P86)</f>
        <v>-229.166666666667</v>
      </c>
      <c r="P173" s="22" t="n">
        <f aca="false">IF(ISBLANK(Actuals!Q86),-Helpers!N5*Assumptions!$B$23,Actuals!Q86)</f>
        <v>-229.166666666667</v>
      </c>
      <c r="Q173" s="22" t="n">
        <f aca="false">IF(ISBLANK(Actuals!R86),-Helpers!O5*Assumptions!$B$23,Actuals!R86)</f>
        <v>-233.75</v>
      </c>
      <c r="R173" s="22" t="n">
        <f aca="false">IF(ISBLANK(Actuals!S86),-Helpers!P5*Assumptions!$B$23,Actuals!S86)</f>
        <v>-233.75</v>
      </c>
      <c r="S173" s="22" t="n">
        <f aca="false">IF(ISBLANK(Actuals!T86),-Helpers!Q5*Assumptions!$B$23,Actuals!T86)</f>
        <v>-233.75</v>
      </c>
      <c r="T173" s="22" t="n">
        <f aca="false">IF(ISBLANK(Actuals!U86),-Helpers!R5*Assumptions!$B$23,Actuals!U86)</f>
        <v>-233.75</v>
      </c>
      <c r="U173" s="22" t="n">
        <f aca="false">IF(ISBLANK(Actuals!V86),-Helpers!S5*Assumptions!$B$23,Actuals!V86)</f>
        <v>-233.75</v>
      </c>
      <c r="V173" s="22" t="n">
        <f aca="false">IF(ISBLANK(Actuals!W86),-Helpers!T5*Assumptions!$B$23,Actuals!W86)</f>
        <v>-233.75</v>
      </c>
      <c r="W173" s="22" t="n">
        <f aca="false">IF(ISBLANK(Actuals!X86),-Helpers!U5*Assumptions!$B$23,Actuals!X86)</f>
        <v>-233.75</v>
      </c>
      <c r="X173" s="22" t="n">
        <f aca="false">IF(ISBLANK(Actuals!Y86),-Helpers!V5*Assumptions!$B$23,Actuals!Y86)</f>
        <v>-233.75</v>
      </c>
      <c r="Y173" s="22" t="n">
        <f aca="false">IF(ISBLANK(Actuals!Z86),-Helpers!W5*Assumptions!$B$23,Actuals!Z86)</f>
        <v>-233.75</v>
      </c>
      <c r="Z173" s="22" t="n">
        <f aca="false">IF(ISBLANK(Actuals!AA86),-Helpers!X5*Assumptions!$B$23,Actuals!AA86)</f>
        <v>-233.75</v>
      </c>
      <c r="AA173" s="22" t="n">
        <f aca="false">IF(ISBLANK(Actuals!AB86),-Helpers!Y5*Assumptions!$B$23,Actuals!AB86)</f>
        <v>-233.75</v>
      </c>
      <c r="AB173" s="22" t="n">
        <f aca="false">IF(ISBLANK(Actuals!AC86),-Helpers!Z5*Assumptions!$B$23,Actuals!AC86)</f>
        <v>-233.75</v>
      </c>
      <c r="AC173" s="22" t="n">
        <f aca="false">IF(ISBLANK(Actuals!AD86),-Helpers!AA5*Assumptions!$B$23,Actuals!AD86)</f>
        <v>-238.425</v>
      </c>
      <c r="AD173" s="22" t="n">
        <f aca="false">IF(ISBLANK(Actuals!AE86),-Helpers!AB5*Assumptions!$B$23,Actuals!AE86)</f>
        <v>-238.425</v>
      </c>
      <c r="AE173" s="22" t="n">
        <f aca="false">IF(ISBLANK(Actuals!AF86),-Helpers!AC5*Assumptions!$B$23,Actuals!AF86)</f>
        <v>-238.425</v>
      </c>
      <c r="AF173" s="22" t="n">
        <f aca="false">IF(ISBLANK(Actuals!AG86),-Helpers!AD5*Assumptions!$B$23,Actuals!AG86)</f>
        <v>-238.425</v>
      </c>
      <c r="AG173" s="22" t="n">
        <f aca="false">IF(ISBLANK(Actuals!AH86),-Helpers!AE5*Assumptions!$B$23,Actuals!AH86)</f>
        <v>-238.425</v>
      </c>
      <c r="AH173" s="22" t="n">
        <f aca="false">IF(ISBLANK(Actuals!AI86),-Helpers!AF5*Assumptions!$B$23,Actuals!AI86)</f>
        <v>-238.425</v>
      </c>
      <c r="AI173" s="22" t="n">
        <f aca="false">IF(ISBLANK(Actuals!AJ86),-Helpers!AG5*Assumptions!$B$23,Actuals!AJ86)</f>
        <v>-238.425</v>
      </c>
      <c r="AJ173" s="22" t="n">
        <f aca="false">IF(ISBLANK(Actuals!AK86),-Helpers!AH5*Assumptions!$B$23,Actuals!AK86)</f>
        <v>-238.425</v>
      </c>
      <c r="AK173" s="22" t="n">
        <f aca="false">IF(ISBLANK(Actuals!AL86),-Helpers!AI5*Assumptions!$B$23,Actuals!AL86)</f>
        <v>-238.425</v>
      </c>
      <c r="AL173" s="22" t="n">
        <f aca="false">IF(ISBLANK(Actuals!AM86),-Helpers!AJ5*Assumptions!$B$23,Actuals!AM86)</f>
        <v>-238.425</v>
      </c>
      <c r="AM173" s="22" t="n">
        <f aca="false">IF(ISBLANK(Actuals!AN86),-Helpers!AK5*Assumptions!$B$23,Actuals!AN86)</f>
        <v>-238.425</v>
      </c>
      <c r="AN173" s="22" t="n">
        <f aca="false">IF(ISBLANK(Actuals!AO86),-Helpers!AL5*Assumptions!$B$23,Actuals!AO86)</f>
        <v>-238.425</v>
      </c>
      <c r="AO173" s="22" t="n">
        <f aca="false">IF(ISBLANK(Actuals!AP86),-Helpers!AM5*Assumptions!$B$23,Actuals!AP86)</f>
        <v>-243.1935</v>
      </c>
      <c r="AP173" s="22" t="n">
        <f aca="false">IF(ISBLANK(Actuals!AQ86),-Helpers!AN5*Assumptions!$B$23,Actuals!AQ86)</f>
        <v>-243.1935</v>
      </c>
      <c r="AQ173" s="22" t="n">
        <f aca="false">IF(ISBLANK(Actuals!AR86),-Helpers!AO5*Assumptions!$B$23,Actuals!AR86)</f>
        <v>-243.1935</v>
      </c>
      <c r="AR173" s="22" t="n">
        <f aca="false">IF(ISBLANK(Actuals!AS86),-Helpers!AP5*Assumptions!$B$23,Actuals!AS86)</f>
        <v>-243.1935</v>
      </c>
      <c r="AS173" s="22" t="n">
        <f aca="false">IF(ISBLANK(Actuals!AT86),-Helpers!AQ5*Assumptions!$B$23,Actuals!AT86)</f>
        <v>-243.1935</v>
      </c>
      <c r="AT173" s="22" t="n">
        <f aca="false">IF(ISBLANK(Actuals!AU86),-Helpers!AR5*Assumptions!$B$23,Actuals!AU86)</f>
        <v>-243.1935</v>
      </c>
      <c r="AU173" s="22" t="n">
        <f aca="false">IF(ISBLANK(Actuals!AV86),-Helpers!AS5*Assumptions!$B$23,Actuals!AV86)</f>
        <v>-243.1935</v>
      </c>
      <c r="AV173" s="22" t="n">
        <f aca="false">IF(ISBLANK(Actuals!AW86),-Helpers!AT5*Assumptions!$B$23,Actuals!AW86)</f>
        <v>-243.1935</v>
      </c>
      <c r="AW173" s="22" t="n">
        <f aca="false">IF(ISBLANK(Actuals!AX86),-Helpers!AU5*Assumptions!$B$23,Actuals!AX86)</f>
        <v>-243.1935</v>
      </c>
      <c r="AX173" s="22" t="n">
        <f aca="false">IF(ISBLANK(Actuals!AY86),-Helpers!AV5*Assumptions!$B$23,Actuals!AY86)</f>
        <v>-243.1935</v>
      </c>
      <c r="AY173" s="22" t="n">
        <f aca="false">IF(ISBLANK(Actuals!AZ86),-Helpers!AW5*Assumptions!$B$23,Actuals!AZ86)</f>
        <v>-243.1935</v>
      </c>
      <c r="AZ173" s="22" t="n">
        <f aca="false">IF(ISBLANK(Actuals!BA86),-Helpers!AX5*Assumptions!$B$23,Actuals!BA86)</f>
        <v>-243.1935</v>
      </c>
      <c r="BA173" s="22" t="n">
        <f aca="false">IF(ISBLANK(Actuals!BB86),-Helpers!AY5*Assumptions!$B$23,Actuals!BB86)</f>
        <v>-248.05737</v>
      </c>
      <c r="BB173" s="22" t="n">
        <f aca="false">IF(ISBLANK(Actuals!BC86),-Helpers!AZ5*Assumptions!$B$23,Actuals!BC86)</f>
        <v>-248.05737</v>
      </c>
      <c r="BC173" s="22" t="n">
        <f aca="false">IF(ISBLANK(Actuals!BD86),-Helpers!BA5*Assumptions!$B$23,Actuals!BD86)</f>
        <v>-248.05737</v>
      </c>
      <c r="BD173" s="22" t="n">
        <f aca="false">IF(ISBLANK(Actuals!BE86),-Helpers!BB5*Assumptions!$B$23,Actuals!BE86)</f>
        <v>-248.05737</v>
      </c>
      <c r="BE173" s="22" t="n">
        <f aca="false">IF(ISBLANK(Actuals!BF86),-Helpers!BC5*Assumptions!$B$23,Actuals!BF86)</f>
        <v>-248.05737</v>
      </c>
      <c r="BF173" s="22" t="n">
        <f aca="false">IF(ISBLANK(Actuals!BG86),-Helpers!BD5*Assumptions!$B$23,Actuals!BG86)</f>
        <v>-248.05737</v>
      </c>
      <c r="BG173" s="22" t="n">
        <f aca="false">IF(ISBLANK(Actuals!BH86),-Helpers!BE5*Assumptions!$B$23,Actuals!BH86)</f>
        <v>-248.05737</v>
      </c>
      <c r="BH173" s="22" t="n">
        <f aca="false">IF(ISBLANK(Actuals!BI86),-Helpers!BF5*Assumptions!$B$23,Actuals!BI86)</f>
        <v>-248.05737</v>
      </c>
      <c r="BI173" s="22" t="n">
        <f aca="false">IF(ISBLANK(Actuals!BJ86),-Helpers!BG5*Assumptions!$B$23,Actuals!BJ86)</f>
        <v>-248.05737</v>
      </c>
      <c r="BJ173" s="22" t="n">
        <f aca="false">IF(ISBLANK(Actuals!BK86),-Helpers!BH5*Assumptions!$B$23,Actuals!BK86)</f>
        <v>-248.05737</v>
      </c>
      <c r="BK173" s="22" t="n">
        <f aca="false">IF(ISBLANK(Actuals!BL86),-Helpers!BI5*Assumptions!$B$23,Actuals!BL86)</f>
        <v>-248.05737</v>
      </c>
      <c r="BL173" s="22" t="n">
        <f aca="false">IF(ISBLANK(Actuals!BM86),-Helpers!BJ5*Assumptions!$B$23,Actuals!BM86)</f>
        <v>-248.05737</v>
      </c>
      <c r="BM173" s="22" t="n">
        <f aca="false">IF(ISBLANK(Actuals!BN86),-Helpers!BK5*Assumptions!$B$23,Actuals!BN86)</f>
        <v>-253.0185174</v>
      </c>
      <c r="BN173" s="22" t="n">
        <f aca="false">IF(ISBLANK(Actuals!BO86),-Helpers!BL5*Assumptions!$B$23,Actuals!BO86)</f>
        <v>-253.0185174</v>
      </c>
      <c r="BO173" s="22" t="n">
        <f aca="false">IF(ISBLANK(Actuals!BP86),-Helpers!BM5*Assumptions!$B$23,Actuals!BP86)</f>
        <v>-253.0185174</v>
      </c>
      <c r="BP173" s="22" t="n">
        <f aca="false">IF(ISBLANK(Actuals!BQ86),-Helpers!BN5*Assumptions!$B$23,Actuals!BQ86)</f>
        <v>-253.0185174</v>
      </c>
      <c r="BQ173" s="22" t="n">
        <f aca="false">IF(ISBLANK(Actuals!BR86),-Helpers!BO5*Assumptions!$B$23,Actuals!BR86)</f>
        <v>-253.0185174</v>
      </c>
      <c r="BR173" s="22" t="n">
        <f aca="false">IF(ISBLANK(Actuals!BS86),-Helpers!BP5*Assumptions!$B$23,Actuals!BS86)</f>
        <v>-253.0185174</v>
      </c>
      <c r="BS173" s="22" t="n">
        <f aca="false">IF(ISBLANK(Actuals!BT86),-Helpers!BQ5*Assumptions!$B$23,Actuals!BT86)</f>
        <v>-253.0185174</v>
      </c>
      <c r="BT173" s="22" t="n">
        <f aca="false">IF(ISBLANK(Actuals!BU86),-Helpers!BR5*Assumptions!$B$23,Actuals!BU86)</f>
        <v>-253.0185174</v>
      </c>
      <c r="BU173" s="22" t="n">
        <f aca="false">IF(ISBLANK(Actuals!BV86),-Helpers!BS5*Assumptions!$B$23,Actuals!BV86)</f>
        <v>-253.0185174</v>
      </c>
      <c r="BV173" s="22" t="n">
        <f aca="false">IF(ISBLANK(Actuals!BW86),-Helpers!BT5*Assumptions!$B$23,Actuals!BW86)</f>
        <v>-253.0185174</v>
      </c>
      <c r="BW173" s="22" t="n">
        <f aca="false">IF(ISBLANK(Actuals!BX86),-Helpers!BU5*Assumptions!$B$23,Actuals!BX86)</f>
        <v>-253.0185174</v>
      </c>
      <c r="BX173" s="22" t="n">
        <f aca="false">IF(ISBLANK(Actuals!BY86),-Helpers!BV5*Assumptions!$B$23,Actuals!BY86)</f>
        <v>-253.0185174</v>
      </c>
      <c r="BY173" s="22" t="n">
        <f aca="false">IF(ISBLANK(Actuals!BZ86),-Helpers!BW5*Assumptions!$B$23,Actuals!BZ86)</f>
        <v>-258.078887748</v>
      </c>
      <c r="BZ173" s="22" t="n">
        <f aca="false">IF(ISBLANK(Actuals!CA86),-Helpers!BX5*Assumptions!$B$23,Actuals!CA86)</f>
        <v>-258.078887748</v>
      </c>
      <c r="CA173" s="22" t="n">
        <f aca="false">IF(ISBLANK(Actuals!CB86),-Helpers!BY5*Assumptions!$B$23,Actuals!CB86)</f>
        <v>-258.078887748</v>
      </c>
      <c r="CB173" s="22" t="n">
        <f aca="false">IF(ISBLANK(Actuals!CC86),-Helpers!BZ5*Assumptions!$B$23,Actuals!CC86)</f>
        <v>-258.078887748</v>
      </c>
      <c r="CC173" s="22" t="n">
        <f aca="false">IF(ISBLANK(Actuals!CD86),-Helpers!CA5*Assumptions!$B$23,Actuals!CD86)</f>
        <v>-258.078887748</v>
      </c>
      <c r="CD173" s="22" t="n">
        <f aca="false">IF(ISBLANK(Actuals!CE86),-Helpers!CB5*Assumptions!$B$23,Actuals!CE86)</f>
        <v>-258.078887748</v>
      </c>
      <c r="CE173" s="22" t="n">
        <f aca="false">IF(ISBLANK(Actuals!CF86),-Helpers!CC5*Assumptions!$B$23,Actuals!CF86)</f>
        <v>-258.078887748</v>
      </c>
      <c r="CF173" s="22" t="n">
        <f aca="false">IF(ISBLANK(Actuals!CG86),-Helpers!CD5*Assumptions!$B$23,Actuals!CG86)</f>
        <v>-258.078887748</v>
      </c>
      <c r="CG173" s="22" t="n">
        <f aca="false">IF(ISBLANK(Actuals!CH86),-Helpers!CE5*Assumptions!$B$23,Actuals!CH86)</f>
        <v>-258.078887748</v>
      </c>
      <c r="CH173" s="22" t="n">
        <f aca="false">IF(ISBLANK(Actuals!CI86),-Helpers!CF5*Assumptions!$B$23,Actuals!CI86)</f>
        <v>-258.078887748</v>
      </c>
      <c r="CI173" s="22" t="n">
        <f aca="false">IF(ISBLANK(Actuals!CJ86),-Helpers!CG5*Assumptions!$B$23,Actuals!CJ86)</f>
        <v>-258.078887748</v>
      </c>
      <c r="CJ173" s="22" t="n">
        <f aca="false">IF(ISBLANK(Actuals!CK86),-Helpers!CH5*Assumptions!$B$23,Actuals!CK86)</f>
        <v>-258.078887748</v>
      </c>
      <c r="CK173" s="22" t="n">
        <f aca="false">IF(ISBLANK(Actuals!CL86),-Helpers!CI5*Assumptions!$B$23,Actuals!CL86)</f>
        <v>-263.24046550296</v>
      </c>
      <c r="CL173" s="22" t="n">
        <f aca="false">IF(ISBLANK(Actuals!CM86),-Helpers!CJ5*Assumptions!$B$23,Actuals!CM86)</f>
        <v>-263.24046550296</v>
      </c>
      <c r="CM173" s="22" t="n">
        <f aca="false">IF(ISBLANK(Actuals!CN86),-Helpers!CK5*Assumptions!$B$23,Actuals!CN86)</f>
        <v>-263.24046550296</v>
      </c>
      <c r="CN173" s="22" t="n">
        <f aca="false">IF(ISBLANK(Actuals!CO86),-Helpers!CL5*Assumptions!$B$23,Actuals!CO86)</f>
        <v>-263.24046550296</v>
      </c>
      <c r="CO173" s="22" t="n">
        <f aca="false">IF(ISBLANK(Actuals!CP86),-Helpers!CM5*Assumptions!$B$23,Actuals!CP86)</f>
        <v>-263.24046550296</v>
      </c>
      <c r="CP173" s="22" t="n">
        <f aca="false">IF(ISBLANK(Actuals!CQ86),-Helpers!CN5*Assumptions!$B$23,Actuals!CQ86)</f>
        <v>-263.24046550296</v>
      </c>
      <c r="CQ173" s="22" t="n">
        <f aca="false">IF(ISBLANK(Actuals!CR86),-Helpers!CO5*Assumptions!$B$23,Actuals!CR86)</f>
        <v>-263.24046550296</v>
      </c>
      <c r="CR173" s="22" t="n">
        <f aca="false">IF(ISBLANK(Actuals!CS86),-Helpers!CP5*Assumptions!$B$23,Actuals!CS86)</f>
        <v>-263.24046550296</v>
      </c>
      <c r="CS173" s="22" t="n">
        <f aca="false">IF(ISBLANK(Actuals!CT86),-Helpers!CQ5*Assumptions!$B$23,Actuals!CT86)</f>
        <v>-263.24046550296</v>
      </c>
      <c r="CT173" s="22" t="n">
        <f aca="false">IF(ISBLANK(Actuals!CU86),-Helpers!CR5*Assumptions!$B$23,Actuals!CU86)</f>
        <v>-0</v>
      </c>
      <c r="CU173" s="22" t="n">
        <f aca="false">IF(ISBLANK(Actuals!CV86),-Helpers!CS5*Assumptions!$B$23,Actuals!CV86)</f>
        <v>-0</v>
      </c>
      <c r="CV173" s="22" t="n">
        <f aca="false">IF(ISBLANK(Actuals!CW86),-Helpers!CT5*Assumptions!$B$23,Actuals!CW86)</f>
        <v>-0</v>
      </c>
      <c r="CW173" s="22" t="n">
        <f aca="false">IF(ISBLANK(Actuals!CX86),-Helpers!CU5*Assumptions!$B$23,Actuals!CX86)</f>
        <v>-0</v>
      </c>
      <c r="CX173" s="22" t="n">
        <f aca="false">IF(ISBLANK(Actuals!CY86),-Helpers!CV5*Assumptions!$B$23,Actuals!CY86)</f>
        <v>-0</v>
      </c>
      <c r="CY173" s="22" t="n">
        <f aca="false">IF(ISBLANK(Actuals!CZ86),-Helpers!CW5*Assumptions!$B$23,Actuals!CZ86)</f>
        <v>-0</v>
      </c>
      <c r="CZ173" s="22" t="n">
        <f aca="false">IF(ISBLANK(Actuals!DA86),-Helpers!CX5*Assumptions!$B$23,Actuals!DA86)</f>
        <v>-0</v>
      </c>
      <c r="DA173" s="22" t="n">
        <f aca="false">IF(ISBLANK(Actuals!DB86),-Helpers!CY5*Assumptions!$B$23,Actuals!DB86)</f>
        <v>-0</v>
      </c>
      <c r="DB173" s="22" t="n">
        <f aca="false">IF(ISBLANK(Actuals!DC86),-Helpers!CZ5*Assumptions!$B$23,Actuals!DC86)</f>
        <v>-0</v>
      </c>
      <c r="DC173" s="22" t="n">
        <f aca="false">IF(ISBLANK(Actuals!DD86),-Helpers!DA5*Assumptions!$B$23,Actuals!DD86)</f>
        <v>-0</v>
      </c>
      <c r="DD173" s="22" t="n">
        <f aca="false">IF(ISBLANK(Actuals!DE86),-Helpers!DB5*Assumptions!$B$23,Actuals!DE86)</f>
        <v>-0</v>
      </c>
      <c r="DE173" s="22" t="n">
        <f aca="false">IF(ISBLANK(Actuals!DF86),-Helpers!DC5*Assumptions!$B$23,Actuals!DF86)</f>
        <v>-0</v>
      </c>
    </row>
    <row r="174" customFormat="false" ht="15" hidden="false" customHeight="true" outlineLevel="0" collapsed="false">
      <c r="A174" s="44" t="s">
        <v>65</v>
      </c>
      <c r="B174" s="22" t="n">
        <f aca="false">IF(ISBLANK(Actuals!C87),0,Actuals!C87)</f>
        <v>-2200.12</v>
      </c>
      <c r="C174" s="22" t="n">
        <f aca="false">IF(ISBLANK(Actuals!D87),0,Actuals!D87)</f>
        <v>-2200.12</v>
      </c>
      <c r="D174" s="22" t="n">
        <f aca="false">IF(ISBLANK(Actuals!E87),0,Actuals!E87)</f>
        <v>-2200.12</v>
      </c>
      <c r="E174" s="22" t="n">
        <f aca="false">IF(ISBLANK(Actuals!F87),-Helpers!C5*Assumptions!$B$21,Actuals!F87)</f>
        <v>-2200.12</v>
      </c>
      <c r="F174" s="22" t="n">
        <f aca="false">IF(ISBLANK(Actuals!G87),-Helpers!D5*Assumptions!$B$21,Actuals!G87)</f>
        <v>-2200.12</v>
      </c>
      <c r="G174" s="22" t="n">
        <f aca="false">IF(ISBLANK(Actuals!H87),-Helpers!E5*Assumptions!$B$21,Actuals!H87)</f>
        <v>-2200.12</v>
      </c>
      <c r="H174" s="22" t="n">
        <f aca="false">IF(ISBLANK(Actuals!I87),-Helpers!F5*Assumptions!$B$21,Actuals!I87)</f>
        <v>-57.2916666666667</v>
      </c>
      <c r="I174" s="22" t="n">
        <f aca="false">IF(ISBLANK(Actuals!J87),-Helpers!G5*Assumptions!$B$21,Actuals!J87)</f>
        <v>-57.2916666666667</v>
      </c>
      <c r="J174" s="22" t="n">
        <f aca="false">IF(ISBLANK(Actuals!K87),-Helpers!H5*Assumptions!$B$21,Actuals!K87)</f>
        <v>-57.2916666666667</v>
      </c>
      <c r="K174" s="22" t="n">
        <f aca="false">IF(ISBLANK(Actuals!L87),-Helpers!I5*Assumptions!$B$21,Actuals!L87)</f>
        <v>-57.2916666666667</v>
      </c>
      <c r="L174" s="22" t="n">
        <f aca="false">IF(ISBLANK(Actuals!M87),-Helpers!J5*Assumptions!$B$21,Actuals!M87)</f>
        <v>-57.2916666666667</v>
      </c>
      <c r="M174" s="22" t="n">
        <f aca="false">IF(ISBLANK(Actuals!N87),-Helpers!K5*Assumptions!$B$21,Actuals!N87)</f>
        <v>-57.2916666666667</v>
      </c>
      <c r="N174" s="22" t="n">
        <f aca="false">IF(ISBLANK(Actuals!O87),-Helpers!L5*Assumptions!$B$21,Actuals!O87)</f>
        <v>-57.2916666666667</v>
      </c>
      <c r="O174" s="22" t="n">
        <f aca="false">IF(ISBLANK(Actuals!P87),-Helpers!M5*Assumptions!$B$21,Actuals!P87)</f>
        <v>-57.2916666666667</v>
      </c>
      <c r="P174" s="22" t="n">
        <f aca="false">IF(ISBLANK(Actuals!Q87),-Helpers!N5*Assumptions!$B$21,Actuals!Q87)</f>
        <v>-57.2916666666667</v>
      </c>
      <c r="Q174" s="22" t="n">
        <f aca="false">IF(ISBLANK(Actuals!R87),-Helpers!O5*Assumptions!$B$21,Actuals!R87)</f>
        <v>-58.4375</v>
      </c>
      <c r="R174" s="22" t="n">
        <f aca="false">IF(ISBLANK(Actuals!S87),-Helpers!P5*Assumptions!$B$21,Actuals!S87)</f>
        <v>-58.4375</v>
      </c>
      <c r="S174" s="22" t="n">
        <f aca="false">IF(ISBLANK(Actuals!T87),-Helpers!Q5*Assumptions!$B$21,Actuals!T87)</f>
        <v>-58.4375</v>
      </c>
      <c r="T174" s="22" t="n">
        <f aca="false">IF(ISBLANK(Actuals!U87),-Helpers!R5*Assumptions!$B$21,Actuals!U87)</f>
        <v>-58.4375</v>
      </c>
      <c r="U174" s="22" t="n">
        <f aca="false">IF(ISBLANK(Actuals!V87),-Helpers!S5*Assumptions!$B$21,Actuals!V87)</f>
        <v>-58.4375</v>
      </c>
      <c r="V174" s="22" t="n">
        <f aca="false">IF(ISBLANK(Actuals!W87),-Helpers!T5*Assumptions!$B$21,Actuals!W87)</f>
        <v>-58.4375</v>
      </c>
      <c r="W174" s="22" t="n">
        <f aca="false">IF(ISBLANK(Actuals!X87),-Helpers!U5*Assumptions!$B$21,Actuals!X87)</f>
        <v>-58.4375</v>
      </c>
      <c r="X174" s="22" t="n">
        <f aca="false">IF(ISBLANK(Actuals!Y87),-Helpers!V5*Assumptions!$B$21,Actuals!Y87)</f>
        <v>-58.4375</v>
      </c>
      <c r="Y174" s="22" t="n">
        <f aca="false">IF(ISBLANK(Actuals!Z87),-Helpers!W5*Assumptions!$B$21,Actuals!Z87)</f>
        <v>-58.4375</v>
      </c>
      <c r="Z174" s="22" t="n">
        <f aca="false">IF(ISBLANK(Actuals!AA87),-Helpers!X5*Assumptions!$B$21,Actuals!AA87)</f>
        <v>-58.4375</v>
      </c>
      <c r="AA174" s="22" t="n">
        <f aca="false">IF(ISBLANK(Actuals!AB87),-Helpers!Y5*Assumptions!$B$21,Actuals!AB87)</f>
        <v>-58.4375</v>
      </c>
      <c r="AB174" s="22" t="n">
        <f aca="false">IF(ISBLANK(Actuals!AC87),-Helpers!Z5*Assumptions!$B$21,Actuals!AC87)</f>
        <v>-58.4375</v>
      </c>
      <c r="AC174" s="22" t="n">
        <f aca="false">IF(ISBLANK(Actuals!AD87),-Helpers!AA5*Assumptions!$B$21,Actuals!AD87)</f>
        <v>-59.60625</v>
      </c>
      <c r="AD174" s="22" t="n">
        <f aca="false">IF(ISBLANK(Actuals!AE87),-Helpers!AB5*Assumptions!$B$21,Actuals!AE87)</f>
        <v>-59.60625</v>
      </c>
      <c r="AE174" s="22" t="n">
        <f aca="false">IF(ISBLANK(Actuals!AF87),-Helpers!AC5*Assumptions!$B$21,Actuals!AF87)</f>
        <v>-59.60625</v>
      </c>
      <c r="AF174" s="22" t="n">
        <f aca="false">IF(ISBLANK(Actuals!AG87),-Helpers!AD5*Assumptions!$B$21,Actuals!AG87)</f>
        <v>-59.60625</v>
      </c>
      <c r="AG174" s="22" t="n">
        <f aca="false">IF(ISBLANK(Actuals!AH87),-Helpers!AE5*Assumptions!$B$21,Actuals!AH87)</f>
        <v>-59.60625</v>
      </c>
      <c r="AH174" s="22" t="n">
        <f aca="false">IF(ISBLANK(Actuals!AI87),-Helpers!AF5*Assumptions!$B$21,Actuals!AI87)</f>
        <v>-59.60625</v>
      </c>
      <c r="AI174" s="22" t="n">
        <f aca="false">IF(ISBLANK(Actuals!AJ87),-Helpers!AG5*Assumptions!$B$21,Actuals!AJ87)</f>
        <v>-59.60625</v>
      </c>
      <c r="AJ174" s="22" t="n">
        <f aca="false">IF(ISBLANK(Actuals!AK87),-Helpers!AH5*Assumptions!$B$21,Actuals!AK87)</f>
        <v>-59.60625</v>
      </c>
      <c r="AK174" s="22" t="n">
        <f aca="false">IF(ISBLANK(Actuals!AL87),-Helpers!AI5*Assumptions!$B$21,Actuals!AL87)</f>
        <v>-59.60625</v>
      </c>
      <c r="AL174" s="22" t="n">
        <f aca="false">IF(ISBLANK(Actuals!AM87),-Helpers!AJ5*Assumptions!$B$21,Actuals!AM87)</f>
        <v>-59.60625</v>
      </c>
      <c r="AM174" s="22" t="n">
        <f aca="false">IF(ISBLANK(Actuals!AN87),-Helpers!AK5*Assumptions!$B$21,Actuals!AN87)</f>
        <v>-59.60625</v>
      </c>
      <c r="AN174" s="22" t="n">
        <f aca="false">IF(ISBLANK(Actuals!AO87),-Helpers!AL5*Assumptions!$B$21,Actuals!AO87)</f>
        <v>-59.60625</v>
      </c>
      <c r="AO174" s="22" t="n">
        <f aca="false">IF(ISBLANK(Actuals!AP87),-Helpers!AM5*Assumptions!$B$21,Actuals!AP87)</f>
        <v>-60.798375</v>
      </c>
      <c r="AP174" s="22" t="n">
        <f aca="false">IF(ISBLANK(Actuals!AQ87),-Helpers!AN5*Assumptions!$B$21,Actuals!AQ87)</f>
        <v>-60.798375</v>
      </c>
      <c r="AQ174" s="22" t="n">
        <f aca="false">IF(ISBLANK(Actuals!AR87),-Helpers!AO5*Assumptions!$B$21,Actuals!AR87)</f>
        <v>-60.798375</v>
      </c>
      <c r="AR174" s="22" t="n">
        <f aca="false">IF(ISBLANK(Actuals!AS87),-Helpers!AP5*Assumptions!$B$21,Actuals!AS87)</f>
        <v>-60.798375</v>
      </c>
      <c r="AS174" s="22" t="n">
        <f aca="false">IF(ISBLANK(Actuals!AT87),-Helpers!AQ5*Assumptions!$B$21,Actuals!AT87)</f>
        <v>-60.798375</v>
      </c>
      <c r="AT174" s="22" t="n">
        <f aca="false">IF(ISBLANK(Actuals!AU87),-Helpers!AR5*Assumptions!$B$21,Actuals!AU87)</f>
        <v>-60.798375</v>
      </c>
      <c r="AU174" s="22" t="n">
        <f aca="false">IF(ISBLANK(Actuals!AV87),-Helpers!AS5*Assumptions!$B$21,Actuals!AV87)</f>
        <v>-60.798375</v>
      </c>
      <c r="AV174" s="22" t="n">
        <f aca="false">IF(ISBLANK(Actuals!AW87),-Helpers!AT5*Assumptions!$B$21,Actuals!AW87)</f>
        <v>-60.798375</v>
      </c>
      <c r="AW174" s="22" t="n">
        <f aca="false">IF(ISBLANK(Actuals!AX87),-Helpers!AU5*Assumptions!$B$21,Actuals!AX87)</f>
        <v>-60.798375</v>
      </c>
      <c r="AX174" s="22" t="n">
        <f aca="false">IF(ISBLANK(Actuals!AY87),-Helpers!AV5*Assumptions!$B$21,Actuals!AY87)</f>
        <v>-60.798375</v>
      </c>
      <c r="AY174" s="22" t="n">
        <f aca="false">IF(ISBLANK(Actuals!AZ87),-Helpers!AW5*Assumptions!$B$21,Actuals!AZ87)</f>
        <v>-60.798375</v>
      </c>
      <c r="AZ174" s="22" t="n">
        <f aca="false">IF(ISBLANK(Actuals!BA87),-Helpers!AX5*Assumptions!$B$21,Actuals!BA87)</f>
        <v>-60.798375</v>
      </c>
      <c r="BA174" s="22" t="n">
        <f aca="false">IF(ISBLANK(Actuals!BB87),-Helpers!AY5*Assumptions!$B$21,Actuals!BB87)</f>
        <v>-62.0143425</v>
      </c>
      <c r="BB174" s="22" t="n">
        <f aca="false">IF(ISBLANK(Actuals!BC87),-Helpers!AZ5*Assumptions!$B$21,Actuals!BC87)</f>
        <v>-62.0143425</v>
      </c>
      <c r="BC174" s="22" t="n">
        <f aca="false">IF(ISBLANK(Actuals!BD87),-Helpers!BA5*Assumptions!$B$21,Actuals!BD87)</f>
        <v>-62.0143425</v>
      </c>
      <c r="BD174" s="22" t="n">
        <f aca="false">IF(ISBLANK(Actuals!BE87),-Helpers!BB5*Assumptions!$B$21,Actuals!BE87)</f>
        <v>-62.0143425</v>
      </c>
      <c r="BE174" s="22" t="n">
        <f aca="false">IF(ISBLANK(Actuals!BF87),-Helpers!BC5*Assumptions!$B$21,Actuals!BF87)</f>
        <v>-62.0143425</v>
      </c>
      <c r="BF174" s="22" t="n">
        <f aca="false">IF(ISBLANK(Actuals!BG87),-Helpers!BD5*Assumptions!$B$21,Actuals!BG87)</f>
        <v>-62.0143425</v>
      </c>
      <c r="BG174" s="22" t="n">
        <f aca="false">IF(ISBLANK(Actuals!BH87),-Helpers!BE5*Assumptions!$B$21,Actuals!BH87)</f>
        <v>-62.0143425</v>
      </c>
      <c r="BH174" s="22" t="n">
        <f aca="false">IF(ISBLANK(Actuals!BI87),-Helpers!BF5*Assumptions!$B$21,Actuals!BI87)</f>
        <v>-62.0143425</v>
      </c>
      <c r="BI174" s="22" t="n">
        <f aca="false">IF(ISBLANK(Actuals!BJ87),-Helpers!BG5*Assumptions!$B$21,Actuals!BJ87)</f>
        <v>-62.0143425</v>
      </c>
      <c r="BJ174" s="22" t="n">
        <f aca="false">IF(ISBLANK(Actuals!BK87),-Helpers!BH5*Assumptions!$B$21,Actuals!BK87)</f>
        <v>-62.0143425</v>
      </c>
      <c r="BK174" s="22" t="n">
        <f aca="false">IF(ISBLANK(Actuals!BL87),-Helpers!BI5*Assumptions!$B$21,Actuals!BL87)</f>
        <v>-62.0143425</v>
      </c>
      <c r="BL174" s="22" t="n">
        <f aca="false">IF(ISBLANK(Actuals!BM87),-Helpers!BJ5*Assumptions!$B$21,Actuals!BM87)</f>
        <v>-62.0143425</v>
      </c>
      <c r="BM174" s="22" t="n">
        <f aca="false">IF(ISBLANK(Actuals!BN87),-Helpers!BK5*Assumptions!$B$21,Actuals!BN87)</f>
        <v>-63.25462935</v>
      </c>
      <c r="BN174" s="22" t="n">
        <f aca="false">IF(ISBLANK(Actuals!BO87),-Helpers!BL5*Assumptions!$B$21,Actuals!BO87)</f>
        <v>-63.25462935</v>
      </c>
      <c r="BO174" s="22" t="n">
        <f aca="false">IF(ISBLANK(Actuals!BP87),-Helpers!BM5*Assumptions!$B$21,Actuals!BP87)</f>
        <v>-63.25462935</v>
      </c>
      <c r="BP174" s="22" t="n">
        <f aca="false">IF(ISBLANK(Actuals!BQ87),-Helpers!BN5*Assumptions!$B$21,Actuals!BQ87)</f>
        <v>-63.25462935</v>
      </c>
      <c r="BQ174" s="22" t="n">
        <f aca="false">IF(ISBLANK(Actuals!BR87),-Helpers!BO5*Assumptions!$B$21,Actuals!BR87)</f>
        <v>-63.25462935</v>
      </c>
      <c r="BR174" s="22" t="n">
        <f aca="false">IF(ISBLANK(Actuals!BS87),-Helpers!BP5*Assumptions!$B$21,Actuals!BS87)</f>
        <v>-63.25462935</v>
      </c>
      <c r="BS174" s="22" t="n">
        <f aca="false">IF(ISBLANK(Actuals!BT87),-Helpers!BQ5*Assumptions!$B$21,Actuals!BT87)</f>
        <v>-63.25462935</v>
      </c>
      <c r="BT174" s="22" t="n">
        <f aca="false">IF(ISBLANK(Actuals!BU87),-Helpers!BR5*Assumptions!$B$21,Actuals!BU87)</f>
        <v>-63.25462935</v>
      </c>
      <c r="BU174" s="22" t="n">
        <f aca="false">IF(ISBLANK(Actuals!BV87),-Helpers!BS5*Assumptions!$B$21,Actuals!BV87)</f>
        <v>-63.25462935</v>
      </c>
      <c r="BV174" s="22" t="n">
        <f aca="false">IF(ISBLANK(Actuals!BW87),-Helpers!BT5*Assumptions!$B$21,Actuals!BW87)</f>
        <v>-63.25462935</v>
      </c>
      <c r="BW174" s="22" t="n">
        <f aca="false">IF(ISBLANK(Actuals!BX87),-Helpers!BU5*Assumptions!$B$21,Actuals!BX87)</f>
        <v>-63.25462935</v>
      </c>
      <c r="BX174" s="22" t="n">
        <f aca="false">IF(ISBLANK(Actuals!BY87),-Helpers!BV5*Assumptions!$B$21,Actuals!BY87)</f>
        <v>-63.25462935</v>
      </c>
      <c r="BY174" s="22" t="n">
        <f aca="false">IF(ISBLANK(Actuals!BZ87),-Helpers!BW5*Assumptions!$B$21,Actuals!BZ87)</f>
        <v>-64.519721937</v>
      </c>
      <c r="BZ174" s="22" t="n">
        <f aca="false">IF(ISBLANK(Actuals!CA87),-Helpers!BX5*Assumptions!$B$21,Actuals!CA87)</f>
        <v>-64.519721937</v>
      </c>
      <c r="CA174" s="22" t="n">
        <f aca="false">IF(ISBLANK(Actuals!CB87),-Helpers!BY5*Assumptions!$B$21,Actuals!CB87)</f>
        <v>-64.519721937</v>
      </c>
      <c r="CB174" s="22" t="n">
        <f aca="false">IF(ISBLANK(Actuals!CC87),-Helpers!BZ5*Assumptions!$B$21,Actuals!CC87)</f>
        <v>-64.519721937</v>
      </c>
      <c r="CC174" s="22" t="n">
        <f aca="false">IF(ISBLANK(Actuals!CD87),-Helpers!CA5*Assumptions!$B$21,Actuals!CD87)</f>
        <v>-64.519721937</v>
      </c>
      <c r="CD174" s="22" t="n">
        <f aca="false">IF(ISBLANK(Actuals!CE87),-Helpers!CB5*Assumptions!$B$21,Actuals!CE87)</f>
        <v>-64.519721937</v>
      </c>
      <c r="CE174" s="22" t="n">
        <f aca="false">IF(ISBLANK(Actuals!CF87),-Helpers!CC5*Assumptions!$B$21,Actuals!CF87)</f>
        <v>-64.519721937</v>
      </c>
      <c r="CF174" s="22" t="n">
        <f aca="false">IF(ISBLANK(Actuals!CG87),-Helpers!CD5*Assumptions!$B$21,Actuals!CG87)</f>
        <v>-64.519721937</v>
      </c>
      <c r="CG174" s="22" t="n">
        <f aca="false">IF(ISBLANK(Actuals!CH87),-Helpers!CE5*Assumptions!$B$21,Actuals!CH87)</f>
        <v>-64.519721937</v>
      </c>
      <c r="CH174" s="22" t="n">
        <f aca="false">IF(ISBLANK(Actuals!CI87),-Helpers!CF5*Assumptions!$B$21,Actuals!CI87)</f>
        <v>-64.519721937</v>
      </c>
      <c r="CI174" s="22" t="n">
        <f aca="false">IF(ISBLANK(Actuals!CJ87),-Helpers!CG5*Assumptions!$B$21,Actuals!CJ87)</f>
        <v>-64.519721937</v>
      </c>
      <c r="CJ174" s="22" t="n">
        <f aca="false">IF(ISBLANK(Actuals!CK87),-Helpers!CH5*Assumptions!$B$21,Actuals!CK87)</f>
        <v>-64.519721937</v>
      </c>
      <c r="CK174" s="22" t="n">
        <f aca="false">IF(ISBLANK(Actuals!CL87),-Helpers!CI5*Assumptions!$B$21,Actuals!CL87)</f>
        <v>-65.81011637574</v>
      </c>
      <c r="CL174" s="22" t="n">
        <f aca="false">IF(ISBLANK(Actuals!CM87),-Helpers!CJ5*Assumptions!$B$21,Actuals!CM87)</f>
        <v>-65.81011637574</v>
      </c>
      <c r="CM174" s="22" t="n">
        <f aca="false">IF(ISBLANK(Actuals!CN87),-Helpers!CK5*Assumptions!$B$21,Actuals!CN87)</f>
        <v>-65.81011637574</v>
      </c>
      <c r="CN174" s="22" t="n">
        <f aca="false">IF(ISBLANK(Actuals!CO87),-Helpers!CL5*Assumptions!$B$21,Actuals!CO87)</f>
        <v>-65.81011637574</v>
      </c>
      <c r="CO174" s="22" t="n">
        <f aca="false">IF(ISBLANK(Actuals!CP87),-Helpers!CM5*Assumptions!$B$21,Actuals!CP87)</f>
        <v>-65.81011637574</v>
      </c>
      <c r="CP174" s="22" t="n">
        <f aca="false">IF(ISBLANK(Actuals!CQ87),-Helpers!CN5*Assumptions!$B$21,Actuals!CQ87)</f>
        <v>-65.81011637574</v>
      </c>
      <c r="CQ174" s="22" t="n">
        <f aca="false">IF(ISBLANK(Actuals!CR87),-Helpers!CO5*Assumptions!$B$21,Actuals!CR87)</f>
        <v>-65.81011637574</v>
      </c>
      <c r="CR174" s="22" t="n">
        <f aca="false">IF(ISBLANK(Actuals!CS87),-Helpers!CP5*Assumptions!$B$21,Actuals!CS87)</f>
        <v>-65.81011637574</v>
      </c>
      <c r="CS174" s="22" t="n">
        <f aca="false">IF(ISBLANK(Actuals!CT87),-Helpers!CQ5*Assumptions!$B$21,Actuals!CT87)</f>
        <v>-65.81011637574</v>
      </c>
      <c r="CT174" s="22" t="n">
        <f aca="false">IF(ISBLANK(Actuals!CU87),-Helpers!CR5*Assumptions!$B$21,Actuals!CU87)</f>
        <v>-0</v>
      </c>
      <c r="CU174" s="22" t="n">
        <f aca="false">IF(ISBLANK(Actuals!CV87),-Helpers!CS5*Assumptions!$B$21,Actuals!CV87)</f>
        <v>-0</v>
      </c>
      <c r="CV174" s="22" t="n">
        <f aca="false">IF(ISBLANK(Actuals!CW87),-Helpers!CT5*Assumptions!$B$21,Actuals!CW87)</f>
        <v>-0</v>
      </c>
      <c r="CW174" s="22" t="n">
        <f aca="false">IF(ISBLANK(Actuals!CX87),-Helpers!CU5*Assumptions!$B$21,Actuals!CX87)</f>
        <v>-0</v>
      </c>
      <c r="CX174" s="22" t="n">
        <f aca="false">IF(ISBLANK(Actuals!CY87),-Helpers!CV5*Assumptions!$B$21,Actuals!CY87)</f>
        <v>-0</v>
      </c>
      <c r="CY174" s="22" t="n">
        <f aca="false">IF(ISBLANK(Actuals!CZ87),-Helpers!CW5*Assumptions!$B$21,Actuals!CZ87)</f>
        <v>-0</v>
      </c>
      <c r="CZ174" s="22" t="n">
        <f aca="false">IF(ISBLANK(Actuals!DA87),-Helpers!CX5*Assumptions!$B$21,Actuals!DA87)</f>
        <v>-0</v>
      </c>
      <c r="DA174" s="22" t="n">
        <f aca="false">IF(ISBLANK(Actuals!DB87),-Helpers!CY5*Assumptions!$B$21,Actuals!DB87)</f>
        <v>-0</v>
      </c>
      <c r="DB174" s="22" t="n">
        <f aca="false">IF(ISBLANK(Actuals!DC87),-Helpers!CZ5*Assumptions!$B$21,Actuals!DC87)</f>
        <v>-0</v>
      </c>
      <c r="DC174" s="22" t="n">
        <f aca="false">IF(ISBLANK(Actuals!DD87),-Helpers!DA5*Assumptions!$B$21,Actuals!DD87)</f>
        <v>-0</v>
      </c>
      <c r="DD174" s="22" t="n">
        <f aca="false">IF(ISBLANK(Actuals!DE87),-Helpers!DB5*Assumptions!$B$21,Actuals!DE87)</f>
        <v>-0</v>
      </c>
      <c r="DE174" s="22" t="n">
        <f aca="false">IF(ISBLANK(Actuals!DF87),-Helpers!DC5*Assumptions!$B$21,Actuals!DF87)</f>
        <v>-0</v>
      </c>
    </row>
    <row r="175" customFormat="false" ht="15" hidden="false" customHeight="true" outlineLevel="0" collapsed="false">
      <c r="A175" s="44" t="s">
        <v>68</v>
      </c>
      <c r="B175" s="22" t="n">
        <f aca="false">IF(ISBLANK(Actuals!C88),0,Actuals!C88)</f>
        <v>-8848.65</v>
      </c>
      <c r="C175" s="22" t="n">
        <f aca="false">IF(ISBLANK(Actuals!D88),0,Actuals!D88)</f>
        <v>-8817.63</v>
      </c>
      <c r="D175" s="22" t="n">
        <f aca="false">IF(ISBLANK(Actuals!E88),0,Actuals!E88)</f>
        <v>-3775.91</v>
      </c>
      <c r="E175" s="22" t="n">
        <f aca="false">IF(ISBLANK(Actuals!F88),-8500*Escalation!$B$2,Actuals!F88)</f>
        <v>-8731.12</v>
      </c>
      <c r="F175" s="22" t="n">
        <f aca="false">IF(ISBLANK(Actuals!G88),-8500*Escalation!$B$3,Actuals!G88)</f>
        <v>-8739.17</v>
      </c>
      <c r="G175" s="22" t="n">
        <f aca="false">IF(ISBLANK(Actuals!H88),-8500*Escalation!$B$4,Actuals!H88)</f>
        <v>-8771.99</v>
      </c>
      <c r="H175" s="22" t="n">
        <f aca="false">IF(ISBLANK(Actuals!I88),-8500*Escalation!$B$5,Actuals!I88)</f>
        <v>-8500</v>
      </c>
      <c r="I175" s="22" t="n">
        <f aca="false">IF(ISBLANK(Actuals!J88),-8500*Escalation!$B$6,Actuals!J88)</f>
        <v>-8500</v>
      </c>
      <c r="J175" s="22" t="n">
        <f aca="false">IF(ISBLANK(Actuals!K88),-8500*Escalation!$B$7,Actuals!K88)</f>
        <v>-8500</v>
      </c>
      <c r="K175" s="22" t="n">
        <f aca="false">IF(ISBLANK(Actuals!L88),-8500*Escalation!$B$8,Actuals!L88)</f>
        <v>-8500</v>
      </c>
      <c r="L175" s="22" t="n">
        <f aca="false">IF(ISBLANK(Actuals!M88),-8500*Escalation!$B$9,Actuals!M88)</f>
        <v>-8500</v>
      </c>
      <c r="M175" s="22" t="n">
        <f aca="false">IF(ISBLANK(Actuals!N88),-8500*Escalation!$B$10,Actuals!N88)</f>
        <v>-8500</v>
      </c>
      <c r="N175" s="22" t="n">
        <f aca="false">IF(ISBLANK(Actuals!O88),-8500*Escalation!$B$11,Actuals!O88)</f>
        <v>-8500</v>
      </c>
      <c r="O175" s="22" t="n">
        <f aca="false">IF(ISBLANK(Actuals!P88),-8500*Escalation!$B$12,Actuals!P88)</f>
        <v>-8500</v>
      </c>
      <c r="P175" s="22" t="n">
        <f aca="false">IF(ISBLANK(Actuals!Q88),-8500*Escalation!$B$13,Actuals!Q88)</f>
        <v>-8500</v>
      </c>
      <c r="Q175" s="22" t="n">
        <f aca="false">IF(ISBLANK(Actuals!R88),-8500*Escalation!$B$14,Actuals!R88)</f>
        <v>-8670</v>
      </c>
      <c r="R175" s="22" t="n">
        <f aca="false">IF(ISBLANK(Actuals!S88),-8500*Escalation!$B$15,Actuals!S88)</f>
        <v>-8670</v>
      </c>
      <c r="S175" s="22" t="n">
        <f aca="false">IF(ISBLANK(Actuals!T88),-8500*Escalation!$B$16,Actuals!T88)</f>
        <v>-8670</v>
      </c>
      <c r="T175" s="22" t="n">
        <f aca="false">IF(ISBLANK(Actuals!U88),-8500*Escalation!$B$17,Actuals!U88)</f>
        <v>-8670</v>
      </c>
      <c r="U175" s="22" t="n">
        <f aca="false">IF(ISBLANK(Actuals!V88),-8500*Escalation!$B$18,Actuals!V88)</f>
        <v>-8670</v>
      </c>
      <c r="V175" s="22" t="n">
        <f aca="false">IF(ISBLANK(Actuals!W88),-8500*Escalation!$B$19,Actuals!W88)</f>
        <v>-8670</v>
      </c>
      <c r="W175" s="22" t="n">
        <f aca="false">IF(ISBLANK(Actuals!X88),-8500*Escalation!$B$20,Actuals!X88)</f>
        <v>-8670</v>
      </c>
      <c r="X175" s="22" t="n">
        <f aca="false">IF(ISBLANK(Actuals!Y88),-8500*Escalation!$B$21,Actuals!Y88)</f>
        <v>-8670</v>
      </c>
      <c r="Y175" s="22" t="n">
        <f aca="false">IF(ISBLANK(Actuals!Z88),-8500*Escalation!$B$22,Actuals!Z88)</f>
        <v>-8670</v>
      </c>
      <c r="Z175" s="22" t="n">
        <f aca="false">IF(ISBLANK(Actuals!AA88),-8500*Escalation!$B$23,Actuals!AA88)</f>
        <v>-8670</v>
      </c>
      <c r="AA175" s="22" t="n">
        <f aca="false">IF(ISBLANK(Actuals!AB88),-8500*Escalation!$B$24,Actuals!AB88)</f>
        <v>-8670</v>
      </c>
      <c r="AB175" s="22" t="n">
        <f aca="false">IF(ISBLANK(Actuals!AC88),-8500*Escalation!$B$25,Actuals!AC88)</f>
        <v>-8670</v>
      </c>
      <c r="AC175" s="22" t="n">
        <f aca="false">IF(ISBLANK(Actuals!AD88),-8500*Escalation!$B$26,Actuals!AD88)</f>
        <v>-8843.4</v>
      </c>
      <c r="AD175" s="22" t="n">
        <f aca="false">IF(ISBLANK(Actuals!AE88),-8500*Escalation!$B$27,Actuals!AE88)</f>
        <v>-8843.4</v>
      </c>
      <c r="AE175" s="22" t="n">
        <f aca="false">IF(ISBLANK(Actuals!AF88),-8500*Escalation!$B$28,Actuals!AF88)</f>
        <v>-8843.4</v>
      </c>
      <c r="AF175" s="22" t="n">
        <f aca="false">IF(ISBLANK(Actuals!AG88),-8500*Escalation!$B$29,Actuals!AG88)</f>
        <v>-8843.4</v>
      </c>
      <c r="AG175" s="22" t="n">
        <f aca="false">IF(ISBLANK(Actuals!AH88),-8500*Escalation!$B$30,Actuals!AH88)</f>
        <v>-8843.4</v>
      </c>
      <c r="AH175" s="22" t="n">
        <f aca="false">IF(ISBLANK(Actuals!AI88),-8500*Escalation!$B$31,Actuals!AI88)</f>
        <v>-8843.4</v>
      </c>
      <c r="AI175" s="22" t="n">
        <f aca="false">IF(ISBLANK(Actuals!AJ88),-8500*Escalation!$B$32,Actuals!AJ88)</f>
        <v>-8843.4</v>
      </c>
      <c r="AJ175" s="22" t="n">
        <f aca="false">IF(ISBLANK(Actuals!AK88),-8500*Escalation!$B$33,Actuals!AK88)</f>
        <v>-8843.4</v>
      </c>
      <c r="AK175" s="22" t="n">
        <f aca="false">IF(ISBLANK(Actuals!AL88),-8500*Escalation!$B$34,Actuals!AL88)</f>
        <v>-8843.4</v>
      </c>
      <c r="AL175" s="22" t="n">
        <f aca="false">IF(ISBLANK(Actuals!AM88),-8500*Escalation!$B$35,Actuals!AM88)</f>
        <v>-8843.4</v>
      </c>
      <c r="AM175" s="22" t="n">
        <f aca="false">IF(ISBLANK(Actuals!AN88),-8500*Escalation!$B$36,Actuals!AN88)</f>
        <v>-8843.4</v>
      </c>
      <c r="AN175" s="22" t="n">
        <f aca="false">IF(ISBLANK(Actuals!AO88),-8500*Escalation!$B$37,Actuals!AO88)</f>
        <v>-8843.4</v>
      </c>
      <c r="AO175" s="22" t="n">
        <f aca="false">IF(ISBLANK(Actuals!AP88),-8500*Escalation!$B$38,Actuals!AP88)</f>
        <v>-9020.268</v>
      </c>
      <c r="AP175" s="22" t="n">
        <f aca="false">IF(ISBLANK(Actuals!AQ88),-8500*Escalation!$B$39,Actuals!AQ88)</f>
        <v>-9020.268</v>
      </c>
      <c r="AQ175" s="22" t="n">
        <f aca="false">IF(ISBLANK(Actuals!AR88),-8500*Escalation!$B$40,Actuals!AR88)</f>
        <v>-9020.268</v>
      </c>
      <c r="AR175" s="22" t="n">
        <f aca="false">IF(ISBLANK(Actuals!AS88),-8500*Escalation!$B$41,Actuals!AS88)</f>
        <v>-9020.268</v>
      </c>
      <c r="AS175" s="22" t="n">
        <f aca="false">IF(ISBLANK(Actuals!AT88),-8500*Escalation!$B$42,Actuals!AT88)</f>
        <v>-9020.268</v>
      </c>
      <c r="AT175" s="22" t="n">
        <f aca="false">IF(ISBLANK(Actuals!AU88),-8500*Escalation!$B$43,Actuals!AU88)</f>
        <v>-9020.268</v>
      </c>
      <c r="AU175" s="22" t="n">
        <f aca="false">IF(ISBLANK(Actuals!AV88),-8500*Escalation!$B$44,Actuals!AV88)</f>
        <v>-9020.268</v>
      </c>
      <c r="AV175" s="22" t="n">
        <f aca="false">IF(ISBLANK(Actuals!AW88),-8500*Escalation!$B$45,Actuals!AW88)</f>
        <v>-9020.268</v>
      </c>
      <c r="AW175" s="22" t="n">
        <f aca="false">IF(ISBLANK(Actuals!AX88),-8500*Escalation!$B$46,Actuals!AX88)</f>
        <v>-9020.268</v>
      </c>
      <c r="AX175" s="22" t="n">
        <f aca="false">IF(ISBLANK(Actuals!AY88),-8500*Escalation!$B$47,Actuals!AY88)</f>
        <v>-9020.268</v>
      </c>
      <c r="AY175" s="22" t="n">
        <f aca="false">IF(ISBLANK(Actuals!AZ88),-8500*Escalation!$B$48,Actuals!AZ88)</f>
        <v>-9020.268</v>
      </c>
      <c r="AZ175" s="22" t="n">
        <f aca="false">IF(ISBLANK(Actuals!BA88),-8500*Escalation!$B$49,Actuals!BA88)</f>
        <v>-9020.268</v>
      </c>
      <c r="BA175" s="22" t="n">
        <f aca="false">IF(ISBLANK(Actuals!BB88),-8500*Escalation!$B$50,Actuals!BB88)</f>
        <v>-9200.67336</v>
      </c>
      <c r="BB175" s="22" t="n">
        <f aca="false">IF(ISBLANK(Actuals!BC88),-8500*Escalation!$B$51,Actuals!BC88)</f>
        <v>-9200.67336</v>
      </c>
      <c r="BC175" s="22" t="n">
        <f aca="false">IF(ISBLANK(Actuals!BD88),-8500*Escalation!$B$52,Actuals!BD88)</f>
        <v>-9200.67336</v>
      </c>
      <c r="BD175" s="22" t="n">
        <f aca="false">IF(ISBLANK(Actuals!BE88),-8500*Escalation!$B$53,Actuals!BE88)</f>
        <v>-9200.67336</v>
      </c>
      <c r="BE175" s="22" t="n">
        <f aca="false">IF(ISBLANK(Actuals!BF88),-8500*Escalation!$B$54,Actuals!BF88)</f>
        <v>-9200.67336</v>
      </c>
      <c r="BF175" s="22" t="n">
        <f aca="false">IF(ISBLANK(Actuals!BG88),-8500*Escalation!$B$55,Actuals!BG88)</f>
        <v>-9200.67336</v>
      </c>
      <c r="BG175" s="22" t="n">
        <f aca="false">IF(ISBLANK(Actuals!BH88),-8500*Escalation!$B$56,Actuals!BH88)</f>
        <v>-9200.67336</v>
      </c>
      <c r="BH175" s="22" t="n">
        <f aca="false">IF(ISBLANK(Actuals!BI88),-8500*Escalation!$B$57,Actuals!BI88)</f>
        <v>-9200.67336</v>
      </c>
      <c r="BI175" s="22" t="n">
        <f aca="false">IF(ISBLANK(Actuals!BJ88),-8500*Escalation!$B$58,Actuals!BJ88)</f>
        <v>-9200.67336</v>
      </c>
      <c r="BJ175" s="22" t="n">
        <f aca="false">IF(ISBLANK(Actuals!BK88),-8500*Escalation!$B$59,Actuals!BK88)</f>
        <v>-9200.67336</v>
      </c>
      <c r="BK175" s="22" t="n">
        <f aca="false">IF(ISBLANK(Actuals!BL88),-8500*Escalation!$B$60,Actuals!BL88)</f>
        <v>-9200.67336</v>
      </c>
      <c r="BL175" s="22" t="n">
        <f aca="false">IF(ISBLANK(Actuals!BM88),-8500*Escalation!$B$61,Actuals!BM88)</f>
        <v>-9200.67336</v>
      </c>
      <c r="BM175" s="22" t="n">
        <f aca="false">IF(ISBLANK(Actuals!BN88),-8500*Escalation!$B$62,Actuals!BN88)</f>
        <v>-9384.6868272</v>
      </c>
      <c r="BN175" s="22" t="n">
        <f aca="false">IF(ISBLANK(Actuals!BO88),-8500*Escalation!$B$63,Actuals!BO88)</f>
        <v>-9384.6868272</v>
      </c>
      <c r="BO175" s="22" t="n">
        <f aca="false">IF(ISBLANK(Actuals!BP88),-8500*Escalation!$B$64,Actuals!BP88)</f>
        <v>-9384.6868272</v>
      </c>
      <c r="BP175" s="22" t="n">
        <f aca="false">IF(ISBLANK(Actuals!BQ88),-8500*Escalation!$B$65,Actuals!BQ88)</f>
        <v>-9384.6868272</v>
      </c>
      <c r="BQ175" s="22" t="n">
        <f aca="false">IF(ISBLANK(Actuals!BR88),-8500*Escalation!$B$66,Actuals!BR88)</f>
        <v>-9384.6868272</v>
      </c>
      <c r="BR175" s="22" t="n">
        <f aca="false">IF(ISBLANK(Actuals!BS88),-8500*Escalation!$B$67,Actuals!BS88)</f>
        <v>-9384.6868272</v>
      </c>
      <c r="BS175" s="22" t="n">
        <f aca="false">IF(ISBLANK(Actuals!BT88),-8500*Escalation!$B$68,Actuals!BT88)</f>
        <v>-9384.6868272</v>
      </c>
      <c r="BT175" s="22" t="n">
        <f aca="false">IF(ISBLANK(Actuals!BU88),-8500*Escalation!$B$69,Actuals!BU88)</f>
        <v>-9384.6868272</v>
      </c>
      <c r="BU175" s="22" t="n">
        <f aca="false">IF(ISBLANK(Actuals!BV88),-8500*Escalation!$B$70,Actuals!BV88)</f>
        <v>-9384.6868272</v>
      </c>
      <c r="BV175" s="22" t="n">
        <f aca="false">IF(ISBLANK(Actuals!BW88),-8500*Escalation!$B$71,Actuals!BW88)</f>
        <v>-9384.6868272</v>
      </c>
      <c r="BW175" s="22" t="n">
        <f aca="false">IF(ISBLANK(Actuals!BX88),-8500*Escalation!$B$72,Actuals!BX88)</f>
        <v>-9384.6868272</v>
      </c>
      <c r="BX175" s="22" t="n">
        <f aca="false">IF(ISBLANK(Actuals!BY88),-8500*Escalation!$B$73,Actuals!BY88)</f>
        <v>-9384.6868272</v>
      </c>
      <c r="BY175" s="22" t="n">
        <f aca="false">IF(ISBLANK(Actuals!BZ88),-8500*Escalation!$B$74,Actuals!BZ88)</f>
        <v>-9572.380563744</v>
      </c>
      <c r="BZ175" s="22" t="n">
        <f aca="false">IF(ISBLANK(Actuals!CA88),-8500*Escalation!$B$75,Actuals!CA88)</f>
        <v>-9572.380563744</v>
      </c>
      <c r="CA175" s="22" t="n">
        <f aca="false">IF(ISBLANK(Actuals!CB88),-8500*Escalation!$B$76,Actuals!CB88)</f>
        <v>-9572.380563744</v>
      </c>
      <c r="CB175" s="22" t="n">
        <f aca="false">IF(ISBLANK(Actuals!CC88),-8500*Escalation!$B$77,Actuals!CC88)</f>
        <v>-9572.380563744</v>
      </c>
      <c r="CC175" s="22" t="n">
        <f aca="false">IF(ISBLANK(Actuals!CD88),-8500*Escalation!$B$78,Actuals!CD88)</f>
        <v>-9572.380563744</v>
      </c>
      <c r="CD175" s="22" t="n">
        <f aca="false">IF(ISBLANK(Actuals!CE88),-8500*Escalation!$B$79,Actuals!CE88)</f>
        <v>-9572.380563744</v>
      </c>
      <c r="CE175" s="22" t="n">
        <f aca="false">IF(ISBLANK(Actuals!CF88),-8500*Escalation!$B$80,Actuals!CF88)</f>
        <v>-9572.380563744</v>
      </c>
      <c r="CF175" s="22" t="n">
        <f aca="false">IF(ISBLANK(Actuals!CG88),-8500*Escalation!$B$81,Actuals!CG88)</f>
        <v>-9572.380563744</v>
      </c>
      <c r="CG175" s="22" t="n">
        <f aca="false">IF(ISBLANK(Actuals!CH88),-8500*Escalation!$B$82,Actuals!CH88)</f>
        <v>-9572.380563744</v>
      </c>
      <c r="CH175" s="22" t="n">
        <f aca="false">IF(ISBLANK(Actuals!CI88),-8500*Escalation!$B$83,Actuals!CI88)</f>
        <v>-9572.380563744</v>
      </c>
      <c r="CI175" s="22" t="n">
        <f aca="false">IF(ISBLANK(Actuals!CJ88),-8500*Escalation!$B$84,Actuals!CJ88)</f>
        <v>-9572.380563744</v>
      </c>
      <c r="CJ175" s="22" t="n">
        <f aca="false">IF(ISBLANK(Actuals!CK88),-8500*Escalation!$B$85,Actuals!CK88)</f>
        <v>-9572.380563744</v>
      </c>
      <c r="CK175" s="22" t="n">
        <f aca="false">IF(ISBLANK(Actuals!CL88),-8500*Escalation!$B$86,Actuals!CL88)</f>
        <v>-9763.82817501888</v>
      </c>
      <c r="CL175" s="22" t="n">
        <f aca="false">IF(ISBLANK(Actuals!CM88),-8500*Escalation!$B$87,Actuals!CM88)</f>
        <v>-9763.82817501888</v>
      </c>
      <c r="CM175" s="22" t="n">
        <f aca="false">IF(ISBLANK(Actuals!CN88),-8500*Escalation!$B$88,Actuals!CN88)</f>
        <v>-9763.82817501888</v>
      </c>
      <c r="CN175" s="22" t="n">
        <f aca="false">IF(ISBLANK(Actuals!CO88),-8500*Escalation!$B$89,Actuals!CO88)</f>
        <v>-9763.82817501888</v>
      </c>
      <c r="CO175" s="22" t="n">
        <f aca="false">IF(ISBLANK(Actuals!CP88),-8500*Escalation!$B$90,Actuals!CP88)</f>
        <v>-9763.82817501888</v>
      </c>
      <c r="CP175" s="22" t="n">
        <f aca="false">IF(ISBLANK(Actuals!CQ88),-8500*Escalation!$B$91,Actuals!CQ88)</f>
        <v>-9763.82817501888</v>
      </c>
      <c r="CQ175" s="22" t="n">
        <f aca="false">IF(ISBLANK(Actuals!CR88),-8500*Escalation!$B$92,Actuals!CR88)</f>
        <v>-9763.82817501888</v>
      </c>
      <c r="CR175" s="22" t="n">
        <f aca="false">IF(ISBLANK(Actuals!CS88),-8500*Escalation!$B$93,Actuals!CS88)</f>
        <v>-9763.82817501888</v>
      </c>
      <c r="CS175" s="22" t="n">
        <f aca="false">IF(ISBLANK(Actuals!CT88),-8500*Escalation!$B$94,Actuals!CT88)</f>
        <v>-9763.82817501888</v>
      </c>
      <c r="CT175" s="22" t="n">
        <f aca="false">IF(ISBLANK(Actuals!CU88),-8500*Escalation!$B$95,Actuals!CU88)</f>
        <v>-9763.82817501888</v>
      </c>
      <c r="CU175" s="22" t="n">
        <f aca="false">IF(ISBLANK(Actuals!CV88),-8500*Escalation!$B$96,Actuals!CV88)</f>
        <v>-9763.82817501888</v>
      </c>
      <c r="CV175" s="22" t="n">
        <f aca="false">IF(ISBLANK(Actuals!CW88),-8500*Escalation!$B$97,Actuals!CW88)</f>
        <v>-9763.82817501888</v>
      </c>
      <c r="CW175" s="22" t="n">
        <f aca="false">IF(ISBLANK(Actuals!CX88),-8500*Escalation!$B$98,Actuals!CX88)</f>
        <v>-9959.10473851926</v>
      </c>
      <c r="CX175" s="22" t="n">
        <f aca="false">IF(ISBLANK(Actuals!CY88),-8500*Escalation!$B$99,Actuals!CY88)</f>
        <v>-9959.10473851926</v>
      </c>
      <c r="CY175" s="22" t="n">
        <f aca="false">IF(ISBLANK(Actuals!CZ88),-8500*Escalation!$B$100,Actuals!CZ88)</f>
        <v>-9959.10473851926</v>
      </c>
      <c r="CZ175" s="22" t="n">
        <f aca="false">IF(ISBLANK(Actuals!DA88),-8500*Escalation!$B$101,Actuals!DA88)</f>
        <v>-9959.10473851926</v>
      </c>
      <c r="DA175" s="22" t="n">
        <f aca="false">IF(ISBLANK(Actuals!DB88),-8500*Escalation!$B$102,Actuals!DB88)</f>
        <v>-9959.10473851926</v>
      </c>
      <c r="DB175" s="22" t="n">
        <f aca="false">IF(ISBLANK(Actuals!DC88),-8500*Escalation!$B$103,Actuals!DC88)</f>
        <v>-9959.10473851926</v>
      </c>
      <c r="DC175" s="22" t="n">
        <f aca="false">IF(ISBLANK(Actuals!DD88),-8500*Escalation!$B$104,Actuals!DD88)</f>
        <v>-9959.10473851926</v>
      </c>
      <c r="DD175" s="22" t="n">
        <f aca="false">IF(ISBLANK(Actuals!DE88),-8500*Escalation!$B$105,Actuals!DE88)</f>
        <v>-9959.10473851926</v>
      </c>
      <c r="DE175" s="22" t="n">
        <f aca="false">IF(ISBLANK(Actuals!DF88),-8500*Escalation!$B$106,Actuals!DF88)</f>
        <v>-9959.10473851926</v>
      </c>
    </row>
    <row r="176" customFormat="false" ht="15" hidden="false" customHeight="true" outlineLevel="0" collapsed="false">
      <c r="A176" s="44" t="s">
        <v>69</v>
      </c>
      <c r="B176" s="22" t="n">
        <f aca="false">IF(ISBLANK(Actuals!C89),0,Actuals!C89)</f>
        <v>-1722.9</v>
      </c>
      <c r="C176" s="22" t="n">
        <f aca="false">IF(ISBLANK(Actuals!D89),0,Actuals!D89)</f>
        <v>0</v>
      </c>
      <c r="D176" s="22" t="n">
        <f aca="false">IF(ISBLANK(Actuals!E89),0,Actuals!E89)</f>
        <v>-28.51</v>
      </c>
      <c r="E176" s="22" t="n">
        <f aca="false">IF(ISBLANK(Actuals!F89),-583.8*Escalation!$B$2,Actuals!F89)</f>
        <v>0</v>
      </c>
      <c r="F176" s="22" t="n">
        <f aca="false">IF(ISBLANK(Actuals!G89),-583.8*Escalation!$B$3,Actuals!G89)</f>
        <v>-212.12</v>
      </c>
      <c r="G176" s="22" t="n">
        <f aca="false">IF(ISBLANK(Actuals!H89),-583.8*Escalation!$B$4,Actuals!H89)</f>
        <v>-83.92</v>
      </c>
      <c r="H176" s="22" t="n">
        <f aca="false">IF(ISBLANK(Actuals!I89),-583.8*Escalation!$B$5,Actuals!I89)</f>
        <v>-583.8</v>
      </c>
      <c r="I176" s="22" t="n">
        <f aca="false">IF(ISBLANK(Actuals!J89),-583.8*Escalation!$B$6,Actuals!J89)</f>
        <v>-583.8</v>
      </c>
      <c r="J176" s="22" t="n">
        <f aca="false">IF(ISBLANK(Actuals!K89),-583.8*Escalation!$B$7,Actuals!K89)</f>
        <v>-583.8</v>
      </c>
      <c r="K176" s="22" t="n">
        <f aca="false">IF(ISBLANK(Actuals!L89),-583.8*Escalation!$B$8,Actuals!L89)</f>
        <v>-583.8</v>
      </c>
      <c r="L176" s="22" t="n">
        <f aca="false">IF(ISBLANK(Actuals!M89),-583.8*Escalation!$B$9,Actuals!M89)</f>
        <v>-583.8</v>
      </c>
      <c r="M176" s="22" t="n">
        <f aca="false">IF(ISBLANK(Actuals!N89),-583.8*Escalation!$B$10,Actuals!N89)</f>
        <v>-583.8</v>
      </c>
      <c r="N176" s="22" t="n">
        <f aca="false">IF(ISBLANK(Actuals!O89),-583.8*Escalation!$B$11,Actuals!O89)</f>
        <v>-583.8</v>
      </c>
      <c r="O176" s="22" t="n">
        <f aca="false">IF(ISBLANK(Actuals!P89),-583.8*Escalation!$B$12,Actuals!P89)</f>
        <v>-583.8</v>
      </c>
      <c r="P176" s="22" t="n">
        <f aca="false">IF(ISBLANK(Actuals!Q89),-583.8*Escalation!$B$13,Actuals!Q89)</f>
        <v>-583.8</v>
      </c>
      <c r="Q176" s="22" t="n">
        <f aca="false">IF(ISBLANK(Actuals!R89),-583.8*Escalation!$B$14,Actuals!R89)</f>
        <v>-595.476</v>
      </c>
      <c r="R176" s="22" t="n">
        <f aca="false">IF(ISBLANK(Actuals!S89),-583.8*Escalation!$B$15,Actuals!S89)</f>
        <v>-595.476</v>
      </c>
      <c r="S176" s="22" t="n">
        <f aca="false">IF(ISBLANK(Actuals!T89),-583.8*Escalation!$B$16,Actuals!T89)</f>
        <v>-595.476</v>
      </c>
      <c r="T176" s="22" t="n">
        <f aca="false">IF(ISBLANK(Actuals!U89),-583.8*Escalation!$B$17,Actuals!U89)</f>
        <v>-595.476</v>
      </c>
      <c r="U176" s="22" t="n">
        <f aca="false">IF(ISBLANK(Actuals!V89),-583.8*Escalation!$B$18,Actuals!V89)</f>
        <v>-595.476</v>
      </c>
      <c r="V176" s="22" t="n">
        <f aca="false">IF(ISBLANK(Actuals!W89),-583.8*Escalation!$B$19,Actuals!W89)</f>
        <v>-595.476</v>
      </c>
      <c r="W176" s="22" t="n">
        <f aca="false">IF(ISBLANK(Actuals!X89),-583.8*Escalation!$B$20,Actuals!X89)</f>
        <v>-595.476</v>
      </c>
      <c r="X176" s="22" t="n">
        <f aca="false">IF(ISBLANK(Actuals!Y89),-583.8*Escalation!$B$21,Actuals!Y89)</f>
        <v>-595.476</v>
      </c>
      <c r="Y176" s="22" t="n">
        <f aca="false">IF(ISBLANK(Actuals!Z89),-583.8*Escalation!$B$22,Actuals!Z89)</f>
        <v>-595.476</v>
      </c>
      <c r="Z176" s="22" t="n">
        <f aca="false">IF(ISBLANK(Actuals!AA89),-583.8*Escalation!$B$23,Actuals!AA89)</f>
        <v>-595.476</v>
      </c>
      <c r="AA176" s="22" t="n">
        <f aca="false">IF(ISBLANK(Actuals!AB89),-583.8*Escalation!$B$24,Actuals!AB89)</f>
        <v>-595.476</v>
      </c>
      <c r="AB176" s="22" t="n">
        <f aca="false">IF(ISBLANK(Actuals!AC89),-583.8*Escalation!$B$25,Actuals!AC89)</f>
        <v>-595.476</v>
      </c>
      <c r="AC176" s="22" t="n">
        <f aca="false">IF(ISBLANK(Actuals!AD89),-583.8*Escalation!$B$26,Actuals!AD89)</f>
        <v>-607.38552</v>
      </c>
      <c r="AD176" s="22" t="n">
        <f aca="false">IF(ISBLANK(Actuals!AE89),-583.8*Escalation!$B$27,Actuals!AE89)</f>
        <v>-607.38552</v>
      </c>
      <c r="AE176" s="22" t="n">
        <f aca="false">IF(ISBLANK(Actuals!AF89),-583.8*Escalation!$B$28,Actuals!AF89)</f>
        <v>-607.38552</v>
      </c>
      <c r="AF176" s="22" t="n">
        <f aca="false">IF(ISBLANK(Actuals!AG89),-583.8*Escalation!$B$29,Actuals!AG89)</f>
        <v>-607.38552</v>
      </c>
      <c r="AG176" s="22" t="n">
        <f aca="false">IF(ISBLANK(Actuals!AH89),-583.8*Escalation!$B$30,Actuals!AH89)</f>
        <v>-607.38552</v>
      </c>
      <c r="AH176" s="22" t="n">
        <f aca="false">IF(ISBLANK(Actuals!AI89),-583.8*Escalation!$B$31,Actuals!AI89)</f>
        <v>-607.38552</v>
      </c>
      <c r="AI176" s="22" t="n">
        <f aca="false">IF(ISBLANK(Actuals!AJ89),-583.8*Escalation!$B$32,Actuals!AJ89)</f>
        <v>-607.38552</v>
      </c>
      <c r="AJ176" s="22" t="n">
        <f aca="false">IF(ISBLANK(Actuals!AK89),-583.8*Escalation!$B$33,Actuals!AK89)</f>
        <v>-607.38552</v>
      </c>
      <c r="AK176" s="22" t="n">
        <f aca="false">IF(ISBLANK(Actuals!AL89),-583.8*Escalation!$B$34,Actuals!AL89)</f>
        <v>-607.38552</v>
      </c>
      <c r="AL176" s="22" t="n">
        <f aca="false">IF(ISBLANK(Actuals!AM89),-583.8*Escalation!$B$35,Actuals!AM89)</f>
        <v>-607.38552</v>
      </c>
      <c r="AM176" s="22" t="n">
        <f aca="false">IF(ISBLANK(Actuals!AN89),-583.8*Escalation!$B$36,Actuals!AN89)</f>
        <v>-607.38552</v>
      </c>
      <c r="AN176" s="22" t="n">
        <f aca="false">IF(ISBLANK(Actuals!AO89),-583.8*Escalation!$B$37,Actuals!AO89)</f>
        <v>-607.38552</v>
      </c>
      <c r="AO176" s="22" t="n">
        <f aca="false">IF(ISBLANK(Actuals!AP89),-583.8*Escalation!$B$38,Actuals!AP89)</f>
        <v>-619.5332304</v>
      </c>
      <c r="AP176" s="22" t="n">
        <f aca="false">IF(ISBLANK(Actuals!AQ89),-583.8*Escalation!$B$39,Actuals!AQ89)</f>
        <v>-619.5332304</v>
      </c>
      <c r="AQ176" s="22" t="n">
        <f aca="false">IF(ISBLANK(Actuals!AR89),-583.8*Escalation!$B$40,Actuals!AR89)</f>
        <v>-619.5332304</v>
      </c>
      <c r="AR176" s="22" t="n">
        <f aca="false">IF(ISBLANK(Actuals!AS89),-583.8*Escalation!$B$41,Actuals!AS89)</f>
        <v>-619.5332304</v>
      </c>
      <c r="AS176" s="22" t="n">
        <f aca="false">IF(ISBLANK(Actuals!AT89),-583.8*Escalation!$B$42,Actuals!AT89)</f>
        <v>-619.5332304</v>
      </c>
      <c r="AT176" s="22" t="n">
        <f aca="false">IF(ISBLANK(Actuals!AU89),-583.8*Escalation!$B$43,Actuals!AU89)</f>
        <v>-619.5332304</v>
      </c>
      <c r="AU176" s="22" t="n">
        <f aca="false">IF(ISBLANK(Actuals!AV89),-583.8*Escalation!$B$44,Actuals!AV89)</f>
        <v>-619.5332304</v>
      </c>
      <c r="AV176" s="22" t="n">
        <f aca="false">IF(ISBLANK(Actuals!AW89),-583.8*Escalation!$B$45,Actuals!AW89)</f>
        <v>-619.5332304</v>
      </c>
      <c r="AW176" s="22" t="n">
        <f aca="false">IF(ISBLANK(Actuals!AX89),-583.8*Escalation!$B$46,Actuals!AX89)</f>
        <v>-619.5332304</v>
      </c>
      <c r="AX176" s="22" t="n">
        <f aca="false">IF(ISBLANK(Actuals!AY89),-583.8*Escalation!$B$47,Actuals!AY89)</f>
        <v>-619.5332304</v>
      </c>
      <c r="AY176" s="22" t="n">
        <f aca="false">IF(ISBLANK(Actuals!AZ89),-583.8*Escalation!$B$48,Actuals!AZ89)</f>
        <v>-619.5332304</v>
      </c>
      <c r="AZ176" s="22" t="n">
        <f aca="false">IF(ISBLANK(Actuals!BA89),-583.8*Escalation!$B$49,Actuals!BA89)</f>
        <v>-619.5332304</v>
      </c>
      <c r="BA176" s="22" t="n">
        <f aca="false">IF(ISBLANK(Actuals!BB89),-583.8*Escalation!$B$50,Actuals!BB89)</f>
        <v>-631.923895008</v>
      </c>
      <c r="BB176" s="22" t="n">
        <f aca="false">IF(ISBLANK(Actuals!BC89),-583.8*Escalation!$B$51,Actuals!BC89)</f>
        <v>-631.923895008</v>
      </c>
      <c r="BC176" s="22" t="n">
        <f aca="false">IF(ISBLANK(Actuals!BD89),-583.8*Escalation!$B$52,Actuals!BD89)</f>
        <v>-631.923895008</v>
      </c>
      <c r="BD176" s="22" t="n">
        <f aca="false">IF(ISBLANK(Actuals!BE89),-583.8*Escalation!$B$53,Actuals!BE89)</f>
        <v>-631.923895008</v>
      </c>
      <c r="BE176" s="22" t="n">
        <f aca="false">IF(ISBLANK(Actuals!BF89),-583.8*Escalation!$B$54,Actuals!BF89)</f>
        <v>-631.923895008</v>
      </c>
      <c r="BF176" s="22" t="n">
        <f aca="false">IF(ISBLANK(Actuals!BG89),-583.8*Escalation!$B$55,Actuals!BG89)</f>
        <v>-631.923895008</v>
      </c>
      <c r="BG176" s="22" t="n">
        <f aca="false">IF(ISBLANK(Actuals!BH89),-583.8*Escalation!$B$56,Actuals!BH89)</f>
        <v>-631.923895008</v>
      </c>
      <c r="BH176" s="22" t="n">
        <f aca="false">IF(ISBLANK(Actuals!BI89),-583.8*Escalation!$B$57,Actuals!BI89)</f>
        <v>-631.923895008</v>
      </c>
      <c r="BI176" s="22" t="n">
        <f aca="false">IF(ISBLANK(Actuals!BJ89),-583.8*Escalation!$B$58,Actuals!BJ89)</f>
        <v>-631.923895008</v>
      </c>
      <c r="BJ176" s="22" t="n">
        <f aca="false">IF(ISBLANK(Actuals!BK89),-583.8*Escalation!$B$59,Actuals!BK89)</f>
        <v>-631.923895008</v>
      </c>
      <c r="BK176" s="22" t="n">
        <f aca="false">IF(ISBLANK(Actuals!BL89),-583.8*Escalation!$B$60,Actuals!BL89)</f>
        <v>-631.923895008</v>
      </c>
      <c r="BL176" s="22" t="n">
        <f aca="false">IF(ISBLANK(Actuals!BM89),-583.8*Escalation!$B$61,Actuals!BM89)</f>
        <v>-631.923895008</v>
      </c>
      <c r="BM176" s="22" t="n">
        <f aca="false">IF(ISBLANK(Actuals!BN89),-583.8*Escalation!$B$62,Actuals!BN89)</f>
        <v>-644.56237290816</v>
      </c>
      <c r="BN176" s="22" t="n">
        <f aca="false">IF(ISBLANK(Actuals!BO89),-583.8*Escalation!$B$63,Actuals!BO89)</f>
        <v>-644.56237290816</v>
      </c>
      <c r="BO176" s="22" t="n">
        <f aca="false">IF(ISBLANK(Actuals!BP89),-583.8*Escalation!$B$64,Actuals!BP89)</f>
        <v>-644.56237290816</v>
      </c>
      <c r="BP176" s="22" t="n">
        <f aca="false">IF(ISBLANK(Actuals!BQ89),-583.8*Escalation!$B$65,Actuals!BQ89)</f>
        <v>-644.56237290816</v>
      </c>
      <c r="BQ176" s="22" t="n">
        <f aca="false">IF(ISBLANK(Actuals!BR89),-583.8*Escalation!$B$66,Actuals!BR89)</f>
        <v>-644.56237290816</v>
      </c>
      <c r="BR176" s="22" t="n">
        <f aca="false">IF(ISBLANK(Actuals!BS89),-583.8*Escalation!$B$67,Actuals!BS89)</f>
        <v>-644.56237290816</v>
      </c>
      <c r="BS176" s="22" t="n">
        <f aca="false">IF(ISBLANK(Actuals!BT89),-583.8*Escalation!$B$68,Actuals!BT89)</f>
        <v>-644.56237290816</v>
      </c>
      <c r="BT176" s="22" t="n">
        <f aca="false">IF(ISBLANK(Actuals!BU89),-583.8*Escalation!$B$69,Actuals!BU89)</f>
        <v>-644.56237290816</v>
      </c>
      <c r="BU176" s="22" t="n">
        <f aca="false">IF(ISBLANK(Actuals!BV89),-583.8*Escalation!$B$70,Actuals!BV89)</f>
        <v>-644.56237290816</v>
      </c>
      <c r="BV176" s="22" t="n">
        <f aca="false">IF(ISBLANK(Actuals!BW89),-583.8*Escalation!$B$71,Actuals!BW89)</f>
        <v>-644.56237290816</v>
      </c>
      <c r="BW176" s="22" t="n">
        <f aca="false">IF(ISBLANK(Actuals!BX89),-583.8*Escalation!$B$72,Actuals!BX89)</f>
        <v>-644.56237290816</v>
      </c>
      <c r="BX176" s="22" t="n">
        <f aca="false">IF(ISBLANK(Actuals!BY89),-583.8*Escalation!$B$73,Actuals!BY89)</f>
        <v>-644.56237290816</v>
      </c>
      <c r="BY176" s="22" t="n">
        <f aca="false">IF(ISBLANK(Actuals!BZ89),-583.8*Escalation!$B$74,Actuals!BZ89)</f>
        <v>-657.453620366323</v>
      </c>
      <c r="BZ176" s="22" t="n">
        <f aca="false">IF(ISBLANK(Actuals!CA89),-583.8*Escalation!$B$75,Actuals!CA89)</f>
        <v>-657.453620366323</v>
      </c>
      <c r="CA176" s="22" t="n">
        <f aca="false">IF(ISBLANK(Actuals!CB89),-583.8*Escalation!$B$76,Actuals!CB89)</f>
        <v>-657.453620366323</v>
      </c>
      <c r="CB176" s="22" t="n">
        <f aca="false">IF(ISBLANK(Actuals!CC89),-583.8*Escalation!$B$77,Actuals!CC89)</f>
        <v>-657.453620366323</v>
      </c>
      <c r="CC176" s="22" t="n">
        <f aca="false">IF(ISBLANK(Actuals!CD89),-583.8*Escalation!$B$78,Actuals!CD89)</f>
        <v>-657.453620366323</v>
      </c>
      <c r="CD176" s="22" t="n">
        <f aca="false">IF(ISBLANK(Actuals!CE89),-583.8*Escalation!$B$79,Actuals!CE89)</f>
        <v>-657.453620366323</v>
      </c>
      <c r="CE176" s="22" t="n">
        <f aca="false">IF(ISBLANK(Actuals!CF89),-583.8*Escalation!$B$80,Actuals!CF89)</f>
        <v>-657.453620366323</v>
      </c>
      <c r="CF176" s="22" t="n">
        <f aca="false">IF(ISBLANK(Actuals!CG89),-583.8*Escalation!$B$81,Actuals!CG89)</f>
        <v>-657.453620366323</v>
      </c>
      <c r="CG176" s="22" t="n">
        <f aca="false">IF(ISBLANK(Actuals!CH89),-583.8*Escalation!$B$82,Actuals!CH89)</f>
        <v>-657.453620366323</v>
      </c>
      <c r="CH176" s="22" t="n">
        <f aca="false">IF(ISBLANK(Actuals!CI89),-583.8*Escalation!$B$83,Actuals!CI89)</f>
        <v>-657.453620366323</v>
      </c>
      <c r="CI176" s="22" t="n">
        <f aca="false">IF(ISBLANK(Actuals!CJ89),-583.8*Escalation!$B$84,Actuals!CJ89)</f>
        <v>-657.453620366323</v>
      </c>
      <c r="CJ176" s="22" t="n">
        <f aca="false">IF(ISBLANK(Actuals!CK89),-583.8*Escalation!$B$85,Actuals!CK89)</f>
        <v>-657.453620366323</v>
      </c>
      <c r="CK176" s="22" t="n">
        <f aca="false">IF(ISBLANK(Actuals!CL89),-583.8*Escalation!$B$86,Actuals!CL89)</f>
        <v>-670.60269277365</v>
      </c>
      <c r="CL176" s="22" t="n">
        <f aca="false">IF(ISBLANK(Actuals!CM89),-583.8*Escalation!$B$87,Actuals!CM89)</f>
        <v>-670.60269277365</v>
      </c>
      <c r="CM176" s="22" t="n">
        <f aca="false">IF(ISBLANK(Actuals!CN89),-583.8*Escalation!$B$88,Actuals!CN89)</f>
        <v>-670.60269277365</v>
      </c>
      <c r="CN176" s="22" t="n">
        <f aca="false">IF(ISBLANK(Actuals!CO89),-583.8*Escalation!$B$89,Actuals!CO89)</f>
        <v>-670.60269277365</v>
      </c>
      <c r="CO176" s="22" t="n">
        <f aca="false">IF(ISBLANK(Actuals!CP89),-583.8*Escalation!$B$90,Actuals!CP89)</f>
        <v>-670.60269277365</v>
      </c>
      <c r="CP176" s="22" t="n">
        <f aca="false">IF(ISBLANK(Actuals!CQ89),-583.8*Escalation!$B$91,Actuals!CQ89)</f>
        <v>-670.60269277365</v>
      </c>
      <c r="CQ176" s="22" t="n">
        <f aca="false">IF(ISBLANK(Actuals!CR89),-583.8*Escalation!$B$92,Actuals!CR89)</f>
        <v>-670.60269277365</v>
      </c>
      <c r="CR176" s="22" t="n">
        <f aca="false">IF(ISBLANK(Actuals!CS89),-583.8*Escalation!$B$93,Actuals!CS89)</f>
        <v>-670.60269277365</v>
      </c>
      <c r="CS176" s="22" t="n">
        <f aca="false">IF(ISBLANK(Actuals!CT89),-583.8*Escalation!$B$94,Actuals!CT89)</f>
        <v>-670.60269277365</v>
      </c>
      <c r="CT176" s="22" t="n">
        <f aca="false">IF(ISBLANK(Actuals!CU89),-583.8*Escalation!$B$95,Actuals!CU89)</f>
        <v>-670.60269277365</v>
      </c>
      <c r="CU176" s="22" t="n">
        <f aca="false">IF(ISBLANK(Actuals!CV89),-583.8*Escalation!$B$96,Actuals!CV89)</f>
        <v>-670.60269277365</v>
      </c>
      <c r="CV176" s="22" t="n">
        <f aca="false">IF(ISBLANK(Actuals!CW89),-583.8*Escalation!$B$97,Actuals!CW89)</f>
        <v>-670.60269277365</v>
      </c>
      <c r="CW176" s="22" t="n">
        <f aca="false">IF(ISBLANK(Actuals!CX89),-583.8*Escalation!$B$98,Actuals!CX89)</f>
        <v>-684.014746629123</v>
      </c>
      <c r="CX176" s="22" t="n">
        <f aca="false">IF(ISBLANK(Actuals!CY89),-583.8*Escalation!$B$99,Actuals!CY89)</f>
        <v>-684.014746629123</v>
      </c>
      <c r="CY176" s="22" t="n">
        <f aca="false">IF(ISBLANK(Actuals!CZ89),-583.8*Escalation!$B$100,Actuals!CZ89)</f>
        <v>-684.014746629123</v>
      </c>
      <c r="CZ176" s="22" t="n">
        <f aca="false">IF(ISBLANK(Actuals!DA89),-583.8*Escalation!$B$101,Actuals!DA89)</f>
        <v>-684.014746629123</v>
      </c>
      <c r="DA176" s="22" t="n">
        <f aca="false">IF(ISBLANK(Actuals!DB89),-583.8*Escalation!$B$102,Actuals!DB89)</f>
        <v>-684.014746629123</v>
      </c>
      <c r="DB176" s="22" t="n">
        <f aca="false">IF(ISBLANK(Actuals!DC89),-583.8*Escalation!$B$103,Actuals!DC89)</f>
        <v>-684.014746629123</v>
      </c>
      <c r="DC176" s="22" t="n">
        <f aca="false">IF(ISBLANK(Actuals!DD89),-583.8*Escalation!$B$104,Actuals!DD89)</f>
        <v>-684.014746629123</v>
      </c>
      <c r="DD176" s="22" t="n">
        <f aca="false">IF(ISBLANK(Actuals!DE89),-583.8*Escalation!$B$105,Actuals!DE89)</f>
        <v>-684.014746629123</v>
      </c>
      <c r="DE176" s="22" t="n">
        <f aca="false">IF(ISBLANK(Actuals!DF89),-583.8*Escalation!$B$106,Actuals!DF89)</f>
        <v>-684.014746629123</v>
      </c>
    </row>
    <row r="177" customFormat="false" ht="15" hidden="false" customHeight="true" outlineLevel="0" collapsed="false">
      <c r="A177" s="44" t="s">
        <v>72</v>
      </c>
      <c r="B177" s="22" t="n">
        <f aca="false">IF(ISBLANK(Actuals!C90),0,Actuals!C90)</f>
        <v>-246.85</v>
      </c>
      <c r="C177" s="22" t="n">
        <f aca="false">IF(ISBLANK(Actuals!D90),0,Actuals!D90)</f>
        <v>0</v>
      </c>
      <c r="D177" s="22" t="n">
        <f aca="false">IF(ISBLANK(Actuals!E90),0,Actuals!E90)</f>
        <v>-4246.73</v>
      </c>
      <c r="E177" s="22" t="n">
        <f aca="false">IF(ISBLANK(Actuals!F90),-1497.86*Escalation!$B$2,Actuals!F90)</f>
        <v>-3123.87</v>
      </c>
      <c r="F177" s="22" t="n">
        <f aca="false">IF(ISBLANK(Actuals!G90),-1497.86*Escalation!$B$3,Actuals!G90)</f>
        <v>-3184.88</v>
      </c>
      <c r="G177" s="22" t="n">
        <f aca="false">IF(ISBLANK(Actuals!H90),-1497.86*Escalation!$B$4,Actuals!H90)</f>
        <v>-4015.94</v>
      </c>
      <c r="H177" s="22" t="n">
        <f aca="false">IF(ISBLANK(Actuals!I90),-1497.86*Escalation!$B$5,Actuals!I90)</f>
        <v>-1497.86</v>
      </c>
      <c r="I177" s="22" t="n">
        <f aca="false">IF(ISBLANK(Actuals!J90),-1497.86*Escalation!$B$6,Actuals!J90)</f>
        <v>-1497.86</v>
      </c>
      <c r="J177" s="22" t="n">
        <f aca="false">IF(ISBLANK(Actuals!K90),-1497.86*Escalation!$B$7,Actuals!K90)</f>
        <v>-1497.86</v>
      </c>
      <c r="K177" s="22" t="n">
        <f aca="false">IF(ISBLANK(Actuals!L90),-1497.86*Escalation!$B$8,Actuals!L90)</f>
        <v>-1497.86</v>
      </c>
      <c r="L177" s="22" t="n">
        <f aca="false">IF(ISBLANK(Actuals!M90),-1497.86*Escalation!$B$9,Actuals!M90)</f>
        <v>-1497.86</v>
      </c>
      <c r="M177" s="22" t="n">
        <f aca="false">IF(ISBLANK(Actuals!N90),-1497.86*Escalation!$B$10,Actuals!N90)</f>
        <v>-1497.86</v>
      </c>
      <c r="N177" s="22" t="n">
        <f aca="false">IF(ISBLANK(Actuals!O90),-1497.86*Escalation!$B$11,Actuals!O90)</f>
        <v>-1497.86</v>
      </c>
      <c r="O177" s="22" t="n">
        <f aca="false">IF(ISBLANK(Actuals!P90),-1497.86*Escalation!$B$12,Actuals!P90)</f>
        <v>-1497.86</v>
      </c>
      <c r="P177" s="22" t="n">
        <f aca="false">IF(ISBLANK(Actuals!Q90),-1497.86*Escalation!$B$13,Actuals!Q90)</f>
        <v>-1497.86</v>
      </c>
      <c r="Q177" s="22" t="n">
        <f aca="false">IF(ISBLANK(Actuals!R90),-1497.86*Escalation!$B$14,Actuals!R90)</f>
        <v>-1527.8172</v>
      </c>
      <c r="R177" s="22" t="n">
        <f aca="false">IF(ISBLANK(Actuals!S90),-1497.86*Escalation!$B$15,Actuals!S90)</f>
        <v>-1527.8172</v>
      </c>
      <c r="S177" s="22" t="n">
        <f aca="false">IF(ISBLANK(Actuals!T90),-1497.86*Escalation!$B$16,Actuals!T90)</f>
        <v>-1527.8172</v>
      </c>
      <c r="T177" s="22" t="n">
        <f aca="false">IF(ISBLANK(Actuals!U90),-1497.86*Escalation!$B$17,Actuals!U90)</f>
        <v>-1527.8172</v>
      </c>
      <c r="U177" s="22" t="n">
        <f aca="false">IF(ISBLANK(Actuals!V90),-1497.86*Escalation!$B$18,Actuals!V90)</f>
        <v>-1527.8172</v>
      </c>
      <c r="V177" s="22" t="n">
        <f aca="false">IF(ISBLANK(Actuals!W90),-1497.86*Escalation!$B$19,Actuals!W90)</f>
        <v>-1527.8172</v>
      </c>
      <c r="W177" s="22" t="n">
        <f aca="false">IF(ISBLANK(Actuals!X90),-1497.86*Escalation!$B$20,Actuals!X90)</f>
        <v>-1527.8172</v>
      </c>
      <c r="X177" s="22" t="n">
        <f aca="false">IF(ISBLANK(Actuals!Y90),-1497.86*Escalation!$B$21,Actuals!Y90)</f>
        <v>-1527.8172</v>
      </c>
      <c r="Y177" s="22" t="n">
        <f aca="false">IF(ISBLANK(Actuals!Z90),-1497.86*Escalation!$B$22,Actuals!Z90)</f>
        <v>-1527.8172</v>
      </c>
      <c r="Z177" s="22" t="n">
        <f aca="false">IF(ISBLANK(Actuals!AA90),-1497.86*Escalation!$B$23,Actuals!AA90)</f>
        <v>-1527.8172</v>
      </c>
      <c r="AA177" s="22" t="n">
        <f aca="false">IF(ISBLANK(Actuals!AB90),-1497.86*Escalation!$B$24,Actuals!AB90)</f>
        <v>-1527.8172</v>
      </c>
      <c r="AB177" s="22" t="n">
        <f aca="false">IF(ISBLANK(Actuals!AC90),-1497.86*Escalation!$B$25,Actuals!AC90)</f>
        <v>-1527.8172</v>
      </c>
      <c r="AC177" s="22" t="n">
        <f aca="false">IF(ISBLANK(Actuals!AD90),-1497.86*Escalation!$B$26,Actuals!AD90)</f>
        <v>-1558.373544</v>
      </c>
      <c r="AD177" s="22" t="n">
        <f aca="false">IF(ISBLANK(Actuals!AE90),-1497.86*Escalation!$B$27,Actuals!AE90)</f>
        <v>-1558.373544</v>
      </c>
      <c r="AE177" s="22" t="n">
        <f aca="false">IF(ISBLANK(Actuals!AF90),-1497.86*Escalation!$B$28,Actuals!AF90)</f>
        <v>-1558.373544</v>
      </c>
      <c r="AF177" s="22" t="n">
        <f aca="false">IF(ISBLANK(Actuals!AG90),-1497.86*Escalation!$B$29,Actuals!AG90)</f>
        <v>-1558.373544</v>
      </c>
      <c r="AG177" s="22" t="n">
        <f aca="false">IF(ISBLANK(Actuals!AH90),-1497.86*Escalation!$B$30,Actuals!AH90)</f>
        <v>-1558.373544</v>
      </c>
      <c r="AH177" s="22" t="n">
        <f aca="false">IF(ISBLANK(Actuals!AI90),-1497.86*Escalation!$B$31,Actuals!AI90)</f>
        <v>-1558.373544</v>
      </c>
      <c r="AI177" s="22" t="n">
        <f aca="false">IF(ISBLANK(Actuals!AJ90),-1497.86*Escalation!$B$32,Actuals!AJ90)</f>
        <v>-1558.373544</v>
      </c>
      <c r="AJ177" s="22" t="n">
        <f aca="false">IF(ISBLANK(Actuals!AK90),-1497.86*Escalation!$B$33,Actuals!AK90)</f>
        <v>-1558.373544</v>
      </c>
      <c r="AK177" s="22" t="n">
        <f aca="false">IF(ISBLANK(Actuals!AL90),-1497.86*Escalation!$B$34,Actuals!AL90)</f>
        <v>-1558.373544</v>
      </c>
      <c r="AL177" s="22" t="n">
        <f aca="false">IF(ISBLANK(Actuals!AM90),-1497.86*Escalation!$B$35,Actuals!AM90)</f>
        <v>-1558.373544</v>
      </c>
      <c r="AM177" s="22" t="n">
        <f aca="false">IF(ISBLANK(Actuals!AN90),-1497.86*Escalation!$B$36,Actuals!AN90)</f>
        <v>-1558.373544</v>
      </c>
      <c r="AN177" s="22" t="n">
        <f aca="false">IF(ISBLANK(Actuals!AO90),-1497.86*Escalation!$B$37,Actuals!AO90)</f>
        <v>-1558.373544</v>
      </c>
      <c r="AO177" s="22" t="n">
        <f aca="false">IF(ISBLANK(Actuals!AP90),-1497.86*Escalation!$B$38,Actuals!AP90)</f>
        <v>-1589.54101488</v>
      </c>
      <c r="AP177" s="22" t="n">
        <f aca="false">IF(ISBLANK(Actuals!AQ90),-1497.86*Escalation!$B$39,Actuals!AQ90)</f>
        <v>-1589.54101488</v>
      </c>
      <c r="AQ177" s="22" t="n">
        <f aca="false">IF(ISBLANK(Actuals!AR90),-1497.86*Escalation!$B$40,Actuals!AR90)</f>
        <v>-1589.54101488</v>
      </c>
      <c r="AR177" s="22" t="n">
        <f aca="false">IF(ISBLANK(Actuals!AS90),-1497.86*Escalation!$B$41,Actuals!AS90)</f>
        <v>-1589.54101488</v>
      </c>
      <c r="AS177" s="22" t="n">
        <f aca="false">IF(ISBLANK(Actuals!AT90),-1497.86*Escalation!$B$42,Actuals!AT90)</f>
        <v>-1589.54101488</v>
      </c>
      <c r="AT177" s="22" t="n">
        <f aca="false">IF(ISBLANK(Actuals!AU90),-1497.86*Escalation!$B$43,Actuals!AU90)</f>
        <v>-1589.54101488</v>
      </c>
      <c r="AU177" s="22" t="n">
        <f aca="false">IF(ISBLANK(Actuals!AV90),-1497.86*Escalation!$B$44,Actuals!AV90)</f>
        <v>-1589.54101488</v>
      </c>
      <c r="AV177" s="22" t="n">
        <f aca="false">IF(ISBLANK(Actuals!AW90),-1497.86*Escalation!$B$45,Actuals!AW90)</f>
        <v>-1589.54101488</v>
      </c>
      <c r="AW177" s="22" t="n">
        <f aca="false">IF(ISBLANK(Actuals!AX90),-1497.86*Escalation!$B$46,Actuals!AX90)</f>
        <v>-1589.54101488</v>
      </c>
      <c r="AX177" s="22" t="n">
        <f aca="false">IF(ISBLANK(Actuals!AY90),-1497.86*Escalation!$B$47,Actuals!AY90)</f>
        <v>-1589.54101488</v>
      </c>
      <c r="AY177" s="22" t="n">
        <f aca="false">IF(ISBLANK(Actuals!AZ90),-1497.86*Escalation!$B$48,Actuals!AZ90)</f>
        <v>-1589.54101488</v>
      </c>
      <c r="AZ177" s="22" t="n">
        <f aca="false">IF(ISBLANK(Actuals!BA90),-1497.86*Escalation!$B$49,Actuals!BA90)</f>
        <v>-1589.54101488</v>
      </c>
      <c r="BA177" s="22" t="n">
        <f aca="false">IF(ISBLANK(Actuals!BB90),-1497.86*Escalation!$B$50,Actuals!BB90)</f>
        <v>-1621.3318351776</v>
      </c>
      <c r="BB177" s="22" t="n">
        <f aca="false">IF(ISBLANK(Actuals!BC90),-1497.86*Escalation!$B$51,Actuals!BC90)</f>
        <v>-1621.3318351776</v>
      </c>
      <c r="BC177" s="22" t="n">
        <f aca="false">IF(ISBLANK(Actuals!BD90),-1497.86*Escalation!$B$52,Actuals!BD90)</f>
        <v>-1621.3318351776</v>
      </c>
      <c r="BD177" s="22" t="n">
        <f aca="false">IF(ISBLANK(Actuals!BE90),-1497.86*Escalation!$B$53,Actuals!BE90)</f>
        <v>-1621.3318351776</v>
      </c>
      <c r="BE177" s="22" t="n">
        <f aca="false">IF(ISBLANK(Actuals!BF90),-1497.86*Escalation!$B$54,Actuals!BF90)</f>
        <v>-1621.3318351776</v>
      </c>
      <c r="BF177" s="22" t="n">
        <f aca="false">IF(ISBLANK(Actuals!BG90),-1497.86*Escalation!$B$55,Actuals!BG90)</f>
        <v>-1621.3318351776</v>
      </c>
      <c r="BG177" s="22" t="n">
        <f aca="false">IF(ISBLANK(Actuals!BH90),-1497.86*Escalation!$B$56,Actuals!BH90)</f>
        <v>-1621.3318351776</v>
      </c>
      <c r="BH177" s="22" t="n">
        <f aca="false">IF(ISBLANK(Actuals!BI90),-1497.86*Escalation!$B$57,Actuals!BI90)</f>
        <v>-1621.3318351776</v>
      </c>
      <c r="BI177" s="22" t="n">
        <f aca="false">IF(ISBLANK(Actuals!BJ90),-1497.86*Escalation!$B$58,Actuals!BJ90)</f>
        <v>-1621.3318351776</v>
      </c>
      <c r="BJ177" s="22" t="n">
        <f aca="false">IF(ISBLANK(Actuals!BK90),-1497.86*Escalation!$B$59,Actuals!BK90)</f>
        <v>-1621.3318351776</v>
      </c>
      <c r="BK177" s="22" t="n">
        <f aca="false">IF(ISBLANK(Actuals!BL90),-1497.86*Escalation!$B$60,Actuals!BL90)</f>
        <v>-1621.3318351776</v>
      </c>
      <c r="BL177" s="22" t="n">
        <f aca="false">IF(ISBLANK(Actuals!BM90),-1497.86*Escalation!$B$61,Actuals!BM90)</f>
        <v>-1621.3318351776</v>
      </c>
      <c r="BM177" s="22" t="n">
        <f aca="false">IF(ISBLANK(Actuals!BN90),-1497.86*Escalation!$B$62,Actuals!BN90)</f>
        <v>-1653.75847188115</v>
      </c>
      <c r="BN177" s="22" t="n">
        <f aca="false">IF(ISBLANK(Actuals!BO90),-1497.86*Escalation!$B$63,Actuals!BO90)</f>
        <v>-1653.75847188115</v>
      </c>
      <c r="BO177" s="22" t="n">
        <f aca="false">IF(ISBLANK(Actuals!BP90),-1497.86*Escalation!$B$64,Actuals!BP90)</f>
        <v>-1653.75847188115</v>
      </c>
      <c r="BP177" s="22" t="n">
        <f aca="false">IF(ISBLANK(Actuals!BQ90),-1497.86*Escalation!$B$65,Actuals!BQ90)</f>
        <v>-1653.75847188115</v>
      </c>
      <c r="BQ177" s="22" t="n">
        <f aca="false">IF(ISBLANK(Actuals!BR90),-1497.86*Escalation!$B$66,Actuals!BR90)</f>
        <v>-1653.75847188115</v>
      </c>
      <c r="BR177" s="22" t="n">
        <f aca="false">IF(ISBLANK(Actuals!BS90),-1497.86*Escalation!$B$67,Actuals!BS90)</f>
        <v>-1653.75847188115</v>
      </c>
      <c r="BS177" s="22" t="n">
        <f aca="false">IF(ISBLANK(Actuals!BT90),-1497.86*Escalation!$B$68,Actuals!BT90)</f>
        <v>-1653.75847188115</v>
      </c>
      <c r="BT177" s="22" t="n">
        <f aca="false">IF(ISBLANK(Actuals!BU90),-1497.86*Escalation!$B$69,Actuals!BU90)</f>
        <v>-1653.75847188115</v>
      </c>
      <c r="BU177" s="22" t="n">
        <f aca="false">IF(ISBLANK(Actuals!BV90),-1497.86*Escalation!$B$70,Actuals!BV90)</f>
        <v>-1653.75847188115</v>
      </c>
      <c r="BV177" s="22" t="n">
        <f aca="false">IF(ISBLANK(Actuals!BW90),-1497.86*Escalation!$B$71,Actuals!BW90)</f>
        <v>-1653.75847188115</v>
      </c>
      <c r="BW177" s="22" t="n">
        <f aca="false">IF(ISBLANK(Actuals!BX90),-1497.86*Escalation!$B$72,Actuals!BX90)</f>
        <v>-1653.75847188115</v>
      </c>
      <c r="BX177" s="22" t="n">
        <f aca="false">IF(ISBLANK(Actuals!BY90),-1497.86*Escalation!$B$73,Actuals!BY90)</f>
        <v>-1653.75847188115</v>
      </c>
      <c r="BY177" s="22" t="n">
        <f aca="false">IF(ISBLANK(Actuals!BZ90),-1497.86*Escalation!$B$74,Actuals!BZ90)</f>
        <v>-1686.83364131878</v>
      </c>
      <c r="BZ177" s="22" t="n">
        <f aca="false">IF(ISBLANK(Actuals!CA90),-1497.86*Escalation!$B$75,Actuals!CA90)</f>
        <v>-1686.83364131878</v>
      </c>
      <c r="CA177" s="22" t="n">
        <f aca="false">IF(ISBLANK(Actuals!CB90),-1497.86*Escalation!$B$76,Actuals!CB90)</f>
        <v>-1686.83364131878</v>
      </c>
      <c r="CB177" s="22" t="n">
        <f aca="false">IF(ISBLANK(Actuals!CC90),-1497.86*Escalation!$B$77,Actuals!CC90)</f>
        <v>-1686.83364131878</v>
      </c>
      <c r="CC177" s="22" t="n">
        <f aca="false">IF(ISBLANK(Actuals!CD90),-1497.86*Escalation!$B$78,Actuals!CD90)</f>
        <v>-1686.83364131878</v>
      </c>
      <c r="CD177" s="22" t="n">
        <f aca="false">IF(ISBLANK(Actuals!CE90),-1497.86*Escalation!$B$79,Actuals!CE90)</f>
        <v>-1686.83364131878</v>
      </c>
      <c r="CE177" s="22" t="n">
        <f aca="false">IF(ISBLANK(Actuals!CF90),-1497.86*Escalation!$B$80,Actuals!CF90)</f>
        <v>-1686.83364131878</v>
      </c>
      <c r="CF177" s="22" t="n">
        <f aca="false">IF(ISBLANK(Actuals!CG90),-1497.86*Escalation!$B$81,Actuals!CG90)</f>
        <v>-1686.83364131878</v>
      </c>
      <c r="CG177" s="22" t="n">
        <f aca="false">IF(ISBLANK(Actuals!CH90),-1497.86*Escalation!$B$82,Actuals!CH90)</f>
        <v>-1686.83364131878</v>
      </c>
      <c r="CH177" s="22" t="n">
        <f aca="false">IF(ISBLANK(Actuals!CI90),-1497.86*Escalation!$B$83,Actuals!CI90)</f>
        <v>-1686.83364131878</v>
      </c>
      <c r="CI177" s="22" t="n">
        <f aca="false">IF(ISBLANK(Actuals!CJ90),-1497.86*Escalation!$B$84,Actuals!CJ90)</f>
        <v>-1686.83364131878</v>
      </c>
      <c r="CJ177" s="22" t="n">
        <f aca="false">IF(ISBLANK(Actuals!CK90),-1497.86*Escalation!$B$85,Actuals!CK90)</f>
        <v>-1686.83364131878</v>
      </c>
      <c r="CK177" s="22" t="n">
        <f aca="false">IF(ISBLANK(Actuals!CL90),-1497.86*Escalation!$B$86,Actuals!CL90)</f>
        <v>-1720.57031414515</v>
      </c>
      <c r="CL177" s="22" t="n">
        <f aca="false">IF(ISBLANK(Actuals!CM90),-1497.86*Escalation!$B$87,Actuals!CM90)</f>
        <v>-1720.57031414515</v>
      </c>
      <c r="CM177" s="22" t="n">
        <f aca="false">IF(ISBLANK(Actuals!CN90),-1497.86*Escalation!$B$88,Actuals!CN90)</f>
        <v>-1720.57031414515</v>
      </c>
      <c r="CN177" s="22" t="n">
        <f aca="false">IF(ISBLANK(Actuals!CO90),-1497.86*Escalation!$B$89,Actuals!CO90)</f>
        <v>-1720.57031414515</v>
      </c>
      <c r="CO177" s="22" t="n">
        <f aca="false">IF(ISBLANK(Actuals!CP90),-1497.86*Escalation!$B$90,Actuals!CP90)</f>
        <v>-1720.57031414515</v>
      </c>
      <c r="CP177" s="22" t="n">
        <f aca="false">IF(ISBLANK(Actuals!CQ90),-1497.86*Escalation!$B$91,Actuals!CQ90)</f>
        <v>-1720.57031414515</v>
      </c>
      <c r="CQ177" s="22" t="n">
        <f aca="false">IF(ISBLANK(Actuals!CR90),-1497.86*Escalation!$B$92,Actuals!CR90)</f>
        <v>-1720.57031414515</v>
      </c>
      <c r="CR177" s="22" t="n">
        <f aca="false">IF(ISBLANK(Actuals!CS90),-1497.86*Escalation!$B$93,Actuals!CS90)</f>
        <v>-1720.57031414515</v>
      </c>
      <c r="CS177" s="22" t="n">
        <f aca="false">IF(ISBLANK(Actuals!CT90),-1497.86*Escalation!$B$94,Actuals!CT90)</f>
        <v>-1720.57031414515</v>
      </c>
      <c r="CT177" s="22" t="n">
        <f aca="false">IF(ISBLANK(Actuals!CU90),-1497.86*Escalation!$B$95,Actuals!CU90)</f>
        <v>-1720.57031414515</v>
      </c>
      <c r="CU177" s="22" t="n">
        <f aca="false">IF(ISBLANK(Actuals!CV90),-1497.86*Escalation!$B$96,Actuals!CV90)</f>
        <v>-1720.57031414515</v>
      </c>
      <c r="CV177" s="22" t="n">
        <f aca="false">IF(ISBLANK(Actuals!CW90),-1497.86*Escalation!$B$97,Actuals!CW90)</f>
        <v>-1720.57031414515</v>
      </c>
      <c r="CW177" s="22" t="n">
        <f aca="false">IF(ISBLANK(Actuals!CX90),-1497.86*Escalation!$B$98,Actuals!CX90)</f>
        <v>-1754.98172042805</v>
      </c>
      <c r="CX177" s="22" t="n">
        <f aca="false">IF(ISBLANK(Actuals!CY90),-1497.86*Escalation!$B$99,Actuals!CY90)</f>
        <v>-1754.98172042805</v>
      </c>
      <c r="CY177" s="22" t="n">
        <f aca="false">IF(ISBLANK(Actuals!CZ90),-1497.86*Escalation!$B$100,Actuals!CZ90)</f>
        <v>-1754.98172042805</v>
      </c>
      <c r="CZ177" s="22" t="n">
        <f aca="false">IF(ISBLANK(Actuals!DA90),-1497.86*Escalation!$B$101,Actuals!DA90)</f>
        <v>-1754.98172042805</v>
      </c>
      <c r="DA177" s="22" t="n">
        <f aca="false">IF(ISBLANK(Actuals!DB90),-1497.86*Escalation!$B$102,Actuals!DB90)</f>
        <v>-1754.98172042805</v>
      </c>
      <c r="DB177" s="22" t="n">
        <f aca="false">IF(ISBLANK(Actuals!DC90),-1497.86*Escalation!$B$103,Actuals!DC90)</f>
        <v>-1754.98172042805</v>
      </c>
      <c r="DC177" s="22" t="n">
        <f aca="false">IF(ISBLANK(Actuals!DD90),-1497.86*Escalation!$B$104,Actuals!DD90)</f>
        <v>-1754.98172042805</v>
      </c>
      <c r="DD177" s="22" t="n">
        <f aca="false">IF(ISBLANK(Actuals!DE90),-1497.86*Escalation!$B$105,Actuals!DE90)</f>
        <v>-1754.98172042805</v>
      </c>
      <c r="DE177" s="22" t="n">
        <f aca="false">IF(ISBLANK(Actuals!DF90),-1497.86*Escalation!$B$106,Actuals!DF90)</f>
        <v>-1754.98172042805</v>
      </c>
    </row>
    <row r="178" customFormat="false" ht="15" hidden="false" customHeight="true" outlineLevel="0" collapsed="false">
      <c r="A178" s="44" t="s">
        <v>118</v>
      </c>
      <c r="B178" s="22" t="n">
        <f aca="false">IF(ISBLANK(Actuals!C91),0,Actuals!C91)</f>
        <v>0</v>
      </c>
      <c r="C178" s="22" t="n">
        <f aca="false">IF(ISBLANK(Actuals!D91),0,Actuals!D91)</f>
        <v>0</v>
      </c>
      <c r="D178" s="22" t="n">
        <f aca="false">IF(ISBLANK(Actuals!E91),0,Actuals!E91)</f>
        <v>-870</v>
      </c>
      <c r="E178" s="22" t="n">
        <f aca="false">IF(ISBLANK(Actuals!F91),-290*Escalation!$B$2,Actuals!F91)</f>
        <v>0</v>
      </c>
      <c r="F178" s="22" t="n">
        <f aca="false">IF(ISBLANK(Actuals!G91),-290*Escalation!$B$3,Actuals!G91)</f>
        <v>0</v>
      </c>
      <c r="G178" s="22" t="n">
        <f aca="false">IF(ISBLANK(Actuals!H91),-290*Escalation!$B$4,Actuals!H91)</f>
        <v>0</v>
      </c>
      <c r="H178" s="22" t="n">
        <f aca="false">IF(ISBLANK(Actuals!I91),-290*Escalation!$B$5,Actuals!I91)</f>
        <v>-290</v>
      </c>
      <c r="I178" s="22" t="n">
        <f aca="false">IF(ISBLANK(Actuals!J91),-290*Escalation!$B$6,Actuals!J91)</f>
        <v>-290</v>
      </c>
      <c r="J178" s="22" t="n">
        <f aca="false">IF(ISBLANK(Actuals!K91),-290*Escalation!$B$7,Actuals!K91)</f>
        <v>-290</v>
      </c>
      <c r="K178" s="22" t="n">
        <f aca="false">IF(ISBLANK(Actuals!L91),-290*Escalation!$B$8,Actuals!L91)</f>
        <v>-290</v>
      </c>
      <c r="L178" s="22" t="n">
        <f aca="false">IF(ISBLANK(Actuals!M91),-290*Escalation!$B$9,Actuals!M91)</f>
        <v>-290</v>
      </c>
      <c r="M178" s="22" t="n">
        <f aca="false">IF(ISBLANK(Actuals!N91),-290*Escalation!$B$10,Actuals!N91)</f>
        <v>-290</v>
      </c>
      <c r="N178" s="22" t="n">
        <f aca="false">IF(ISBLANK(Actuals!O91),-290*Escalation!$B$11,Actuals!O91)</f>
        <v>-290</v>
      </c>
      <c r="O178" s="22" t="n">
        <f aca="false">IF(ISBLANK(Actuals!P91),-290*Escalation!$B$12,Actuals!P91)</f>
        <v>-290</v>
      </c>
      <c r="P178" s="22" t="n">
        <f aca="false">IF(ISBLANK(Actuals!Q91),-290*Escalation!$B$13,Actuals!Q91)</f>
        <v>-290</v>
      </c>
      <c r="Q178" s="22" t="n">
        <f aca="false">IF(ISBLANK(Actuals!R91),-290*Escalation!$B$14,Actuals!R91)</f>
        <v>-295.8</v>
      </c>
      <c r="R178" s="22" t="n">
        <f aca="false">IF(ISBLANK(Actuals!S91),-290*Escalation!$B$15,Actuals!S91)</f>
        <v>-295.8</v>
      </c>
      <c r="S178" s="22" t="n">
        <f aca="false">IF(ISBLANK(Actuals!T91),-290*Escalation!$B$16,Actuals!T91)</f>
        <v>-295.8</v>
      </c>
      <c r="T178" s="22" t="n">
        <f aca="false">IF(ISBLANK(Actuals!U91),-290*Escalation!$B$17,Actuals!U91)</f>
        <v>-295.8</v>
      </c>
      <c r="U178" s="22" t="n">
        <f aca="false">IF(ISBLANK(Actuals!V91),-290*Escalation!$B$18,Actuals!V91)</f>
        <v>-295.8</v>
      </c>
      <c r="V178" s="22" t="n">
        <f aca="false">IF(ISBLANK(Actuals!W91),-290*Escalation!$B$19,Actuals!W91)</f>
        <v>-295.8</v>
      </c>
      <c r="W178" s="22" t="n">
        <f aca="false">IF(ISBLANK(Actuals!X91),-290*Escalation!$B$20,Actuals!X91)</f>
        <v>-295.8</v>
      </c>
      <c r="X178" s="22" t="n">
        <f aca="false">IF(ISBLANK(Actuals!Y91),-290*Escalation!$B$21,Actuals!Y91)</f>
        <v>-295.8</v>
      </c>
      <c r="Y178" s="22" t="n">
        <f aca="false">IF(ISBLANK(Actuals!Z91),-290*Escalation!$B$22,Actuals!Z91)</f>
        <v>-295.8</v>
      </c>
      <c r="Z178" s="22" t="n">
        <f aca="false">IF(ISBLANK(Actuals!AA91),-290*Escalation!$B$23,Actuals!AA91)</f>
        <v>-295.8</v>
      </c>
      <c r="AA178" s="22" t="n">
        <f aca="false">IF(ISBLANK(Actuals!AB91),-290*Escalation!$B$24,Actuals!AB91)</f>
        <v>-295.8</v>
      </c>
      <c r="AB178" s="22" t="n">
        <f aca="false">IF(ISBLANK(Actuals!AC91),-290*Escalation!$B$25,Actuals!AC91)</f>
        <v>-295.8</v>
      </c>
      <c r="AC178" s="22" t="n">
        <f aca="false">IF(ISBLANK(Actuals!AD91),-290*Escalation!$B$26,Actuals!AD91)</f>
        <v>-301.716</v>
      </c>
      <c r="AD178" s="22" t="n">
        <f aca="false">IF(ISBLANK(Actuals!AE91),-290*Escalation!$B$27,Actuals!AE91)</f>
        <v>-301.716</v>
      </c>
      <c r="AE178" s="22" t="n">
        <f aca="false">IF(ISBLANK(Actuals!AF91),-290*Escalation!$B$28,Actuals!AF91)</f>
        <v>-301.716</v>
      </c>
      <c r="AF178" s="22" t="n">
        <f aca="false">IF(ISBLANK(Actuals!AG91),-290*Escalation!$B$29,Actuals!AG91)</f>
        <v>-301.716</v>
      </c>
      <c r="AG178" s="22" t="n">
        <f aca="false">IF(ISBLANK(Actuals!AH91),-290*Escalation!$B$30,Actuals!AH91)</f>
        <v>-301.716</v>
      </c>
      <c r="AH178" s="22" t="n">
        <f aca="false">IF(ISBLANK(Actuals!AI91),-290*Escalation!$B$31,Actuals!AI91)</f>
        <v>-301.716</v>
      </c>
      <c r="AI178" s="22" t="n">
        <f aca="false">IF(ISBLANK(Actuals!AJ91),-290*Escalation!$B$32,Actuals!AJ91)</f>
        <v>-301.716</v>
      </c>
      <c r="AJ178" s="22" t="n">
        <f aca="false">IF(ISBLANK(Actuals!AK91),-290*Escalation!$B$33,Actuals!AK91)</f>
        <v>-301.716</v>
      </c>
      <c r="AK178" s="22" t="n">
        <f aca="false">IF(ISBLANK(Actuals!AL91),-290*Escalation!$B$34,Actuals!AL91)</f>
        <v>-301.716</v>
      </c>
      <c r="AL178" s="22" t="n">
        <f aca="false">IF(ISBLANK(Actuals!AM91),-290*Escalation!$B$35,Actuals!AM91)</f>
        <v>-301.716</v>
      </c>
      <c r="AM178" s="22" t="n">
        <f aca="false">IF(ISBLANK(Actuals!AN91),-290*Escalation!$B$36,Actuals!AN91)</f>
        <v>-301.716</v>
      </c>
      <c r="AN178" s="22" t="n">
        <f aca="false">IF(ISBLANK(Actuals!AO91),-290*Escalation!$B$37,Actuals!AO91)</f>
        <v>-301.716</v>
      </c>
      <c r="AO178" s="22" t="n">
        <f aca="false">IF(ISBLANK(Actuals!AP91),-290*Escalation!$B$38,Actuals!AP91)</f>
        <v>-307.75032</v>
      </c>
      <c r="AP178" s="22" t="n">
        <f aca="false">IF(ISBLANK(Actuals!AQ91),-290*Escalation!$B$39,Actuals!AQ91)</f>
        <v>-307.75032</v>
      </c>
      <c r="AQ178" s="22" t="n">
        <f aca="false">IF(ISBLANK(Actuals!AR91),-290*Escalation!$B$40,Actuals!AR91)</f>
        <v>-307.75032</v>
      </c>
      <c r="AR178" s="22" t="n">
        <f aca="false">IF(ISBLANK(Actuals!AS91),-290*Escalation!$B$41,Actuals!AS91)</f>
        <v>-307.75032</v>
      </c>
      <c r="AS178" s="22" t="n">
        <f aca="false">IF(ISBLANK(Actuals!AT91),-290*Escalation!$B$42,Actuals!AT91)</f>
        <v>-307.75032</v>
      </c>
      <c r="AT178" s="22" t="n">
        <f aca="false">IF(ISBLANK(Actuals!AU91),-290*Escalation!$B$43,Actuals!AU91)</f>
        <v>-307.75032</v>
      </c>
      <c r="AU178" s="22" t="n">
        <f aca="false">IF(ISBLANK(Actuals!AV91),-290*Escalation!$B$44,Actuals!AV91)</f>
        <v>-307.75032</v>
      </c>
      <c r="AV178" s="22" t="n">
        <f aca="false">IF(ISBLANK(Actuals!AW91),-290*Escalation!$B$45,Actuals!AW91)</f>
        <v>-307.75032</v>
      </c>
      <c r="AW178" s="22" t="n">
        <f aca="false">IF(ISBLANK(Actuals!AX91),-290*Escalation!$B$46,Actuals!AX91)</f>
        <v>-307.75032</v>
      </c>
      <c r="AX178" s="22" t="n">
        <f aca="false">IF(ISBLANK(Actuals!AY91),-290*Escalation!$B$47,Actuals!AY91)</f>
        <v>-307.75032</v>
      </c>
      <c r="AY178" s="22" t="n">
        <f aca="false">IF(ISBLANK(Actuals!AZ91),-290*Escalation!$B$48,Actuals!AZ91)</f>
        <v>-307.75032</v>
      </c>
      <c r="AZ178" s="22" t="n">
        <f aca="false">IF(ISBLANK(Actuals!BA91),-290*Escalation!$B$49,Actuals!BA91)</f>
        <v>-307.75032</v>
      </c>
      <c r="BA178" s="22" t="n">
        <f aca="false">IF(ISBLANK(Actuals!BB91),-290*Escalation!$B$50,Actuals!BB91)</f>
        <v>-313.9053264</v>
      </c>
      <c r="BB178" s="22" t="n">
        <f aca="false">IF(ISBLANK(Actuals!BC91),-290*Escalation!$B$51,Actuals!BC91)</f>
        <v>-313.9053264</v>
      </c>
      <c r="BC178" s="22" t="n">
        <f aca="false">IF(ISBLANK(Actuals!BD91),-290*Escalation!$B$52,Actuals!BD91)</f>
        <v>-313.9053264</v>
      </c>
      <c r="BD178" s="22" t="n">
        <f aca="false">IF(ISBLANK(Actuals!BE91),-290*Escalation!$B$53,Actuals!BE91)</f>
        <v>-313.9053264</v>
      </c>
      <c r="BE178" s="22" t="n">
        <f aca="false">IF(ISBLANK(Actuals!BF91),-290*Escalation!$B$54,Actuals!BF91)</f>
        <v>-313.9053264</v>
      </c>
      <c r="BF178" s="22" t="n">
        <f aca="false">IF(ISBLANK(Actuals!BG91),-290*Escalation!$B$55,Actuals!BG91)</f>
        <v>-313.9053264</v>
      </c>
      <c r="BG178" s="22" t="n">
        <f aca="false">IF(ISBLANK(Actuals!BH91),-290*Escalation!$B$56,Actuals!BH91)</f>
        <v>-313.9053264</v>
      </c>
      <c r="BH178" s="22" t="n">
        <f aca="false">IF(ISBLANK(Actuals!BI91),-290*Escalation!$B$57,Actuals!BI91)</f>
        <v>-313.9053264</v>
      </c>
      <c r="BI178" s="22" t="n">
        <f aca="false">IF(ISBLANK(Actuals!BJ91),-290*Escalation!$B$58,Actuals!BJ91)</f>
        <v>-313.9053264</v>
      </c>
      <c r="BJ178" s="22" t="n">
        <f aca="false">IF(ISBLANK(Actuals!BK91),-290*Escalation!$B$59,Actuals!BK91)</f>
        <v>-313.9053264</v>
      </c>
      <c r="BK178" s="22" t="n">
        <f aca="false">IF(ISBLANK(Actuals!BL91),-290*Escalation!$B$60,Actuals!BL91)</f>
        <v>-313.9053264</v>
      </c>
      <c r="BL178" s="22" t="n">
        <f aca="false">IF(ISBLANK(Actuals!BM91),-290*Escalation!$B$61,Actuals!BM91)</f>
        <v>-313.9053264</v>
      </c>
      <c r="BM178" s="22" t="n">
        <f aca="false">IF(ISBLANK(Actuals!BN91),-290*Escalation!$B$62,Actuals!BN91)</f>
        <v>-320.183432928</v>
      </c>
      <c r="BN178" s="22" t="n">
        <f aca="false">IF(ISBLANK(Actuals!BO91),-290*Escalation!$B$63,Actuals!BO91)</f>
        <v>-320.183432928</v>
      </c>
      <c r="BO178" s="22" t="n">
        <f aca="false">IF(ISBLANK(Actuals!BP91),-290*Escalation!$B$64,Actuals!BP91)</f>
        <v>-320.183432928</v>
      </c>
      <c r="BP178" s="22" t="n">
        <f aca="false">IF(ISBLANK(Actuals!BQ91),-290*Escalation!$B$65,Actuals!BQ91)</f>
        <v>-320.183432928</v>
      </c>
      <c r="BQ178" s="22" t="n">
        <f aca="false">IF(ISBLANK(Actuals!BR91),-290*Escalation!$B$66,Actuals!BR91)</f>
        <v>-320.183432928</v>
      </c>
      <c r="BR178" s="22" t="n">
        <f aca="false">IF(ISBLANK(Actuals!BS91),-290*Escalation!$B$67,Actuals!BS91)</f>
        <v>-320.183432928</v>
      </c>
      <c r="BS178" s="22" t="n">
        <f aca="false">IF(ISBLANK(Actuals!BT91),-290*Escalation!$B$68,Actuals!BT91)</f>
        <v>-320.183432928</v>
      </c>
      <c r="BT178" s="22" t="n">
        <f aca="false">IF(ISBLANK(Actuals!BU91),-290*Escalation!$B$69,Actuals!BU91)</f>
        <v>-320.183432928</v>
      </c>
      <c r="BU178" s="22" t="n">
        <f aca="false">IF(ISBLANK(Actuals!BV91),-290*Escalation!$B$70,Actuals!BV91)</f>
        <v>-320.183432928</v>
      </c>
      <c r="BV178" s="22" t="n">
        <f aca="false">IF(ISBLANK(Actuals!BW91),-290*Escalation!$B$71,Actuals!BW91)</f>
        <v>-320.183432928</v>
      </c>
      <c r="BW178" s="22" t="n">
        <f aca="false">IF(ISBLANK(Actuals!BX91),-290*Escalation!$B$72,Actuals!BX91)</f>
        <v>-320.183432928</v>
      </c>
      <c r="BX178" s="22" t="n">
        <f aca="false">IF(ISBLANK(Actuals!BY91),-290*Escalation!$B$73,Actuals!BY91)</f>
        <v>-320.183432928</v>
      </c>
      <c r="BY178" s="22" t="n">
        <f aca="false">IF(ISBLANK(Actuals!BZ91),-290*Escalation!$B$74,Actuals!BZ91)</f>
        <v>-326.58710158656</v>
      </c>
      <c r="BZ178" s="22" t="n">
        <f aca="false">IF(ISBLANK(Actuals!CA91),-290*Escalation!$B$75,Actuals!CA91)</f>
        <v>-326.58710158656</v>
      </c>
      <c r="CA178" s="22" t="n">
        <f aca="false">IF(ISBLANK(Actuals!CB91),-290*Escalation!$B$76,Actuals!CB91)</f>
        <v>-326.58710158656</v>
      </c>
      <c r="CB178" s="22" t="n">
        <f aca="false">IF(ISBLANK(Actuals!CC91),-290*Escalation!$B$77,Actuals!CC91)</f>
        <v>-326.58710158656</v>
      </c>
      <c r="CC178" s="22" t="n">
        <f aca="false">IF(ISBLANK(Actuals!CD91),-290*Escalation!$B$78,Actuals!CD91)</f>
        <v>-326.58710158656</v>
      </c>
      <c r="CD178" s="22" t="n">
        <f aca="false">IF(ISBLANK(Actuals!CE91),-290*Escalation!$B$79,Actuals!CE91)</f>
        <v>-326.58710158656</v>
      </c>
      <c r="CE178" s="22" t="n">
        <f aca="false">IF(ISBLANK(Actuals!CF91),-290*Escalation!$B$80,Actuals!CF91)</f>
        <v>-326.58710158656</v>
      </c>
      <c r="CF178" s="22" t="n">
        <f aca="false">IF(ISBLANK(Actuals!CG91),-290*Escalation!$B$81,Actuals!CG91)</f>
        <v>-326.58710158656</v>
      </c>
      <c r="CG178" s="22" t="n">
        <f aca="false">IF(ISBLANK(Actuals!CH91),-290*Escalation!$B$82,Actuals!CH91)</f>
        <v>-326.58710158656</v>
      </c>
      <c r="CH178" s="22" t="n">
        <f aca="false">IF(ISBLANK(Actuals!CI91),-290*Escalation!$B$83,Actuals!CI91)</f>
        <v>-326.58710158656</v>
      </c>
      <c r="CI178" s="22" t="n">
        <f aca="false">IF(ISBLANK(Actuals!CJ91),-290*Escalation!$B$84,Actuals!CJ91)</f>
        <v>-326.58710158656</v>
      </c>
      <c r="CJ178" s="22" t="n">
        <f aca="false">IF(ISBLANK(Actuals!CK91),-290*Escalation!$B$85,Actuals!CK91)</f>
        <v>-326.58710158656</v>
      </c>
      <c r="CK178" s="22" t="n">
        <f aca="false">IF(ISBLANK(Actuals!CL91),-290*Escalation!$B$86,Actuals!CL91)</f>
        <v>-333.118843618291</v>
      </c>
      <c r="CL178" s="22" t="n">
        <f aca="false">IF(ISBLANK(Actuals!CM91),-290*Escalation!$B$87,Actuals!CM91)</f>
        <v>-333.118843618291</v>
      </c>
      <c r="CM178" s="22" t="n">
        <f aca="false">IF(ISBLANK(Actuals!CN91),-290*Escalation!$B$88,Actuals!CN91)</f>
        <v>-333.118843618291</v>
      </c>
      <c r="CN178" s="22" t="n">
        <f aca="false">IF(ISBLANK(Actuals!CO91),-290*Escalation!$B$89,Actuals!CO91)</f>
        <v>-333.118843618291</v>
      </c>
      <c r="CO178" s="22" t="n">
        <f aca="false">IF(ISBLANK(Actuals!CP91),-290*Escalation!$B$90,Actuals!CP91)</f>
        <v>-333.118843618291</v>
      </c>
      <c r="CP178" s="22" t="n">
        <f aca="false">IF(ISBLANK(Actuals!CQ91),-290*Escalation!$B$91,Actuals!CQ91)</f>
        <v>-333.118843618291</v>
      </c>
      <c r="CQ178" s="22" t="n">
        <f aca="false">IF(ISBLANK(Actuals!CR91),-290*Escalation!$B$92,Actuals!CR91)</f>
        <v>-333.118843618291</v>
      </c>
      <c r="CR178" s="22" t="n">
        <f aca="false">IF(ISBLANK(Actuals!CS91),-290*Escalation!$B$93,Actuals!CS91)</f>
        <v>-333.118843618291</v>
      </c>
      <c r="CS178" s="22" t="n">
        <f aca="false">IF(ISBLANK(Actuals!CT91),-290*Escalation!$B$94,Actuals!CT91)</f>
        <v>-333.118843618291</v>
      </c>
      <c r="CT178" s="22" t="n">
        <f aca="false">IF(ISBLANK(Actuals!CU91),-290*Escalation!$B$95,Actuals!CU91)</f>
        <v>-333.118843618291</v>
      </c>
      <c r="CU178" s="22" t="n">
        <f aca="false">IF(ISBLANK(Actuals!CV91),-290*Escalation!$B$96,Actuals!CV91)</f>
        <v>-333.118843618291</v>
      </c>
      <c r="CV178" s="22" t="n">
        <f aca="false">IF(ISBLANK(Actuals!CW91),-290*Escalation!$B$97,Actuals!CW91)</f>
        <v>-333.118843618291</v>
      </c>
      <c r="CW178" s="22" t="n">
        <f aca="false">IF(ISBLANK(Actuals!CX91),-290*Escalation!$B$98,Actuals!CX91)</f>
        <v>-339.781220490657</v>
      </c>
      <c r="CX178" s="22" t="n">
        <f aca="false">IF(ISBLANK(Actuals!CY91),-290*Escalation!$B$99,Actuals!CY91)</f>
        <v>-339.781220490657</v>
      </c>
      <c r="CY178" s="22" t="n">
        <f aca="false">IF(ISBLANK(Actuals!CZ91),-290*Escalation!$B$100,Actuals!CZ91)</f>
        <v>-339.781220490657</v>
      </c>
      <c r="CZ178" s="22" t="n">
        <f aca="false">IF(ISBLANK(Actuals!DA91),-290*Escalation!$B$101,Actuals!DA91)</f>
        <v>-339.781220490657</v>
      </c>
      <c r="DA178" s="22" t="n">
        <f aca="false">IF(ISBLANK(Actuals!DB91),-290*Escalation!$B$102,Actuals!DB91)</f>
        <v>-339.781220490657</v>
      </c>
      <c r="DB178" s="22" t="n">
        <f aca="false">IF(ISBLANK(Actuals!DC91),-290*Escalation!$B$103,Actuals!DC91)</f>
        <v>-339.781220490657</v>
      </c>
      <c r="DC178" s="22" t="n">
        <f aca="false">IF(ISBLANK(Actuals!DD91),-290*Escalation!$B$104,Actuals!DD91)</f>
        <v>-339.781220490657</v>
      </c>
      <c r="DD178" s="22" t="n">
        <f aca="false">IF(ISBLANK(Actuals!DE91),-290*Escalation!$B$105,Actuals!DE91)</f>
        <v>-339.781220490657</v>
      </c>
      <c r="DE178" s="22" t="n">
        <f aca="false">IF(ISBLANK(Actuals!DF91),-290*Escalation!$B$106,Actuals!DF91)</f>
        <v>-339.781220490657</v>
      </c>
    </row>
    <row r="179" customFormat="false" ht="15" hidden="false" customHeight="true" outlineLevel="0" collapsed="false">
      <c r="A179" s="44" t="s">
        <v>119</v>
      </c>
      <c r="B179" s="22" t="n">
        <f aca="false">IF(ISBLANK(Actuals!C92),0,Actuals!C92)</f>
        <v>-245</v>
      </c>
      <c r="C179" s="22" t="n">
        <f aca="false">IF(ISBLANK(Actuals!D92),0,Actuals!D92)</f>
        <v>-245</v>
      </c>
      <c r="D179" s="22" t="n">
        <f aca="false">IF(ISBLANK(Actuals!E92),0,Actuals!E92)</f>
        <v>-245</v>
      </c>
      <c r="E179" s="22" t="n">
        <f aca="false">IF(ISBLANK(Actuals!F92),-245*Escalation!$B$2,Actuals!F92)</f>
        <v>-245</v>
      </c>
      <c r="F179" s="22" t="n">
        <f aca="false">IF(ISBLANK(Actuals!G92),-245*Escalation!$B$3,Actuals!G92)</f>
        <v>-245</v>
      </c>
      <c r="G179" s="22" t="n">
        <f aca="false">IF(ISBLANK(Actuals!H92),-245*Escalation!$B$4,Actuals!H92)</f>
        <v>-245</v>
      </c>
      <c r="H179" s="22" t="n">
        <f aca="false">IF(ISBLANK(Actuals!I92),-245*Escalation!$B$5,Actuals!I92)</f>
        <v>-245</v>
      </c>
      <c r="I179" s="22" t="n">
        <f aca="false">IF(ISBLANK(Actuals!J92),-245*Escalation!$B$6,Actuals!J92)</f>
        <v>-245</v>
      </c>
      <c r="J179" s="22" t="n">
        <f aca="false">IF(ISBLANK(Actuals!K92),-245*Escalation!$B$7,Actuals!K92)</f>
        <v>-245</v>
      </c>
      <c r="K179" s="22" t="n">
        <f aca="false">IF(ISBLANK(Actuals!L92),-245*Escalation!$B$8,Actuals!L92)</f>
        <v>-245</v>
      </c>
      <c r="L179" s="22" t="n">
        <f aca="false">IF(ISBLANK(Actuals!M92),-245*Escalation!$B$9,Actuals!M92)</f>
        <v>-245</v>
      </c>
      <c r="M179" s="22" t="n">
        <f aca="false">IF(ISBLANK(Actuals!N92),-245*Escalation!$B$10,Actuals!N92)</f>
        <v>-245</v>
      </c>
      <c r="N179" s="22" t="n">
        <f aca="false">IF(ISBLANK(Actuals!O92),-245*Escalation!$B$11,Actuals!O92)</f>
        <v>-245</v>
      </c>
      <c r="O179" s="22" t="n">
        <f aca="false">IF(ISBLANK(Actuals!P92),-245*Escalation!$B$12,Actuals!P92)</f>
        <v>-245</v>
      </c>
      <c r="P179" s="22" t="n">
        <f aca="false">IF(ISBLANK(Actuals!Q92),-245*Escalation!$B$13,Actuals!Q92)</f>
        <v>-245</v>
      </c>
      <c r="Q179" s="22" t="n">
        <f aca="false">IF(ISBLANK(Actuals!R92),-245*Escalation!$B$14,Actuals!R92)</f>
        <v>-249.9</v>
      </c>
      <c r="R179" s="22" t="n">
        <f aca="false">IF(ISBLANK(Actuals!S92),-245*Escalation!$B$15,Actuals!S92)</f>
        <v>-249.9</v>
      </c>
      <c r="S179" s="22" t="n">
        <f aca="false">IF(ISBLANK(Actuals!T92),-245*Escalation!$B$16,Actuals!T92)</f>
        <v>-249.9</v>
      </c>
      <c r="T179" s="22" t="n">
        <f aca="false">IF(ISBLANK(Actuals!U92),-245*Escalation!$B$17,Actuals!U92)</f>
        <v>-249.9</v>
      </c>
      <c r="U179" s="22" t="n">
        <f aca="false">IF(ISBLANK(Actuals!V92),-245*Escalation!$B$18,Actuals!V92)</f>
        <v>-249.9</v>
      </c>
      <c r="V179" s="22" t="n">
        <f aca="false">IF(ISBLANK(Actuals!W92),-245*Escalation!$B$19,Actuals!W92)</f>
        <v>-249.9</v>
      </c>
      <c r="W179" s="22" t="n">
        <f aca="false">IF(ISBLANK(Actuals!X92),-245*Escalation!$B$20,Actuals!X92)</f>
        <v>-249.9</v>
      </c>
      <c r="X179" s="22" t="n">
        <f aca="false">IF(ISBLANK(Actuals!Y92),-245*Escalation!$B$21,Actuals!Y92)</f>
        <v>-249.9</v>
      </c>
      <c r="Y179" s="22" t="n">
        <f aca="false">IF(ISBLANK(Actuals!Z92),-245*Escalation!$B$22,Actuals!Z92)</f>
        <v>-249.9</v>
      </c>
      <c r="Z179" s="22" t="n">
        <f aca="false">IF(ISBLANK(Actuals!AA92),-245*Escalation!$B$23,Actuals!AA92)</f>
        <v>-249.9</v>
      </c>
      <c r="AA179" s="22" t="n">
        <f aca="false">IF(ISBLANK(Actuals!AB92),-245*Escalation!$B$24,Actuals!AB92)</f>
        <v>-249.9</v>
      </c>
      <c r="AB179" s="22" t="n">
        <f aca="false">IF(ISBLANK(Actuals!AC92),-245*Escalation!$B$25,Actuals!AC92)</f>
        <v>-249.9</v>
      </c>
      <c r="AC179" s="22" t="n">
        <f aca="false">IF(ISBLANK(Actuals!AD92),-245*Escalation!$B$26,Actuals!AD92)</f>
        <v>-254.898</v>
      </c>
      <c r="AD179" s="22" t="n">
        <f aca="false">IF(ISBLANK(Actuals!AE92),-245*Escalation!$B$27,Actuals!AE92)</f>
        <v>-254.898</v>
      </c>
      <c r="AE179" s="22" t="n">
        <f aca="false">IF(ISBLANK(Actuals!AF92),-245*Escalation!$B$28,Actuals!AF92)</f>
        <v>-254.898</v>
      </c>
      <c r="AF179" s="22" t="n">
        <f aca="false">IF(ISBLANK(Actuals!AG92),-245*Escalation!$B$29,Actuals!AG92)</f>
        <v>-254.898</v>
      </c>
      <c r="AG179" s="22" t="n">
        <f aca="false">IF(ISBLANK(Actuals!AH92),-245*Escalation!$B$30,Actuals!AH92)</f>
        <v>-254.898</v>
      </c>
      <c r="AH179" s="22" t="n">
        <f aca="false">IF(ISBLANK(Actuals!AI92),-245*Escalation!$B$31,Actuals!AI92)</f>
        <v>-254.898</v>
      </c>
      <c r="AI179" s="22" t="n">
        <f aca="false">IF(ISBLANK(Actuals!AJ92),-245*Escalation!$B$32,Actuals!AJ92)</f>
        <v>-254.898</v>
      </c>
      <c r="AJ179" s="22" t="n">
        <f aca="false">IF(ISBLANK(Actuals!AK92),-245*Escalation!$B$33,Actuals!AK92)</f>
        <v>-254.898</v>
      </c>
      <c r="AK179" s="22" t="n">
        <f aca="false">IF(ISBLANK(Actuals!AL92),-245*Escalation!$B$34,Actuals!AL92)</f>
        <v>-254.898</v>
      </c>
      <c r="AL179" s="22" t="n">
        <f aca="false">IF(ISBLANK(Actuals!AM92),-245*Escalation!$B$35,Actuals!AM92)</f>
        <v>-254.898</v>
      </c>
      <c r="AM179" s="22" t="n">
        <f aca="false">IF(ISBLANK(Actuals!AN92),-245*Escalation!$B$36,Actuals!AN92)</f>
        <v>-254.898</v>
      </c>
      <c r="AN179" s="22" t="n">
        <f aca="false">IF(ISBLANK(Actuals!AO92),-245*Escalation!$B$37,Actuals!AO92)</f>
        <v>-254.898</v>
      </c>
      <c r="AO179" s="22" t="n">
        <f aca="false">IF(ISBLANK(Actuals!AP92),-245*Escalation!$B$38,Actuals!AP92)</f>
        <v>-259.99596</v>
      </c>
      <c r="AP179" s="22" t="n">
        <f aca="false">IF(ISBLANK(Actuals!AQ92),-245*Escalation!$B$39,Actuals!AQ92)</f>
        <v>-259.99596</v>
      </c>
      <c r="AQ179" s="22" t="n">
        <f aca="false">IF(ISBLANK(Actuals!AR92),-245*Escalation!$B$40,Actuals!AR92)</f>
        <v>-259.99596</v>
      </c>
      <c r="AR179" s="22" t="n">
        <f aca="false">IF(ISBLANK(Actuals!AS92),-245*Escalation!$B$41,Actuals!AS92)</f>
        <v>-259.99596</v>
      </c>
      <c r="AS179" s="22" t="n">
        <f aca="false">IF(ISBLANK(Actuals!AT92),-245*Escalation!$B$42,Actuals!AT92)</f>
        <v>-259.99596</v>
      </c>
      <c r="AT179" s="22" t="n">
        <f aca="false">IF(ISBLANK(Actuals!AU92),-245*Escalation!$B$43,Actuals!AU92)</f>
        <v>-259.99596</v>
      </c>
      <c r="AU179" s="22" t="n">
        <f aca="false">IF(ISBLANK(Actuals!AV92),-245*Escalation!$B$44,Actuals!AV92)</f>
        <v>-259.99596</v>
      </c>
      <c r="AV179" s="22" t="n">
        <f aca="false">IF(ISBLANK(Actuals!AW92),-245*Escalation!$B$45,Actuals!AW92)</f>
        <v>-259.99596</v>
      </c>
      <c r="AW179" s="22" t="n">
        <f aca="false">IF(ISBLANK(Actuals!AX92),-245*Escalation!$B$46,Actuals!AX92)</f>
        <v>-259.99596</v>
      </c>
      <c r="AX179" s="22" t="n">
        <f aca="false">IF(ISBLANK(Actuals!AY92),-245*Escalation!$B$47,Actuals!AY92)</f>
        <v>-259.99596</v>
      </c>
      <c r="AY179" s="22" t="n">
        <f aca="false">IF(ISBLANK(Actuals!AZ92),-245*Escalation!$B$48,Actuals!AZ92)</f>
        <v>-259.99596</v>
      </c>
      <c r="AZ179" s="22" t="n">
        <f aca="false">IF(ISBLANK(Actuals!BA92),-245*Escalation!$B$49,Actuals!BA92)</f>
        <v>-259.99596</v>
      </c>
      <c r="BA179" s="22" t="n">
        <f aca="false">IF(ISBLANK(Actuals!BB92),-245*Escalation!$B$50,Actuals!BB92)</f>
        <v>-265.1958792</v>
      </c>
      <c r="BB179" s="22" t="n">
        <f aca="false">IF(ISBLANK(Actuals!BC92),-245*Escalation!$B$51,Actuals!BC92)</f>
        <v>-265.1958792</v>
      </c>
      <c r="BC179" s="22" t="n">
        <f aca="false">IF(ISBLANK(Actuals!BD92),-245*Escalation!$B$52,Actuals!BD92)</f>
        <v>-265.1958792</v>
      </c>
      <c r="BD179" s="22" t="n">
        <f aca="false">IF(ISBLANK(Actuals!BE92),-245*Escalation!$B$53,Actuals!BE92)</f>
        <v>-265.1958792</v>
      </c>
      <c r="BE179" s="22" t="n">
        <f aca="false">IF(ISBLANK(Actuals!BF92),-245*Escalation!$B$54,Actuals!BF92)</f>
        <v>-265.1958792</v>
      </c>
      <c r="BF179" s="22" t="n">
        <f aca="false">IF(ISBLANK(Actuals!BG92),-245*Escalation!$B$55,Actuals!BG92)</f>
        <v>-265.1958792</v>
      </c>
      <c r="BG179" s="22" t="n">
        <f aca="false">IF(ISBLANK(Actuals!BH92),-245*Escalation!$B$56,Actuals!BH92)</f>
        <v>-265.1958792</v>
      </c>
      <c r="BH179" s="22" t="n">
        <f aca="false">IF(ISBLANK(Actuals!BI92),-245*Escalation!$B$57,Actuals!BI92)</f>
        <v>-265.1958792</v>
      </c>
      <c r="BI179" s="22" t="n">
        <f aca="false">IF(ISBLANK(Actuals!BJ92),-245*Escalation!$B$58,Actuals!BJ92)</f>
        <v>-265.1958792</v>
      </c>
      <c r="BJ179" s="22" t="n">
        <f aca="false">IF(ISBLANK(Actuals!BK92),-245*Escalation!$B$59,Actuals!BK92)</f>
        <v>-265.1958792</v>
      </c>
      <c r="BK179" s="22" t="n">
        <f aca="false">IF(ISBLANK(Actuals!BL92),-245*Escalation!$B$60,Actuals!BL92)</f>
        <v>-265.1958792</v>
      </c>
      <c r="BL179" s="22" t="n">
        <f aca="false">IF(ISBLANK(Actuals!BM92),-245*Escalation!$B$61,Actuals!BM92)</f>
        <v>-265.1958792</v>
      </c>
      <c r="BM179" s="22" t="n">
        <f aca="false">IF(ISBLANK(Actuals!BN92),-245*Escalation!$B$62,Actuals!BN92)</f>
        <v>-270.499796784</v>
      </c>
      <c r="BN179" s="22" t="n">
        <f aca="false">IF(ISBLANK(Actuals!BO92),-245*Escalation!$B$63,Actuals!BO92)</f>
        <v>-270.499796784</v>
      </c>
      <c r="BO179" s="22" t="n">
        <f aca="false">IF(ISBLANK(Actuals!BP92),-245*Escalation!$B$64,Actuals!BP92)</f>
        <v>-270.499796784</v>
      </c>
      <c r="BP179" s="22" t="n">
        <f aca="false">IF(ISBLANK(Actuals!BQ92),-245*Escalation!$B$65,Actuals!BQ92)</f>
        <v>-270.499796784</v>
      </c>
      <c r="BQ179" s="22" t="n">
        <f aca="false">IF(ISBLANK(Actuals!BR92),-245*Escalation!$B$66,Actuals!BR92)</f>
        <v>-270.499796784</v>
      </c>
      <c r="BR179" s="22" t="n">
        <f aca="false">IF(ISBLANK(Actuals!BS92),-245*Escalation!$B$67,Actuals!BS92)</f>
        <v>-270.499796784</v>
      </c>
      <c r="BS179" s="22" t="n">
        <f aca="false">IF(ISBLANK(Actuals!BT92),-245*Escalation!$B$68,Actuals!BT92)</f>
        <v>-270.499796784</v>
      </c>
      <c r="BT179" s="22" t="n">
        <f aca="false">IF(ISBLANK(Actuals!BU92),-245*Escalation!$B$69,Actuals!BU92)</f>
        <v>-270.499796784</v>
      </c>
      <c r="BU179" s="22" t="n">
        <f aca="false">IF(ISBLANK(Actuals!BV92),-245*Escalation!$B$70,Actuals!BV92)</f>
        <v>-270.499796784</v>
      </c>
      <c r="BV179" s="22" t="n">
        <f aca="false">IF(ISBLANK(Actuals!BW92),-245*Escalation!$B$71,Actuals!BW92)</f>
        <v>-270.499796784</v>
      </c>
      <c r="BW179" s="22" t="n">
        <f aca="false">IF(ISBLANK(Actuals!BX92),-245*Escalation!$B$72,Actuals!BX92)</f>
        <v>-270.499796784</v>
      </c>
      <c r="BX179" s="22" t="n">
        <f aca="false">IF(ISBLANK(Actuals!BY92),-245*Escalation!$B$73,Actuals!BY92)</f>
        <v>-270.499796784</v>
      </c>
      <c r="BY179" s="22" t="n">
        <f aca="false">IF(ISBLANK(Actuals!BZ92),-245*Escalation!$B$74,Actuals!BZ92)</f>
        <v>-275.90979271968</v>
      </c>
      <c r="BZ179" s="22" t="n">
        <f aca="false">IF(ISBLANK(Actuals!CA92),-245*Escalation!$B$75,Actuals!CA92)</f>
        <v>-275.90979271968</v>
      </c>
      <c r="CA179" s="22" t="n">
        <f aca="false">IF(ISBLANK(Actuals!CB92),-245*Escalation!$B$76,Actuals!CB92)</f>
        <v>-275.90979271968</v>
      </c>
      <c r="CB179" s="22" t="n">
        <f aca="false">IF(ISBLANK(Actuals!CC92),-245*Escalation!$B$77,Actuals!CC92)</f>
        <v>-275.90979271968</v>
      </c>
      <c r="CC179" s="22" t="n">
        <f aca="false">IF(ISBLANK(Actuals!CD92),-245*Escalation!$B$78,Actuals!CD92)</f>
        <v>-275.90979271968</v>
      </c>
      <c r="CD179" s="22" t="n">
        <f aca="false">IF(ISBLANK(Actuals!CE92),-245*Escalation!$B$79,Actuals!CE92)</f>
        <v>-275.90979271968</v>
      </c>
      <c r="CE179" s="22" t="n">
        <f aca="false">IF(ISBLANK(Actuals!CF92),-245*Escalation!$B$80,Actuals!CF92)</f>
        <v>-275.90979271968</v>
      </c>
      <c r="CF179" s="22" t="n">
        <f aca="false">IF(ISBLANK(Actuals!CG92),-245*Escalation!$B$81,Actuals!CG92)</f>
        <v>-275.90979271968</v>
      </c>
      <c r="CG179" s="22" t="n">
        <f aca="false">IF(ISBLANK(Actuals!CH92),-245*Escalation!$B$82,Actuals!CH92)</f>
        <v>-275.90979271968</v>
      </c>
      <c r="CH179" s="22" t="n">
        <f aca="false">IF(ISBLANK(Actuals!CI92),-245*Escalation!$B$83,Actuals!CI92)</f>
        <v>-275.90979271968</v>
      </c>
      <c r="CI179" s="22" t="n">
        <f aca="false">IF(ISBLANK(Actuals!CJ92),-245*Escalation!$B$84,Actuals!CJ92)</f>
        <v>-275.90979271968</v>
      </c>
      <c r="CJ179" s="22" t="n">
        <f aca="false">IF(ISBLANK(Actuals!CK92),-245*Escalation!$B$85,Actuals!CK92)</f>
        <v>-275.90979271968</v>
      </c>
      <c r="CK179" s="22" t="n">
        <f aca="false">IF(ISBLANK(Actuals!CL92),-245*Escalation!$B$86,Actuals!CL92)</f>
        <v>-281.427988574074</v>
      </c>
      <c r="CL179" s="22" t="n">
        <f aca="false">IF(ISBLANK(Actuals!CM92),-245*Escalation!$B$87,Actuals!CM92)</f>
        <v>-281.427988574074</v>
      </c>
      <c r="CM179" s="22" t="n">
        <f aca="false">IF(ISBLANK(Actuals!CN92),-245*Escalation!$B$88,Actuals!CN92)</f>
        <v>-281.427988574074</v>
      </c>
      <c r="CN179" s="22" t="n">
        <f aca="false">IF(ISBLANK(Actuals!CO92),-245*Escalation!$B$89,Actuals!CO92)</f>
        <v>-281.427988574074</v>
      </c>
      <c r="CO179" s="22" t="n">
        <f aca="false">IF(ISBLANK(Actuals!CP92),-245*Escalation!$B$90,Actuals!CP92)</f>
        <v>-281.427988574074</v>
      </c>
      <c r="CP179" s="22" t="n">
        <f aca="false">IF(ISBLANK(Actuals!CQ92),-245*Escalation!$B$91,Actuals!CQ92)</f>
        <v>-281.427988574074</v>
      </c>
      <c r="CQ179" s="22" t="n">
        <f aca="false">IF(ISBLANK(Actuals!CR92),-245*Escalation!$B$92,Actuals!CR92)</f>
        <v>-281.427988574074</v>
      </c>
      <c r="CR179" s="22" t="n">
        <f aca="false">IF(ISBLANK(Actuals!CS92),-245*Escalation!$B$93,Actuals!CS92)</f>
        <v>-281.427988574074</v>
      </c>
      <c r="CS179" s="22" t="n">
        <f aca="false">IF(ISBLANK(Actuals!CT92),-245*Escalation!$B$94,Actuals!CT92)</f>
        <v>-281.427988574074</v>
      </c>
      <c r="CT179" s="22" t="n">
        <f aca="false">IF(ISBLANK(Actuals!CU92),-245*Escalation!$B$95,Actuals!CU92)</f>
        <v>-281.427988574074</v>
      </c>
      <c r="CU179" s="22" t="n">
        <f aca="false">IF(ISBLANK(Actuals!CV92),-245*Escalation!$B$96,Actuals!CV92)</f>
        <v>-281.427988574074</v>
      </c>
      <c r="CV179" s="22" t="n">
        <f aca="false">IF(ISBLANK(Actuals!CW92),-245*Escalation!$B$97,Actuals!CW92)</f>
        <v>-281.427988574074</v>
      </c>
      <c r="CW179" s="22" t="n">
        <f aca="false">IF(ISBLANK(Actuals!CX92),-245*Escalation!$B$98,Actuals!CX92)</f>
        <v>-287.056548345555</v>
      </c>
      <c r="CX179" s="22" t="n">
        <f aca="false">IF(ISBLANK(Actuals!CY92),-245*Escalation!$B$99,Actuals!CY92)</f>
        <v>-287.056548345555</v>
      </c>
      <c r="CY179" s="22" t="n">
        <f aca="false">IF(ISBLANK(Actuals!CZ92),-245*Escalation!$B$100,Actuals!CZ92)</f>
        <v>-287.056548345555</v>
      </c>
      <c r="CZ179" s="22" t="n">
        <f aca="false">IF(ISBLANK(Actuals!DA92),-245*Escalation!$B$101,Actuals!DA92)</f>
        <v>-287.056548345555</v>
      </c>
      <c r="DA179" s="22" t="n">
        <f aca="false">IF(ISBLANK(Actuals!DB92),-245*Escalation!$B$102,Actuals!DB92)</f>
        <v>-287.056548345555</v>
      </c>
      <c r="DB179" s="22" t="n">
        <f aca="false">IF(ISBLANK(Actuals!DC92),-245*Escalation!$B$103,Actuals!DC92)</f>
        <v>-287.056548345555</v>
      </c>
      <c r="DC179" s="22" t="n">
        <f aca="false">IF(ISBLANK(Actuals!DD92),-245*Escalation!$B$104,Actuals!DD92)</f>
        <v>-287.056548345555</v>
      </c>
      <c r="DD179" s="22" t="n">
        <f aca="false">IF(ISBLANK(Actuals!DE92),-245*Escalation!$B$105,Actuals!DE92)</f>
        <v>-287.056548345555</v>
      </c>
      <c r="DE179" s="22" t="n">
        <f aca="false">IF(ISBLANK(Actuals!DF92),-245*Escalation!$B$106,Actuals!DF92)</f>
        <v>-287.056548345555</v>
      </c>
    </row>
    <row r="180" customFormat="false" ht="15" hidden="false" customHeight="true" outlineLevel="0" collapsed="false">
      <c r="A180" s="44" t="s">
        <v>120</v>
      </c>
      <c r="B180" s="22" t="n">
        <f aca="false">IF(ISBLANK(Actuals!C93),0,Actuals!C93)</f>
        <v>-986.57</v>
      </c>
      <c r="C180" s="22" t="n">
        <f aca="false">IF(ISBLANK(Actuals!D93),0,Actuals!D93)</f>
        <v>-1254.61</v>
      </c>
      <c r="D180" s="22" t="n">
        <f aca="false">IF(ISBLANK(Actuals!E93),0,Actuals!E93)</f>
        <v>-1297.31</v>
      </c>
      <c r="E180" s="22" t="n">
        <f aca="false">IF(ISBLANK(Actuals!F93),-1179.5*Escalation!$B$2,Actuals!F93)</f>
        <v>-48.78</v>
      </c>
      <c r="F180" s="22" t="n">
        <f aca="false">IF(ISBLANK(Actuals!G93),-1179.5*Escalation!$B$3,Actuals!G93)</f>
        <v>-4199.86</v>
      </c>
      <c r="G180" s="22" t="n">
        <f aca="false">IF(ISBLANK(Actuals!H93),-1179.5*Escalation!$B$4,Actuals!H93)</f>
        <v>-3433.39</v>
      </c>
      <c r="H180" s="22" t="n">
        <f aca="false">IF(ISBLANK(Actuals!I93),-1179.5*Escalation!$B$5,Actuals!I93)</f>
        <v>-1179.5</v>
      </c>
      <c r="I180" s="22" t="n">
        <f aca="false">IF(ISBLANK(Actuals!J93),-1179.5*Escalation!$B$6,Actuals!J93)</f>
        <v>-1179.5</v>
      </c>
      <c r="J180" s="22" t="n">
        <f aca="false">IF(ISBLANK(Actuals!K93),-1179.5*Escalation!$B$7,Actuals!K93)</f>
        <v>-1179.5</v>
      </c>
      <c r="K180" s="22" t="n">
        <f aca="false">IF(ISBLANK(Actuals!L93),-1179.5*Escalation!$B$8,Actuals!L93)</f>
        <v>-1179.5</v>
      </c>
      <c r="L180" s="22" t="n">
        <f aca="false">IF(ISBLANK(Actuals!M93),-1179.5*Escalation!$B$9,Actuals!M93)</f>
        <v>-1179.5</v>
      </c>
      <c r="M180" s="22" t="n">
        <f aca="false">IF(ISBLANK(Actuals!N93),-1179.5*Escalation!$B$10,Actuals!N93)</f>
        <v>-1179.5</v>
      </c>
      <c r="N180" s="22" t="n">
        <f aca="false">IF(ISBLANK(Actuals!O93),-1179.5*Escalation!$B$11,Actuals!O93)</f>
        <v>-1179.5</v>
      </c>
      <c r="O180" s="22" t="n">
        <f aca="false">IF(ISBLANK(Actuals!P93),-1179.5*Escalation!$B$12,Actuals!P93)</f>
        <v>-1179.5</v>
      </c>
      <c r="P180" s="22" t="n">
        <f aca="false">IF(ISBLANK(Actuals!Q93),-1179.5*Escalation!$B$13,Actuals!Q93)</f>
        <v>-1179.5</v>
      </c>
      <c r="Q180" s="22" t="n">
        <f aca="false">IF(ISBLANK(Actuals!R93),-1179.5*Escalation!$B$14,Actuals!R93)</f>
        <v>-1203.09</v>
      </c>
      <c r="R180" s="22" t="n">
        <f aca="false">IF(ISBLANK(Actuals!S93),-1179.5*Escalation!$B$15,Actuals!S93)</f>
        <v>-1203.09</v>
      </c>
      <c r="S180" s="22" t="n">
        <f aca="false">IF(ISBLANK(Actuals!T93),-1179.5*Escalation!$B$16,Actuals!T93)</f>
        <v>-1203.09</v>
      </c>
      <c r="T180" s="22" t="n">
        <f aca="false">IF(ISBLANK(Actuals!U93),-1179.5*Escalation!$B$17,Actuals!U93)</f>
        <v>-1203.09</v>
      </c>
      <c r="U180" s="22" t="n">
        <f aca="false">IF(ISBLANK(Actuals!V93),-1179.5*Escalation!$B$18,Actuals!V93)</f>
        <v>-1203.09</v>
      </c>
      <c r="V180" s="22" t="n">
        <f aca="false">IF(ISBLANK(Actuals!W93),-1179.5*Escalation!$B$19,Actuals!W93)</f>
        <v>-1203.09</v>
      </c>
      <c r="W180" s="22" t="n">
        <f aca="false">IF(ISBLANK(Actuals!X93),-1179.5*Escalation!$B$20,Actuals!X93)</f>
        <v>-1203.09</v>
      </c>
      <c r="X180" s="22" t="n">
        <f aca="false">IF(ISBLANK(Actuals!Y93),-1179.5*Escalation!$B$21,Actuals!Y93)</f>
        <v>-1203.09</v>
      </c>
      <c r="Y180" s="22" t="n">
        <f aca="false">IF(ISBLANK(Actuals!Z93),-1179.5*Escalation!$B$22,Actuals!Z93)</f>
        <v>-1203.09</v>
      </c>
      <c r="Z180" s="22" t="n">
        <f aca="false">IF(ISBLANK(Actuals!AA93),-1179.5*Escalation!$B$23,Actuals!AA93)</f>
        <v>-1203.09</v>
      </c>
      <c r="AA180" s="22" t="n">
        <f aca="false">IF(ISBLANK(Actuals!AB93),-1179.5*Escalation!$B$24,Actuals!AB93)</f>
        <v>-1203.09</v>
      </c>
      <c r="AB180" s="22" t="n">
        <f aca="false">IF(ISBLANK(Actuals!AC93),-1179.5*Escalation!$B$25,Actuals!AC93)</f>
        <v>-1203.09</v>
      </c>
      <c r="AC180" s="22" t="n">
        <f aca="false">IF(ISBLANK(Actuals!AD93),-1179.5*Escalation!$B$26,Actuals!AD93)</f>
        <v>-1227.1518</v>
      </c>
      <c r="AD180" s="22" t="n">
        <f aca="false">IF(ISBLANK(Actuals!AE93),-1179.5*Escalation!$B$27,Actuals!AE93)</f>
        <v>-1227.1518</v>
      </c>
      <c r="AE180" s="22" t="n">
        <f aca="false">IF(ISBLANK(Actuals!AF93),-1179.5*Escalation!$B$28,Actuals!AF93)</f>
        <v>-1227.1518</v>
      </c>
      <c r="AF180" s="22" t="n">
        <f aca="false">IF(ISBLANK(Actuals!AG93),-1179.5*Escalation!$B$29,Actuals!AG93)</f>
        <v>-1227.1518</v>
      </c>
      <c r="AG180" s="22" t="n">
        <f aca="false">IF(ISBLANK(Actuals!AH93),-1179.5*Escalation!$B$30,Actuals!AH93)</f>
        <v>-1227.1518</v>
      </c>
      <c r="AH180" s="22" t="n">
        <f aca="false">IF(ISBLANK(Actuals!AI93),-1179.5*Escalation!$B$31,Actuals!AI93)</f>
        <v>-1227.1518</v>
      </c>
      <c r="AI180" s="22" t="n">
        <f aca="false">IF(ISBLANK(Actuals!AJ93),-1179.5*Escalation!$B$32,Actuals!AJ93)</f>
        <v>-1227.1518</v>
      </c>
      <c r="AJ180" s="22" t="n">
        <f aca="false">IF(ISBLANK(Actuals!AK93),-1179.5*Escalation!$B$33,Actuals!AK93)</f>
        <v>-1227.1518</v>
      </c>
      <c r="AK180" s="22" t="n">
        <f aca="false">IF(ISBLANK(Actuals!AL93),-1179.5*Escalation!$B$34,Actuals!AL93)</f>
        <v>-1227.1518</v>
      </c>
      <c r="AL180" s="22" t="n">
        <f aca="false">IF(ISBLANK(Actuals!AM93),-1179.5*Escalation!$B$35,Actuals!AM93)</f>
        <v>-1227.1518</v>
      </c>
      <c r="AM180" s="22" t="n">
        <f aca="false">IF(ISBLANK(Actuals!AN93),-1179.5*Escalation!$B$36,Actuals!AN93)</f>
        <v>-1227.1518</v>
      </c>
      <c r="AN180" s="22" t="n">
        <f aca="false">IF(ISBLANK(Actuals!AO93),-1179.5*Escalation!$B$37,Actuals!AO93)</f>
        <v>-1227.1518</v>
      </c>
      <c r="AO180" s="22" t="n">
        <f aca="false">IF(ISBLANK(Actuals!AP93),-1179.5*Escalation!$B$38,Actuals!AP93)</f>
        <v>-1251.694836</v>
      </c>
      <c r="AP180" s="22" t="n">
        <f aca="false">IF(ISBLANK(Actuals!AQ93),-1179.5*Escalation!$B$39,Actuals!AQ93)</f>
        <v>-1251.694836</v>
      </c>
      <c r="AQ180" s="22" t="n">
        <f aca="false">IF(ISBLANK(Actuals!AR93),-1179.5*Escalation!$B$40,Actuals!AR93)</f>
        <v>-1251.694836</v>
      </c>
      <c r="AR180" s="22" t="n">
        <f aca="false">IF(ISBLANK(Actuals!AS93),-1179.5*Escalation!$B$41,Actuals!AS93)</f>
        <v>-1251.694836</v>
      </c>
      <c r="AS180" s="22" t="n">
        <f aca="false">IF(ISBLANK(Actuals!AT93),-1179.5*Escalation!$B$42,Actuals!AT93)</f>
        <v>-1251.694836</v>
      </c>
      <c r="AT180" s="22" t="n">
        <f aca="false">IF(ISBLANK(Actuals!AU93),-1179.5*Escalation!$B$43,Actuals!AU93)</f>
        <v>-1251.694836</v>
      </c>
      <c r="AU180" s="22" t="n">
        <f aca="false">IF(ISBLANK(Actuals!AV93),-1179.5*Escalation!$B$44,Actuals!AV93)</f>
        <v>-1251.694836</v>
      </c>
      <c r="AV180" s="22" t="n">
        <f aca="false">IF(ISBLANK(Actuals!AW93),-1179.5*Escalation!$B$45,Actuals!AW93)</f>
        <v>-1251.694836</v>
      </c>
      <c r="AW180" s="22" t="n">
        <f aca="false">IF(ISBLANK(Actuals!AX93),-1179.5*Escalation!$B$46,Actuals!AX93)</f>
        <v>-1251.694836</v>
      </c>
      <c r="AX180" s="22" t="n">
        <f aca="false">IF(ISBLANK(Actuals!AY93),-1179.5*Escalation!$B$47,Actuals!AY93)</f>
        <v>-1251.694836</v>
      </c>
      <c r="AY180" s="22" t="n">
        <f aca="false">IF(ISBLANK(Actuals!AZ93),-1179.5*Escalation!$B$48,Actuals!AZ93)</f>
        <v>-1251.694836</v>
      </c>
      <c r="AZ180" s="22" t="n">
        <f aca="false">IF(ISBLANK(Actuals!BA93),-1179.5*Escalation!$B$49,Actuals!BA93)</f>
        <v>-1251.694836</v>
      </c>
      <c r="BA180" s="22" t="n">
        <f aca="false">IF(ISBLANK(Actuals!BB93),-1179.5*Escalation!$B$50,Actuals!BB93)</f>
        <v>-1276.72873272</v>
      </c>
      <c r="BB180" s="22" t="n">
        <f aca="false">IF(ISBLANK(Actuals!BC93),-1179.5*Escalation!$B$51,Actuals!BC93)</f>
        <v>-1276.72873272</v>
      </c>
      <c r="BC180" s="22" t="n">
        <f aca="false">IF(ISBLANK(Actuals!BD93),-1179.5*Escalation!$B$52,Actuals!BD93)</f>
        <v>-1276.72873272</v>
      </c>
      <c r="BD180" s="22" t="n">
        <f aca="false">IF(ISBLANK(Actuals!BE93),-1179.5*Escalation!$B$53,Actuals!BE93)</f>
        <v>-1276.72873272</v>
      </c>
      <c r="BE180" s="22" t="n">
        <f aca="false">IF(ISBLANK(Actuals!BF93),-1179.5*Escalation!$B$54,Actuals!BF93)</f>
        <v>-1276.72873272</v>
      </c>
      <c r="BF180" s="22" t="n">
        <f aca="false">IF(ISBLANK(Actuals!BG93),-1179.5*Escalation!$B$55,Actuals!BG93)</f>
        <v>-1276.72873272</v>
      </c>
      <c r="BG180" s="22" t="n">
        <f aca="false">IF(ISBLANK(Actuals!BH93),-1179.5*Escalation!$B$56,Actuals!BH93)</f>
        <v>-1276.72873272</v>
      </c>
      <c r="BH180" s="22" t="n">
        <f aca="false">IF(ISBLANK(Actuals!BI93),-1179.5*Escalation!$B$57,Actuals!BI93)</f>
        <v>-1276.72873272</v>
      </c>
      <c r="BI180" s="22" t="n">
        <f aca="false">IF(ISBLANK(Actuals!BJ93),-1179.5*Escalation!$B$58,Actuals!BJ93)</f>
        <v>-1276.72873272</v>
      </c>
      <c r="BJ180" s="22" t="n">
        <f aca="false">IF(ISBLANK(Actuals!BK93),-1179.5*Escalation!$B$59,Actuals!BK93)</f>
        <v>-1276.72873272</v>
      </c>
      <c r="BK180" s="22" t="n">
        <f aca="false">IF(ISBLANK(Actuals!BL93),-1179.5*Escalation!$B$60,Actuals!BL93)</f>
        <v>-1276.72873272</v>
      </c>
      <c r="BL180" s="22" t="n">
        <f aca="false">IF(ISBLANK(Actuals!BM93),-1179.5*Escalation!$B$61,Actuals!BM93)</f>
        <v>-1276.72873272</v>
      </c>
      <c r="BM180" s="22" t="n">
        <f aca="false">IF(ISBLANK(Actuals!BN93),-1179.5*Escalation!$B$62,Actuals!BN93)</f>
        <v>-1302.2633073744</v>
      </c>
      <c r="BN180" s="22" t="n">
        <f aca="false">IF(ISBLANK(Actuals!BO93),-1179.5*Escalation!$B$63,Actuals!BO93)</f>
        <v>-1302.2633073744</v>
      </c>
      <c r="BO180" s="22" t="n">
        <f aca="false">IF(ISBLANK(Actuals!BP93),-1179.5*Escalation!$B$64,Actuals!BP93)</f>
        <v>-1302.2633073744</v>
      </c>
      <c r="BP180" s="22" t="n">
        <f aca="false">IF(ISBLANK(Actuals!BQ93),-1179.5*Escalation!$B$65,Actuals!BQ93)</f>
        <v>-1302.2633073744</v>
      </c>
      <c r="BQ180" s="22" t="n">
        <f aca="false">IF(ISBLANK(Actuals!BR93),-1179.5*Escalation!$B$66,Actuals!BR93)</f>
        <v>-1302.2633073744</v>
      </c>
      <c r="BR180" s="22" t="n">
        <f aca="false">IF(ISBLANK(Actuals!BS93),-1179.5*Escalation!$B$67,Actuals!BS93)</f>
        <v>-1302.2633073744</v>
      </c>
      <c r="BS180" s="22" t="n">
        <f aca="false">IF(ISBLANK(Actuals!BT93),-1179.5*Escalation!$B$68,Actuals!BT93)</f>
        <v>-1302.2633073744</v>
      </c>
      <c r="BT180" s="22" t="n">
        <f aca="false">IF(ISBLANK(Actuals!BU93),-1179.5*Escalation!$B$69,Actuals!BU93)</f>
        <v>-1302.2633073744</v>
      </c>
      <c r="BU180" s="22" t="n">
        <f aca="false">IF(ISBLANK(Actuals!BV93),-1179.5*Escalation!$B$70,Actuals!BV93)</f>
        <v>-1302.2633073744</v>
      </c>
      <c r="BV180" s="22" t="n">
        <f aca="false">IF(ISBLANK(Actuals!BW93),-1179.5*Escalation!$B$71,Actuals!BW93)</f>
        <v>-1302.2633073744</v>
      </c>
      <c r="BW180" s="22" t="n">
        <f aca="false">IF(ISBLANK(Actuals!BX93),-1179.5*Escalation!$B$72,Actuals!BX93)</f>
        <v>-1302.2633073744</v>
      </c>
      <c r="BX180" s="22" t="n">
        <f aca="false">IF(ISBLANK(Actuals!BY93),-1179.5*Escalation!$B$73,Actuals!BY93)</f>
        <v>-1302.2633073744</v>
      </c>
      <c r="BY180" s="22" t="n">
        <f aca="false">IF(ISBLANK(Actuals!BZ93),-1179.5*Escalation!$B$74,Actuals!BZ93)</f>
        <v>-1328.30857352189</v>
      </c>
      <c r="BZ180" s="22" t="n">
        <f aca="false">IF(ISBLANK(Actuals!CA93),-1179.5*Escalation!$B$75,Actuals!CA93)</f>
        <v>-1328.30857352189</v>
      </c>
      <c r="CA180" s="22" t="n">
        <f aca="false">IF(ISBLANK(Actuals!CB93),-1179.5*Escalation!$B$76,Actuals!CB93)</f>
        <v>-1328.30857352189</v>
      </c>
      <c r="CB180" s="22" t="n">
        <f aca="false">IF(ISBLANK(Actuals!CC93),-1179.5*Escalation!$B$77,Actuals!CC93)</f>
        <v>-1328.30857352189</v>
      </c>
      <c r="CC180" s="22" t="n">
        <f aca="false">IF(ISBLANK(Actuals!CD93),-1179.5*Escalation!$B$78,Actuals!CD93)</f>
        <v>-1328.30857352189</v>
      </c>
      <c r="CD180" s="22" t="n">
        <f aca="false">IF(ISBLANK(Actuals!CE93),-1179.5*Escalation!$B$79,Actuals!CE93)</f>
        <v>-1328.30857352189</v>
      </c>
      <c r="CE180" s="22" t="n">
        <f aca="false">IF(ISBLANK(Actuals!CF93),-1179.5*Escalation!$B$80,Actuals!CF93)</f>
        <v>-1328.30857352189</v>
      </c>
      <c r="CF180" s="22" t="n">
        <f aca="false">IF(ISBLANK(Actuals!CG93),-1179.5*Escalation!$B$81,Actuals!CG93)</f>
        <v>-1328.30857352189</v>
      </c>
      <c r="CG180" s="22" t="n">
        <f aca="false">IF(ISBLANK(Actuals!CH93),-1179.5*Escalation!$B$82,Actuals!CH93)</f>
        <v>-1328.30857352189</v>
      </c>
      <c r="CH180" s="22" t="n">
        <f aca="false">IF(ISBLANK(Actuals!CI93),-1179.5*Escalation!$B$83,Actuals!CI93)</f>
        <v>-1328.30857352189</v>
      </c>
      <c r="CI180" s="22" t="n">
        <f aca="false">IF(ISBLANK(Actuals!CJ93),-1179.5*Escalation!$B$84,Actuals!CJ93)</f>
        <v>-1328.30857352189</v>
      </c>
      <c r="CJ180" s="22" t="n">
        <f aca="false">IF(ISBLANK(Actuals!CK93),-1179.5*Escalation!$B$85,Actuals!CK93)</f>
        <v>-1328.30857352189</v>
      </c>
      <c r="CK180" s="22" t="n">
        <f aca="false">IF(ISBLANK(Actuals!CL93),-1179.5*Escalation!$B$86,Actuals!CL93)</f>
        <v>-1354.87474499233</v>
      </c>
      <c r="CL180" s="22" t="n">
        <f aca="false">IF(ISBLANK(Actuals!CM93),-1179.5*Escalation!$B$87,Actuals!CM93)</f>
        <v>-1354.87474499233</v>
      </c>
      <c r="CM180" s="22" t="n">
        <f aca="false">IF(ISBLANK(Actuals!CN93),-1179.5*Escalation!$B$88,Actuals!CN93)</f>
        <v>-1354.87474499233</v>
      </c>
      <c r="CN180" s="22" t="n">
        <f aca="false">IF(ISBLANK(Actuals!CO93),-1179.5*Escalation!$B$89,Actuals!CO93)</f>
        <v>-1354.87474499233</v>
      </c>
      <c r="CO180" s="22" t="n">
        <f aca="false">IF(ISBLANK(Actuals!CP93),-1179.5*Escalation!$B$90,Actuals!CP93)</f>
        <v>-1354.87474499233</v>
      </c>
      <c r="CP180" s="22" t="n">
        <f aca="false">IF(ISBLANK(Actuals!CQ93),-1179.5*Escalation!$B$91,Actuals!CQ93)</f>
        <v>-1354.87474499233</v>
      </c>
      <c r="CQ180" s="22" t="n">
        <f aca="false">IF(ISBLANK(Actuals!CR93),-1179.5*Escalation!$B$92,Actuals!CR93)</f>
        <v>-1354.87474499233</v>
      </c>
      <c r="CR180" s="22" t="n">
        <f aca="false">IF(ISBLANK(Actuals!CS93),-1179.5*Escalation!$B$93,Actuals!CS93)</f>
        <v>-1354.87474499233</v>
      </c>
      <c r="CS180" s="22" t="n">
        <f aca="false">IF(ISBLANK(Actuals!CT93),-1179.5*Escalation!$B$94,Actuals!CT93)</f>
        <v>-1354.87474499233</v>
      </c>
      <c r="CT180" s="22" t="n">
        <f aca="false">IF(ISBLANK(Actuals!CU93),-1179.5*Escalation!$B$95,Actuals!CU93)</f>
        <v>-1354.87474499233</v>
      </c>
      <c r="CU180" s="22" t="n">
        <f aca="false">IF(ISBLANK(Actuals!CV93),-1179.5*Escalation!$B$96,Actuals!CV93)</f>
        <v>-1354.87474499233</v>
      </c>
      <c r="CV180" s="22" t="n">
        <f aca="false">IF(ISBLANK(Actuals!CW93),-1179.5*Escalation!$B$97,Actuals!CW93)</f>
        <v>-1354.87474499233</v>
      </c>
      <c r="CW180" s="22" t="n">
        <f aca="false">IF(ISBLANK(Actuals!CX93),-1179.5*Escalation!$B$98,Actuals!CX93)</f>
        <v>-1381.97223989217</v>
      </c>
      <c r="CX180" s="22" t="n">
        <f aca="false">IF(ISBLANK(Actuals!CY93),-1179.5*Escalation!$B$99,Actuals!CY93)</f>
        <v>-1381.97223989217</v>
      </c>
      <c r="CY180" s="22" t="n">
        <f aca="false">IF(ISBLANK(Actuals!CZ93),-1179.5*Escalation!$B$100,Actuals!CZ93)</f>
        <v>-1381.97223989217</v>
      </c>
      <c r="CZ180" s="22" t="n">
        <f aca="false">IF(ISBLANK(Actuals!DA93),-1179.5*Escalation!$B$101,Actuals!DA93)</f>
        <v>-1381.97223989217</v>
      </c>
      <c r="DA180" s="22" t="n">
        <f aca="false">IF(ISBLANK(Actuals!DB93),-1179.5*Escalation!$B$102,Actuals!DB93)</f>
        <v>-1381.97223989217</v>
      </c>
      <c r="DB180" s="22" t="n">
        <f aca="false">IF(ISBLANK(Actuals!DC93),-1179.5*Escalation!$B$103,Actuals!DC93)</f>
        <v>-1381.97223989217</v>
      </c>
      <c r="DC180" s="22" t="n">
        <f aca="false">IF(ISBLANK(Actuals!DD93),-1179.5*Escalation!$B$104,Actuals!DD93)</f>
        <v>-1381.97223989217</v>
      </c>
      <c r="DD180" s="22" t="n">
        <f aca="false">IF(ISBLANK(Actuals!DE93),-1179.5*Escalation!$B$105,Actuals!DE93)</f>
        <v>-1381.97223989217</v>
      </c>
      <c r="DE180" s="22" t="n">
        <f aca="false">IF(ISBLANK(Actuals!DF93),-1179.5*Escalation!$B$106,Actuals!DF93)</f>
        <v>-1381.97223989217</v>
      </c>
    </row>
    <row r="181" customFormat="false" ht="15" hidden="false" customHeight="true" outlineLevel="0" collapsed="false">
      <c r="A181" s="44" t="s">
        <v>121</v>
      </c>
      <c r="B181" s="22" t="n">
        <f aca="false">IF(ISBLANK(Actuals!C94),0,Actuals!C94)</f>
        <v>-588.66</v>
      </c>
      <c r="C181" s="22" t="n">
        <f aca="false">IF(ISBLANK(Actuals!D94),0,Actuals!D94)</f>
        <v>-22.94</v>
      </c>
      <c r="D181" s="22" t="n">
        <f aca="false">IF(ISBLANK(Actuals!E94),0,Actuals!E94)</f>
        <v>-487.3</v>
      </c>
      <c r="E181" s="22" t="n">
        <f aca="false">IF(ISBLANK(Actuals!F94),-366.3*Escalation!$B$2,Actuals!F94)</f>
        <v>-399.98</v>
      </c>
      <c r="F181" s="22" t="n">
        <f aca="false">IF(ISBLANK(Actuals!G94),-366.3*Escalation!$B$3,Actuals!G94)</f>
        <v>-216.15</v>
      </c>
      <c r="G181" s="22" t="n">
        <f aca="false">IF(ISBLANK(Actuals!H94),-366.3*Escalation!$B$4,Actuals!H94)</f>
        <v>-936.05</v>
      </c>
      <c r="H181" s="22" t="n">
        <f aca="false">IF(ISBLANK(Actuals!I94),-366.3*Escalation!$B$5,Actuals!I94)</f>
        <v>-366.3</v>
      </c>
      <c r="I181" s="22" t="n">
        <f aca="false">IF(ISBLANK(Actuals!J94),-366.3*Escalation!$B$6,Actuals!J94)</f>
        <v>-366.3</v>
      </c>
      <c r="J181" s="22" t="n">
        <f aca="false">IF(ISBLANK(Actuals!K94),-366.3*Escalation!$B$7,Actuals!K94)</f>
        <v>-366.3</v>
      </c>
      <c r="K181" s="22" t="n">
        <f aca="false">IF(ISBLANK(Actuals!L94),-366.3*Escalation!$B$8,Actuals!L94)</f>
        <v>-366.3</v>
      </c>
      <c r="L181" s="22" t="n">
        <f aca="false">IF(ISBLANK(Actuals!M94),-366.3*Escalation!$B$9,Actuals!M94)</f>
        <v>-366.3</v>
      </c>
      <c r="M181" s="22" t="n">
        <f aca="false">IF(ISBLANK(Actuals!N94),-366.3*Escalation!$B$10,Actuals!N94)</f>
        <v>-366.3</v>
      </c>
      <c r="N181" s="22" t="n">
        <f aca="false">IF(ISBLANK(Actuals!O94),-366.3*Escalation!$B$11,Actuals!O94)</f>
        <v>-366.3</v>
      </c>
      <c r="O181" s="22" t="n">
        <f aca="false">IF(ISBLANK(Actuals!P94),-366.3*Escalation!$B$12,Actuals!P94)</f>
        <v>-366.3</v>
      </c>
      <c r="P181" s="22" t="n">
        <f aca="false">IF(ISBLANK(Actuals!Q94),-366.3*Escalation!$B$13,Actuals!Q94)</f>
        <v>-366.3</v>
      </c>
      <c r="Q181" s="22" t="n">
        <f aca="false">IF(ISBLANK(Actuals!R94),-366.3*Escalation!$B$14,Actuals!R94)</f>
        <v>-373.626</v>
      </c>
      <c r="R181" s="22" t="n">
        <f aca="false">IF(ISBLANK(Actuals!S94),-366.3*Escalation!$B$15,Actuals!S94)</f>
        <v>-373.626</v>
      </c>
      <c r="S181" s="22" t="n">
        <f aca="false">IF(ISBLANK(Actuals!T94),-366.3*Escalation!$B$16,Actuals!T94)</f>
        <v>-373.626</v>
      </c>
      <c r="T181" s="22" t="n">
        <f aca="false">IF(ISBLANK(Actuals!U94),-366.3*Escalation!$B$17,Actuals!U94)</f>
        <v>-373.626</v>
      </c>
      <c r="U181" s="22" t="n">
        <f aca="false">IF(ISBLANK(Actuals!V94),-366.3*Escalation!$B$18,Actuals!V94)</f>
        <v>-373.626</v>
      </c>
      <c r="V181" s="22" t="n">
        <f aca="false">IF(ISBLANK(Actuals!W94),-366.3*Escalation!$B$19,Actuals!W94)</f>
        <v>-373.626</v>
      </c>
      <c r="W181" s="22" t="n">
        <f aca="false">IF(ISBLANK(Actuals!X94),-366.3*Escalation!$B$20,Actuals!X94)</f>
        <v>-373.626</v>
      </c>
      <c r="X181" s="22" t="n">
        <f aca="false">IF(ISBLANK(Actuals!Y94),-366.3*Escalation!$B$21,Actuals!Y94)</f>
        <v>-373.626</v>
      </c>
      <c r="Y181" s="22" t="n">
        <f aca="false">IF(ISBLANK(Actuals!Z94),-366.3*Escalation!$B$22,Actuals!Z94)</f>
        <v>-373.626</v>
      </c>
      <c r="Z181" s="22" t="n">
        <f aca="false">IF(ISBLANK(Actuals!AA94),-366.3*Escalation!$B$23,Actuals!AA94)</f>
        <v>-373.626</v>
      </c>
      <c r="AA181" s="22" t="n">
        <f aca="false">IF(ISBLANK(Actuals!AB94),-366.3*Escalation!$B$24,Actuals!AB94)</f>
        <v>-373.626</v>
      </c>
      <c r="AB181" s="22" t="n">
        <f aca="false">IF(ISBLANK(Actuals!AC94),-366.3*Escalation!$B$25,Actuals!AC94)</f>
        <v>-373.626</v>
      </c>
      <c r="AC181" s="22" t="n">
        <f aca="false">IF(ISBLANK(Actuals!AD94),-366.3*Escalation!$B$26,Actuals!AD94)</f>
        <v>-381.09852</v>
      </c>
      <c r="AD181" s="22" t="n">
        <f aca="false">IF(ISBLANK(Actuals!AE94),-366.3*Escalation!$B$27,Actuals!AE94)</f>
        <v>-381.09852</v>
      </c>
      <c r="AE181" s="22" t="n">
        <f aca="false">IF(ISBLANK(Actuals!AF94),-366.3*Escalation!$B$28,Actuals!AF94)</f>
        <v>-381.09852</v>
      </c>
      <c r="AF181" s="22" t="n">
        <f aca="false">IF(ISBLANK(Actuals!AG94),-366.3*Escalation!$B$29,Actuals!AG94)</f>
        <v>-381.09852</v>
      </c>
      <c r="AG181" s="22" t="n">
        <f aca="false">IF(ISBLANK(Actuals!AH94),-366.3*Escalation!$B$30,Actuals!AH94)</f>
        <v>-381.09852</v>
      </c>
      <c r="AH181" s="22" t="n">
        <f aca="false">IF(ISBLANK(Actuals!AI94),-366.3*Escalation!$B$31,Actuals!AI94)</f>
        <v>-381.09852</v>
      </c>
      <c r="AI181" s="22" t="n">
        <f aca="false">IF(ISBLANK(Actuals!AJ94),-366.3*Escalation!$B$32,Actuals!AJ94)</f>
        <v>-381.09852</v>
      </c>
      <c r="AJ181" s="22" t="n">
        <f aca="false">IF(ISBLANK(Actuals!AK94),-366.3*Escalation!$B$33,Actuals!AK94)</f>
        <v>-381.09852</v>
      </c>
      <c r="AK181" s="22" t="n">
        <f aca="false">IF(ISBLANK(Actuals!AL94),-366.3*Escalation!$B$34,Actuals!AL94)</f>
        <v>-381.09852</v>
      </c>
      <c r="AL181" s="22" t="n">
        <f aca="false">IF(ISBLANK(Actuals!AM94),-366.3*Escalation!$B$35,Actuals!AM94)</f>
        <v>-381.09852</v>
      </c>
      <c r="AM181" s="22" t="n">
        <f aca="false">IF(ISBLANK(Actuals!AN94),-366.3*Escalation!$B$36,Actuals!AN94)</f>
        <v>-381.09852</v>
      </c>
      <c r="AN181" s="22" t="n">
        <f aca="false">IF(ISBLANK(Actuals!AO94),-366.3*Escalation!$B$37,Actuals!AO94)</f>
        <v>-381.09852</v>
      </c>
      <c r="AO181" s="22" t="n">
        <f aca="false">IF(ISBLANK(Actuals!AP94),-366.3*Escalation!$B$38,Actuals!AP94)</f>
        <v>-388.7204904</v>
      </c>
      <c r="AP181" s="22" t="n">
        <f aca="false">IF(ISBLANK(Actuals!AQ94),-366.3*Escalation!$B$39,Actuals!AQ94)</f>
        <v>-388.7204904</v>
      </c>
      <c r="AQ181" s="22" t="n">
        <f aca="false">IF(ISBLANK(Actuals!AR94),-366.3*Escalation!$B$40,Actuals!AR94)</f>
        <v>-388.7204904</v>
      </c>
      <c r="AR181" s="22" t="n">
        <f aca="false">IF(ISBLANK(Actuals!AS94),-366.3*Escalation!$B$41,Actuals!AS94)</f>
        <v>-388.7204904</v>
      </c>
      <c r="AS181" s="22" t="n">
        <f aca="false">IF(ISBLANK(Actuals!AT94),-366.3*Escalation!$B$42,Actuals!AT94)</f>
        <v>-388.7204904</v>
      </c>
      <c r="AT181" s="22" t="n">
        <f aca="false">IF(ISBLANK(Actuals!AU94),-366.3*Escalation!$B$43,Actuals!AU94)</f>
        <v>-388.7204904</v>
      </c>
      <c r="AU181" s="22" t="n">
        <f aca="false">IF(ISBLANK(Actuals!AV94),-366.3*Escalation!$B$44,Actuals!AV94)</f>
        <v>-388.7204904</v>
      </c>
      <c r="AV181" s="22" t="n">
        <f aca="false">IF(ISBLANK(Actuals!AW94),-366.3*Escalation!$B$45,Actuals!AW94)</f>
        <v>-388.7204904</v>
      </c>
      <c r="AW181" s="22" t="n">
        <f aca="false">IF(ISBLANK(Actuals!AX94),-366.3*Escalation!$B$46,Actuals!AX94)</f>
        <v>-388.7204904</v>
      </c>
      <c r="AX181" s="22" t="n">
        <f aca="false">IF(ISBLANK(Actuals!AY94),-366.3*Escalation!$B$47,Actuals!AY94)</f>
        <v>-388.7204904</v>
      </c>
      <c r="AY181" s="22" t="n">
        <f aca="false">IF(ISBLANK(Actuals!AZ94),-366.3*Escalation!$B$48,Actuals!AZ94)</f>
        <v>-388.7204904</v>
      </c>
      <c r="AZ181" s="22" t="n">
        <f aca="false">IF(ISBLANK(Actuals!BA94),-366.3*Escalation!$B$49,Actuals!BA94)</f>
        <v>-388.7204904</v>
      </c>
      <c r="BA181" s="22" t="n">
        <f aca="false">IF(ISBLANK(Actuals!BB94),-366.3*Escalation!$B$50,Actuals!BB94)</f>
        <v>-396.494900208</v>
      </c>
      <c r="BB181" s="22" t="n">
        <f aca="false">IF(ISBLANK(Actuals!BC94),-366.3*Escalation!$B$51,Actuals!BC94)</f>
        <v>-396.494900208</v>
      </c>
      <c r="BC181" s="22" t="n">
        <f aca="false">IF(ISBLANK(Actuals!BD94),-366.3*Escalation!$B$52,Actuals!BD94)</f>
        <v>-396.494900208</v>
      </c>
      <c r="BD181" s="22" t="n">
        <f aca="false">IF(ISBLANK(Actuals!BE94),-366.3*Escalation!$B$53,Actuals!BE94)</f>
        <v>-396.494900208</v>
      </c>
      <c r="BE181" s="22" t="n">
        <f aca="false">IF(ISBLANK(Actuals!BF94),-366.3*Escalation!$B$54,Actuals!BF94)</f>
        <v>-396.494900208</v>
      </c>
      <c r="BF181" s="22" t="n">
        <f aca="false">IF(ISBLANK(Actuals!BG94),-366.3*Escalation!$B$55,Actuals!BG94)</f>
        <v>-396.494900208</v>
      </c>
      <c r="BG181" s="22" t="n">
        <f aca="false">IF(ISBLANK(Actuals!BH94),-366.3*Escalation!$B$56,Actuals!BH94)</f>
        <v>-396.494900208</v>
      </c>
      <c r="BH181" s="22" t="n">
        <f aca="false">IF(ISBLANK(Actuals!BI94),-366.3*Escalation!$B$57,Actuals!BI94)</f>
        <v>-396.494900208</v>
      </c>
      <c r="BI181" s="22" t="n">
        <f aca="false">IF(ISBLANK(Actuals!BJ94),-366.3*Escalation!$B$58,Actuals!BJ94)</f>
        <v>-396.494900208</v>
      </c>
      <c r="BJ181" s="22" t="n">
        <f aca="false">IF(ISBLANK(Actuals!BK94),-366.3*Escalation!$B$59,Actuals!BK94)</f>
        <v>-396.494900208</v>
      </c>
      <c r="BK181" s="22" t="n">
        <f aca="false">IF(ISBLANK(Actuals!BL94),-366.3*Escalation!$B$60,Actuals!BL94)</f>
        <v>-396.494900208</v>
      </c>
      <c r="BL181" s="22" t="n">
        <f aca="false">IF(ISBLANK(Actuals!BM94),-366.3*Escalation!$B$61,Actuals!BM94)</f>
        <v>-396.494900208</v>
      </c>
      <c r="BM181" s="22" t="n">
        <f aca="false">IF(ISBLANK(Actuals!BN94),-366.3*Escalation!$B$62,Actuals!BN94)</f>
        <v>-404.42479821216</v>
      </c>
      <c r="BN181" s="22" t="n">
        <f aca="false">IF(ISBLANK(Actuals!BO94),-366.3*Escalation!$B$63,Actuals!BO94)</f>
        <v>-404.42479821216</v>
      </c>
      <c r="BO181" s="22" t="n">
        <f aca="false">IF(ISBLANK(Actuals!BP94),-366.3*Escalation!$B$64,Actuals!BP94)</f>
        <v>-404.42479821216</v>
      </c>
      <c r="BP181" s="22" t="n">
        <f aca="false">IF(ISBLANK(Actuals!BQ94),-366.3*Escalation!$B$65,Actuals!BQ94)</f>
        <v>-404.42479821216</v>
      </c>
      <c r="BQ181" s="22" t="n">
        <f aca="false">IF(ISBLANK(Actuals!BR94),-366.3*Escalation!$B$66,Actuals!BR94)</f>
        <v>-404.42479821216</v>
      </c>
      <c r="BR181" s="22" t="n">
        <f aca="false">IF(ISBLANK(Actuals!BS94),-366.3*Escalation!$B$67,Actuals!BS94)</f>
        <v>-404.42479821216</v>
      </c>
      <c r="BS181" s="22" t="n">
        <f aca="false">IF(ISBLANK(Actuals!BT94),-366.3*Escalation!$B$68,Actuals!BT94)</f>
        <v>-404.42479821216</v>
      </c>
      <c r="BT181" s="22" t="n">
        <f aca="false">IF(ISBLANK(Actuals!BU94),-366.3*Escalation!$B$69,Actuals!BU94)</f>
        <v>-404.42479821216</v>
      </c>
      <c r="BU181" s="22" t="n">
        <f aca="false">IF(ISBLANK(Actuals!BV94),-366.3*Escalation!$B$70,Actuals!BV94)</f>
        <v>-404.42479821216</v>
      </c>
      <c r="BV181" s="22" t="n">
        <f aca="false">IF(ISBLANK(Actuals!BW94),-366.3*Escalation!$B$71,Actuals!BW94)</f>
        <v>-404.42479821216</v>
      </c>
      <c r="BW181" s="22" t="n">
        <f aca="false">IF(ISBLANK(Actuals!BX94),-366.3*Escalation!$B$72,Actuals!BX94)</f>
        <v>-404.42479821216</v>
      </c>
      <c r="BX181" s="22" t="n">
        <f aca="false">IF(ISBLANK(Actuals!BY94),-366.3*Escalation!$B$73,Actuals!BY94)</f>
        <v>-404.42479821216</v>
      </c>
      <c r="BY181" s="22" t="n">
        <f aca="false">IF(ISBLANK(Actuals!BZ94),-366.3*Escalation!$B$74,Actuals!BZ94)</f>
        <v>-412.513294176403</v>
      </c>
      <c r="BZ181" s="22" t="n">
        <f aca="false">IF(ISBLANK(Actuals!CA94),-366.3*Escalation!$B$75,Actuals!CA94)</f>
        <v>-412.513294176403</v>
      </c>
      <c r="CA181" s="22" t="n">
        <f aca="false">IF(ISBLANK(Actuals!CB94),-366.3*Escalation!$B$76,Actuals!CB94)</f>
        <v>-412.513294176403</v>
      </c>
      <c r="CB181" s="22" t="n">
        <f aca="false">IF(ISBLANK(Actuals!CC94),-366.3*Escalation!$B$77,Actuals!CC94)</f>
        <v>-412.513294176403</v>
      </c>
      <c r="CC181" s="22" t="n">
        <f aca="false">IF(ISBLANK(Actuals!CD94),-366.3*Escalation!$B$78,Actuals!CD94)</f>
        <v>-412.513294176403</v>
      </c>
      <c r="CD181" s="22" t="n">
        <f aca="false">IF(ISBLANK(Actuals!CE94),-366.3*Escalation!$B$79,Actuals!CE94)</f>
        <v>-412.513294176403</v>
      </c>
      <c r="CE181" s="22" t="n">
        <f aca="false">IF(ISBLANK(Actuals!CF94),-366.3*Escalation!$B$80,Actuals!CF94)</f>
        <v>-412.513294176403</v>
      </c>
      <c r="CF181" s="22" t="n">
        <f aca="false">IF(ISBLANK(Actuals!CG94),-366.3*Escalation!$B$81,Actuals!CG94)</f>
        <v>-412.513294176403</v>
      </c>
      <c r="CG181" s="22" t="n">
        <f aca="false">IF(ISBLANK(Actuals!CH94),-366.3*Escalation!$B$82,Actuals!CH94)</f>
        <v>-412.513294176403</v>
      </c>
      <c r="CH181" s="22" t="n">
        <f aca="false">IF(ISBLANK(Actuals!CI94),-366.3*Escalation!$B$83,Actuals!CI94)</f>
        <v>-412.513294176403</v>
      </c>
      <c r="CI181" s="22" t="n">
        <f aca="false">IF(ISBLANK(Actuals!CJ94),-366.3*Escalation!$B$84,Actuals!CJ94)</f>
        <v>-412.513294176403</v>
      </c>
      <c r="CJ181" s="22" t="n">
        <f aca="false">IF(ISBLANK(Actuals!CK94),-366.3*Escalation!$B$85,Actuals!CK94)</f>
        <v>-412.513294176403</v>
      </c>
      <c r="CK181" s="22" t="n">
        <f aca="false">IF(ISBLANK(Actuals!CL94),-366.3*Escalation!$B$86,Actuals!CL94)</f>
        <v>-420.763560059931</v>
      </c>
      <c r="CL181" s="22" t="n">
        <f aca="false">IF(ISBLANK(Actuals!CM94),-366.3*Escalation!$B$87,Actuals!CM94)</f>
        <v>-420.763560059931</v>
      </c>
      <c r="CM181" s="22" t="n">
        <f aca="false">IF(ISBLANK(Actuals!CN94),-366.3*Escalation!$B$88,Actuals!CN94)</f>
        <v>-420.763560059931</v>
      </c>
      <c r="CN181" s="22" t="n">
        <f aca="false">IF(ISBLANK(Actuals!CO94),-366.3*Escalation!$B$89,Actuals!CO94)</f>
        <v>-420.763560059931</v>
      </c>
      <c r="CO181" s="22" t="n">
        <f aca="false">IF(ISBLANK(Actuals!CP94),-366.3*Escalation!$B$90,Actuals!CP94)</f>
        <v>-420.763560059931</v>
      </c>
      <c r="CP181" s="22" t="n">
        <f aca="false">IF(ISBLANK(Actuals!CQ94),-366.3*Escalation!$B$91,Actuals!CQ94)</f>
        <v>-420.763560059931</v>
      </c>
      <c r="CQ181" s="22" t="n">
        <f aca="false">IF(ISBLANK(Actuals!CR94),-366.3*Escalation!$B$92,Actuals!CR94)</f>
        <v>-420.763560059931</v>
      </c>
      <c r="CR181" s="22" t="n">
        <f aca="false">IF(ISBLANK(Actuals!CS94),-366.3*Escalation!$B$93,Actuals!CS94)</f>
        <v>-420.763560059931</v>
      </c>
      <c r="CS181" s="22" t="n">
        <f aca="false">IF(ISBLANK(Actuals!CT94),-366.3*Escalation!$B$94,Actuals!CT94)</f>
        <v>-420.763560059931</v>
      </c>
      <c r="CT181" s="22" t="n">
        <f aca="false">IF(ISBLANK(Actuals!CU94),-366.3*Escalation!$B$95,Actuals!CU94)</f>
        <v>-420.763560059931</v>
      </c>
      <c r="CU181" s="22" t="n">
        <f aca="false">IF(ISBLANK(Actuals!CV94),-366.3*Escalation!$B$96,Actuals!CV94)</f>
        <v>-420.763560059931</v>
      </c>
      <c r="CV181" s="22" t="n">
        <f aca="false">IF(ISBLANK(Actuals!CW94),-366.3*Escalation!$B$97,Actuals!CW94)</f>
        <v>-420.763560059931</v>
      </c>
      <c r="CW181" s="22" t="n">
        <f aca="false">IF(ISBLANK(Actuals!CX94),-366.3*Escalation!$B$98,Actuals!CX94)</f>
        <v>-429.17883126113</v>
      </c>
      <c r="CX181" s="22" t="n">
        <f aca="false">IF(ISBLANK(Actuals!CY94),-366.3*Escalation!$B$99,Actuals!CY94)</f>
        <v>-429.17883126113</v>
      </c>
      <c r="CY181" s="22" t="n">
        <f aca="false">IF(ISBLANK(Actuals!CZ94),-366.3*Escalation!$B$100,Actuals!CZ94)</f>
        <v>-429.17883126113</v>
      </c>
      <c r="CZ181" s="22" t="n">
        <f aca="false">IF(ISBLANK(Actuals!DA94),-366.3*Escalation!$B$101,Actuals!DA94)</f>
        <v>-429.17883126113</v>
      </c>
      <c r="DA181" s="22" t="n">
        <f aca="false">IF(ISBLANK(Actuals!DB94),-366.3*Escalation!$B$102,Actuals!DB94)</f>
        <v>-429.17883126113</v>
      </c>
      <c r="DB181" s="22" t="n">
        <f aca="false">IF(ISBLANK(Actuals!DC94),-366.3*Escalation!$B$103,Actuals!DC94)</f>
        <v>-429.17883126113</v>
      </c>
      <c r="DC181" s="22" t="n">
        <f aca="false">IF(ISBLANK(Actuals!DD94),-366.3*Escalation!$B$104,Actuals!DD94)</f>
        <v>-429.17883126113</v>
      </c>
      <c r="DD181" s="22" t="n">
        <f aca="false">IF(ISBLANK(Actuals!DE94),-366.3*Escalation!$B$105,Actuals!DE94)</f>
        <v>-429.17883126113</v>
      </c>
      <c r="DE181" s="22" t="n">
        <f aca="false">IF(ISBLANK(Actuals!DF94),-366.3*Escalation!$B$106,Actuals!DF94)</f>
        <v>-429.17883126113</v>
      </c>
    </row>
    <row r="182" customFormat="false" ht="15" hidden="false" customHeight="true" outlineLevel="0" collapsed="false">
      <c r="A182" s="44" t="s">
        <v>122</v>
      </c>
      <c r="B182" s="22" t="n">
        <f aca="false">IF(ISBLANK(Actuals!C95),0,Actuals!C95)</f>
        <v>0</v>
      </c>
      <c r="C182" s="22" t="n">
        <f aca="false">IF(ISBLANK(Actuals!D95),0,Actuals!D95)</f>
        <v>-92.75</v>
      </c>
      <c r="D182" s="22" t="n">
        <f aca="false">IF(ISBLANK(Actuals!E95),0,Actuals!E95)</f>
        <v>-57.46</v>
      </c>
      <c r="E182" s="22" t="n">
        <f aca="false">IF(ISBLANK(Actuals!F95),-50.07*Escalation!$B$2,Actuals!F95)</f>
        <v>0</v>
      </c>
      <c r="F182" s="22" t="n">
        <f aca="false">IF(ISBLANK(Actuals!G95),-50.07*Escalation!$B$3,Actuals!G95)</f>
        <v>-24.3</v>
      </c>
      <c r="G182" s="22" t="n">
        <f aca="false">IF(ISBLANK(Actuals!H95),-50.07*Escalation!$B$4,Actuals!H95)</f>
        <v>-917.7</v>
      </c>
      <c r="H182" s="22" t="n">
        <f aca="false">IF(ISBLANK(Actuals!I95),-50.07*Escalation!$B$5,Actuals!I95)</f>
        <v>-50.07</v>
      </c>
      <c r="I182" s="22" t="n">
        <f aca="false">IF(ISBLANK(Actuals!J95),-50.07*Escalation!$B$6,Actuals!J95)</f>
        <v>-50.07</v>
      </c>
      <c r="J182" s="22" t="n">
        <f aca="false">IF(ISBLANK(Actuals!K95),-50.07*Escalation!$B$7,Actuals!K95)</f>
        <v>-50.07</v>
      </c>
      <c r="K182" s="22" t="n">
        <f aca="false">IF(ISBLANK(Actuals!L95),-50.07*Escalation!$B$8,Actuals!L95)</f>
        <v>-50.07</v>
      </c>
      <c r="L182" s="22" t="n">
        <f aca="false">IF(ISBLANK(Actuals!M95),-50.07*Escalation!$B$9,Actuals!M95)</f>
        <v>-50.07</v>
      </c>
      <c r="M182" s="22" t="n">
        <f aca="false">IF(ISBLANK(Actuals!N95),-50.07*Escalation!$B$10,Actuals!N95)</f>
        <v>-50.07</v>
      </c>
      <c r="N182" s="22" t="n">
        <f aca="false">IF(ISBLANK(Actuals!O95),-50.07*Escalation!$B$11,Actuals!O95)</f>
        <v>-50.07</v>
      </c>
      <c r="O182" s="22" t="n">
        <f aca="false">IF(ISBLANK(Actuals!P95),-50.07*Escalation!$B$12,Actuals!P95)</f>
        <v>-50.07</v>
      </c>
      <c r="P182" s="22" t="n">
        <f aca="false">IF(ISBLANK(Actuals!Q95),-50.07*Escalation!$B$13,Actuals!Q95)</f>
        <v>-50.07</v>
      </c>
      <c r="Q182" s="22" t="n">
        <f aca="false">IF(ISBLANK(Actuals!R95),-50.07*Escalation!$B$14,Actuals!R95)</f>
        <v>-51.0714</v>
      </c>
      <c r="R182" s="22" t="n">
        <f aca="false">IF(ISBLANK(Actuals!S95),-50.07*Escalation!$B$15,Actuals!S95)</f>
        <v>-51.0714</v>
      </c>
      <c r="S182" s="22" t="n">
        <f aca="false">IF(ISBLANK(Actuals!T95),-50.07*Escalation!$B$16,Actuals!T95)</f>
        <v>-51.0714</v>
      </c>
      <c r="T182" s="22" t="n">
        <f aca="false">IF(ISBLANK(Actuals!U95),-50.07*Escalation!$B$17,Actuals!U95)</f>
        <v>-51.0714</v>
      </c>
      <c r="U182" s="22" t="n">
        <f aca="false">IF(ISBLANK(Actuals!V95),-50.07*Escalation!$B$18,Actuals!V95)</f>
        <v>-51.0714</v>
      </c>
      <c r="V182" s="22" t="n">
        <f aca="false">IF(ISBLANK(Actuals!W95),-50.07*Escalation!$B$19,Actuals!W95)</f>
        <v>-51.0714</v>
      </c>
      <c r="W182" s="22" t="n">
        <f aca="false">IF(ISBLANK(Actuals!X95),-50.07*Escalation!$B$20,Actuals!X95)</f>
        <v>-51.0714</v>
      </c>
      <c r="X182" s="22" t="n">
        <f aca="false">IF(ISBLANK(Actuals!Y95),-50.07*Escalation!$B$21,Actuals!Y95)</f>
        <v>-51.0714</v>
      </c>
      <c r="Y182" s="22" t="n">
        <f aca="false">IF(ISBLANK(Actuals!Z95),-50.07*Escalation!$B$22,Actuals!Z95)</f>
        <v>-51.0714</v>
      </c>
      <c r="Z182" s="22" t="n">
        <f aca="false">IF(ISBLANK(Actuals!AA95),-50.07*Escalation!$B$23,Actuals!AA95)</f>
        <v>-51.0714</v>
      </c>
      <c r="AA182" s="22" t="n">
        <f aca="false">IF(ISBLANK(Actuals!AB95),-50.07*Escalation!$B$24,Actuals!AB95)</f>
        <v>-51.0714</v>
      </c>
      <c r="AB182" s="22" t="n">
        <f aca="false">IF(ISBLANK(Actuals!AC95),-50.07*Escalation!$B$25,Actuals!AC95)</f>
        <v>-51.0714</v>
      </c>
      <c r="AC182" s="22" t="n">
        <f aca="false">IF(ISBLANK(Actuals!AD95),-50.07*Escalation!$B$26,Actuals!AD95)</f>
        <v>-52.092828</v>
      </c>
      <c r="AD182" s="22" t="n">
        <f aca="false">IF(ISBLANK(Actuals!AE95),-50.07*Escalation!$B$27,Actuals!AE95)</f>
        <v>-52.092828</v>
      </c>
      <c r="AE182" s="22" t="n">
        <f aca="false">IF(ISBLANK(Actuals!AF95),-50.07*Escalation!$B$28,Actuals!AF95)</f>
        <v>-52.092828</v>
      </c>
      <c r="AF182" s="22" t="n">
        <f aca="false">IF(ISBLANK(Actuals!AG95),-50.07*Escalation!$B$29,Actuals!AG95)</f>
        <v>-52.092828</v>
      </c>
      <c r="AG182" s="22" t="n">
        <f aca="false">IF(ISBLANK(Actuals!AH95),-50.07*Escalation!$B$30,Actuals!AH95)</f>
        <v>-52.092828</v>
      </c>
      <c r="AH182" s="22" t="n">
        <f aca="false">IF(ISBLANK(Actuals!AI95),-50.07*Escalation!$B$31,Actuals!AI95)</f>
        <v>-52.092828</v>
      </c>
      <c r="AI182" s="22" t="n">
        <f aca="false">IF(ISBLANK(Actuals!AJ95),-50.07*Escalation!$B$32,Actuals!AJ95)</f>
        <v>-52.092828</v>
      </c>
      <c r="AJ182" s="22" t="n">
        <f aca="false">IF(ISBLANK(Actuals!AK95),-50.07*Escalation!$B$33,Actuals!AK95)</f>
        <v>-52.092828</v>
      </c>
      <c r="AK182" s="22" t="n">
        <f aca="false">IF(ISBLANK(Actuals!AL95),-50.07*Escalation!$B$34,Actuals!AL95)</f>
        <v>-52.092828</v>
      </c>
      <c r="AL182" s="22" t="n">
        <f aca="false">IF(ISBLANK(Actuals!AM95),-50.07*Escalation!$B$35,Actuals!AM95)</f>
        <v>-52.092828</v>
      </c>
      <c r="AM182" s="22" t="n">
        <f aca="false">IF(ISBLANK(Actuals!AN95),-50.07*Escalation!$B$36,Actuals!AN95)</f>
        <v>-52.092828</v>
      </c>
      <c r="AN182" s="22" t="n">
        <f aca="false">IF(ISBLANK(Actuals!AO95),-50.07*Escalation!$B$37,Actuals!AO95)</f>
        <v>-52.092828</v>
      </c>
      <c r="AO182" s="22" t="n">
        <f aca="false">IF(ISBLANK(Actuals!AP95),-50.07*Escalation!$B$38,Actuals!AP95)</f>
        <v>-53.13468456</v>
      </c>
      <c r="AP182" s="22" t="n">
        <f aca="false">IF(ISBLANK(Actuals!AQ95),-50.07*Escalation!$B$39,Actuals!AQ95)</f>
        <v>-53.13468456</v>
      </c>
      <c r="AQ182" s="22" t="n">
        <f aca="false">IF(ISBLANK(Actuals!AR95),-50.07*Escalation!$B$40,Actuals!AR95)</f>
        <v>-53.13468456</v>
      </c>
      <c r="AR182" s="22" t="n">
        <f aca="false">IF(ISBLANK(Actuals!AS95),-50.07*Escalation!$B$41,Actuals!AS95)</f>
        <v>-53.13468456</v>
      </c>
      <c r="AS182" s="22" t="n">
        <f aca="false">IF(ISBLANK(Actuals!AT95),-50.07*Escalation!$B$42,Actuals!AT95)</f>
        <v>-53.13468456</v>
      </c>
      <c r="AT182" s="22" t="n">
        <f aca="false">IF(ISBLANK(Actuals!AU95),-50.07*Escalation!$B$43,Actuals!AU95)</f>
        <v>-53.13468456</v>
      </c>
      <c r="AU182" s="22" t="n">
        <f aca="false">IF(ISBLANK(Actuals!AV95),-50.07*Escalation!$B$44,Actuals!AV95)</f>
        <v>-53.13468456</v>
      </c>
      <c r="AV182" s="22" t="n">
        <f aca="false">IF(ISBLANK(Actuals!AW95),-50.07*Escalation!$B$45,Actuals!AW95)</f>
        <v>-53.13468456</v>
      </c>
      <c r="AW182" s="22" t="n">
        <f aca="false">IF(ISBLANK(Actuals!AX95),-50.07*Escalation!$B$46,Actuals!AX95)</f>
        <v>-53.13468456</v>
      </c>
      <c r="AX182" s="22" t="n">
        <f aca="false">IF(ISBLANK(Actuals!AY95),-50.07*Escalation!$B$47,Actuals!AY95)</f>
        <v>-53.13468456</v>
      </c>
      <c r="AY182" s="22" t="n">
        <f aca="false">IF(ISBLANK(Actuals!AZ95),-50.07*Escalation!$B$48,Actuals!AZ95)</f>
        <v>-53.13468456</v>
      </c>
      <c r="AZ182" s="22" t="n">
        <f aca="false">IF(ISBLANK(Actuals!BA95),-50.07*Escalation!$B$49,Actuals!BA95)</f>
        <v>-53.13468456</v>
      </c>
      <c r="BA182" s="22" t="n">
        <f aca="false">IF(ISBLANK(Actuals!BB95),-50.07*Escalation!$B$50,Actuals!BB95)</f>
        <v>-54.1973782512</v>
      </c>
      <c r="BB182" s="22" t="n">
        <f aca="false">IF(ISBLANK(Actuals!BC95),-50.07*Escalation!$B$51,Actuals!BC95)</f>
        <v>-54.1973782512</v>
      </c>
      <c r="BC182" s="22" t="n">
        <f aca="false">IF(ISBLANK(Actuals!BD95),-50.07*Escalation!$B$52,Actuals!BD95)</f>
        <v>-54.1973782512</v>
      </c>
      <c r="BD182" s="22" t="n">
        <f aca="false">IF(ISBLANK(Actuals!BE95),-50.07*Escalation!$B$53,Actuals!BE95)</f>
        <v>-54.1973782512</v>
      </c>
      <c r="BE182" s="22" t="n">
        <f aca="false">IF(ISBLANK(Actuals!BF95),-50.07*Escalation!$B$54,Actuals!BF95)</f>
        <v>-54.1973782512</v>
      </c>
      <c r="BF182" s="22" t="n">
        <f aca="false">IF(ISBLANK(Actuals!BG95),-50.07*Escalation!$B$55,Actuals!BG95)</f>
        <v>-54.1973782512</v>
      </c>
      <c r="BG182" s="22" t="n">
        <f aca="false">IF(ISBLANK(Actuals!BH95),-50.07*Escalation!$B$56,Actuals!BH95)</f>
        <v>-54.1973782512</v>
      </c>
      <c r="BH182" s="22" t="n">
        <f aca="false">IF(ISBLANK(Actuals!BI95),-50.07*Escalation!$B$57,Actuals!BI95)</f>
        <v>-54.1973782512</v>
      </c>
      <c r="BI182" s="22" t="n">
        <f aca="false">IF(ISBLANK(Actuals!BJ95),-50.07*Escalation!$B$58,Actuals!BJ95)</f>
        <v>-54.1973782512</v>
      </c>
      <c r="BJ182" s="22" t="n">
        <f aca="false">IF(ISBLANK(Actuals!BK95),-50.07*Escalation!$B$59,Actuals!BK95)</f>
        <v>-54.1973782512</v>
      </c>
      <c r="BK182" s="22" t="n">
        <f aca="false">IF(ISBLANK(Actuals!BL95),-50.07*Escalation!$B$60,Actuals!BL95)</f>
        <v>-54.1973782512</v>
      </c>
      <c r="BL182" s="22" t="n">
        <f aca="false">IF(ISBLANK(Actuals!BM95),-50.07*Escalation!$B$61,Actuals!BM95)</f>
        <v>-54.1973782512</v>
      </c>
      <c r="BM182" s="22" t="n">
        <f aca="false">IF(ISBLANK(Actuals!BN95),-50.07*Escalation!$B$62,Actuals!BN95)</f>
        <v>-55.281325816224</v>
      </c>
      <c r="BN182" s="22" t="n">
        <f aca="false">IF(ISBLANK(Actuals!BO95),-50.07*Escalation!$B$63,Actuals!BO95)</f>
        <v>-55.281325816224</v>
      </c>
      <c r="BO182" s="22" t="n">
        <f aca="false">IF(ISBLANK(Actuals!BP95),-50.07*Escalation!$B$64,Actuals!BP95)</f>
        <v>-55.281325816224</v>
      </c>
      <c r="BP182" s="22" t="n">
        <f aca="false">IF(ISBLANK(Actuals!BQ95),-50.07*Escalation!$B$65,Actuals!BQ95)</f>
        <v>-55.281325816224</v>
      </c>
      <c r="BQ182" s="22" t="n">
        <f aca="false">IF(ISBLANK(Actuals!BR95),-50.07*Escalation!$B$66,Actuals!BR95)</f>
        <v>-55.281325816224</v>
      </c>
      <c r="BR182" s="22" t="n">
        <f aca="false">IF(ISBLANK(Actuals!BS95),-50.07*Escalation!$B$67,Actuals!BS95)</f>
        <v>-55.281325816224</v>
      </c>
      <c r="BS182" s="22" t="n">
        <f aca="false">IF(ISBLANK(Actuals!BT95),-50.07*Escalation!$B$68,Actuals!BT95)</f>
        <v>-55.281325816224</v>
      </c>
      <c r="BT182" s="22" t="n">
        <f aca="false">IF(ISBLANK(Actuals!BU95),-50.07*Escalation!$B$69,Actuals!BU95)</f>
        <v>-55.281325816224</v>
      </c>
      <c r="BU182" s="22" t="n">
        <f aca="false">IF(ISBLANK(Actuals!BV95),-50.07*Escalation!$B$70,Actuals!BV95)</f>
        <v>-55.281325816224</v>
      </c>
      <c r="BV182" s="22" t="n">
        <f aca="false">IF(ISBLANK(Actuals!BW95),-50.07*Escalation!$B$71,Actuals!BW95)</f>
        <v>-55.281325816224</v>
      </c>
      <c r="BW182" s="22" t="n">
        <f aca="false">IF(ISBLANK(Actuals!BX95),-50.07*Escalation!$B$72,Actuals!BX95)</f>
        <v>-55.281325816224</v>
      </c>
      <c r="BX182" s="22" t="n">
        <f aca="false">IF(ISBLANK(Actuals!BY95),-50.07*Escalation!$B$73,Actuals!BY95)</f>
        <v>-55.281325816224</v>
      </c>
      <c r="BY182" s="22" t="n">
        <f aca="false">IF(ISBLANK(Actuals!BZ95),-50.07*Escalation!$B$74,Actuals!BZ95)</f>
        <v>-56.3869523325485</v>
      </c>
      <c r="BZ182" s="22" t="n">
        <f aca="false">IF(ISBLANK(Actuals!CA95),-50.07*Escalation!$B$75,Actuals!CA95)</f>
        <v>-56.3869523325485</v>
      </c>
      <c r="CA182" s="22" t="n">
        <f aca="false">IF(ISBLANK(Actuals!CB95),-50.07*Escalation!$B$76,Actuals!CB95)</f>
        <v>-56.3869523325485</v>
      </c>
      <c r="CB182" s="22" t="n">
        <f aca="false">IF(ISBLANK(Actuals!CC95),-50.07*Escalation!$B$77,Actuals!CC95)</f>
        <v>-56.3869523325485</v>
      </c>
      <c r="CC182" s="22" t="n">
        <f aca="false">IF(ISBLANK(Actuals!CD95),-50.07*Escalation!$B$78,Actuals!CD95)</f>
        <v>-56.3869523325485</v>
      </c>
      <c r="CD182" s="22" t="n">
        <f aca="false">IF(ISBLANK(Actuals!CE95),-50.07*Escalation!$B$79,Actuals!CE95)</f>
        <v>-56.3869523325485</v>
      </c>
      <c r="CE182" s="22" t="n">
        <f aca="false">IF(ISBLANK(Actuals!CF95),-50.07*Escalation!$B$80,Actuals!CF95)</f>
        <v>-56.3869523325485</v>
      </c>
      <c r="CF182" s="22" t="n">
        <f aca="false">IF(ISBLANK(Actuals!CG95),-50.07*Escalation!$B$81,Actuals!CG95)</f>
        <v>-56.3869523325485</v>
      </c>
      <c r="CG182" s="22" t="n">
        <f aca="false">IF(ISBLANK(Actuals!CH95),-50.07*Escalation!$B$82,Actuals!CH95)</f>
        <v>-56.3869523325485</v>
      </c>
      <c r="CH182" s="22" t="n">
        <f aca="false">IF(ISBLANK(Actuals!CI95),-50.07*Escalation!$B$83,Actuals!CI95)</f>
        <v>-56.3869523325485</v>
      </c>
      <c r="CI182" s="22" t="n">
        <f aca="false">IF(ISBLANK(Actuals!CJ95),-50.07*Escalation!$B$84,Actuals!CJ95)</f>
        <v>-56.3869523325485</v>
      </c>
      <c r="CJ182" s="22" t="n">
        <f aca="false">IF(ISBLANK(Actuals!CK95),-50.07*Escalation!$B$85,Actuals!CK95)</f>
        <v>-56.3869523325485</v>
      </c>
      <c r="CK182" s="22" t="n">
        <f aca="false">IF(ISBLANK(Actuals!CL95),-50.07*Escalation!$B$86,Actuals!CL95)</f>
        <v>-57.5146913791995</v>
      </c>
      <c r="CL182" s="22" t="n">
        <f aca="false">IF(ISBLANK(Actuals!CM95),-50.07*Escalation!$B$87,Actuals!CM95)</f>
        <v>-57.5146913791995</v>
      </c>
      <c r="CM182" s="22" t="n">
        <f aca="false">IF(ISBLANK(Actuals!CN95),-50.07*Escalation!$B$88,Actuals!CN95)</f>
        <v>-57.5146913791995</v>
      </c>
      <c r="CN182" s="22" t="n">
        <f aca="false">IF(ISBLANK(Actuals!CO95),-50.07*Escalation!$B$89,Actuals!CO95)</f>
        <v>-57.5146913791995</v>
      </c>
      <c r="CO182" s="22" t="n">
        <f aca="false">IF(ISBLANK(Actuals!CP95),-50.07*Escalation!$B$90,Actuals!CP95)</f>
        <v>-57.5146913791995</v>
      </c>
      <c r="CP182" s="22" t="n">
        <f aca="false">IF(ISBLANK(Actuals!CQ95),-50.07*Escalation!$B$91,Actuals!CQ95)</f>
        <v>-57.5146913791995</v>
      </c>
      <c r="CQ182" s="22" t="n">
        <f aca="false">IF(ISBLANK(Actuals!CR95),-50.07*Escalation!$B$92,Actuals!CR95)</f>
        <v>-57.5146913791995</v>
      </c>
      <c r="CR182" s="22" t="n">
        <f aca="false">IF(ISBLANK(Actuals!CS95),-50.07*Escalation!$B$93,Actuals!CS95)</f>
        <v>-57.5146913791995</v>
      </c>
      <c r="CS182" s="22" t="n">
        <f aca="false">IF(ISBLANK(Actuals!CT95),-50.07*Escalation!$B$94,Actuals!CT95)</f>
        <v>-57.5146913791995</v>
      </c>
      <c r="CT182" s="22" t="n">
        <f aca="false">IF(ISBLANK(Actuals!CU95),-50.07*Escalation!$B$95,Actuals!CU95)</f>
        <v>-57.5146913791995</v>
      </c>
      <c r="CU182" s="22" t="n">
        <f aca="false">IF(ISBLANK(Actuals!CV95),-50.07*Escalation!$B$96,Actuals!CV95)</f>
        <v>-57.5146913791995</v>
      </c>
      <c r="CV182" s="22" t="n">
        <f aca="false">IF(ISBLANK(Actuals!CW95),-50.07*Escalation!$B$97,Actuals!CW95)</f>
        <v>-57.5146913791995</v>
      </c>
      <c r="CW182" s="22" t="n">
        <f aca="false">IF(ISBLANK(Actuals!CX95),-50.07*Escalation!$B$98,Actuals!CX95)</f>
        <v>-58.6649852067835</v>
      </c>
      <c r="CX182" s="22" t="n">
        <f aca="false">IF(ISBLANK(Actuals!CY95),-50.07*Escalation!$B$99,Actuals!CY95)</f>
        <v>-58.6649852067835</v>
      </c>
      <c r="CY182" s="22" t="n">
        <f aca="false">IF(ISBLANK(Actuals!CZ95),-50.07*Escalation!$B$100,Actuals!CZ95)</f>
        <v>-58.6649852067835</v>
      </c>
      <c r="CZ182" s="22" t="n">
        <f aca="false">IF(ISBLANK(Actuals!DA95),-50.07*Escalation!$B$101,Actuals!DA95)</f>
        <v>-58.6649852067835</v>
      </c>
      <c r="DA182" s="22" t="n">
        <f aca="false">IF(ISBLANK(Actuals!DB95),-50.07*Escalation!$B$102,Actuals!DB95)</f>
        <v>-58.6649852067835</v>
      </c>
      <c r="DB182" s="22" t="n">
        <f aca="false">IF(ISBLANK(Actuals!DC95),-50.07*Escalation!$B$103,Actuals!DC95)</f>
        <v>-58.6649852067835</v>
      </c>
      <c r="DC182" s="22" t="n">
        <f aca="false">IF(ISBLANK(Actuals!DD95),-50.07*Escalation!$B$104,Actuals!DD95)</f>
        <v>-58.6649852067835</v>
      </c>
      <c r="DD182" s="22" t="n">
        <f aca="false">IF(ISBLANK(Actuals!DE95),-50.07*Escalation!$B$105,Actuals!DE95)</f>
        <v>-58.6649852067835</v>
      </c>
      <c r="DE182" s="22" t="n">
        <f aca="false">IF(ISBLANK(Actuals!DF95),-50.07*Escalation!$B$106,Actuals!DF95)</f>
        <v>-58.6649852067835</v>
      </c>
    </row>
    <row r="183" customFormat="false" ht="15" hidden="false" customHeight="true" outlineLevel="0" collapsed="false">
      <c r="A183" s="44" t="s">
        <v>74</v>
      </c>
      <c r="B183" s="22" t="n">
        <f aca="false">IF(ISBLANK(Actuals!C96),0,Actuals!C96)</f>
        <v>-640.88</v>
      </c>
      <c r="C183" s="22" t="n">
        <f aca="false">IF(ISBLANK(Actuals!D96),0,Actuals!D96)</f>
        <v>-872.64</v>
      </c>
      <c r="D183" s="22" t="n">
        <f aca="false">IF(ISBLANK(Actuals!E96),0,Actuals!E96)</f>
        <v>-1175.78</v>
      </c>
      <c r="E183" s="22" t="n">
        <f aca="false">IF(ISBLANK(Actuals!F96),-896.43*Escalation!$B$2,Actuals!F96)</f>
        <v>-471.38</v>
      </c>
      <c r="F183" s="22" t="n">
        <f aca="false">IF(ISBLANK(Actuals!G96),-896.43*Escalation!$B$3,Actuals!G96)</f>
        <v>-1307.57</v>
      </c>
      <c r="G183" s="22" t="n">
        <f aca="false">IF(ISBLANK(Actuals!H96),-896.43*Escalation!$B$4,Actuals!H96)</f>
        <v>-3067.11</v>
      </c>
      <c r="H183" s="22" t="n">
        <f aca="false">IF(ISBLANK(Actuals!I96),-896.43*Escalation!$B$5,Actuals!I96)</f>
        <v>-896.43</v>
      </c>
      <c r="I183" s="22" t="n">
        <f aca="false">IF(ISBLANK(Actuals!J96),-896.43*Escalation!$B$6,Actuals!J96)</f>
        <v>-896.43</v>
      </c>
      <c r="J183" s="22" t="n">
        <f aca="false">IF(ISBLANK(Actuals!K96),-896.43*Escalation!$B$7,Actuals!K96)</f>
        <v>-896.43</v>
      </c>
      <c r="K183" s="22" t="n">
        <f aca="false">IF(ISBLANK(Actuals!L96),-896.43*Escalation!$B$8,Actuals!L96)</f>
        <v>-896.43</v>
      </c>
      <c r="L183" s="22" t="n">
        <f aca="false">IF(ISBLANK(Actuals!M96),-896.43*Escalation!$B$9,Actuals!M96)</f>
        <v>-896.43</v>
      </c>
      <c r="M183" s="22" t="n">
        <f aca="false">IF(ISBLANK(Actuals!N96),-896.43*Escalation!$B$10,Actuals!N96)</f>
        <v>-896.43</v>
      </c>
      <c r="N183" s="22" t="n">
        <f aca="false">IF(ISBLANK(Actuals!O96),-896.43*Escalation!$B$11,Actuals!O96)</f>
        <v>-896.43</v>
      </c>
      <c r="O183" s="22" t="n">
        <f aca="false">IF(ISBLANK(Actuals!P96),-896.43*Escalation!$B$12,Actuals!P96)</f>
        <v>-896.43</v>
      </c>
      <c r="P183" s="22" t="n">
        <f aca="false">IF(ISBLANK(Actuals!Q96),-896.43*Escalation!$B$13,Actuals!Q96)</f>
        <v>-896.43</v>
      </c>
      <c r="Q183" s="22" t="n">
        <f aca="false">IF(ISBLANK(Actuals!R96),-896.43*Escalation!$B$14,Actuals!R96)</f>
        <v>-914.3586</v>
      </c>
      <c r="R183" s="22" t="n">
        <f aca="false">IF(ISBLANK(Actuals!S96),-896.43*Escalation!$B$15,Actuals!S96)</f>
        <v>-914.3586</v>
      </c>
      <c r="S183" s="22" t="n">
        <f aca="false">IF(ISBLANK(Actuals!T96),-896.43*Escalation!$B$16,Actuals!T96)</f>
        <v>-914.3586</v>
      </c>
      <c r="T183" s="22" t="n">
        <f aca="false">IF(ISBLANK(Actuals!U96),-896.43*Escalation!$B$17,Actuals!U96)</f>
        <v>-914.3586</v>
      </c>
      <c r="U183" s="22" t="n">
        <f aca="false">IF(ISBLANK(Actuals!V96),-896.43*Escalation!$B$18,Actuals!V96)</f>
        <v>-914.3586</v>
      </c>
      <c r="V183" s="22" t="n">
        <f aca="false">IF(ISBLANK(Actuals!W96),-896.43*Escalation!$B$19,Actuals!W96)</f>
        <v>-914.3586</v>
      </c>
      <c r="W183" s="22" t="n">
        <f aca="false">IF(ISBLANK(Actuals!X96),-896.43*Escalation!$B$20,Actuals!X96)</f>
        <v>-914.3586</v>
      </c>
      <c r="X183" s="22" t="n">
        <f aca="false">IF(ISBLANK(Actuals!Y96),-896.43*Escalation!$B$21,Actuals!Y96)</f>
        <v>-914.3586</v>
      </c>
      <c r="Y183" s="22" t="n">
        <f aca="false">IF(ISBLANK(Actuals!Z96),-896.43*Escalation!$B$22,Actuals!Z96)</f>
        <v>-914.3586</v>
      </c>
      <c r="Z183" s="22" t="n">
        <f aca="false">IF(ISBLANK(Actuals!AA96),-896.43*Escalation!$B$23,Actuals!AA96)</f>
        <v>-914.3586</v>
      </c>
      <c r="AA183" s="22" t="n">
        <f aca="false">IF(ISBLANK(Actuals!AB96),-896.43*Escalation!$B$24,Actuals!AB96)</f>
        <v>-914.3586</v>
      </c>
      <c r="AB183" s="22" t="n">
        <f aca="false">IF(ISBLANK(Actuals!AC96),-896.43*Escalation!$B$25,Actuals!AC96)</f>
        <v>-914.3586</v>
      </c>
      <c r="AC183" s="22" t="n">
        <f aca="false">IF(ISBLANK(Actuals!AD96),-896.43*Escalation!$B$26,Actuals!AD96)</f>
        <v>-932.645772</v>
      </c>
      <c r="AD183" s="22" t="n">
        <f aca="false">IF(ISBLANK(Actuals!AE96),-896.43*Escalation!$B$27,Actuals!AE96)</f>
        <v>-932.645772</v>
      </c>
      <c r="AE183" s="22" t="n">
        <f aca="false">IF(ISBLANK(Actuals!AF96),-896.43*Escalation!$B$28,Actuals!AF96)</f>
        <v>-932.645772</v>
      </c>
      <c r="AF183" s="22" t="n">
        <f aca="false">IF(ISBLANK(Actuals!AG96),-896.43*Escalation!$B$29,Actuals!AG96)</f>
        <v>-932.645772</v>
      </c>
      <c r="AG183" s="22" t="n">
        <f aca="false">IF(ISBLANK(Actuals!AH96),-896.43*Escalation!$B$30,Actuals!AH96)</f>
        <v>-932.645772</v>
      </c>
      <c r="AH183" s="22" t="n">
        <f aca="false">IF(ISBLANK(Actuals!AI96),-896.43*Escalation!$B$31,Actuals!AI96)</f>
        <v>-932.645772</v>
      </c>
      <c r="AI183" s="22" t="n">
        <f aca="false">IF(ISBLANK(Actuals!AJ96),-896.43*Escalation!$B$32,Actuals!AJ96)</f>
        <v>-932.645772</v>
      </c>
      <c r="AJ183" s="22" t="n">
        <f aca="false">IF(ISBLANK(Actuals!AK96),-896.43*Escalation!$B$33,Actuals!AK96)</f>
        <v>-932.645772</v>
      </c>
      <c r="AK183" s="22" t="n">
        <f aca="false">IF(ISBLANK(Actuals!AL96),-896.43*Escalation!$B$34,Actuals!AL96)</f>
        <v>-932.645772</v>
      </c>
      <c r="AL183" s="22" t="n">
        <f aca="false">IF(ISBLANK(Actuals!AM96),-896.43*Escalation!$B$35,Actuals!AM96)</f>
        <v>-932.645772</v>
      </c>
      <c r="AM183" s="22" t="n">
        <f aca="false">IF(ISBLANK(Actuals!AN96),-896.43*Escalation!$B$36,Actuals!AN96)</f>
        <v>-932.645772</v>
      </c>
      <c r="AN183" s="22" t="n">
        <f aca="false">IF(ISBLANK(Actuals!AO96),-896.43*Escalation!$B$37,Actuals!AO96)</f>
        <v>-932.645772</v>
      </c>
      <c r="AO183" s="22" t="n">
        <f aca="false">IF(ISBLANK(Actuals!AP96),-896.43*Escalation!$B$38,Actuals!AP96)</f>
        <v>-951.29868744</v>
      </c>
      <c r="AP183" s="22" t="n">
        <f aca="false">IF(ISBLANK(Actuals!AQ96),-896.43*Escalation!$B$39,Actuals!AQ96)</f>
        <v>-951.29868744</v>
      </c>
      <c r="AQ183" s="22" t="n">
        <f aca="false">IF(ISBLANK(Actuals!AR96),-896.43*Escalation!$B$40,Actuals!AR96)</f>
        <v>-951.29868744</v>
      </c>
      <c r="AR183" s="22" t="n">
        <f aca="false">IF(ISBLANK(Actuals!AS96),-896.43*Escalation!$B$41,Actuals!AS96)</f>
        <v>-951.29868744</v>
      </c>
      <c r="AS183" s="22" t="n">
        <f aca="false">IF(ISBLANK(Actuals!AT96),-896.43*Escalation!$B$42,Actuals!AT96)</f>
        <v>-951.29868744</v>
      </c>
      <c r="AT183" s="22" t="n">
        <f aca="false">IF(ISBLANK(Actuals!AU96),-896.43*Escalation!$B$43,Actuals!AU96)</f>
        <v>-951.29868744</v>
      </c>
      <c r="AU183" s="22" t="n">
        <f aca="false">IF(ISBLANK(Actuals!AV96),-896.43*Escalation!$B$44,Actuals!AV96)</f>
        <v>-951.29868744</v>
      </c>
      <c r="AV183" s="22" t="n">
        <f aca="false">IF(ISBLANK(Actuals!AW96),-896.43*Escalation!$B$45,Actuals!AW96)</f>
        <v>-951.29868744</v>
      </c>
      <c r="AW183" s="22" t="n">
        <f aca="false">IF(ISBLANK(Actuals!AX96),-896.43*Escalation!$B$46,Actuals!AX96)</f>
        <v>-951.29868744</v>
      </c>
      <c r="AX183" s="22" t="n">
        <f aca="false">IF(ISBLANK(Actuals!AY96),-896.43*Escalation!$B$47,Actuals!AY96)</f>
        <v>-951.29868744</v>
      </c>
      <c r="AY183" s="22" t="n">
        <f aca="false">IF(ISBLANK(Actuals!AZ96),-896.43*Escalation!$B$48,Actuals!AZ96)</f>
        <v>-951.29868744</v>
      </c>
      <c r="AZ183" s="22" t="n">
        <f aca="false">IF(ISBLANK(Actuals!BA96),-896.43*Escalation!$B$49,Actuals!BA96)</f>
        <v>-951.29868744</v>
      </c>
      <c r="BA183" s="22" t="n">
        <f aca="false">IF(ISBLANK(Actuals!BB96),-896.43*Escalation!$B$50,Actuals!BB96)</f>
        <v>-970.3246611888</v>
      </c>
      <c r="BB183" s="22" t="n">
        <f aca="false">IF(ISBLANK(Actuals!BC96),-896.43*Escalation!$B$51,Actuals!BC96)</f>
        <v>-970.3246611888</v>
      </c>
      <c r="BC183" s="22" t="n">
        <f aca="false">IF(ISBLANK(Actuals!BD96),-896.43*Escalation!$B$52,Actuals!BD96)</f>
        <v>-970.3246611888</v>
      </c>
      <c r="BD183" s="22" t="n">
        <f aca="false">IF(ISBLANK(Actuals!BE96),-896.43*Escalation!$B$53,Actuals!BE96)</f>
        <v>-970.3246611888</v>
      </c>
      <c r="BE183" s="22" t="n">
        <f aca="false">IF(ISBLANK(Actuals!BF96),-896.43*Escalation!$B$54,Actuals!BF96)</f>
        <v>-970.3246611888</v>
      </c>
      <c r="BF183" s="22" t="n">
        <f aca="false">IF(ISBLANK(Actuals!BG96),-896.43*Escalation!$B$55,Actuals!BG96)</f>
        <v>-970.3246611888</v>
      </c>
      <c r="BG183" s="22" t="n">
        <f aca="false">IF(ISBLANK(Actuals!BH96),-896.43*Escalation!$B$56,Actuals!BH96)</f>
        <v>-970.3246611888</v>
      </c>
      <c r="BH183" s="22" t="n">
        <f aca="false">IF(ISBLANK(Actuals!BI96),-896.43*Escalation!$B$57,Actuals!BI96)</f>
        <v>-970.3246611888</v>
      </c>
      <c r="BI183" s="22" t="n">
        <f aca="false">IF(ISBLANK(Actuals!BJ96),-896.43*Escalation!$B$58,Actuals!BJ96)</f>
        <v>-970.3246611888</v>
      </c>
      <c r="BJ183" s="22" t="n">
        <f aca="false">IF(ISBLANK(Actuals!BK96),-896.43*Escalation!$B$59,Actuals!BK96)</f>
        <v>-970.3246611888</v>
      </c>
      <c r="BK183" s="22" t="n">
        <f aca="false">IF(ISBLANK(Actuals!BL96),-896.43*Escalation!$B$60,Actuals!BL96)</f>
        <v>-970.3246611888</v>
      </c>
      <c r="BL183" s="22" t="n">
        <f aca="false">IF(ISBLANK(Actuals!BM96),-896.43*Escalation!$B$61,Actuals!BM96)</f>
        <v>-970.3246611888</v>
      </c>
      <c r="BM183" s="22" t="n">
        <f aca="false">IF(ISBLANK(Actuals!BN96),-896.43*Escalation!$B$62,Actuals!BN96)</f>
        <v>-989.731154412576</v>
      </c>
      <c r="BN183" s="22" t="n">
        <f aca="false">IF(ISBLANK(Actuals!BO96),-896.43*Escalation!$B$63,Actuals!BO96)</f>
        <v>-989.731154412576</v>
      </c>
      <c r="BO183" s="22" t="n">
        <f aca="false">IF(ISBLANK(Actuals!BP96),-896.43*Escalation!$B$64,Actuals!BP96)</f>
        <v>-989.731154412576</v>
      </c>
      <c r="BP183" s="22" t="n">
        <f aca="false">IF(ISBLANK(Actuals!BQ96),-896.43*Escalation!$B$65,Actuals!BQ96)</f>
        <v>-989.731154412576</v>
      </c>
      <c r="BQ183" s="22" t="n">
        <f aca="false">IF(ISBLANK(Actuals!BR96),-896.43*Escalation!$B$66,Actuals!BR96)</f>
        <v>-989.731154412576</v>
      </c>
      <c r="BR183" s="22" t="n">
        <f aca="false">IF(ISBLANK(Actuals!BS96),-896.43*Escalation!$B$67,Actuals!BS96)</f>
        <v>-989.731154412576</v>
      </c>
      <c r="BS183" s="22" t="n">
        <f aca="false">IF(ISBLANK(Actuals!BT96),-896.43*Escalation!$B$68,Actuals!BT96)</f>
        <v>-989.731154412576</v>
      </c>
      <c r="BT183" s="22" t="n">
        <f aca="false">IF(ISBLANK(Actuals!BU96),-896.43*Escalation!$B$69,Actuals!BU96)</f>
        <v>-989.731154412576</v>
      </c>
      <c r="BU183" s="22" t="n">
        <f aca="false">IF(ISBLANK(Actuals!BV96),-896.43*Escalation!$B$70,Actuals!BV96)</f>
        <v>-989.731154412576</v>
      </c>
      <c r="BV183" s="22" t="n">
        <f aca="false">IF(ISBLANK(Actuals!BW96),-896.43*Escalation!$B$71,Actuals!BW96)</f>
        <v>-989.731154412576</v>
      </c>
      <c r="BW183" s="22" t="n">
        <f aca="false">IF(ISBLANK(Actuals!BX96),-896.43*Escalation!$B$72,Actuals!BX96)</f>
        <v>-989.731154412576</v>
      </c>
      <c r="BX183" s="22" t="n">
        <f aca="false">IF(ISBLANK(Actuals!BY96),-896.43*Escalation!$B$73,Actuals!BY96)</f>
        <v>-989.731154412576</v>
      </c>
      <c r="BY183" s="22" t="n">
        <f aca="false">IF(ISBLANK(Actuals!BZ96),-896.43*Escalation!$B$74,Actuals!BZ96)</f>
        <v>-1009.52577750083</v>
      </c>
      <c r="BZ183" s="22" t="n">
        <f aca="false">IF(ISBLANK(Actuals!CA96),-896.43*Escalation!$B$75,Actuals!CA96)</f>
        <v>-1009.52577750083</v>
      </c>
      <c r="CA183" s="22" t="n">
        <f aca="false">IF(ISBLANK(Actuals!CB96),-896.43*Escalation!$B$76,Actuals!CB96)</f>
        <v>-1009.52577750083</v>
      </c>
      <c r="CB183" s="22" t="n">
        <f aca="false">IF(ISBLANK(Actuals!CC96),-896.43*Escalation!$B$77,Actuals!CC96)</f>
        <v>-1009.52577750083</v>
      </c>
      <c r="CC183" s="22" t="n">
        <f aca="false">IF(ISBLANK(Actuals!CD96),-896.43*Escalation!$B$78,Actuals!CD96)</f>
        <v>-1009.52577750083</v>
      </c>
      <c r="CD183" s="22" t="n">
        <f aca="false">IF(ISBLANK(Actuals!CE96),-896.43*Escalation!$B$79,Actuals!CE96)</f>
        <v>-1009.52577750083</v>
      </c>
      <c r="CE183" s="22" t="n">
        <f aca="false">IF(ISBLANK(Actuals!CF96),-896.43*Escalation!$B$80,Actuals!CF96)</f>
        <v>-1009.52577750083</v>
      </c>
      <c r="CF183" s="22" t="n">
        <f aca="false">IF(ISBLANK(Actuals!CG96),-896.43*Escalation!$B$81,Actuals!CG96)</f>
        <v>-1009.52577750083</v>
      </c>
      <c r="CG183" s="22" t="n">
        <f aca="false">IF(ISBLANK(Actuals!CH96),-896.43*Escalation!$B$82,Actuals!CH96)</f>
        <v>-1009.52577750083</v>
      </c>
      <c r="CH183" s="22" t="n">
        <f aca="false">IF(ISBLANK(Actuals!CI96),-896.43*Escalation!$B$83,Actuals!CI96)</f>
        <v>-1009.52577750083</v>
      </c>
      <c r="CI183" s="22" t="n">
        <f aca="false">IF(ISBLANK(Actuals!CJ96),-896.43*Escalation!$B$84,Actuals!CJ96)</f>
        <v>-1009.52577750083</v>
      </c>
      <c r="CJ183" s="22" t="n">
        <f aca="false">IF(ISBLANK(Actuals!CK96),-896.43*Escalation!$B$85,Actuals!CK96)</f>
        <v>-1009.52577750083</v>
      </c>
      <c r="CK183" s="22" t="n">
        <f aca="false">IF(ISBLANK(Actuals!CL96),-896.43*Escalation!$B$86,Actuals!CL96)</f>
        <v>-1029.71629305084</v>
      </c>
      <c r="CL183" s="22" t="n">
        <f aca="false">IF(ISBLANK(Actuals!CM96),-896.43*Escalation!$B$87,Actuals!CM96)</f>
        <v>-1029.71629305084</v>
      </c>
      <c r="CM183" s="22" t="n">
        <f aca="false">IF(ISBLANK(Actuals!CN96),-896.43*Escalation!$B$88,Actuals!CN96)</f>
        <v>-1029.71629305084</v>
      </c>
      <c r="CN183" s="22" t="n">
        <f aca="false">IF(ISBLANK(Actuals!CO96),-896.43*Escalation!$B$89,Actuals!CO96)</f>
        <v>-1029.71629305084</v>
      </c>
      <c r="CO183" s="22" t="n">
        <f aca="false">IF(ISBLANK(Actuals!CP96),-896.43*Escalation!$B$90,Actuals!CP96)</f>
        <v>-1029.71629305084</v>
      </c>
      <c r="CP183" s="22" t="n">
        <f aca="false">IF(ISBLANK(Actuals!CQ96),-896.43*Escalation!$B$91,Actuals!CQ96)</f>
        <v>-1029.71629305084</v>
      </c>
      <c r="CQ183" s="22" t="n">
        <f aca="false">IF(ISBLANK(Actuals!CR96),-896.43*Escalation!$B$92,Actuals!CR96)</f>
        <v>-1029.71629305084</v>
      </c>
      <c r="CR183" s="22" t="n">
        <f aca="false">IF(ISBLANK(Actuals!CS96),-896.43*Escalation!$B$93,Actuals!CS96)</f>
        <v>-1029.71629305084</v>
      </c>
      <c r="CS183" s="22" t="n">
        <f aca="false">IF(ISBLANK(Actuals!CT96),-896.43*Escalation!$B$94,Actuals!CT96)</f>
        <v>-1029.71629305084</v>
      </c>
      <c r="CT183" s="22" t="n">
        <f aca="false">IF(ISBLANK(Actuals!CU96),-896.43*Escalation!$B$95,Actuals!CU96)</f>
        <v>-1029.71629305084</v>
      </c>
      <c r="CU183" s="22" t="n">
        <f aca="false">IF(ISBLANK(Actuals!CV96),-896.43*Escalation!$B$96,Actuals!CV96)</f>
        <v>-1029.71629305084</v>
      </c>
      <c r="CV183" s="22" t="n">
        <f aca="false">IF(ISBLANK(Actuals!CW96),-896.43*Escalation!$B$97,Actuals!CW96)</f>
        <v>-1029.71629305084</v>
      </c>
      <c r="CW183" s="22" t="n">
        <f aca="false">IF(ISBLANK(Actuals!CX96),-896.43*Escalation!$B$98,Actuals!CX96)</f>
        <v>-1050.31061891186</v>
      </c>
      <c r="CX183" s="22" t="n">
        <f aca="false">IF(ISBLANK(Actuals!CY96),-896.43*Escalation!$B$99,Actuals!CY96)</f>
        <v>-1050.31061891186</v>
      </c>
      <c r="CY183" s="22" t="n">
        <f aca="false">IF(ISBLANK(Actuals!CZ96),-896.43*Escalation!$B$100,Actuals!CZ96)</f>
        <v>-1050.31061891186</v>
      </c>
      <c r="CZ183" s="22" t="n">
        <f aca="false">IF(ISBLANK(Actuals!DA96),-896.43*Escalation!$B$101,Actuals!DA96)</f>
        <v>-1050.31061891186</v>
      </c>
      <c r="DA183" s="22" t="n">
        <f aca="false">IF(ISBLANK(Actuals!DB96),-896.43*Escalation!$B$102,Actuals!DB96)</f>
        <v>-1050.31061891186</v>
      </c>
      <c r="DB183" s="22" t="n">
        <f aca="false">IF(ISBLANK(Actuals!DC96),-896.43*Escalation!$B$103,Actuals!DC96)</f>
        <v>-1050.31061891186</v>
      </c>
      <c r="DC183" s="22" t="n">
        <f aca="false">IF(ISBLANK(Actuals!DD96),-896.43*Escalation!$B$104,Actuals!DD96)</f>
        <v>-1050.31061891186</v>
      </c>
      <c r="DD183" s="22" t="n">
        <f aca="false">IF(ISBLANK(Actuals!DE96),-896.43*Escalation!$B$105,Actuals!DE96)</f>
        <v>-1050.31061891186</v>
      </c>
      <c r="DE183" s="22" t="n">
        <f aca="false">IF(ISBLANK(Actuals!DF96),-896.43*Escalation!$B$106,Actuals!DF96)</f>
        <v>-1050.31061891186</v>
      </c>
    </row>
    <row r="184" customFormat="false" ht="15" hidden="false" customHeight="true" outlineLevel="0" collapsed="false">
      <c r="A184" s="44" t="s">
        <v>75</v>
      </c>
      <c r="B184" s="22" t="n">
        <f aca="false">IF(ISBLANK(Actuals!C97),0,Actuals!C97)</f>
        <v>0</v>
      </c>
      <c r="C184" s="22" t="n">
        <f aca="false">IF(ISBLANK(Actuals!D97),0,Actuals!D97)</f>
        <v>0</v>
      </c>
      <c r="D184" s="22" t="n">
        <f aca="false">IF(ISBLANK(Actuals!E97),0,Actuals!E97)</f>
        <v>-38050.5</v>
      </c>
      <c r="E184" s="22" t="n">
        <f aca="false">IF(ISBLANK(Actuals!F97),-2000*Escalation!$B$2,Actuals!F97)</f>
        <v>0</v>
      </c>
      <c r="F184" s="22" t="n">
        <f aca="false">IF(ISBLANK(Actuals!G97),-2000*Escalation!$B$3,Actuals!G97)</f>
        <v>-986.5</v>
      </c>
      <c r="G184" s="22" t="n">
        <f aca="false">IF(ISBLANK(Actuals!H97),-2000*Escalation!$B$4,Actuals!H97)</f>
        <v>-4830</v>
      </c>
      <c r="H184" s="22" t="n">
        <f aca="false">IF(ISBLANK(Actuals!I97),-2000*Escalation!$B$5,Actuals!I97)</f>
        <v>-2000</v>
      </c>
      <c r="I184" s="22" t="n">
        <f aca="false">IF(ISBLANK(Actuals!J97),-2000*Escalation!$B$6,Actuals!J97)</f>
        <v>-2000</v>
      </c>
      <c r="J184" s="22" t="n">
        <f aca="false">IF(ISBLANK(Actuals!K97),-2000*Escalation!$B$7,Actuals!K97)</f>
        <v>-2000</v>
      </c>
      <c r="K184" s="22" t="n">
        <f aca="false">IF(ISBLANK(Actuals!L97),-2000*Escalation!$B$8,Actuals!L97)</f>
        <v>-2000</v>
      </c>
      <c r="L184" s="22" t="n">
        <f aca="false">IF(ISBLANK(Actuals!M97),-2000*Escalation!$B$9,Actuals!M97)</f>
        <v>-2000</v>
      </c>
      <c r="M184" s="22" t="n">
        <f aca="false">IF(ISBLANK(Actuals!N97),-2000*Escalation!$B$10,Actuals!N97)</f>
        <v>-2000</v>
      </c>
      <c r="N184" s="22" t="n">
        <f aca="false">IF(ISBLANK(Actuals!O97),-2000*Escalation!$B$11,Actuals!O97)</f>
        <v>-2000</v>
      </c>
      <c r="O184" s="22" t="n">
        <f aca="false">IF(ISBLANK(Actuals!P97),-2000*Escalation!$B$12,Actuals!P97)</f>
        <v>-2000</v>
      </c>
      <c r="P184" s="22" t="n">
        <f aca="false">IF(ISBLANK(Actuals!Q97),-2000*Escalation!$B$13,Actuals!Q97)</f>
        <v>-2000</v>
      </c>
      <c r="Q184" s="22" t="n">
        <f aca="false">IF(ISBLANK(Actuals!R97),-2000*Escalation!$B$14,Actuals!R97)</f>
        <v>-2040</v>
      </c>
      <c r="R184" s="22" t="n">
        <f aca="false">IF(ISBLANK(Actuals!S97),-2000*Escalation!$B$15,Actuals!S97)</f>
        <v>-2040</v>
      </c>
      <c r="S184" s="22" t="n">
        <f aca="false">IF(ISBLANK(Actuals!T97),-2000*Escalation!$B$16,Actuals!T97)</f>
        <v>-2040</v>
      </c>
      <c r="T184" s="22" t="n">
        <f aca="false">IF(ISBLANK(Actuals!U97),-2000*Escalation!$B$17,Actuals!U97)</f>
        <v>-2040</v>
      </c>
      <c r="U184" s="22" t="n">
        <f aca="false">IF(ISBLANK(Actuals!V97),-2000*Escalation!$B$18,Actuals!V97)</f>
        <v>-2040</v>
      </c>
      <c r="V184" s="22" t="n">
        <f aca="false">IF(ISBLANK(Actuals!W97),-2000*Escalation!$B$19,Actuals!W97)</f>
        <v>-2040</v>
      </c>
      <c r="W184" s="22" t="n">
        <f aca="false">IF(ISBLANK(Actuals!X97),-2000*Escalation!$B$20,Actuals!X97)</f>
        <v>-2040</v>
      </c>
      <c r="X184" s="22" t="n">
        <f aca="false">IF(ISBLANK(Actuals!Y97),-2000*Escalation!$B$21,Actuals!Y97)</f>
        <v>-2040</v>
      </c>
      <c r="Y184" s="22" t="n">
        <f aca="false">IF(ISBLANK(Actuals!Z97),-2000*Escalation!$B$22,Actuals!Z97)</f>
        <v>-2040</v>
      </c>
      <c r="Z184" s="22" t="n">
        <f aca="false">IF(ISBLANK(Actuals!AA97),-2000*Escalation!$B$23,Actuals!AA97)</f>
        <v>-2040</v>
      </c>
      <c r="AA184" s="22" t="n">
        <f aca="false">IF(ISBLANK(Actuals!AB97),-2000*Escalation!$B$24,Actuals!AB97)</f>
        <v>-2040</v>
      </c>
      <c r="AB184" s="22" t="n">
        <f aca="false">IF(ISBLANK(Actuals!AC97),-2000*Escalation!$B$25,Actuals!AC97)</f>
        <v>-2040</v>
      </c>
      <c r="AC184" s="22" t="n">
        <f aca="false">IF(ISBLANK(Actuals!AD97),-2000*Escalation!$B$26,Actuals!AD97)</f>
        <v>-2080.8</v>
      </c>
      <c r="AD184" s="22" t="n">
        <f aca="false">IF(ISBLANK(Actuals!AE97),-2000*Escalation!$B$27,Actuals!AE97)</f>
        <v>-2080.8</v>
      </c>
      <c r="AE184" s="22" t="n">
        <f aca="false">IF(ISBLANK(Actuals!AF97),-2000*Escalation!$B$28,Actuals!AF97)</f>
        <v>-2080.8</v>
      </c>
      <c r="AF184" s="22" t="n">
        <f aca="false">IF(ISBLANK(Actuals!AG97),-2000*Escalation!$B$29,Actuals!AG97)</f>
        <v>-2080.8</v>
      </c>
      <c r="AG184" s="22" t="n">
        <f aca="false">IF(ISBLANK(Actuals!AH97),-2000*Escalation!$B$30,Actuals!AH97)</f>
        <v>-2080.8</v>
      </c>
      <c r="AH184" s="22" t="n">
        <f aca="false">IF(ISBLANK(Actuals!AI97),-2000*Escalation!$B$31,Actuals!AI97)</f>
        <v>-2080.8</v>
      </c>
      <c r="AI184" s="22" t="n">
        <f aca="false">IF(ISBLANK(Actuals!AJ97),-2000*Escalation!$B$32,Actuals!AJ97)</f>
        <v>-2080.8</v>
      </c>
      <c r="AJ184" s="22" t="n">
        <f aca="false">IF(ISBLANK(Actuals!AK97),-2000*Escalation!$B$33,Actuals!AK97)</f>
        <v>-2080.8</v>
      </c>
      <c r="AK184" s="22" t="n">
        <f aca="false">IF(ISBLANK(Actuals!AL97),-2000*Escalation!$B$34,Actuals!AL97)</f>
        <v>-2080.8</v>
      </c>
      <c r="AL184" s="22" t="n">
        <f aca="false">IF(ISBLANK(Actuals!AM97),-2000*Escalation!$B$35,Actuals!AM97)</f>
        <v>-2080.8</v>
      </c>
      <c r="AM184" s="22" t="n">
        <f aca="false">IF(ISBLANK(Actuals!AN97),-2000*Escalation!$B$36,Actuals!AN97)</f>
        <v>-2080.8</v>
      </c>
      <c r="AN184" s="22" t="n">
        <f aca="false">IF(ISBLANK(Actuals!AO97),-2000*Escalation!$B$37,Actuals!AO97)</f>
        <v>-2080.8</v>
      </c>
      <c r="AO184" s="22" t="n">
        <f aca="false">IF(ISBLANK(Actuals!AP97),-2000*Escalation!$B$38,Actuals!AP97)</f>
        <v>-2122.416</v>
      </c>
      <c r="AP184" s="22" t="n">
        <f aca="false">IF(ISBLANK(Actuals!AQ97),-2000*Escalation!$B$39,Actuals!AQ97)</f>
        <v>-2122.416</v>
      </c>
      <c r="AQ184" s="22" t="n">
        <f aca="false">IF(ISBLANK(Actuals!AR97),-2000*Escalation!$B$40,Actuals!AR97)</f>
        <v>-2122.416</v>
      </c>
      <c r="AR184" s="22" t="n">
        <f aca="false">IF(ISBLANK(Actuals!AS97),-2000*Escalation!$B$41,Actuals!AS97)</f>
        <v>-2122.416</v>
      </c>
      <c r="AS184" s="22" t="n">
        <f aca="false">IF(ISBLANK(Actuals!AT97),-2000*Escalation!$B$42,Actuals!AT97)</f>
        <v>-2122.416</v>
      </c>
      <c r="AT184" s="22" t="n">
        <f aca="false">IF(ISBLANK(Actuals!AU97),-2000*Escalation!$B$43,Actuals!AU97)</f>
        <v>-2122.416</v>
      </c>
      <c r="AU184" s="22" t="n">
        <f aca="false">IF(ISBLANK(Actuals!AV97),-2000*Escalation!$B$44,Actuals!AV97)</f>
        <v>-2122.416</v>
      </c>
      <c r="AV184" s="22" t="n">
        <f aca="false">IF(ISBLANK(Actuals!AW97),-2000*Escalation!$B$45,Actuals!AW97)</f>
        <v>-2122.416</v>
      </c>
      <c r="AW184" s="22" t="n">
        <f aca="false">IF(ISBLANK(Actuals!AX97),-2000*Escalation!$B$46,Actuals!AX97)</f>
        <v>-2122.416</v>
      </c>
      <c r="AX184" s="22" t="n">
        <f aca="false">IF(ISBLANK(Actuals!AY97),-2000*Escalation!$B$47,Actuals!AY97)</f>
        <v>-2122.416</v>
      </c>
      <c r="AY184" s="22" t="n">
        <f aca="false">IF(ISBLANK(Actuals!AZ97),-2000*Escalation!$B$48,Actuals!AZ97)</f>
        <v>-2122.416</v>
      </c>
      <c r="AZ184" s="22" t="n">
        <f aca="false">IF(ISBLANK(Actuals!BA97),-2000*Escalation!$B$49,Actuals!BA97)</f>
        <v>-2122.416</v>
      </c>
      <c r="BA184" s="22" t="n">
        <f aca="false">IF(ISBLANK(Actuals!BB97),-2000*Escalation!$B$50,Actuals!BB97)</f>
        <v>-2164.86432</v>
      </c>
      <c r="BB184" s="22" t="n">
        <f aca="false">IF(ISBLANK(Actuals!BC97),-2000*Escalation!$B$51,Actuals!BC97)</f>
        <v>-2164.86432</v>
      </c>
      <c r="BC184" s="22" t="n">
        <f aca="false">IF(ISBLANK(Actuals!BD97),-2000*Escalation!$B$52,Actuals!BD97)</f>
        <v>-2164.86432</v>
      </c>
      <c r="BD184" s="22" t="n">
        <f aca="false">IF(ISBLANK(Actuals!BE97),-2000*Escalation!$B$53,Actuals!BE97)</f>
        <v>-2164.86432</v>
      </c>
      <c r="BE184" s="22" t="n">
        <f aca="false">IF(ISBLANK(Actuals!BF97),-2000*Escalation!$B$54,Actuals!BF97)</f>
        <v>-2164.86432</v>
      </c>
      <c r="BF184" s="22" t="n">
        <f aca="false">IF(ISBLANK(Actuals!BG97),-2000*Escalation!$B$55,Actuals!BG97)</f>
        <v>-2164.86432</v>
      </c>
      <c r="BG184" s="22" t="n">
        <f aca="false">IF(ISBLANK(Actuals!BH97),-2000*Escalation!$B$56,Actuals!BH97)</f>
        <v>-2164.86432</v>
      </c>
      <c r="BH184" s="22" t="n">
        <f aca="false">IF(ISBLANK(Actuals!BI97),-2000*Escalation!$B$57,Actuals!BI97)</f>
        <v>-2164.86432</v>
      </c>
      <c r="BI184" s="22" t="n">
        <f aca="false">IF(ISBLANK(Actuals!BJ97),-2000*Escalation!$B$58,Actuals!BJ97)</f>
        <v>-2164.86432</v>
      </c>
      <c r="BJ184" s="22" t="n">
        <f aca="false">IF(ISBLANK(Actuals!BK97),-2000*Escalation!$B$59,Actuals!BK97)</f>
        <v>-2164.86432</v>
      </c>
      <c r="BK184" s="22" t="n">
        <f aca="false">IF(ISBLANK(Actuals!BL97),-2000*Escalation!$B$60,Actuals!BL97)</f>
        <v>-2164.86432</v>
      </c>
      <c r="BL184" s="22" t="n">
        <f aca="false">IF(ISBLANK(Actuals!BM97),-2000*Escalation!$B$61,Actuals!BM97)</f>
        <v>-2164.86432</v>
      </c>
      <c r="BM184" s="22" t="n">
        <f aca="false">IF(ISBLANK(Actuals!BN97),-2000*Escalation!$B$62,Actuals!BN97)</f>
        <v>-2208.1616064</v>
      </c>
      <c r="BN184" s="22" t="n">
        <f aca="false">IF(ISBLANK(Actuals!BO97),-2000*Escalation!$B$63,Actuals!BO97)</f>
        <v>-2208.1616064</v>
      </c>
      <c r="BO184" s="22" t="n">
        <f aca="false">IF(ISBLANK(Actuals!BP97),-2000*Escalation!$B$64,Actuals!BP97)</f>
        <v>-2208.1616064</v>
      </c>
      <c r="BP184" s="22" t="n">
        <f aca="false">IF(ISBLANK(Actuals!BQ97),-2000*Escalation!$B$65,Actuals!BQ97)</f>
        <v>-2208.1616064</v>
      </c>
      <c r="BQ184" s="22" t="n">
        <f aca="false">IF(ISBLANK(Actuals!BR97),-2000*Escalation!$B$66,Actuals!BR97)</f>
        <v>-2208.1616064</v>
      </c>
      <c r="BR184" s="22" t="n">
        <f aca="false">IF(ISBLANK(Actuals!BS97),-2000*Escalation!$B$67,Actuals!BS97)</f>
        <v>-2208.1616064</v>
      </c>
      <c r="BS184" s="22" t="n">
        <f aca="false">IF(ISBLANK(Actuals!BT97),-2000*Escalation!$B$68,Actuals!BT97)</f>
        <v>-2208.1616064</v>
      </c>
      <c r="BT184" s="22" t="n">
        <f aca="false">IF(ISBLANK(Actuals!BU97),-2000*Escalation!$B$69,Actuals!BU97)</f>
        <v>-2208.1616064</v>
      </c>
      <c r="BU184" s="22" t="n">
        <f aca="false">IF(ISBLANK(Actuals!BV97),-2000*Escalation!$B$70,Actuals!BV97)</f>
        <v>-2208.1616064</v>
      </c>
      <c r="BV184" s="22" t="n">
        <f aca="false">IF(ISBLANK(Actuals!BW97),-2000*Escalation!$B$71,Actuals!BW97)</f>
        <v>-2208.1616064</v>
      </c>
      <c r="BW184" s="22" t="n">
        <f aca="false">IF(ISBLANK(Actuals!BX97),-2000*Escalation!$B$72,Actuals!BX97)</f>
        <v>-2208.1616064</v>
      </c>
      <c r="BX184" s="22" t="n">
        <f aca="false">IF(ISBLANK(Actuals!BY97),-2000*Escalation!$B$73,Actuals!BY97)</f>
        <v>-2208.1616064</v>
      </c>
      <c r="BY184" s="22" t="n">
        <f aca="false">IF(ISBLANK(Actuals!BZ97),-2000*Escalation!$B$74,Actuals!BZ97)</f>
        <v>-2252.324838528</v>
      </c>
      <c r="BZ184" s="22" t="n">
        <f aca="false">IF(ISBLANK(Actuals!CA97),-2000*Escalation!$B$75,Actuals!CA97)</f>
        <v>-2252.324838528</v>
      </c>
      <c r="CA184" s="22" t="n">
        <f aca="false">IF(ISBLANK(Actuals!CB97),-2000*Escalation!$B$76,Actuals!CB97)</f>
        <v>-2252.324838528</v>
      </c>
      <c r="CB184" s="22" t="n">
        <f aca="false">IF(ISBLANK(Actuals!CC97),-2000*Escalation!$B$77,Actuals!CC97)</f>
        <v>-2252.324838528</v>
      </c>
      <c r="CC184" s="22" t="n">
        <f aca="false">IF(ISBLANK(Actuals!CD97),-2000*Escalation!$B$78,Actuals!CD97)</f>
        <v>-2252.324838528</v>
      </c>
      <c r="CD184" s="22" t="n">
        <f aca="false">IF(ISBLANK(Actuals!CE97),-2000*Escalation!$B$79,Actuals!CE97)</f>
        <v>-2252.324838528</v>
      </c>
      <c r="CE184" s="22" t="n">
        <f aca="false">IF(ISBLANK(Actuals!CF97),-2000*Escalation!$B$80,Actuals!CF97)</f>
        <v>-2252.324838528</v>
      </c>
      <c r="CF184" s="22" t="n">
        <f aca="false">IF(ISBLANK(Actuals!CG97),-2000*Escalation!$B$81,Actuals!CG97)</f>
        <v>-2252.324838528</v>
      </c>
      <c r="CG184" s="22" t="n">
        <f aca="false">IF(ISBLANK(Actuals!CH97),-2000*Escalation!$B$82,Actuals!CH97)</f>
        <v>-2252.324838528</v>
      </c>
      <c r="CH184" s="22" t="n">
        <f aca="false">IF(ISBLANK(Actuals!CI97),-2000*Escalation!$B$83,Actuals!CI97)</f>
        <v>-2252.324838528</v>
      </c>
      <c r="CI184" s="22" t="n">
        <f aca="false">IF(ISBLANK(Actuals!CJ97),-2000*Escalation!$B$84,Actuals!CJ97)</f>
        <v>-2252.324838528</v>
      </c>
      <c r="CJ184" s="22" t="n">
        <f aca="false">IF(ISBLANK(Actuals!CK97),-2000*Escalation!$B$85,Actuals!CK97)</f>
        <v>-2252.324838528</v>
      </c>
      <c r="CK184" s="22" t="n">
        <f aca="false">IF(ISBLANK(Actuals!CL97),-2000*Escalation!$B$86,Actuals!CL97)</f>
        <v>-2297.37133529856</v>
      </c>
      <c r="CL184" s="22" t="n">
        <f aca="false">IF(ISBLANK(Actuals!CM97),-2000*Escalation!$B$87,Actuals!CM97)</f>
        <v>-2297.37133529856</v>
      </c>
      <c r="CM184" s="22" t="n">
        <f aca="false">IF(ISBLANK(Actuals!CN97),-2000*Escalation!$B$88,Actuals!CN97)</f>
        <v>-2297.37133529856</v>
      </c>
      <c r="CN184" s="22" t="n">
        <f aca="false">IF(ISBLANK(Actuals!CO97),-2000*Escalation!$B$89,Actuals!CO97)</f>
        <v>-2297.37133529856</v>
      </c>
      <c r="CO184" s="22" t="n">
        <f aca="false">IF(ISBLANK(Actuals!CP97),-2000*Escalation!$B$90,Actuals!CP97)</f>
        <v>-2297.37133529856</v>
      </c>
      <c r="CP184" s="22" t="n">
        <f aca="false">IF(ISBLANK(Actuals!CQ97),-2000*Escalation!$B$91,Actuals!CQ97)</f>
        <v>-2297.37133529856</v>
      </c>
      <c r="CQ184" s="22" t="n">
        <f aca="false">IF(ISBLANK(Actuals!CR97),-2000*Escalation!$B$92,Actuals!CR97)</f>
        <v>-2297.37133529856</v>
      </c>
      <c r="CR184" s="22" t="n">
        <f aca="false">IF(ISBLANK(Actuals!CS97),-2000*Escalation!$B$93,Actuals!CS97)</f>
        <v>-2297.37133529856</v>
      </c>
      <c r="CS184" s="22" t="n">
        <f aca="false">IF(ISBLANK(Actuals!CT97),-2000*Escalation!$B$94,Actuals!CT97)</f>
        <v>-2297.37133529856</v>
      </c>
      <c r="CT184" s="22" t="n">
        <f aca="false">IF(ISBLANK(Actuals!CU97),-2000*Escalation!$B$95,Actuals!CU97)</f>
        <v>-2297.37133529856</v>
      </c>
      <c r="CU184" s="22" t="n">
        <f aca="false">IF(ISBLANK(Actuals!CV97),-2000*Escalation!$B$96,Actuals!CV97)</f>
        <v>-2297.37133529856</v>
      </c>
      <c r="CV184" s="22" t="n">
        <f aca="false">IF(ISBLANK(Actuals!CW97),-2000*Escalation!$B$97,Actuals!CW97)</f>
        <v>-2297.37133529856</v>
      </c>
      <c r="CW184" s="22" t="n">
        <f aca="false">IF(ISBLANK(Actuals!CX97),-2000*Escalation!$B$98,Actuals!CX97)</f>
        <v>-2343.31876200453</v>
      </c>
      <c r="CX184" s="22" t="n">
        <f aca="false">IF(ISBLANK(Actuals!CY97),-2000*Escalation!$B$99,Actuals!CY97)</f>
        <v>-2343.31876200453</v>
      </c>
      <c r="CY184" s="22" t="n">
        <f aca="false">IF(ISBLANK(Actuals!CZ97),-2000*Escalation!$B$100,Actuals!CZ97)</f>
        <v>-2343.31876200453</v>
      </c>
      <c r="CZ184" s="22" t="n">
        <f aca="false">IF(ISBLANK(Actuals!DA97),-2000*Escalation!$B$101,Actuals!DA97)</f>
        <v>-2343.31876200453</v>
      </c>
      <c r="DA184" s="22" t="n">
        <f aca="false">IF(ISBLANK(Actuals!DB97),-2000*Escalation!$B$102,Actuals!DB97)</f>
        <v>-2343.31876200453</v>
      </c>
      <c r="DB184" s="22" t="n">
        <f aca="false">IF(ISBLANK(Actuals!DC97),-2000*Escalation!$B$103,Actuals!DC97)</f>
        <v>-2343.31876200453</v>
      </c>
      <c r="DC184" s="22" t="n">
        <f aca="false">IF(ISBLANK(Actuals!DD97),-2000*Escalation!$B$104,Actuals!DD97)</f>
        <v>-2343.31876200453</v>
      </c>
      <c r="DD184" s="22" t="n">
        <f aca="false">IF(ISBLANK(Actuals!DE97),-2000*Escalation!$B$105,Actuals!DE97)</f>
        <v>-2343.31876200453</v>
      </c>
      <c r="DE184" s="22" t="n">
        <f aca="false">IF(ISBLANK(Actuals!DF97),-2000*Escalation!$B$106,Actuals!DF97)</f>
        <v>-2343.31876200453</v>
      </c>
    </row>
    <row r="185" customFormat="false" ht="15" hidden="false" customHeight="true" outlineLevel="0" collapsed="false">
      <c r="A185" s="44" t="s">
        <v>76</v>
      </c>
      <c r="B185" s="22" t="n">
        <f aca="false">IF(ISBLANK(Actuals!C98),0,Actuals!C98)</f>
        <v>-4097.78</v>
      </c>
      <c r="C185" s="22" t="n">
        <f aca="false">IF(ISBLANK(Actuals!D98),0,Actuals!D98)</f>
        <v>-1950.2</v>
      </c>
      <c r="D185" s="22" t="n">
        <f aca="false">IF(ISBLANK(Actuals!E98),0,Actuals!E98)</f>
        <v>-1978.2</v>
      </c>
      <c r="E185" s="22" t="n">
        <f aca="false">IF(ISBLANK(Actuals!F98),-2675.39*Escalation!$B$2,Actuals!F98)</f>
        <v>-1970.2</v>
      </c>
      <c r="F185" s="22" t="n">
        <f aca="false">IF(ISBLANK(Actuals!G98),-2675.39*Escalation!$B$3,Actuals!G98)</f>
        <v>-6126.2</v>
      </c>
      <c r="G185" s="22" t="n">
        <f aca="false">IF(ISBLANK(Actuals!H98),-2675.39*Escalation!$B$4,Actuals!H98)</f>
        <v>-1993.2</v>
      </c>
      <c r="H185" s="22" t="n">
        <f aca="false">IF(ISBLANK(Actuals!I98),-2675.39*Escalation!$B$5,Actuals!I98)</f>
        <v>-2675.39</v>
      </c>
      <c r="I185" s="22" t="n">
        <f aca="false">IF(ISBLANK(Actuals!J98),-2675.39*Escalation!$B$6,Actuals!J98)</f>
        <v>-2675.39</v>
      </c>
      <c r="J185" s="22" t="n">
        <f aca="false">IF(ISBLANK(Actuals!K98),-2675.39*Escalation!$B$7,Actuals!K98)</f>
        <v>-2675.39</v>
      </c>
      <c r="K185" s="22" t="n">
        <f aca="false">IF(ISBLANK(Actuals!L98),-2675.39*Escalation!$B$8,Actuals!L98)</f>
        <v>-2675.39</v>
      </c>
      <c r="L185" s="22" t="n">
        <f aca="false">IF(ISBLANK(Actuals!M98),-2675.39*Escalation!$B$9,Actuals!M98)</f>
        <v>-2675.39</v>
      </c>
      <c r="M185" s="22" t="n">
        <f aca="false">IF(ISBLANK(Actuals!N98),-2675.39*Escalation!$B$10,Actuals!N98)</f>
        <v>-2675.39</v>
      </c>
      <c r="N185" s="22" t="n">
        <f aca="false">IF(ISBLANK(Actuals!O98),-2675.39*Escalation!$B$11,Actuals!O98)</f>
        <v>-2675.39</v>
      </c>
      <c r="O185" s="22" t="n">
        <f aca="false">IF(ISBLANK(Actuals!P98),-2675.39*Escalation!$B$12,Actuals!P98)</f>
        <v>-2675.39</v>
      </c>
      <c r="P185" s="22" t="n">
        <f aca="false">IF(ISBLANK(Actuals!Q98),-2675.39*Escalation!$B$13,Actuals!Q98)</f>
        <v>-2675.39</v>
      </c>
      <c r="Q185" s="22" t="n">
        <f aca="false">IF(ISBLANK(Actuals!R98),-2675.39*Escalation!$B$14,Actuals!R98)</f>
        <v>-2728.8978</v>
      </c>
      <c r="R185" s="22" t="n">
        <f aca="false">IF(ISBLANK(Actuals!S98),-2675.39*Escalation!$B$15,Actuals!S98)</f>
        <v>-2728.8978</v>
      </c>
      <c r="S185" s="22" t="n">
        <f aca="false">IF(ISBLANK(Actuals!T98),-2675.39*Escalation!$B$16,Actuals!T98)</f>
        <v>-2728.8978</v>
      </c>
      <c r="T185" s="22" t="n">
        <f aca="false">IF(ISBLANK(Actuals!U98),-2675.39*Escalation!$B$17,Actuals!U98)</f>
        <v>-2728.8978</v>
      </c>
      <c r="U185" s="22" t="n">
        <f aca="false">IF(ISBLANK(Actuals!V98),-2675.39*Escalation!$B$18,Actuals!V98)</f>
        <v>-2728.8978</v>
      </c>
      <c r="V185" s="22" t="n">
        <f aca="false">IF(ISBLANK(Actuals!W98),-2675.39*Escalation!$B$19,Actuals!W98)</f>
        <v>-2728.8978</v>
      </c>
      <c r="W185" s="22" t="n">
        <f aca="false">IF(ISBLANK(Actuals!X98),-2675.39*Escalation!$B$20,Actuals!X98)</f>
        <v>-2728.8978</v>
      </c>
      <c r="X185" s="22" t="n">
        <f aca="false">IF(ISBLANK(Actuals!Y98),-2675.39*Escalation!$B$21,Actuals!Y98)</f>
        <v>-2728.8978</v>
      </c>
      <c r="Y185" s="22" t="n">
        <f aca="false">IF(ISBLANK(Actuals!Z98),-2675.39*Escalation!$B$22,Actuals!Z98)</f>
        <v>-2728.8978</v>
      </c>
      <c r="Z185" s="22" t="n">
        <f aca="false">IF(ISBLANK(Actuals!AA98),-2675.39*Escalation!$B$23,Actuals!AA98)</f>
        <v>-2728.8978</v>
      </c>
      <c r="AA185" s="22" t="n">
        <f aca="false">IF(ISBLANK(Actuals!AB98),-2675.39*Escalation!$B$24,Actuals!AB98)</f>
        <v>-2728.8978</v>
      </c>
      <c r="AB185" s="22" t="n">
        <f aca="false">IF(ISBLANK(Actuals!AC98),-2675.39*Escalation!$B$25,Actuals!AC98)</f>
        <v>-2728.8978</v>
      </c>
      <c r="AC185" s="22" t="n">
        <f aca="false">IF(ISBLANK(Actuals!AD98),-2675.39*Escalation!$B$26,Actuals!AD98)</f>
        <v>-2783.475756</v>
      </c>
      <c r="AD185" s="22" t="n">
        <f aca="false">IF(ISBLANK(Actuals!AE98),-2675.39*Escalation!$B$27,Actuals!AE98)</f>
        <v>-2783.475756</v>
      </c>
      <c r="AE185" s="22" t="n">
        <f aca="false">IF(ISBLANK(Actuals!AF98),-2675.39*Escalation!$B$28,Actuals!AF98)</f>
        <v>-2783.475756</v>
      </c>
      <c r="AF185" s="22" t="n">
        <f aca="false">IF(ISBLANK(Actuals!AG98),-2675.39*Escalation!$B$29,Actuals!AG98)</f>
        <v>-2783.475756</v>
      </c>
      <c r="AG185" s="22" t="n">
        <f aca="false">IF(ISBLANK(Actuals!AH98),-2675.39*Escalation!$B$30,Actuals!AH98)</f>
        <v>-2783.475756</v>
      </c>
      <c r="AH185" s="22" t="n">
        <f aca="false">IF(ISBLANK(Actuals!AI98),-2675.39*Escalation!$B$31,Actuals!AI98)</f>
        <v>-2783.475756</v>
      </c>
      <c r="AI185" s="22" t="n">
        <f aca="false">IF(ISBLANK(Actuals!AJ98),-2675.39*Escalation!$B$32,Actuals!AJ98)</f>
        <v>-2783.475756</v>
      </c>
      <c r="AJ185" s="22" t="n">
        <f aca="false">IF(ISBLANK(Actuals!AK98),-2675.39*Escalation!$B$33,Actuals!AK98)</f>
        <v>-2783.475756</v>
      </c>
      <c r="AK185" s="22" t="n">
        <f aca="false">IF(ISBLANK(Actuals!AL98),-2675.39*Escalation!$B$34,Actuals!AL98)</f>
        <v>-2783.475756</v>
      </c>
      <c r="AL185" s="22" t="n">
        <f aca="false">IF(ISBLANK(Actuals!AM98),-2675.39*Escalation!$B$35,Actuals!AM98)</f>
        <v>-2783.475756</v>
      </c>
      <c r="AM185" s="22" t="n">
        <f aca="false">IF(ISBLANK(Actuals!AN98),-2675.39*Escalation!$B$36,Actuals!AN98)</f>
        <v>-2783.475756</v>
      </c>
      <c r="AN185" s="22" t="n">
        <f aca="false">IF(ISBLANK(Actuals!AO98),-2675.39*Escalation!$B$37,Actuals!AO98)</f>
        <v>-2783.475756</v>
      </c>
      <c r="AO185" s="22" t="n">
        <f aca="false">IF(ISBLANK(Actuals!AP98),-2675.39*Escalation!$B$38,Actuals!AP98)</f>
        <v>-2839.14527112</v>
      </c>
      <c r="AP185" s="22" t="n">
        <f aca="false">IF(ISBLANK(Actuals!AQ98),-2675.39*Escalation!$B$39,Actuals!AQ98)</f>
        <v>-2839.14527112</v>
      </c>
      <c r="AQ185" s="22" t="n">
        <f aca="false">IF(ISBLANK(Actuals!AR98),-2675.39*Escalation!$B$40,Actuals!AR98)</f>
        <v>-2839.14527112</v>
      </c>
      <c r="AR185" s="22" t="n">
        <f aca="false">IF(ISBLANK(Actuals!AS98),-2675.39*Escalation!$B$41,Actuals!AS98)</f>
        <v>-2839.14527112</v>
      </c>
      <c r="AS185" s="22" t="n">
        <f aca="false">IF(ISBLANK(Actuals!AT98),-2675.39*Escalation!$B$42,Actuals!AT98)</f>
        <v>-2839.14527112</v>
      </c>
      <c r="AT185" s="22" t="n">
        <f aca="false">IF(ISBLANK(Actuals!AU98),-2675.39*Escalation!$B$43,Actuals!AU98)</f>
        <v>-2839.14527112</v>
      </c>
      <c r="AU185" s="22" t="n">
        <f aca="false">IF(ISBLANK(Actuals!AV98),-2675.39*Escalation!$B$44,Actuals!AV98)</f>
        <v>-2839.14527112</v>
      </c>
      <c r="AV185" s="22" t="n">
        <f aca="false">IF(ISBLANK(Actuals!AW98),-2675.39*Escalation!$B$45,Actuals!AW98)</f>
        <v>-2839.14527112</v>
      </c>
      <c r="AW185" s="22" t="n">
        <f aca="false">IF(ISBLANK(Actuals!AX98),-2675.39*Escalation!$B$46,Actuals!AX98)</f>
        <v>-2839.14527112</v>
      </c>
      <c r="AX185" s="22" t="n">
        <f aca="false">IF(ISBLANK(Actuals!AY98),-2675.39*Escalation!$B$47,Actuals!AY98)</f>
        <v>-2839.14527112</v>
      </c>
      <c r="AY185" s="22" t="n">
        <f aca="false">IF(ISBLANK(Actuals!AZ98),-2675.39*Escalation!$B$48,Actuals!AZ98)</f>
        <v>-2839.14527112</v>
      </c>
      <c r="AZ185" s="22" t="n">
        <f aca="false">IF(ISBLANK(Actuals!BA98),-2675.39*Escalation!$B$49,Actuals!BA98)</f>
        <v>-2839.14527112</v>
      </c>
      <c r="BA185" s="22" t="n">
        <f aca="false">IF(ISBLANK(Actuals!BB98),-2675.39*Escalation!$B$50,Actuals!BB98)</f>
        <v>-2895.9281765424</v>
      </c>
      <c r="BB185" s="22" t="n">
        <f aca="false">IF(ISBLANK(Actuals!BC98),-2675.39*Escalation!$B$51,Actuals!BC98)</f>
        <v>-2895.9281765424</v>
      </c>
      <c r="BC185" s="22" t="n">
        <f aca="false">IF(ISBLANK(Actuals!BD98),-2675.39*Escalation!$B$52,Actuals!BD98)</f>
        <v>-2895.9281765424</v>
      </c>
      <c r="BD185" s="22" t="n">
        <f aca="false">IF(ISBLANK(Actuals!BE98),-2675.39*Escalation!$B$53,Actuals!BE98)</f>
        <v>-2895.9281765424</v>
      </c>
      <c r="BE185" s="22" t="n">
        <f aca="false">IF(ISBLANK(Actuals!BF98),-2675.39*Escalation!$B$54,Actuals!BF98)</f>
        <v>-2895.9281765424</v>
      </c>
      <c r="BF185" s="22" t="n">
        <f aca="false">IF(ISBLANK(Actuals!BG98),-2675.39*Escalation!$B$55,Actuals!BG98)</f>
        <v>-2895.9281765424</v>
      </c>
      <c r="BG185" s="22" t="n">
        <f aca="false">IF(ISBLANK(Actuals!BH98),-2675.39*Escalation!$B$56,Actuals!BH98)</f>
        <v>-2895.9281765424</v>
      </c>
      <c r="BH185" s="22" t="n">
        <f aca="false">IF(ISBLANK(Actuals!BI98),-2675.39*Escalation!$B$57,Actuals!BI98)</f>
        <v>-2895.9281765424</v>
      </c>
      <c r="BI185" s="22" t="n">
        <f aca="false">IF(ISBLANK(Actuals!BJ98),-2675.39*Escalation!$B$58,Actuals!BJ98)</f>
        <v>-2895.9281765424</v>
      </c>
      <c r="BJ185" s="22" t="n">
        <f aca="false">IF(ISBLANK(Actuals!BK98),-2675.39*Escalation!$B$59,Actuals!BK98)</f>
        <v>-2895.9281765424</v>
      </c>
      <c r="BK185" s="22" t="n">
        <f aca="false">IF(ISBLANK(Actuals!BL98),-2675.39*Escalation!$B$60,Actuals!BL98)</f>
        <v>-2895.9281765424</v>
      </c>
      <c r="BL185" s="22" t="n">
        <f aca="false">IF(ISBLANK(Actuals!BM98),-2675.39*Escalation!$B$61,Actuals!BM98)</f>
        <v>-2895.9281765424</v>
      </c>
      <c r="BM185" s="22" t="n">
        <f aca="false">IF(ISBLANK(Actuals!BN98),-2675.39*Escalation!$B$62,Actuals!BN98)</f>
        <v>-2953.84674007325</v>
      </c>
      <c r="BN185" s="22" t="n">
        <f aca="false">IF(ISBLANK(Actuals!BO98),-2675.39*Escalation!$B$63,Actuals!BO98)</f>
        <v>-2953.84674007325</v>
      </c>
      <c r="BO185" s="22" t="n">
        <f aca="false">IF(ISBLANK(Actuals!BP98),-2675.39*Escalation!$B$64,Actuals!BP98)</f>
        <v>-2953.84674007325</v>
      </c>
      <c r="BP185" s="22" t="n">
        <f aca="false">IF(ISBLANK(Actuals!BQ98),-2675.39*Escalation!$B$65,Actuals!BQ98)</f>
        <v>-2953.84674007325</v>
      </c>
      <c r="BQ185" s="22" t="n">
        <f aca="false">IF(ISBLANK(Actuals!BR98),-2675.39*Escalation!$B$66,Actuals!BR98)</f>
        <v>-2953.84674007325</v>
      </c>
      <c r="BR185" s="22" t="n">
        <f aca="false">IF(ISBLANK(Actuals!BS98),-2675.39*Escalation!$B$67,Actuals!BS98)</f>
        <v>-2953.84674007325</v>
      </c>
      <c r="BS185" s="22" t="n">
        <f aca="false">IF(ISBLANK(Actuals!BT98),-2675.39*Escalation!$B$68,Actuals!BT98)</f>
        <v>-2953.84674007325</v>
      </c>
      <c r="BT185" s="22" t="n">
        <f aca="false">IF(ISBLANK(Actuals!BU98),-2675.39*Escalation!$B$69,Actuals!BU98)</f>
        <v>-2953.84674007325</v>
      </c>
      <c r="BU185" s="22" t="n">
        <f aca="false">IF(ISBLANK(Actuals!BV98),-2675.39*Escalation!$B$70,Actuals!BV98)</f>
        <v>-2953.84674007325</v>
      </c>
      <c r="BV185" s="22" t="n">
        <f aca="false">IF(ISBLANK(Actuals!BW98),-2675.39*Escalation!$B$71,Actuals!BW98)</f>
        <v>-2953.84674007325</v>
      </c>
      <c r="BW185" s="22" t="n">
        <f aca="false">IF(ISBLANK(Actuals!BX98),-2675.39*Escalation!$B$72,Actuals!BX98)</f>
        <v>-2953.84674007325</v>
      </c>
      <c r="BX185" s="22" t="n">
        <f aca="false">IF(ISBLANK(Actuals!BY98),-2675.39*Escalation!$B$73,Actuals!BY98)</f>
        <v>-2953.84674007325</v>
      </c>
      <c r="BY185" s="22" t="n">
        <f aca="false">IF(ISBLANK(Actuals!BZ98),-2675.39*Escalation!$B$74,Actuals!BZ98)</f>
        <v>-3012.92367487471</v>
      </c>
      <c r="BZ185" s="22" t="n">
        <f aca="false">IF(ISBLANK(Actuals!CA98),-2675.39*Escalation!$B$75,Actuals!CA98)</f>
        <v>-3012.92367487471</v>
      </c>
      <c r="CA185" s="22" t="n">
        <f aca="false">IF(ISBLANK(Actuals!CB98),-2675.39*Escalation!$B$76,Actuals!CB98)</f>
        <v>-3012.92367487471</v>
      </c>
      <c r="CB185" s="22" t="n">
        <f aca="false">IF(ISBLANK(Actuals!CC98),-2675.39*Escalation!$B$77,Actuals!CC98)</f>
        <v>-3012.92367487471</v>
      </c>
      <c r="CC185" s="22" t="n">
        <f aca="false">IF(ISBLANK(Actuals!CD98),-2675.39*Escalation!$B$78,Actuals!CD98)</f>
        <v>-3012.92367487471</v>
      </c>
      <c r="CD185" s="22" t="n">
        <f aca="false">IF(ISBLANK(Actuals!CE98),-2675.39*Escalation!$B$79,Actuals!CE98)</f>
        <v>-3012.92367487471</v>
      </c>
      <c r="CE185" s="22" t="n">
        <f aca="false">IF(ISBLANK(Actuals!CF98),-2675.39*Escalation!$B$80,Actuals!CF98)</f>
        <v>-3012.92367487471</v>
      </c>
      <c r="CF185" s="22" t="n">
        <f aca="false">IF(ISBLANK(Actuals!CG98),-2675.39*Escalation!$B$81,Actuals!CG98)</f>
        <v>-3012.92367487471</v>
      </c>
      <c r="CG185" s="22" t="n">
        <f aca="false">IF(ISBLANK(Actuals!CH98),-2675.39*Escalation!$B$82,Actuals!CH98)</f>
        <v>-3012.92367487471</v>
      </c>
      <c r="CH185" s="22" t="n">
        <f aca="false">IF(ISBLANK(Actuals!CI98),-2675.39*Escalation!$B$83,Actuals!CI98)</f>
        <v>-3012.92367487471</v>
      </c>
      <c r="CI185" s="22" t="n">
        <f aca="false">IF(ISBLANK(Actuals!CJ98),-2675.39*Escalation!$B$84,Actuals!CJ98)</f>
        <v>-3012.92367487471</v>
      </c>
      <c r="CJ185" s="22" t="n">
        <f aca="false">IF(ISBLANK(Actuals!CK98),-2675.39*Escalation!$B$85,Actuals!CK98)</f>
        <v>-3012.92367487471</v>
      </c>
      <c r="CK185" s="22" t="n">
        <f aca="false">IF(ISBLANK(Actuals!CL98),-2675.39*Escalation!$B$86,Actuals!CL98)</f>
        <v>-3073.18214837221</v>
      </c>
      <c r="CL185" s="22" t="n">
        <f aca="false">IF(ISBLANK(Actuals!CM98),-2675.39*Escalation!$B$87,Actuals!CM98)</f>
        <v>-3073.18214837221</v>
      </c>
      <c r="CM185" s="22" t="n">
        <f aca="false">IF(ISBLANK(Actuals!CN98),-2675.39*Escalation!$B$88,Actuals!CN98)</f>
        <v>-3073.18214837221</v>
      </c>
      <c r="CN185" s="22" t="n">
        <f aca="false">IF(ISBLANK(Actuals!CO98),-2675.39*Escalation!$B$89,Actuals!CO98)</f>
        <v>-3073.18214837221</v>
      </c>
      <c r="CO185" s="22" t="n">
        <f aca="false">IF(ISBLANK(Actuals!CP98),-2675.39*Escalation!$B$90,Actuals!CP98)</f>
        <v>-3073.18214837221</v>
      </c>
      <c r="CP185" s="22" t="n">
        <f aca="false">IF(ISBLANK(Actuals!CQ98),-2675.39*Escalation!$B$91,Actuals!CQ98)</f>
        <v>-3073.18214837221</v>
      </c>
      <c r="CQ185" s="22" t="n">
        <f aca="false">IF(ISBLANK(Actuals!CR98),-2675.39*Escalation!$B$92,Actuals!CR98)</f>
        <v>-3073.18214837221</v>
      </c>
      <c r="CR185" s="22" t="n">
        <f aca="false">IF(ISBLANK(Actuals!CS98),-2675.39*Escalation!$B$93,Actuals!CS98)</f>
        <v>-3073.18214837221</v>
      </c>
      <c r="CS185" s="22" t="n">
        <f aca="false">IF(ISBLANK(Actuals!CT98),-2675.39*Escalation!$B$94,Actuals!CT98)</f>
        <v>-3073.18214837221</v>
      </c>
      <c r="CT185" s="22" t="n">
        <f aca="false">IF(ISBLANK(Actuals!CU98),-2675.39*Escalation!$B$95,Actuals!CU98)</f>
        <v>-3073.18214837221</v>
      </c>
      <c r="CU185" s="22" t="n">
        <f aca="false">IF(ISBLANK(Actuals!CV98),-2675.39*Escalation!$B$96,Actuals!CV98)</f>
        <v>-3073.18214837221</v>
      </c>
      <c r="CV185" s="22" t="n">
        <f aca="false">IF(ISBLANK(Actuals!CW98),-2675.39*Escalation!$B$97,Actuals!CW98)</f>
        <v>-3073.18214837221</v>
      </c>
      <c r="CW185" s="22" t="n">
        <f aca="false">IF(ISBLANK(Actuals!CX98),-2675.39*Escalation!$B$98,Actuals!CX98)</f>
        <v>-3134.64579133965</v>
      </c>
      <c r="CX185" s="22" t="n">
        <f aca="false">IF(ISBLANK(Actuals!CY98),-2675.39*Escalation!$B$99,Actuals!CY98)</f>
        <v>-3134.64579133965</v>
      </c>
      <c r="CY185" s="22" t="n">
        <f aca="false">IF(ISBLANK(Actuals!CZ98),-2675.39*Escalation!$B$100,Actuals!CZ98)</f>
        <v>-3134.64579133965</v>
      </c>
      <c r="CZ185" s="22" t="n">
        <f aca="false">IF(ISBLANK(Actuals!DA98),-2675.39*Escalation!$B$101,Actuals!DA98)</f>
        <v>-3134.64579133965</v>
      </c>
      <c r="DA185" s="22" t="n">
        <f aca="false">IF(ISBLANK(Actuals!DB98),-2675.39*Escalation!$B$102,Actuals!DB98)</f>
        <v>-3134.64579133965</v>
      </c>
      <c r="DB185" s="22" t="n">
        <f aca="false">IF(ISBLANK(Actuals!DC98),-2675.39*Escalation!$B$103,Actuals!DC98)</f>
        <v>-3134.64579133965</v>
      </c>
      <c r="DC185" s="22" t="n">
        <f aca="false">IF(ISBLANK(Actuals!DD98),-2675.39*Escalation!$B$104,Actuals!DD98)</f>
        <v>-3134.64579133965</v>
      </c>
      <c r="DD185" s="22" t="n">
        <f aca="false">IF(ISBLANK(Actuals!DE98),-2675.39*Escalation!$B$105,Actuals!DE98)</f>
        <v>-3134.64579133965</v>
      </c>
      <c r="DE185" s="22" t="n">
        <f aca="false">IF(ISBLANK(Actuals!DF98),-2675.39*Escalation!$B$106,Actuals!DF98)</f>
        <v>-3134.64579133965</v>
      </c>
    </row>
    <row r="186" customFormat="false" ht="15" hidden="false" customHeight="true" outlineLevel="0" collapsed="false">
      <c r="A186" s="44" t="s">
        <v>77</v>
      </c>
      <c r="B186" s="22" t="n">
        <f aca="false">IF(ISBLANK(Actuals!C99),0,Actuals!C99)</f>
        <v>-28038</v>
      </c>
      <c r="C186" s="22" t="n">
        <f aca="false">IF(ISBLANK(Actuals!D99),0,Actuals!D99)</f>
        <v>-29387.5</v>
      </c>
      <c r="D186" s="22" t="n">
        <f aca="false">IF(ISBLANK(Actuals!E99),0,Actuals!E99)</f>
        <v>-28083</v>
      </c>
      <c r="E186" s="22" t="n">
        <f aca="false">IF(ISBLANK(Actuals!F99),(-(IF(AND(1&gt;=Personnel!$E$38,Personnel!$G$38="Yes"),Personnel!$D$38*(1-Personnel!$I$38),0)+IF(AND(1&gt;=Personnel!$E$39,Personnel!$G$39="Yes"),Personnel!$D$39*(1-Personnel!$I$39),0)))*Escalation!$B$2,Actuals!F99)</f>
        <v>-28083</v>
      </c>
      <c r="F186" s="22" t="n">
        <f aca="false">IF(ISBLANK(Actuals!G99),(-(IF(AND(2&gt;=Personnel!$E$38,Personnel!$G$38="Yes"),Personnel!$D$38*(1-Personnel!$I$38),0)+IF(AND(2&gt;=Personnel!$E$39,Personnel!$G$39="Yes"),Personnel!$D$39*(1-Personnel!$I$39),0)))*Escalation!$B$3,Actuals!G99)</f>
        <v>-69333</v>
      </c>
      <c r="G186" s="22" t="n">
        <f aca="false">IF(ISBLANK(Actuals!H99),(-(IF(AND(3&gt;=Personnel!$E$38,Personnel!$G$38="Yes"),Personnel!$D$38*(1-Personnel!$I$38),0)+IF(AND(3&gt;=Personnel!$E$39,Personnel!$G$39="Yes"),Personnel!$D$39*(1-Personnel!$I$39),0)))*Escalation!$B$4,Actuals!H99)</f>
        <v>-28083</v>
      </c>
      <c r="H186" s="22" t="n">
        <f aca="false">IF(ISBLANK(Actuals!I99),(-(IF(AND(4&gt;=Personnel!$E$38,Personnel!$G$38="Yes"),Personnel!$D$38*(1-Personnel!$I$38),0)+IF(AND(4&gt;=Personnel!$E$39,Personnel!$G$39="Yes"),Personnel!$D$39*(1-Personnel!$I$39),0)))*Escalation!$B$5,Actuals!I99)</f>
        <v>-8625</v>
      </c>
      <c r="I186" s="22" t="n">
        <f aca="false">IF(ISBLANK(Actuals!J99),(-(IF(AND(5&gt;=Personnel!$E$38,Personnel!$G$38="Yes"),Personnel!$D$38*(1-Personnel!$I$38),0)+IF(AND(5&gt;=Personnel!$E$39,Personnel!$G$39="Yes"),Personnel!$D$39*(1-Personnel!$I$39),0)))*Escalation!$B$6,Actuals!J99)</f>
        <v>-8625</v>
      </c>
      <c r="J186" s="22" t="n">
        <f aca="false">IF(ISBLANK(Actuals!K99),(-(IF(AND(6&gt;=Personnel!$E$38,Personnel!$G$38="Yes"),Personnel!$D$38*(1-Personnel!$I$38),0)+IF(AND(6&gt;=Personnel!$E$39,Personnel!$G$39="Yes"),Personnel!$D$39*(1-Personnel!$I$39),0)))*Escalation!$B$7,Actuals!K99)</f>
        <v>-8625</v>
      </c>
      <c r="K186" s="22" t="n">
        <f aca="false">IF(ISBLANK(Actuals!L99),(-(IF(AND(7&gt;=Personnel!$E$38,Personnel!$G$38="Yes"),Personnel!$D$38*(1-Personnel!$I$38),0)+IF(AND(7&gt;=Personnel!$E$39,Personnel!$G$39="Yes"),Personnel!$D$39*(1-Personnel!$I$39),0)))*Escalation!$B$8,Actuals!L99)</f>
        <v>-8625</v>
      </c>
      <c r="L186" s="22" t="n">
        <f aca="false">IF(ISBLANK(Actuals!M99),(-(IF(AND(8&gt;=Personnel!$E$38,Personnel!$G$38="Yes"),Personnel!$D$38*(1-Personnel!$I$38),0)+IF(AND(8&gt;=Personnel!$E$39,Personnel!$G$39="Yes"),Personnel!$D$39*(1-Personnel!$I$39),0)))*Escalation!$B$9,Actuals!M99)</f>
        <v>-8625</v>
      </c>
      <c r="M186" s="22" t="n">
        <f aca="false">IF(ISBLANK(Actuals!N99),(-(IF(AND(9&gt;=Personnel!$E$38,Personnel!$G$38="Yes"),Personnel!$D$38*(1-Personnel!$I$38),0)+IF(AND(9&gt;=Personnel!$E$39,Personnel!$G$39="Yes"),Personnel!$D$39*(1-Personnel!$I$39),0)))*Escalation!$B$10,Actuals!N99)</f>
        <v>-8625</v>
      </c>
      <c r="N186" s="22" t="n">
        <f aca="false">IF(ISBLANK(Actuals!O99),(-(IF(AND(10&gt;=Personnel!$E$38,Personnel!$G$38="Yes"),Personnel!$D$38*(1-Personnel!$I$38),0)+IF(AND(10&gt;=Personnel!$E$39,Personnel!$G$39="Yes"),Personnel!$D$39*(1-Personnel!$I$39),0)))*Escalation!$B$11,Actuals!O99)</f>
        <v>-8625</v>
      </c>
      <c r="O186" s="22" t="n">
        <f aca="false">IF(ISBLANK(Actuals!P99),(-(IF(AND(11&gt;=Personnel!$E$38,Personnel!$G$38="Yes"),Personnel!$D$38*(1-Personnel!$I$38),0)+IF(AND(11&gt;=Personnel!$E$39,Personnel!$G$39="Yes"),Personnel!$D$39*(1-Personnel!$I$39),0)))*Escalation!$B$12,Actuals!P99)</f>
        <v>-8625</v>
      </c>
      <c r="P186" s="22" t="n">
        <f aca="false">IF(ISBLANK(Actuals!Q99),(-(IF(AND(12&gt;=Personnel!$E$38,Personnel!$G$38="Yes"),Personnel!$D$38*(1-Personnel!$I$38),0)+IF(AND(12&gt;=Personnel!$E$39,Personnel!$G$39="Yes"),Personnel!$D$39*(1-Personnel!$I$39),0)))*Escalation!$B$13,Actuals!Q99)</f>
        <v>-8625</v>
      </c>
      <c r="Q186" s="22" t="n">
        <f aca="false">IF(ISBLANK(Actuals!R99),(-(IF(AND(13&gt;=Personnel!$E$38,Personnel!$G$38="Yes"),Personnel!$D$38*(1-Personnel!$I$38),0)+IF(AND(13&gt;=Personnel!$E$39,Personnel!$G$39="Yes"),Personnel!$D$39*(1-Personnel!$I$39),0)))*Escalation!$B$14,Actuals!R99)</f>
        <v>-8797.5</v>
      </c>
      <c r="R186" s="22" t="n">
        <f aca="false">IF(ISBLANK(Actuals!S99),(-(IF(AND(14&gt;=Personnel!$E$38,Personnel!$G$38="Yes"),Personnel!$D$38*(1-Personnel!$I$38),0)+IF(AND(14&gt;=Personnel!$E$39,Personnel!$G$39="Yes"),Personnel!$D$39*(1-Personnel!$I$39),0)))*Escalation!$B$15,Actuals!S99)</f>
        <v>-8797.5</v>
      </c>
      <c r="S186" s="22" t="n">
        <f aca="false">IF(ISBLANK(Actuals!T99),(-(IF(AND(15&gt;=Personnel!$E$38,Personnel!$G$38="Yes"),Personnel!$D$38*(1-Personnel!$I$38),0)+IF(AND(15&gt;=Personnel!$E$39,Personnel!$G$39="Yes"),Personnel!$D$39*(1-Personnel!$I$39),0)))*Escalation!$B$16,Actuals!T99)</f>
        <v>-8797.5</v>
      </c>
      <c r="T186" s="22" t="n">
        <f aca="false">IF(ISBLANK(Actuals!U99),(-(IF(AND(16&gt;=Personnel!$E$38,Personnel!$G$38="Yes"),Personnel!$D$38*(1-Personnel!$I$38),0)+IF(AND(16&gt;=Personnel!$E$39,Personnel!$G$39="Yes"),Personnel!$D$39*(1-Personnel!$I$39),0)))*Escalation!$B$17,Actuals!U99)</f>
        <v>-8797.5</v>
      </c>
      <c r="U186" s="22" t="n">
        <f aca="false">IF(ISBLANK(Actuals!V99),(-(IF(AND(17&gt;=Personnel!$E$38,Personnel!$G$38="Yes"),Personnel!$D$38*(1-Personnel!$I$38),0)+IF(AND(17&gt;=Personnel!$E$39,Personnel!$G$39="Yes"),Personnel!$D$39*(1-Personnel!$I$39),0)))*Escalation!$B$18,Actuals!V99)</f>
        <v>-8797.5</v>
      </c>
      <c r="V186" s="22" t="n">
        <f aca="false">IF(ISBLANK(Actuals!W99),(-(IF(AND(18&gt;=Personnel!$E$38,Personnel!$G$38="Yes"),Personnel!$D$38*(1-Personnel!$I$38),0)+IF(AND(18&gt;=Personnel!$E$39,Personnel!$G$39="Yes"),Personnel!$D$39*(1-Personnel!$I$39),0)))*Escalation!$B$19,Actuals!W99)</f>
        <v>-8797.5</v>
      </c>
      <c r="W186" s="22" t="n">
        <f aca="false">IF(ISBLANK(Actuals!X99),(-(IF(AND(19&gt;=Personnel!$E$38,Personnel!$G$38="Yes"),Personnel!$D$38*(1-Personnel!$I$38),0)+IF(AND(19&gt;=Personnel!$E$39,Personnel!$G$39="Yes"),Personnel!$D$39*(1-Personnel!$I$39),0)))*Escalation!$B$20,Actuals!X99)</f>
        <v>-8797.5</v>
      </c>
      <c r="X186" s="22" t="n">
        <f aca="false">IF(ISBLANK(Actuals!Y99),(-(IF(AND(20&gt;=Personnel!$E$38,Personnel!$G$38="Yes"),Personnel!$D$38*(1-Personnel!$I$38),0)+IF(AND(20&gt;=Personnel!$E$39,Personnel!$G$39="Yes"),Personnel!$D$39*(1-Personnel!$I$39),0)))*Escalation!$B$21,Actuals!Y99)</f>
        <v>-8797.5</v>
      </c>
      <c r="Y186" s="22" t="n">
        <f aca="false">IF(ISBLANK(Actuals!Z99),(-(IF(AND(21&gt;=Personnel!$E$38,Personnel!$G$38="Yes"),Personnel!$D$38*(1-Personnel!$I$38),0)+IF(AND(21&gt;=Personnel!$E$39,Personnel!$G$39="Yes"),Personnel!$D$39*(1-Personnel!$I$39),0)))*Escalation!$B$22,Actuals!Z99)</f>
        <v>-8797.5</v>
      </c>
      <c r="Z186" s="22" t="n">
        <f aca="false">IF(ISBLANK(Actuals!AA99),(-(IF(AND(22&gt;=Personnel!$E$38,Personnel!$G$38="Yes"),Personnel!$D$38*(1-Personnel!$I$38),0)+IF(AND(22&gt;=Personnel!$E$39,Personnel!$G$39="Yes"),Personnel!$D$39*(1-Personnel!$I$39),0)))*Escalation!$B$23,Actuals!AA99)</f>
        <v>-8797.5</v>
      </c>
      <c r="AA186" s="22" t="n">
        <f aca="false">IF(ISBLANK(Actuals!AB99),(-(IF(AND(23&gt;=Personnel!$E$38,Personnel!$G$38="Yes"),Personnel!$D$38*(1-Personnel!$I$38),0)+IF(AND(23&gt;=Personnel!$E$39,Personnel!$G$39="Yes"),Personnel!$D$39*(1-Personnel!$I$39),0)))*Escalation!$B$24,Actuals!AB99)</f>
        <v>-8797.5</v>
      </c>
      <c r="AB186" s="22" t="n">
        <f aca="false">IF(ISBLANK(Actuals!AC99),(-(IF(AND(24&gt;=Personnel!$E$38,Personnel!$G$38="Yes"),Personnel!$D$38*(1-Personnel!$I$38),0)+IF(AND(24&gt;=Personnel!$E$39,Personnel!$G$39="Yes"),Personnel!$D$39*(1-Personnel!$I$39),0)))*Escalation!$B$25,Actuals!AC99)</f>
        <v>-8797.5</v>
      </c>
      <c r="AC186" s="22" t="n">
        <f aca="false">IF(ISBLANK(Actuals!AD99),(-(IF(AND(25&gt;=Personnel!$E$38,Personnel!$G$38="Yes"),Personnel!$D$38*(1-Personnel!$I$38),0)+IF(AND(25&gt;=Personnel!$E$39,Personnel!$G$39="Yes"),Personnel!$D$39*(1-Personnel!$I$39),0)))*Escalation!$B$26,Actuals!AD99)</f>
        <v>-8973.45</v>
      </c>
      <c r="AD186" s="22" t="n">
        <f aca="false">IF(ISBLANK(Actuals!AE99),(-(IF(AND(26&gt;=Personnel!$E$38,Personnel!$G$38="Yes"),Personnel!$D$38*(1-Personnel!$I$38),0)+IF(AND(26&gt;=Personnel!$E$39,Personnel!$G$39="Yes"),Personnel!$D$39*(1-Personnel!$I$39),0)))*Escalation!$B$27,Actuals!AE99)</f>
        <v>-8973.45</v>
      </c>
      <c r="AE186" s="22" t="n">
        <f aca="false">IF(ISBLANK(Actuals!AF99),(-(IF(AND(27&gt;=Personnel!$E$38,Personnel!$G$38="Yes"),Personnel!$D$38*(1-Personnel!$I$38),0)+IF(AND(27&gt;=Personnel!$E$39,Personnel!$G$39="Yes"),Personnel!$D$39*(1-Personnel!$I$39),0)))*Escalation!$B$28,Actuals!AF99)</f>
        <v>-8973.45</v>
      </c>
      <c r="AF186" s="22" t="n">
        <f aca="false">IF(ISBLANK(Actuals!AG99),(-(IF(AND(28&gt;=Personnel!$E$38,Personnel!$G$38="Yes"),Personnel!$D$38*(1-Personnel!$I$38),0)+IF(AND(28&gt;=Personnel!$E$39,Personnel!$G$39="Yes"),Personnel!$D$39*(1-Personnel!$I$39),0)))*Escalation!$B$29,Actuals!AG99)</f>
        <v>-8973.45</v>
      </c>
      <c r="AG186" s="22" t="n">
        <f aca="false">IF(ISBLANK(Actuals!AH99),(-(IF(AND(29&gt;=Personnel!$E$38,Personnel!$G$38="Yes"),Personnel!$D$38*(1-Personnel!$I$38),0)+IF(AND(29&gt;=Personnel!$E$39,Personnel!$G$39="Yes"),Personnel!$D$39*(1-Personnel!$I$39),0)))*Escalation!$B$30,Actuals!AH99)</f>
        <v>-8973.45</v>
      </c>
      <c r="AH186" s="22" t="n">
        <f aca="false">IF(ISBLANK(Actuals!AI99),(-(IF(AND(30&gt;=Personnel!$E$38,Personnel!$G$38="Yes"),Personnel!$D$38*(1-Personnel!$I$38),0)+IF(AND(30&gt;=Personnel!$E$39,Personnel!$G$39="Yes"),Personnel!$D$39*(1-Personnel!$I$39),0)))*Escalation!$B$31,Actuals!AI99)</f>
        <v>-8973.45</v>
      </c>
      <c r="AI186" s="22" t="n">
        <f aca="false">IF(ISBLANK(Actuals!AJ99),(-(IF(AND(31&gt;=Personnel!$E$38,Personnel!$G$38="Yes"),Personnel!$D$38*(1-Personnel!$I$38),0)+IF(AND(31&gt;=Personnel!$E$39,Personnel!$G$39="Yes"),Personnel!$D$39*(1-Personnel!$I$39),0)))*Escalation!$B$32,Actuals!AJ99)</f>
        <v>-8973.45</v>
      </c>
      <c r="AJ186" s="22" t="n">
        <f aca="false">IF(ISBLANK(Actuals!AK99),(-(IF(AND(32&gt;=Personnel!$E$38,Personnel!$G$38="Yes"),Personnel!$D$38*(1-Personnel!$I$38),0)+IF(AND(32&gt;=Personnel!$E$39,Personnel!$G$39="Yes"),Personnel!$D$39*(1-Personnel!$I$39),0)))*Escalation!$B$33,Actuals!AK99)</f>
        <v>-8973.45</v>
      </c>
      <c r="AK186" s="22" t="n">
        <f aca="false">IF(ISBLANK(Actuals!AL99),(-(IF(AND(33&gt;=Personnel!$E$38,Personnel!$G$38="Yes"),Personnel!$D$38*(1-Personnel!$I$38),0)+IF(AND(33&gt;=Personnel!$E$39,Personnel!$G$39="Yes"),Personnel!$D$39*(1-Personnel!$I$39),0)))*Escalation!$B$34,Actuals!AL99)</f>
        <v>-8973.45</v>
      </c>
      <c r="AL186" s="22" t="n">
        <f aca="false">IF(ISBLANK(Actuals!AM99),(-(IF(AND(34&gt;=Personnel!$E$38,Personnel!$G$38="Yes"),Personnel!$D$38*(1-Personnel!$I$38),0)+IF(AND(34&gt;=Personnel!$E$39,Personnel!$G$39="Yes"),Personnel!$D$39*(1-Personnel!$I$39),0)))*Escalation!$B$35,Actuals!AM99)</f>
        <v>-8973.45</v>
      </c>
      <c r="AM186" s="22" t="n">
        <f aca="false">IF(ISBLANK(Actuals!AN99),(-(IF(AND(35&gt;=Personnel!$E$38,Personnel!$G$38="Yes"),Personnel!$D$38*(1-Personnel!$I$38),0)+IF(AND(35&gt;=Personnel!$E$39,Personnel!$G$39="Yes"),Personnel!$D$39*(1-Personnel!$I$39),0)))*Escalation!$B$36,Actuals!AN99)</f>
        <v>-8973.45</v>
      </c>
      <c r="AN186" s="22" t="n">
        <f aca="false">IF(ISBLANK(Actuals!AO99),(-(IF(AND(36&gt;=Personnel!$E$38,Personnel!$G$38="Yes"),Personnel!$D$38*(1-Personnel!$I$38),0)+IF(AND(36&gt;=Personnel!$E$39,Personnel!$G$39="Yes"),Personnel!$D$39*(1-Personnel!$I$39),0)))*Escalation!$B$37,Actuals!AO99)</f>
        <v>-8973.45</v>
      </c>
      <c r="AO186" s="22" t="n">
        <f aca="false">IF(ISBLANK(Actuals!AP99),(-(IF(AND(37&gt;=Personnel!$E$38,Personnel!$G$38="Yes"),Personnel!$D$38*(1-Personnel!$I$38),0)+IF(AND(37&gt;=Personnel!$E$39,Personnel!$G$39="Yes"),Personnel!$D$39*(1-Personnel!$I$39),0)))*Escalation!$B$38,Actuals!AP99)</f>
        <v>-9152.919</v>
      </c>
      <c r="AP186" s="22" t="n">
        <f aca="false">IF(ISBLANK(Actuals!AQ99),(-(IF(AND(38&gt;=Personnel!$E$38,Personnel!$G$38="Yes"),Personnel!$D$38*(1-Personnel!$I$38),0)+IF(AND(38&gt;=Personnel!$E$39,Personnel!$G$39="Yes"),Personnel!$D$39*(1-Personnel!$I$39),0)))*Escalation!$B$39,Actuals!AQ99)</f>
        <v>-9152.919</v>
      </c>
      <c r="AQ186" s="22" t="n">
        <f aca="false">IF(ISBLANK(Actuals!AR99),(-(IF(AND(39&gt;=Personnel!$E$38,Personnel!$G$38="Yes"),Personnel!$D$38*(1-Personnel!$I$38),0)+IF(AND(39&gt;=Personnel!$E$39,Personnel!$G$39="Yes"),Personnel!$D$39*(1-Personnel!$I$39),0)))*Escalation!$B$40,Actuals!AR99)</f>
        <v>-9152.919</v>
      </c>
      <c r="AR186" s="22" t="n">
        <f aca="false">IF(ISBLANK(Actuals!AS99),(-(IF(AND(40&gt;=Personnel!$E$38,Personnel!$G$38="Yes"),Personnel!$D$38*(1-Personnel!$I$38),0)+IF(AND(40&gt;=Personnel!$E$39,Personnel!$G$39="Yes"),Personnel!$D$39*(1-Personnel!$I$39),0)))*Escalation!$B$41,Actuals!AS99)</f>
        <v>-9152.919</v>
      </c>
      <c r="AS186" s="22" t="n">
        <f aca="false">IF(ISBLANK(Actuals!AT99),(-(IF(AND(41&gt;=Personnel!$E$38,Personnel!$G$38="Yes"),Personnel!$D$38*(1-Personnel!$I$38),0)+IF(AND(41&gt;=Personnel!$E$39,Personnel!$G$39="Yes"),Personnel!$D$39*(1-Personnel!$I$39),0)))*Escalation!$B$42,Actuals!AT99)</f>
        <v>-9152.919</v>
      </c>
      <c r="AT186" s="22" t="n">
        <f aca="false">IF(ISBLANK(Actuals!AU99),(-(IF(AND(42&gt;=Personnel!$E$38,Personnel!$G$38="Yes"),Personnel!$D$38*(1-Personnel!$I$38),0)+IF(AND(42&gt;=Personnel!$E$39,Personnel!$G$39="Yes"),Personnel!$D$39*(1-Personnel!$I$39),0)))*Escalation!$B$43,Actuals!AU99)</f>
        <v>-9152.919</v>
      </c>
      <c r="AU186" s="22" t="n">
        <f aca="false">IF(ISBLANK(Actuals!AV99),(-(IF(AND(43&gt;=Personnel!$E$38,Personnel!$G$38="Yes"),Personnel!$D$38*(1-Personnel!$I$38),0)+IF(AND(43&gt;=Personnel!$E$39,Personnel!$G$39="Yes"),Personnel!$D$39*(1-Personnel!$I$39),0)))*Escalation!$B$44,Actuals!AV99)</f>
        <v>-9152.919</v>
      </c>
      <c r="AV186" s="22" t="n">
        <f aca="false">IF(ISBLANK(Actuals!AW99),(-(IF(AND(44&gt;=Personnel!$E$38,Personnel!$G$38="Yes"),Personnel!$D$38*(1-Personnel!$I$38),0)+IF(AND(44&gt;=Personnel!$E$39,Personnel!$G$39="Yes"),Personnel!$D$39*(1-Personnel!$I$39),0)))*Escalation!$B$45,Actuals!AW99)</f>
        <v>-9152.919</v>
      </c>
      <c r="AW186" s="22" t="n">
        <f aca="false">IF(ISBLANK(Actuals!AX99),(-(IF(AND(45&gt;=Personnel!$E$38,Personnel!$G$38="Yes"),Personnel!$D$38*(1-Personnel!$I$38),0)+IF(AND(45&gt;=Personnel!$E$39,Personnel!$G$39="Yes"),Personnel!$D$39*(1-Personnel!$I$39),0)))*Escalation!$B$46,Actuals!AX99)</f>
        <v>-9152.919</v>
      </c>
      <c r="AX186" s="22" t="n">
        <f aca="false">IF(ISBLANK(Actuals!AY99),(-(IF(AND(46&gt;=Personnel!$E$38,Personnel!$G$38="Yes"),Personnel!$D$38*(1-Personnel!$I$38),0)+IF(AND(46&gt;=Personnel!$E$39,Personnel!$G$39="Yes"),Personnel!$D$39*(1-Personnel!$I$39),0)))*Escalation!$B$47,Actuals!AY99)</f>
        <v>-9152.919</v>
      </c>
      <c r="AY186" s="22" t="n">
        <f aca="false">IF(ISBLANK(Actuals!AZ99),(-(IF(AND(47&gt;=Personnel!$E$38,Personnel!$G$38="Yes"),Personnel!$D$38*(1-Personnel!$I$38),0)+IF(AND(47&gt;=Personnel!$E$39,Personnel!$G$39="Yes"),Personnel!$D$39*(1-Personnel!$I$39),0)))*Escalation!$B$48,Actuals!AZ99)</f>
        <v>-9152.919</v>
      </c>
      <c r="AZ186" s="22" t="n">
        <f aca="false">IF(ISBLANK(Actuals!BA99),(-(IF(AND(48&gt;=Personnel!$E$38,Personnel!$G$38="Yes"),Personnel!$D$38*(1-Personnel!$I$38),0)+IF(AND(48&gt;=Personnel!$E$39,Personnel!$G$39="Yes"),Personnel!$D$39*(1-Personnel!$I$39),0)))*Escalation!$B$49,Actuals!BA99)</f>
        <v>-9152.919</v>
      </c>
      <c r="BA186" s="22" t="n">
        <f aca="false">IF(ISBLANK(Actuals!BB99),(-(IF(AND(49&gt;=Personnel!$E$38,Personnel!$G$38="Yes"),Personnel!$D$38*(1-Personnel!$I$38),0)+IF(AND(49&gt;=Personnel!$E$39,Personnel!$G$39="Yes"),Personnel!$D$39*(1-Personnel!$I$39),0)))*Escalation!$B$50,Actuals!BB99)</f>
        <v>-9335.97738</v>
      </c>
      <c r="BB186" s="22" t="n">
        <f aca="false">IF(ISBLANK(Actuals!BC99),(-(IF(AND(50&gt;=Personnel!$E$38,Personnel!$G$38="Yes"),Personnel!$D$38*(1-Personnel!$I$38),0)+IF(AND(50&gt;=Personnel!$E$39,Personnel!$G$39="Yes"),Personnel!$D$39*(1-Personnel!$I$39),0)))*Escalation!$B$51,Actuals!BC99)</f>
        <v>-9335.97738</v>
      </c>
      <c r="BC186" s="22" t="n">
        <f aca="false">IF(ISBLANK(Actuals!BD99),(-(IF(AND(51&gt;=Personnel!$E$38,Personnel!$G$38="Yes"),Personnel!$D$38*(1-Personnel!$I$38),0)+IF(AND(51&gt;=Personnel!$E$39,Personnel!$G$39="Yes"),Personnel!$D$39*(1-Personnel!$I$39),0)))*Escalation!$B$52,Actuals!BD99)</f>
        <v>-9335.97738</v>
      </c>
      <c r="BD186" s="22" t="n">
        <f aca="false">IF(ISBLANK(Actuals!BE99),(-(IF(AND(52&gt;=Personnel!$E$38,Personnel!$G$38="Yes"),Personnel!$D$38*(1-Personnel!$I$38),0)+IF(AND(52&gt;=Personnel!$E$39,Personnel!$G$39="Yes"),Personnel!$D$39*(1-Personnel!$I$39),0)))*Escalation!$B$53,Actuals!BE99)</f>
        <v>-9335.97738</v>
      </c>
      <c r="BE186" s="22" t="n">
        <f aca="false">IF(ISBLANK(Actuals!BF99),(-(IF(AND(53&gt;=Personnel!$E$38,Personnel!$G$38="Yes"),Personnel!$D$38*(1-Personnel!$I$38),0)+IF(AND(53&gt;=Personnel!$E$39,Personnel!$G$39="Yes"),Personnel!$D$39*(1-Personnel!$I$39),0)))*Escalation!$B$54,Actuals!BF99)</f>
        <v>-9335.97738</v>
      </c>
      <c r="BF186" s="22" t="n">
        <f aca="false">IF(ISBLANK(Actuals!BG99),(-(IF(AND(54&gt;=Personnel!$E$38,Personnel!$G$38="Yes"),Personnel!$D$38*(1-Personnel!$I$38),0)+IF(AND(54&gt;=Personnel!$E$39,Personnel!$G$39="Yes"),Personnel!$D$39*(1-Personnel!$I$39),0)))*Escalation!$B$55,Actuals!BG99)</f>
        <v>-9335.97738</v>
      </c>
      <c r="BG186" s="22" t="n">
        <f aca="false">IF(ISBLANK(Actuals!BH99),(-(IF(AND(55&gt;=Personnel!$E$38,Personnel!$G$38="Yes"),Personnel!$D$38*(1-Personnel!$I$38),0)+IF(AND(55&gt;=Personnel!$E$39,Personnel!$G$39="Yes"),Personnel!$D$39*(1-Personnel!$I$39),0)))*Escalation!$B$56,Actuals!BH99)</f>
        <v>-9335.97738</v>
      </c>
      <c r="BH186" s="22" t="n">
        <f aca="false">IF(ISBLANK(Actuals!BI99),(-(IF(AND(56&gt;=Personnel!$E$38,Personnel!$G$38="Yes"),Personnel!$D$38*(1-Personnel!$I$38),0)+IF(AND(56&gt;=Personnel!$E$39,Personnel!$G$39="Yes"),Personnel!$D$39*(1-Personnel!$I$39),0)))*Escalation!$B$57,Actuals!BI99)</f>
        <v>-9335.97738</v>
      </c>
      <c r="BI186" s="22" t="n">
        <f aca="false">IF(ISBLANK(Actuals!BJ99),(-(IF(AND(57&gt;=Personnel!$E$38,Personnel!$G$38="Yes"),Personnel!$D$38*(1-Personnel!$I$38),0)+IF(AND(57&gt;=Personnel!$E$39,Personnel!$G$39="Yes"),Personnel!$D$39*(1-Personnel!$I$39),0)))*Escalation!$B$58,Actuals!BJ99)</f>
        <v>-9335.97738</v>
      </c>
      <c r="BJ186" s="22" t="n">
        <f aca="false">IF(ISBLANK(Actuals!BK99),(-(IF(AND(58&gt;=Personnel!$E$38,Personnel!$G$38="Yes"),Personnel!$D$38*(1-Personnel!$I$38),0)+IF(AND(58&gt;=Personnel!$E$39,Personnel!$G$39="Yes"),Personnel!$D$39*(1-Personnel!$I$39),0)))*Escalation!$B$59,Actuals!BK99)</f>
        <v>-9335.97738</v>
      </c>
      <c r="BK186" s="22" t="n">
        <f aca="false">IF(ISBLANK(Actuals!BL99),(-(IF(AND(59&gt;=Personnel!$E$38,Personnel!$G$38="Yes"),Personnel!$D$38*(1-Personnel!$I$38),0)+IF(AND(59&gt;=Personnel!$E$39,Personnel!$G$39="Yes"),Personnel!$D$39*(1-Personnel!$I$39),0)))*Escalation!$B$60,Actuals!BL99)</f>
        <v>-9335.97738</v>
      </c>
      <c r="BL186" s="22" t="n">
        <f aca="false">IF(ISBLANK(Actuals!BM99),(-(IF(AND(60&gt;=Personnel!$E$38,Personnel!$G$38="Yes"),Personnel!$D$38*(1-Personnel!$I$38),0)+IF(AND(60&gt;=Personnel!$E$39,Personnel!$G$39="Yes"),Personnel!$D$39*(1-Personnel!$I$39),0)))*Escalation!$B$61,Actuals!BM99)</f>
        <v>-9335.97738</v>
      </c>
      <c r="BM186" s="22" t="n">
        <f aca="false">IF(ISBLANK(Actuals!BN99),(-(IF(AND(61&gt;=Personnel!$E$38,Personnel!$G$38="Yes"),Personnel!$D$38*(1-Personnel!$I$38),0)+IF(AND(61&gt;=Personnel!$E$39,Personnel!$G$39="Yes"),Personnel!$D$39*(1-Personnel!$I$39),0)))*Escalation!$B$62,Actuals!BN99)</f>
        <v>-9522.6969276</v>
      </c>
      <c r="BN186" s="22" t="n">
        <f aca="false">IF(ISBLANK(Actuals!BO99),(-(IF(AND(62&gt;=Personnel!$E$38,Personnel!$G$38="Yes"),Personnel!$D$38*(1-Personnel!$I$38),0)+IF(AND(62&gt;=Personnel!$E$39,Personnel!$G$39="Yes"),Personnel!$D$39*(1-Personnel!$I$39),0)))*Escalation!$B$63,Actuals!BO99)</f>
        <v>-9522.6969276</v>
      </c>
      <c r="BO186" s="22" t="n">
        <f aca="false">IF(ISBLANK(Actuals!BP99),(-(IF(AND(63&gt;=Personnel!$E$38,Personnel!$G$38="Yes"),Personnel!$D$38*(1-Personnel!$I$38),0)+IF(AND(63&gt;=Personnel!$E$39,Personnel!$G$39="Yes"),Personnel!$D$39*(1-Personnel!$I$39),0)))*Escalation!$B$64,Actuals!BP99)</f>
        <v>-9522.6969276</v>
      </c>
      <c r="BP186" s="22" t="n">
        <f aca="false">IF(ISBLANK(Actuals!BQ99),(-(IF(AND(64&gt;=Personnel!$E$38,Personnel!$G$38="Yes"),Personnel!$D$38*(1-Personnel!$I$38),0)+IF(AND(64&gt;=Personnel!$E$39,Personnel!$G$39="Yes"),Personnel!$D$39*(1-Personnel!$I$39),0)))*Escalation!$B$65,Actuals!BQ99)</f>
        <v>-9522.6969276</v>
      </c>
      <c r="BQ186" s="22" t="n">
        <f aca="false">IF(ISBLANK(Actuals!BR99),(-(IF(AND(65&gt;=Personnel!$E$38,Personnel!$G$38="Yes"),Personnel!$D$38*(1-Personnel!$I$38),0)+IF(AND(65&gt;=Personnel!$E$39,Personnel!$G$39="Yes"),Personnel!$D$39*(1-Personnel!$I$39),0)))*Escalation!$B$66,Actuals!BR99)</f>
        <v>-9522.6969276</v>
      </c>
      <c r="BR186" s="22" t="n">
        <f aca="false">IF(ISBLANK(Actuals!BS99),(-(IF(AND(66&gt;=Personnel!$E$38,Personnel!$G$38="Yes"),Personnel!$D$38*(1-Personnel!$I$38),0)+IF(AND(66&gt;=Personnel!$E$39,Personnel!$G$39="Yes"),Personnel!$D$39*(1-Personnel!$I$39),0)))*Escalation!$B$67,Actuals!BS99)</f>
        <v>-9522.6969276</v>
      </c>
      <c r="BS186" s="22" t="n">
        <f aca="false">IF(ISBLANK(Actuals!BT99),(-(IF(AND(67&gt;=Personnel!$E$38,Personnel!$G$38="Yes"),Personnel!$D$38*(1-Personnel!$I$38),0)+IF(AND(67&gt;=Personnel!$E$39,Personnel!$G$39="Yes"),Personnel!$D$39*(1-Personnel!$I$39),0)))*Escalation!$B$68,Actuals!BT99)</f>
        <v>-9522.6969276</v>
      </c>
      <c r="BT186" s="22" t="n">
        <f aca="false">IF(ISBLANK(Actuals!BU99),(-(IF(AND(68&gt;=Personnel!$E$38,Personnel!$G$38="Yes"),Personnel!$D$38*(1-Personnel!$I$38),0)+IF(AND(68&gt;=Personnel!$E$39,Personnel!$G$39="Yes"),Personnel!$D$39*(1-Personnel!$I$39),0)))*Escalation!$B$69,Actuals!BU99)</f>
        <v>-9522.6969276</v>
      </c>
      <c r="BU186" s="22" t="n">
        <f aca="false">IF(ISBLANK(Actuals!BV99),(-(IF(AND(69&gt;=Personnel!$E$38,Personnel!$G$38="Yes"),Personnel!$D$38*(1-Personnel!$I$38),0)+IF(AND(69&gt;=Personnel!$E$39,Personnel!$G$39="Yes"),Personnel!$D$39*(1-Personnel!$I$39),0)))*Escalation!$B$70,Actuals!BV99)</f>
        <v>-9522.6969276</v>
      </c>
      <c r="BV186" s="22" t="n">
        <f aca="false">IF(ISBLANK(Actuals!BW99),(-(IF(AND(70&gt;=Personnel!$E$38,Personnel!$G$38="Yes"),Personnel!$D$38*(1-Personnel!$I$38),0)+IF(AND(70&gt;=Personnel!$E$39,Personnel!$G$39="Yes"),Personnel!$D$39*(1-Personnel!$I$39),0)))*Escalation!$B$71,Actuals!BW99)</f>
        <v>-9522.6969276</v>
      </c>
      <c r="BW186" s="22" t="n">
        <f aca="false">IF(ISBLANK(Actuals!BX99),(-(IF(AND(71&gt;=Personnel!$E$38,Personnel!$G$38="Yes"),Personnel!$D$38*(1-Personnel!$I$38),0)+IF(AND(71&gt;=Personnel!$E$39,Personnel!$G$39="Yes"),Personnel!$D$39*(1-Personnel!$I$39),0)))*Escalation!$B$72,Actuals!BX99)</f>
        <v>-9522.6969276</v>
      </c>
      <c r="BX186" s="22" t="n">
        <f aca="false">IF(ISBLANK(Actuals!BY99),(-(IF(AND(72&gt;=Personnel!$E$38,Personnel!$G$38="Yes"),Personnel!$D$38*(1-Personnel!$I$38),0)+IF(AND(72&gt;=Personnel!$E$39,Personnel!$G$39="Yes"),Personnel!$D$39*(1-Personnel!$I$39),0)))*Escalation!$B$73,Actuals!BY99)</f>
        <v>-9522.6969276</v>
      </c>
      <c r="BY186" s="22" t="n">
        <f aca="false">IF(ISBLANK(Actuals!BZ99),(-(IF(AND(73&gt;=Personnel!$E$38,Personnel!$G$38="Yes"),Personnel!$D$38*(1-Personnel!$I$38),0)+IF(AND(73&gt;=Personnel!$E$39,Personnel!$G$39="Yes"),Personnel!$D$39*(1-Personnel!$I$39),0)))*Escalation!$B$74,Actuals!BZ99)</f>
        <v>-9713.150866152</v>
      </c>
      <c r="BZ186" s="22" t="n">
        <f aca="false">IF(ISBLANK(Actuals!CA99),(-(IF(AND(74&gt;=Personnel!$E$38,Personnel!$G$38="Yes"),Personnel!$D$38*(1-Personnel!$I$38),0)+IF(AND(74&gt;=Personnel!$E$39,Personnel!$G$39="Yes"),Personnel!$D$39*(1-Personnel!$I$39),0)))*Escalation!$B$75,Actuals!CA99)</f>
        <v>-9713.150866152</v>
      </c>
      <c r="CA186" s="22" t="n">
        <f aca="false">IF(ISBLANK(Actuals!CB99),(-(IF(AND(75&gt;=Personnel!$E$38,Personnel!$G$38="Yes"),Personnel!$D$38*(1-Personnel!$I$38),0)+IF(AND(75&gt;=Personnel!$E$39,Personnel!$G$39="Yes"),Personnel!$D$39*(1-Personnel!$I$39),0)))*Escalation!$B$76,Actuals!CB99)</f>
        <v>-9713.150866152</v>
      </c>
      <c r="CB186" s="22" t="n">
        <f aca="false">IF(ISBLANK(Actuals!CC99),(-(IF(AND(76&gt;=Personnel!$E$38,Personnel!$G$38="Yes"),Personnel!$D$38*(1-Personnel!$I$38),0)+IF(AND(76&gt;=Personnel!$E$39,Personnel!$G$39="Yes"),Personnel!$D$39*(1-Personnel!$I$39),0)))*Escalation!$B$77,Actuals!CC99)</f>
        <v>-9713.150866152</v>
      </c>
      <c r="CC186" s="22" t="n">
        <f aca="false">IF(ISBLANK(Actuals!CD99),(-(IF(AND(77&gt;=Personnel!$E$38,Personnel!$G$38="Yes"),Personnel!$D$38*(1-Personnel!$I$38),0)+IF(AND(77&gt;=Personnel!$E$39,Personnel!$G$39="Yes"),Personnel!$D$39*(1-Personnel!$I$39),0)))*Escalation!$B$78,Actuals!CD99)</f>
        <v>-9713.150866152</v>
      </c>
      <c r="CD186" s="22" t="n">
        <f aca="false">IF(ISBLANK(Actuals!CE99),(-(IF(AND(78&gt;=Personnel!$E$38,Personnel!$G$38="Yes"),Personnel!$D$38*(1-Personnel!$I$38),0)+IF(AND(78&gt;=Personnel!$E$39,Personnel!$G$39="Yes"),Personnel!$D$39*(1-Personnel!$I$39),0)))*Escalation!$B$79,Actuals!CE99)</f>
        <v>-9713.150866152</v>
      </c>
      <c r="CE186" s="22" t="n">
        <f aca="false">IF(ISBLANK(Actuals!CF99),(-(IF(AND(79&gt;=Personnel!$E$38,Personnel!$G$38="Yes"),Personnel!$D$38*(1-Personnel!$I$38),0)+IF(AND(79&gt;=Personnel!$E$39,Personnel!$G$39="Yes"),Personnel!$D$39*(1-Personnel!$I$39),0)))*Escalation!$B$80,Actuals!CF99)</f>
        <v>-9713.150866152</v>
      </c>
      <c r="CF186" s="22" t="n">
        <f aca="false">IF(ISBLANK(Actuals!CG99),(-(IF(AND(80&gt;=Personnel!$E$38,Personnel!$G$38="Yes"),Personnel!$D$38*(1-Personnel!$I$38),0)+IF(AND(80&gt;=Personnel!$E$39,Personnel!$G$39="Yes"),Personnel!$D$39*(1-Personnel!$I$39),0)))*Escalation!$B$81,Actuals!CG99)</f>
        <v>-9713.150866152</v>
      </c>
      <c r="CG186" s="22" t="n">
        <f aca="false">IF(ISBLANK(Actuals!CH99),(-(IF(AND(81&gt;=Personnel!$E$38,Personnel!$G$38="Yes"),Personnel!$D$38*(1-Personnel!$I$38),0)+IF(AND(81&gt;=Personnel!$E$39,Personnel!$G$39="Yes"),Personnel!$D$39*(1-Personnel!$I$39),0)))*Escalation!$B$82,Actuals!CH99)</f>
        <v>-9713.150866152</v>
      </c>
      <c r="CH186" s="22" t="n">
        <f aca="false">IF(ISBLANK(Actuals!CI99),(-(IF(AND(82&gt;=Personnel!$E$38,Personnel!$G$38="Yes"),Personnel!$D$38*(1-Personnel!$I$38),0)+IF(AND(82&gt;=Personnel!$E$39,Personnel!$G$39="Yes"),Personnel!$D$39*(1-Personnel!$I$39),0)))*Escalation!$B$83,Actuals!CI99)</f>
        <v>-9713.150866152</v>
      </c>
      <c r="CI186" s="22" t="n">
        <f aca="false">IF(ISBLANK(Actuals!CJ99),(-(IF(AND(83&gt;=Personnel!$E$38,Personnel!$G$38="Yes"),Personnel!$D$38*(1-Personnel!$I$38),0)+IF(AND(83&gt;=Personnel!$E$39,Personnel!$G$39="Yes"),Personnel!$D$39*(1-Personnel!$I$39),0)))*Escalation!$B$84,Actuals!CJ99)</f>
        <v>-9713.150866152</v>
      </c>
      <c r="CJ186" s="22" t="n">
        <f aca="false">IF(ISBLANK(Actuals!CK99),(-(IF(AND(84&gt;=Personnel!$E$38,Personnel!$G$38="Yes"),Personnel!$D$38*(1-Personnel!$I$38),0)+IF(AND(84&gt;=Personnel!$E$39,Personnel!$G$39="Yes"),Personnel!$D$39*(1-Personnel!$I$39),0)))*Escalation!$B$85,Actuals!CK99)</f>
        <v>-9713.150866152</v>
      </c>
      <c r="CK186" s="22" t="n">
        <f aca="false">IF(ISBLANK(Actuals!CL99),(-(IF(AND(85&gt;=Personnel!$E$38,Personnel!$G$38="Yes"),Personnel!$D$38*(1-Personnel!$I$38),0)+IF(AND(85&gt;=Personnel!$E$39,Personnel!$G$39="Yes"),Personnel!$D$39*(1-Personnel!$I$39),0)))*Escalation!$B$86,Actuals!CL99)</f>
        <v>-9907.41388347504</v>
      </c>
      <c r="CL186" s="22" t="n">
        <f aca="false">IF(ISBLANK(Actuals!CM99),(-(IF(AND(86&gt;=Personnel!$E$38,Personnel!$G$38="Yes"),Personnel!$D$38*(1-Personnel!$I$38),0)+IF(AND(86&gt;=Personnel!$E$39,Personnel!$G$39="Yes"),Personnel!$D$39*(1-Personnel!$I$39),0)))*Escalation!$B$87,Actuals!CM99)</f>
        <v>-9907.41388347504</v>
      </c>
      <c r="CM186" s="22" t="n">
        <f aca="false">IF(ISBLANK(Actuals!CN99),(-(IF(AND(87&gt;=Personnel!$E$38,Personnel!$G$38="Yes"),Personnel!$D$38*(1-Personnel!$I$38),0)+IF(AND(87&gt;=Personnel!$E$39,Personnel!$G$39="Yes"),Personnel!$D$39*(1-Personnel!$I$39),0)))*Escalation!$B$88,Actuals!CN99)</f>
        <v>-9907.41388347504</v>
      </c>
      <c r="CN186" s="22" t="n">
        <f aca="false">IF(ISBLANK(Actuals!CO99),(-(IF(AND(88&gt;=Personnel!$E$38,Personnel!$G$38="Yes"),Personnel!$D$38*(1-Personnel!$I$38),0)+IF(AND(88&gt;=Personnel!$E$39,Personnel!$G$39="Yes"),Personnel!$D$39*(1-Personnel!$I$39),0)))*Escalation!$B$89,Actuals!CO99)</f>
        <v>-9907.41388347504</v>
      </c>
      <c r="CO186" s="22" t="n">
        <f aca="false">IF(ISBLANK(Actuals!CP99),(-(IF(AND(89&gt;=Personnel!$E$38,Personnel!$G$38="Yes"),Personnel!$D$38*(1-Personnel!$I$38),0)+IF(AND(89&gt;=Personnel!$E$39,Personnel!$G$39="Yes"),Personnel!$D$39*(1-Personnel!$I$39),0)))*Escalation!$B$90,Actuals!CP99)</f>
        <v>-9907.41388347504</v>
      </c>
      <c r="CP186" s="22" t="n">
        <f aca="false">IF(ISBLANK(Actuals!CQ99),(-(IF(AND(90&gt;=Personnel!$E$38,Personnel!$G$38="Yes"),Personnel!$D$38*(1-Personnel!$I$38),0)+IF(AND(90&gt;=Personnel!$E$39,Personnel!$G$39="Yes"),Personnel!$D$39*(1-Personnel!$I$39),0)))*Escalation!$B$91,Actuals!CQ99)</f>
        <v>-9907.41388347504</v>
      </c>
      <c r="CQ186" s="22" t="n">
        <f aca="false">IF(ISBLANK(Actuals!CR99),(-(IF(AND(91&gt;=Personnel!$E$38,Personnel!$G$38="Yes"),Personnel!$D$38*(1-Personnel!$I$38),0)+IF(AND(91&gt;=Personnel!$E$39,Personnel!$G$39="Yes"),Personnel!$D$39*(1-Personnel!$I$39),0)))*Escalation!$B$92,Actuals!CR99)</f>
        <v>-9907.41388347504</v>
      </c>
      <c r="CR186" s="22" t="n">
        <f aca="false">IF(ISBLANK(Actuals!CS99),(-(IF(AND(92&gt;=Personnel!$E$38,Personnel!$G$38="Yes"),Personnel!$D$38*(1-Personnel!$I$38),0)+IF(AND(92&gt;=Personnel!$E$39,Personnel!$G$39="Yes"),Personnel!$D$39*(1-Personnel!$I$39),0)))*Escalation!$B$93,Actuals!CS99)</f>
        <v>-9907.41388347504</v>
      </c>
      <c r="CS186" s="22" t="n">
        <f aca="false">IF(ISBLANK(Actuals!CT99),(-(IF(AND(93&gt;=Personnel!$E$38,Personnel!$G$38="Yes"),Personnel!$D$38*(1-Personnel!$I$38),0)+IF(AND(93&gt;=Personnel!$E$39,Personnel!$G$39="Yes"),Personnel!$D$39*(1-Personnel!$I$39),0)))*Escalation!$B$94,Actuals!CT99)</f>
        <v>-9907.41388347504</v>
      </c>
      <c r="CT186" s="22" t="n">
        <f aca="false">IF(ISBLANK(Actuals!CU99),(-(IF(AND(94&gt;=Personnel!$E$38,Personnel!$G$38="Yes"),Personnel!$D$38*(1-Personnel!$I$38),0)+IF(AND(94&gt;=Personnel!$E$39,Personnel!$G$39="Yes"),Personnel!$D$39*(1-Personnel!$I$39),0)))*Escalation!$B$95,Actuals!CU99)</f>
        <v>-9907.41388347504</v>
      </c>
      <c r="CU186" s="22" t="n">
        <f aca="false">IF(ISBLANK(Actuals!CV99),(-(IF(AND(95&gt;=Personnel!$E$38,Personnel!$G$38="Yes"),Personnel!$D$38*(1-Personnel!$I$38),0)+IF(AND(95&gt;=Personnel!$E$39,Personnel!$G$39="Yes"),Personnel!$D$39*(1-Personnel!$I$39),0)))*Escalation!$B$96,Actuals!CV99)</f>
        <v>-9907.41388347504</v>
      </c>
      <c r="CV186" s="22" t="n">
        <f aca="false">IF(ISBLANK(Actuals!CW99),(-(IF(AND(96&gt;=Personnel!$E$38,Personnel!$G$38="Yes"),Personnel!$D$38*(1-Personnel!$I$38),0)+IF(AND(96&gt;=Personnel!$E$39,Personnel!$G$39="Yes"),Personnel!$D$39*(1-Personnel!$I$39),0)))*Escalation!$B$97,Actuals!CW99)</f>
        <v>-9907.41388347504</v>
      </c>
      <c r="CW186" s="22" t="n">
        <f aca="false">IF(ISBLANK(Actuals!CX99),(-(IF(AND(97&gt;=Personnel!$E$38,Personnel!$G$38="Yes"),Personnel!$D$38*(1-Personnel!$I$38),0)+IF(AND(97&gt;=Personnel!$E$39,Personnel!$G$39="Yes"),Personnel!$D$39*(1-Personnel!$I$39),0)))*Escalation!$B$98,Actuals!CX99)</f>
        <v>-10105.5621611445</v>
      </c>
      <c r="CX186" s="22" t="n">
        <f aca="false">IF(ISBLANK(Actuals!CY99),(-(IF(AND(98&gt;=Personnel!$E$38,Personnel!$G$38="Yes"),Personnel!$D$38*(1-Personnel!$I$38),0)+IF(AND(98&gt;=Personnel!$E$39,Personnel!$G$39="Yes"),Personnel!$D$39*(1-Personnel!$I$39),0)))*Escalation!$B$99,Actuals!CY99)</f>
        <v>-10105.5621611445</v>
      </c>
      <c r="CY186" s="22" t="n">
        <f aca="false">IF(ISBLANK(Actuals!CZ99),(-(IF(AND(99&gt;=Personnel!$E$38,Personnel!$G$38="Yes"),Personnel!$D$38*(1-Personnel!$I$38),0)+IF(AND(99&gt;=Personnel!$E$39,Personnel!$G$39="Yes"),Personnel!$D$39*(1-Personnel!$I$39),0)))*Escalation!$B$100,Actuals!CZ99)</f>
        <v>-10105.5621611445</v>
      </c>
      <c r="CZ186" s="22" t="n">
        <f aca="false">IF(ISBLANK(Actuals!DA99),(-(IF(AND(100&gt;=Personnel!$E$38,Personnel!$G$38="Yes"),Personnel!$D$38*(1-Personnel!$I$38),0)+IF(AND(100&gt;=Personnel!$E$39,Personnel!$G$39="Yes"),Personnel!$D$39*(1-Personnel!$I$39),0)))*Escalation!$B$101,Actuals!DA99)</f>
        <v>-10105.5621611445</v>
      </c>
      <c r="DA186" s="22" t="n">
        <f aca="false">IF(ISBLANK(Actuals!DB99),(-(IF(AND(101&gt;=Personnel!$E$38,Personnel!$G$38="Yes"),Personnel!$D$38*(1-Personnel!$I$38),0)+IF(AND(101&gt;=Personnel!$E$39,Personnel!$G$39="Yes"),Personnel!$D$39*(1-Personnel!$I$39),0)))*Escalation!$B$102,Actuals!DB99)</f>
        <v>-10105.5621611445</v>
      </c>
      <c r="DB186" s="22" t="n">
        <f aca="false">IF(ISBLANK(Actuals!DC99),(-(IF(AND(102&gt;=Personnel!$E$38,Personnel!$G$38="Yes"),Personnel!$D$38*(1-Personnel!$I$38),0)+IF(AND(102&gt;=Personnel!$E$39,Personnel!$G$39="Yes"),Personnel!$D$39*(1-Personnel!$I$39),0)))*Escalation!$B$103,Actuals!DC99)</f>
        <v>-10105.5621611445</v>
      </c>
      <c r="DC186" s="22" t="n">
        <f aca="false">IF(ISBLANK(Actuals!DD99),(-(IF(AND(103&gt;=Personnel!$E$38,Personnel!$G$38="Yes"),Personnel!$D$38*(1-Personnel!$I$38),0)+IF(AND(103&gt;=Personnel!$E$39,Personnel!$G$39="Yes"),Personnel!$D$39*(1-Personnel!$I$39),0)))*Escalation!$B$104,Actuals!DD99)</f>
        <v>-10105.5621611445</v>
      </c>
      <c r="DD186" s="22" t="n">
        <f aca="false">IF(ISBLANK(Actuals!DE99),(-(IF(AND(104&gt;=Personnel!$E$38,Personnel!$G$38="Yes"),Personnel!$D$38*(1-Personnel!$I$38),0)+IF(AND(104&gt;=Personnel!$E$39,Personnel!$G$39="Yes"),Personnel!$D$39*(1-Personnel!$I$39),0)))*Escalation!$B$105,Actuals!DE99)</f>
        <v>-10105.5621611445</v>
      </c>
      <c r="DE186" s="22" t="n">
        <f aca="false">IF(ISBLANK(Actuals!DF99),(-(IF(AND(105&gt;=Personnel!$E$38,Personnel!$G$38="Yes"),Personnel!$D$38*(1-Personnel!$I$38),0)+IF(AND(105&gt;=Personnel!$E$39,Personnel!$G$39="Yes"),Personnel!$D$39*(1-Personnel!$I$39),0)))*Escalation!$B$106,Actuals!DF99)</f>
        <v>-10105.5621611445</v>
      </c>
    </row>
    <row r="187" customFormat="false" ht="15" hidden="false" customHeight="true" outlineLevel="0" collapsed="false">
      <c r="A187" s="44" t="s">
        <v>123</v>
      </c>
      <c r="B187" s="22" t="n">
        <f aca="false">IF(ISBLANK(Actuals!C100),0,Actuals!C100)</f>
        <v>-268</v>
      </c>
      <c r="C187" s="22" t="n">
        <f aca="false">IF(ISBLANK(Actuals!D100),0,Actuals!D100)</f>
        <v>-2088.75</v>
      </c>
      <c r="D187" s="22" t="n">
        <f aca="false">IF(ISBLANK(Actuals!E100),0,Actuals!E100)</f>
        <v>-2401.75</v>
      </c>
      <c r="E187" s="22" t="n">
        <f aca="false">IF(ISBLANK(Actuals!F100),-1586.17*Escalation!$B$2,Actuals!F100)</f>
        <v>-4209.5</v>
      </c>
      <c r="F187" s="22" t="n">
        <f aca="false">IF(ISBLANK(Actuals!G100),-1586.17*Escalation!$B$3,Actuals!G100)</f>
        <v>-2377.59</v>
      </c>
      <c r="G187" s="22" t="n">
        <f aca="false">IF(ISBLANK(Actuals!H100),-1586.17*Escalation!$B$4,Actuals!H100)</f>
        <v>-16</v>
      </c>
      <c r="H187" s="22" t="n">
        <f aca="false">IF(ISBLANK(Actuals!I100),-1586.17*Escalation!$B$5,Actuals!I100)</f>
        <v>-1586.17</v>
      </c>
      <c r="I187" s="22" t="n">
        <f aca="false">IF(ISBLANK(Actuals!J100),-1586.17*Escalation!$B$6,Actuals!J100)</f>
        <v>-1586.17</v>
      </c>
      <c r="J187" s="22" t="n">
        <f aca="false">IF(ISBLANK(Actuals!K100),-1586.17*Escalation!$B$7,Actuals!K100)</f>
        <v>-1586.17</v>
      </c>
      <c r="K187" s="22" t="n">
        <f aca="false">IF(ISBLANK(Actuals!L100),-1586.17*Escalation!$B$8,Actuals!L100)</f>
        <v>-1586.17</v>
      </c>
      <c r="L187" s="22" t="n">
        <f aca="false">IF(ISBLANK(Actuals!M100),-1586.17*Escalation!$B$9,Actuals!M100)</f>
        <v>-1586.17</v>
      </c>
      <c r="M187" s="22" t="n">
        <f aca="false">IF(ISBLANK(Actuals!N100),-1586.17*Escalation!$B$10,Actuals!N100)</f>
        <v>-1586.17</v>
      </c>
      <c r="N187" s="22" t="n">
        <f aca="false">IF(ISBLANK(Actuals!O100),-1586.17*Escalation!$B$11,Actuals!O100)</f>
        <v>-1586.17</v>
      </c>
      <c r="O187" s="22" t="n">
        <f aca="false">IF(ISBLANK(Actuals!P100),-1586.17*Escalation!$B$12,Actuals!P100)</f>
        <v>-1586.17</v>
      </c>
      <c r="P187" s="22" t="n">
        <f aca="false">IF(ISBLANK(Actuals!Q100),-1586.17*Escalation!$B$13,Actuals!Q100)</f>
        <v>-1586.17</v>
      </c>
      <c r="Q187" s="22" t="n">
        <f aca="false">IF(ISBLANK(Actuals!R100),-1586.17*Escalation!$B$14,Actuals!R100)</f>
        <v>-1617.8934</v>
      </c>
      <c r="R187" s="22" t="n">
        <f aca="false">IF(ISBLANK(Actuals!S100),-1586.17*Escalation!$B$15,Actuals!S100)</f>
        <v>-1617.8934</v>
      </c>
      <c r="S187" s="22" t="n">
        <f aca="false">IF(ISBLANK(Actuals!T100),-1586.17*Escalation!$B$16,Actuals!T100)</f>
        <v>-1617.8934</v>
      </c>
      <c r="T187" s="22" t="n">
        <f aca="false">IF(ISBLANK(Actuals!U100),-1586.17*Escalation!$B$17,Actuals!U100)</f>
        <v>-1617.8934</v>
      </c>
      <c r="U187" s="22" t="n">
        <f aca="false">IF(ISBLANK(Actuals!V100),-1586.17*Escalation!$B$18,Actuals!V100)</f>
        <v>-1617.8934</v>
      </c>
      <c r="V187" s="22" t="n">
        <f aca="false">IF(ISBLANK(Actuals!W100),-1586.17*Escalation!$B$19,Actuals!W100)</f>
        <v>-1617.8934</v>
      </c>
      <c r="W187" s="22" t="n">
        <f aca="false">IF(ISBLANK(Actuals!X100),-1586.17*Escalation!$B$20,Actuals!X100)</f>
        <v>-1617.8934</v>
      </c>
      <c r="X187" s="22" t="n">
        <f aca="false">IF(ISBLANK(Actuals!Y100),-1586.17*Escalation!$B$21,Actuals!Y100)</f>
        <v>-1617.8934</v>
      </c>
      <c r="Y187" s="22" t="n">
        <f aca="false">IF(ISBLANK(Actuals!Z100),-1586.17*Escalation!$B$22,Actuals!Z100)</f>
        <v>-1617.8934</v>
      </c>
      <c r="Z187" s="22" t="n">
        <f aca="false">IF(ISBLANK(Actuals!AA100),-1586.17*Escalation!$B$23,Actuals!AA100)</f>
        <v>-1617.8934</v>
      </c>
      <c r="AA187" s="22" t="n">
        <f aca="false">IF(ISBLANK(Actuals!AB100),-1586.17*Escalation!$B$24,Actuals!AB100)</f>
        <v>-1617.8934</v>
      </c>
      <c r="AB187" s="22" t="n">
        <f aca="false">IF(ISBLANK(Actuals!AC100),-1586.17*Escalation!$B$25,Actuals!AC100)</f>
        <v>-1617.8934</v>
      </c>
      <c r="AC187" s="22" t="n">
        <f aca="false">IF(ISBLANK(Actuals!AD100),-1586.17*Escalation!$B$26,Actuals!AD100)</f>
        <v>-1650.251268</v>
      </c>
      <c r="AD187" s="22" t="n">
        <f aca="false">IF(ISBLANK(Actuals!AE100),-1586.17*Escalation!$B$27,Actuals!AE100)</f>
        <v>-1650.251268</v>
      </c>
      <c r="AE187" s="22" t="n">
        <f aca="false">IF(ISBLANK(Actuals!AF100),-1586.17*Escalation!$B$28,Actuals!AF100)</f>
        <v>-1650.251268</v>
      </c>
      <c r="AF187" s="22" t="n">
        <f aca="false">IF(ISBLANK(Actuals!AG100),-1586.17*Escalation!$B$29,Actuals!AG100)</f>
        <v>-1650.251268</v>
      </c>
      <c r="AG187" s="22" t="n">
        <f aca="false">IF(ISBLANK(Actuals!AH100),-1586.17*Escalation!$B$30,Actuals!AH100)</f>
        <v>-1650.251268</v>
      </c>
      <c r="AH187" s="22" t="n">
        <f aca="false">IF(ISBLANK(Actuals!AI100),-1586.17*Escalation!$B$31,Actuals!AI100)</f>
        <v>-1650.251268</v>
      </c>
      <c r="AI187" s="22" t="n">
        <f aca="false">IF(ISBLANK(Actuals!AJ100),-1586.17*Escalation!$B$32,Actuals!AJ100)</f>
        <v>-1650.251268</v>
      </c>
      <c r="AJ187" s="22" t="n">
        <f aca="false">IF(ISBLANK(Actuals!AK100),-1586.17*Escalation!$B$33,Actuals!AK100)</f>
        <v>-1650.251268</v>
      </c>
      <c r="AK187" s="22" t="n">
        <f aca="false">IF(ISBLANK(Actuals!AL100),-1586.17*Escalation!$B$34,Actuals!AL100)</f>
        <v>-1650.251268</v>
      </c>
      <c r="AL187" s="22" t="n">
        <f aca="false">IF(ISBLANK(Actuals!AM100),-1586.17*Escalation!$B$35,Actuals!AM100)</f>
        <v>-1650.251268</v>
      </c>
      <c r="AM187" s="22" t="n">
        <f aca="false">IF(ISBLANK(Actuals!AN100),-1586.17*Escalation!$B$36,Actuals!AN100)</f>
        <v>-1650.251268</v>
      </c>
      <c r="AN187" s="22" t="n">
        <f aca="false">IF(ISBLANK(Actuals!AO100),-1586.17*Escalation!$B$37,Actuals!AO100)</f>
        <v>-1650.251268</v>
      </c>
      <c r="AO187" s="22" t="n">
        <f aca="false">IF(ISBLANK(Actuals!AP100),-1586.17*Escalation!$B$38,Actuals!AP100)</f>
        <v>-1683.25629336</v>
      </c>
      <c r="AP187" s="22" t="n">
        <f aca="false">IF(ISBLANK(Actuals!AQ100),-1586.17*Escalation!$B$39,Actuals!AQ100)</f>
        <v>-1683.25629336</v>
      </c>
      <c r="AQ187" s="22" t="n">
        <f aca="false">IF(ISBLANK(Actuals!AR100),-1586.17*Escalation!$B$40,Actuals!AR100)</f>
        <v>-1683.25629336</v>
      </c>
      <c r="AR187" s="22" t="n">
        <f aca="false">IF(ISBLANK(Actuals!AS100),-1586.17*Escalation!$B$41,Actuals!AS100)</f>
        <v>-1683.25629336</v>
      </c>
      <c r="AS187" s="22" t="n">
        <f aca="false">IF(ISBLANK(Actuals!AT100),-1586.17*Escalation!$B$42,Actuals!AT100)</f>
        <v>-1683.25629336</v>
      </c>
      <c r="AT187" s="22" t="n">
        <f aca="false">IF(ISBLANK(Actuals!AU100),-1586.17*Escalation!$B$43,Actuals!AU100)</f>
        <v>-1683.25629336</v>
      </c>
      <c r="AU187" s="22" t="n">
        <f aca="false">IF(ISBLANK(Actuals!AV100),-1586.17*Escalation!$B$44,Actuals!AV100)</f>
        <v>-1683.25629336</v>
      </c>
      <c r="AV187" s="22" t="n">
        <f aca="false">IF(ISBLANK(Actuals!AW100),-1586.17*Escalation!$B$45,Actuals!AW100)</f>
        <v>-1683.25629336</v>
      </c>
      <c r="AW187" s="22" t="n">
        <f aca="false">IF(ISBLANK(Actuals!AX100),-1586.17*Escalation!$B$46,Actuals!AX100)</f>
        <v>-1683.25629336</v>
      </c>
      <c r="AX187" s="22" t="n">
        <f aca="false">IF(ISBLANK(Actuals!AY100),-1586.17*Escalation!$B$47,Actuals!AY100)</f>
        <v>-1683.25629336</v>
      </c>
      <c r="AY187" s="22" t="n">
        <f aca="false">IF(ISBLANK(Actuals!AZ100),-1586.17*Escalation!$B$48,Actuals!AZ100)</f>
        <v>-1683.25629336</v>
      </c>
      <c r="AZ187" s="22" t="n">
        <f aca="false">IF(ISBLANK(Actuals!BA100),-1586.17*Escalation!$B$49,Actuals!BA100)</f>
        <v>-1683.25629336</v>
      </c>
      <c r="BA187" s="22" t="n">
        <f aca="false">IF(ISBLANK(Actuals!BB100),-1586.17*Escalation!$B$50,Actuals!BB100)</f>
        <v>-1716.9214192272</v>
      </c>
      <c r="BB187" s="22" t="n">
        <f aca="false">IF(ISBLANK(Actuals!BC100),-1586.17*Escalation!$B$51,Actuals!BC100)</f>
        <v>-1716.9214192272</v>
      </c>
      <c r="BC187" s="22" t="n">
        <f aca="false">IF(ISBLANK(Actuals!BD100),-1586.17*Escalation!$B$52,Actuals!BD100)</f>
        <v>-1716.9214192272</v>
      </c>
      <c r="BD187" s="22" t="n">
        <f aca="false">IF(ISBLANK(Actuals!BE100),-1586.17*Escalation!$B$53,Actuals!BE100)</f>
        <v>-1716.9214192272</v>
      </c>
      <c r="BE187" s="22" t="n">
        <f aca="false">IF(ISBLANK(Actuals!BF100),-1586.17*Escalation!$B$54,Actuals!BF100)</f>
        <v>-1716.9214192272</v>
      </c>
      <c r="BF187" s="22" t="n">
        <f aca="false">IF(ISBLANK(Actuals!BG100),-1586.17*Escalation!$B$55,Actuals!BG100)</f>
        <v>-1716.9214192272</v>
      </c>
      <c r="BG187" s="22" t="n">
        <f aca="false">IF(ISBLANK(Actuals!BH100),-1586.17*Escalation!$B$56,Actuals!BH100)</f>
        <v>-1716.9214192272</v>
      </c>
      <c r="BH187" s="22" t="n">
        <f aca="false">IF(ISBLANK(Actuals!BI100),-1586.17*Escalation!$B$57,Actuals!BI100)</f>
        <v>-1716.9214192272</v>
      </c>
      <c r="BI187" s="22" t="n">
        <f aca="false">IF(ISBLANK(Actuals!BJ100),-1586.17*Escalation!$B$58,Actuals!BJ100)</f>
        <v>-1716.9214192272</v>
      </c>
      <c r="BJ187" s="22" t="n">
        <f aca="false">IF(ISBLANK(Actuals!BK100),-1586.17*Escalation!$B$59,Actuals!BK100)</f>
        <v>-1716.9214192272</v>
      </c>
      <c r="BK187" s="22" t="n">
        <f aca="false">IF(ISBLANK(Actuals!BL100),-1586.17*Escalation!$B$60,Actuals!BL100)</f>
        <v>-1716.9214192272</v>
      </c>
      <c r="BL187" s="22" t="n">
        <f aca="false">IF(ISBLANK(Actuals!BM100),-1586.17*Escalation!$B$61,Actuals!BM100)</f>
        <v>-1716.9214192272</v>
      </c>
      <c r="BM187" s="22" t="n">
        <f aca="false">IF(ISBLANK(Actuals!BN100),-1586.17*Escalation!$B$62,Actuals!BN100)</f>
        <v>-1751.25984761174</v>
      </c>
      <c r="BN187" s="22" t="n">
        <f aca="false">IF(ISBLANK(Actuals!BO100),-1586.17*Escalation!$B$63,Actuals!BO100)</f>
        <v>-1751.25984761174</v>
      </c>
      <c r="BO187" s="22" t="n">
        <f aca="false">IF(ISBLANK(Actuals!BP100),-1586.17*Escalation!$B$64,Actuals!BP100)</f>
        <v>-1751.25984761174</v>
      </c>
      <c r="BP187" s="22" t="n">
        <f aca="false">IF(ISBLANK(Actuals!BQ100),-1586.17*Escalation!$B$65,Actuals!BQ100)</f>
        <v>-1751.25984761174</v>
      </c>
      <c r="BQ187" s="22" t="n">
        <f aca="false">IF(ISBLANK(Actuals!BR100),-1586.17*Escalation!$B$66,Actuals!BR100)</f>
        <v>-1751.25984761174</v>
      </c>
      <c r="BR187" s="22" t="n">
        <f aca="false">IF(ISBLANK(Actuals!BS100),-1586.17*Escalation!$B$67,Actuals!BS100)</f>
        <v>-1751.25984761174</v>
      </c>
      <c r="BS187" s="22" t="n">
        <f aca="false">IF(ISBLANK(Actuals!BT100),-1586.17*Escalation!$B$68,Actuals!BT100)</f>
        <v>-1751.25984761174</v>
      </c>
      <c r="BT187" s="22" t="n">
        <f aca="false">IF(ISBLANK(Actuals!BU100),-1586.17*Escalation!$B$69,Actuals!BU100)</f>
        <v>-1751.25984761174</v>
      </c>
      <c r="BU187" s="22" t="n">
        <f aca="false">IF(ISBLANK(Actuals!BV100),-1586.17*Escalation!$B$70,Actuals!BV100)</f>
        <v>-1751.25984761174</v>
      </c>
      <c r="BV187" s="22" t="n">
        <f aca="false">IF(ISBLANK(Actuals!BW100),-1586.17*Escalation!$B$71,Actuals!BW100)</f>
        <v>-1751.25984761174</v>
      </c>
      <c r="BW187" s="22" t="n">
        <f aca="false">IF(ISBLANK(Actuals!BX100),-1586.17*Escalation!$B$72,Actuals!BX100)</f>
        <v>-1751.25984761174</v>
      </c>
      <c r="BX187" s="22" t="n">
        <f aca="false">IF(ISBLANK(Actuals!BY100),-1586.17*Escalation!$B$73,Actuals!BY100)</f>
        <v>-1751.25984761174</v>
      </c>
      <c r="BY187" s="22" t="n">
        <f aca="false">IF(ISBLANK(Actuals!BZ100),-1586.17*Escalation!$B$74,Actuals!BZ100)</f>
        <v>-1786.28504456398</v>
      </c>
      <c r="BZ187" s="22" t="n">
        <f aca="false">IF(ISBLANK(Actuals!CA100),-1586.17*Escalation!$B$75,Actuals!CA100)</f>
        <v>-1786.28504456398</v>
      </c>
      <c r="CA187" s="22" t="n">
        <f aca="false">IF(ISBLANK(Actuals!CB100),-1586.17*Escalation!$B$76,Actuals!CB100)</f>
        <v>-1786.28504456398</v>
      </c>
      <c r="CB187" s="22" t="n">
        <f aca="false">IF(ISBLANK(Actuals!CC100),-1586.17*Escalation!$B$77,Actuals!CC100)</f>
        <v>-1786.28504456398</v>
      </c>
      <c r="CC187" s="22" t="n">
        <f aca="false">IF(ISBLANK(Actuals!CD100),-1586.17*Escalation!$B$78,Actuals!CD100)</f>
        <v>-1786.28504456398</v>
      </c>
      <c r="CD187" s="22" t="n">
        <f aca="false">IF(ISBLANK(Actuals!CE100),-1586.17*Escalation!$B$79,Actuals!CE100)</f>
        <v>-1786.28504456398</v>
      </c>
      <c r="CE187" s="22" t="n">
        <f aca="false">IF(ISBLANK(Actuals!CF100),-1586.17*Escalation!$B$80,Actuals!CF100)</f>
        <v>-1786.28504456398</v>
      </c>
      <c r="CF187" s="22" t="n">
        <f aca="false">IF(ISBLANK(Actuals!CG100),-1586.17*Escalation!$B$81,Actuals!CG100)</f>
        <v>-1786.28504456398</v>
      </c>
      <c r="CG187" s="22" t="n">
        <f aca="false">IF(ISBLANK(Actuals!CH100),-1586.17*Escalation!$B$82,Actuals!CH100)</f>
        <v>-1786.28504456398</v>
      </c>
      <c r="CH187" s="22" t="n">
        <f aca="false">IF(ISBLANK(Actuals!CI100),-1586.17*Escalation!$B$83,Actuals!CI100)</f>
        <v>-1786.28504456398</v>
      </c>
      <c r="CI187" s="22" t="n">
        <f aca="false">IF(ISBLANK(Actuals!CJ100),-1586.17*Escalation!$B$84,Actuals!CJ100)</f>
        <v>-1786.28504456398</v>
      </c>
      <c r="CJ187" s="22" t="n">
        <f aca="false">IF(ISBLANK(Actuals!CK100),-1586.17*Escalation!$B$85,Actuals!CK100)</f>
        <v>-1786.28504456398</v>
      </c>
      <c r="CK187" s="22" t="n">
        <f aca="false">IF(ISBLANK(Actuals!CL100),-1586.17*Escalation!$B$86,Actuals!CL100)</f>
        <v>-1822.01074545526</v>
      </c>
      <c r="CL187" s="22" t="n">
        <f aca="false">IF(ISBLANK(Actuals!CM100),-1586.17*Escalation!$B$87,Actuals!CM100)</f>
        <v>-1822.01074545526</v>
      </c>
      <c r="CM187" s="22" t="n">
        <f aca="false">IF(ISBLANK(Actuals!CN100),-1586.17*Escalation!$B$88,Actuals!CN100)</f>
        <v>-1822.01074545526</v>
      </c>
      <c r="CN187" s="22" t="n">
        <f aca="false">IF(ISBLANK(Actuals!CO100),-1586.17*Escalation!$B$89,Actuals!CO100)</f>
        <v>-1822.01074545526</v>
      </c>
      <c r="CO187" s="22" t="n">
        <f aca="false">IF(ISBLANK(Actuals!CP100),-1586.17*Escalation!$B$90,Actuals!CP100)</f>
        <v>-1822.01074545526</v>
      </c>
      <c r="CP187" s="22" t="n">
        <f aca="false">IF(ISBLANK(Actuals!CQ100),-1586.17*Escalation!$B$91,Actuals!CQ100)</f>
        <v>-1822.01074545526</v>
      </c>
      <c r="CQ187" s="22" t="n">
        <f aca="false">IF(ISBLANK(Actuals!CR100),-1586.17*Escalation!$B$92,Actuals!CR100)</f>
        <v>-1822.01074545526</v>
      </c>
      <c r="CR187" s="22" t="n">
        <f aca="false">IF(ISBLANK(Actuals!CS100),-1586.17*Escalation!$B$93,Actuals!CS100)</f>
        <v>-1822.01074545526</v>
      </c>
      <c r="CS187" s="22" t="n">
        <f aca="false">IF(ISBLANK(Actuals!CT100),-1586.17*Escalation!$B$94,Actuals!CT100)</f>
        <v>-1822.01074545526</v>
      </c>
      <c r="CT187" s="22" t="n">
        <f aca="false">IF(ISBLANK(Actuals!CU100),-1586.17*Escalation!$B$95,Actuals!CU100)</f>
        <v>-1822.01074545526</v>
      </c>
      <c r="CU187" s="22" t="n">
        <f aca="false">IF(ISBLANK(Actuals!CV100),-1586.17*Escalation!$B$96,Actuals!CV100)</f>
        <v>-1822.01074545526</v>
      </c>
      <c r="CV187" s="22" t="n">
        <f aca="false">IF(ISBLANK(Actuals!CW100),-1586.17*Escalation!$B$97,Actuals!CW100)</f>
        <v>-1822.01074545526</v>
      </c>
      <c r="CW187" s="22" t="n">
        <f aca="false">IF(ISBLANK(Actuals!CX100),-1586.17*Escalation!$B$98,Actuals!CX100)</f>
        <v>-1858.45096036436</v>
      </c>
      <c r="CX187" s="22" t="n">
        <f aca="false">IF(ISBLANK(Actuals!CY100),-1586.17*Escalation!$B$99,Actuals!CY100)</f>
        <v>-1858.45096036436</v>
      </c>
      <c r="CY187" s="22" t="n">
        <f aca="false">IF(ISBLANK(Actuals!CZ100),-1586.17*Escalation!$B$100,Actuals!CZ100)</f>
        <v>-1858.45096036436</v>
      </c>
      <c r="CZ187" s="22" t="n">
        <f aca="false">IF(ISBLANK(Actuals!DA100),-1586.17*Escalation!$B$101,Actuals!DA100)</f>
        <v>-1858.45096036436</v>
      </c>
      <c r="DA187" s="22" t="n">
        <f aca="false">IF(ISBLANK(Actuals!DB100),-1586.17*Escalation!$B$102,Actuals!DB100)</f>
        <v>-1858.45096036436</v>
      </c>
      <c r="DB187" s="22" t="n">
        <f aca="false">IF(ISBLANK(Actuals!DC100),-1586.17*Escalation!$B$103,Actuals!DC100)</f>
        <v>-1858.45096036436</v>
      </c>
      <c r="DC187" s="22" t="n">
        <f aca="false">IF(ISBLANK(Actuals!DD100),-1586.17*Escalation!$B$104,Actuals!DD100)</f>
        <v>-1858.45096036436</v>
      </c>
      <c r="DD187" s="22" t="n">
        <f aca="false">IF(ISBLANK(Actuals!DE100),-1586.17*Escalation!$B$105,Actuals!DE100)</f>
        <v>-1858.45096036436</v>
      </c>
      <c r="DE187" s="22" t="n">
        <f aca="false">IF(ISBLANK(Actuals!DF100),-1586.17*Escalation!$B$106,Actuals!DF100)</f>
        <v>-1858.45096036436</v>
      </c>
    </row>
    <row r="188" customFormat="false" ht="15" hidden="false" customHeight="true" outlineLevel="0" collapsed="false">
      <c r="A188" s="44" t="s">
        <v>124</v>
      </c>
      <c r="B188" s="22" t="n">
        <f aca="false">IF(ISBLANK(Actuals!C101),0,Actuals!C101)</f>
        <v>-341.83</v>
      </c>
      <c r="C188" s="22" t="n">
        <f aca="false">IF(ISBLANK(Actuals!D101),0,Actuals!D101)</f>
        <v>-728</v>
      </c>
      <c r="D188" s="22" t="n">
        <f aca="false">IF(ISBLANK(Actuals!E101),0,Actuals!E101)</f>
        <v>-15256.75</v>
      </c>
      <c r="E188" s="22" t="n">
        <f aca="false">IF(ISBLANK(Actuals!F101),-5442.19*Escalation!$B$2,Actuals!F101)</f>
        <v>-1033.41</v>
      </c>
      <c r="F188" s="22" t="n">
        <f aca="false">IF(ISBLANK(Actuals!G101),-5442.19*Escalation!$B$3,Actuals!G101)</f>
        <v>-3499</v>
      </c>
      <c r="G188" s="22" t="n">
        <f aca="false">IF(ISBLANK(Actuals!H101),-5442.19*Escalation!$B$4,Actuals!H101)</f>
        <v>-1033.41</v>
      </c>
      <c r="H188" s="22" t="n">
        <f aca="false">IF(ISBLANK(Actuals!I101),-5442.19*Escalation!$B$5,Actuals!I101)</f>
        <v>-5442.19</v>
      </c>
      <c r="I188" s="22" t="n">
        <f aca="false">IF(ISBLANK(Actuals!J101),-5442.19*Escalation!$B$6,Actuals!J101)</f>
        <v>-5442.19</v>
      </c>
      <c r="J188" s="22" t="n">
        <f aca="false">IF(ISBLANK(Actuals!K101),-5442.19*Escalation!$B$7,Actuals!K101)</f>
        <v>-5442.19</v>
      </c>
      <c r="K188" s="22" t="n">
        <f aca="false">IF(ISBLANK(Actuals!L101),-5442.19*Escalation!$B$8,Actuals!L101)</f>
        <v>-5442.19</v>
      </c>
      <c r="L188" s="22" t="n">
        <f aca="false">IF(ISBLANK(Actuals!M101),-5442.19*Escalation!$B$9,Actuals!M101)</f>
        <v>-5442.19</v>
      </c>
      <c r="M188" s="22" t="n">
        <f aca="false">IF(ISBLANK(Actuals!N101),-5442.19*Escalation!$B$10,Actuals!N101)</f>
        <v>-5442.19</v>
      </c>
      <c r="N188" s="22" t="n">
        <f aca="false">IF(ISBLANK(Actuals!O101),-5442.19*Escalation!$B$11,Actuals!O101)</f>
        <v>-5442.19</v>
      </c>
      <c r="O188" s="22" t="n">
        <f aca="false">IF(ISBLANK(Actuals!P101),-5442.19*Escalation!$B$12,Actuals!P101)</f>
        <v>-5442.19</v>
      </c>
      <c r="P188" s="22" t="n">
        <f aca="false">IF(ISBLANK(Actuals!Q101),-5442.19*Escalation!$B$13,Actuals!Q101)</f>
        <v>-5442.19</v>
      </c>
      <c r="Q188" s="22" t="n">
        <f aca="false">IF(ISBLANK(Actuals!R101),-5442.19*Escalation!$B$14,Actuals!R101)</f>
        <v>-5551.0338</v>
      </c>
      <c r="R188" s="22" t="n">
        <f aca="false">IF(ISBLANK(Actuals!S101),-5442.19*Escalation!$B$15,Actuals!S101)</f>
        <v>-5551.0338</v>
      </c>
      <c r="S188" s="22" t="n">
        <f aca="false">IF(ISBLANK(Actuals!T101),-5442.19*Escalation!$B$16,Actuals!T101)</f>
        <v>-5551.0338</v>
      </c>
      <c r="T188" s="22" t="n">
        <f aca="false">IF(ISBLANK(Actuals!U101),-5442.19*Escalation!$B$17,Actuals!U101)</f>
        <v>-5551.0338</v>
      </c>
      <c r="U188" s="22" t="n">
        <f aca="false">IF(ISBLANK(Actuals!V101),-5442.19*Escalation!$B$18,Actuals!V101)</f>
        <v>-5551.0338</v>
      </c>
      <c r="V188" s="22" t="n">
        <f aca="false">IF(ISBLANK(Actuals!W101),-5442.19*Escalation!$B$19,Actuals!W101)</f>
        <v>-5551.0338</v>
      </c>
      <c r="W188" s="22" t="n">
        <f aca="false">IF(ISBLANK(Actuals!X101),-5442.19*Escalation!$B$20,Actuals!X101)</f>
        <v>-5551.0338</v>
      </c>
      <c r="X188" s="22" t="n">
        <f aca="false">IF(ISBLANK(Actuals!Y101),-5442.19*Escalation!$B$21,Actuals!Y101)</f>
        <v>-5551.0338</v>
      </c>
      <c r="Y188" s="22" t="n">
        <f aca="false">IF(ISBLANK(Actuals!Z101),-5442.19*Escalation!$B$22,Actuals!Z101)</f>
        <v>-5551.0338</v>
      </c>
      <c r="Z188" s="22" t="n">
        <f aca="false">IF(ISBLANK(Actuals!AA101),-5442.19*Escalation!$B$23,Actuals!AA101)</f>
        <v>-5551.0338</v>
      </c>
      <c r="AA188" s="22" t="n">
        <f aca="false">IF(ISBLANK(Actuals!AB101),-5442.19*Escalation!$B$24,Actuals!AB101)</f>
        <v>-5551.0338</v>
      </c>
      <c r="AB188" s="22" t="n">
        <f aca="false">IF(ISBLANK(Actuals!AC101),-5442.19*Escalation!$B$25,Actuals!AC101)</f>
        <v>-5551.0338</v>
      </c>
      <c r="AC188" s="22" t="n">
        <f aca="false">IF(ISBLANK(Actuals!AD101),-5442.19*Escalation!$B$26,Actuals!AD101)</f>
        <v>-5662.054476</v>
      </c>
      <c r="AD188" s="22" t="n">
        <f aca="false">IF(ISBLANK(Actuals!AE101),-5442.19*Escalation!$B$27,Actuals!AE101)</f>
        <v>-5662.054476</v>
      </c>
      <c r="AE188" s="22" t="n">
        <f aca="false">IF(ISBLANK(Actuals!AF101),-5442.19*Escalation!$B$28,Actuals!AF101)</f>
        <v>-5662.054476</v>
      </c>
      <c r="AF188" s="22" t="n">
        <f aca="false">IF(ISBLANK(Actuals!AG101),-5442.19*Escalation!$B$29,Actuals!AG101)</f>
        <v>-5662.054476</v>
      </c>
      <c r="AG188" s="22" t="n">
        <f aca="false">IF(ISBLANK(Actuals!AH101),-5442.19*Escalation!$B$30,Actuals!AH101)</f>
        <v>-5662.054476</v>
      </c>
      <c r="AH188" s="22" t="n">
        <f aca="false">IF(ISBLANK(Actuals!AI101),-5442.19*Escalation!$B$31,Actuals!AI101)</f>
        <v>-5662.054476</v>
      </c>
      <c r="AI188" s="22" t="n">
        <f aca="false">IF(ISBLANK(Actuals!AJ101),-5442.19*Escalation!$B$32,Actuals!AJ101)</f>
        <v>-5662.054476</v>
      </c>
      <c r="AJ188" s="22" t="n">
        <f aca="false">IF(ISBLANK(Actuals!AK101),-5442.19*Escalation!$B$33,Actuals!AK101)</f>
        <v>-5662.054476</v>
      </c>
      <c r="AK188" s="22" t="n">
        <f aca="false">IF(ISBLANK(Actuals!AL101),-5442.19*Escalation!$B$34,Actuals!AL101)</f>
        <v>-5662.054476</v>
      </c>
      <c r="AL188" s="22" t="n">
        <f aca="false">IF(ISBLANK(Actuals!AM101),-5442.19*Escalation!$B$35,Actuals!AM101)</f>
        <v>-5662.054476</v>
      </c>
      <c r="AM188" s="22" t="n">
        <f aca="false">IF(ISBLANK(Actuals!AN101),-5442.19*Escalation!$B$36,Actuals!AN101)</f>
        <v>-5662.054476</v>
      </c>
      <c r="AN188" s="22" t="n">
        <f aca="false">IF(ISBLANK(Actuals!AO101),-5442.19*Escalation!$B$37,Actuals!AO101)</f>
        <v>-5662.054476</v>
      </c>
      <c r="AO188" s="22" t="n">
        <f aca="false">IF(ISBLANK(Actuals!AP101),-5442.19*Escalation!$B$38,Actuals!AP101)</f>
        <v>-5775.29556552</v>
      </c>
      <c r="AP188" s="22" t="n">
        <f aca="false">IF(ISBLANK(Actuals!AQ101),-5442.19*Escalation!$B$39,Actuals!AQ101)</f>
        <v>-5775.29556552</v>
      </c>
      <c r="AQ188" s="22" t="n">
        <f aca="false">IF(ISBLANK(Actuals!AR101),-5442.19*Escalation!$B$40,Actuals!AR101)</f>
        <v>-5775.29556552</v>
      </c>
      <c r="AR188" s="22" t="n">
        <f aca="false">IF(ISBLANK(Actuals!AS101),-5442.19*Escalation!$B$41,Actuals!AS101)</f>
        <v>-5775.29556552</v>
      </c>
      <c r="AS188" s="22" t="n">
        <f aca="false">IF(ISBLANK(Actuals!AT101),-5442.19*Escalation!$B$42,Actuals!AT101)</f>
        <v>-5775.29556552</v>
      </c>
      <c r="AT188" s="22" t="n">
        <f aca="false">IF(ISBLANK(Actuals!AU101),-5442.19*Escalation!$B$43,Actuals!AU101)</f>
        <v>-5775.29556552</v>
      </c>
      <c r="AU188" s="22" t="n">
        <f aca="false">IF(ISBLANK(Actuals!AV101),-5442.19*Escalation!$B$44,Actuals!AV101)</f>
        <v>-5775.29556552</v>
      </c>
      <c r="AV188" s="22" t="n">
        <f aca="false">IF(ISBLANK(Actuals!AW101),-5442.19*Escalation!$B$45,Actuals!AW101)</f>
        <v>-5775.29556552</v>
      </c>
      <c r="AW188" s="22" t="n">
        <f aca="false">IF(ISBLANK(Actuals!AX101),-5442.19*Escalation!$B$46,Actuals!AX101)</f>
        <v>-5775.29556552</v>
      </c>
      <c r="AX188" s="22" t="n">
        <f aca="false">IF(ISBLANK(Actuals!AY101),-5442.19*Escalation!$B$47,Actuals!AY101)</f>
        <v>-5775.29556552</v>
      </c>
      <c r="AY188" s="22" t="n">
        <f aca="false">IF(ISBLANK(Actuals!AZ101),-5442.19*Escalation!$B$48,Actuals!AZ101)</f>
        <v>-5775.29556552</v>
      </c>
      <c r="AZ188" s="22" t="n">
        <f aca="false">IF(ISBLANK(Actuals!BA101),-5442.19*Escalation!$B$49,Actuals!BA101)</f>
        <v>-5775.29556552</v>
      </c>
      <c r="BA188" s="22" t="n">
        <f aca="false">IF(ISBLANK(Actuals!BB101),-5442.19*Escalation!$B$50,Actuals!BB101)</f>
        <v>-5890.8014768304</v>
      </c>
      <c r="BB188" s="22" t="n">
        <f aca="false">IF(ISBLANK(Actuals!BC101),-5442.19*Escalation!$B$51,Actuals!BC101)</f>
        <v>-5890.8014768304</v>
      </c>
      <c r="BC188" s="22" t="n">
        <f aca="false">IF(ISBLANK(Actuals!BD101),-5442.19*Escalation!$B$52,Actuals!BD101)</f>
        <v>-5890.8014768304</v>
      </c>
      <c r="BD188" s="22" t="n">
        <f aca="false">IF(ISBLANK(Actuals!BE101),-5442.19*Escalation!$B$53,Actuals!BE101)</f>
        <v>-5890.8014768304</v>
      </c>
      <c r="BE188" s="22" t="n">
        <f aca="false">IF(ISBLANK(Actuals!BF101),-5442.19*Escalation!$B$54,Actuals!BF101)</f>
        <v>-5890.8014768304</v>
      </c>
      <c r="BF188" s="22" t="n">
        <f aca="false">IF(ISBLANK(Actuals!BG101),-5442.19*Escalation!$B$55,Actuals!BG101)</f>
        <v>-5890.8014768304</v>
      </c>
      <c r="BG188" s="22" t="n">
        <f aca="false">IF(ISBLANK(Actuals!BH101),-5442.19*Escalation!$B$56,Actuals!BH101)</f>
        <v>-5890.8014768304</v>
      </c>
      <c r="BH188" s="22" t="n">
        <f aca="false">IF(ISBLANK(Actuals!BI101),-5442.19*Escalation!$B$57,Actuals!BI101)</f>
        <v>-5890.8014768304</v>
      </c>
      <c r="BI188" s="22" t="n">
        <f aca="false">IF(ISBLANK(Actuals!BJ101),-5442.19*Escalation!$B$58,Actuals!BJ101)</f>
        <v>-5890.8014768304</v>
      </c>
      <c r="BJ188" s="22" t="n">
        <f aca="false">IF(ISBLANK(Actuals!BK101),-5442.19*Escalation!$B$59,Actuals!BK101)</f>
        <v>-5890.8014768304</v>
      </c>
      <c r="BK188" s="22" t="n">
        <f aca="false">IF(ISBLANK(Actuals!BL101),-5442.19*Escalation!$B$60,Actuals!BL101)</f>
        <v>-5890.8014768304</v>
      </c>
      <c r="BL188" s="22" t="n">
        <f aca="false">IF(ISBLANK(Actuals!BM101),-5442.19*Escalation!$B$61,Actuals!BM101)</f>
        <v>-5890.8014768304</v>
      </c>
      <c r="BM188" s="22" t="n">
        <f aca="false">IF(ISBLANK(Actuals!BN101),-5442.19*Escalation!$B$62,Actuals!BN101)</f>
        <v>-6008.61750636701</v>
      </c>
      <c r="BN188" s="22" t="n">
        <f aca="false">IF(ISBLANK(Actuals!BO101),-5442.19*Escalation!$B$63,Actuals!BO101)</f>
        <v>-6008.61750636701</v>
      </c>
      <c r="BO188" s="22" t="n">
        <f aca="false">IF(ISBLANK(Actuals!BP101),-5442.19*Escalation!$B$64,Actuals!BP101)</f>
        <v>-6008.61750636701</v>
      </c>
      <c r="BP188" s="22" t="n">
        <f aca="false">IF(ISBLANK(Actuals!BQ101),-5442.19*Escalation!$B$65,Actuals!BQ101)</f>
        <v>-6008.61750636701</v>
      </c>
      <c r="BQ188" s="22" t="n">
        <f aca="false">IF(ISBLANK(Actuals!BR101),-5442.19*Escalation!$B$66,Actuals!BR101)</f>
        <v>-6008.61750636701</v>
      </c>
      <c r="BR188" s="22" t="n">
        <f aca="false">IF(ISBLANK(Actuals!BS101),-5442.19*Escalation!$B$67,Actuals!BS101)</f>
        <v>-6008.61750636701</v>
      </c>
      <c r="BS188" s="22" t="n">
        <f aca="false">IF(ISBLANK(Actuals!BT101),-5442.19*Escalation!$B$68,Actuals!BT101)</f>
        <v>-6008.61750636701</v>
      </c>
      <c r="BT188" s="22" t="n">
        <f aca="false">IF(ISBLANK(Actuals!BU101),-5442.19*Escalation!$B$69,Actuals!BU101)</f>
        <v>-6008.61750636701</v>
      </c>
      <c r="BU188" s="22" t="n">
        <f aca="false">IF(ISBLANK(Actuals!BV101),-5442.19*Escalation!$B$70,Actuals!BV101)</f>
        <v>-6008.61750636701</v>
      </c>
      <c r="BV188" s="22" t="n">
        <f aca="false">IF(ISBLANK(Actuals!BW101),-5442.19*Escalation!$B$71,Actuals!BW101)</f>
        <v>-6008.61750636701</v>
      </c>
      <c r="BW188" s="22" t="n">
        <f aca="false">IF(ISBLANK(Actuals!BX101),-5442.19*Escalation!$B$72,Actuals!BX101)</f>
        <v>-6008.61750636701</v>
      </c>
      <c r="BX188" s="22" t="n">
        <f aca="false">IF(ISBLANK(Actuals!BY101),-5442.19*Escalation!$B$73,Actuals!BY101)</f>
        <v>-6008.61750636701</v>
      </c>
      <c r="BY188" s="22" t="n">
        <f aca="false">IF(ISBLANK(Actuals!BZ101),-5442.19*Escalation!$B$74,Actuals!BZ101)</f>
        <v>-6128.78985649435</v>
      </c>
      <c r="BZ188" s="22" t="n">
        <f aca="false">IF(ISBLANK(Actuals!CA101),-5442.19*Escalation!$B$75,Actuals!CA101)</f>
        <v>-6128.78985649435</v>
      </c>
      <c r="CA188" s="22" t="n">
        <f aca="false">IF(ISBLANK(Actuals!CB101),-5442.19*Escalation!$B$76,Actuals!CB101)</f>
        <v>-6128.78985649435</v>
      </c>
      <c r="CB188" s="22" t="n">
        <f aca="false">IF(ISBLANK(Actuals!CC101),-5442.19*Escalation!$B$77,Actuals!CC101)</f>
        <v>-6128.78985649435</v>
      </c>
      <c r="CC188" s="22" t="n">
        <f aca="false">IF(ISBLANK(Actuals!CD101),-5442.19*Escalation!$B$78,Actuals!CD101)</f>
        <v>-6128.78985649435</v>
      </c>
      <c r="CD188" s="22" t="n">
        <f aca="false">IF(ISBLANK(Actuals!CE101),-5442.19*Escalation!$B$79,Actuals!CE101)</f>
        <v>-6128.78985649435</v>
      </c>
      <c r="CE188" s="22" t="n">
        <f aca="false">IF(ISBLANK(Actuals!CF101),-5442.19*Escalation!$B$80,Actuals!CF101)</f>
        <v>-6128.78985649435</v>
      </c>
      <c r="CF188" s="22" t="n">
        <f aca="false">IF(ISBLANK(Actuals!CG101),-5442.19*Escalation!$B$81,Actuals!CG101)</f>
        <v>-6128.78985649435</v>
      </c>
      <c r="CG188" s="22" t="n">
        <f aca="false">IF(ISBLANK(Actuals!CH101),-5442.19*Escalation!$B$82,Actuals!CH101)</f>
        <v>-6128.78985649435</v>
      </c>
      <c r="CH188" s="22" t="n">
        <f aca="false">IF(ISBLANK(Actuals!CI101),-5442.19*Escalation!$B$83,Actuals!CI101)</f>
        <v>-6128.78985649435</v>
      </c>
      <c r="CI188" s="22" t="n">
        <f aca="false">IF(ISBLANK(Actuals!CJ101),-5442.19*Escalation!$B$84,Actuals!CJ101)</f>
        <v>-6128.78985649435</v>
      </c>
      <c r="CJ188" s="22" t="n">
        <f aca="false">IF(ISBLANK(Actuals!CK101),-5442.19*Escalation!$B$85,Actuals!CK101)</f>
        <v>-6128.78985649435</v>
      </c>
      <c r="CK188" s="22" t="n">
        <f aca="false">IF(ISBLANK(Actuals!CL101),-5442.19*Escalation!$B$86,Actuals!CL101)</f>
        <v>-6251.36565362424</v>
      </c>
      <c r="CL188" s="22" t="n">
        <f aca="false">IF(ISBLANK(Actuals!CM101),-5442.19*Escalation!$B$87,Actuals!CM101)</f>
        <v>-6251.36565362424</v>
      </c>
      <c r="CM188" s="22" t="n">
        <f aca="false">IF(ISBLANK(Actuals!CN101),-5442.19*Escalation!$B$88,Actuals!CN101)</f>
        <v>-6251.36565362424</v>
      </c>
      <c r="CN188" s="22" t="n">
        <f aca="false">IF(ISBLANK(Actuals!CO101),-5442.19*Escalation!$B$89,Actuals!CO101)</f>
        <v>-6251.36565362424</v>
      </c>
      <c r="CO188" s="22" t="n">
        <f aca="false">IF(ISBLANK(Actuals!CP101),-5442.19*Escalation!$B$90,Actuals!CP101)</f>
        <v>-6251.36565362424</v>
      </c>
      <c r="CP188" s="22" t="n">
        <f aca="false">IF(ISBLANK(Actuals!CQ101),-5442.19*Escalation!$B$91,Actuals!CQ101)</f>
        <v>-6251.36565362424</v>
      </c>
      <c r="CQ188" s="22" t="n">
        <f aca="false">IF(ISBLANK(Actuals!CR101),-5442.19*Escalation!$B$92,Actuals!CR101)</f>
        <v>-6251.36565362424</v>
      </c>
      <c r="CR188" s="22" t="n">
        <f aca="false">IF(ISBLANK(Actuals!CS101),-5442.19*Escalation!$B$93,Actuals!CS101)</f>
        <v>-6251.36565362424</v>
      </c>
      <c r="CS188" s="22" t="n">
        <f aca="false">IF(ISBLANK(Actuals!CT101),-5442.19*Escalation!$B$94,Actuals!CT101)</f>
        <v>-6251.36565362424</v>
      </c>
      <c r="CT188" s="22" t="n">
        <f aca="false">IF(ISBLANK(Actuals!CU101),-5442.19*Escalation!$B$95,Actuals!CU101)</f>
        <v>-6251.36565362424</v>
      </c>
      <c r="CU188" s="22" t="n">
        <f aca="false">IF(ISBLANK(Actuals!CV101),-5442.19*Escalation!$B$96,Actuals!CV101)</f>
        <v>-6251.36565362424</v>
      </c>
      <c r="CV188" s="22" t="n">
        <f aca="false">IF(ISBLANK(Actuals!CW101),-5442.19*Escalation!$B$97,Actuals!CW101)</f>
        <v>-6251.36565362424</v>
      </c>
      <c r="CW188" s="22" t="n">
        <f aca="false">IF(ISBLANK(Actuals!CX101),-5442.19*Escalation!$B$98,Actuals!CX101)</f>
        <v>-6376.39296669672</v>
      </c>
      <c r="CX188" s="22" t="n">
        <f aca="false">IF(ISBLANK(Actuals!CY101),-5442.19*Escalation!$B$99,Actuals!CY101)</f>
        <v>-6376.39296669672</v>
      </c>
      <c r="CY188" s="22" t="n">
        <f aca="false">IF(ISBLANK(Actuals!CZ101),-5442.19*Escalation!$B$100,Actuals!CZ101)</f>
        <v>-6376.39296669672</v>
      </c>
      <c r="CZ188" s="22" t="n">
        <f aca="false">IF(ISBLANK(Actuals!DA101),-5442.19*Escalation!$B$101,Actuals!DA101)</f>
        <v>-6376.39296669672</v>
      </c>
      <c r="DA188" s="22" t="n">
        <f aca="false">IF(ISBLANK(Actuals!DB101),-5442.19*Escalation!$B$102,Actuals!DB101)</f>
        <v>-6376.39296669672</v>
      </c>
      <c r="DB188" s="22" t="n">
        <f aca="false">IF(ISBLANK(Actuals!DC101),-5442.19*Escalation!$B$103,Actuals!DC101)</f>
        <v>-6376.39296669672</v>
      </c>
      <c r="DC188" s="22" t="n">
        <f aca="false">IF(ISBLANK(Actuals!DD101),-5442.19*Escalation!$B$104,Actuals!DD101)</f>
        <v>-6376.39296669672</v>
      </c>
      <c r="DD188" s="22" t="n">
        <f aca="false">IF(ISBLANK(Actuals!DE101),-5442.19*Escalation!$B$105,Actuals!DE101)</f>
        <v>-6376.39296669672</v>
      </c>
      <c r="DE188" s="22" t="n">
        <f aca="false">IF(ISBLANK(Actuals!DF101),-5442.19*Escalation!$B$106,Actuals!DF101)</f>
        <v>-6376.39296669672</v>
      </c>
    </row>
    <row r="189" customFormat="false" ht="15" hidden="false" customHeight="true" outlineLevel="0" collapsed="false">
      <c r="A189" s="44" t="s">
        <v>125</v>
      </c>
      <c r="B189" s="22" t="n">
        <f aca="false">IF(ISBLANK(Actuals!C102),0,Actuals!C102)</f>
        <v>-1905.31</v>
      </c>
      <c r="C189" s="22" t="n">
        <f aca="false">IF(ISBLANK(Actuals!D102),0,Actuals!D102)</f>
        <v>-1905.31</v>
      </c>
      <c r="D189" s="22" t="n">
        <f aca="false">IF(ISBLANK(Actuals!E102),0,Actuals!E102)</f>
        <v>-1905.31</v>
      </c>
      <c r="E189" s="22" t="n">
        <f aca="false">IF(ISBLANK(Actuals!F102),-1905.31*Escalation!$B$2,Actuals!F102)</f>
        <v>-1905.31</v>
      </c>
      <c r="F189" s="22" t="n">
        <f aca="false">IF(ISBLANK(Actuals!G102),-1905.31*Escalation!$B$3,Actuals!G102)</f>
        <v>-1905.31</v>
      </c>
      <c r="G189" s="22" t="n">
        <f aca="false">IF(ISBLANK(Actuals!H102),-1905.31*Escalation!$B$4,Actuals!H102)</f>
        <v>-1905.31</v>
      </c>
      <c r="H189" s="22" t="n">
        <f aca="false">IF(ISBLANK(Actuals!I102),-1905.31*Escalation!$B$5,Actuals!I102)</f>
        <v>-1905.31</v>
      </c>
      <c r="I189" s="22" t="n">
        <f aca="false">IF(ISBLANK(Actuals!J102),-1905.31*Escalation!$B$6,Actuals!J102)</f>
        <v>-1905.31</v>
      </c>
      <c r="J189" s="22" t="n">
        <f aca="false">IF(ISBLANK(Actuals!K102),-1905.31*Escalation!$B$7,Actuals!K102)</f>
        <v>-1905.31</v>
      </c>
      <c r="K189" s="22" t="n">
        <f aca="false">IF(ISBLANK(Actuals!L102),-1905.31*Escalation!$B$8,Actuals!L102)</f>
        <v>-1905.31</v>
      </c>
      <c r="L189" s="22" t="n">
        <f aca="false">IF(ISBLANK(Actuals!M102),-1905.31*Escalation!$B$9,Actuals!M102)</f>
        <v>-1905.31</v>
      </c>
      <c r="M189" s="22" t="n">
        <f aca="false">IF(ISBLANK(Actuals!N102),-1905.31*Escalation!$B$10,Actuals!N102)</f>
        <v>-1905.31</v>
      </c>
      <c r="N189" s="22" t="n">
        <f aca="false">IF(ISBLANK(Actuals!O102),-1905.31*Escalation!$B$11,Actuals!O102)</f>
        <v>-1905.31</v>
      </c>
      <c r="O189" s="22" t="n">
        <f aca="false">IF(ISBLANK(Actuals!P102),-1905.31*Escalation!$B$12,Actuals!P102)</f>
        <v>-1905.31</v>
      </c>
      <c r="P189" s="22" t="n">
        <f aca="false">IF(ISBLANK(Actuals!Q102),-1905.31*Escalation!$B$13,Actuals!Q102)</f>
        <v>-1905.31</v>
      </c>
      <c r="Q189" s="22" t="n">
        <f aca="false">IF(ISBLANK(Actuals!R102),-1905.31*Escalation!$B$14,Actuals!R102)</f>
        <v>-1943.4162</v>
      </c>
      <c r="R189" s="22" t="n">
        <f aca="false">IF(ISBLANK(Actuals!S102),-1905.31*Escalation!$B$15,Actuals!S102)</f>
        <v>-1943.4162</v>
      </c>
      <c r="S189" s="22" t="n">
        <f aca="false">IF(ISBLANK(Actuals!T102),-1905.31*Escalation!$B$16,Actuals!T102)</f>
        <v>-1943.4162</v>
      </c>
      <c r="T189" s="22" t="n">
        <f aca="false">IF(ISBLANK(Actuals!U102),-1905.31*Escalation!$B$17,Actuals!U102)</f>
        <v>-1943.4162</v>
      </c>
      <c r="U189" s="22" t="n">
        <f aca="false">IF(ISBLANK(Actuals!V102),-1905.31*Escalation!$B$18,Actuals!V102)</f>
        <v>-1943.4162</v>
      </c>
      <c r="V189" s="22" t="n">
        <f aca="false">IF(ISBLANK(Actuals!W102),-1905.31*Escalation!$B$19,Actuals!W102)</f>
        <v>-1943.4162</v>
      </c>
      <c r="W189" s="22" t="n">
        <f aca="false">IF(ISBLANK(Actuals!X102),-1905.31*Escalation!$B$20,Actuals!X102)</f>
        <v>-1943.4162</v>
      </c>
      <c r="X189" s="22" t="n">
        <f aca="false">IF(ISBLANK(Actuals!Y102),-1905.31*Escalation!$B$21,Actuals!Y102)</f>
        <v>-1943.4162</v>
      </c>
      <c r="Y189" s="22" t="n">
        <f aca="false">IF(ISBLANK(Actuals!Z102),-1905.31*Escalation!$B$22,Actuals!Z102)</f>
        <v>-1943.4162</v>
      </c>
      <c r="Z189" s="22" t="n">
        <f aca="false">IF(ISBLANK(Actuals!AA102),-1905.31*Escalation!$B$23,Actuals!AA102)</f>
        <v>-1943.4162</v>
      </c>
      <c r="AA189" s="22" t="n">
        <f aca="false">IF(ISBLANK(Actuals!AB102),-1905.31*Escalation!$B$24,Actuals!AB102)</f>
        <v>-1943.4162</v>
      </c>
      <c r="AB189" s="22" t="n">
        <f aca="false">IF(ISBLANK(Actuals!AC102),-1905.31*Escalation!$B$25,Actuals!AC102)</f>
        <v>-1943.4162</v>
      </c>
      <c r="AC189" s="22" t="n">
        <f aca="false">IF(ISBLANK(Actuals!AD102),-1905.31*Escalation!$B$26,Actuals!AD102)</f>
        <v>-1982.284524</v>
      </c>
      <c r="AD189" s="22" t="n">
        <f aca="false">IF(ISBLANK(Actuals!AE102),-1905.31*Escalation!$B$27,Actuals!AE102)</f>
        <v>-1982.284524</v>
      </c>
      <c r="AE189" s="22" t="n">
        <f aca="false">IF(ISBLANK(Actuals!AF102),-1905.31*Escalation!$B$28,Actuals!AF102)</f>
        <v>-1982.284524</v>
      </c>
      <c r="AF189" s="22" t="n">
        <f aca="false">IF(ISBLANK(Actuals!AG102),-1905.31*Escalation!$B$29,Actuals!AG102)</f>
        <v>-1982.284524</v>
      </c>
      <c r="AG189" s="22" t="n">
        <f aca="false">IF(ISBLANK(Actuals!AH102),-1905.31*Escalation!$B$30,Actuals!AH102)</f>
        <v>-1982.284524</v>
      </c>
      <c r="AH189" s="22" t="n">
        <f aca="false">IF(ISBLANK(Actuals!AI102),-1905.31*Escalation!$B$31,Actuals!AI102)</f>
        <v>-1982.284524</v>
      </c>
      <c r="AI189" s="22" t="n">
        <f aca="false">IF(ISBLANK(Actuals!AJ102),-1905.31*Escalation!$B$32,Actuals!AJ102)</f>
        <v>-1982.284524</v>
      </c>
      <c r="AJ189" s="22" t="n">
        <f aca="false">IF(ISBLANK(Actuals!AK102),-1905.31*Escalation!$B$33,Actuals!AK102)</f>
        <v>-1982.284524</v>
      </c>
      <c r="AK189" s="22" t="n">
        <f aca="false">IF(ISBLANK(Actuals!AL102),-1905.31*Escalation!$B$34,Actuals!AL102)</f>
        <v>-1982.284524</v>
      </c>
      <c r="AL189" s="22" t="n">
        <f aca="false">IF(ISBLANK(Actuals!AM102),-1905.31*Escalation!$B$35,Actuals!AM102)</f>
        <v>-1982.284524</v>
      </c>
      <c r="AM189" s="22" t="n">
        <f aca="false">IF(ISBLANK(Actuals!AN102),-1905.31*Escalation!$B$36,Actuals!AN102)</f>
        <v>-1982.284524</v>
      </c>
      <c r="AN189" s="22" t="n">
        <f aca="false">IF(ISBLANK(Actuals!AO102),-1905.31*Escalation!$B$37,Actuals!AO102)</f>
        <v>-1982.284524</v>
      </c>
      <c r="AO189" s="22" t="n">
        <f aca="false">IF(ISBLANK(Actuals!AP102),-1905.31*Escalation!$B$38,Actuals!AP102)</f>
        <v>-2021.93021448</v>
      </c>
      <c r="AP189" s="22" t="n">
        <f aca="false">IF(ISBLANK(Actuals!AQ102),-1905.31*Escalation!$B$39,Actuals!AQ102)</f>
        <v>-2021.93021448</v>
      </c>
      <c r="AQ189" s="22" t="n">
        <f aca="false">IF(ISBLANK(Actuals!AR102),-1905.31*Escalation!$B$40,Actuals!AR102)</f>
        <v>-2021.93021448</v>
      </c>
      <c r="AR189" s="22" t="n">
        <f aca="false">IF(ISBLANK(Actuals!AS102),-1905.31*Escalation!$B$41,Actuals!AS102)</f>
        <v>-2021.93021448</v>
      </c>
      <c r="AS189" s="22" t="n">
        <f aca="false">IF(ISBLANK(Actuals!AT102),-1905.31*Escalation!$B$42,Actuals!AT102)</f>
        <v>-2021.93021448</v>
      </c>
      <c r="AT189" s="22" t="n">
        <f aca="false">IF(ISBLANK(Actuals!AU102),-1905.31*Escalation!$B$43,Actuals!AU102)</f>
        <v>-2021.93021448</v>
      </c>
      <c r="AU189" s="22" t="n">
        <f aca="false">IF(ISBLANK(Actuals!AV102),-1905.31*Escalation!$B$44,Actuals!AV102)</f>
        <v>-2021.93021448</v>
      </c>
      <c r="AV189" s="22" t="n">
        <f aca="false">IF(ISBLANK(Actuals!AW102),-1905.31*Escalation!$B$45,Actuals!AW102)</f>
        <v>-2021.93021448</v>
      </c>
      <c r="AW189" s="22" t="n">
        <f aca="false">IF(ISBLANK(Actuals!AX102),-1905.31*Escalation!$B$46,Actuals!AX102)</f>
        <v>-2021.93021448</v>
      </c>
      <c r="AX189" s="22" t="n">
        <f aca="false">IF(ISBLANK(Actuals!AY102),-1905.31*Escalation!$B$47,Actuals!AY102)</f>
        <v>-2021.93021448</v>
      </c>
      <c r="AY189" s="22" t="n">
        <f aca="false">IF(ISBLANK(Actuals!AZ102),-1905.31*Escalation!$B$48,Actuals!AZ102)</f>
        <v>-2021.93021448</v>
      </c>
      <c r="AZ189" s="22" t="n">
        <f aca="false">IF(ISBLANK(Actuals!BA102),-1905.31*Escalation!$B$49,Actuals!BA102)</f>
        <v>-2021.93021448</v>
      </c>
      <c r="BA189" s="22" t="n">
        <f aca="false">IF(ISBLANK(Actuals!BB102),-1905.31*Escalation!$B$50,Actuals!BB102)</f>
        <v>-2062.3688187696</v>
      </c>
      <c r="BB189" s="22" t="n">
        <f aca="false">IF(ISBLANK(Actuals!BC102),-1905.31*Escalation!$B$51,Actuals!BC102)</f>
        <v>-2062.3688187696</v>
      </c>
      <c r="BC189" s="22" t="n">
        <f aca="false">IF(ISBLANK(Actuals!BD102),-1905.31*Escalation!$B$52,Actuals!BD102)</f>
        <v>-2062.3688187696</v>
      </c>
      <c r="BD189" s="22" t="n">
        <f aca="false">IF(ISBLANK(Actuals!BE102),-1905.31*Escalation!$B$53,Actuals!BE102)</f>
        <v>-2062.3688187696</v>
      </c>
      <c r="BE189" s="22" t="n">
        <f aca="false">IF(ISBLANK(Actuals!BF102),-1905.31*Escalation!$B$54,Actuals!BF102)</f>
        <v>-2062.3688187696</v>
      </c>
      <c r="BF189" s="22" t="n">
        <f aca="false">IF(ISBLANK(Actuals!BG102),-1905.31*Escalation!$B$55,Actuals!BG102)</f>
        <v>-2062.3688187696</v>
      </c>
      <c r="BG189" s="22" t="n">
        <f aca="false">IF(ISBLANK(Actuals!BH102),-1905.31*Escalation!$B$56,Actuals!BH102)</f>
        <v>-2062.3688187696</v>
      </c>
      <c r="BH189" s="22" t="n">
        <f aca="false">IF(ISBLANK(Actuals!BI102),-1905.31*Escalation!$B$57,Actuals!BI102)</f>
        <v>-2062.3688187696</v>
      </c>
      <c r="BI189" s="22" t="n">
        <f aca="false">IF(ISBLANK(Actuals!BJ102),-1905.31*Escalation!$B$58,Actuals!BJ102)</f>
        <v>-2062.3688187696</v>
      </c>
      <c r="BJ189" s="22" t="n">
        <f aca="false">IF(ISBLANK(Actuals!BK102),-1905.31*Escalation!$B$59,Actuals!BK102)</f>
        <v>-2062.3688187696</v>
      </c>
      <c r="BK189" s="22" t="n">
        <f aca="false">IF(ISBLANK(Actuals!BL102),-1905.31*Escalation!$B$60,Actuals!BL102)</f>
        <v>-2062.3688187696</v>
      </c>
      <c r="BL189" s="22" t="n">
        <f aca="false">IF(ISBLANK(Actuals!BM102),-1905.31*Escalation!$B$61,Actuals!BM102)</f>
        <v>-2062.3688187696</v>
      </c>
      <c r="BM189" s="22" t="n">
        <f aca="false">IF(ISBLANK(Actuals!BN102),-1905.31*Escalation!$B$62,Actuals!BN102)</f>
        <v>-2103.61619514499</v>
      </c>
      <c r="BN189" s="22" t="n">
        <f aca="false">IF(ISBLANK(Actuals!BO102),-1905.31*Escalation!$B$63,Actuals!BO102)</f>
        <v>-2103.61619514499</v>
      </c>
      <c r="BO189" s="22" t="n">
        <f aca="false">IF(ISBLANK(Actuals!BP102),-1905.31*Escalation!$B$64,Actuals!BP102)</f>
        <v>-2103.61619514499</v>
      </c>
      <c r="BP189" s="22" t="n">
        <f aca="false">IF(ISBLANK(Actuals!BQ102),-1905.31*Escalation!$B$65,Actuals!BQ102)</f>
        <v>-2103.61619514499</v>
      </c>
      <c r="BQ189" s="22" t="n">
        <f aca="false">IF(ISBLANK(Actuals!BR102),-1905.31*Escalation!$B$66,Actuals!BR102)</f>
        <v>-2103.61619514499</v>
      </c>
      <c r="BR189" s="22" t="n">
        <f aca="false">IF(ISBLANK(Actuals!BS102),-1905.31*Escalation!$B$67,Actuals!BS102)</f>
        <v>-2103.61619514499</v>
      </c>
      <c r="BS189" s="22" t="n">
        <f aca="false">IF(ISBLANK(Actuals!BT102),-1905.31*Escalation!$B$68,Actuals!BT102)</f>
        <v>-2103.61619514499</v>
      </c>
      <c r="BT189" s="22" t="n">
        <f aca="false">IF(ISBLANK(Actuals!BU102),-1905.31*Escalation!$B$69,Actuals!BU102)</f>
        <v>-2103.61619514499</v>
      </c>
      <c r="BU189" s="22" t="n">
        <f aca="false">IF(ISBLANK(Actuals!BV102),-1905.31*Escalation!$B$70,Actuals!BV102)</f>
        <v>-2103.61619514499</v>
      </c>
      <c r="BV189" s="22" t="n">
        <f aca="false">IF(ISBLANK(Actuals!BW102),-1905.31*Escalation!$B$71,Actuals!BW102)</f>
        <v>-2103.61619514499</v>
      </c>
      <c r="BW189" s="22" t="n">
        <f aca="false">IF(ISBLANK(Actuals!BX102),-1905.31*Escalation!$B$72,Actuals!BX102)</f>
        <v>-2103.61619514499</v>
      </c>
      <c r="BX189" s="22" t="n">
        <f aca="false">IF(ISBLANK(Actuals!BY102),-1905.31*Escalation!$B$73,Actuals!BY102)</f>
        <v>-2103.61619514499</v>
      </c>
      <c r="BY189" s="22" t="n">
        <f aca="false">IF(ISBLANK(Actuals!BZ102),-1905.31*Escalation!$B$74,Actuals!BZ102)</f>
        <v>-2145.68851904789</v>
      </c>
      <c r="BZ189" s="22" t="n">
        <f aca="false">IF(ISBLANK(Actuals!CA102),-1905.31*Escalation!$B$75,Actuals!CA102)</f>
        <v>-2145.68851904789</v>
      </c>
      <c r="CA189" s="22" t="n">
        <f aca="false">IF(ISBLANK(Actuals!CB102),-1905.31*Escalation!$B$76,Actuals!CB102)</f>
        <v>-2145.68851904789</v>
      </c>
      <c r="CB189" s="22" t="n">
        <f aca="false">IF(ISBLANK(Actuals!CC102),-1905.31*Escalation!$B$77,Actuals!CC102)</f>
        <v>-2145.68851904789</v>
      </c>
      <c r="CC189" s="22" t="n">
        <f aca="false">IF(ISBLANK(Actuals!CD102),-1905.31*Escalation!$B$78,Actuals!CD102)</f>
        <v>-2145.68851904789</v>
      </c>
      <c r="CD189" s="22" t="n">
        <f aca="false">IF(ISBLANK(Actuals!CE102),-1905.31*Escalation!$B$79,Actuals!CE102)</f>
        <v>-2145.68851904789</v>
      </c>
      <c r="CE189" s="22" t="n">
        <f aca="false">IF(ISBLANK(Actuals!CF102),-1905.31*Escalation!$B$80,Actuals!CF102)</f>
        <v>-2145.68851904789</v>
      </c>
      <c r="CF189" s="22" t="n">
        <f aca="false">IF(ISBLANK(Actuals!CG102),-1905.31*Escalation!$B$81,Actuals!CG102)</f>
        <v>-2145.68851904789</v>
      </c>
      <c r="CG189" s="22" t="n">
        <f aca="false">IF(ISBLANK(Actuals!CH102),-1905.31*Escalation!$B$82,Actuals!CH102)</f>
        <v>-2145.68851904789</v>
      </c>
      <c r="CH189" s="22" t="n">
        <f aca="false">IF(ISBLANK(Actuals!CI102),-1905.31*Escalation!$B$83,Actuals!CI102)</f>
        <v>-2145.68851904789</v>
      </c>
      <c r="CI189" s="22" t="n">
        <f aca="false">IF(ISBLANK(Actuals!CJ102),-1905.31*Escalation!$B$84,Actuals!CJ102)</f>
        <v>-2145.68851904789</v>
      </c>
      <c r="CJ189" s="22" t="n">
        <f aca="false">IF(ISBLANK(Actuals!CK102),-1905.31*Escalation!$B$85,Actuals!CK102)</f>
        <v>-2145.68851904789</v>
      </c>
      <c r="CK189" s="22" t="n">
        <f aca="false">IF(ISBLANK(Actuals!CL102),-1905.31*Escalation!$B$86,Actuals!CL102)</f>
        <v>-2188.60228942885</v>
      </c>
      <c r="CL189" s="22" t="n">
        <f aca="false">IF(ISBLANK(Actuals!CM102),-1905.31*Escalation!$B$87,Actuals!CM102)</f>
        <v>-2188.60228942885</v>
      </c>
      <c r="CM189" s="22" t="n">
        <f aca="false">IF(ISBLANK(Actuals!CN102),-1905.31*Escalation!$B$88,Actuals!CN102)</f>
        <v>-2188.60228942885</v>
      </c>
      <c r="CN189" s="22" t="n">
        <f aca="false">IF(ISBLANK(Actuals!CO102),-1905.31*Escalation!$B$89,Actuals!CO102)</f>
        <v>-2188.60228942885</v>
      </c>
      <c r="CO189" s="22" t="n">
        <f aca="false">IF(ISBLANK(Actuals!CP102),-1905.31*Escalation!$B$90,Actuals!CP102)</f>
        <v>-2188.60228942885</v>
      </c>
      <c r="CP189" s="22" t="n">
        <f aca="false">IF(ISBLANK(Actuals!CQ102),-1905.31*Escalation!$B$91,Actuals!CQ102)</f>
        <v>-2188.60228942885</v>
      </c>
      <c r="CQ189" s="22" t="n">
        <f aca="false">IF(ISBLANK(Actuals!CR102),-1905.31*Escalation!$B$92,Actuals!CR102)</f>
        <v>-2188.60228942885</v>
      </c>
      <c r="CR189" s="22" t="n">
        <f aca="false">IF(ISBLANK(Actuals!CS102),-1905.31*Escalation!$B$93,Actuals!CS102)</f>
        <v>-2188.60228942885</v>
      </c>
      <c r="CS189" s="22" t="n">
        <f aca="false">IF(ISBLANK(Actuals!CT102),-1905.31*Escalation!$B$94,Actuals!CT102)</f>
        <v>-2188.60228942885</v>
      </c>
      <c r="CT189" s="22" t="n">
        <f aca="false">IF(ISBLANK(Actuals!CU102),-1905.31*Escalation!$B$95,Actuals!CU102)</f>
        <v>-2188.60228942885</v>
      </c>
      <c r="CU189" s="22" t="n">
        <f aca="false">IF(ISBLANK(Actuals!CV102),-1905.31*Escalation!$B$96,Actuals!CV102)</f>
        <v>-2188.60228942885</v>
      </c>
      <c r="CV189" s="22" t="n">
        <f aca="false">IF(ISBLANK(Actuals!CW102),-1905.31*Escalation!$B$97,Actuals!CW102)</f>
        <v>-2188.60228942885</v>
      </c>
      <c r="CW189" s="22" t="n">
        <f aca="false">IF(ISBLANK(Actuals!CX102),-1905.31*Escalation!$B$98,Actuals!CX102)</f>
        <v>-2232.37433521743</v>
      </c>
      <c r="CX189" s="22" t="n">
        <f aca="false">IF(ISBLANK(Actuals!CY102),-1905.31*Escalation!$B$99,Actuals!CY102)</f>
        <v>-2232.37433521743</v>
      </c>
      <c r="CY189" s="22" t="n">
        <f aca="false">IF(ISBLANK(Actuals!CZ102),-1905.31*Escalation!$B$100,Actuals!CZ102)</f>
        <v>-2232.37433521743</v>
      </c>
      <c r="CZ189" s="22" t="n">
        <f aca="false">IF(ISBLANK(Actuals!DA102),-1905.31*Escalation!$B$101,Actuals!DA102)</f>
        <v>-2232.37433521743</v>
      </c>
      <c r="DA189" s="22" t="n">
        <f aca="false">IF(ISBLANK(Actuals!DB102),-1905.31*Escalation!$B$102,Actuals!DB102)</f>
        <v>-2232.37433521743</v>
      </c>
      <c r="DB189" s="22" t="n">
        <f aca="false">IF(ISBLANK(Actuals!DC102),-1905.31*Escalation!$B$103,Actuals!DC102)</f>
        <v>-2232.37433521743</v>
      </c>
      <c r="DC189" s="22" t="n">
        <f aca="false">IF(ISBLANK(Actuals!DD102),-1905.31*Escalation!$B$104,Actuals!DD102)</f>
        <v>-2232.37433521743</v>
      </c>
      <c r="DD189" s="22" t="n">
        <f aca="false">IF(ISBLANK(Actuals!DE102),-1905.31*Escalation!$B$105,Actuals!DE102)</f>
        <v>-2232.37433521743</v>
      </c>
      <c r="DE189" s="22" t="n">
        <f aca="false">IF(ISBLANK(Actuals!DF102),-1905.31*Escalation!$B$106,Actuals!DF102)</f>
        <v>-2232.37433521743</v>
      </c>
    </row>
    <row r="190" customFormat="false" ht="15" hidden="false" customHeight="true" outlineLevel="0" collapsed="false">
      <c r="A190" s="44" t="s">
        <v>126</v>
      </c>
      <c r="B190" s="22" t="n">
        <f aca="false">IF(ISBLANK(Actuals!C103),0,Actuals!C103)</f>
        <v>-2100</v>
      </c>
      <c r="C190" s="22" t="n">
        <f aca="false">IF(ISBLANK(Actuals!D103),0,Actuals!D103)</f>
        <v>-2100</v>
      </c>
      <c r="D190" s="22" t="n">
        <f aca="false">IF(ISBLANK(Actuals!E103),0,Actuals!E103)</f>
        <v>-2100</v>
      </c>
      <c r="E190" s="22" t="n">
        <f aca="false">IF(ISBLANK(Actuals!F103),-2100*Escalation!$B$2,Actuals!F103)</f>
        <v>-2100</v>
      </c>
      <c r="F190" s="22" t="n">
        <f aca="false">IF(ISBLANK(Actuals!G103),-2100*Escalation!$B$3,Actuals!G103)</f>
        <v>-2100</v>
      </c>
      <c r="G190" s="22" t="n">
        <f aca="false">IF(ISBLANK(Actuals!H103),-2100*Escalation!$B$4,Actuals!H103)</f>
        <v>-2100</v>
      </c>
      <c r="H190" s="22" t="n">
        <f aca="false">IF(ISBLANK(Actuals!I103),-2100*Escalation!$B$5,Actuals!I103)</f>
        <v>-2100</v>
      </c>
      <c r="I190" s="22" t="n">
        <f aca="false">IF(ISBLANK(Actuals!J103),-2100*Escalation!$B$6,Actuals!J103)</f>
        <v>-2100</v>
      </c>
      <c r="J190" s="22" t="n">
        <f aca="false">IF(ISBLANK(Actuals!K103),-2100*Escalation!$B$7,Actuals!K103)</f>
        <v>-2100</v>
      </c>
      <c r="K190" s="22" t="n">
        <f aca="false">IF(ISBLANK(Actuals!L103),-2100*Escalation!$B$8,Actuals!L103)</f>
        <v>-2100</v>
      </c>
      <c r="L190" s="22" t="n">
        <f aca="false">IF(ISBLANK(Actuals!M103),-2100*Escalation!$B$9,Actuals!M103)</f>
        <v>-2100</v>
      </c>
      <c r="M190" s="22" t="n">
        <f aca="false">IF(ISBLANK(Actuals!N103),-2100*Escalation!$B$10,Actuals!N103)</f>
        <v>-2100</v>
      </c>
      <c r="N190" s="22" t="n">
        <f aca="false">IF(ISBLANK(Actuals!O103),-2100*Escalation!$B$11,Actuals!O103)</f>
        <v>-2100</v>
      </c>
      <c r="O190" s="22" t="n">
        <f aca="false">IF(ISBLANK(Actuals!P103),-2100*Escalation!$B$12,Actuals!P103)</f>
        <v>-2100</v>
      </c>
      <c r="P190" s="22" t="n">
        <f aca="false">IF(ISBLANK(Actuals!Q103),-2100*Escalation!$B$13,Actuals!Q103)</f>
        <v>-2100</v>
      </c>
      <c r="Q190" s="22" t="n">
        <f aca="false">IF(ISBLANK(Actuals!R103),-2100*Escalation!$B$14,Actuals!R103)</f>
        <v>-2142</v>
      </c>
      <c r="R190" s="22" t="n">
        <f aca="false">IF(ISBLANK(Actuals!S103),-2100*Escalation!$B$15,Actuals!S103)</f>
        <v>-2142</v>
      </c>
      <c r="S190" s="22" t="n">
        <f aca="false">IF(ISBLANK(Actuals!T103),-2100*Escalation!$B$16,Actuals!T103)</f>
        <v>-2142</v>
      </c>
      <c r="T190" s="22" t="n">
        <f aca="false">IF(ISBLANK(Actuals!U103),-2100*Escalation!$B$17,Actuals!U103)</f>
        <v>-2142</v>
      </c>
      <c r="U190" s="22" t="n">
        <f aca="false">IF(ISBLANK(Actuals!V103),-2100*Escalation!$B$18,Actuals!V103)</f>
        <v>-2142</v>
      </c>
      <c r="V190" s="22" t="n">
        <f aca="false">IF(ISBLANK(Actuals!W103),-2100*Escalation!$B$19,Actuals!W103)</f>
        <v>-2142</v>
      </c>
      <c r="W190" s="22" t="n">
        <f aca="false">IF(ISBLANK(Actuals!X103),-2100*Escalation!$B$20,Actuals!X103)</f>
        <v>-2142</v>
      </c>
      <c r="X190" s="22" t="n">
        <f aca="false">IF(ISBLANK(Actuals!Y103),-2100*Escalation!$B$21,Actuals!Y103)</f>
        <v>-2142</v>
      </c>
      <c r="Y190" s="22" t="n">
        <f aca="false">IF(ISBLANK(Actuals!Z103),-2100*Escalation!$B$22,Actuals!Z103)</f>
        <v>-2142</v>
      </c>
      <c r="Z190" s="22" t="n">
        <f aca="false">IF(ISBLANK(Actuals!AA103),-2100*Escalation!$B$23,Actuals!AA103)</f>
        <v>-2142</v>
      </c>
      <c r="AA190" s="22" t="n">
        <f aca="false">IF(ISBLANK(Actuals!AB103),-2100*Escalation!$B$24,Actuals!AB103)</f>
        <v>-2142</v>
      </c>
      <c r="AB190" s="22" t="n">
        <f aca="false">IF(ISBLANK(Actuals!AC103),-2100*Escalation!$B$25,Actuals!AC103)</f>
        <v>-2142</v>
      </c>
      <c r="AC190" s="22" t="n">
        <f aca="false">IF(ISBLANK(Actuals!AD103),-2100*Escalation!$B$26,Actuals!AD103)</f>
        <v>-2184.84</v>
      </c>
      <c r="AD190" s="22" t="n">
        <f aca="false">IF(ISBLANK(Actuals!AE103),-2100*Escalation!$B$27,Actuals!AE103)</f>
        <v>-2184.84</v>
      </c>
      <c r="AE190" s="22" t="n">
        <f aca="false">IF(ISBLANK(Actuals!AF103),-2100*Escalation!$B$28,Actuals!AF103)</f>
        <v>-2184.84</v>
      </c>
      <c r="AF190" s="22" t="n">
        <f aca="false">IF(ISBLANK(Actuals!AG103),-2100*Escalation!$B$29,Actuals!AG103)</f>
        <v>-2184.84</v>
      </c>
      <c r="AG190" s="22" t="n">
        <f aca="false">IF(ISBLANK(Actuals!AH103),-2100*Escalation!$B$30,Actuals!AH103)</f>
        <v>-2184.84</v>
      </c>
      <c r="AH190" s="22" t="n">
        <f aca="false">IF(ISBLANK(Actuals!AI103),-2100*Escalation!$B$31,Actuals!AI103)</f>
        <v>-2184.84</v>
      </c>
      <c r="AI190" s="22" t="n">
        <f aca="false">IF(ISBLANK(Actuals!AJ103),-2100*Escalation!$B$32,Actuals!AJ103)</f>
        <v>-2184.84</v>
      </c>
      <c r="AJ190" s="22" t="n">
        <f aca="false">IF(ISBLANK(Actuals!AK103),-2100*Escalation!$B$33,Actuals!AK103)</f>
        <v>-2184.84</v>
      </c>
      <c r="AK190" s="22" t="n">
        <f aca="false">IF(ISBLANK(Actuals!AL103),-2100*Escalation!$B$34,Actuals!AL103)</f>
        <v>-2184.84</v>
      </c>
      <c r="AL190" s="22" t="n">
        <f aca="false">IF(ISBLANK(Actuals!AM103),-2100*Escalation!$B$35,Actuals!AM103)</f>
        <v>-2184.84</v>
      </c>
      <c r="AM190" s="22" t="n">
        <f aca="false">IF(ISBLANK(Actuals!AN103),-2100*Escalation!$B$36,Actuals!AN103)</f>
        <v>-2184.84</v>
      </c>
      <c r="AN190" s="22" t="n">
        <f aca="false">IF(ISBLANK(Actuals!AO103),-2100*Escalation!$B$37,Actuals!AO103)</f>
        <v>-2184.84</v>
      </c>
      <c r="AO190" s="22" t="n">
        <f aca="false">IF(ISBLANK(Actuals!AP103),-2100*Escalation!$B$38,Actuals!AP103)</f>
        <v>-2228.5368</v>
      </c>
      <c r="AP190" s="22" t="n">
        <f aca="false">IF(ISBLANK(Actuals!AQ103),-2100*Escalation!$B$39,Actuals!AQ103)</f>
        <v>-2228.5368</v>
      </c>
      <c r="AQ190" s="22" t="n">
        <f aca="false">IF(ISBLANK(Actuals!AR103),-2100*Escalation!$B$40,Actuals!AR103)</f>
        <v>-2228.5368</v>
      </c>
      <c r="AR190" s="22" t="n">
        <f aca="false">IF(ISBLANK(Actuals!AS103),-2100*Escalation!$B$41,Actuals!AS103)</f>
        <v>-2228.5368</v>
      </c>
      <c r="AS190" s="22" t="n">
        <f aca="false">IF(ISBLANK(Actuals!AT103),-2100*Escalation!$B$42,Actuals!AT103)</f>
        <v>-2228.5368</v>
      </c>
      <c r="AT190" s="22" t="n">
        <f aca="false">IF(ISBLANK(Actuals!AU103),-2100*Escalation!$B$43,Actuals!AU103)</f>
        <v>-2228.5368</v>
      </c>
      <c r="AU190" s="22" t="n">
        <f aca="false">IF(ISBLANK(Actuals!AV103),-2100*Escalation!$B$44,Actuals!AV103)</f>
        <v>-2228.5368</v>
      </c>
      <c r="AV190" s="22" t="n">
        <f aca="false">IF(ISBLANK(Actuals!AW103),-2100*Escalation!$B$45,Actuals!AW103)</f>
        <v>-2228.5368</v>
      </c>
      <c r="AW190" s="22" t="n">
        <f aca="false">IF(ISBLANK(Actuals!AX103),-2100*Escalation!$B$46,Actuals!AX103)</f>
        <v>-2228.5368</v>
      </c>
      <c r="AX190" s="22" t="n">
        <f aca="false">IF(ISBLANK(Actuals!AY103),-2100*Escalation!$B$47,Actuals!AY103)</f>
        <v>-2228.5368</v>
      </c>
      <c r="AY190" s="22" t="n">
        <f aca="false">IF(ISBLANK(Actuals!AZ103),-2100*Escalation!$B$48,Actuals!AZ103)</f>
        <v>-2228.5368</v>
      </c>
      <c r="AZ190" s="22" t="n">
        <f aca="false">IF(ISBLANK(Actuals!BA103),-2100*Escalation!$B$49,Actuals!BA103)</f>
        <v>-2228.5368</v>
      </c>
      <c r="BA190" s="22" t="n">
        <f aca="false">IF(ISBLANK(Actuals!BB103),-2100*Escalation!$B$50,Actuals!BB103)</f>
        <v>-2273.107536</v>
      </c>
      <c r="BB190" s="22" t="n">
        <f aca="false">IF(ISBLANK(Actuals!BC103),-2100*Escalation!$B$51,Actuals!BC103)</f>
        <v>-2273.107536</v>
      </c>
      <c r="BC190" s="22" t="n">
        <f aca="false">IF(ISBLANK(Actuals!BD103),-2100*Escalation!$B$52,Actuals!BD103)</f>
        <v>-2273.107536</v>
      </c>
      <c r="BD190" s="22" t="n">
        <f aca="false">IF(ISBLANK(Actuals!BE103),-2100*Escalation!$B$53,Actuals!BE103)</f>
        <v>-2273.107536</v>
      </c>
      <c r="BE190" s="22" t="n">
        <f aca="false">IF(ISBLANK(Actuals!BF103),-2100*Escalation!$B$54,Actuals!BF103)</f>
        <v>-2273.107536</v>
      </c>
      <c r="BF190" s="22" t="n">
        <f aca="false">IF(ISBLANK(Actuals!BG103),-2100*Escalation!$B$55,Actuals!BG103)</f>
        <v>-2273.107536</v>
      </c>
      <c r="BG190" s="22" t="n">
        <f aca="false">IF(ISBLANK(Actuals!BH103),-2100*Escalation!$B$56,Actuals!BH103)</f>
        <v>-2273.107536</v>
      </c>
      <c r="BH190" s="22" t="n">
        <f aca="false">IF(ISBLANK(Actuals!BI103),-2100*Escalation!$B$57,Actuals!BI103)</f>
        <v>-2273.107536</v>
      </c>
      <c r="BI190" s="22" t="n">
        <f aca="false">IF(ISBLANK(Actuals!BJ103),-2100*Escalation!$B$58,Actuals!BJ103)</f>
        <v>-2273.107536</v>
      </c>
      <c r="BJ190" s="22" t="n">
        <f aca="false">IF(ISBLANK(Actuals!BK103),-2100*Escalation!$B$59,Actuals!BK103)</f>
        <v>-2273.107536</v>
      </c>
      <c r="BK190" s="22" t="n">
        <f aca="false">IF(ISBLANK(Actuals!BL103),-2100*Escalation!$B$60,Actuals!BL103)</f>
        <v>-2273.107536</v>
      </c>
      <c r="BL190" s="22" t="n">
        <f aca="false">IF(ISBLANK(Actuals!BM103),-2100*Escalation!$B$61,Actuals!BM103)</f>
        <v>-2273.107536</v>
      </c>
      <c r="BM190" s="22" t="n">
        <f aca="false">IF(ISBLANK(Actuals!BN103),-2100*Escalation!$B$62,Actuals!BN103)</f>
        <v>-2318.56968672</v>
      </c>
      <c r="BN190" s="22" t="n">
        <f aca="false">IF(ISBLANK(Actuals!BO103),-2100*Escalation!$B$63,Actuals!BO103)</f>
        <v>-2318.56968672</v>
      </c>
      <c r="BO190" s="22" t="n">
        <f aca="false">IF(ISBLANK(Actuals!BP103),-2100*Escalation!$B$64,Actuals!BP103)</f>
        <v>-2318.56968672</v>
      </c>
      <c r="BP190" s="22" t="n">
        <f aca="false">IF(ISBLANK(Actuals!BQ103),-2100*Escalation!$B$65,Actuals!BQ103)</f>
        <v>-2318.56968672</v>
      </c>
      <c r="BQ190" s="22" t="n">
        <f aca="false">IF(ISBLANK(Actuals!BR103),-2100*Escalation!$B$66,Actuals!BR103)</f>
        <v>-2318.56968672</v>
      </c>
      <c r="BR190" s="22" t="n">
        <f aca="false">IF(ISBLANK(Actuals!BS103),-2100*Escalation!$B$67,Actuals!BS103)</f>
        <v>-2318.56968672</v>
      </c>
      <c r="BS190" s="22" t="n">
        <f aca="false">IF(ISBLANK(Actuals!BT103),-2100*Escalation!$B$68,Actuals!BT103)</f>
        <v>-2318.56968672</v>
      </c>
      <c r="BT190" s="22" t="n">
        <f aca="false">IF(ISBLANK(Actuals!BU103),-2100*Escalation!$B$69,Actuals!BU103)</f>
        <v>-2318.56968672</v>
      </c>
      <c r="BU190" s="22" t="n">
        <f aca="false">IF(ISBLANK(Actuals!BV103),-2100*Escalation!$B$70,Actuals!BV103)</f>
        <v>-2318.56968672</v>
      </c>
      <c r="BV190" s="22" t="n">
        <f aca="false">IF(ISBLANK(Actuals!BW103),-2100*Escalation!$B$71,Actuals!BW103)</f>
        <v>-2318.56968672</v>
      </c>
      <c r="BW190" s="22" t="n">
        <f aca="false">IF(ISBLANK(Actuals!BX103),-2100*Escalation!$B$72,Actuals!BX103)</f>
        <v>-2318.56968672</v>
      </c>
      <c r="BX190" s="22" t="n">
        <f aca="false">IF(ISBLANK(Actuals!BY103),-2100*Escalation!$B$73,Actuals!BY103)</f>
        <v>-2318.56968672</v>
      </c>
      <c r="BY190" s="22" t="n">
        <f aca="false">IF(ISBLANK(Actuals!BZ103),-2100*Escalation!$B$74,Actuals!BZ103)</f>
        <v>-2364.9410804544</v>
      </c>
      <c r="BZ190" s="22" t="n">
        <f aca="false">IF(ISBLANK(Actuals!CA103),-2100*Escalation!$B$75,Actuals!CA103)</f>
        <v>-2364.9410804544</v>
      </c>
      <c r="CA190" s="22" t="n">
        <f aca="false">IF(ISBLANK(Actuals!CB103),-2100*Escalation!$B$76,Actuals!CB103)</f>
        <v>-2364.9410804544</v>
      </c>
      <c r="CB190" s="22" t="n">
        <f aca="false">IF(ISBLANK(Actuals!CC103),-2100*Escalation!$B$77,Actuals!CC103)</f>
        <v>-2364.9410804544</v>
      </c>
      <c r="CC190" s="22" t="n">
        <f aca="false">IF(ISBLANK(Actuals!CD103),-2100*Escalation!$B$78,Actuals!CD103)</f>
        <v>-2364.9410804544</v>
      </c>
      <c r="CD190" s="22" t="n">
        <f aca="false">IF(ISBLANK(Actuals!CE103),-2100*Escalation!$B$79,Actuals!CE103)</f>
        <v>-2364.9410804544</v>
      </c>
      <c r="CE190" s="22" t="n">
        <f aca="false">IF(ISBLANK(Actuals!CF103),-2100*Escalation!$B$80,Actuals!CF103)</f>
        <v>-2364.9410804544</v>
      </c>
      <c r="CF190" s="22" t="n">
        <f aca="false">IF(ISBLANK(Actuals!CG103),-2100*Escalation!$B$81,Actuals!CG103)</f>
        <v>-2364.9410804544</v>
      </c>
      <c r="CG190" s="22" t="n">
        <f aca="false">IF(ISBLANK(Actuals!CH103),-2100*Escalation!$B$82,Actuals!CH103)</f>
        <v>-2364.9410804544</v>
      </c>
      <c r="CH190" s="22" t="n">
        <f aca="false">IF(ISBLANK(Actuals!CI103),-2100*Escalation!$B$83,Actuals!CI103)</f>
        <v>-2364.9410804544</v>
      </c>
      <c r="CI190" s="22" t="n">
        <f aca="false">IF(ISBLANK(Actuals!CJ103),-2100*Escalation!$B$84,Actuals!CJ103)</f>
        <v>-2364.9410804544</v>
      </c>
      <c r="CJ190" s="22" t="n">
        <f aca="false">IF(ISBLANK(Actuals!CK103),-2100*Escalation!$B$85,Actuals!CK103)</f>
        <v>-2364.9410804544</v>
      </c>
      <c r="CK190" s="22" t="n">
        <f aca="false">IF(ISBLANK(Actuals!CL103),-2100*Escalation!$B$86,Actuals!CL103)</f>
        <v>-2412.23990206349</v>
      </c>
      <c r="CL190" s="22" t="n">
        <f aca="false">IF(ISBLANK(Actuals!CM103),-2100*Escalation!$B$87,Actuals!CM103)</f>
        <v>-2412.23990206349</v>
      </c>
      <c r="CM190" s="22" t="n">
        <f aca="false">IF(ISBLANK(Actuals!CN103),-2100*Escalation!$B$88,Actuals!CN103)</f>
        <v>-2412.23990206349</v>
      </c>
      <c r="CN190" s="22" t="n">
        <f aca="false">IF(ISBLANK(Actuals!CO103),-2100*Escalation!$B$89,Actuals!CO103)</f>
        <v>-2412.23990206349</v>
      </c>
      <c r="CO190" s="22" t="n">
        <f aca="false">IF(ISBLANK(Actuals!CP103),-2100*Escalation!$B$90,Actuals!CP103)</f>
        <v>-2412.23990206349</v>
      </c>
      <c r="CP190" s="22" t="n">
        <f aca="false">IF(ISBLANK(Actuals!CQ103),-2100*Escalation!$B$91,Actuals!CQ103)</f>
        <v>-2412.23990206349</v>
      </c>
      <c r="CQ190" s="22" t="n">
        <f aca="false">IF(ISBLANK(Actuals!CR103),-2100*Escalation!$B$92,Actuals!CR103)</f>
        <v>-2412.23990206349</v>
      </c>
      <c r="CR190" s="22" t="n">
        <f aca="false">IF(ISBLANK(Actuals!CS103),-2100*Escalation!$B$93,Actuals!CS103)</f>
        <v>-2412.23990206349</v>
      </c>
      <c r="CS190" s="22" t="n">
        <f aca="false">IF(ISBLANK(Actuals!CT103),-2100*Escalation!$B$94,Actuals!CT103)</f>
        <v>-2412.23990206349</v>
      </c>
      <c r="CT190" s="22" t="n">
        <f aca="false">IF(ISBLANK(Actuals!CU103),-2100*Escalation!$B$95,Actuals!CU103)</f>
        <v>-2412.23990206349</v>
      </c>
      <c r="CU190" s="22" t="n">
        <f aca="false">IF(ISBLANK(Actuals!CV103),-2100*Escalation!$B$96,Actuals!CV103)</f>
        <v>-2412.23990206349</v>
      </c>
      <c r="CV190" s="22" t="n">
        <f aca="false">IF(ISBLANK(Actuals!CW103),-2100*Escalation!$B$97,Actuals!CW103)</f>
        <v>-2412.23990206349</v>
      </c>
      <c r="CW190" s="22" t="n">
        <f aca="false">IF(ISBLANK(Actuals!CX103),-2100*Escalation!$B$98,Actuals!CX103)</f>
        <v>-2460.48470010476</v>
      </c>
      <c r="CX190" s="22" t="n">
        <f aca="false">IF(ISBLANK(Actuals!CY103),-2100*Escalation!$B$99,Actuals!CY103)</f>
        <v>-2460.48470010476</v>
      </c>
      <c r="CY190" s="22" t="n">
        <f aca="false">IF(ISBLANK(Actuals!CZ103),-2100*Escalation!$B$100,Actuals!CZ103)</f>
        <v>-2460.48470010476</v>
      </c>
      <c r="CZ190" s="22" t="n">
        <f aca="false">IF(ISBLANK(Actuals!DA103),-2100*Escalation!$B$101,Actuals!DA103)</f>
        <v>-2460.48470010476</v>
      </c>
      <c r="DA190" s="22" t="n">
        <f aca="false">IF(ISBLANK(Actuals!DB103),-2100*Escalation!$B$102,Actuals!DB103)</f>
        <v>-2460.48470010476</v>
      </c>
      <c r="DB190" s="22" t="n">
        <f aca="false">IF(ISBLANK(Actuals!DC103),-2100*Escalation!$B$103,Actuals!DC103)</f>
        <v>-2460.48470010476</v>
      </c>
      <c r="DC190" s="22" t="n">
        <f aca="false">IF(ISBLANK(Actuals!DD103),-2100*Escalation!$B$104,Actuals!DD103)</f>
        <v>-2460.48470010476</v>
      </c>
      <c r="DD190" s="22" t="n">
        <f aca="false">IF(ISBLANK(Actuals!DE103),-2100*Escalation!$B$105,Actuals!DE103)</f>
        <v>-2460.48470010476</v>
      </c>
      <c r="DE190" s="22" t="n">
        <f aca="false">IF(ISBLANK(Actuals!DF103),-2100*Escalation!$B$106,Actuals!DF103)</f>
        <v>-2460.48470010476</v>
      </c>
    </row>
    <row r="191" customFormat="false" ht="15" hidden="false" customHeight="true" outlineLevel="0" collapsed="false">
      <c r="A191" s="44" t="s">
        <v>80</v>
      </c>
      <c r="B191" s="22" t="n">
        <f aca="false">IF(ISBLANK(Actuals!C104),0,Actuals!C104)</f>
        <v>-66666.66</v>
      </c>
      <c r="C191" s="22" t="n">
        <f aca="false">IF(ISBLANK(Actuals!D104),0,Actuals!D104)</f>
        <v>-66666.66</v>
      </c>
      <c r="D191" s="22" t="n">
        <f aca="false">IF(ISBLANK(Actuals!E104),0,Actuals!E104)</f>
        <v>-66666.66</v>
      </c>
      <c r="E191" s="22" t="n">
        <f aca="false">IF(ISBLANK(Actuals!F104),(-(IF(AND(1&gt;=Personnel!$E$36,Personnel!$G$36="Yes"),Personnel!$D$36*(1-Personnel!$I$36),0)+IF(AND(1&gt;=Personnel!$E$37,Personnel!$G$37="Yes"),Personnel!$D$37*(1-Personnel!$I$37),0)))*Escalation!$B$2,Actuals!F104)</f>
        <v>-66666.66</v>
      </c>
      <c r="F191" s="22" t="n">
        <f aca="false">IF(ISBLANK(Actuals!G104),(-(IF(AND(2&gt;=Personnel!$E$36,Personnel!$G$36="Yes"),Personnel!$D$36*(1-Personnel!$I$36),0)+IF(AND(2&gt;=Personnel!$E$37,Personnel!$G$37="Yes"),Personnel!$D$37*(1-Personnel!$I$37),0)))*Escalation!$B$3,Actuals!G104)</f>
        <v>-66666.66</v>
      </c>
      <c r="G191" s="22" t="n">
        <f aca="false">IF(ISBLANK(Actuals!H104),(-(IF(AND(3&gt;=Personnel!$E$36,Personnel!$G$36="Yes"),Personnel!$D$36*(1-Personnel!$I$36),0)+IF(AND(3&gt;=Personnel!$E$37,Personnel!$G$37="Yes"),Personnel!$D$37*(1-Personnel!$I$37),0)))*Escalation!$B$4,Actuals!H104)</f>
        <v>-66666.66</v>
      </c>
      <c r="H191" s="22" t="n">
        <f aca="false">IF(ISBLANK(Actuals!I104),(-(IF(AND(4&gt;=Personnel!$E$36,Personnel!$G$36="Yes"),Personnel!$D$36*(1-Personnel!$I$36),0)+IF(AND(4&gt;=Personnel!$E$37,Personnel!$G$37="Yes"),Personnel!$D$37*(1-Personnel!$I$37),0)))*Escalation!$B$5,Actuals!I104)</f>
        <v>-25000</v>
      </c>
      <c r="I191" s="22" t="n">
        <f aca="false">IF(ISBLANK(Actuals!J104),(-(IF(AND(5&gt;=Personnel!$E$36,Personnel!$G$36="Yes"),Personnel!$D$36*(1-Personnel!$I$36),0)+IF(AND(5&gt;=Personnel!$E$37,Personnel!$G$37="Yes"),Personnel!$D$37*(1-Personnel!$I$37),0)))*Escalation!$B$6,Actuals!J104)</f>
        <v>-25000</v>
      </c>
      <c r="J191" s="22" t="n">
        <f aca="false">IF(ISBLANK(Actuals!K104),(-(IF(AND(6&gt;=Personnel!$E$36,Personnel!$G$36="Yes"),Personnel!$D$36*(1-Personnel!$I$36),0)+IF(AND(6&gt;=Personnel!$E$37,Personnel!$G$37="Yes"),Personnel!$D$37*(1-Personnel!$I$37),0)))*Escalation!$B$7,Actuals!K104)</f>
        <v>-25000</v>
      </c>
      <c r="K191" s="22" t="n">
        <f aca="false">IF(ISBLANK(Actuals!L104),(-(IF(AND(7&gt;=Personnel!$E$36,Personnel!$G$36="Yes"),Personnel!$D$36*(1-Personnel!$I$36),0)+IF(AND(7&gt;=Personnel!$E$37,Personnel!$G$37="Yes"),Personnel!$D$37*(1-Personnel!$I$37),0)))*Escalation!$B$8,Actuals!L104)</f>
        <v>-25000</v>
      </c>
      <c r="L191" s="22" t="n">
        <f aca="false">IF(ISBLANK(Actuals!M104),(-(IF(AND(8&gt;=Personnel!$E$36,Personnel!$G$36="Yes"),Personnel!$D$36*(1-Personnel!$I$36),0)+IF(AND(8&gt;=Personnel!$E$37,Personnel!$G$37="Yes"),Personnel!$D$37*(1-Personnel!$I$37),0)))*Escalation!$B$9,Actuals!M104)</f>
        <v>-25000</v>
      </c>
      <c r="M191" s="22" t="n">
        <f aca="false">IF(ISBLANK(Actuals!N104),(-(IF(AND(9&gt;=Personnel!$E$36,Personnel!$G$36="Yes"),Personnel!$D$36*(1-Personnel!$I$36),0)+IF(AND(9&gt;=Personnel!$E$37,Personnel!$G$37="Yes"),Personnel!$D$37*(1-Personnel!$I$37),0)))*Escalation!$B$10,Actuals!N104)</f>
        <v>-25000</v>
      </c>
      <c r="N191" s="22" t="n">
        <f aca="false">IF(ISBLANK(Actuals!O104),(-(IF(AND(10&gt;=Personnel!$E$36,Personnel!$G$36="Yes"),Personnel!$D$36*(1-Personnel!$I$36),0)+IF(AND(10&gt;=Personnel!$E$37,Personnel!$G$37="Yes"),Personnel!$D$37*(1-Personnel!$I$37),0)))*Escalation!$B$11,Actuals!O104)</f>
        <v>-25000</v>
      </c>
      <c r="O191" s="22" t="n">
        <f aca="false">IF(ISBLANK(Actuals!P104),(-(IF(AND(11&gt;=Personnel!$E$36,Personnel!$G$36="Yes"),Personnel!$D$36*(1-Personnel!$I$36),0)+IF(AND(11&gt;=Personnel!$E$37,Personnel!$G$37="Yes"),Personnel!$D$37*(1-Personnel!$I$37),0)))*Escalation!$B$12,Actuals!P104)</f>
        <v>-25000</v>
      </c>
      <c r="P191" s="22" t="n">
        <f aca="false">IF(ISBLANK(Actuals!Q104),(-(IF(AND(12&gt;=Personnel!$E$36,Personnel!$G$36="Yes"),Personnel!$D$36*(1-Personnel!$I$36),0)+IF(AND(12&gt;=Personnel!$E$37,Personnel!$G$37="Yes"),Personnel!$D$37*(1-Personnel!$I$37),0)))*Escalation!$B$13,Actuals!Q104)</f>
        <v>-25000</v>
      </c>
      <c r="Q191" s="22" t="n">
        <f aca="false">IF(ISBLANK(Actuals!R104),(-(IF(AND(13&gt;=Personnel!$E$36,Personnel!$G$36="Yes"),Personnel!$D$36*(1-Personnel!$I$36),0)+IF(AND(13&gt;=Personnel!$E$37,Personnel!$G$37="Yes"),Personnel!$D$37*(1-Personnel!$I$37),0)))*Escalation!$B$14,Actuals!R104)</f>
        <v>-25500</v>
      </c>
      <c r="R191" s="22" t="n">
        <f aca="false">IF(ISBLANK(Actuals!S104),(-(IF(AND(14&gt;=Personnel!$E$36,Personnel!$G$36="Yes"),Personnel!$D$36*(1-Personnel!$I$36),0)+IF(AND(14&gt;=Personnel!$E$37,Personnel!$G$37="Yes"),Personnel!$D$37*(1-Personnel!$I$37),0)))*Escalation!$B$15,Actuals!S104)</f>
        <v>-25500</v>
      </c>
      <c r="S191" s="22" t="n">
        <f aca="false">IF(ISBLANK(Actuals!T104),(-(IF(AND(15&gt;=Personnel!$E$36,Personnel!$G$36="Yes"),Personnel!$D$36*(1-Personnel!$I$36),0)+IF(AND(15&gt;=Personnel!$E$37,Personnel!$G$37="Yes"),Personnel!$D$37*(1-Personnel!$I$37),0)))*Escalation!$B$16,Actuals!T104)</f>
        <v>-25500</v>
      </c>
      <c r="T191" s="22" t="n">
        <f aca="false">IF(ISBLANK(Actuals!U104),(-(IF(AND(16&gt;=Personnel!$E$36,Personnel!$G$36="Yes"),Personnel!$D$36*(1-Personnel!$I$36),0)+IF(AND(16&gt;=Personnel!$E$37,Personnel!$G$37="Yes"),Personnel!$D$37*(1-Personnel!$I$37),0)))*Escalation!$B$17,Actuals!U104)</f>
        <v>-25500</v>
      </c>
      <c r="U191" s="22" t="n">
        <f aca="false">IF(ISBLANK(Actuals!V104),(-(IF(AND(17&gt;=Personnel!$E$36,Personnel!$G$36="Yes"),Personnel!$D$36*(1-Personnel!$I$36),0)+IF(AND(17&gt;=Personnel!$E$37,Personnel!$G$37="Yes"),Personnel!$D$37*(1-Personnel!$I$37),0)))*Escalation!$B$18,Actuals!V104)</f>
        <v>-25500</v>
      </c>
      <c r="V191" s="22" t="n">
        <f aca="false">IF(ISBLANK(Actuals!W104),(-(IF(AND(18&gt;=Personnel!$E$36,Personnel!$G$36="Yes"),Personnel!$D$36*(1-Personnel!$I$36),0)+IF(AND(18&gt;=Personnel!$E$37,Personnel!$G$37="Yes"),Personnel!$D$37*(1-Personnel!$I$37),0)))*Escalation!$B$19,Actuals!W104)</f>
        <v>-25500</v>
      </c>
      <c r="W191" s="22" t="n">
        <f aca="false">IF(ISBLANK(Actuals!X104),(-(IF(AND(19&gt;=Personnel!$E$36,Personnel!$G$36="Yes"),Personnel!$D$36*(1-Personnel!$I$36),0)+IF(AND(19&gt;=Personnel!$E$37,Personnel!$G$37="Yes"),Personnel!$D$37*(1-Personnel!$I$37),0)))*Escalation!$B$20,Actuals!X104)</f>
        <v>-25500</v>
      </c>
      <c r="X191" s="22" t="n">
        <f aca="false">IF(ISBLANK(Actuals!Y104),(-(IF(AND(20&gt;=Personnel!$E$36,Personnel!$G$36="Yes"),Personnel!$D$36*(1-Personnel!$I$36),0)+IF(AND(20&gt;=Personnel!$E$37,Personnel!$G$37="Yes"),Personnel!$D$37*(1-Personnel!$I$37),0)))*Escalation!$B$21,Actuals!Y104)</f>
        <v>-25500</v>
      </c>
      <c r="Y191" s="22" t="n">
        <f aca="false">IF(ISBLANK(Actuals!Z104),(-(IF(AND(21&gt;=Personnel!$E$36,Personnel!$G$36="Yes"),Personnel!$D$36*(1-Personnel!$I$36),0)+IF(AND(21&gt;=Personnel!$E$37,Personnel!$G$37="Yes"),Personnel!$D$37*(1-Personnel!$I$37),0)))*Escalation!$B$22,Actuals!Z104)</f>
        <v>-25500</v>
      </c>
      <c r="Z191" s="22" t="n">
        <f aca="false">IF(ISBLANK(Actuals!AA104),(-(IF(AND(22&gt;=Personnel!$E$36,Personnel!$G$36="Yes"),Personnel!$D$36*(1-Personnel!$I$36),0)+IF(AND(22&gt;=Personnel!$E$37,Personnel!$G$37="Yes"),Personnel!$D$37*(1-Personnel!$I$37),0)))*Escalation!$B$23,Actuals!AA104)</f>
        <v>-25500</v>
      </c>
      <c r="AA191" s="22" t="n">
        <f aca="false">IF(ISBLANK(Actuals!AB104),(-(IF(AND(23&gt;=Personnel!$E$36,Personnel!$G$36="Yes"),Personnel!$D$36*(1-Personnel!$I$36),0)+IF(AND(23&gt;=Personnel!$E$37,Personnel!$G$37="Yes"),Personnel!$D$37*(1-Personnel!$I$37),0)))*Escalation!$B$24,Actuals!AB104)</f>
        <v>-25500</v>
      </c>
      <c r="AB191" s="22" t="n">
        <f aca="false">IF(ISBLANK(Actuals!AC104),(-(IF(AND(24&gt;=Personnel!$E$36,Personnel!$G$36="Yes"),Personnel!$D$36*(1-Personnel!$I$36),0)+IF(AND(24&gt;=Personnel!$E$37,Personnel!$G$37="Yes"),Personnel!$D$37*(1-Personnel!$I$37),0)))*Escalation!$B$25,Actuals!AC104)</f>
        <v>-25500</v>
      </c>
      <c r="AC191" s="22" t="n">
        <f aca="false">IF(ISBLANK(Actuals!AD104),(-(IF(AND(25&gt;=Personnel!$E$36,Personnel!$G$36="Yes"),Personnel!$D$36*(1-Personnel!$I$36),0)+IF(AND(25&gt;=Personnel!$E$37,Personnel!$G$37="Yes"),Personnel!$D$37*(1-Personnel!$I$37),0)))*Escalation!$B$26,Actuals!AD104)</f>
        <v>-26010</v>
      </c>
      <c r="AD191" s="22" t="n">
        <f aca="false">IF(ISBLANK(Actuals!AE104),(-(IF(AND(26&gt;=Personnel!$E$36,Personnel!$G$36="Yes"),Personnel!$D$36*(1-Personnel!$I$36),0)+IF(AND(26&gt;=Personnel!$E$37,Personnel!$G$37="Yes"),Personnel!$D$37*(1-Personnel!$I$37),0)))*Escalation!$B$27,Actuals!AE104)</f>
        <v>-26010</v>
      </c>
      <c r="AE191" s="22" t="n">
        <f aca="false">IF(ISBLANK(Actuals!AF104),(-(IF(AND(27&gt;=Personnel!$E$36,Personnel!$G$36="Yes"),Personnel!$D$36*(1-Personnel!$I$36),0)+IF(AND(27&gt;=Personnel!$E$37,Personnel!$G$37="Yes"),Personnel!$D$37*(1-Personnel!$I$37),0)))*Escalation!$B$28,Actuals!AF104)</f>
        <v>-26010</v>
      </c>
      <c r="AF191" s="22" t="n">
        <f aca="false">IF(ISBLANK(Actuals!AG104),(-(IF(AND(28&gt;=Personnel!$E$36,Personnel!$G$36="Yes"),Personnel!$D$36*(1-Personnel!$I$36),0)+IF(AND(28&gt;=Personnel!$E$37,Personnel!$G$37="Yes"),Personnel!$D$37*(1-Personnel!$I$37),0)))*Escalation!$B$29,Actuals!AG104)</f>
        <v>-26010</v>
      </c>
      <c r="AG191" s="22" t="n">
        <f aca="false">IF(ISBLANK(Actuals!AH104),(-(IF(AND(29&gt;=Personnel!$E$36,Personnel!$G$36="Yes"),Personnel!$D$36*(1-Personnel!$I$36),0)+IF(AND(29&gt;=Personnel!$E$37,Personnel!$G$37="Yes"),Personnel!$D$37*(1-Personnel!$I$37),0)))*Escalation!$B$30,Actuals!AH104)</f>
        <v>-26010</v>
      </c>
      <c r="AH191" s="22" t="n">
        <f aca="false">IF(ISBLANK(Actuals!AI104),(-(IF(AND(30&gt;=Personnel!$E$36,Personnel!$G$36="Yes"),Personnel!$D$36*(1-Personnel!$I$36),0)+IF(AND(30&gt;=Personnel!$E$37,Personnel!$G$37="Yes"),Personnel!$D$37*(1-Personnel!$I$37),0)))*Escalation!$B$31,Actuals!AI104)</f>
        <v>-26010</v>
      </c>
      <c r="AI191" s="22" t="n">
        <f aca="false">IF(ISBLANK(Actuals!AJ104),(-(IF(AND(31&gt;=Personnel!$E$36,Personnel!$G$36="Yes"),Personnel!$D$36*(1-Personnel!$I$36),0)+IF(AND(31&gt;=Personnel!$E$37,Personnel!$G$37="Yes"),Personnel!$D$37*(1-Personnel!$I$37),0)))*Escalation!$B$32,Actuals!AJ104)</f>
        <v>-26010</v>
      </c>
      <c r="AJ191" s="22" t="n">
        <f aca="false">IF(ISBLANK(Actuals!AK104),(-(IF(AND(32&gt;=Personnel!$E$36,Personnel!$G$36="Yes"),Personnel!$D$36*(1-Personnel!$I$36),0)+IF(AND(32&gt;=Personnel!$E$37,Personnel!$G$37="Yes"),Personnel!$D$37*(1-Personnel!$I$37),0)))*Escalation!$B$33,Actuals!AK104)</f>
        <v>-26010</v>
      </c>
      <c r="AK191" s="22" t="n">
        <f aca="false">IF(ISBLANK(Actuals!AL104),(-(IF(AND(33&gt;=Personnel!$E$36,Personnel!$G$36="Yes"),Personnel!$D$36*(1-Personnel!$I$36),0)+IF(AND(33&gt;=Personnel!$E$37,Personnel!$G$37="Yes"),Personnel!$D$37*(1-Personnel!$I$37),0)))*Escalation!$B$34,Actuals!AL104)</f>
        <v>-26010</v>
      </c>
      <c r="AL191" s="22" t="n">
        <f aca="false">IF(ISBLANK(Actuals!AM104),(-(IF(AND(34&gt;=Personnel!$E$36,Personnel!$G$36="Yes"),Personnel!$D$36*(1-Personnel!$I$36),0)+IF(AND(34&gt;=Personnel!$E$37,Personnel!$G$37="Yes"),Personnel!$D$37*(1-Personnel!$I$37),0)))*Escalation!$B$35,Actuals!AM104)</f>
        <v>-26010</v>
      </c>
      <c r="AM191" s="22" t="n">
        <f aca="false">IF(ISBLANK(Actuals!AN104),(-(IF(AND(35&gt;=Personnel!$E$36,Personnel!$G$36="Yes"),Personnel!$D$36*(1-Personnel!$I$36),0)+IF(AND(35&gt;=Personnel!$E$37,Personnel!$G$37="Yes"),Personnel!$D$37*(1-Personnel!$I$37),0)))*Escalation!$B$36,Actuals!AN104)</f>
        <v>-26010</v>
      </c>
      <c r="AN191" s="22" t="n">
        <f aca="false">IF(ISBLANK(Actuals!AO104),(-(IF(AND(36&gt;=Personnel!$E$36,Personnel!$G$36="Yes"),Personnel!$D$36*(1-Personnel!$I$36),0)+IF(AND(36&gt;=Personnel!$E$37,Personnel!$G$37="Yes"),Personnel!$D$37*(1-Personnel!$I$37),0)))*Escalation!$B$37,Actuals!AO104)</f>
        <v>-26010</v>
      </c>
      <c r="AO191" s="22" t="n">
        <f aca="false">IF(ISBLANK(Actuals!AP104),(-(IF(AND(37&gt;=Personnel!$E$36,Personnel!$G$36="Yes"),Personnel!$D$36*(1-Personnel!$I$36),0)+IF(AND(37&gt;=Personnel!$E$37,Personnel!$G$37="Yes"),Personnel!$D$37*(1-Personnel!$I$37),0)))*Escalation!$B$38,Actuals!AP104)</f>
        <v>-26530.2</v>
      </c>
      <c r="AP191" s="22" t="n">
        <f aca="false">IF(ISBLANK(Actuals!AQ104),(-(IF(AND(38&gt;=Personnel!$E$36,Personnel!$G$36="Yes"),Personnel!$D$36*(1-Personnel!$I$36),0)+IF(AND(38&gt;=Personnel!$E$37,Personnel!$G$37="Yes"),Personnel!$D$37*(1-Personnel!$I$37),0)))*Escalation!$B$39,Actuals!AQ104)</f>
        <v>-26530.2</v>
      </c>
      <c r="AQ191" s="22" t="n">
        <f aca="false">IF(ISBLANK(Actuals!AR104),(-(IF(AND(39&gt;=Personnel!$E$36,Personnel!$G$36="Yes"),Personnel!$D$36*(1-Personnel!$I$36),0)+IF(AND(39&gt;=Personnel!$E$37,Personnel!$G$37="Yes"),Personnel!$D$37*(1-Personnel!$I$37),0)))*Escalation!$B$40,Actuals!AR104)</f>
        <v>-26530.2</v>
      </c>
      <c r="AR191" s="22" t="n">
        <f aca="false">IF(ISBLANK(Actuals!AS104),(-(IF(AND(40&gt;=Personnel!$E$36,Personnel!$G$36="Yes"),Personnel!$D$36*(1-Personnel!$I$36),0)+IF(AND(40&gt;=Personnel!$E$37,Personnel!$G$37="Yes"),Personnel!$D$37*(1-Personnel!$I$37),0)))*Escalation!$B$41,Actuals!AS104)</f>
        <v>-26530.2</v>
      </c>
      <c r="AS191" s="22" t="n">
        <f aca="false">IF(ISBLANK(Actuals!AT104),(-(IF(AND(41&gt;=Personnel!$E$36,Personnel!$G$36="Yes"),Personnel!$D$36*(1-Personnel!$I$36),0)+IF(AND(41&gt;=Personnel!$E$37,Personnel!$G$37="Yes"),Personnel!$D$37*(1-Personnel!$I$37),0)))*Escalation!$B$42,Actuals!AT104)</f>
        <v>-26530.2</v>
      </c>
      <c r="AT191" s="22" t="n">
        <f aca="false">IF(ISBLANK(Actuals!AU104),(-(IF(AND(42&gt;=Personnel!$E$36,Personnel!$G$36="Yes"),Personnel!$D$36*(1-Personnel!$I$36),0)+IF(AND(42&gt;=Personnel!$E$37,Personnel!$G$37="Yes"),Personnel!$D$37*(1-Personnel!$I$37),0)))*Escalation!$B$43,Actuals!AU104)</f>
        <v>-26530.2</v>
      </c>
      <c r="AU191" s="22" t="n">
        <f aca="false">IF(ISBLANK(Actuals!AV104),(-(IF(AND(43&gt;=Personnel!$E$36,Personnel!$G$36="Yes"),Personnel!$D$36*(1-Personnel!$I$36),0)+IF(AND(43&gt;=Personnel!$E$37,Personnel!$G$37="Yes"),Personnel!$D$37*(1-Personnel!$I$37),0)))*Escalation!$B$44,Actuals!AV104)</f>
        <v>-26530.2</v>
      </c>
      <c r="AV191" s="22" t="n">
        <f aca="false">IF(ISBLANK(Actuals!AW104),(-(IF(AND(44&gt;=Personnel!$E$36,Personnel!$G$36="Yes"),Personnel!$D$36*(1-Personnel!$I$36),0)+IF(AND(44&gt;=Personnel!$E$37,Personnel!$G$37="Yes"),Personnel!$D$37*(1-Personnel!$I$37),0)))*Escalation!$B$45,Actuals!AW104)</f>
        <v>-26530.2</v>
      </c>
      <c r="AW191" s="22" t="n">
        <f aca="false">IF(ISBLANK(Actuals!AX104),(-(IF(AND(45&gt;=Personnel!$E$36,Personnel!$G$36="Yes"),Personnel!$D$36*(1-Personnel!$I$36),0)+IF(AND(45&gt;=Personnel!$E$37,Personnel!$G$37="Yes"),Personnel!$D$37*(1-Personnel!$I$37),0)))*Escalation!$B$46,Actuals!AX104)</f>
        <v>-26530.2</v>
      </c>
      <c r="AX191" s="22" t="n">
        <f aca="false">IF(ISBLANK(Actuals!AY104),(-(IF(AND(46&gt;=Personnel!$E$36,Personnel!$G$36="Yes"),Personnel!$D$36*(1-Personnel!$I$36),0)+IF(AND(46&gt;=Personnel!$E$37,Personnel!$G$37="Yes"),Personnel!$D$37*(1-Personnel!$I$37),0)))*Escalation!$B$47,Actuals!AY104)</f>
        <v>-26530.2</v>
      </c>
      <c r="AY191" s="22" t="n">
        <f aca="false">IF(ISBLANK(Actuals!AZ104),(-(IF(AND(47&gt;=Personnel!$E$36,Personnel!$G$36="Yes"),Personnel!$D$36*(1-Personnel!$I$36),0)+IF(AND(47&gt;=Personnel!$E$37,Personnel!$G$37="Yes"),Personnel!$D$37*(1-Personnel!$I$37),0)))*Escalation!$B$48,Actuals!AZ104)</f>
        <v>-26530.2</v>
      </c>
      <c r="AZ191" s="22" t="n">
        <f aca="false">IF(ISBLANK(Actuals!BA104),(-(IF(AND(48&gt;=Personnel!$E$36,Personnel!$G$36="Yes"),Personnel!$D$36*(1-Personnel!$I$36),0)+IF(AND(48&gt;=Personnel!$E$37,Personnel!$G$37="Yes"),Personnel!$D$37*(1-Personnel!$I$37),0)))*Escalation!$B$49,Actuals!BA104)</f>
        <v>-26530.2</v>
      </c>
      <c r="BA191" s="22" t="n">
        <f aca="false">IF(ISBLANK(Actuals!BB104),(-(IF(AND(49&gt;=Personnel!$E$36,Personnel!$G$36="Yes"),Personnel!$D$36*(1-Personnel!$I$36),0)+IF(AND(49&gt;=Personnel!$E$37,Personnel!$G$37="Yes"),Personnel!$D$37*(1-Personnel!$I$37),0)))*Escalation!$B$50,Actuals!BB104)</f>
        <v>-27060.804</v>
      </c>
      <c r="BB191" s="22" t="n">
        <f aca="false">IF(ISBLANK(Actuals!BC104),(-(IF(AND(50&gt;=Personnel!$E$36,Personnel!$G$36="Yes"),Personnel!$D$36*(1-Personnel!$I$36),0)+IF(AND(50&gt;=Personnel!$E$37,Personnel!$G$37="Yes"),Personnel!$D$37*(1-Personnel!$I$37),0)))*Escalation!$B$51,Actuals!BC104)</f>
        <v>-27060.804</v>
      </c>
      <c r="BC191" s="22" t="n">
        <f aca="false">IF(ISBLANK(Actuals!BD104),(-(IF(AND(51&gt;=Personnel!$E$36,Personnel!$G$36="Yes"),Personnel!$D$36*(1-Personnel!$I$36),0)+IF(AND(51&gt;=Personnel!$E$37,Personnel!$G$37="Yes"),Personnel!$D$37*(1-Personnel!$I$37),0)))*Escalation!$B$52,Actuals!BD104)</f>
        <v>-27060.804</v>
      </c>
      <c r="BD191" s="22" t="n">
        <f aca="false">IF(ISBLANK(Actuals!BE104),(-(IF(AND(52&gt;=Personnel!$E$36,Personnel!$G$36="Yes"),Personnel!$D$36*(1-Personnel!$I$36),0)+IF(AND(52&gt;=Personnel!$E$37,Personnel!$G$37="Yes"),Personnel!$D$37*(1-Personnel!$I$37),0)))*Escalation!$B$53,Actuals!BE104)</f>
        <v>-27060.804</v>
      </c>
      <c r="BE191" s="22" t="n">
        <f aca="false">IF(ISBLANK(Actuals!BF104),(-(IF(AND(53&gt;=Personnel!$E$36,Personnel!$G$36="Yes"),Personnel!$D$36*(1-Personnel!$I$36),0)+IF(AND(53&gt;=Personnel!$E$37,Personnel!$G$37="Yes"),Personnel!$D$37*(1-Personnel!$I$37),0)))*Escalation!$B$54,Actuals!BF104)</f>
        <v>-27060.804</v>
      </c>
      <c r="BF191" s="22" t="n">
        <f aca="false">IF(ISBLANK(Actuals!BG104),(-(IF(AND(54&gt;=Personnel!$E$36,Personnel!$G$36="Yes"),Personnel!$D$36*(1-Personnel!$I$36),0)+IF(AND(54&gt;=Personnel!$E$37,Personnel!$G$37="Yes"),Personnel!$D$37*(1-Personnel!$I$37),0)))*Escalation!$B$55,Actuals!BG104)</f>
        <v>-27060.804</v>
      </c>
      <c r="BG191" s="22" t="n">
        <f aca="false">IF(ISBLANK(Actuals!BH104),(-(IF(AND(55&gt;=Personnel!$E$36,Personnel!$G$36="Yes"),Personnel!$D$36*(1-Personnel!$I$36),0)+IF(AND(55&gt;=Personnel!$E$37,Personnel!$G$37="Yes"),Personnel!$D$37*(1-Personnel!$I$37),0)))*Escalation!$B$56,Actuals!BH104)</f>
        <v>-27060.804</v>
      </c>
      <c r="BH191" s="22" t="n">
        <f aca="false">IF(ISBLANK(Actuals!BI104),(-(IF(AND(56&gt;=Personnel!$E$36,Personnel!$G$36="Yes"),Personnel!$D$36*(1-Personnel!$I$36),0)+IF(AND(56&gt;=Personnel!$E$37,Personnel!$G$37="Yes"),Personnel!$D$37*(1-Personnel!$I$37),0)))*Escalation!$B$57,Actuals!BI104)</f>
        <v>-27060.804</v>
      </c>
      <c r="BI191" s="22" t="n">
        <f aca="false">IF(ISBLANK(Actuals!BJ104),(-(IF(AND(57&gt;=Personnel!$E$36,Personnel!$G$36="Yes"),Personnel!$D$36*(1-Personnel!$I$36),0)+IF(AND(57&gt;=Personnel!$E$37,Personnel!$G$37="Yes"),Personnel!$D$37*(1-Personnel!$I$37),0)))*Escalation!$B$58,Actuals!BJ104)</f>
        <v>-27060.804</v>
      </c>
      <c r="BJ191" s="22" t="n">
        <f aca="false">IF(ISBLANK(Actuals!BK104),(-(IF(AND(58&gt;=Personnel!$E$36,Personnel!$G$36="Yes"),Personnel!$D$36*(1-Personnel!$I$36),0)+IF(AND(58&gt;=Personnel!$E$37,Personnel!$G$37="Yes"),Personnel!$D$37*(1-Personnel!$I$37),0)))*Escalation!$B$59,Actuals!BK104)</f>
        <v>-27060.804</v>
      </c>
      <c r="BK191" s="22" t="n">
        <f aca="false">IF(ISBLANK(Actuals!BL104),(-(IF(AND(59&gt;=Personnel!$E$36,Personnel!$G$36="Yes"),Personnel!$D$36*(1-Personnel!$I$36),0)+IF(AND(59&gt;=Personnel!$E$37,Personnel!$G$37="Yes"),Personnel!$D$37*(1-Personnel!$I$37),0)))*Escalation!$B$60,Actuals!BL104)</f>
        <v>-27060.804</v>
      </c>
      <c r="BL191" s="22" t="n">
        <f aca="false">IF(ISBLANK(Actuals!BM104),(-(IF(AND(60&gt;=Personnel!$E$36,Personnel!$G$36="Yes"),Personnel!$D$36*(1-Personnel!$I$36),0)+IF(AND(60&gt;=Personnel!$E$37,Personnel!$G$37="Yes"),Personnel!$D$37*(1-Personnel!$I$37),0)))*Escalation!$B$61,Actuals!BM104)</f>
        <v>-27060.804</v>
      </c>
      <c r="BM191" s="22" t="n">
        <f aca="false">IF(ISBLANK(Actuals!BN104),(-(IF(AND(61&gt;=Personnel!$E$36,Personnel!$G$36="Yes"),Personnel!$D$36*(1-Personnel!$I$36),0)+IF(AND(61&gt;=Personnel!$E$37,Personnel!$G$37="Yes"),Personnel!$D$37*(1-Personnel!$I$37),0)))*Escalation!$B$62,Actuals!BN104)</f>
        <v>-27602.02008</v>
      </c>
      <c r="BN191" s="22" t="n">
        <f aca="false">IF(ISBLANK(Actuals!BO104),(-(IF(AND(62&gt;=Personnel!$E$36,Personnel!$G$36="Yes"),Personnel!$D$36*(1-Personnel!$I$36),0)+IF(AND(62&gt;=Personnel!$E$37,Personnel!$G$37="Yes"),Personnel!$D$37*(1-Personnel!$I$37),0)))*Escalation!$B$63,Actuals!BO104)</f>
        <v>-27602.02008</v>
      </c>
      <c r="BO191" s="22" t="n">
        <f aca="false">IF(ISBLANK(Actuals!BP104),(-(IF(AND(63&gt;=Personnel!$E$36,Personnel!$G$36="Yes"),Personnel!$D$36*(1-Personnel!$I$36),0)+IF(AND(63&gt;=Personnel!$E$37,Personnel!$G$37="Yes"),Personnel!$D$37*(1-Personnel!$I$37),0)))*Escalation!$B$64,Actuals!BP104)</f>
        <v>-27602.02008</v>
      </c>
      <c r="BP191" s="22" t="n">
        <f aca="false">IF(ISBLANK(Actuals!BQ104),(-(IF(AND(64&gt;=Personnel!$E$36,Personnel!$G$36="Yes"),Personnel!$D$36*(1-Personnel!$I$36),0)+IF(AND(64&gt;=Personnel!$E$37,Personnel!$G$37="Yes"),Personnel!$D$37*(1-Personnel!$I$37),0)))*Escalation!$B$65,Actuals!BQ104)</f>
        <v>-27602.02008</v>
      </c>
      <c r="BQ191" s="22" t="n">
        <f aca="false">IF(ISBLANK(Actuals!BR104),(-(IF(AND(65&gt;=Personnel!$E$36,Personnel!$G$36="Yes"),Personnel!$D$36*(1-Personnel!$I$36),0)+IF(AND(65&gt;=Personnel!$E$37,Personnel!$G$37="Yes"),Personnel!$D$37*(1-Personnel!$I$37),0)))*Escalation!$B$66,Actuals!BR104)</f>
        <v>-27602.02008</v>
      </c>
      <c r="BR191" s="22" t="n">
        <f aca="false">IF(ISBLANK(Actuals!BS104),(-(IF(AND(66&gt;=Personnel!$E$36,Personnel!$G$36="Yes"),Personnel!$D$36*(1-Personnel!$I$36),0)+IF(AND(66&gt;=Personnel!$E$37,Personnel!$G$37="Yes"),Personnel!$D$37*(1-Personnel!$I$37),0)))*Escalation!$B$67,Actuals!BS104)</f>
        <v>-27602.02008</v>
      </c>
      <c r="BS191" s="22" t="n">
        <f aca="false">IF(ISBLANK(Actuals!BT104),(-(IF(AND(67&gt;=Personnel!$E$36,Personnel!$G$36="Yes"),Personnel!$D$36*(1-Personnel!$I$36),0)+IF(AND(67&gt;=Personnel!$E$37,Personnel!$G$37="Yes"),Personnel!$D$37*(1-Personnel!$I$37),0)))*Escalation!$B$68,Actuals!BT104)</f>
        <v>-27602.02008</v>
      </c>
      <c r="BT191" s="22" t="n">
        <f aca="false">IF(ISBLANK(Actuals!BU104),(-(IF(AND(68&gt;=Personnel!$E$36,Personnel!$G$36="Yes"),Personnel!$D$36*(1-Personnel!$I$36),0)+IF(AND(68&gt;=Personnel!$E$37,Personnel!$G$37="Yes"),Personnel!$D$37*(1-Personnel!$I$37),0)))*Escalation!$B$69,Actuals!BU104)</f>
        <v>-27602.02008</v>
      </c>
      <c r="BU191" s="22" t="n">
        <f aca="false">IF(ISBLANK(Actuals!BV104),(-(IF(AND(69&gt;=Personnel!$E$36,Personnel!$G$36="Yes"),Personnel!$D$36*(1-Personnel!$I$36),0)+IF(AND(69&gt;=Personnel!$E$37,Personnel!$G$37="Yes"),Personnel!$D$37*(1-Personnel!$I$37),0)))*Escalation!$B$70,Actuals!BV104)</f>
        <v>-27602.02008</v>
      </c>
      <c r="BV191" s="22" t="n">
        <f aca="false">IF(ISBLANK(Actuals!BW104),(-(IF(AND(70&gt;=Personnel!$E$36,Personnel!$G$36="Yes"),Personnel!$D$36*(1-Personnel!$I$36),0)+IF(AND(70&gt;=Personnel!$E$37,Personnel!$G$37="Yes"),Personnel!$D$37*(1-Personnel!$I$37),0)))*Escalation!$B$71,Actuals!BW104)</f>
        <v>-27602.02008</v>
      </c>
      <c r="BW191" s="22" t="n">
        <f aca="false">IF(ISBLANK(Actuals!BX104),(-(IF(AND(71&gt;=Personnel!$E$36,Personnel!$G$36="Yes"),Personnel!$D$36*(1-Personnel!$I$36),0)+IF(AND(71&gt;=Personnel!$E$37,Personnel!$G$37="Yes"),Personnel!$D$37*(1-Personnel!$I$37),0)))*Escalation!$B$72,Actuals!BX104)</f>
        <v>-27602.02008</v>
      </c>
      <c r="BX191" s="22" t="n">
        <f aca="false">IF(ISBLANK(Actuals!BY104),(-(IF(AND(72&gt;=Personnel!$E$36,Personnel!$G$36="Yes"),Personnel!$D$36*(1-Personnel!$I$36),0)+IF(AND(72&gt;=Personnel!$E$37,Personnel!$G$37="Yes"),Personnel!$D$37*(1-Personnel!$I$37),0)))*Escalation!$B$73,Actuals!BY104)</f>
        <v>-27602.02008</v>
      </c>
      <c r="BY191" s="22" t="n">
        <f aca="false">IF(ISBLANK(Actuals!BZ104),(-(IF(AND(73&gt;=Personnel!$E$36,Personnel!$G$36="Yes"),Personnel!$D$36*(1-Personnel!$I$36),0)+IF(AND(73&gt;=Personnel!$E$37,Personnel!$G$37="Yes"),Personnel!$D$37*(1-Personnel!$I$37),0)))*Escalation!$B$74,Actuals!BZ104)</f>
        <v>-28154.0604816</v>
      </c>
      <c r="BZ191" s="22" t="n">
        <f aca="false">IF(ISBLANK(Actuals!CA104),(-(IF(AND(74&gt;=Personnel!$E$36,Personnel!$G$36="Yes"),Personnel!$D$36*(1-Personnel!$I$36),0)+IF(AND(74&gt;=Personnel!$E$37,Personnel!$G$37="Yes"),Personnel!$D$37*(1-Personnel!$I$37),0)))*Escalation!$B$75,Actuals!CA104)</f>
        <v>-28154.0604816</v>
      </c>
      <c r="CA191" s="22" t="n">
        <f aca="false">IF(ISBLANK(Actuals!CB104),(-(IF(AND(75&gt;=Personnel!$E$36,Personnel!$G$36="Yes"),Personnel!$D$36*(1-Personnel!$I$36),0)+IF(AND(75&gt;=Personnel!$E$37,Personnel!$G$37="Yes"),Personnel!$D$37*(1-Personnel!$I$37),0)))*Escalation!$B$76,Actuals!CB104)</f>
        <v>-28154.0604816</v>
      </c>
      <c r="CB191" s="22" t="n">
        <f aca="false">IF(ISBLANK(Actuals!CC104),(-(IF(AND(76&gt;=Personnel!$E$36,Personnel!$G$36="Yes"),Personnel!$D$36*(1-Personnel!$I$36),0)+IF(AND(76&gt;=Personnel!$E$37,Personnel!$G$37="Yes"),Personnel!$D$37*(1-Personnel!$I$37),0)))*Escalation!$B$77,Actuals!CC104)</f>
        <v>-28154.0604816</v>
      </c>
      <c r="CC191" s="22" t="n">
        <f aca="false">IF(ISBLANK(Actuals!CD104),(-(IF(AND(77&gt;=Personnel!$E$36,Personnel!$G$36="Yes"),Personnel!$D$36*(1-Personnel!$I$36),0)+IF(AND(77&gt;=Personnel!$E$37,Personnel!$G$37="Yes"),Personnel!$D$37*(1-Personnel!$I$37),0)))*Escalation!$B$78,Actuals!CD104)</f>
        <v>-28154.0604816</v>
      </c>
      <c r="CD191" s="22" t="n">
        <f aca="false">IF(ISBLANK(Actuals!CE104),(-(IF(AND(78&gt;=Personnel!$E$36,Personnel!$G$36="Yes"),Personnel!$D$36*(1-Personnel!$I$36),0)+IF(AND(78&gt;=Personnel!$E$37,Personnel!$G$37="Yes"),Personnel!$D$37*(1-Personnel!$I$37),0)))*Escalation!$B$79,Actuals!CE104)</f>
        <v>-28154.0604816</v>
      </c>
      <c r="CE191" s="22" t="n">
        <f aca="false">IF(ISBLANK(Actuals!CF104),(-(IF(AND(79&gt;=Personnel!$E$36,Personnel!$G$36="Yes"),Personnel!$D$36*(1-Personnel!$I$36),0)+IF(AND(79&gt;=Personnel!$E$37,Personnel!$G$37="Yes"),Personnel!$D$37*(1-Personnel!$I$37),0)))*Escalation!$B$80,Actuals!CF104)</f>
        <v>-28154.0604816</v>
      </c>
      <c r="CF191" s="22" t="n">
        <f aca="false">IF(ISBLANK(Actuals!CG104),(-(IF(AND(80&gt;=Personnel!$E$36,Personnel!$G$36="Yes"),Personnel!$D$36*(1-Personnel!$I$36),0)+IF(AND(80&gt;=Personnel!$E$37,Personnel!$G$37="Yes"),Personnel!$D$37*(1-Personnel!$I$37),0)))*Escalation!$B$81,Actuals!CG104)</f>
        <v>-28154.0604816</v>
      </c>
      <c r="CG191" s="22" t="n">
        <f aca="false">IF(ISBLANK(Actuals!CH104),(-(IF(AND(81&gt;=Personnel!$E$36,Personnel!$G$36="Yes"),Personnel!$D$36*(1-Personnel!$I$36),0)+IF(AND(81&gt;=Personnel!$E$37,Personnel!$G$37="Yes"),Personnel!$D$37*(1-Personnel!$I$37),0)))*Escalation!$B$82,Actuals!CH104)</f>
        <v>-28154.0604816</v>
      </c>
      <c r="CH191" s="22" t="n">
        <f aca="false">IF(ISBLANK(Actuals!CI104),(-(IF(AND(82&gt;=Personnel!$E$36,Personnel!$G$36="Yes"),Personnel!$D$36*(1-Personnel!$I$36),0)+IF(AND(82&gt;=Personnel!$E$37,Personnel!$G$37="Yes"),Personnel!$D$37*(1-Personnel!$I$37),0)))*Escalation!$B$83,Actuals!CI104)</f>
        <v>-28154.0604816</v>
      </c>
      <c r="CI191" s="22" t="n">
        <f aca="false">IF(ISBLANK(Actuals!CJ104),(-(IF(AND(83&gt;=Personnel!$E$36,Personnel!$G$36="Yes"),Personnel!$D$36*(1-Personnel!$I$36),0)+IF(AND(83&gt;=Personnel!$E$37,Personnel!$G$37="Yes"),Personnel!$D$37*(1-Personnel!$I$37),0)))*Escalation!$B$84,Actuals!CJ104)</f>
        <v>-28154.0604816</v>
      </c>
      <c r="CJ191" s="22" t="n">
        <f aca="false">IF(ISBLANK(Actuals!CK104),(-(IF(AND(84&gt;=Personnel!$E$36,Personnel!$G$36="Yes"),Personnel!$D$36*(1-Personnel!$I$36),0)+IF(AND(84&gt;=Personnel!$E$37,Personnel!$G$37="Yes"),Personnel!$D$37*(1-Personnel!$I$37),0)))*Escalation!$B$85,Actuals!CK104)</f>
        <v>-28154.0604816</v>
      </c>
      <c r="CK191" s="22" t="n">
        <f aca="false">IF(ISBLANK(Actuals!CL104),(-(IF(AND(85&gt;=Personnel!$E$36,Personnel!$G$36="Yes"),Personnel!$D$36*(1-Personnel!$I$36),0)+IF(AND(85&gt;=Personnel!$E$37,Personnel!$G$37="Yes"),Personnel!$D$37*(1-Personnel!$I$37),0)))*Escalation!$B$86,Actuals!CL104)</f>
        <v>-28717.141691232</v>
      </c>
      <c r="CL191" s="22" t="n">
        <f aca="false">IF(ISBLANK(Actuals!CM104),(-(IF(AND(86&gt;=Personnel!$E$36,Personnel!$G$36="Yes"),Personnel!$D$36*(1-Personnel!$I$36),0)+IF(AND(86&gt;=Personnel!$E$37,Personnel!$G$37="Yes"),Personnel!$D$37*(1-Personnel!$I$37),0)))*Escalation!$B$87,Actuals!CM104)</f>
        <v>-28717.141691232</v>
      </c>
      <c r="CM191" s="22" t="n">
        <f aca="false">IF(ISBLANK(Actuals!CN104),(-(IF(AND(87&gt;=Personnel!$E$36,Personnel!$G$36="Yes"),Personnel!$D$36*(1-Personnel!$I$36),0)+IF(AND(87&gt;=Personnel!$E$37,Personnel!$G$37="Yes"),Personnel!$D$37*(1-Personnel!$I$37),0)))*Escalation!$B$88,Actuals!CN104)</f>
        <v>-28717.141691232</v>
      </c>
      <c r="CN191" s="22" t="n">
        <f aca="false">IF(ISBLANK(Actuals!CO104),(-(IF(AND(88&gt;=Personnel!$E$36,Personnel!$G$36="Yes"),Personnel!$D$36*(1-Personnel!$I$36),0)+IF(AND(88&gt;=Personnel!$E$37,Personnel!$G$37="Yes"),Personnel!$D$37*(1-Personnel!$I$37),0)))*Escalation!$B$89,Actuals!CO104)</f>
        <v>-28717.141691232</v>
      </c>
      <c r="CO191" s="22" t="n">
        <f aca="false">IF(ISBLANK(Actuals!CP104),(-(IF(AND(89&gt;=Personnel!$E$36,Personnel!$G$36="Yes"),Personnel!$D$36*(1-Personnel!$I$36),0)+IF(AND(89&gt;=Personnel!$E$37,Personnel!$G$37="Yes"),Personnel!$D$37*(1-Personnel!$I$37),0)))*Escalation!$B$90,Actuals!CP104)</f>
        <v>-28717.141691232</v>
      </c>
      <c r="CP191" s="22" t="n">
        <f aca="false">IF(ISBLANK(Actuals!CQ104),(-(IF(AND(90&gt;=Personnel!$E$36,Personnel!$G$36="Yes"),Personnel!$D$36*(1-Personnel!$I$36),0)+IF(AND(90&gt;=Personnel!$E$37,Personnel!$G$37="Yes"),Personnel!$D$37*(1-Personnel!$I$37),0)))*Escalation!$B$91,Actuals!CQ104)</f>
        <v>-28717.141691232</v>
      </c>
      <c r="CQ191" s="22" t="n">
        <f aca="false">IF(ISBLANK(Actuals!CR104),(-(IF(AND(91&gt;=Personnel!$E$36,Personnel!$G$36="Yes"),Personnel!$D$36*(1-Personnel!$I$36),0)+IF(AND(91&gt;=Personnel!$E$37,Personnel!$G$37="Yes"),Personnel!$D$37*(1-Personnel!$I$37),0)))*Escalation!$B$92,Actuals!CR104)</f>
        <v>-28717.141691232</v>
      </c>
      <c r="CR191" s="22" t="n">
        <f aca="false">IF(ISBLANK(Actuals!CS104),(-(IF(AND(92&gt;=Personnel!$E$36,Personnel!$G$36="Yes"),Personnel!$D$36*(1-Personnel!$I$36),0)+IF(AND(92&gt;=Personnel!$E$37,Personnel!$G$37="Yes"),Personnel!$D$37*(1-Personnel!$I$37),0)))*Escalation!$B$93,Actuals!CS104)</f>
        <v>-28717.141691232</v>
      </c>
      <c r="CS191" s="22" t="n">
        <f aca="false">IF(ISBLANK(Actuals!CT104),(-(IF(AND(93&gt;=Personnel!$E$36,Personnel!$G$36="Yes"),Personnel!$D$36*(1-Personnel!$I$36),0)+IF(AND(93&gt;=Personnel!$E$37,Personnel!$G$37="Yes"),Personnel!$D$37*(1-Personnel!$I$37),0)))*Escalation!$B$94,Actuals!CT104)</f>
        <v>-28717.141691232</v>
      </c>
      <c r="CT191" s="22" t="n">
        <f aca="false">IF(ISBLANK(Actuals!CU104),(-(IF(AND(94&gt;=Personnel!$E$36,Personnel!$G$36="Yes"),Personnel!$D$36*(1-Personnel!$I$36),0)+IF(AND(94&gt;=Personnel!$E$37,Personnel!$G$37="Yes"),Personnel!$D$37*(1-Personnel!$I$37),0)))*Escalation!$B$95,Actuals!CU104)</f>
        <v>-28717.141691232</v>
      </c>
      <c r="CU191" s="22" t="n">
        <f aca="false">IF(ISBLANK(Actuals!CV104),(-(IF(AND(95&gt;=Personnel!$E$36,Personnel!$G$36="Yes"),Personnel!$D$36*(1-Personnel!$I$36),0)+IF(AND(95&gt;=Personnel!$E$37,Personnel!$G$37="Yes"),Personnel!$D$37*(1-Personnel!$I$37),0)))*Escalation!$B$96,Actuals!CV104)</f>
        <v>-28717.141691232</v>
      </c>
      <c r="CV191" s="22" t="n">
        <f aca="false">IF(ISBLANK(Actuals!CW104),(-(IF(AND(96&gt;=Personnel!$E$36,Personnel!$G$36="Yes"),Personnel!$D$36*(1-Personnel!$I$36),0)+IF(AND(96&gt;=Personnel!$E$37,Personnel!$G$37="Yes"),Personnel!$D$37*(1-Personnel!$I$37),0)))*Escalation!$B$97,Actuals!CW104)</f>
        <v>-28717.141691232</v>
      </c>
      <c r="CW191" s="22" t="n">
        <f aca="false">IF(ISBLANK(Actuals!CX104),(-(IF(AND(97&gt;=Personnel!$E$36,Personnel!$G$36="Yes"),Personnel!$D$36*(1-Personnel!$I$36),0)+IF(AND(97&gt;=Personnel!$E$37,Personnel!$G$37="Yes"),Personnel!$D$37*(1-Personnel!$I$37),0)))*Escalation!$B$98,Actuals!CX104)</f>
        <v>-29291.4845250566</v>
      </c>
      <c r="CX191" s="22" t="n">
        <f aca="false">IF(ISBLANK(Actuals!CY104),(-(IF(AND(98&gt;=Personnel!$E$36,Personnel!$G$36="Yes"),Personnel!$D$36*(1-Personnel!$I$36),0)+IF(AND(98&gt;=Personnel!$E$37,Personnel!$G$37="Yes"),Personnel!$D$37*(1-Personnel!$I$37),0)))*Escalation!$B$99,Actuals!CY104)</f>
        <v>-29291.4845250566</v>
      </c>
      <c r="CY191" s="22" t="n">
        <f aca="false">IF(ISBLANK(Actuals!CZ104),(-(IF(AND(99&gt;=Personnel!$E$36,Personnel!$G$36="Yes"),Personnel!$D$36*(1-Personnel!$I$36),0)+IF(AND(99&gt;=Personnel!$E$37,Personnel!$G$37="Yes"),Personnel!$D$37*(1-Personnel!$I$37),0)))*Escalation!$B$100,Actuals!CZ104)</f>
        <v>-29291.4845250566</v>
      </c>
      <c r="CZ191" s="22" t="n">
        <f aca="false">IF(ISBLANK(Actuals!DA104),(-(IF(AND(100&gt;=Personnel!$E$36,Personnel!$G$36="Yes"),Personnel!$D$36*(1-Personnel!$I$36),0)+IF(AND(100&gt;=Personnel!$E$37,Personnel!$G$37="Yes"),Personnel!$D$37*(1-Personnel!$I$37),0)))*Escalation!$B$101,Actuals!DA104)</f>
        <v>-29291.4845250566</v>
      </c>
      <c r="DA191" s="22" t="n">
        <f aca="false">IF(ISBLANK(Actuals!DB104),(-(IF(AND(101&gt;=Personnel!$E$36,Personnel!$G$36="Yes"),Personnel!$D$36*(1-Personnel!$I$36),0)+IF(AND(101&gt;=Personnel!$E$37,Personnel!$G$37="Yes"),Personnel!$D$37*(1-Personnel!$I$37),0)))*Escalation!$B$102,Actuals!DB104)</f>
        <v>-29291.4845250566</v>
      </c>
      <c r="DB191" s="22" t="n">
        <f aca="false">IF(ISBLANK(Actuals!DC104),(-(IF(AND(102&gt;=Personnel!$E$36,Personnel!$G$36="Yes"),Personnel!$D$36*(1-Personnel!$I$36),0)+IF(AND(102&gt;=Personnel!$E$37,Personnel!$G$37="Yes"),Personnel!$D$37*(1-Personnel!$I$37),0)))*Escalation!$B$103,Actuals!DC104)</f>
        <v>-29291.4845250566</v>
      </c>
      <c r="DC191" s="22" t="n">
        <f aca="false">IF(ISBLANK(Actuals!DD104),(-(IF(AND(103&gt;=Personnel!$E$36,Personnel!$G$36="Yes"),Personnel!$D$36*(1-Personnel!$I$36),0)+IF(AND(103&gt;=Personnel!$E$37,Personnel!$G$37="Yes"),Personnel!$D$37*(1-Personnel!$I$37),0)))*Escalation!$B$104,Actuals!DD104)</f>
        <v>-29291.4845250566</v>
      </c>
      <c r="DD191" s="22" t="n">
        <f aca="false">IF(ISBLANK(Actuals!DE104),(-(IF(AND(104&gt;=Personnel!$E$36,Personnel!$G$36="Yes"),Personnel!$D$36*(1-Personnel!$I$36),0)+IF(AND(104&gt;=Personnel!$E$37,Personnel!$G$37="Yes"),Personnel!$D$37*(1-Personnel!$I$37),0)))*Escalation!$B$105,Actuals!DE104)</f>
        <v>-29291.4845250566</v>
      </c>
      <c r="DE191" s="22" t="n">
        <f aca="false">IF(ISBLANK(Actuals!DF104),(-(IF(AND(105&gt;=Personnel!$E$36,Personnel!$G$36="Yes"),Personnel!$D$36*(1-Personnel!$I$36),0)+IF(AND(105&gt;=Personnel!$E$37,Personnel!$G$37="Yes"),Personnel!$D$37*(1-Personnel!$I$37),0)))*Escalation!$B$106,Actuals!DF104)</f>
        <v>-29291.4845250566</v>
      </c>
    </row>
    <row r="192" customFormat="false" ht="15" hidden="false" customHeight="true" outlineLevel="0" collapsed="false">
      <c r="A192" s="29" t="s">
        <v>88</v>
      </c>
      <c r="B192" s="14" t="n">
        <f aca="false">IF(ISBLANK(Actuals!C105),0,Actuals!C105)</f>
        <v>-6935.84</v>
      </c>
      <c r="C192" s="14" t="n">
        <f aca="false">IF(ISBLANK(Actuals!D105),0,Actuals!D105)</f>
        <v>-2799.88</v>
      </c>
      <c r="D192" s="14" t="n">
        <f aca="false">IF(ISBLANK(Actuals!E105),0,Actuals!E105)</f>
        <v>-12899.88</v>
      </c>
      <c r="E192" s="14" t="n">
        <f aca="false">IF(ISBLANK(Actuals!F105),-1580.65*Escalation!$B$2,Actuals!F105)</f>
        <v>-2932.88</v>
      </c>
      <c r="F192" s="14" t="n">
        <f aca="false">IF(ISBLANK(Actuals!G105),-1580.65*Escalation!$B$3,Actuals!G105)</f>
        <v>-5474.88</v>
      </c>
      <c r="G192" s="14" t="n">
        <f aca="false">IF(ISBLANK(Actuals!H105),-1580.65*Escalation!$B$4,Actuals!H105)</f>
        <v>-5</v>
      </c>
      <c r="H192" s="14" t="n">
        <f aca="false">IF(ISBLANK(Actuals!I105),-1580.65*Escalation!$B$5,Actuals!I105)</f>
        <v>-1580.65</v>
      </c>
      <c r="I192" s="14" t="n">
        <f aca="false">IF(ISBLANK(Actuals!J105),-1580.65*Escalation!$B$6,Actuals!J105)</f>
        <v>-1580.65</v>
      </c>
      <c r="J192" s="14" t="n">
        <f aca="false">IF(ISBLANK(Actuals!K105),-1580.65*Escalation!$B$7,Actuals!K105)</f>
        <v>-1580.65</v>
      </c>
      <c r="K192" s="14" t="n">
        <f aca="false">IF(ISBLANK(Actuals!L105),-1580.65*Escalation!$B$8,Actuals!L105)</f>
        <v>-1580.65</v>
      </c>
      <c r="L192" s="14" t="n">
        <f aca="false">IF(ISBLANK(Actuals!M105),-1580.65*Escalation!$B$9,Actuals!M105)</f>
        <v>-1580.65</v>
      </c>
      <c r="M192" s="14" t="n">
        <f aca="false">IF(ISBLANK(Actuals!N105),-1580.65*Escalation!$B$10,Actuals!N105)</f>
        <v>-1580.65</v>
      </c>
      <c r="N192" s="14" t="n">
        <f aca="false">IF(ISBLANK(Actuals!O105),-1580.65*Escalation!$B$11,Actuals!O105)</f>
        <v>-1580.65</v>
      </c>
      <c r="O192" s="14" t="n">
        <f aca="false">IF(ISBLANK(Actuals!P105),-1580.65*Escalation!$B$12,Actuals!P105)</f>
        <v>-1580.65</v>
      </c>
      <c r="P192" s="14" t="n">
        <f aca="false">IF(ISBLANK(Actuals!Q105),-1580.65*Escalation!$B$13,Actuals!Q105)</f>
        <v>-1580.65</v>
      </c>
      <c r="Q192" s="14" t="n">
        <f aca="false">IF(ISBLANK(Actuals!R105),-1580.65*Escalation!$B$14,Actuals!R105)</f>
        <v>-1612.263</v>
      </c>
      <c r="R192" s="14" t="n">
        <f aca="false">IF(ISBLANK(Actuals!S105),-1580.65*Escalation!$B$15,Actuals!S105)</f>
        <v>-1612.263</v>
      </c>
      <c r="S192" s="14" t="n">
        <f aca="false">IF(ISBLANK(Actuals!T105),-1580.65*Escalation!$B$16,Actuals!T105)</f>
        <v>-1612.263</v>
      </c>
      <c r="T192" s="14" t="n">
        <f aca="false">IF(ISBLANK(Actuals!U105),-1580.65*Escalation!$B$17,Actuals!U105)</f>
        <v>-1612.263</v>
      </c>
      <c r="U192" s="14" t="n">
        <f aca="false">IF(ISBLANK(Actuals!V105),-1580.65*Escalation!$B$18,Actuals!V105)</f>
        <v>-1612.263</v>
      </c>
      <c r="V192" s="14" t="n">
        <f aca="false">IF(ISBLANK(Actuals!W105),-1580.65*Escalation!$B$19,Actuals!W105)</f>
        <v>-1612.263</v>
      </c>
      <c r="W192" s="14" t="n">
        <f aca="false">IF(ISBLANK(Actuals!X105),-1580.65*Escalation!$B$20,Actuals!X105)</f>
        <v>-1612.263</v>
      </c>
      <c r="X192" s="14" t="n">
        <f aca="false">IF(ISBLANK(Actuals!Y105),-1580.65*Escalation!$B$21,Actuals!Y105)</f>
        <v>-1612.263</v>
      </c>
      <c r="Y192" s="14" t="n">
        <f aca="false">IF(ISBLANK(Actuals!Z105),-1580.65*Escalation!$B$22,Actuals!Z105)</f>
        <v>-1612.263</v>
      </c>
      <c r="Z192" s="14" t="n">
        <f aca="false">IF(ISBLANK(Actuals!AA105),-1580.65*Escalation!$B$23,Actuals!AA105)</f>
        <v>-1612.263</v>
      </c>
      <c r="AA192" s="14" t="n">
        <f aca="false">IF(ISBLANK(Actuals!AB105),-1580.65*Escalation!$B$24,Actuals!AB105)</f>
        <v>-1612.263</v>
      </c>
      <c r="AB192" s="14" t="n">
        <f aca="false">IF(ISBLANK(Actuals!AC105),-1580.65*Escalation!$B$25,Actuals!AC105)</f>
        <v>-1612.263</v>
      </c>
      <c r="AC192" s="14" t="n">
        <f aca="false">IF(ISBLANK(Actuals!AD105),-1580.65*Escalation!$B$26,Actuals!AD105)</f>
        <v>-1644.50826</v>
      </c>
      <c r="AD192" s="14" t="n">
        <f aca="false">IF(ISBLANK(Actuals!AE105),-1580.65*Escalation!$B$27,Actuals!AE105)</f>
        <v>-1644.50826</v>
      </c>
      <c r="AE192" s="14" t="n">
        <f aca="false">IF(ISBLANK(Actuals!AF105),-1580.65*Escalation!$B$28,Actuals!AF105)</f>
        <v>-1644.50826</v>
      </c>
      <c r="AF192" s="14" t="n">
        <f aca="false">IF(ISBLANK(Actuals!AG105),-1580.65*Escalation!$B$29,Actuals!AG105)</f>
        <v>-1644.50826</v>
      </c>
      <c r="AG192" s="14" t="n">
        <f aca="false">IF(ISBLANK(Actuals!AH105),-1580.65*Escalation!$B$30,Actuals!AH105)</f>
        <v>-1644.50826</v>
      </c>
      <c r="AH192" s="14" t="n">
        <f aca="false">IF(ISBLANK(Actuals!AI105),-1580.65*Escalation!$B$31,Actuals!AI105)</f>
        <v>-1644.50826</v>
      </c>
      <c r="AI192" s="14" t="n">
        <f aca="false">IF(ISBLANK(Actuals!AJ105),-1580.65*Escalation!$B$32,Actuals!AJ105)</f>
        <v>-1644.50826</v>
      </c>
      <c r="AJ192" s="14" t="n">
        <f aca="false">IF(ISBLANK(Actuals!AK105),-1580.65*Escalation!$B$33,Actuals!AK105)</f>
        <v>-1644.50826</v>
      </c>
      <c r="AK192" s="14" t="n">
        <f aca="false">IF(ISBLANK(Actuals!AL105),-1580.65*Escalation!$B$34,Actuals!AL105)</f>
        <v>-1644.50826</v>
      </c>
      <c r="AL192" s="14" t="n">
        <f aca="false">IF(ISBLANK(Actuals!AM105),-1580.65*Escalation!$B$35,Actuals!AM105)</f>
        <v>-1644.50826</v>
      </c>
      <c r="AM192" s="14" t="n">
        <f aca="false">IF(ISBLANK(Actuals!AN105),-1580.65*Escalation!$B$36,Actuals!AN105)</f>
        <v>-1644.50826</v>
      </c>
      <c r="AN192" s="14" t="n">
        <f aca="false">IF(ISBLANK(Actuals!AO105),-1580.65*Escalation!$B$37,Actuals!AO105)</f>
        <v>-1644.50826</v>
      </c>
      <c r="AO192" s="14" t="n">
        <f aca="false">IF(ISBLANK(Actuals!AP105),-1580.65*Escalation!$B$38,Actuals!AP105)</f>
        <v>-1677.3984252</v>
      </c>
      <c r="AP192" s="14" t="n">
        <f aca="false">IF(ISBLANK(Actuals!AQ105),-1580.65*Escalation!$B$39,Actuals!AQ105)</f>
        <v>-1677.3984252</v>
      </c>
      <c r="AQ192" s="14" t="n">
        <f aca="false">IF(ISBLANK(Actuals!AR105),-1580.65*Escalation!$B$40,Actuals!AR105)</f>
        <v>-1677.3984252</v>
      </c>
      <c r="AR192" s="14" t="n">
        <f aca="false">IF(ISBLANK(Actuals!AS105),-1580.65*Escalation!$B$41,Actuals!AS105)</f>
        <v>-1677.3984252</v>
      </c>
      <c r="AS192" s="14" t="n">
        <f aca="false">IF(ISBLANK(Actuals!AT105),-1580.65*Escalation!$B$42,Actuals!AT105)</f>
        <v>-1677.3984252</v>
      </c>
      <c r="AT192" s="14" t="n">
        <f aca="false">IF(ISBLANK(Actuals!AU105),-1580.65*Escalation!$B$43,Actuals!AU105)</f>
        <v>-1677.3984252</v>
      </c>
      <c r="AU192" s="14" t="n">
        <f aca="false">IF(ISBLANK(Actuals!AV105),-1580.65*Escalation!$B$44,Actuals!AV105)</f>
        <v>-1677.3984252</v>
      </c>
      <c r="AV192" s="14" t="n">
        <f aca="false">IF(ISBLANK(Actuals!AW105),-1580.65*Escalation!$B$45,Actuals!AW105)</f>
        <v>-1677.3984252</v>
      </c>
      <c r="AW192" s="14" t="n">
        <f aca="false">IF(ISBLANK(Actuals!AX105),-1580.65*Escalation!$B$46,Actuals!AX105)</f>
        <v>-1677.3984252</v>
      </c>
      <c r="AX192" s="14" t="n">
        <f aca="false">IF(ISBLANK(Actuals!AY105),-1580.65*Escalation!$B$47,Actuals!AY105)</f>
        <v>-1677.3984252</v>
      </c>
      <c r="AY192" s="14" t="n">
        <f aca="false">IF(ISBLANK(Actuals!AZ105),-1580.65*Escalation!$B$48,Actuals!AZ105)</f>
        <v>-1677.3984252</v>
      </c>
      <c r="AZ192" s="14" t="n">
        <f aca="false">IF(ISBLANK(Actuals!BA105),-1580.65*Escalation!$B$49,Actuals!BA105)</f>
        <v>-1677.3984252</v>
      </c>
      <c r="BA192" s="14" t="n">
        <f aca="false">IF(ISBLANK(Actuals!BB105),-1580.65*Escalation!$B$50,Actuals!BB105)</f>
        <v>-1710.946393704</v>
      </c>
      <c r="BB192" s="14" t="n">
        <f aca="false">IF(ISBLANK(Actuals!BC105),-1580.65*Escalation!$B$51,Actuals!BC105)</f>
        <v>-1710.946393704</v>
      </c>
      <c r="BC192" s="14" t="n">
        <f aca="false">IF(ISBLANK(Actuals!BD105),-1580.65*Escalation!$B$52,Actuals!BD105)</f>
        <v>-1710.946393704</v>
      </c>
      <c r="BD192" s="14" t="n">
        <f aca="false">IF(ISBLANK(Actuals!BE105),-1580.65*Escalation!$B$53,Actuals!BE105)</f>
        <v>-1710.946393704</v>
      </c>
      <c r="BE192" s="14" t="n">
        <f aca="false">IF(ISBLANK(Actuals!BF105),-1580.65*Escalation!$B$54,Actuals!BF105)</f>
        <v>-1710.946393704</v>
      </c>
      <c r="BF192" s="14" t="n">
        <f aca="false">IF(ISBLANK(Actuals!BG105),-1580.65*Escalation!$B$55,Actuals!BG105)</f>
        <v>-1710.946393704</v>
      </c>
      <c r="BG192" s="14" t="n">
        <f aca="false">IF(ISBLANK(Actuals!BH105),-1580.65*Escalation!$B$56,Actuals!BH105)</f>
        <v>-1710.946393704</v>
      </c>
      <c r="BH192" s="14" t="n">
        <f aca="false">IF(ISBLANK(Actuals!BI105),-1580.65*Escalation!$B$57,Actuals!BI105)</f>
        <v>-1710.946393704</v>
      </c>
      <c r="BI192" s="14" t="n">
        <f aca="false">IF(ISBLANK(Actuals!BJ105),-1580.65*Escalation!$B$58,Actuals!BJ105)</f>
        <v>-1710.946393704</v>
      </c>
      <c r="BJ192" s="14" t="n">
        <f aca="false">IF(ISBLANK(Actuals!BK105),-1580.65*Escalation!$B$59,Actuals!BK105)</f>
        <v>-1710.946393704</v>
      </c>
      <c r="BK192" s="14" t="n">
        <f aca="false">IF(ISBLANK(Actuals!BL105),-1580.65*Escalation!$B$60,Actuals!BL105)</f>
        <v>-1710.946393704</v>
      </c>
      <c r="BL192" s="14" t="n">
        <f aca="false">IF(ISBLANK(Actuals!BM105),-1580.65*Escalation!$B$61,Actuals!BM105)</f>
        <v>-1710.946393704</v>
      </c>
      <c r="BM192" s="14" t="n">
        <f aca="false">IF(ISBLANK(Actuals!BN105),-1580.65*Escalation!$B$62,Actuals!BN105)</f>
        <v>-1745.16532157808</v>
      </c>
      <c r="BN192" s="14" t="n">
        <f aca="false">IF(ISBLANK(Actuals!BO105),-1580.65*Escalation!$B$63,Actuals!BO105)</f>
        <v>-1745.16532157808</v>
      </c>
      <c r="BO192" s="14" t="n">
        <f aca="false">IF(ISBLANK(Actuals!BP105),-1580.65*Escalation!$B$64,Actuals!BP105)</f>
        <v>-1745.16532157808</v>
      </c>
      <c r="BP192" s="14" t="n">
        <f aca="false">IF(ISBLANK(Actuals!BQ105),-1580.65*Escalation!$B$65,Actuals!BQ105)</f>
        <v>-1745.16532157808</v>
      </c>
      <c r="BQ192" s="14" t="n">
        <f aca="false">IF(ISBLANK(Actuals!BR105),-1580.65*Escalation!$B$66,Actuals!BR105)</f>
        <v>-1745.16532157808</v>
      </c>
      <c r="BR192" s="14" t="n">
        <f aca="false">IF(ISBLANK(Actuals!BS105),-1580.65*Escalation!$B$67,Actuals!BS105)</f>
        <v>-1745.16532157808</v>
      </c>
      <c r="BS192" s="14" t="n">
        <f aca="false">IF(ISBLANK(Actuals!BT105),-1580.65*Escalation!$B$68,Actuals!BT105)</f>
        <v>-1745.16532157808</v>
      </c>
      <c r="BT192" s="14" t="n">
        <f aca="false">IF(ISBLANK(Actuals!BU105),-1580.65*Escalation!$B$69,Actuals!BU105)</f>
        <v>-1745.16532157808</v>
      </c>
      <c r="BU192" s="14" t="n">
        <f aca="false">IF(ISBLANK(Actuals!BV105),-1580.65*Escalation!$B$70,Actuals!BV105)</f>
        <v>-1745.16532157808</v>
      </c>
      <c r="BV192" s="14" t="n">
        <f aca="false">IF(ISBLANK(Actuals!BW105),-1580.65*Escalation!$B$71,Actuals!BW105)</f>
        <v>-1745.16532157808</v>
      </c>
      <c r="BW192" s="14" t="n">
        <f aca="false">IF(ISBLANK(Actuals!BX105),-1580.65*Escalation!$B$72,Actuals!BX105)</f>
        <v>-1745.16532157808</v>
      </c>
      <c r="BX192" s="14" t="n">
        <f aca="false">IF(ISBLANK(Actuals!BY105),-1580.65*Escalation!$B$73,Actuals!BY105)</f>
        <v>-1745.16532157808</v>
      </c>
      <c r="BY192" s="14" t="n">
        <f aca="false">IF(ISBLANK(Actuals!BZ105),-1580.65*Escalation!$B$74,Actuals!BZ105)</f>
        <v>-1780.06862800964</v>
      </c>
      <c r="BZ192" s="14" t="n">
        <f aca="false">IF(ISBLANK(Actuals!CA105),-1580.65*Escalation!$B$75,Actuals!CA105)</f>
        <v>-1780.06862800964</v>
      </c>
      <c r="CA192" s="14" t="n">
        <f aca="false">IF(ISBLANK(Actuals!CB105),-1580.65*Escalation!$B$76,Actuals!CB105)</f>
        <v>-1780.06862800964</v>
      </c>
      <c r="CB192" s="14" t="n">
        <f aca="false">IF(ISBLANK(Actuals!CC105),-1580.65*Escalation!$B$77,Actuals!CC105)</f>
        <v>-1780.06862800964</v>
      </c>
      <c r="CC192" s="14" t="n">
        <f aca="false">IF(ISBLANK(Actuals!CD105),-1580.65*Escalation!$B$78,Actuals!CD105)</f>
        <v>-1780.06862800964</v>
      </c>
      <c r="CD192" s="14" t="n">
        <f aca="false">IF(ISBLANK(Actuals!CE105),-1580.65*Escalation!$B$79,Actuals!CE105)</f>
        <v>-1780.06862800964</v>
      </c>
      <c r="CE192" s="14" t="n">
        <f aca="false">IF(ISBLANK(Actuals!CF105),-1580.65*Escalation!$B$80,Actuals!CF105)</f>
        <v>-1780.06862800964</v>
      </c>
      <c r="CF192" s="14" t="n">
        <f aca="false">IF(ISBLANK(Actuals!CG105),-1580.65*Escalation!$B$81,Actuals!CG105)</f>
        <v>-1780.06862800964</v>
      </c>
      <c r="CG192" s="14" t="n">
        <f aca="false">IF(ISBLANK(Actuals!CH105),-1580.65*Escalation!$B$82,Actuals!CH105)</f>
        <v>-1780.06862800964</v>
      </c>
      <c r="CH192" s="14" t="n">
        <f aca="false">IF(ISBLANK(Actuals!CI105),-1580.65*Escalation!$B$83,Actuals!CI105)</f>
        <v>-1780.06862800964</v>
      </c>
      <c r="CI192" s="14" t="n">
        <f aca="false">IF(ISBLANK(Actuals!CJ105),-1580.65*Escalation!$B$84,Actuals!CJ105)</f>
        <v>-1780.06862800964</v>
      </c>
      <c r="CJ192" s="14" t="n">
        <f aca="false">IF(ISBLANK(Actuals!CK105),-1580.65*Escalation!$B$85,Actuals!CK105)</f>
        <v>-1780.06862800964</v>
      </c>
      <c r="CK192" s="14" t="n">
        <f aca="false">IF(ISBLANK(Actuals!CL105),-1580.65*Escalation!$B$86,Actuals!CL105)</f>
        <v>-1815.67000056983</v>
      </c>
      <c r="CL192" s="14" t="n">
        <f aca="false">IF(ISBLANK(Actuals!CM105),-1580.65*Escalation!$B$87,Actuals!CM105)</f>
        <v>-1815.67000056983</v>
      </c>
      <c r="CM192" s="14" t="n">
        <f aca="false">IF(ISBLANK(Actuals!CN105),-1580.65*Escalation!$B$88,Actuals!CN105)</f>
        <v>-1815.67000056983</v>
      </c>
      <c r="CN192" s="14" t="n">
        <f aca="false">IF(ISBLANK(Actuals!CO105),-1580.65*Escalation!$B$89,Actuals!CO105)</f>
        <v>-1815.67000056983</v>
      </c>
      <c r="CO192" s="14" t="n">
        <f aca="false">IF(ISBLANK(Actuals!CP105),-1580.65*Escalation!$B$90,Actuals!CP105)</f>
        <v>-1815.67000056983</v>
      </c>
      <c r="CP192" s="14" t="n">
        <f aca="false">IF(ISBLANK(Actuals!CQ105),-1580.65*Escalation!$B$91,Actuals!CQ105)</f>
        <v>-1815.67000056983</v>
      </c>
      <c r="CQ192" s="14" t="n">
        <f aca="false">IF(ISBLANK(Actuals!CR105),-1580.65*Escalation!$B$92,Actuals!CR105)</f>
        <v>-1815.67000056983</v>
      </c>
      <c r="CR192" s="14" t="n">
        <f aca="false">IF(ISBLANK(Actuals!CS105),-1580.65*Escalation!$B$93,Actuals!CS105)</f>
        <v>-1815.67000056983</v>
      </c>
      <c r="CS192" s="14" t="n">
        <f aca="false">IF(ISBLANK(Actuals!CT105),-1580.65*Escalation!$B$94,Actuals!CT105)</f>
        <v>-1815.67000056983</v>
      </c>
      <c r="CT192" s="14" t="n">
        <f aca="false">IF(ISBLANK(Actuals!CU105),-1580.65*Escalation!$B$95,Actuals!CU105)</f>
        <v>-1815.67000056983</v>
      </c>
      <c r="CU192" s="14" t="n">
        <f aca="false">IF(ISBLANK(Actuals!CV105),-1580.65*Escalation!$B$96,Actuals!CV105)</f>
        <v>-1815.67000056983</v>
      </c>
      <c r="CV192" s="14" t="n">
        <f aca="false">IF(ISBLANK(Actuals!CW105),-1580.65*Escalation!$B$97,Actuals!CW105)</f>
        <v>-1815.67000056983</v>
      </c>
      <c r="CW192" s="14" t="n">
        <f aca="false">IF(ISBLANK(Actuals!CX105),-1580.65*Escalation!$B$98,Actuals!CX105)</f>
        <v>-1851.98340058123</v>
      </c>
      <c r="CX192" s="14" t="n">
        <f aca="false">IF(ISBLANK(Actuals!CY105),-1580.65*Escalation!$B$99,Actuals!CY105)</f>
        <v>-1851.98340058123</v>
      </c>
      <c r="CY192" s="14" t="n">
        <f aca="false">IF(ISBLANK(Actuals!CZ105),-1580.65*Escalation!$B$100,Actuals!CZ105)</f>
        <v>-1851.98340058123</v>
      </c>
      <c r="CZ192" s="14" t="n">
        <f aca="false">IF(ISBLANK(Actuals!DA105),-1580.65*Escalation!$B$101,Actuals!DA105)</f>
        <v>-1851.98340058123</v>
      </c>
      <c r="DA192" s="14" t="n">
        <f aca="false">IF(ISBLANK(Actuals!DB105),-1580.65*Escalation!$B$102,Actuals!DB105)</f>
        <v>-1851.98340058123</v>
      </c>
      <c r="DB192" s="14" t="n">
        <f aca="false">IF(ISBLANK(Actuals!DC105),-1580.65*Escalation!$B$103,Actuals!DC105)</f>
        <v>-1851.98340058123</v>
      </c>
      <c r="DC192" s="14" t="n">
        <f aca="false">IF(ISBLANK(Actuals!DD105),-1580.65*Escalation!$B$104,Actuals!DD105)</f>
        <v>-1851.98340058123</v>
      </c>
      <c r="DD192" s="14" t="n">
        <f aca="false">IF(ISBLANK(Actuals!DE105),-1580.65*Escalation!$B$105,Actuals!DE105)</f>
        <v>-1851.98340058123</v>
      </c>
      <c r="DE192" s="14" t="n">
        <f aca="false">IF(ISBLANK(Actuals!DF105),-1580.65*Escalation!$B$106,Actuals!DF105)</f>
        <v>-1851.98340058123</v>
      </c>
    </row>
    <row r="193" customFormat="false" ht="15" hidden="false" customHeight="true" outlineLevel="0" collapsed="false">
      <c r="A193" s="29" t="s">
        <v>89</v>
      </c>
      <c r="B193" s="14" t="n">
        <f aca="false">IF(ISBLANK(Actuals!C106),0,Actuals!C106)</f>
        <v>-658.14</v>
      </c>
      <c r="C193" s="14" t="n">
        <f aca="false">IF(ISBLANK(Actuals!D106),0,Actuals!D106)</f>
        <v>-310</v>
      </c>
      <c r="D193" s="14" t="n">
        <f aca="false">IF(ISBLANK(Actuals!E106),0,Actuals!E106)</f>
        <v>-371.74</v>
      </c>
      <c r="E193" s="14" t="n">
        <f aca="false">IF(ISBLANK(Actuals!F106),-446.63*Escalation!$B$2,Actuals!F106)</f>
        <v>-857.33</v>
      </c>
      <c r="F193" s="14" t="n">
        <f aca="false">IF(ISBLANK(Actuals!G106),-446.63*Escalation!$B$3,Actuals!G106)</f>
        <v>-305</v>
      </c>
      <c r="G193" s="14" t="n">
        <f aca="false">IF(ISBLANK(Actuals!H106),-446.63*Escalation!$B$4,Actuals!H106)</f>
        <v>-352.5</v>
      </c>
      <c r="H193" s="14" t="n">
        <f aca="false">IF(ISBLANK(Actuals!I106),-446.63*Escalation!$B$5,Actuals!I106)</f>
        <v>-446.63</v>
      </c>
      <c r="I193" s="14" t="n">
        <f aca="false">IF(ISBLANK(Actuals!J106),-446.63*Escalation!$B$6,Actuals!J106)</f>
        <v>-446.63</v>
      </c>
      <c r="J193" s="14" t="n">
        <f aca="false">IF(ISBLANK(Actuals!K106),-446.63*Escalation!$B$7,Actuals!K106)</f>
        <v>-446.63</v>
      </c>
      <c r="K193" s="14" t="n">
        <f aca="false">IF(ISBLANK(Actuals!L106),-446.63*Escalation!$B$8,Actuals!L106)</f>
        <v>-446.63</v>
      </c>
      <c r="L193" s="14" t="n">
        <f aca="false">IF(ISBLANK(Actuals!M106),-446.63*Escalation!$B$9,Actuals!M106)</f>
        <v>-446.63</v>
      </c>
      <c r="M193" s="14" t="n">
        <f aca="false">IF(ISBLANK(Actuals!N106),-446.63*Escalation!$B$10,Actuals!N106)</f>
        <v>-446.63</v>
      </c>
      <c r="N193" s="14" t="n">
        <f aca="false">IF(ISBLANK(Actuals!O106),-446.63*Escalation!$B$11,Actuals!O106)</f>
        <v>-446.63</v>
      </c>
      <c r="O193" s="14" t="n">
        <f aca="false">IF(ISBLANK(Actuals!P106),-446.63*Escalation!$B$12,Actuals!P106)</f>
        <v>-446.63</v>
      </c>
      <c r="P193" s="14" t="n">
        <f aca="false">IF(ISBLANK(Actuals!Q106),-446.63*Escalation!$B$13,Actuals!Q106)</f>
        <v>-446.63</v>
      </c>
      <c r="Q193" s="14" t="n">
        <f aca="false">IF(ISBLANK(Actuals!R106),-446.63*Escalation!$B$14,Actuals!R106)</f>
        <v>-455.5626</v>
      </c>
      <c r="R193" s="14" t="n">
        <f aca="false">IF(ISBLANK(Actuals!S106),-446.63*Escalation!$B$15,Actuals!S106)</f>
        <v>-455.5626</v>
      </c>
      <c r="S193" s="14" t="n">
        <f aca="false">IF(ISBLANK(Actuals!T106),-446.63*Escalation!$B$16,Actuals!T106)</f>
        <v>-455.5626</v>
      </c>
      <c r="T193" s="14" t="n">
        <f aca="false">IF(ISBLANK(Actuals!U106),-446.63*Escalation!$B$17,Actuals!U106)</f>
        <v>-455.5626</v>
      </c>
      <c r="U193" s="14" t="n">
        <f aca="false">IF(ISBLANK(Actuals!V106),-446.63*Escalation!$B$18,Actuals!V106)</f>
        <v>-455.5626</v>
      </c>
      <c r="V193" s="14" t="n">
        <f aca="false">IF(ISBLANK(Actuals!W106),-446.63*Escalation!$B$19,Actuals!W106)</f>
        <v>-455.5626</v>
      </c>
      <c r="W193" s="14" t="n">
        <f aca="false">IF(ISBLANK(Actuals!X106),-446.63*Escalation!$B$20,Actuals!X106)</f>
        <v>-455.5626</v>
      </c>
      <c r="X193" s="14" t="n">
        <f aca="false">IF(ISBLANK(Actuals!Y106),-446.63*Escalation!$B$21,Actuals!Y106)</f>
        <v>-455.5626</v>
      </c>
      <c r="Y193" s="14" t="n">
        <f aca="false">IF(ISBLANK(Actuals!Z106),-446.63*Escalation!$B$22,Actuals!Z106)</f>
        <v>-455.5626</v>
      </c>
      <c r="Z193" s="14" t="n">
        <f aca="false">IF(ISBLANK(Actuals!AA106),-446.63*Escalation!$B$23,Actuals!AA106)</f>
        <v>-455.5626</v>
      </c>
      <c r="AA193" s="14" t="n">
        <f aca="false">IF(ISBLANK(Actuals!AB106),-446.63*Escalation!$B$24,Actuals!AB106)</f>
        <v>-455.5626</v>
      </c>
      <c r="AB193" s="14" t="n">
        <f aca="false">IF(ISBLANK(Actuals!AC106),-446.63*Escalation!$B$25,Actuals!AC106)</f>
        <v>-455.5626</v>
      </c>
      <c r="AC193" s="14" t="n">
        <f aca="false">IF(ISBLANK(Actuals!AD106),-446.63*Escalation!$B$26,Actuals!AD106)</f>
        <v>-464.673852</v>
      </c>
      <c r="AD193" s="14" t="n">
        <f aca="false">IF(ISBLANK(Actuals!AE106),-446.63*Escalation!$B$27,Actuals!AE106)</f>
        <v>-464.673852</v>
      </c>
      <c r="AE193" s="14" t="n">
        <f aca="false">IF(ISBLANK(Actuals!AF106),-446.63*Escalation!$B$28,Actuals!AF106)</f>
        <v>-464.673852</v>
      </c>
      <c r="AF193" s="14" t="n">
        <f aca="false">IF(ISBLANK(Actuals!AG106),-446.63*Escalation!$B$29,Actuals!AG106)</f>
        <v>-464.673852</v>
      </c>
      <c r="AG193" s="14" t="n">
        <f aca="false">IF(ISBLANK(Actuals!AH106),-446.63*Escalation!$B$30,Actuals!AH106)</f>
        <v>-464.673852</v>
      </c>
      <c r="AH193" s="14" t="n">
        <f aca="false">IF(ISBLANK(Actuals!AI106),-446.63*Escalation!$B$31,Actuals!AI106)</f>
        <v>-464.673852</v>
      </c>
      <c r="AI193" s="14" t="n">
        <f aca="false">IF(ISBLANK(Actuals!AJ106),-446.63*Escalation!$B$32,Actuals!AJ106)</f>
        <v>-464.673852</v>
      </c>
      <c r="AJ193" s="14" t="n">
        <f aca="false">IF(ISBLANK(Actuals!AK106),-446.63*Escalation!$B$33,Actuals!AK106)</f>
        <v>-464.673852</v>
      </c>
      <c r="AK193" s="14" t="n">
        <f aca="false">IF(ISBLANK(Actuals!AL106),-446.63*Escalation!$B$34,Actuals!AL106)</f>
        <v>-464.673852</v>
      </c>
      <c r="AL193" s="14" t="n">
        <f aca="false">IF(ISBLANK(Actuals!AM106),-446.63*Escalation!$B$35,Actuals!AM106)</f>
        <v>-464.673852</v>
      </c>
      <c r="AM193" s="14" t="n">
        <f aca="false">IF(ISBLANK(Actuals!AN106),-446.63*Escalation!$B$36,Actuals!AN106)</f>
        <v>-464.673852</v>
      </c>
      <c r="AN193" s="14" t="n">
        <f aca="false">IF(ISBLANK(Actuals!AO106),-446.63*Escalation!$B$37,Actuals!AO106)</f>
        <v>-464.673852</v>
      </c>
      <c r="AO193" s="14" t="n">
        <f aca="false">IF(ISBLANK(Actuals!AP106),-446.63*Escalation!$B$38,Actuals!AP106)</f>
        <v>-473.96732904</v>
      </c>
      <c r="AP193" s="14" t="n">
        <f aca="false">IF(ISBLANK(Actuals!AQ106),-446.63*Escalation!$B$39,Actuals!AQ106)</f>
        <v>-473.96732904</v>
      </c>
      <c r="AQ193" s="14" t="n">
        <f aca="false">IF(ISBLANK(Actuals!AR106),-446.63*Escalation!$B$40,Actuals!AR106)</f>
        <v>-473.96732904</v>
      </c>
      <c r="AR193" s="14" t="n">
        <f aca="false">IF(ISBLANK(Actuals!AS106),-446.63*Escalation!$B$41,Actuals!AS106)</f>
        <v>-473.96732904</v>
      </c>
      <c r="AS193" s="14" t="n">
        <f aca="false">IF(ISBLANK(Actuals!AT106),-446.63*Escalation!$B$42,Actuals!AT106)</f>
        <v>-473.96732904</v>
      </c>
      <c r="AT193" s="14" t="n">
        <f aca="false">IF(ISBLANK(Actuals!AU106),-446.63*Escalation!$B$43,Actuals!AU106)</f>
        <v>-473.96732904</v>
      </c>
      <c r="AU193" s="14" t="n">
        <f aca="false">IF(ISBLANK(Actuals!AV106),-446.63*Escalation!$B$44,Actuals!AV106)</f>
        <v>-473.96732904</v>
      </c>
      <c r="AV193" s="14" t="n">
        <f aca="false">IF(ISBLANK(Actuals!AW106),-446.63*Escalation!$B$45,Actuals!AW106)</f>
        <v>-473.96732904</v>
      </c>
      <c r="AW193" s="14" t="n">
        <f aca="false">IF(ISBLANK(Actuals!AX106),-446.63*Escalation!$B$46,Actuals!AX106)</f>
        <v>-473.96732904</v>
      </c>
      <c r="AX193" s="14" t="n">
        <f aca="false">IF(ISBLANK(Actuals!AY106),-446.63*Escalation!$B$47,Actuals!AY106)</f>
        <v>-473.96732904</v>
      </c>
      <c r="AY193" s="14" t="n">
        <f aca="false">IF(ISBLANK(Actuals!AZ106),-446.63*Escalation!$B$48,Actuals!AZ106)</f>
        <v>-473.96732904</v>
      </c>
      <c r="AZ193" s="14" t="n">
        <f aca="false">IF(ISBLANK(Actuals!BA106),-446.63*Escalation!$B$49,Actuals!BA106)</f>
        <v>-473.96732904</v>
      </c>
      <c r="BA193" s="14" t="n">
        <f aca="false">IF(ISBLANK(Actuals!BB106),-446.63*Escalation!$B$50,Actuals!BB106)</f>
        <v>-483.4466756208</v>
      </c>
      <c r="BB193" s="14" t="n">
        <f aca="false">IF(ISBLANK(Actuals!BC106),-446.63*Escalation!$B$51,Actuals!BC106)</f>
        <v>-483.4466756208</v>
      </c>
      <c r="BC193" s="14" t="n">
        <f aca="false">IF(ISBLANK(Actuals!BD106),-446.63*Escalation!$B$52,Actuals!BD106)</f>
        <v>-483.4466756208</v>
      </c>
      <c r="BD193" s="14" t="n">
        <f aca="false">IF(ISBLANK(Actuals!BE106),-446.63*Escalation!$B$53,Actuals!BE106)</f>
        <v>-483.4466756208</v>
      </c>
      <c r="BE193" s="14" t="n">
        <f aca="false">IF(ISBLANK(Actuals!BF106),-446.63*Escalation!$B$54,Actuals!BF106)</f>
        <v>-483.4466756208</v>
      </c>
      <c r="BF193" s="14" t="n">
        <f aca="false">IF(ISBLANK(Actuals!BG106),-446.63*Escalation!$B$55,Actuals!BG106)</f>
        <v>-483.4466756208</v>
      </c>
      <c r="BG193" s="14" t="n">
        <f aca="false">IF(ISBLANK(Actuals!BH106),-446.63*Escalation!$B$56,Actuals!BH106)</f>
        <v>-483.4466756208</v>
      </c>
      <c r="BH193" s="14" t="n">
        <f aca="false">IF(ISBLANK(Actuals!BI106),-446.63*Escalation!$B$57,Actuals!BI106)</f>
        <v>-483.4466756208</v>
      </c>
      <c r="BI193" s="14" t="n">
        <f aca="false">IF(ISBLANK(Actuals!BJ106),-446.63*Escalation!$B$58,Actuals!BJ106)</f>
        <v>-483.4466756208</v>
      </c>
      <c r="BJ193" s="14" t="n">
        <f aca="false">IF(ISBLANK(Actuals!BK106),-446.63*Escalation!$B$59,Actuals!BK106)</f>
        <v>-483.4466756208</v>
      </c>
      <c r="BK193" s="14" t="n">
        <f aca="false">IF(ISBLANK(Actuals!BL106),-446.63*Escalation!$B$60,Actuals!BL106)</f>
        <v>-483.4466756208</v>
      </c>
      <c r="BL193" s="14" t="n">
        <f aca="false">IF(ISBLANK(Actuals!BM106),-446.63*Escalation!$B$61,Actuals!BM106)</f>
        <v>-483.4466756208</v>
      </c>
      <c r="BM193" s="14" t="n">
        <f aca="false">IF(ISBLANK(Actuals!BN106),-446.63*Escalation!$B$62,Actuals!BN106)</f>
        <v>-493.115609133216</v>
      </c>
      <c r="BN193" s="14" t="n">
        <f aca="false">IF(ISBLANK(Actuals!BO106),-446.63*Escalation!$B$63,Actuals!BO106)</f>
        <v>-493.115609133216</v>
      </c>
      <c r="BO193" s="14" t="n">
        <f aca="false">IF(ISBLANK(Actuals!BP106),-446.63*Escalation!$B$64,Actuals!BP106)</f>
        <v>-493.115609133216</v>
      </c>
      <c r="BP193" s="14" t="n">
        <f aca="false">IF(ISBLANK(Actuals!BQ106),-446.63*Escalation!$B$65,Actuals!BQ106)</f>
        <v>-493.115609133216</v>
      </c>
      <c r="BQ193" s="14" t="n">
        <f aca="false">IF(ISBLANK(Actuals!BR106),-446.63*Escalation!$B$66,Actuals!BR106)</f>
        <v>-493.115609133216</v>
      </c>
      <c r="BR193" s="14" t="n">
        <f aca="false">IF(ISBLANK(Actuals!BS106),-446.63*Escalation!$B$67,Actuals!BS106)</f>
        <v>-493.115609133216</v>
      </c>
      <c r="BS193" s="14" t="n">
        <f aca="false">IF(ISBLANK(Actuals!BT106),-446.63*Escalation!$B$68,Actuals!BT106)</f>
        <v>-493.115609133216</v>
      </c>
      <c r="BT193" s="14" t="n">
        <f aca="false">IF(ISBLANK(Actuals!BU106),-446.63*Escalation!$B$69,Actuals!BU106)</f>
        <v>-493.115609133216</v>
      </c>
      <c r="BU193" s="14" t="n">
        <f aca="false">IF(ISBLANK(Actuals!BV106),-446.63*Escalation!$B$70,Actuals!BV106)</f>
        <v>-493.115609133216</v>
      </c>
      <c r="BV193" s="14" t="n">
        <f aca="false">IF(ISBLANK(Actuals!BW106),-446.63*Escalation!$B$71,Actuals!BW106)</f>
        <v>-493.115609133216</v>
      </c>
      <c r="BW193" s="14" t="n">
        <f aca="false">IF(ISBLANK(Actuals!BX106),-446.63*Escalation!$B$72,Actuals!BX106)</f>
        <v>-493.115609133216</v>
      </c>
      <c r="BX193" s="14" t="n">
        <f aca="false">IF(ISBLANK(Actuals!BY106),-446.63*Escalation!$B$73,Actuals!BY106)</f>
        <v>-493.115609133216</v>
      </c>
      <c r="BY193" s="14" t="n">
        <f aca="false">IF(ISBLANK(Actuals!BZ106),-446.63*Escalation!$B$74,Actuals!BZ106)</f>
        <v>-502.97792131588</v>
      </c>
      <c r="BZ193" s="14" t="n">
        <f aca="false">IF(ISBLANK(Actuals!CA106),-446.63*Escalation!$B$75,Actuals!CA106)</f>
        <v>-502.97792131588</v>
      </c>
      <c r="CA193" s="14" t="n">
        <f aca="false">IF(ISBLANK(Actuals!CB106),-446.63*Escalation!$B$76,Actuals!CB106)</f>
        <v>-502.97792131588</v>
      </c>
      <c r="CB193" s="14" t="n">
        <f aca="false">IF(ISBLANK(Actuals!CC106),-446.63*Escalation!$B$77,Actuals!CC106)</f>
        <v>-502.97792131588</v>
      </c>
      <c r="CC193" s="14" t="n">
        <f aca="false">IF(ISBLANK(Actuals!CD106),-446.63*Escalation!$B$78,Actuals!CD106)</f>
        <v>-502.97792131588</v>
      </c>
      <c r="CD193" s="14" t="n">
        <f aca="false">IF(ISBLANK(Actuals!CE106),-446.63*Escalation!$B$79,Actuals!CE106)</f>
        <v>-502.97792131588</v>
      </c>
      <c r="CE193" s="14" t="n">
        <f aca="false">IF(ISBLANK(Actuals!CF106),-446.63*Escalation!$B$80,Actuals!CF106)</f>
        <v>-502.97792131588</v>
      </c>
      <c r="CF193" s="14" t="n">
        <f aca="false">IF(ISBLANK(Actuals!CG106),-446.63*Escalation!$B$81,Actuals!CG106)</f>
        <v>-502.97792131588</v>
      </c>
      <c r="CG193" s="14" t="n">
        <f aca="false">IF(ISBLANK(Actuals!CH106),-446.63*Escalation!$B$82,Actuals!CH106)</f>
        <v>-502.97792131588</v>
      </c>
      <c r="CH193" s="14" t="n">
        <f aca="false">IF(ISBLANK(Actuals!CI106),-446.63*Escalation!$B$83,Actuals!CI106)</f>
        <v>-502.97792131588</v>
      </c>
      <c r="CI193" s="14" t="n">
        <f aca="false">IF(ISBLANK(Actuals!CJ106),-446.63*Escalation!$B$84,Actuals!CJ106)</f>
        <v>-502.97792131588</v>
      </c>
      <c r="CJ193" s="14" t="n">
        <f aca="false">IF(ISBLANK(Actuals!CK106),-446.63*Escalation!$B$85,Actuals!CK106)</f>
        <v>-502.97792131588</v>
      </c>
      <c r="CK193" s="14" t="n">
        <f aca="false">IF(ISBLANK(Actuals!CL106),-446.63*Escalation!$B$86,Actuals!CL106)</f>
        <v>-513.037479742198</v>
      </c>
      <c r="CL193" s="14" t="n">
        <f aca="false">IF(ISBLANK(Actuals!CM106),-446.63*Escalation!$B$87,Actuals!CM106)</f>
        <v>-513.037479742198</v>
      </c>
      <c r="CM193" s="14" t="n">
        <f aca="false">IF(ISBLANK(Actuals!CN106),-446.63*Escalation!$B$88,Actuals!CN106)</f>
        <v>-513.037479742198</v>
      </c>
      <c r="CN193" s="14" t="n">
        <f aca="false">IF(ISBLANK(Actuals!CO106),-446.63*Escalation!$B$89,Actuals!CO106)</f>
        <v>-513.037479742198</v>
      </c>
      <c r="CO193" s="14" t="n">
        <f aca="false">IF(ISBLANK(Actuals!CP106),-446.63*Escalation!$B$90,Actuals!CP106)</f>
        <v>-513.037479742198</v>
      </c>
      <c r="CP193" s="14" t="n">
        <f aca="false">IF(ISBLANK(Actuals!CQ106),-446.63*Escalation!$B$91,Actuals!CQ106)</f>
        <v>-513.037479742198</v>
      </c>
      <c r="CQ193" s="14" t="n">
        <f aca="false">IF(ISBLANK(Actuals!CR106),-446.63*Escalation!$B$92,Actuals!CR106)</f>
        <v>-513.037479742198</v>
      </c>
      <c r="CR193" s="14" t="n">
        <f aca="false">IF(ISBLANK(Actuals!CS106),-446.63*Escalation!$B$93,Actuals!CS106)</f>
        <v>-513.037479742198</v>
      </c>
      <c r="CS193" s="14" t="n">
        <f aca="false">IF(ISBLANK(Actuals!CT106),-446.63*Escalation!$B$94,Actuals!CT106)</f>
        <v>-513.037479742198</v>
      </c>
      <c r="CT193" s="14" t="n">
        <f aca="false">IF(ISBLANK(Actuals!CU106),-446.63*Escalation!$B$95,Actuals!CU106)</f>
        <v>-513.037479742198</v>
      </c>
      <c r="CU193" s="14" t="n">
        <f aca="false">IF(ISBLANK(Actuals!CV106),-446.63*Escalation!$B$96,Actuals!CV106)</f>
        <v>-513.037479742198</v>
      </c>
      <c r="CV193" s="14" t="n">
        <f aca="false">IF(ISBLANK(Actuals!CW106),-446.63*Escalation!$B$97,Actuals!CW106)</f>
        <v>-513.037479742198</v>
      </c>
      <c r="CW193" s="14" t="n">
        <f aca="false">IF(ISBLANK(Actuals!CX106),-446.63*Escalation!$B$98,Actuals!CX106)</f>
        <v>-523.298229337042</v>
      </c>
      <c r="CX193" s="14" t="n">
        <f aca="false">IF(ISBLANK(Actuals!CY106),-446.63*Escalation!$B$99,Actuals!CY106)</f>
        <v>-523.298229337042</v>
      </c>
      <c r="CY193" s="14" t="n">
        <f aca="false">IF(ISBLANK(Actuals!CZ106),-446.63*Escalation!$B$100,Actuals!CZ106)</f>
        <v>-523.298229337042</v>
      </c>
      <c r="CZ193" s="14" t="n">
        <f aca="false">IF(ISBLANK(Actuals!DA106),-446.63*Escalation!$B$101,Actuals!DA106)</f>
        <v>-523.298229337042</v>
      </c>
      <c r="DA193" s="14" t="n">
        <f aca="false">IF(ISBLANK(Actuals!DB106),-446.63*Escalation!$B$102,Actuals!DB106)</f>
        <v>-523.298229337042</v>
      </c>
      <c r="DB193" s="14" t="n">
        <f aca="false">IF(ISBLANK(Actuals!DC106),-446.63*Escalation!$B$103,Actuals!DC106)</f>
        <v>-523.298229337042</v>
      </c>
      <c r="DC193" s="14" t="n">
        <f aca="false">IF(ISBLANK(Actuals!DD106),-446.63*Escalation!$B$104,Actuals!DD106)</f>
        <v>-523.298229337042</v>
      </c>
      <c r="DD193" s="14" t="n">
        <f aca="false">IF(ISBLANK(Actuals!DE106),-446.63*Escalation!$B$105,Actuals!DE106)</f>
        <v>-523.298229337042</v>
      </c>
      <c r="DE193" s="14" t="n">
        <f aca="false">IF(ISBLANK(Actuals!DF106),-446.63*Escalation!$B$106,Actuals!DF106)</f>
        <v>-523.298229337042</v>
      </c>
    </row>
    <row r="194" customFormat="false" ht="15" hidden="false" customHeight="true" outlineLevel="0" collapsed="false">
      <c r="A194" s="29" t="s">
        <v>127</v>
      </c>
      <c r="B194" s="14" t="n">
        <f aca="false">IF(ISBLANK(Actuals!C107),0,Actuals!C107)</f>
        <v>0</v>
      </c>
      <c r="C194" s="14" t="n">
        <f aca="false">IF(ISBLANK(Actuals!D107),0,Actuals!D107)</f>
        <v>0</v>
      </c>
      <c r="D194" s="14" t="n">
        <f aca="false">IF(ISBLANK(Actuals!E107),0,Actuals!E107)</f>
        <v>0</v>
      </c>
      <c r="E194" s="14" t="n">
        <f aca="false">IF(ISBLANK(Actuals!F107),-(IF(AND(Projects!$G$2="Yes",Projects!$J$2="Yes",Projects!$K$2="No",1=Projects!$C$2),Projects!$B$2*Assumptions!$B$47,0)+IF(AND(Projects!$G$3="Yes",Projects!$J$3="Yes",Projects!$K$3="No",1=Projects!$C$3),Projects!$B$3*Assumptions!$B$47,0)+IF(AND(Projects!$G$4="Yes",Projects!$J$4="Yes",Projects!$K$4="No",1=Projects!$C$4),Projects!$B$4*Assumptions!$B$47,0)+IF(AND(Projects!$G$5="Yes",Projects!$J$5="Yes",Projects!$K$5="No",1=Projects!$C$5),Projects!$B$5*Assumptions!$B$47,0)+IF(AND(Projects!$G$6="Yes",Projects!$J$6="Yes",Projects!$K$6="No",1=Projects!$C$6),Projects!$B$6*Assumptions!$B$47,0)+IF(AND(Projects!$G$7="Yes",Projects!$J$7="Yes",Projects!$K$7="No",1=Projects!$C$7),Projects!$B$7*Assumptions!$B$47,0)+IF(AND(Projects!$G$8="Yes",Projects!$J$8="Yes",Projects!$K$8="No",1=Projects!$C$8),Projects!$B$8*Assumptions!$B$47,0)+IF(AND(Projects!$G$9="Yes",Projects!$J$9="Yes",Projects!$K$9="No",1=Projects!$C$9),Projects!$B$9*Assumptions!$B$47,0)+IF(AND(Projects!$G$10="Yes",Projects!$J$10="Yes",Projects!$K$10="No",1=Projects!$C$10),Projects!$B$10*Assumptions!$B$47,0)+IF(AND(Projects!$G$11="Yes",Projects!$J$11="Yes",Projects!$K$11="No",1=Projects!$C$11),Projects!$B$11*Assumptions!$B$47,0)+IF(AND(Projects!$G$12="Yes",Projects!$J$12="Yes",Projects!$K$12="No",1=Projects!$C$12),Projects!$B$12*Assumptions!$B$47,0)+IF(AND(Projects!$G$13="Yes",Projects!$J$13="Yes",Projects!$K$13="No",1=Projects!$C$13),Projects!$B$13*Assumptions!$B$47,0)+IF(AND(Projects!$G$14="Yes",Projects!$J$14="Yes",Projects!$K$14="No",1=Projects!$C$14),Projects!$B$14*Assumptions!$B$47,0)),Actuals!F107)</f>
        <v>-0</v>
      </c>
      <c r="F194" s="14" t="n">
        <f aca="false">IF(ISBLANK(Actuals!G107),-(IF(AND(Projects!$G$2="Yes",Projects!$J$2="Yes",Projects!$K$2="No",2=Projects!$C$2),Projects!$B$2*Assumptions!$B$47,0)+IF(AND(Projects!$G$3="Yes",Projects!$J$3="Yes",Projects!$K$3="No",2=Projects!$C$3),Projects!$B$3*Assumptions!$B$47,0)+IF(AND(Projects!$G$4="Yes",Projects!$J$4="Yes",Projects!$K$4="No",2=Projects!$C$4),Projects!$B$4*Assumptions!$B$47,0)+IF(AND(Projects!$G$5="Yes",Projects!$J$5="Yes",Projects!$K$5="No",2=Projects!$C$5),Projects!$B$5*Assumptions!$B$47,0)+IF(AND(Projects!$G$6="Yes",Projects!$J$6="Yes",Projects!$K$6="No",2=Projects!$C$6),Projects!$B$6*Assumptions!$B$47,0)+IF(AND(Projects!$G$7="Yes",Projects!$J$7="Yes",Projects!$K$7="No",2=Projects!$C$7),Projects!$B$7*Assumptions!$B$47,0)+IF(AND(Projects!$G$8="Yes",Projects!$J$8="Yes",Projects!$K$8="No",2=Projects!$C$8),Projects!$B$8*Assumptions!$B$47,0)+IF(AND(Projects!$G$9="Yes",Projects!$J$9="Yes",Projects!$K$9="No",2=Projects!$C$9),Projects!$B$9*Assumptions!$B$47,0)+IF(AND(Projects!$G$10="Yes",Projects!$J$10="Yes",Projects!$K$10="No",2=Projects!$C$10),Projects!$B$10*Assumptions!$B$47,0)+IF(AND(Projects!$G$11="Yes",Projects!$J$11="Yes",Projects!$K$11="No",2=Projects!$C$11),Projects!$B$11*Assumptions!$B$47,0)+IF(AND(Projects!$G$12="Yes",Projects!$J$12="Yes",Projects!$K$12="No",2=Projects!$C$12),Projects!$B$12*Assumptions!$B$47,0)+IF(AND(Projects!$G$13="Yes",Projects!$J$13="Yes",Projects!$K$13="No",2=Projects!$C$13),Projects!$B$13*Assumptions!$B$47,0)+IF(AND(Projects!$G$14="Yes",Projects!$J$14="Yes",Projects!$K$14="No",2=Projects!$C$14),Projects!$B$14*Assumptions!$B$47,0)),Actuals!G107)</f>
        <v>-0</v>
      </c>
      <c r="G194" s="14" t="n">
        <f aca="false">IF(ISBLANK(Actuals!H107),-(IF(AND(Projects!$G$2="Yes",Projects!$J$2="Yes",Projects!$K$2="No",3=Projects!$C$2),Projects!$B$2*Assumptions!$B$47,0)+IF(AND(Projects!$G$3="Yes",Projects!$J$3="Yes",Projects!$K$3="No",3=Projects!$C$3),Projects!$B$3*Assumptions!$B$47,0)+IF(AND(Projects!$G$4="Yes",Projects!$J$4="Yes",Projects!$K$4="No",3=Projects!$C$4),Projects!$B$4*Assumptions!$B$47,0)+IF(AND(Projects!$G$5="Yes",Projects!$J$5="Yes",Projects!$K$5="No",3=Projects!$C$5),Projects!$B$5*Assumptions!$B$47,0)+IF(AND(Projects!$G$6="Yes",Projects!$J$6="Yes",Projects!$K$6="No",3=Projects!$C$6),Projects!$B$6*Assumptions!$B$47,0)+IF(AND(Projects!$G$7="Yes",Projects!$J$7="Yes",Projects!$K$7="No",3=Projects!$C$7),Projects!$B$7*Assumptions!$B$47,0)+IF(AND(Projects!$G$8="Yes",Projects!$J$8="Yes",Projects!$K$8="No",3=Projects!$C$8),Projects!$B$8*Assumptions!$B$47,0)+IF(AND(Projects!$G$9="Yes",Projects!$J$9="Yes",Projects!$K$9="No",3=Projects!$C$9),Projects!$B$9*Assumptions!$B$47,0)+IF(AND(Projects!$G$10="Yes",Projects!$J$10="Yes",Projects!$K$10="No",3=Projects!$C$10),Projects!$B$10*Assumptions!$B$47,0)+IF(AND(Projects!$G$11="Yes",Projects!$J$11="Yes",Projects!$K$11="No",3=Projects!$C$11),Projects!$B$11*Assumptions!$B$47,0)+IF(AND(Projects!$G$12="Yes",Projects!$J$12="Yes",Projects!$K$12="No",3=Projects!$C$12),Projects!$B$12*Assumptions!$B$47,0)+IF(AND(Projects!$G$13="Yes",Projects!$J$13="Yes",Projects!$K$13="No",3=Projects!$C$13),Projects!$B$13*Assumptions!$B$47,0)+IF(AND(Projects!$G$14="Yes",Projects!$J$14="Yes",Projects!$K$14="No",3=Projects!$C$14),Projects!$B$14*Assumptions!$B$47,0)),Actuals!H107)</f>
        <v>-0</v>
      </c>
      <c r="H194" s="14" t="n">
        <f aca="false">IF(ISBLANK(Actuals!I107),-(IF(AND(Projects!$G$2="Yes",Projects!$J$2="Yes",Projects!$K$2="No",4=Projects!$C$2),Projects!$B$2*Assumptions!$B$47,0)+IF(AND(Projects!$G$3="Yes",Projects!$J$3="Yes",Projects!$K$3="No",4=Projects!$C$3),Projects!$B$3*Assumptions!$B$47,0)+IF(AND(Projects!$G$4="Yes",Projects!$J$4="Yes",Projects!$K$4="No",4=Projects!$C$4),Projects!$B$4*Assumptions!$B$47,0)+IF(AND(Projects!$G$5="Yes",Projects!$J$5="Yes",Projects!$K$5="No",4=Projects!$C$5),Projects!$B$5*Assumptions!$B$47,0)+IF(AND(Projects!$G$6="Yes",Projects!$J$6="Yes",Projects!$K$6="No",4=Projects!$C$6),Projects!$B$6*Assumptions!$B$47,0)+IF(AND(Projects!$G$7="Yes",Projects!$J$7="Yes",Projects!$K$7="No",4=Projects!$C$7),Projects!$B$7*Assumptions!$B$47,0)+IF(AND(Projects!$G$8="Yes",Projects!$J$8="Yes",Projects!$K$8="No",4=Projects!$C$8),Projects!$B$8*Assumptions!$B$47,0)+IF(AND(Projects!$G$9="Yes",Projects!$J$9="Yes",Projects!$K$9="No",4=Projects!$C$9),Projects!$B$9*Assumptions!$B$47,0)+IF(AND(Projects!$G$10="Yes",Projects!$J$10="Yes",Projects!$K$10="No",4=Projects!$C$10),Projects!$B$10*Assumptions!$B$47,0)+IF(AND(Projects!$G$11="Yes",Projects!$J$11="Yes",Projects!$K$11="No",4=Projects!$C$11),Projects!$B$11*Assumptions!$B$47,0)+IF(AND(Projects!$G$12="Yes",Projects!$J$12="Yes",Projects!$K$12="No",4=Projects!$C$12),Projects!$B$12*Assumptions!$B$47,0)+IF(AND(Projects!$G$13="Yes",Projects!$J$13="Yes",Projects!$K$13="No",4=Projects!$C$13),Projects!$B$13*Assumptions!$B$47,0)+IF(AND(Projects!$G$14="Yes",Projects!$J$14="Yes",Projects!$K$14="No",4=Projects!$C$14),Projects!$B$14*Assumptions!$B$47,0)),Actuals!I107)</f>
        <v>-0</v>
      </c>
      <c r="I194" s="14" t="n">
        <f aca="false">IF(ISBLANK(Actuals!J107),-(IF(AND(Projects!$G$2="Yes",Projects!$J$2="Yes",Projects!$K$2="No",5=Projects!$C$2),Projects!$B$2*Assumptions!$B$47,0)+IF(AND(Projects!$G$3="Yes",Projects!$J$3="Yes",Projects!$K$3="No",5=Projects!$C$3),Projects!$B$3*Assumptions!$B$47,0)+IF(AND(Projects!$G$4="Yes",Projects!$J$4="Yes",Projects!$K$4="No",5=Projects!$C$4),Projects!$B$4*Assumptions!$B$47,0)+IF(AND(Projects!$G$5="Yes",Projects!$J$5="Yes",Projects!$K$5="No",5=Projects!$C$5),Projects!$B$5*Assumptions!$B$47,0)+IF(AND(Projects!$G$6="Yes",Projects!$J$6="Yes",Projects!$K$6="No",5=Projects!$C$6),Projects!$B$6*Assumptions!$B$47,0)+IF(AND(Projects!$G$7="Yes",Projects!$J$7="Yes",Projects!$K$7="No",5=Projects!$C$7),Projects!$B$7*Assumptions!$B$47,0)+IF(AND(Projects!$G$8="Yes",Projects!$J$8="Yes",Projects!$K$8="No",5=Projects!$C$8),Projects!$B$8*Assumptions!$B$47,0)+IF(AND(Projects!$G$9="Yes",Projects!$J$9="Yes",Projects!$K$9="No",5=Projects!$C$9),Projects!$B$9*Assumptions!$B$47,0)+IF(AND(Projects!$G$10="Yes",Projects!$J$10="Yes",Projects!$K$10="No",5=Projects!$C$10),Projects!$B$10*Assumptions!$B$47,0)+IF(AND(Projects!$G$11="Yes",Projects!$J$11="Yes",Projects!$K$11="No",5=Projects!$C$11),Projects!$B$11*Assumptions!$B$47,0)+IF(AND(Projects!$G$12="Yes",Projects!$J$12="Yes",Projects!$K$12="No",5=Projects!$C$12),Projects!$B$12*Assumptions!$B$47,0)+IF(AND(Projects!$G$13="Yes",Projects!$J$13="Yes",Projects!$K$13="No",5=Projects!$C$13),Projects!$B$13*Assumptions!$B$47,0)+IF(AND(Projects!$G$14="Yes",Projects!$J$14="Yes",Projects!$K$14="No",5=Projects!$C$14),Projects!$B$14*Assumptions!$B$47,0)),Actuals!J107)</f>
        <v>-0</v>
      </c>
      <c r="J194" s="14" t="n">
        <f aca="false">IF(ISBLANK(Actuals!K107),-(IF(AND(Projects!$G$2="Yes",Projects!$J$2="Yes",Projects!$K$2="No",6=Projects!$C$2),Projects!$B$2*Assumptions!$B$47,0)+IF(AND(Projects!$G$3="Yes",Projects!$J$3="Yes",Projects!$K$3="No",6=Projects!$C$3),Projects!$B$3*Assumptions!$B$47,0)+IF(AND(Projects!$G$4="Yes",Projects!$J$4="Yes",Projects!$K$4="No",6=Projects!$C$4),Projects!$B$4*Assumptions!$B$47,0)+IF(AND(Projects!$G$5="Yes",Projects!$J$5="Yes",Projects!$K$5="No",6=Projects!$C$5),Projects!$B$5*Assumptions!$B$47,0)+IF(AND(Projects!$G$6="Yes",Projects!$J$6="Yes",Projects!$K$6="No",6=Projects!$C$6),Projects!$B$6*Assumptions!$B$47,0)+IF(AND(Projects!$G$7="Yes",Projects!$J$7="Yes",Projects!$K$7="No",6=Projects!$C$7),Projects!$B$7*Assumptions!$B$47,0)+IF(AND(Projects!$G$8="Yes",Projects!$J$8="Yes",Projects!$K$8="No",6=Projects!$C$8),Projects!$B$8*Assumptions!$B$47,0)+IF(AND(Projects!$G$9="Yes",Projects!$J$9="Yes",Projects!$K$9="No",6=Projects!$C$9),Projects!$B$9*Assumptions!$B$47,0)+IF(AND(Projects!$G$10="Yes",Projects!$J$10="Yes",Projects!$K$10="No",6=Projects!$C$10),Projects!$B$10*Assumptions!$B$47,0)+IF(AND(Projects!$G$11="Yes",Projects!$J$11="Yes",Projects!$K$11="No",6=Projects!$C$11),Projects!$B$11*Assumptions!$B$47,0)+IF(AND(Projects!$G$12="Yes",Projects!$J$12="Yes",Projects!$K$12="No",6=Projects!$C$12),Projects!$B$12*Assumptions!$B$47,0)+IF(AND(Projects!$G$13="Yes",Projects!$J$13="Yes",Projects!$K$13="No",6=Projects!$C$13),Projects!$B$13*Assumptions!$B$47,0)+IF(AND(Projects!$G$14="Yes",Projects!$J$14="Yes",Projects!$K$14="No",6=Projects!$C$14),Projects!$B$14*Assumptions!$B$47,0)),Actuals!K107)</f>
        <v>-0</v>
      </c>
      <c r="K194" s="14" t="n">
        <f aca="false">IF(ISBLANK(Actuals!L107),-(IF(AND(Projects!$G$2="Yes",Projects!$J$2="Yes",Projects!$K$2="No",7=Projects!$C$2),Projects!$B$2*Assumptions!$B$47,0)+IF(AND(Projects!$G$3="Yes",Projects!$J$3="Yes",Projects!$K$3="No",7=Projects!$C$3),Projects!$B$3*Assumptions!$B$47,0)+IF(AND(Projects!$G$4="Yes",Projects!$J$4="Yes",Projects!$K$4="No",7=Projects!$C$4),Projects!$B$4*Assumptions!$B$47,0)+IF(AND(Projects!$G$5="Yes",Projects!$J$5="Yes",Projects!$K$5="No",7=Projects!$C$5),Projects!$B$5*Assumptions!$B$47,0)+IF(AND(Projects!$G$6="Yes",Projects!$J$6="Yes",Projects!$K$6="No",7=Projects!$C$6),Projects!$B$6*Assumptions!$B$47,0)+IF(AND(Projects!$G$7="Yes",Projects!$J$7="Yes",Projects!$K$7="No",7=Projects!$C$7),Projects!$B$7*Assumptions!$B$47,0)+IF(AND(Projects!$G$8="Yes",Projects!$J$8="Yes",Projects!$K$8="No",7=Projects!$C$8),Projects!$B$8*Assumptions!$B$47,0)+IF(AND(Projects!$G$9="Yes",Projects!$J$9="Yes",Projects!$K$9="No",7=Projects!$C$9),Projects!$B$9*Assumptions!$B$47,0)+IF(AND(Projects!$G$10="Yes",Projects!$J$10="Yes",Projects!$K$10="No",7=Projects!$C$10),Projects!$B$10*Assumptions!$B$47,0)+IF(AND(Projects!$G$11="Yes",Projects!$J$11="Yes",Projects!$K$11="No",7=Projects!$C$11),Projects!$B$11*Assumptions!$B$47,0)+IF(AND(Projects!$G$12="Yes",Projects!$J$12="Yes",Projects!$K$12="No",7=Projects!$C$12),Projects!$B$12*Assumptions!$B$47,0)+IF(AND(Projects!$G$13="Yes",Projects!$J$13="Yes",Projects!$K$13="No",7=Projects!$C$13),Projects!$B$13*Assumptions!$B$47,0)+IF(AND(Projects!$G$14="Yes",Projects!$J$14="Yes",Projects!$K$14="No",7=Projects!$C$14),Projects!$B$14*Assumptions!$B$47,0)),Actuals!L107)</f>
        <v>-171223.12</v>
      </c>
      <c r="L194" s="14" t="n">
        <f aca="false">IF(ISBLANK(Actuals!M107),-(IF(AND(Projects!$G$2="Yes",Projects!$J$2="Yes",Projects!$K$2="No",8=Projects!$C$2),Projects!$B$2*Assumptions!$B$47,0)+IF(AND(Projects!$G$3="Yes",Projects!$J$3="Yes",Projects!$K$3="No",8=Projects!$C$3),Projects!$B$3*Assumptions!$B$47,0)+IF(AND(Projects!$G$4="Yes",Projects!$J$4="Yes",Projects!$K$4="No",8=Projects!$C$4),Projects!$B$4*Assumptions!$B$47,0)+IF(AND(Projects!$G$5="Yes",Projects!$J$5="Yes",Projects!$K$5="No",8=Projects!$C$5),Projects!$B$5*Assumptions!$B$47,0)+IF(AND(Projects!$G$6="Yes",Projects!$J$6="Yes",Projects!$K$6="No",8=Projects!$C$6),Projects!$B$6*Assumptions!$B$47,0)+IF(AND(Projects!$G$7="Yes",Projects!$J$7="Yes",Projects!$K$7="No",8=Projects!$C$7),Projects!$B$7*Assumptions!$B$47,0)+IF(AND(Projects!$G$8="Yes",Projects!$J$8="Yes",Projects!$K$8="No",8=Projects!$C$8),Projects!$B$8*Assumptions!$B$47,0)+IF(AND(Projects!$G$9="Yes",Projects!$J$9="Yes",Projects!$K$9="No",8=Projects!$C$9),Projects!$B$9*Assumptions!$B$47,0)+IF(AND(Projects!$G$10="Yes",Projects!$J$10="Yes",Projects!$K$10="No",8=Projects!$C$10),Projects!$B$10*Assumptions!$B$47,0)+IF(AND(Projects!$G$11="Yes",Projects!$J$11="Yes",Projects!$K$11="No",8=Projects!$C$11),Projects!$B$11*Assumptions!$B$47,0)+IF(AND(Projects!$G$12="Yes",Projects!$J$12="Yes",Projects!$K$12="No",8=Projects!$C$12),Projects!$B$12*Assumptions!$B$47,0)+IF(AND(Projects!$G$13="Yes",Projects!$J$13="Yes",Projects!$K$13="No",8=Projects!$C$13),Projects!$B$13*Assumptions!$B$47,0)+IF(AND(Projects!$G$14="Yes",Projects!$J$14="Yes",Projects!$K$14="No",8=Projects!$C$14),Projects!$B$14*Assumptions!$B$47,0)),Actuals!M107)</f>
        <v>-0</v>
      </c>
      <c r="M194" s="14" t="n">
        <f aca="false">IF(ISBLANK(Actuals!N107),-(IF(AND(Projects!$G$2="Yes",Projects!$J$2="Yes",Projects!$K$2="No",9=Projects!$C$2),Projects!$B$2*Assumptions!$B$47,0)+IF(AND(Projects!$G$3="Yes",Projects!$J$3="Yes",Projects!$K$3="No",9=Projects!$C$3),Projects!$B$3*Assumptions!$B$47,0)+IF(AND(Projects!$G$4="Yes",Projects!$J$4="Yes",Projects!$K$4="No",9=Projects!$C$4),Projects!$B$4*Assumptions!$B$47,0)+IF(AND(Projects!$G$5="Yes",Projects!$J$5="Yes",Projects!$K$5="No",9=Projects!$C$5),Projects!$B$5*Assumptions!$B$47,0)+IF(AND(Projects!$G$6="Yes",Projects!$J$6="Yes",Projects!$K$6="No",9=Projects!$C$6),Projects!$B$6*Assumptions!$B$47,0)+IF(AND(Projects!$G$7="Yes",Projects!$J$7="Yes",Projects!$K$7="No",9=Projects!$C$7),Projects!$B$7*Assumptions!$B$47,0)+IF(AND(Projects!$G$8="Yes",Projects!$J$8="Yes",Projects!$K$8="No",9=Projects!$C$8),Projects!$B$8*Assumptions!$B$47,0)+IF(AND(Projects!$G$9="Yes",Projects!$J$9="Yes",Projects!$K$9="No",9=Projects!$C$9),Projects!$B$9*Assumptions!$B$47,0)+IF(AND(Projects!$G$10="Yes",Projects!$J$10="Yes",Projects!$K$10="No",9=Projects!$C$10),Projects!$B$10*Assumptions!$B$47,0)+IF(AND(Projects!$G$11="Yes",Projects!$J$11="Yes",Projects!$K$11="No",9=Projects!$C$11),Projects!$B$11*Assumptions!$B$47,0)+IF(AND(Projects!$G$12="Yes",Projects!$J$12="Yes",Projects!$K$12="No",9=Projects!$C$12),Projects!$B$12*Assumptions!$B$47,0)+IF(AND(Projects!$G$13="Yes",Projects!$J$13="Yes",Projects!$K$13="No",9=Projects!$C$13),Projects!$B$13*Assumptions!$B$47,0)+IF(AND(Projects!$G$14="Yes",Projects!$J$14="Yes",Projects!$K$14="No",9=Projects!$C$14),Projects!$B$14*Assumptions!$B$47,0)),Actuals!N107)</f>
        <v>-0</v>
      </c>
      <c r="N194" s="14" t="n">
        <f aca="false">IF(ISBLANK(Actuals!O107),-(IF(AND(Projects!$G$2="Yes",Projects!$J$2="Yes",Projects!$K$2="No",10=Projects!$C$2),Projects!$B$2*Assumptions!$B$47,0)+IF(AND(Projects!$G$3="Yes",Projects!$J$3="Yes",Projects!$K$3="No",10=Projects!$C$3),Projects!$B$3*Assumptions!$B$47,0)+IF(AND(Projects!$G$4="Yes",Projects!$J$4="Yes",Projects!$K$4="No",10=Projects!$C$4),Projects!$B$4*Assumptions!$B$47,0)+IF(AND(Projects!$G$5="Yes",Projects!$J$5="Yes",Projects!$K$5="No",10=Projects!$C$5),Projects!$B$5*Assumptions!$B$47,0)+IF(AND(Projects!$G$6="Yes",Projects!$J$6="Yes",Projects!$K$6="No",10=Projects!$C$6),Projects!$B$6*Assumptions!$B$47,0)+IF(AND(Projects!$G$7="Yes",Projects!$J$7="Yes",Projects!$K$7="No",10=Projects!$C$7),Projects!$B$7*Assumptions!$B$47,0)+IF(AND(Projects!$G$8="Yes",Projects!$J$8="Yes",Projects!$K$8="No",10=Projects!$C$8),Projects!$B$8*Assumptions!$B$47,0)+IF(AND(Projects!$G$9="Yes",Projects!$J$9="Yes",Projects!$K$9="No",10=Projects!$C$9),Projects!$B$9*Assumptions!$B$47,0)+IF(AND(Projects!$G$10="Yes",Projects!$J$10="Yes",Projects!$K$10="No",10=Projects!$C$10),Projects!$B$10*Assumptions!$B$47,0)+IF(AND(Projects!$G$11="Yes",Projects!$J$11="Yes",Projects!$K$11="No",10=Projects!$C$11),Projects!$B$11*Assumptions!$B$47,0)+IF(AND(Projects!$G$12="Yes",Projects!$J$12="Yes",Projects!$K$12="No",10=Projects!$C$12),Projects!$B$12*Assumptions!$B$47,0)+IF(AND(Projects!$G$13="Yes",Projects!$J$13="Yes",Projects!$K$13="No",10=Projects!$C$13),Projects!$B$13*Assumptions!$B$47,0)+IF(AND(Projects!$G$14="Yes",Projects!$J$14="Yes",Projects!$K$14="No",10=Projects!$C$14),Projects!$B$14*Assumptions!$B$47,0)),Actuals!O107)</f>
        <v>-0</v>
      </c>
      <c r="O194" s="14" t="n">
        <f aca="false">IF(ISBLANK(Actuals!P107),-(IF(AND(Projects!$G$2="Yes",Projects!$J$2="Yes",Projects!$K$2="No",11=Projects!$C$2),Projects!$B$2*Assumptions!$B$47,0)+IF(AND(Projects!$G$3="Yes",Projects!$J$3="Yes",Projects!$K$3="No",11=Projects!$C$3),Projects!$B$3*Assumptions!$B$47,0)+IF(AND(Projects!$G$4="Yes",Projects!$J$4="Yes",Projects!$K$4="No",11=Projects!$C$4),Projects!$B$4*Assumptions!$B$47,0)+IF(AND(Projects!$G$5="Yes",Projects!$J$5="Yes",Projects!$K$5="No",11=Projects!$C$5),Projects!$B$5*Assumptions!$B$47,0)+IF(AND(Projects!$G$6="Yes",Projects!$J$6="Yes",Projects!$K$6="No",11=Projects!$C$6),Projects!$B$6*Assumptions!$B$47,0)+IF(AND(Projects!$G$7="Yes",Projects!$J$7="Yes",Projects!$K$7="No",11=Projects!$C$7),Projects!$B$7*Assumptions!$B$47,0)+IF(AND(Projects!$G$8="Yes",Projects!$J$8="Yes",Projects!$K$8="No",11=Projects!$C$8),Projects!$B$8*Assumptions!$B$47,0)+IF(AND(Projects!$G$9="Yes",Projects!$J$9="Yes",Projects!$K$9="No",11=Projects!$C$9),Projects!$B$9*Assumptions!$B$47,0)+IF(AND(Projects!$G$10="Yes",Projects!$J$10="Yes",Projects!$K$10="No",11=Projects!$C$10),Projects!$B$10*Assumptions!$B$47,0)+IF(AND(Projects!$G$11="Yes",Projects!$J$11="Yes",Projects!$K$11="No",11=Projects!$C$11),Projects!$B$11*Assumptions!$B$47,0)+IF(AND(Projects!$G$12="Yes",Projects!$J$12="Yes",Projects!$K$12="No",11=Projects!$C$12),Projects!$B$12*Assumptions!$B$47,0)+IF(AND(Projects!$G$13="Yes",Projects!$J$13="Yes",Projects!$K$13="No",11=Projects!$C$13),Projects!$B$13*Assumptions!$B$47,0)+IF(AND(Projects!$G$14="Yes",Projects!$J$14="Yes",Projects!$K$14="No",11=Projects!$C$14),Projects!$B$14*Assumptions!$B$47,0)),Actuals!P107)</f>
        <v>-0</v>
      </c>
      <c r="P194" s="14" t="n">
        <f aca="false">IF(ISBLANK(Actuals!Q107),-(IF(AND(Projects!$G$2="Yes",Projects!$J$2="Yes",Projects!$K$2="No",12=Projects!$C$2),Projects!$B$2*Assumptions!$B$47,0)+IF(AND(Projects!$G$3="Yes",Projects!$J$3="Yes",Projects!$K$3="No",12=Projects!$C$3),Projects!$B$3*Assumptions!$B$47,0)+IF(AND(Projects!$G$4="Yes",Projects!$J$4="Yes",Projects!$K$4="No",12=Projects!$C$4),Projects!$B$4*Assumptions!$B$47,0)+IF(AND(Projects!$G$5="Yes",Projects!$J$5="Yes",Projects!$K$5="No",12=Projects!$C$5),Projects!$B$5*Assumptions!$B$47,0)+IF(AND(Projects!$G$6="Yes",Projects!$J$6="Yes",Projects!$K$6="No",12=Projects!$C$6),Projects!$B$6*Assumptions!$B$47,0)+IF(AND(Projects!$G$7="Yes",Projects!$J$7="Yes",Projects!$K$7="No",12=Projects!$C$7),Projects!$B$7*Assumptions!$B$47,0)+IF(AND(Projects!$G$8="Yes",Projects!$J$8="Yes",Projects!$K$8="No",12=Projects!$C$8),Projects!$B$8*Assumptions!$B$47,0)+IF(AND(Projects!$G$9="Yes",Projects!$J$9="Yes",Projects!$K$9="No",12=Projects!$C$9),Projects!$B$9*Assumptions!$B$47,0)+IF(AND(Projects!$G$10="Yes",Projects!$J$10="Yes",Projects!$K$10="No",12=Projects!$C$10),Projects!$B$10*Assumptions!$B$47,0)+IF(AND(Projects!$G$11="Yes",Projects!$J$11="Yes",Projects!$K$11="No",12=Projects!$C$11),Projects!$B$11*Assumptions!$B$47,0)+IF(AND(Projects!$G$12="Yes",Projects!$J$12="Yes",Projects!$K$12="No",12=Projects!$C$12),Projects!$B$12*Assumptions!$B$47,0)+IF(AND(Projects!$G$13="Yes",Projects!$J$13="Yes",Projects!$K$13="No",12=Projects!$C$13),Projects!$B$13*Assumptions!$B$47,0)+IF(AND(Projects!$G$14="Yes",Projects!$J$14="Yes",Projects!$K$14="No",12=Projects!$C$14),Projects!$B$14*Assumptions!$B$47,0)),Actuals!Q107)</f>
        <v>-0</v>
      </c>
      <c r="Q194" s="14" t="n">
        <f aca="false">IF(ISBLANK(Actuals!R107),-(IF(AND(Projects!$G$2="Yes",Projects!$J$2="Yes",Projects!$K$2="No",13=Projects!$C$2),Projects!$B$2*Assumptions!$B$47,0)+IF(AND(Projects!$G$3="Yes",Projects!$J$3="Yes",Projects!$K$3="No",13=Projects!$C$3),Projects!$B$3*Assumptions!$B$47,0)+IF(AND(Projects!$G$4="Yes",Projects!$J$4="Yes",Projects!$K$4="No",13=Projects!$C$4),Projects!$B$4*Assumptions!$B$47,0)+IF(AND(Projects!$G$5="Yes",Projects!$J$5="Yes",Projects!$K$5="No",13=Projects!$C$5),Projects!$B$5*Assumptions!$B$47,0)+IF(AND(Projects!$G$6="Yes",Projects!$J$6="Yes",Projects!$K$6="No",13=Projects!$C$6),Projects!$B$6*Assumptions!$B$47,0)+IF(AND(Projects!$G$7="Yes",Projects!$J$7="Yes",Projects!$K$7="No",13=Projects!$C$7),Projects!$B$7*Assumptions!$B$47,0)+IF(AND(Projects!$G$8="Yes",Projects!$J$8="Yes",Projects!$K$8="No",13=Projects!$C$8),Projects!$B$8*Assumptions!$B$47,0)+IF(AND(Projects!$G$9="Yes",Projects!$J$9="Yes",Projects!$K$9="No",13=Projects!$C$9),Projects!$B$9*Assumptions!$B$47,0)+IF(AND(Projects!$G$10="Yes",Projects!$J$10="Yes",Projects!$K$10="No",13=Projects!$C$10),Projects!$B$10*Assumptions!$B$47,0)+IF(AND(Projects!$G$11="Yes",Projects!$J$11="Yes",Projects!$K$11="No",13=Projects!$C$11),Projects!$B$11*Assumptions!$B$47,0)+IF(AND(Projects!$G$12="Yes",Projects!$J$12="Yes",Projects!$K$12="No",13=Projects!$C$12),Projects!$B$12*Assumptions!$B$47,0)+IF(AND(Projects!$G$13="Yes",Projects!$J$13="Yes",Projects!$K$13="No",13=Projects!$C$13),Projects!$B$13*Assumptions!$B$47,0)+IF(AND(Projects!$G$14="Yes",Projects!$J$14="Yes",Projects!$K$14="No",13=Projects!$C$14),Projects!$B$14*Assumptions!$B$47,0)),Actuals!R107)</f>
        <v>-0</v>
      </c>
      <c r="R194" s="14" t="n">
        <f aca="false">IF(ISBLANK(Actuals!S107),-(IF(AND(Projects!$G$2="Yes",Projects!$J$2="Yes",Projects!$K$2="No",14=Projects!$C$2),Projects!$B$2*Assumptions!$B$47,0)+IF(AND(Projects!$G$3="Yes",Projects!$J$3="Yes",Projects!$K$3="No",14=Projects!$C$3),Projects!$B$3*Assumptions!$B$47,0)+IF(AND(Projects!$G$4="Yes",Projects!$J$4="Yes",Projects!$K$4="No",14=Projects!$C$4),Projects!$B$4*Assumptions!$B$47,0)+IF(AND(Projects!$G$5="Yes",Projects!$J$5="Yes",Projects!$K$5="No",14=Projects!$C$5),Projects!$B$5*Assumptions!$B$47,0)+IF(AND(Projects!$G$6="Yes",Projects!$J$6="Yes",Projects!$K$6="No",14=Projects!$C$6),Projects!$B$6*Assumptions!$B$47,0)+IF(AND(Projects!$G$7="Yes",Projects!$J$7="Yes",Projects!$K$7="No",14=Projects!$C$7),Projects!$B$7*Assumptions!$B$47,0)+IF(AND(Projects!$G$8="Yes",Projects!$J$8="Yes",Projects!$K$8="No",14=Projects!$C$8),Projects!$B$8*Assumptions!$B$47,0)+IF(AND(Projects!$G$9="Yes",Projects!$J$9="Yes",Projects!$K$9="No",14=Projects!$C$9),Projects!$B$9*Assumptions!$B$47,0)+IF(AND(Projects!$G$10="Yes",Projects!$J$10="Yes",Projects!$K$10="No",14=Projects!$C$10),Projects!$B$10*Assumptions!$B$47,0)+IF(AND(Projects!$G$11="Yes",Projects!$J$11="Yes",Projects!$K$11="No",14=Projects!$C$11),Projects!$B$11*Assumptions!$B$47,0)+IF(AND(Projects!$G$12="Yes",Projects!$J$12="Yes",Projects!$K$12="No",14=Projects!$C$12),Projects!$B$12*Assumptions!$B$47,0)+IF(AND(Projects!$G$13="Yes",Projects!$J$13="Yes",Projects!$K$13="No",14=Projects!$C$13),Projects!$B$13*Assumptions!$B$47,0)+IF(AND(Projects!$G$14="Yes",Projects!$J$14="Yes",Projects!$K$14="No",14=Projects!$C$14),Projects!$B$14*Assumptions!$B$47,0)),Actuals!S107)</f>
        <v>-0</v>
      </c>
      <c r="S194" s="14" t="n">
        <f aca="false">IF(ISBLANK(Actuals!T107),-(IF(AND(Projects!$G$2="Yes",Projects!$J$2="Yes",Projects!$K$2="No",15=Projects!$C$2),Projects!$B$2*Assumptions!$B$47,0)+IF(AND(Projects!$G$3="Yes",Projects!$J$3="Yes",Projects!$K$3="No",15=Projects!$C$3),Projects!$B$3*Assumptions!$B$47,0)+IF(AND(Projects!$G$4="Yes",Projects!$J$4="Yes",Projects!$K$4="No",15=Projects!$C$4),Projects!$B$4*Assumptions!$B$47,0)+IF(AND(Projects!$G$5="Yes",Projects!$J$5="Yes",Projects!$K$5="No",15=Projects!$C$5),Projects!$B$5*Assumptions!$B$47,0)+IF(AND(Projects!$G$6="Yes",Projects!$J$6="Yes",Projects!$K$6="No",15=Projects!$C$6),Projects!$B$6*Assumptions!$B$47,0)+IF(AND(Projects!$G$7="Yes",Projects!$J$7="Yes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jects!$B$9*Assumptions!$B$47,0)+IF(AND(Projects!$G$10="Yes",Projects!$J$10="Yes",Projects!$K$10="No",15=Projects!$C$10),Projects!$B$10*Assumptions!$B$47,0)+IF(AND(Projects!$G$11="Yes",Projects!$J$11="Yes",Projects!$K$11="No",15=Projects!$C$11),Projects!$B$11*Assumptions!$B$47,0)+IF(AND(Projects!$G$12="Yes",Projects!$J$12="Yes",Projects!$K$12="No",15=Projects!$C$12),Projects!$B$12*Assumptions!$B$47,0)+IF(AND(Projects!$G$13="Yes",Projects!$J$13="Yes",Projects!$K$13="No",15=Projects!$C$13),Projects!$B$13*Assumptions!$B$47,0)+IF(AND(Projects!$G$14="Yes",Projects!$J$14="Yes",Projects!$K$14="No",15=Projects!$C$14),Projects!$B$14*Assumptions!$B$47,0)),Actuals!T107)</f>
        <v>-0</v>
      </c>
      <c r="T194" s="14" t="n">
        <f aca="false">IF(ISBLANK(Actuals!U107),-(IF(AND(Projects!$G$2="Yes",Projects!$J$2="Yes",Projects!$K$2="No",16=Projects!$C$2),Projects!$B$2*Assumptions!$B$47,0)+IF(AND(Projects!$G$3="Yes",Projects!$J$3="Yes",Projects!$K$3="No",16=Projects!$C$3),Projects!$B$3*Assumptions!$B$47,0)+IF(AND(Projects!$G$4="Yes",Projects!$J$4="Yes",Projects!$K$4="No",16=Projects!$C$4),Projects!$B$4*Assumptions!$B$47,0)+IF(AND(Projects!$G$5="Yes",Projects!$J$5="Yes",Projects!$K$5="No",16=Projects!$C$5),Projects!$B$5*Assumptions!$B$47,0)+IF(AND(Projects!$G$6="Yes",Projects!$J$6="Yes",Projects!$K$6="No",16=Projects!$C$6),Projects!$B$6*Assumptions!$B$47,0)+IF(AND(Projects!$G$7="Yes",Projects!$J$7="Yes",Projects!$K$7="No",16=Projects!$C$7),Projects!$B$7*Assumptions!$B$47,0)+IF(AND(Projects!$G$8="Yes",Projects!$J$8="Yes",Projects!$K$8="No",16=Projects!$C$8),Projects!$B$8*Assumptions!$B$47,0)+IF(AND(Projects!$G$9="Yes",Projects!$J$9="Yes",Projects!$K$9="No",16=Projects!$C$9),Projects!$B$9*Assumptions!$B$47,0)+IF(AND(Projects!$G$10="Yes",Projects!$J$10="Yes",Projects!$K$10="No",16=Projects!$C$10),Projects!$B$10*Assumptions!$B$47,0)+IF(AND(Projects!$G$11="Yes",Projects!$J$11="Yes",Projects!$K$11="No",16=Projects!$C$11),Projects!$B$11*Assumptions!$B$47,0)+IF(AND(Projects!$G$12="Yes",Projects!$J$12="Yes",Projects!$K$12="No",16=Projects!$C$12),Projects!$B$12*Assumptions!$B$47,0)+IF(AND(Projects!$G$13="Yes",Projects!$J$13="Yes",Projects!$K$13="No",16=Projects!$C$13),Projects!$B$13*Assumptions!$B$47,0)+IF(AND(Projects!$G$14="Yes",Projects!$J$14="Yes",Projects!$K$14="No",16=Projects!$C$14),Projects!$B$14*Assumptions!$B$47,0)),Actuals!U107)</f>
        <v>-0</v>
      </c>
      <c r="U194" s="14" t="n">
        <f aca="false">IF(ISBLANK(Actuals!V107),-(IF(AND(Projects!$G$2="Yes",Projects!$J$2="Yes",Projects!$K$2="No",17=Projects!$C$2),Projects!$B$2*Assumptions!$B$47,0)+IF(AND(Projects!$G$3="Yes",Projects!$J$3="Yes",Projects!$K$3="No",17=Projects!$C$3),Projects!$B$3*Assumptions!$B$47,0)+IF(AND(Projects!$G$4="Yes",Projects!$J$4="Yes",Projects!$K$4="No",17=Projects!$C$4),Projects!$B$4*Assumptions!$B$47,0)+IF(AND(Projects!$G$5="Yes",Projects!$J$5="Yes",Projects!$K$5="No",17=Projects!$C$5),Projects!$B$5*Assumptions!$B$47,0)+IF(AND(Projects!$G$6="Yes",Projects!$J$6="Yes",Projects!$K$6="No",17=Projects!$C$6),Projects!$B$6*Assumptions!$B$47,0)+IF(AND(Projects!$G$7="Yes",Projects!$J$7="Yes",Projects!$K$7="No",17=Projects!$C$7),Projects!$B$7*Assumptions!$B$47,0)+IF(AND(Projects!$G$8="Yes",Projects!$J$8="Yes",Projects!$K$8="No",17=Projects!$C$8),Projects!$B$8*Assumptions!$B$47,0)+IF(AND(Projects!$G$9="Yes",Projects!$J$9="Yes",Projects!$K$9="No",17=Projects!$C$9),Projects!$B$9*Assumptions!$B$47,0)+IF(AND(Projects!$G$10="Yes",Projects!$J$10="Yes",Projects!$K$10="No",17=Projects!$C$10),Projects!$B$10*Assumptions!$B$47,0)+IF(AND(Projects!$G$11="Yes",Projects!$J$11="Yes",Projects!$K$11="No",17=Projects!$C$11),Projects!$B$11*Assumptions!$B$47,0)+IF(AND(Projects!$G$12="Yes",Projects!$J$12="Yes",Projects!$K$12="No",17=Projects!$C$12),Projects!$B$12*Assumptions!$B$47,0)+IF(AND(Projects!$G$13="Yes",Projects!$J$13="Yes",Projects!$K$13="No",17=Projects!$C$13),Projects!$B$13*Assumptions!$B$47,0)+IF(AND(Projects!$G$14="Yes",Projects!$J$14="Yes",Projects!$K$14="No",17=Projects!$C$14),Projects!$B$14*Assumptions!$B$47,0)),Actuals!V107)</f>
        <v>-0</v>
      </c>
      <c r="V194" s="14" t="n">
        <f aca="false">IF(ISBLANK(Actuals!W107),-(IF(AND(Projects!$G$2="Yes",Projects!$J$2="Yes",Projects!$K$2="No",18=Projects!$C$2),Projects!$B$2*Assumptions!$B$47,0)+IF(AND(Projects!$G$3="Yes",Projects!$J$3="Yes",Projects!$K$3="No",18=Projects!$C$3),Projects!$B$3*Assumptions!$B$47,0)+IF(AND(Projects!$G$4="Yes",Projects!$J$4="Yes",Projects!$K$4="No",18=Projects!$C$4),Projects!$B$4*Assumptions!$B$47,0)+IF(AND(Projects!$G$5="Yes",Projects!$J$5="Yes",Projects!$K$5="No",18=Projects!$C$5),Projects!$B$5*Assumptions!$B$47,0)+IF(AND(Projects!$G$6="Yes",Projects!$J$6="Yes",Projects!$K$6="No",18=Projects!$C$6),Projects!$B$6*Assumptions!$B$47,0)+IF(AND(Projects!$G$7="Yes",Projects!$J$7="Yes",Projects!$K$7="No",18=Projects!$C$7),Projects!$B$7*Assumptions!$B$47,0)+IF(AND(Projects!$G$8="Yes",Projects!$J$8="Yes",Projects!$K$8="No",18=Projects!$C$8),Projects!$B$8*Assumptions!$B$47,0)+IF(AND(Projects!$G$9="Yes",Projects!$J$9="Yes",Projects!$K$9="No",18=Projects!$C$9),Projects!$B$9*Assumptions!$B$47,0)+IF(AND(Projects!$G$10="Yes",Projects!$J$10="Yes",Projects!$K$10="No",18=Projects!$C$10),Projects!$B$10*Assumptions!$B$47,0)+IF(AND(Projects!$G$11="Yes",Projects!$J$11="Yes",Projects!$K$11="No",18=Projects!$C$11),Projects!$B$11*Assumptions!$B$47,0)+IF(AND(Projects!$G$12="Yes",Projects!$J$12="Yes",Projects!$K$12="No",18=Projects!$C$12),Projects!$B$12*Assumptions!$B$47,0)+IF(AND(Projects!$G$13="Yes",Projects!$J$13="Yes",Projects!$K$13="No",18=Projects!$C$13),Projects!$B$13*Assumptions!$B$47,0)+IF(AND(Projects!$G$14="Yes",Projects!$J$14="Yes",Projects!$K$14="No",18=Projects!$C$14),Projects!$B$14*Assumptions!$B$47,0)),Actuals!W107)</f>
        <v>-0</v>
      </c>
      <c r="W194" s="14" t="n">
        <f aca="false">IF(ISBLANK(Actuals!X107),-(IF(AND(Projects!$G$2="Yes",Projects!$J$2="Yes",Projects!$K$2="No",19=Projects!$C$2),Projects!$B$2*Assumptions!$B$47,0)+IF(AND(Projects!$G$3="Yes",Projects!$J$3="Yes",Projects!$K$3="No",19=Projects!$C$3),Projects!$B$3*Assumptions!$B$47,0)+IF(AND(Projects!$G$4="Yes",Projects!$J$4="Yes",Projects!$K$4="No",19=Projects!$C$4),Projects!$B$4*Assumptions!$B$47,0)+IF(AND(Projects!$G$5="Yes",Projects!$J$5="Yes",Projects!$K$5="No",19=Projects!$C$5),Projects!$B$5*Assumptions!$B$47,0)+IF(AND(Projects!$G$6="Yes",Projects!$J$6="Yes",Projects!$K$6="No",19=Projects!$C$6),Projects!$B$6*Assumptions!$B$47,0)+IF(AND(Projects!$G$7="Yes",Projects!$J$7="Yes",Projects!$K$7="No",19=Projects!$C$7),Projects!$B$7*Assumptions!$B$47,0)+IF(AND(Projects!$G$8="Yes",Projects!$J$8="Yes",Projects!$K$8="No",19=Projects!$C$8),Projects!$B$8*Assumptions!$B$47,0)+IF(AND(Projects!$G$9="Yes",Projects!$J$9="Yes",Projects!$K$9="No",19=Projects!$C$9),Projects!$B$9*Assumptions!$B$47,0)+IF(AND(Projects!$G$10="Yes",Projects!$J$10="Yes",Projects!$K$10="No",19=Projects!$C$10),Projects!$B$10*Assumptions!$B$47,0)+IF(AND(Projects!$G$11="Yes",Projects!$J$11="Yes",Projects!$K$11="No",19=Projects!$C$11),Projects!$B$11*Assumptions!$B$47,0)+IF(AND(Projects!$G$12="Yes",Projects!$J$12="Yes",Projects!$K$12="No",19=Projects!$C$12),Projects!$B$12*Assumptions!$B$47,0)+IF(AND(Projects!$G$13="Yes",Projects!$J$13="Yes",Projects!$K$13="No",19=Projects!$C$13),Projects!$B$13*Assumptions!$B$47,0)+IF(AND(Projects!$G$14="Yes",Projects!$J$14="Yes",Projects!$K$14="No",19=Projects!$C$14),Projects!$B$14*Assumptions!$B$47,0)),Actuals!X107)</f>
        <v>-0</v>
      </c>
      <c r="X194" s="14" t="n">
        <f aca="false">IF(ISBLANK(Actuals!Y107),-(IF(AND(Projects!$G$2="Yes",Projects!$J$2="Yes",Projects!$K$2="No",20=Projects!$C$2),Projects!$B$2*Assumptions!$B$47,0)+IF(AND(Projects!$G$3="Yes",Projects!$J$3="Yes",Projects!$K$3="No",20=Projects!$C$3),Projects!$B$3*Assumptions!$B$47,0)+IF(AND(Projects!$G$4="Yes",Projects!$J$4="Yes",Projects!$K$4="No",20=Projects!$C$4),Projects!$B$4*Assumptions!$B$47,0)+IF(AND(Projects!$G$5="Yes",Projects!$J$5="Yes",Projects!$K$5="No",20=Projects!$C$5),Projects!$B$5*Assumptions!$B$47,0)+IF(AND(Projects!$G$6="Yes",Projects!$J$6="Yes",Projects!$K$6="No",20=Projects!$C$6),Projects!$B$6*Assumptions!$B$47,0)+IF(AND(Projects!$G$7="Yes",Projects!$J$7="Yes",Projects!$K$7="No",20=Projects!$C$7),Projects!$B$7*Assumptions!$B$47,0)+IF(AND(Projects!$G$8="Yes",Projects!$J$8="Yes",Projects!$K$8="No",20=Projects!$C$8),Projects!$B$8*Assumptions!$B$47,0)+IF(AND(Projects!$G$9="Yes",Projects!$J$9="Yes",Projects!$K$9="No",20=Projects!$C$9),Projects!$B$9*Assumptions!$B$47,0)+IF(AND(Projects!$G$10="Yes",Projects!$J$10="Yes",Projects!$K$10="No",20=Projects!$C$10),Projects!$B$10*Assumptions!$B$47,0)+IF(AND(Projects!$G$11="Yes",Projects!$J$11="Yes",Projects!$K$11="No",20=Projects!$C$11),Projects!$B$11*Assumptions!$B$47,0)+IF(AND(Projects!$G$12="Yes",Projects!$J$12="Yes",Projects!$K$12="No",20=Projects!$C$12),Projects!$B$12*Assumptions!$B$47,0)+IF(AND(Projects!$G$13="Yes",Projects!$J$13="Yes",Projects!$K$13="No",20=Projects!$C$13),Projects!$B$13*Assumptions!$B$47,0)+IF(AND(Projects!$G$14="Yes",Projects!$J$14="Yes",Projects!$K$14="No",20=Projects!$C$14),Projects!$B$14*Assumptions!$B$47,0)),Actuals!Y107)</f>
        <v>-0</v>
      </c>
      <c r="Y194" s="14" t="n">
        <f aca="false">IF(ISBLANK(Actuals!Z107),-(IF(AND(Projects!$G$2="Yes",Projects!$J$2="Yes",Projects!$K$2="No",21=Projects!$C$2),Projects!$B$2*Assumptions!$B$47,0)+IF(AND(Projects!$G$3="Yes",Projects!$J$3="Yes",Projects!$K$3="No",21=Projects!$C$3),Projects!$B$3*Assumptions!$B$47,0)+IF(AND(Projects!$G$4="Yes",Projects!$J$4="Yes",Projects!$K$4="No",21=Projects!$C$4),Projects!$B$4*Assumptions!$B$47,0)+IF(AND(Projects!$G$5="Yes",Projects!$J$5="Yes",Projects!$K$5="No",21=Projects!$C$5),Projects!$B$5*Assumptions!$B$47,0)+IF(AND(Projects!$G$6="Yes",Projects!$J$6="Yes",Projects!$K$6="No",21=Projects!$C$6),Projects!$B$6*Assumptions!$B$47,0)+IF(AND(Projects!$G$7="Yes",Projects!$J$7="Yes",Projects!$K$7="No",21=Projects!$C$7),Projects!$B$7*Assumptions!$B$47,0)+IF(AND(Projects!$G$8="Yes",Projects!$J$8="Yes",Projects!$K$8="No",21=Projects!$C$8),Projects!$B$8*Assumptions!$B$47,0)+IF(AND(Projects!$G$9="Yes",Projects!$J$9="Yes",Projects!$K$9="No",21=Projects!$C$9),Projects!$B$9*Assumptions!$B$47,0)+IF(AND(Projects!$G$10="Yes",Projects!$J$10="Yes",Projects!$K$10="No",21=Projects!$C$10),Projects!$B$10*Assumptions!$B$47,0)+IF(AND(Projects!$G$11="Yes",Projects!$J$11="Yes",Projects!$K$11="No",21=Projects!$C$11),Projects!$B$11*Assumptions!$B$47,0)+IF(AND(Projects!$G$12="Yes",Projects!$J$12="Yes",Projects!$K$12="No",21=Projects!$C$12),Projects!$B$12*Assumptions!$B$47,0)+IF(AND(Projects!$G$13="Yes",Projects!$J$13="Yes",Projects!$K$13="No",21=Projects!$C$13),Projects!$B$13*Assumptions!$B$47,0)+IF(AND(Projects!$G$14="Yes",Projects!$J$14="Yes",Projects!$K$14="No",21=Projects!$C$14),Projects!$B$14*Assumptions!$B$47,0)),Actuals!Z107)</f>
        <v>-0</v>
      </c>
      <c r="Z194" s="14" t="n">
        <f aca="false">IF(ISBLANK(Actuals!AA107),-(IF(AND(Projects!$G$2="Yes",Projects!$J$2="Yes",Projects!$K$2="No",22=Projects!$C$2),Projects!$B$2*Assumptions!$B$47,0)+IF(AND(Projects!$G$3="Yes",Projects!$J$3="Yes",Projects!$K$3="No",22=Projects!$C$3),Projects!$B$3*Assumptions!$B$47,0)+IF(AND(Projects!$G$4="Yes",Projects!$J$4="Yes",Projects!$K$4="No",22=Projects!$C$4),Projects!$B$4*Assumptions!$B$47,0)+IF(AND(Projects!$G$5="Yes",Projects!$J$5="Yes",Projects!$K$5="No",22=Projects!$C$5),Projects!$B$5*Assumptions!$B$47,0)+IF(AND(Projects!$G$6="Yes",Projects!$J$6="Yes",Projects!$K$6="No",22=Projects!$C$6),Projects!$B$6*Assumptions!$B$47,0)+IF(AND(Projects!$G$7="Yes",Projects!$J$7="Yes",Projects!$K$7="No",22=Projects!$C$7),Projects!$B$7*Assumptions!$B$47,0)+IF(AND(Projects!$G$8="Yes",Projects!$J$8="Yes",Projects!$K$8="No",22=Projects!$C$8),Projects!$B$8*Assumptions!$B$47,0)+IF(AND(Projects!$G$9="Yes",Projects!$J$9="Yes",Projects!$K$9="No",22=Projects!$C$9),Projects!$B$9*Assumptions!$B$47,0)+IF(AND(Projects!$G$10="Yes",Projects!$J$10="Yes",Projects!$K$10="No",22=Projects!$C$10),Projects!$B$10*Assumptions!$B$47,0)+IF(AND(Projects!$G$11="Yes",Projects!$J$11="Yes",Projects!$K$11="No",22=Projects!$C$11),Projects!$B$11*Assumptions!$B$47,0)+IF(AND(Projects!$G$12="Yes",Projects!$J$12="Yes",Projects!$K$12="No",22=Projects!$C$12),Projects!$B$12*Assumptions!$B$47,0)+IF(AND(Projects!$G$13="Yes",Projects!$J$13="Yes",Projects!$K$13="No",22=Projects!$C$13),Projects!$B$13*Assumptions!$B$47,0)+IF(AND(Projects!$G$14="Yes",Projects!$J$14="Yes",Projects!$K$14="No",22=Projects!$C$14),Projects!$B$14*Assumptions!$B$47,0)),Actuals!AA107)</f>
        <v>-0</v>
      </c>
      <c r="AA194" s="14" t="n">
        <f aca="false">IF(ISBLANK(Actuals!AB107),-(IF(AND(Projects!$G$2="Yes",Projects!$J$2="Yes",Projects!$K$2="No",23=Projects!$C$2),Projects!$B$2*Assumptions!$B$47,0)+IF(AND(Projects!$G$3="Yes",Projects!$J$3="Yes",Projects!$K$3="No",23=Projects!$C$3),Projects!$B$3*Assumptions!$B$47,0)+IF(AND(Projects!$G$4="Yes",Projects!$J$4="Yes",Projects!$K$4="No",23=Projects!$C$4),Projects!$B$4*Assumptions!$B$47,0)+IF(AND(Projects!$G$5="Yes",Projects!$J$5="Yes",Projects!$K$5="No",23=Projects!$C$5),Projects!$B$5*Assumptions!$B$47,0)+IF(AND(Projects!$G$6="Yes",Projects!$J$6="Yes",Projects!$K$6="No",23=Projects!$C$6),Projects!$B$6*Assumptions!$B$47,0)+IF(AND(Projects!$G$7="Yes",Projects!$J$7="Yes",Projects!$K$7="No",23=Projects!$C$7),Projects!$B$7*Assumptions!$B$47,0)+IF(AND(Projects!$G$8="Yes",Projects!$J$8="Yes",Projects!$K$8="No",23=Projects!$C$8),Projects!$B$8*Assumptions!$B$47,0)+IF(AND(Projects!$G$9="Yes",Projects!$J$9="Yes",Projects!$K$9="No",23=Projects!$C$9),Projects!$B$9*Assumptions!$B$47,0)+IF(AND(Projects!$G$10="Yes",Projects!$J$10="Yes",Projects!$K$10="No",23=Projects!$C$10),Projects!$B$10*Assumptions!$B$47,0)+IF(AND(Projects!$G$11="Yes",Projects!$J$11="Yes",Projects!$K$11="No",23=Projects!$C$11),Projects!$B$11*Assumptions!$B$47,0)+IF(AND(Projects!$G$12="Yes",Projects!$J$12="Yes",Projects!$K$12="No",23=Projects!$C$12),Projects!$B$12*Assumptions!$B$47,0)+IF(AND(Projects!$G$13="Yes",Projects!$J$13="Yes",Projects!$K$13="No",23=Projects!$C$13),Projects!$B$13*Assumptions!$B$47,0)+IF(AND(Projects!$G$14="Yes",Projects!$J$14="Yes",Projects!$K$14="No",23=Projects!$C$14),Projects!$B$14*Assumptions!$B$47,0)),Actuals!AB107)</f>
        <v>-0</v>
      </c>
      <c r="AB194" s="14" t="n">
        <f aca="false">IF(ISBLANK(Actuals!AC107),-(IF(AND(Projects!$G$2="Yes",Projects!$J$2="Yes",Projects!$K$2="No",24=Projects!$C$2),Projects!$B$2*Assumptions!$B$47,0)+IF(AND(Projects!$G$3="Yes",Projects!$J$3="Yes",Projects!$K$3="No",24=Projects!$C$3),Projects!$B$3*Assumptions!$B$47,0)+IF(AND(Projects!$G$4="Yes",Projects!$J$4="Yes",Projects!$K$4="No",24=Projects!$C$4),Projects!$B$4*Assumptions!$B$47,0)+IF(AND(Projects!$G$5="Yes",Projects!$J$5="Yes",Projects!$K$5="No",24=Projects!$C$5),Projects!$B$5*Assumptions!$B$47,0)+IF(AND(Projects!$G$6="Yes",Projects!$J$6="Yes",Projects!$K$6="No",24=Projects!$C$6),Projects!$B$6*Assumptions!$B$47,0)+IF(AND(Projects!$G$7="Yes",Projects!$J$7="Yes",Projects!$K$7="No",24=Projects!$C$7),Projects!$B$7*Assumptions!$B$47,0)+IF(AND(Projects!$G$8="Yes",Projects!$J$8="Yes",Projects!$K$8="No",24=Projects!$C$8),Projects!$B$8*Assumptions!$B$47,0)+IF(AND(Projects!$G$9="Yes",Projects!$J$9="Yes",Projects!$K$9="No",24=Projects!$C$9),Projects!$B$9*Assumptions!$B$47,0)+IF(AND(Projects!$G$10="Yes",Projects!$J$10="Yes",Projects!$K$10="No",24=Projects!$C$10),Projects!$B$10*Assumptions!$B$47,0)+IF(AND(Projects!$G$11="Yes",Projects!$J$11="Yes",Projects!$K$11="No",24=Projects!$C$11),Projects!$B$11*Assumptions!$B$47,0)+IF(AND(Projects!$G$12="Yes",Projects!$J$12="Yes",Projects!$K$12="No",24=Projects!$C$12),Projects!$B$12*Assumptions!$B$47,0)+IF(AND(Projects!$G$13="Yes",Projects!$J$13="Yes",Projects!$K$13="No",24=Projects!$C$13),Projects!$B$13*Assumptions!$B$47,0)+IF(AND(Projects!$G$14="Yes",Projects!$J$14="Yes",Projects!$K$14="No",24=Projects!$C$14),Projects!$B$14*Assumptions!$B$47,0)),Actuals!AC107)</f>
        <v>-0</v>
      </c>
      <c r="AC194" s="14" t="n">
        <f aca="false">IF(ISBLANK(Actuals!AD107),-(IF(AND(Projects!$G$2="Yes",Projects!$J$2="Yes",Projects!$K$2="No",25=Projects!$C$2),Projects!$B$2*Assumptions!$B$47,0)+IF(AND(Projects!$G$3="Yes",Projects!$J$3="Yes",Projects!$K$3="No",25=Projects!$C$3),Projects!$B$3*Assumptions!$B$47,0)+IF(AND(Projects!$G$4="Yes",Projects!$J$4="Yes",Projects!$K$4="No",25=Projects!$C$4),Projects!$B$4*Assumptions!$B$47,0)+IF(AND(Projects!$G$5="Yes",Projects!$J$5="Yes",Projects!$K$5="No",25=Projects!$C$5),Projects!$B$5*Assumptions!$B$47,0)+IF(AND(Projects!$G$6="Yes",Projects!$J$6="Yes",Projects!$K$6="No",25=Projects!$C$6),Projects!$B$6*Assumptions!$B$47,0)+IF(AND(Projects!$G$7="Yes",Projects!$J$7="Yes",Projects!$K$7="No",25=Projects!$C$7),Projects!$B$7*Assumptions!$B$47,0)+IF(AND(Projects!$G$8="Yes",Projects!$J$8="Yes",Projects!$K$8="No",25=Projects!$C$8),Projects!$B$8*Assumptions!$B$47,0)+IF(AND(Projects!$G$9="Yes",Projects!$J$9="Yes",Projects!$K$9="No",25=Projects!$C$9),Projects!$B$9*Assumptions!$B$47,0)+IF(AND(Projects!$G$10="Yes",Projects!$J$10="Yes",Projects!$K$10="No",25=Projects!$C$10),Projects!$B$10*Assumptions!$B$47,0)+IF(AND(Projects!$G$11="Yes",Projects!$J$11="Yes",Projects!$K$11="No",25=Projects!$C$11),Projects!$B$11*Assumptions!$B$47,0)+IF(AND(Projects!$G$12="Yes",Projects!$J$12="Yes",Projects!$K$12="No",25=Projects!$C$12),Projects!$B$12*Assumptions!$B$47,0)+IF(AND(Projects!$G$13="Yes",Projects!$J$13="Yes",Projects!$K$13="No",25=Projects!$C$13),Projects!$B$13*Assumptions!$B$47,0)+IF(AND(Projects!$G$14="Yes",Projects!$J$14="Yes",Projects!$K$14="No",25=Projects!$C$14),Projects!$B$14*Assumptions!$B$47,0)),Actuals!AD107)</f>
        <v>-0</v>
      </c>
      <c r="AD194" s="14" t="n">
        <f aca="false">IF(ISBLANK(Actuals!AE107),-(IF(AND(Projects!$G$2="Yes",Projects!$J$2="Yes",Projects!$K$2="No",26=Projects!$C$2),Projects!$B$2*Assumptions!$B$47,0)+IF(AND(Projects!$G$3="Yes",Projects!$J$3="Yes",Projects!$K$3="No",26=Projects!$C$3),Projects!$B$3*Assumptions!$B$47,0)+IF(AND(Projects!$G$4="Yes",Projects!$J$4="Yes",Projects!$K$4="No",26=Projects!$C$4),Projects!$B$4*Assumptions!$B$47,0)+IF(AND(Projects!$G$5="Yes",Projects!$J$5="Yes",Projects!$K$5="No",26=Projects!$C$5),Projects!$B$5*Assumptions!$B$47,0)+IF(AND(Projects!$G$6="Yes",Projects!$J$6="Yes",Projects!$K$6="No",26=Projects!$C$6),Projects!$B$6*Assumptions!$B$47,0)+IF(AND(Projects!$G$7="Yes",Projects!$J$7="Yes",Projects!$K$7="No",26=Projects!$C$7),Projects!$B$7*Assumptions!$B$47,0)+IF(AND(Projects!$G$8="Yes",Projects!$J$8="Yes",Projects!$K$8="No",26=Projects!$C$8),Projects!$B$8*Assumptions!$B$47,0)+IF(AND(Projects!$G$9="Yes",Projects!$J$9="Yes",Projects!$K$9="No",26=Projects!$C$9),Projects!$B$9*Assumptions!$B$47,0)+IF(AND(Projects!$G$10="Yes",Projects!$J$10="Yes",Projects!$K$10="No",26=Projects!$C$10),Projects!$B$10*Assumptions!$B$47,0)+IF(AND(Projects!$G$11="Yes",Projects!$J$11="Yes",Projects!$K$11="No",26=Projects!$C$11),Projects!$B$11*Assumptions!$B$47,0)+IF(AND(Projects!$G$12="Yes",Projects!$J$12="Yes",Projects!$K$12="No",26=Projects!$C$12),Projects!$B$12*Assumptions!$B$47,0)+IF(AND(Projects!$G$13="Yes",Projects!$J$13="Yes",Projects!$K$13="No",26=Projects!$C$13),Projects!$B$13*Assumptions!$B$47,0)+IF(AND(Projects!$G$14="Yes",Projects!$J$14="Yes",Projects!$K$14="No",26=Projects!$C$14),Projects!$B$14*Assumptions!$B$47,0)),Actuals!AE107)</f>
        <v>-0</v>
      </c>
      <c r="AE194" s="14" t="n">
        <f aca="false">IF(ISBLANK(Actuals!AF107),-(IF(AND(Projects!$G$2="Yes",Projects!$J$2="Yes",Projects!$K$2="No",27=Projects!$C$2),Projects!$B$2*Assumptions!$B$47,0)+IF(AND(Projects!$G$3="Yes",Projects!$J$3="Yes",Projects!$K$3="No",27=Projects!$C$3),Projects!$B$3*Assumptions!$B$47,0)+IF(AND(Projects!$G$4="Yes",Projects!$J$4="Yes",Projects!$K$4="No",27=Projects!$C$4),Projects!$B$4*Assumptions!$B$47,0)+IF(AND(Projects!$G$5="Yes",Projects!$J$5="Yes",Projects!$K$5="No",27=Projects!$C$5),Projects!$B$5*Assumptions!$B$47,0)+IF(AND(Projects!$G$6="Yes",Projects!$J$6="Yes",Projects!$K$6="No",27=Projects!$C$6),Projects!$B$6*Assumptions!$B$47,0)+IF(AND(Projects!$G$7="Yes",Projects!$J$7="Yes",Projects!$K$7="No",27=Projects!$C$7),Projects!$B$7*Assumptions!$B$47,0)+IF(AND(Projects!$G$8="Yes",Projects!$J$8="Yes",Projects!$K$8="No",27=Projects!$C$8),Projects!$B$8*Assumptions!$B$47,0)+IF(AND(Projects!$G$9="Yes",Projects!$J$9="Yes",Projects!$K$9="No",27=Projects!$C$9),Projects!$B$9*Assumptions!$B$47,0)+IF(AND(Projects!$G$10="Yes",Projects!$J$10="Yes",Projects!$K$10="No",27=Projects!$C$10),Projects!$B$10*Assumptions!$B$47,0)+IF(AND(Projects!$G$11="Yes",Projects!$J$11="Yes",Projects!$K$11="No",27=Projects!$C$11),Projects!$B$11*Assumptions!$B$47,0)+IF(AND(Projects!$G$12="Yes",Projects!$J$12="Yes",Projects!$K$12="No",27=Projects!$C$12),Projects!$B$12*Assumptions!$B$47,0)+IF(AND(Projects!$G$13="Yes",Projects!$J$13="Yes",Projects!$K$13="No",27=Projects!$C$13),Projects!$B$13*Assumptions!$B$47,0)+IF(AND(Projects!$G$14="Yes",Projects!$J$14="Yes",Projects!$K$14="No",27=Projects!$C$14),Projects!$B$14*Assumptions!$B$47,0)),Actuals!AF107)</f>
        <v>-0</v>
      </c>
      <c r="AF194" s="14" t="n">
        <f aca="false">IF(ISBLANK(Actuals!AG107),-(IF(AND(Projects!$G$2="Yes",Projects!$J$2="Yes",Projects!$K$2="No",28=Projects!$C$2),Projects!$B$2*Assumptions!$B$47,0)+IF(AND(Projects!$G$3="Yes",Projects!$J$3="Yes",Projects!$K$3="No",28=Projects!$C$3),Projects!$B$3*Assumptions!$B$47,0)+IF(AND(Projects!$G$4="Yes",Projects!$J$4="Yes",Projects!$K$4="No",28=Projects!$C$4),Projects!$B$4*Assumptions!$B$47,0)+IF(AND(Projects!$G$5="Yes",Projects!$J$5="Yes",Projects!$K$5="No",28=Projects!$C$5),Projects!$B$5*Assumptions!$B$47,0)+IF(AND(Projects!$G$6="Yes",Projects!$J$6="Yes",Projects!$K$6="No",28=Projects!$C$6),Projects!$B$6*Assumptions!$B$47,0)+IF(AND(Projects!$G$7="Yes",Projects!$J$7="Yes",Projects!$K$7="No",28=Projects!$C$7),Projects!$B$7*Assumptions!$B$47,0)+IF(AND(Projects!$G$8="Yes",Projects!$J$8="Yes",Projects!$K$8="No",28=Projects!$C$8),Projects!$B$8*Assumptions!$B$47,0)+IF(AND(Projects!$G$9="Yes",Projects!$J$9="Yes",Projects!$K$9="No",28=Projects!$C$9),Projects!$B$9*Assumptions!$B$47,0)+IF(AND(Projects!$G$10="Yes",Projects!$J$10="Yes",Projects!$K$10="No",28=Projects!$C$10),Projects!$B$10*Assumptions!$B$47,0)+IF(AND(Projects!$G$11="Yes",Projects!$J$11="Yes",Projects!$K$11="No",28=Projects!$C$11),Projects!$B$11*Assumptions!$B$47,0)+IF(AND(Projects!$G$12="Yes",Projects!$J$12="Yes",Projects!$K$12="No",28=Projects!$C$12),Projects!$B$12*Assumptions!$B$47,0)+IF(AND(Projects!$G$13="Yes",Projects!$J$13="Yes",Projects!$K$13="No",28=Projects!$C$13),Projects!$B$13*Assumptions!$B$47,0)+IF(AND(Projects!$G$14="Yes",Projects!$J$14="Yes",Projects!$K$14="No",28=Projects!$C$14),Projects!$B$14*Assumptions!$B$47,0)),Actuals!AG107)</f>
        <v>-0</v>
      </c>
      <c r="AG194" s="14" t="n">
        <f aca="false">IF(ISBLANK(Actuals!AH107),-(IF(AND(Projects!$G$2="Yes",Projects!$J$2="Yes",Projects!$K$2="No",29=Projects!$C$2),Projects!$B$2*Assumptions!$B$47,0)+IF(AND(Projects!$G$3="Yes",Projects!$J$3="Yes",Projects!$K$3="No",29=Projects!$C$3),Projects!$B$3*Assumptions!$B$47,0)+IF(AND(Projects!$G$4="Yes",Projects!$J$4="Yes",Projects!$K$4="No",29=Projects!$C$4),Projects!$B$4*Assumptions!$B$47,0)+IF(AND(Projects!$G$5="Yes",Projects!$J$5="Yes",Projects!$K$5="No",29=Projects!$C$5),Projects!$B$5*Assumptions!$B$47,0)+IF(AND(Projects!$G$6="Yes",Projects!$J$6="Yes",Projects!$K$6="No",29=Projects!$C$6),Projects!$B$6*Assumptions!$B$47,0)+IF(AND(Projects!$G$7="Yes",Projects!$J$7="Yes",Projects!$K$7="No",29=Projects!$C$7),Projects!$B$7*Assumptions!$B$47,0)+IF(AND(Projects!$G$8="Yes",Projects!$J$8="Yes",Projects!$K$8="No",29=Projects!$C$8),Projects!$B$8*Assumptions!$B$47,0)+IF(AND(Projects!$G$9="Yes",Projects!$J$9="Yes",Projects!$K$9="No",29=Projects!$C$9),Projects!$B$9*Assumptions!$B$47,0)+IF(AND(Projects!$G$10="Yes",Projects!$J$10="Yes",Projects!$K$10="No",29=Projects!$C$10),Projects!$B$10*Assumptions!$B$47,0)+IF(AND(Projects!$G$11="Yes",Projects!$J$11="Yes",Projects!$K$11="No",29=Projects!$C$11),Projects!$B$11*Assumptions!$B$47,0)+IF(AND(Projects!$G$12="Yes",Projects!$J$12="Yes",Projects!$K$12="No",29=Projects!$C$12),Projects!$B$12*Assumptions!$B$47,0)+IF(AND(Projects!$G$13="Yes",Projects!$J$13="Yes",Projects!$K$13="No",29=Projects!$C$13),Projects!$B$13*Assumptions!$B$47,0)+IF(AND(Projects!$G$14="Yes",Projects!$J$14="Yes",Projects!$K$14="No",29=Projects!$C$14),Projects!$B$14*Assumptions!$B$47,0)),Actuals!AH107)</f>
        <v>-0</v>
      </c>
      <c r="AH194" s="14" t="n">
        <f aca="false">IF(ISBLANK(Actuals!AI107),-(IF(AND(Projects!$G$2="Yes",Projects!$J$2="Yes",Projects!$K$2="No",30=Projects!$C$2),Projects!$B$2*Assumptions!$B$47,0)+IF(AND(Projects!$G$3="Yes",Projects!$J$3="Yes",Projects!$K$3="No",30=Projects!$C$3),Projects!$B$3*Assumptions!$B$47,0)+IF(AND(Projects!$G$4="Yes",Projects!$J$4="Yes",Projects!$K$4="No",30=Projects!$C$4),Projects!$B$4*Assumptions!$B$47,0)+IF(AND(Projects!$G$5="Yes",Projects!$J$5="Yes",Projects!$K$5="No",30=Projects!$C$5),Projects!$B$5*Assumptions!$B$47,0)+IF(AND(Projects!$G$6="Yes",Projects!$J$6="Yes",Projects!$K$6="No",30=Projects!$C$6),Projects!$B$6*Assumptions!$B$47,0)+IF(AND(Projects!$G$7="Yes",Projects!$J$7="Yes",Projects!$K$7="No",30=Projects!$C$7),Projects!$B$7*Assumptions!$B$47,0)+IF(AND(Projects!$G$8="Yes",Projects!$J$8="Yes",Projects!$K$8="No",30=Projects!$C$8),Projects!$B$8*Assumptions!$B$47,0)+IF(AND(Projects!$G$9="Yes",Projects!$J$9="Yes",Projects!$K$9="No",30=Projects!$C$9),Projects!$B$9*Assumptions!$B$47,0)+IF(AND(Projects!$G$10="Yes",Projects!$J$10="Yes",Projects!$K$10="No",30=Projects!$C$10),Projects!$B$10*Assumptions!$B$47,0)+IF(AND(Projects!$G$11="Yes",Projects!$J$11="Yes",Projects!$K$11="No",30=Projects!$C$11),Projects!$B$11*Assumptions!$B$47,0)+IF(AND(Projects!$G$12="Yes",Projects!$J$12="Yes",Projects!$K$12="No",30=Projects!$C$12),Projects!$B$12*Assumptions!$B$47,0)+IF(AND(Projects!$G$13="Yes",Projects!$J$13="Yes",Projects!$K$13="No",30=Projects!$C$13),Projects!$B$13*Assumptions!$B$47,0)+IF(AND(Projects!$G$14="Yes",Projects!$J$14="Yes",Projects!$K$14="No",30=Projects!$C$14),Projects!$B$14*Assumptions!$B$47,0)),Actuals!AI107)</f>
        <v>-0</v>
      </c>
      <c r="AI194" s="14" t="n">
        <f aca="false">IF(ISBLANK(Actuals!AJ107),-(IF(AND(Projects!$G$2="Yes",Projects!$J$2="Yes",Projects!$K$2="No",31=Projects!$C$2),Projects!$B$2*Assumptions!$B$47,0)+IF(AND(Projects!$G$3="Yes",Projects!$J$3="Yes",Projects!$K$3="No",31=Projects!$C$3),Projects!$B$3*Assumptions!$B$47,0)+IF(AND(Projects!$G$4="Yes",Projects!$J$4="Yes",Projects!$K$4="No",31=Projects!$C$4),Projects!$B$4*Assumptions!$B$47,0)+IF(AND(Projects!$G$5="Yes",Projects!$J$5="Yes",Projects!$K$5="No",31=Projects!$C$5),Projects!$B$5*Assumptions!$B$47,0)+IF(AND(Projects!$G$6="Yes",Projects!$J$6="Yes",Projects!$K$6="No",31=Projects!$C$6),Projects!$B$6*Assumptions!$B$47,0)+IF(AND(Projects!$G$7="Yes",Projects!$J$7="Yes",Projects!$K$7="No",31=Projects!$C$7),Projects!$B$7*Assumptions!$B$47,0)+IF(AND(Projects!$G$8="Yes",Projects!$J$8="Yes",Projects!$K$8="No",31=Projects!$C$8),Projects!$B$8*Assumptions!$B$47,0)+IF(AND(Projects!$G$9="Yes",Projects!$J$9="Yes",Projects!$K$9="No",31=Projects!$C$9),Projects!$B$9*Assumptions!$B$47,0)+IF(AND(Projects!$G$10="Yes",Projects!$J$10="Yes",Projects!$K$10="No",31=Projects!$C$10),Projects!$B$10*Assumptions!$B$47,0)+IF(AND(Projects!$G$11="Yes",Projects!$J$11="Yes",Projects!$K$11="No",31=Projects!$C$11),Projects!$B$11*Assumptions!$B$47,0)+IF(AND(Projects!$G$12="Yes",Projects!$J$12="Yes",Projects!$K$12="No",31=Projects!$C$12),Projects!$B$12*Assumptions!$B$47,0)+IF(AND(Projects!$G$13="Yes",Projects!$J$13="Yes",Projects!$K$13="No",31=Projects!$C$13),Projects!$B$13*Assumptions!$B$47,0)+IF(AND(Projects!$G$14="Yes",Projects!$J$14="Yes",Projects!$K$14="No",31=Projects!$C$14),Projects!$B$14*Assumptions!$B$47,0)),Actuals!AJ107)</f>
        <v>-0</v>
      </c>
      <c r="AJ194" s="14" t="n">
        <f aca="false">IF(ISBLANK(Actuals!AK107),-(IF(AND(Projects!$G$2="Yes",Projects!$J$2="Yes",Projects!$K$2="No",32=Projects!$C$2),Projects!$B$2*Assumptions!$B$47,0)+IF(AND(Projects!$G$3="Yes",Projects!$J$3="Yes",Projects!$K$3="No",32=Projects!$C$3),Projects!$B$3*Assumptions!$B$47,0)+IF(AND(Projects!$G$4="Yes",Projects!$J$4="Yes",Projects!$K$4="No",32=Projects!$C$4),Projects!$B$4*Assumptions!$B$47,0)+IF(AND(Projects!$G$5="Yes",Projects!$J$5="Yes",Projects!$K$5="No",32=Projects!$C$5),Projects!$B$5*Assumptions!$B$47,0)+IF(AND(Projects!$G$6="Yes",Projects!$J$6="Yes",Projects!$K$6="No",32=Projects!$C$6),Projects!$B$6*Assumptions!$B$47,0)+IF(AND(Projects!$G$7="Yes",Projects!$J$7="Yes",Projects!$K$7="No",32=Projects!$C$7),Projects!$B$7*Assumptions!$B$47,0)+IF(AND(Projects!$G$8="Yes",Projects!$J$8="Yes",Projects!$K$8="No",32=Projects!$C$8),Projects!$B$8*Assumptions!$B$47,0)+IF(AND(Projects!$G$9="Yes",Projects!$J$9="Yes",Projects!$K$9="No",32=Projects!$C$9),Projects!$B$9*Assumptions!$B$47,0)+IF(AND(Projects!$G$10="Yes",Projects!$J$10="Yes",Projects!$K$10="No",32=Projects!$C$10),Projects!$B$10*Assumptions!$B$47,0)+IF(AND(Projects!$G$11="Yes",Projects!$J$11="Yes",Projects!$K$11="No",32=Projects!$C$11),Projects!$B$11*Assumptions!$B$47,0)+IF(AND(Projects!$G$12="Yes",Projects!$J$12="Yes",Projects!$K$12="No",32=Projects!$C$12),Projects!$B$12*Assumptions!$B$47,0)+IF(AND(Projects!$G$13="Yes",Projects!$J$13="Yes",Projects!$K$13="No",32=Projects!$C$13),Projects!$B$13*Assumptions!$B$47,0)+IF(AND(Projects!$G$14="Yes",Projects!$J$14="Yes",Projects!$K$14="No",32=Projects!$C$14),Projects!$B$14*Assumptions!$B$47,0)),Actuals!AK107)</f>
        <v>-0</v>
      </c>
      <c r="AK194" s="14" t="n">
        <f aca="false">IF(ISBLANK(Actuals!AL107),-(IF(AND(Projects!$G$2="Yes",Projects!$J$2="Yes",Projects!$K$2="No",33=Projects!$C$2),Projects!$B$2*Assumptions!$B$47,0)+IF(AND(Projects!$G$3="Yes",Projects!$J$3="Yes",Projects!$K$3="No",33=Projects!$C$3),Projects!$B$3*Assumptions!$B$47,0)+IF(AND(Projects!$G$4="Yes",Projects!$J$4="Yes",Projects!$K$4="No",33=Projects!$C$4),Projects!$B$4*Assumptions!$B$47,0)+IF(AND(Projects!$G$5="Yes",Projects!$J$5="Yes",Projects!$K$5="No",33=Projects!$C$5),Projects!$B$5*Assumptions!$B$47,0)+IF(AND(Projects!$G$6="Yes",Projects!$J$6="Yes",Projects!$K$6="No",33=Projects!$C$6),Projects!$B$6*Assumptions!$B$47,0)+IF(AND(Projects!$G$7="Yes",Projects!$J$7="Yes",Projects!$K$7="No",33=Projects!$C$7),Projects!$B$7*Assumptions!$B$47,0)+IF(AND(Projects!$G$8="Yes",Projects!$J$8="Yes",Projects!$K$8="No",33=Projects!$C$8),Projects!$B$8*Assumptions!$B$47,0)+IF(AND(Projects!$G$9="Yes",Projects!$J$9="Yes",Projects!$K$9="No",33=Projects!$C$9),Projects!$B$9*Assumptions!$B$47,0)+IF(AND(Projects!$G$10="Yes",Projects!$J$10="Yes",Projects!$K$10="No",33=Projects!$C$10),Projects!$B$10*Assumptions!$B$47,0)+IF(AND(Projects!$G$11="Yes",Projects!$J$11="Yes",Projects!$K$11="No",33=Projects!$C$11),Projects!$B$11*Assumptions!$B$47,0)+IF(AND(Projects!$G$12="Yes",Projects!$J$12="Yes",Projects!$K$12="No",33=Projects!$C$12),Projects!$B$12*Assumptions!$B$47,0)+IF(AND(Projects!$G$13="Yes",Projects!$J$13="Yes",Projects!$K$13="No",33=Projects!$C$13),Projects!$B$13*Assumptions!$B$47,0)+IF(AND(Projects!$G$14="Yes",Projects!$J$14="Yes",Projects!$K$14="No",33=Projects!$C$14),Projects!$B$14*Assumptions!$B$47,0)),Actuals!AL107)</f>
        <v>-0</v>
      </c>
      <c r="AL194" s="14" t="n">
        <f aca="false">IF(ISBLANK(Actuals!AM107),-(IF(AND(Projects!$G$2="Yes",Projects!$J$2="Yes",Projects!$K$2="No",34=Projects!$C$2),Projects!$B$2*Assumptions!$B$47,0)+IF(AND(Projects!$G$3="Yes",Projects!$J$3="Yes",Projects!$K$3="No",34=Projects!$C$3),Projects!$B$3*Assumptions!$B$47,0)+IF(AND(Projects!$G$4="Yes",Projects!$J$4="Yes",Projects!$K$4="No",34=Projects!$C$4),Projects!$B$4*Assumptions!$B$47,0)+IF(AND(Projects!$G$5="Yes",Projects!$J$5="Yes",Projects!$K$5="No",34=Projects!$C$5),Projects!$B$5*Assumptions!$B$47,0)+IF(AND(Projects!$G$6="Yes",Projects!$J$6="Yes",Projects!$K$6="No",34=Projects!$C$6),Projects!$B$6*Assumptions!$B$47,0)+IF(AND(Projects!$G$7="Yes",Projects!$J$7="Yes",Projects!$K$7="No",34=Projects!$C$7),Projects!$B$7*Assumptions!$B$47,0)+IF(AND(Projects!$G$8="Yes",Projects!$J$8="Yes",Projects!$K$8="No",34=Projects!$C$8),Projects!$B$8*Assumptions!$B$47,0)+IF(AND(Projects!$G$9="Yes",Projects!$J$9="Yes",Projects!$K$9="No",34=Projects!$C$9),Projects!$B$9*Assumptions!$B$47,0)+IF(AND(Projects!$G$10="Yes",Projects!$J$10="Yes",Projects!$K$10="No",34=Projects!$C$10),Projects!$B$10*Assumptions!$B$47,0)+IF(AND(Projects!$G$11="Yes",Projects!$J$11="Yes",Projects!$K$11="No",34=Projects!$C$11),Projects!$B$11*Assumptions!$B$47,0)+IF(AND(Projects!$G$12="Yes",Projects!$J$12="Yes",Projects!$K$12="No",34=Projects!$C$12),Projects!$B$12*Assumptions!$B$47,0)+IF(AND(Projects!$G$13="Yes",Projects!$J$13="Yes",Projects!$K$13="No",34=Projects!$C$13),Projects!$B$13*Assumptions!$B$47,0)+IF(AND(Projects!$G$14="Yes",Projects!$J$14="Yes",Projects!$K$14="No",34=Projects!$C$14),Projects!$B$14*Assumptions!$B$47,0)),Actuals!AM107)</f>
        <v>-0</v>
      </c>
      <c r="AM194" s="14" t="n">
        <f aca="false">IF(ISBLANK(Actuals!AN107),-(IF(AND(Projects!$G$2="Yes",Projects!$J$2="Yes",Projects!$K$2="No",35=Projects!$C$2),Projects!$B$2*Assumptions!$B$47,0)+IF(AND(Projects!$G$3="Yes",Projects!$J$3="Yes",Projects!$K$3="No",35=Projects!$C$3),Projects!$B$3*Assumptions!$B$47,0)+IF(AND(Projects!$G$4="Yes",Projects!$J$4="Yes",Projects!$K$4="No",35=Projects!$C$4),Projects!$B$4*Assumptions!$B$47,0)+IF(AND(Projects!$G$5="Yes",Projects!$J$5="Yes",Projects!$K$5="No",35=Projects!$C$5),Projects!$B$5*Assumptions!$B$47,0)+IF(AND(Projects!$G$6="Yes",Projects!$J$6="Yes",Projects!$K$6="No",35=Projects!$C$6),Projects!$B$6*Assumptions!$B$47,0)+IF(AND(Projects!$G$7="Yes",Projects!$J$7="Yes",Projects!$K$7="No",35=Projects!$C$7),Projects!$B$7*Assumptions!$B$47,0)+IF(AND(Projects!$G$8="Yes",Projects!$J$8="Yes",Projects!$K$8="No",35=Projects!$C$8),Projects!$B$8*Assumptions!$B$47,0)+IF(AND(Projects!$G$9="Yes",Projects!$J$9="Yes",Projects!$K$9="No",35=Projects!$C$9),Projects!$B$9*Assumptions!$B$47,0)+IF(AND(Projects!$G$10="Yes",Projects!$J$10="Yes",Projects!$K$10="No",35=Projects!$C$10),Projects!$B$10*Assumptions!$B$47,0)+IF(AND(Projects!$G$11="Yes",Projects!$J$11="Yes",Projects!$K$11="No",35=Projects!$C$11),Projects!$B$11*Assumptions!$B$47,0)+IF(AND(Projects!$G$12="Yes",Projects!$J$12="Yes",Projects!$K$12="No",35=Projects!$C$12),Projects!$B$12*Assumptions!$B$47,0)+IF(AND(Projects!$G$13="Yes",Projects!$J$13="Yes",Projects!$K$13="No",35=Projects!$C$13),Projects!$B$13*Assumptions!$B$47,0)+IF(AND(Projects!$G$14="Yes",Projects!$J$14="Yes",Projects!$K$14="No",35=Projects!$C$14),Projects!$B$14*Assumptions!$B$47,0)),Actuals!AN107)</f>
        <v>-0</v>
      </c>
      <c r="AN194" s="14" t="n">
        <f aca="false">IF(ISBLANK(Actuals!AO107),-(IF(AND(Projects!$G$2="Yes",Projects!$J$2="Yes",Projects!$K$2="No",36=Projects!$C$2),Projects!$B$2*Assumptions!$B$47,0)+IF(AND(Projects!$G$3="Yes",Projects!$J$3="Yes",Projects!$K$3="No",36=Projects!$C$3),Projects!$B$3*Assumptions!$B$47,0)+IF(AND(Projects!$G$4="Yes",Projects!$J$4="Yes",Projects!$K$4="No",36=Projects!$C$4),Projects!$B$4*Assumptions!$B$47,0)+IF(AND(Projects!$G$5="Yes",Projects!$J$5="Yes",Projects!$K$5="No",36=Projects!$C$5),Projects!$B$5*Assumptions!$B$47,0)+IF(AND(Projects!$G$6="Yes",Projects!$J$6="Yes",Projects!$K$6="No",36=Projects!$C$6),Projects!$B$6*Assumptions!$B$47,0)+IF(AND(Projects!$G$7="Yes",Projects!$J$7="Yes",Projects!$K$7="No",36=Projects!$C$7),Projects!$B$7*Assumptions!$B$47,0)+IF(AND(Projects!$G$8="Yes",Projects!$J$8="Yes",Projects!$K$8="No",36=Projects!$C$8),Projects!$B$8*Assumptions!$B$47,0)+IF(AND(Projects!$G$9="Yes",Projects!$J$9="Yes",Projects!$K$9="No",36=Projects!$C$9),Projects!$B$9*Assumptions!$B$47,0)+IF(AND(Projects!$G$10="Yes",Projects!$J$10="Yes",Projects!$K$10="No",36=Projects!$C$10),Projects!$B$10*Assumptions!$B$47,0)+IF(AND(Projects!$G$11="Yes",Projects!$J$11="Yes",Projects!$K$11="No",36=Projects!$C$11),Projects!$B$11*Assumptions!$B$47,0)+IF(AND(Projects!$G$12="Yes",Projects!$J$12="Yes",Projects!$K$12="No",36=Projects!$C$12),Projects!$B$12*Assumptions!$B$47,0)+IF(AND(Projects!$G$13="Yes",Projects!$J$13="Yes",Projects!$K$13="No",36=Projects!$C$13),Projects!$B$13*Assumptions!$B$47,0)+IF(AND(Projects!$G$14="Yes",Projects!$J$14="Yes",Projects!$K$14="No",36=Projects!$C$14),Projects!$B$14*Assumptions!$B$47,0)),Actuals!AO107)</f>
        <v>-0</v>
      </c>
      <c r="AO194" s="14" t="n">
        <f aca="false">IF(ISBLANK(Actuals!AP107),-(IF(AND(Projects!$G$2="Yes",Projects!$J$2="Yes",Projects!$K$2="No",37=Projects!$C$2),Projects!$B$2*Assumptions!$B$47,0)+IF(AND(Projects!$G$3="Yes",Projects!$J$3="Yes",Projects!$K$3="No",37=Projects!$C$3),Projects!$B$3*Assumptions!$B$47,0)+IF(AND(Projects!$G$4="Yes",Projects!$J$4="Yes",Projects!$K$4="No",37=Projects!$C$4),Projects!$B$4*Assumptions!$B$47,0)+IF(AND(Projects!$G$5="Yes",Projects!$J$5="Yes",Projects!$K$5="No",37=Projects!$C$5),Projects!$B$5*Assumptions!$B$47,0)+IF(AND(Projects!$G$6="Yes",Projects!$J$6="Yes",Projects!$K$6="No",37=Projects!$C$6),Projects!$B$6*Assumptions!$B$47,0)+IF(AND(Projects!$G$7="Yes",Projects!$J$7="Yes",Projects!$K$7="No",37=Projects!$C$7),Projects!$B$7*Assumptions!$B$47,0)+IF(AND(Projects!$G$8="Yes",Projects!$J$8="Yes",Projects!$K$8="No",37=Projects!$C$8),Projects!$B$8*Assumptions!$B$47,0)+IF(AND(Projects!$G$9="Yes",Projects!$J$9="Yes",Projects!$K$9="No",37=Projects!$C$9),Projects!$B$9*Assumptions!$B$47,0)+IF(AND(Projects!$G$10="Yes",Projects!$J$10="Yes",Projects!$K$10="No",37=Projects!$C$10),Projects!$B$10*Assumptions!$B$47,0)+IF(AND(Projects!$G$11="Yes",Projects!$J$11="Yes",Projects!$K$11="No",37=Projects!$C$11),Projects!$B$11*Assumptions!$B$47,0)+IF(AND(Projects!$G$12="Yes",Projects!$J$12="Yes",Projects!$K$12="No",37=Projects!$C$12),Projects!$B$12*Assumptions!$B$47,0)+IF(AND(Projects!$G$13="Yes",Projects!$J$13="Yes",Projects!$K$13="No",37=Projects!$C$13),Projects!$B$13*Assumptions!$B$47,0)+IF(AND(Projects!$G$14="Yes",Projects!$J$14="Yes",Projects!$K$14="No",37=Projects!$C$14),Projects!$B$14*Assumptions!$B$47,0)),Actuals!AP107)</f>
        <v>-0</v>
      </c>
      <c r="AP194" s="14" t="n">
        <f aca="false">IF(ISBLANK(Actuals!AQ107),-(IF(AND(Projects!$G$2="Yes",Projects!$J$2="Yes",Projects!$K$2="No",38=Projects!$C$2),Projects!$B$2*Assumptions!$B$47,0)+IF(AND(Projects!$G$3="Yes",Projects!$J$3="Yes",Projects!$K$3="No",38=Projects!$C$3),Projects!$B$3*Assumptions!$B$47,0)+IF(AND(Projects!$G$4="Yes",Projects!$J$4="Yes",Projects!$K$4="No",38=Projects!$C$4),Projects!$B$4*Assumptions!$B$47,0)+IF(AND(Projects!$G$5="Yes",Projects!$J$5="Yes",Projects!$K$5="No",38=Projects!$C$5),Projects!$B$5*Assumptions!$B$47,0)+IF(AND(Projects!$G$6="Yes",Projects!$J$6="Yes",Projects!$K$6="No",38=Projects!$C$6),Projects!$B$6*Assumptions!$B$47,0)+IF(AND(Projects!$G$7="Yes",Projects!$J$7="Yes",Projects!$K$7="No",38=Projects!$C$7),Projects!$B$7*Assumptions!$B$47,0)+IF(AND(Projects!$G$8="Yes",Projects!$J$8="Yes",Projects!$K$8="No",38=Projects!$C$8),Projects!$B$8*Assumptions!$B$47,0)+IF(AND(Projects!$G$9="Yes",Projects!$J$9="Yes",Projects!$K$9="No",38=Projects!$C$9),Projects!$B$9*Assumptions!$B$47,0)+IF(AND(Projects!$G$10="Yes",Projects!$J$10="Yes",Projects!$K$10="No",38=Projects!$C$10),Projects!$B$10*Assumptions!$B$47,0)+IF(AND(Projects!$G$11="Yes",Projects!$J$11="Yes",Projects!$K$11="No",38=Projects!$C$11),Projects!$B$11*Assumptions!$B$47,0)+IF(AND(Projects!$G$12="Yes",Projects!$J$12="Yes",Projects!$K$12="No",38=Projects!$C$12),Projects!$B$12*Assumptions!$B$47,0)+IF(AND(Projects!$G$13="Yes",Projects!$J$13="Yes",Projects!$K$13="No",38=Projects!$C$13),Projects!$B$13*Assumptions!$B$47,0)+IF(AND(Projects!$G$14="Yes",Projects!$J$14="Yes",Projects!$K$14="No",38=Projects!$C$14),Projects!$B$14*Assumptions!$B$47,0)),Actuals!AQ107)</f>
        <v>-0</v>
      </c>
      <c r="AQ194" s="14" t="n">
        <f aca="false">IF(ISBLANK(Actuals!AR107),-(IF(AND(Projects!$G$2="Yes",Projects!$J$2="Yes",Projects!$K$2="No",39=Projects!$C$2),Projects!$B$2*Assumptions!$B$47,0)+IF(AND(Projects!$G$3="Yes",Projects!$J$3="Yes",Projects!$K$3="No",39=Projects!$C$3),Projects!$B$3*Assumptions!$B$47,0)+IF(AND(Projects!$G$4="Yes",Projects!$J$4="Yes",Projects!$K$4="No",39=Projects!$C$4),Projects!$B$4*Assumptions!$B$47,0)+IF(AND(Projects!$G$5="Yes",Projects!$J$5="Yes",Projects!$K$5="No",39=Projects!$C$5),Projects!$B$5*Assumptions!$B$47,0)+IF(AND(Projects!$G$6="Yes",Projects!$J$6="Yes",Projects!$K$6="No",39=Projects!$C$6),Projects!$B$6*Assumptions!$B$47,0)+IF(AND(Projects!$G$7="Yes",Projects!$J$7="Yes",Projects!$K$7="No",39=Projects!$C$7),Projects!$B$7*Assumptions!$B$47,0)+IF(AND(Projects!$G$8="Yes",Projects!$J$8="Yes",Projects!$K$8="No",39=Projects!$C$8),Projects!$B$8*Assumptions!$B$47,0)+IF(AND(Projects!$G$9="Yes",Projects!$J$9="Yes",Projects!$K$9="No",39=Projects!$C$9),Projects!$B$9*Assumptions!$B$47,0)+IF(AND(Projects!$G$10="Yes",Projects!$J$10="Yes",Projects!$K$10="No",39=Projects!$C$10),Projects!$B$10*Assumptions!$B$47,0)+IF(AND(Projects!$G$11="Yes",Projects!$J$11="Yes",Projects!$K$11="No",39=Projects!$C$11),Projects!$B$11*Assumptions!$B$47,0)+IF(AND(Projects!$G$12="Yes",Projects!$J$12="Yes",Projects!$K$12="No",39=Projects!$C$12),Projects!$B$12*Assumptions!$B$47,0)+IF(AND(Projects!$G$13="Yes",Projects!$J$13="Yes",Projects!$K$13="No",39=Projects!$C$13),Projects!$B$13*Assumptions!$B$47,0)+IF(AND(Projects!$G$14="Yes",Projects!$J$14="Yes",Projects!$K$14="No",39=Projects!$C$14),Projects!$B$14*Assumptions!$B$47,0)),Actuals!AR107)</f>
        <v>-0</v>
      </c>
      <c r="AR194" s="14" t="n">
        <f aca="false">IF(ISBLANK(Actuals!AS107),-(IF(AND(Projects!$G$2="Yes",Projects!$J$2="Yes",Projects!$K$2="No",40=Projects!$C$2),Projects!$B$2*Assumptions!$B$47,0)+IF(AND(Projects!$G$3="Yes",Projects!$J$3="Yes",Projects!$K$3="No",40=Projects!$C$3),Projects!$B$3*Assumptions!$B$47,0)+IF(AND(Projects!$G$4="Yes",Projects!$J$4="Yes",Projects!$K$4="No",40=Projects!$C$4),Projects!$B$4*Assumptions!$B$47,0)+IF(AND(Projects!$G$5="Yes",Projects!$J$5="Yes",Projects!$K$5="No",40=Projects!$C$5),Projects!$B$5*Assumptions!$B$47,0)+IF(AND(Projects!$G$6="Yes",Projects!$J$6="Yes",Projects!$K$6="No",40=Projects!$C$6),Projects!$B$6*Assumptions!$B$47,0)+IF(AND(Projects!$G$7="Yes",Projects!$J$7="Yes",Projects!$K$7="No",40=Projects!$C$7),Projects!$B$7*Assumptions!$B$47,0)+IF(AND(Projects!$G$8="Yes",Projects!$J$8="Yes",Projects!$K$8="No",40=Projects!$C$8),Projects!$B$8*Assumptions!$B$47,0)+IF(AND(Projects!$G$9="Yes",Projects!$J$9="Yes",Projects!$K$9="No",40=Projects!$C$9),Projects!$B$9*Assumptions!$B$47,0)+IF(AND(Projects!$G$10="Yes",Projects!$J$10="Yes",Projects!$K$10="No",40=Projects!$C$10),Projects!$B$10*Assumptions!$B$47,0)+IF(AND(Projects!$G$11="Yes",Projects!$J$11="Yes",Projects!$K$11="No",40=Projects!$C$11),Projects!$B$11*Assumptions!$B$47,0)+IF(AND(Projects!$G$12="Yes",Projects!$J$12="Yes",Projects!$K$12="No",40=Projects!$C$12),Projects!$B$12*Assumptions!$B$47,0)+IF(AND(Projects!$G$13="Yes",Projects!$J$13="Yes",Projects!$K$13="No",40=Projects!$C$13),Projects!$B$13*Assumptions!$B$47,0)+IF(AND(Projects!$G$14="Yes",Projects!$J$14="Yes",Projects!$K$14="No",40=Projects!$C$14),Projects!$B$14*Assumptions!$B$47,0)),Actuals!AS107)</f>
        <v>-0</v>
      </c>
      <c r="AS194" s="14" t="n">
        <f aca="false">IF(ISBLANK(Actuals!AT107),-(IF(AND(Projects!$G$2="Yes",Projects!$J$2="Yes",Projects!$K$2="No",41=Projects!$C$2),Projects!$B$2*Assumptions!$B$47,0)+IF(AND(Projects!$G$3="Yes",Projects!$J$3="Yes",Projects!$K$3="No",41=Projects!$C$3),Projects!$B$3*Assumptions!$B$47,0)+IF(AND(Projects!$G$4="Yes",Projects!$J$4="Yes",Projects!$K$4="No",41=Projects!$C$4),Projects!$B$4*Assumptions!$B$47,0)+IF(AND(Projects!$G$5="Yes",Projects!$J$5="Yes",Projects!$K$5="No",41=Projects!$C$5),Projects!$B$5*Assumptions!$B$47,0)+IF(AND(Projects!$G$6="Yes",Projects!$J$6="Yes",Projects!$K$6="No",41=Projects!$C$6),Projects!$B$6*Assumptions!$B$47,0)+IF(AND(Projects!$G$7="Yes",Projects!$J$7="Yes",Projects!$K$7="No",41=Projects!$C$7),Projects!$B$7*Assumptions!$B$47,0)+IF(AND(Projects!$G$8="Yes",Projects!$J$8="Yes",Projects!$K$8="No",41=Projects!$C$8),Projects!$B$8*Assumptions!$B$47,0)+IF(AND(Projects!$G$9="Yes",Projects!$J$9="Yes",Projects!$K$9="No",41=Projects!$C$9),Projects!$B$9*Assumptions!$B$47,0)+IF(AND(Projects!$G$10="Yes",Projects!$J$10="Yes",Projects!$K$10="No",41=Projects!$C$10),Projects!$B$10*Assumptions!$B$47,0)+IF(AND(Projects!$G$11="Yes",Projects!$J$11="Yes",Projects!$K$11="No",41=Projects!$C$11),Projects!$B$11*Assumptions!$B$47,0)+IF(AND(Projects!$G$12="Yes",Projects!$J$12="Yes",Projects!$K$12="No",41=Projects!$C$12),Projects!$B$12*Assumptions!$B$47,0)+IF(AND(Projects!$G$13="Yes",Projects!$J$13="Yes",Projects!$K$13="No",41=Projects!$C$13),Projects!$B$13*Assumptions!$B$47,0)+IF(AND(Projects!$G$14="Yes",Projects!$J$14="Yes",Projects!$K$14="No",41=Projects!$C$14),Projects!$B$14*Assumptions!$B$47,0)),Actuals!AT107)</f>
        <v>-0</v>
      </c>
      <c r="AT194" s="14" t="n">
        <f aca="false">IF(ISBLANK(Actuals!AU107),-(IF(AND(Projects!$G$2="Yes",Projects!$J$2="Yes",Projects!$K$2="No",42=Projects!$C$2),Projects!$B$2*Assumptions!$B$47,0)+IF(AND(Projects!$G$3="Yes",Projects!$J$3="Yes",Projects!$K$3="No",42=Projects!$C$3),Projects!$B$3*Assumptions!$B$47,0)+IF(AND(Projects!$G$4="Yes",Projects!$J$4="Yes",Projects!$K$4="No",42=Projects!$C$4),Projects!$B$4*Assumptions!$B$47,0)+IF(AND(Projects!$G$5="Yes",Projects!$J$5="Yes",Projects!$K$5="No",42=Projects!$C$5),Projects!$B$5*Assumptions!$B$47,0)+IF(AND(Projects!$G$6="Yes",Projects!$J$6="Yes",Projects!$K$6="No",42=Projects!$C$6),Projects!$B$6*Assumptions!$B$47,0)+IF(AND(Projects!$G$7="Yes",Projects!$J$7="Yes",Projects!$K$7="No",42=Projects!$C$7),Projects!$B$7*Assumptions!$B$47,0)+IF(AND(Projects!$G$8="Yes",Projects!$J$8="Yes",Projects!$K$8="No",42=Projects!$C$8),Projects!$B$8*Assumptions!$B$47,0)+IF(AND(Projects!$G$9="Yes",Projects!$J$9="Yes",Projects!$K$9="No",42=Projects!$C$9),Projects!$B$9*Assumptions!$B$47,0)+IF(AND(Projects!$G$10="Yes",Projects!$J$10="Yes",Projects!$K$10="No",42=Projects!$C$10),Projects!$B$10*Assumptions!$B$47,0)+IF(AND(Projects!$G$11="Yes",Projects!$J$11="Yes",Projects!$K$11="No",42=Projects!$C$11),Projects!$B$11*Assumptions!$B$47,0)+IF(AND(Projects!$G$12="Yes",Projects!$J$12="Yes",Projects!$K$12="No",42=Projects!$C$12),Projects!$B$12*Assumptions!$B$47,0)+IF(AND(Projects!$G$13="Yes",Projects!$J$13="Yes",Projects!$K$13="No",42=Projects!$C$13),Projects!$B$13*Assumptions!$B$47,0)+IF(AND(Projects!$G$14="Yes",Projects!$J$14="Yes",Projects!$K$14="No",42=Projects!$C$14),Projects!$B$14*Assumptions!$B$47,0)),Actuals!AU107)</f>
        <v>-0</v>
      </c>
      <c r="AU194" s="14" t="n">
        <f aca="false">IF(ISBLANK(Actuals!AV107),-(IF(AND(Projects!$G$2="Yes",Projects!$J$2="Yes",Projects!$K$2="No",43=Projects!$C$2),Projects!$B$2*Assumptions!$B$47,0)+IF(AND(Projects!$G$3="Yes",Projects!$J$3="Yes",Projects!$K$3="No",43=Projects!$C$3),Projects!$B$3*Assumptions!$B$47,0)+IF(AND(Projects!$G$4="Yes",Projects!$J$4="Yes",Projects!$K$4="No",43=Projects!$C$4),Projects!$B$4*Assumptions!$B$47,0)+IF(AND(Projects!$G$5="Yes",Projects!$J$5="Yes",Projects!$K$5="No",43=Projects!$C$5),Projects!$B$5*Assumptions!$B$47,0)+IF(AND(Projects!$G$6="Yes",Projects!$J$6="Yes",Projects!$K$6="No",43=Projects!$C$6),Projects!$B$6*Assumptions!$B$47,0)+IF(AND(Projects!$G$7="Yes",Projects!$J$7="Yes",Projects!$K$7="No",43=Projects!$C$7),Projects!$B$7*Assumptions!$B$47,0)+IF(AND(Projects!$G$8="Yes",Projects!$J$8="Yes",Projects!$K$8="No",43=Projects!$C$8),Projects!$B$8*Assumptions!$B$47,0)+IF(AND(Projects!$G$9="Yes",Projects!$J$9="Yes",Projects!$K$9="No",43=Projects!$C$9),Projects!$B$9*Assumptions!$B$47,0)+IF(AND(Projects!$G$10="Yes",Projects!$J$10="Yes",Projects!$K$10="No",43=Projects!$C$10),Projects!$B$10*Assumptions!$B$47,0)+IF(AND(Projects!$G$11="Yes",Projects!$J$11="Yes",Projects!$K$11="No",43=Projects!$C$11),Projects!$B$11*Assumptions!$B$47,0)+IF(AND(Projects!$G$12="Yes",Projects!$J$12="Yes",Projects!$K$12="No",43=Projects!$C$12),Projects!$B$12*Assumptions!$B$47,0)+IF(AND(Projects!$G$13="Yes",Projects!$J$13="Yes",Projects!$K$13="No",43=Projects!$C$13),Projects!$B$13*Assumptions!$B$47,0)+IF(AND(Projects!$G$14="Yes",Projects!$J$14="Yes",Projects!$K$14="No",43=Projects!$C$14),Projects!$B$14*Assumptions!$B$47,0)),Actuals!AV107)</f>
        <v>-0</v>
      </c>
      <c r="AV194" s="14" t="n">
        <f aca="false">IF(ISBLANK(Actuals!AW107),-(IF(AND(Projects!$G$2="Yes",Projects!$J$2="Yes",Projects!$K$2="No",44=Projects!$C$2),Projects!$B$2*Assumptions!$B$47,0)+IF(AND(Projects!$G$3="Yes",Projects!$J$3="Yes",Projects!$K$3="No",44=Projects!$C$3),Projects!$B$3*Assumptions!$B$47,0)+IF(AND(Projects!$G$4="Yes",Projects!$J$4="Yes",Projects!$K$4="No",44=Projects!$C$4),Projects!$B$4*Assumptions!$B$47,0)+IF(AND(Projects!$G$5="Yes",Projects!$J$5="Yes",Projects!$K$5="No",44=Projects!$C$5),Projects!$B$5*Assumptions!$B$47,0)+IF(AND(Projects!$G$6="Yes",Projects!$J$6="Yes",Projects!$K$6="No",44=Projects!$C$6),Projects!$B$6*Assumptions!$B$47,0)+IF(AND(Projects!$G$7="Yes",Projects!$J$7="Yes",Projects!$K$7="No",44=Projects!$C$7),Projects!$B$7*Assumptions!$B$47,0)+IF(AND(Projects!$G$8="Yes",Projects!$J$8="Yes",Projects!$K$8="No",44=Projects!$C$8),Projects!$B$8*Assumptions!$B$47,0)+IF(AND(Projects!$G$9="Yes",Projects!$J$9="Yes",Projects!$K$9="No",44=Projects!$C$9),Projects!$B$9*Assumptions!$B$47,0)+IF(AND(Projects!$G$10="Yes",Projects!$J$10="Yes",Projects!$K$10="No",44=Projects!$C$10),Projects!$B$10*Assumptions!$B$47,0)+IF(AND(Projects!$G$11="Yes",Projects!$J$11="Yes",Projects!$K$11="No",44=Projects!$C$11),Projects!$B$11*Assumptions!$B$47,0)+IF(AND(Projects!$G$12="Yes",Projects!$J$12="Yes",Projects!$K$12="No",44=Projects!$C$12),Projects!$B$12*Assumptions!$B$47,0)+IF(AND(Projects!$G$13="Yes",Projects!$J$13="Yes",Projects!$K$13="No",44=Projects!$C$13),Projects!$B$13*Assumptions!$B$47,0)+IF(AND(Projects!$G$14="Yes",Projects!$J$14="Yes",Projects!$K$14="No",44=Projects!$C$14),Projects!$B$14*Assumptions!$B$47,0)),Actuals!AW107)</f>
        <v>-0</v>
      </c>
      <c r="AW194" s="14" t="n">
        <f aca="false">IF(ISBLANK(Actuals!AX107),-(IF(AND(Projects!$G$2="Yes",Projects!$J$2="Yes",Projects!$K$2="No",45=Projects!$C$2),Projects!$B$2*Assumptions!$B$47,0)+IF(AND(Projects!$G$3="Yes",Projects!$J$3="Yes",Projects!$K$3="No",45=Projects!$C$3),Projects!$B$3*Assumptions!$B$47,0)+IF(AND(Projects!$G$4="Yes",Projects!$J$4="Yes",Projects!$K$4="No",45=Projects!$C$4),Projects!$B$4*Assumptions!$B$47,0)+IF(AND(Projects!$G$5="Yes",Projects!$J$5="Yes",Projects!$K$5="No",45=Projects!$C$5),Projects!$B$5*Assumptions!$B$47,0)+IF(AND(Projects!$G$6="Yes",Projects!$J$6="Yes",Projects!$K$6="No",45=Projects!$C$6),Projects!$B$6*Assumptions!$B$47,0)+IF(AND(Projects!$G$7="Yes",Projects!$J$7="Yes",Projects!$K$7="No",45=Projects!$C$7),Projects!$B$7*Assumptions!$B$47,0)+IF(AND(Projects!$G$8="Yes",Projects!$J$8="Yes",Projects!$K$8="No",45=Projects!$C$8),Projects!$B$8*Assumptions!$B$47,0)+IF(AND(Projects!$G$9="Yes",Projects!$J$9="Yes",Projects!$K$9="No",45=Projects!$C$9),Projects!$B$9*Assumptions!$B$47,0)+IF(AND(Projects!$G$10="Yes",Projects!$J$10="Yes",Projects!$K$10="No",45=Projects!$C$10),Projects!$B$10*Assumptions!$B$47,0)+IF(AND(Projects!$G$11="Yes",Projects!$J$11="Yes",Projects!$K$11="No",45=Projects!$C$11),Projects!$B$11*Assumptions!$B$47,0)+IF(AND(Projects!$G$12="Yes",Projects!$J$12="Yes",Projects!$K$12="No",45=Projects!$C$12),Projects!$B$12*Assumptions!$B$47,0)+IF(AND(Projects!$G$13="Yes",Projects!$J$13="Yes",Projects!$K$13="No",45=Projects!$C$13),Projects!$B$13*Assumptions!$B$47,0)+IF(AND(Projects!$G$14="Yes",Projects!$J$14="Yes",Projects!$K$14="No",45=Projects!$C$14),Projects!$B$14*Assumptions!$B$47,0)),Actuals!AX107)</f>
        <v>-0</v>
      </c>
      <c r="AX194" s="14" t="n">
        <f aca="false">IF(ISBLANK(Actuals!AY107),-(IF(AND(Projects!$G$2="Yes",Projects!$J$2="Yes",Projects!$K$2="No",46=Projects!$C$2),Projects!$B$2*Assumptions!$B$47,0)+IF(AND(Projects!$G$3="Yes",Projects!$J$3="Yes",Projects!$K$3="No",46=Projects!$C$3),Projects!$B$3*Assumptions!$B$47,0)+IF(AND(Projects!$G$4="Yes",Projects!$J$4="Yes",Projects!$K$4="No",46=Projects!$C$4),Projects!$B$4*Assumptions!$B$47,0)+IF(AND(Projects!$G$5="Yes",Projects!$J$5="Yes",Projects!$K$5="No",46=Projects!$C$5),Projects!$B$5*Assumptions!$B$47,0)+IF(AND(Projects!$G$6="Yes",Projects!$J$6="Yes",Projects!$K$6="No",46=Projects!$C$6),Projects!$B$6*Assumptions!$B$47,0)+IF(AND(Projects!$G$7="Yes",Projects!$J$7="Yes",Projects!$K$7="No",46=Projects!$C$7),Projects!$B$7*Assumptions!$B$47,0)+IF(AND(Projects!$G$8="Yes",Projects!$J$8="Yes",Projects!$K$8="No",46=Projects!$C$8),Projects!$B$8*Assumptions!$B$47,0)+IF(AND(Projects!$G$9="Yes",Projects!$J$9="Yes",Projects!$K$9="No",46=Projects!$C$9),Projects!$B$9*Assumptions!$B$47,0)+IF(AND(Projects!$G$10="Yes",Projects!$J$10="Yes",Projects!$K$10="No",46=Projects!$C$10),Projects!$B$10*Assumptions!$B$47,0)+IF(AND(Projects!$G$11="Yes",Projects!$J$11="Yes",Projects!$K$11="No",46=Projects!$C$11),Projects!$B$11*Assumptions!$B$47,0)+IF(AND(Projects!$G$12="Yes",Projects!$J$12="Yes",Projects!$K$12="No",46=Projects!$C$12),Projects!$B$12*Assumptions!$B$47,0)+IF(AND(Projects!$G$13="Yes",Projects!$J$13="Yes",Projects!$K$13="No",46=Projects!$C$13),Projects!$B$13*Assumptions!$B$47,0)+IF(AND(Projects!$G$14="Yes",Projects!$J$14="Yes",Projects!$K$14="No",46=Projects!$C$14),Projects!$B$14*Assumptions!$B$47,0)),Actuals!AY107)</f>
        <v>-0</v>
      </c>
      <c r="AY194" s="14" t="n">
        <f aca="false">IF(ISBLANK(Actuals!AZ107),-(IF(AND(Projects!$G$2="Yes",Projects!$J$2="Yes",Projects!$K$2="No",47=Projects!$C$2),Projects!$B$2*Assumptions!$B$47,0)+IF(AND(Projects!$G$3="Yes",Projects!$J$3="Yes",Projects!$K$3="No",47=Projects!$C$3),Projects!$B$3*Assumptions!$B$47,0)+IF(AND(Projects!$G$4="Yes",Projects!$J$4="Yes",Projects!$K$4="No",47=Projects!$C$4),Projects!$B$4*Assumptions!$B$47,0)+IF(AND(Projects!$G$5="Yes",Projects!$J$5="Yes",Projects!$K$5="No",47=Projects!$C$5),Projects!$B$5*Assumptions!$B$47,0)+IF(AND(Projects!$G$6="Yes",Projects!$J$6="Yes",Projects!$K$6="No",47=Projects!$C$6),Projects!$B$6*Assumptions!$B$47,0)+IF(AND(Projects!$G$7="Yes",Projects!$J$7="Yes",Projects!$K$7="No",47=Projects!$C$7),Projects!$B$7*Assumptions!$B$47,0)+IF(AND(Projects!$G$8="Yes",Projects!$J$8="Yes",Projects!$K$8="No",47=Projects!$C$8),Projects!$B$8*Assumptions!$B$47,0)+IF(AND(Projects!$G$9="Yes",Projects!$J$9="Yes",Projects!$K$9="No",47=Projects!$C$9),Projects!$B$9*Assumptions!$B$47,0)+IF(AND(Projects!$G$10="Yes",Projects!$J$10="Yes",Projects!$K$10="No",47=Projects!$C$10),Projects!$B$10*Assumptions!$B$47,0)+IF(AND(Projects!$G$11="Yes",Projects!$J$11="Yes",Projects!$K$11="No",47=Projects!$C$11),Projects!$B$11*Assumptions!$B$47,0)+IF(AND(Projects!$G$12="Yes",Projects!$J$12="Yes",Projects!$K$12="No",47=Projects!$C$12),Projects!$B$12*Assumptions!$B$47,0)+IF(AND(Projects!$G$13="Yes",Projects!$J$13="Yes",Projects!$K$13="No",47=Projects!$C$13),Projects!$B$13*Assumptions!$B$47,0)+IF(AND(Projects!$G$14="Yes",Projects!$J$14="Yes",Projects!$K$14="No",47=Projects!$C$14),Projects!$B$14*Assumptions!$B$47,0)),Actuals!AZ107)</f>
        <v>-0</v>
      </c>
      <c r="AZ194" s="14" t="n">
        <f aca="false">IF(ISBLANK(Actuals!BA107),-(IF(AND(Projects!$G$2="Yes",Projects!$J$2="Yes",Projects!$K$2="No",48=Projects!$C$2),Projects!$B$2*Assumptions!$B$47,0)+IF(AND(Projects!$G$3="Yes",Projects!$J$3="Yes",Projects!$K$3="No",48=Projects!$C$3),Projects!$B$3*Assumptions!$B$47,0)+IF(AND(Projects!$G$4="Yes",Projects!$J$4="Yes",Projects!$K$4="No",48=Projects!$C$4),Projects!$B$4*Assumptions!$B$47,0)+IF(AND(Projects!$G$5="Yes",Projects!$J$5="Yes",Projects!$K$5="No",48=Projects!$C$5),Projects!$B$5*Assumptions!$B$47,0)+IF(AND(Projects!$G$6="Yes",Projects!$J$6="Yes",Projects!$K$6="No",48=Projects!$C$6),Projects!$B$6*Assumptions!$B$47,0)+IF(AND(Projects!$G$7="Yes",Projects!$J$7="Yes",Projects!$K$7="No",48=Projects!$C$7),Projects!$B$7*Assumptions!$B$47,0)+IF(AND(Projects!$G$8="Yes",Projects!$J$8="Yes",Projects!$K$8="No",48=Projects!$C$8),Projects!$B$8*Assumptions!$B$47,0)+IF(AND(Projects!$G$9="Yes",Projects!$J$9="Yes",Projects!$K$9="No",48=Projects!$C$9),Projects!$B$9*Assumptions!$B$47,0)+IF(AND(Projects!$G$10="Yes",Projects!$J$10="Yes",Projects!$K$10="No",48=Projects!$C$10),Projects!$B$10*Assumptions!$B$47,0)+IF(AND(Projects!$G$11="Yes",Projects!$J$11="Yes",Projects!$K$11="No",48=Projects!$C$11),Projects!$B$11*Assumptions!$B$47,0)+IF(AND(Projects!$G$12="Yes",Projects!$J$12="Yes",Projects!$K$12="No",48=Projects!$C$12),Projects!$B$12*Assumptions!$B$47,0)+IF(AND(Projects!$G$13="Yes",Projects!$J$13="Yes",Projects!$K$13="No",48=Projects!$C$13),Projects!$B$13*Assumptions!$B$47,0)+IF(AND(Projects!$G$14="Yes",Projects!$J$14="Yes",Projects!$K$14="No",48=Projects!$C$14),Projects!$B$14*Assumptions!$B$47,0)),Actuals!BA107)</f>
        <v>-0</v>
      </c>
      <c r="BA194" s="14" t="n">
        <f aca="false">IF(ISBLANK(Actuals!BB107),-(IF(AND(Projects!$G$2="Yes",Projects!$J$2="Yes",Projects!$K$2="No",49=Projects!$C$2),Projects!$B$2*Assumptions!$B$47,0)+IF(AND(Projects!$G$3="Yes",Projects!$J$3="Yes",Projects!$K$3="No",49=Projects!$C$3),Projects!$B$3*Assumptions!$B$47,0)+IF(AND(Projects!$G$4="Yes",Projects!$J$4="Yes",Projects!$K$4="No",49=Projects!$C$4),Projects!$B$4*Assumptions!$B$47,0)+IF(AND(Projects!$G$5="Yes",Projects!$J$5="Yes",Projects!$K$5="No",49=Projects!$C$5),Projects!$B$5*Assumptions!$B$47,0)+IF(AND(Projects!$G$6="Yes",Projects!$J$6="Yes",Projects!$K$6="No",49=Projects!$C$6),Projects!$B$6*Assumptions!$B$47,0)+IF(AND(Projects!$G$7="Yes",Projects!$J$7="Yes",Projects!$K$7="No",49=Projects!$C$7),Projects!$B$7*Assumptions!$B$47,0)+IF(AND(Projects!$G$8="Yes",Projects!$J$8="Yes",Projects!$K$8="No",49=Projects!$C$8),Projects!$B$8*Assumptions!$B$47,0)+IF(AND(Projects!$G$9="Yes",Projects!$J$9="Yes",Projects!$K$9="No",49=Projects!$C$9),Projects!$B$9*Assumptions!$B$47,0)+IF(AND(Projects!$G$10="Yes",Projects!$J$10="Yes",Projects!$K$10="No",49=Projects!$C$10),Projects!$B$10*Assumptions!$B$47,0)+IF(AND(Projects!$G$11="Yes",Projects!$J$11="Yes",Projects!$K$11="No",49=Projects!$C$11),Projects!$B$11*Assumptions!$B$47,0)+IF(AND(Projects!$G$12="Yes",Projects!$J$12="Yes",Projects!$K$12="No",49=Projects!$C$12),Projects!$B$12*Assumptions!$B$47,0)+IF(AND(Projects!$G$13="Yes",Projects!$J$13="Yes",Projects!$K$13="No",49=Projects!$C$13),Projects!$B$13*Assumptions!$B$47,0)+IF(AND(Projects!$G$14="Yes",Projects!$J$14="Yes",Projects!$K$14="No",49=Projects!$C$14),Projects!$B$14*Assumptions!$B$47,0)),Actuals!BB107)</f>
        <v>-0</v>
      </c>
      <c r="BB194" s="14" t="n">
        <f aca="false">IF(ISBLANK(Actuals!BC107),-(IF(AND(Projects!$G$2="Yes",Projects!$J$2="Yes",Projects!$K$2="No",50=Projects!$C$2),Projects!$B$2*Assumptions!$B$47,0)+IF(AND(Projects!$G$3="Yes",Projects!$J$3="Yes",Projects!$K$3="No",50=Projects!$C$3),Projects!$B$3*Assumptions!$B$47,0)+IF(AND(Projects!$G$4="Yes",Projects!$J$4="Yes",Projects!$K$4="No",50=Projects!$C$4),Projects!$B$4*Assumptions!$B$47,0)+IF(AND(Projects!$G$5="Yes",Projects!$J$5="Yes",Projects!$K$5="No",50=Projects!$C$5),Projects!$B$5*Assumptions!$B$47,0)+IF(AND(Projects!$G$6="Yes",Projects!$J$6="Yes",Projects!$K$6="No",50=Projects!$C$6),Projects!$B$6*Assumptions!$B$47,0)+IF(AND(Projects!$G$7="Yes",Projects!$J$7="Yes",Projects!$K$7="No",50=Projects!$C$7),Projects!$B$7*Assumptions!$B$47,0)+IF(AND(Projects!$G$8="Yes",Projects!$J$8="Yes",Projects!$K$8="No",50=Projects!$C$8),Projects!$B$8*Assumptions!$B$47,0)+IF(AND(Projects!$G$9="Yes",Projects!$J$9="Yes",Projects!$K$9="No",50=Projects!$C$9),Projects!$B$9*Assumptions!$B$47,0)+IF(AND(Projects!$G$10="Yes",Projects!$J$10="Yes",Projects!$K$10="No",50=Projects!$C$10),Projects!$B$10*Assumptions!$B$47,0)+IF(AND(Projects!$G$11="Yes",Projects!$J$11="Yes",Projects!$K$11="No",50=Projects!$C$11),Projects!$B$11*Assumptions!$B$47,0)+IF(AND(Projects!$G$12="Yes",Projects!$J$12="Yes",Projects!$K$12="No",50=Projects!$C$12),Projects!$B$12*Assumptions!$B$47,0)+IF(AND(Projects!$G$13="Yes",Projects!$J$13="Yes",Projects!$K$13="No",50=Projects!$C$13),Projects!$B$13*Assumptions!$B$47,0)+IF(AND(Projects!$G$14="Yes",Projects!$J$14="Yes",Projects!$K$14="No",50=Projects!$C$14),Projects!$B$14*Assumptions!$B$47,0)),Actuals!BC107)</f>
        <v>-0</v>
      </c>
      <c r="BC194" s="14" t="n">
        <f aca="false">IF(ISBLANK(Actuals!BD107),-(IF(AND(Projects!$G$2="Yes",Projects!$J$2="Yes",Projects!$K$2="No",51=Projects!$C$2),Projects!$B$2*Assumptions!$B$47,0)+IF(AND(Projects!$G$3="Yes",Projects!$J$3="Yes",Projects!$K$3="No",51=Projects!$C$3),Projects!$B$3*Assumptions!$B$47,0)+IF(AND(Projects!$G$4="Yes",Projects!$J$4="Yes",Projects!$K$4="No",51=Projects!$C$4),Projects!$B$4*Assumptions!$B$47,0)+IF(AND(Projects!$G$5="Yes",Projects!$J$5="Yes",Projects!$K$5="No",51=Projects!$C$5),Projects!$B$5*Assumptions!$B$47,0)+IF(AND(Projects!$G$6="Yes",Projects!$J$6="Yes",Projects!$K$6="No",51=Projects!$C$6),Projects!$B$6*Assumptions!$B$47,0)+IF(AND(Projects!$G$7="Yes",Projects!$J$7="Yes",Projects!$K$7="No",51=Projects!$C$7),Projects!$B$7*Assumptions!$B$47,0)+IF(AND(Projects!$G$8="Yes",Projects!$J$8="Yes",Projects!$K$8="No",51=Projects!$C$8),Projects!$B$8*Assumptions!$B$47,0)+IF(AND(Projects!$G$9="Yes",Projects!$J$9="Yes",Projects!$K$9="No",51=Projects!$C$9),Projects!$B$9*Assumptions!$B$47,0)+IF(AND(Projects!$G$10="Yes",Projects!$J$10="Yes",Projects!$K$10="No",51=Projects!$C$10),Projects!$B$10*Assumptions!$B$47,0)+IF(AND(Projects!$G$11="Yes",Projects!$J$11="Yes",Projects!$K$11="No",51=Projects!$C$11),Projects!$B$11*Assumptions!$B$47,0)+IF(AND(Projects!$G$12="Yes",Projects!$J$12="Yes",Projects!$K$12="No",51=Projects!$C$12),Projects!$B$12*Assumptions!$B$47,0)+IF(AND(Projects!$G$13="Yes",Projects!$J$13="Yes",Projects!$K$13="No",51=Projects!$C$13),Projects!$B$13*Assumptions!$B$47,0)+IF(AND(Projects!$G$14="Yes",Projects!$J$14="Yes",Projects!$K$14="No",51=Projects!$C$14),Projects!$B$14*Assumptions!$B$47,0)),Actuals!BD107)</f>
        <v>-0</v>
      </c>
      <c r="BD194" s="14" t="n">
        <f aca="false">IF(ISBLANK(Actuals!BE107),-(IF(AND(Projects!$G$2="Yes",Projects!$J$2="Yes",Projects!$K$2="No",52=Projects!$C$2),Projects!$B$2*Assumptions!$B$47,0)+IF(AND(Projects!$G$3="Yes",Projects!$J$3="Yes",Projects!$K$3="No",52=Projects!$C$3),Projects!$B$3*Assumptions!$B$47,0)+IF(AND(Projects!$G$4="Yes",Projects!$J$4="Yes",Projects!$K$4="No",52=Projects!$C$4),Projects!$B$4*Assumptions!$B$47,0)+IF(AND(Projects!$G$5="Yes",Projects!$J$5="Yes",Projects!$K$5="No",52=Projects!$C$5),Projects!$B$5*Assumptions!$B$47,0)+IF(AND(Projects!$G$6="Yes",Projects!$J$6="Yes",Projects!$K$6="No",52=Projects!$C$6),Projects!$B$6*Assumptions!$B$47,0)+IF(AND(Projects!$G$7="Yes",Projects!$J$7="Yes",Projects!$K$7="No",52=Projects!$C$7),Projects!$B$7*Assumptions!$B$47,0)+IF(AND(Projects!$G$8="Yes",Projects!$J$8="Yes",Projects!$K$8="No",52=Projects!$C$8),Projects!$B$8*Assumptions!$B$47,0)+IF(AND(Projects!$G$9="Yes",Projects!$J$9="Yes",Projects!$K$9="No",52=Projects!$C$9),Projects!$B$9*Assumptions!$B$47,0)+IF(AND(Projects!$G$10="Yes",Projects!$J$10="Yes",Projects!$K$10="No",52=Projects!$C$10),Projects!$B$10*Assumptions!$B$47,0)+IF(AND(Projects!$G$11="Yes",Projects!$J$11="Yes",Projects!$K$11="No",52=Projects!$C$11),Projects!$B$11*Assumptions!$B$47,0)+IF(AND(Projects!$G$12="Yes",Projects!$J$12="Yes",Projects!$K$12="No",52=Projects!$C$12),Projects!$B$12*Assumptions!$B$47,0)+IF(AND(Projects!$G$13="Yes",Projects!$J$13="Yes",Projects!$K$13="No",52=Projects!$C$13),Projects!$B$13*Assumptions!$B$47,0)+IF(AND(Projects!$G$14="Yes",Projects!$J$14="Yes",Projects!$K$14="No",52=Projects!$C$14),Projects!$B$14*Assumptions!$B$47,0)),Actuals!BE107)</f>
        <v>-0</v>
      </c>
      <c r="BE194" s="14" t="n">
        <f aca="false">IF(ISBLANK(Actuals!BF107),-(IF(AND(Projects!$G$2="Yes",Projects!$J$2="Yes",Projects!$K$2="No",53=Projects!$C$2),Projects!$B$2*Assumptions!$B$47,0)+IF(AND(Projects!$G$3="Yes",Projects!$J$3="Yes",Projects!$K$3="No",53=Projects!$C$3),Projects!$B$3*Assumptions!$B$47,0)+IF(AND(Projects!$G$4="Yes",Projects!$J$4="Yes",Projects!$K$4="No",53=Projects!$C$4),Projects!$B$4*Assumptions!$B$47,0)+IF(AND(Projects!$G$5="Yes",Projects!$J$5="Yes",Projects!$K$5="No",53=Projects!$C$5),Projects!$B$5*Assumptions!$B$47,0)+IF(AND(Projects!$G$6="Yes",Projects!$J$6="Yes",Projects!$K$6="No",53=Projects!$C$6),Projects!$B$6*Assumptions!$B$47,0)+IF(AND(Projects!$G$7="Yes",Projects!$J$7="Yes",Projects!$K$7="No",53=Projects!$C$7),Projects!$B$7*Assumptions!$B$47,0)+IF(AND(Projects!$G$8="Yes",Projects!$J$8="Yes",Projects!$K$8="No",53=Projects!$C$8),Projects!$B$8*Assumptions!$B$47,0)+IF(AND(Projects!$G$9="Yes",Projects!$J$9="Yes",Projects!$K$9="No",53=Projects!$C$9),Projects!$B$9*Assumptions!$B$47,0)+IF(AND(Projects!$G$10="Yes",Projects!$J$10="Yes",Projects!$K$10="No",53=Projects!$C$10),Projects!$B$10*Assumptions!$B$47,0)+IF(AND(Projects!$G$11="Yes",Projects!$J$11="Yes",Projects!$K$11="No",53=Projects!$C$11),Projects!$B$11*Assumptions!$B$47,0)+IF(AND(Projects!$G$12="Yes",Projects!$J$12="Yes",Projects!$K$12="No",53=Projects!$C$12),Projects!$B$12*Assumptions!$B$47,0)+IF(AND(Projects!$G$13="Yes",Projects!$J$13="Yes",Projects!$K$13="No",53=Projects!$C$13),Projects!$B$13*Assumptions!$B$47,0)+IF(AND(Projects!$G$14="Yes",Projects!$J$14="Yes",Projects!$K$14="No",53=Projects!$C$14),Projects!$B$14*Assumptions!$B$47,0)),Actuals!BF107)</f>
        <v>-0</v>
      </c>
      <c r="BF194" s="14" t="n">
        <f aca="false">IF(ISBLANK(Actuals!BG107),-(IF(AND(Projects!$G$2="Yes",Projects!$J$2="Yes",Projects!$K$2="No",54=Projects!$C$2),Projects!$B$2*Assumptions!$B$47,0)+IF(AND(Projects!$G$3="Yes",Projects!$J$3="Yes",Projects!$K$3="No",54=Projects!$C$3),Projects!$B$3*Assumptions!$B$47,0)+IF(AND(Projects!$G$4="Yes",Projects!$J$4="Yes",Projects!$K$4="No",54=Projects!$C$4),Projects!$B$4*Assumptions!$B$47,0)+IF(AND(Projects!$G$5="Yes",Projects!$J$5="Yes",Projects!$K$5="No",54=Projects!$C$5),Projects!$B$5*Assumptions!$B$47,0)+IF(AND(Projects!$G$6="Yes",Projects!$J$6="Yes",Projects!$K$6="No",54=Projects!$C$6),Projects!$B$6*Assumptions!$B$47,0)+IF(AND(Projects!$G$7="Yes",Projects!$J$7="Yes",Projects!$K$7="No",54=Projects!$C$7),Projects!$B$7*Assumptions!$B$47,0)+IF(AND(Projects!$G$8="Yes",Projects!$J$8="Yes",Projects!$K$8="No",54=Projects!$C$8),Projects!$B$8*Assumptions!$B$47,0)+IF(AND(Projects!$G$9="Yes",Projects!$J$9="Yes",Projects!$K$9="No",54=Projects!$C$9),Projects!$B$9*Assumptions!$B$47,0)+IF(AND(Projects!$G$10="Yes",Projects!$J$10="Yes",Projects!$K$10="No",54=Projects!$C$10),Projects!$B$10*Assumptions!$B$47,0)+IF(AND(Projects!$G$11="Yes",Projects!$J$11="Yes",Projects!$K$11="No",54=Projects!$C$11),Projects!$B$11*Assumptions!$B$47,0)+IF(AND(Projects!$G$12="Yes",Projects!$J$12="Yes",Projects!$K$12="No",54=Projects!$C$12),Projects!$B$12*Assumptions!$B$47,0)+IF(AND(Projects!$G$13="Yes",Projects!$J$13="Yes",Projects!$K$13="No",54=Projects!$C$13),Projects!$B$13*Assumptions!$B$47,0)+IF(AND(Projects!$G$14="Yes",Projects!$J$14="Yes",Projects!$K$14="No",54=Projects!$C$14),Projects!$B$14*Assumptions!$B$47,0)),Actuals!BG107)</f>
        <v>-0</v>
      </c>
      <c r="BG194" s="14" t="n">
        <f aca="false">IF(ISBLANK(Actuals!BH107),-(IF(AND(Projects!$G$2="Yes",Projects!$J$2="Yes",Projects!$K$2="No",55=Projects!$C$2),Projects!$B$2*Assumptions!$B$47,0)+IF(AND(Projects!$G$3="Yes",Projects!$J$3="Yes",Projects!$K$3="No",55=Projects!$C$3),Projects!$B$3*Assumptions!$B$47,0)+IF(AND(Projects!$G$4="Yes",Projects!$J$4="Yes",Projects!$K$4="No",55=Projects!$C$4),Projects!$B$4*Assumptions!$B$47,0)+IF(AND(Projects!$G$5="Yes",Projects!$J$5="Yes",Projects!$K$5="No",55=Projects!$C$5),Projects!$B$5*Assumptions!$B$47,0)+IF(AND(Projects!$G$6="Yes",Projects!$J$6="Yes",Projects!$K$6="No",55=Projects!$C$6),Projects!$B$6*Assumptions!$B$47,0)+IF(AND(Projects!$G$7="Yes",Projects!$J$7="Yes",Projects!$K$7="No",55=Projects!$C$7),Projects!$B$7*Assumptions!$B$47,0)+IF(AND(Projects!$G$8="Yes",Projects!$J$8="Yes",Projects!$K$8="No",55=Projects!$C$8),Projects!$B$8*Assumptions!$B$47,0)+IF(AND(Projects!$G$9="Yes",Projects!$J$9="Yes",Projects!$K$9="No",55=Projects!$C$9),Projects!$B$9*Assumptions!$B$47,0)+IF(AND(Projects!$G$10="Yes",Projects!$J$10="Yes",Projects!$K$10="No",55=Projects!$C$10),Projects!$B$10*Assumptions!$B$47,0)+IF(AND(Projects!$G$11="Yes",Projects!$J$11="Yes",Projects!$K$11="No",55=Projects!$C$11),Projects!$B$11*Assumptions!$B$47,0)+IF(AND(Projects!$G$12="Yes",Projects!$J$12="Yes",Projects!$K$12="No",55=Projects!$C$12),Projects!$B$12*Assumptions!$B$47,0)+IF(AND(Projects!$G$13="Yes",Projects!$J$13="Yes",Projects!$K$13="No",55=Projects!$C$13),Projects!$B$13*Assumptions!$B$47,0)+IF(AND(Projects!$G$14="Yes",Projects!$J$14="Yes",Projects!$K$14="No",55=Projects!$C$14),Projects!$B$14*Assumptions!$B$47,0)),Actuals!BH107)</f>
        <v>-0</v>
      </c>
      <c r="BH194" s="14" t="n">
        <f aca="false">IF(ISBLANK(Actuals!BI107),-(IF(AND(Projects!$G$2="Yes",Projects!$J$2="Yes",Projects!$K$2="No",56=Projects!$C$2),Projects!$B$2*Assumptions!$B$47,0)+IF(AND(Projects!$G$3="Yes",Projects!$J$3="Yes",Projects!$K$3="No",56=Projects!$C$3),Projects!$B$3*Assumptions!$B$47,0)+IF(AND(Projects!$G$4="Yes",Projects!$J$4="Yes",Projects!$K$4="No",56=Projects!$C$4),Projects!$B$4*Assumptions!$B$47,0)+IF(AND(Projects!$G$5="Yes",Projects!$J$5="Yes",Projects!$K$5="No",56=Projects!$C$5),Projects!$B$5*Assumptions!$B$47,0)+IF(AND(Projects!$G$6="Yes",Projects!$J$6="Yes",Projects!$K$6="No",56=Projects!$C$6),Projects!$B$6*Assumptions!$B$47,0)+IF(AND(Projects!$G$7="Yes",Projects!$J$7="Yes",Projects!$K$7="No",56=Projects!$C$7),Projects!$B$7*Assumptions!$B$47,0)+IF(AND(Projects!$G$8="Yes",Projects!$J$8="Yes",Projects!$K$8="No",56=Projects!$C$8),Projects!$B$8*Assumptions!$B$47,0)+IF(AND(Projects!$G$9="Yes",Projects!$J$9="Yes",Projects!$K$9="No",56=Projects!$C$9),Projects!$B$9*Assumptions!$B$47,0)+IF(AND(Projects!$G$10="Yes",Projects!$J$10="Yes",Projects!$K$10="No",56=Projects!$C$10),Projects!$B$10*Assumptions!$B$47,0)+IF(AND(Projects!$G$11="Yes",Projects!$J$11="Yes",Projects!$K$11="No",56=Projects!$C$11),Projects!$B$11*Assumptions!$B$47,0)+IF(AND(Projects!$G$12="Yes",Projects!$J$12="Yes",Projects!$K$12="No",56=Projects!$C$12),Projects!$B$12*Assumptions!$B$47,0)+IF(AND(Projects!$G$13="Yes",Projects!$J$13="Yes",Projects!$K$13="No",56=Projects!$C$13),Projects!$B$13*Assumptions!$B$47,0)+IF(AND(Projects!$G$14="Yes",Projects!$J$14="Yes",Projects!$K$14="No",56=Projects!$C$14),Projects!$B$14*Assumptions!$B$47,0)),Actuals!BI107)</f>
        <v>-0</v>
      </c>
      <c r="BI194" s="14" t="n">
        <f aca="false">IF(ISBLANK(Actuals!BJ107),-(IF(AND(Projects!$G$2="Yes",Projects!$J$2="Yes",Projects!$K$2="No",57=Projects!$C$2),Projects!$B$2*Assumptions!$B$47,0)+IF(AND(Projects!$G$3="Yes",Projects!$J$3="Yes",Projects!$K$3="No",57=Projects!$C$3),Projects!$B$3*Assumptions!$B$47,0)+IF(AND(Projects!$G$4="Yes",Projects!$J$4="Yes",Projects!$K$4="No",57=Projects!$C$4),Projects!$B$4*Assumptions!$B$47,0)+IF(AND(Projects!$G$5="Yes",Projects!$J$5="Yes",Projects!$K$5="No",57=Projects!$C$5),Projects!$B$5*Assumptions!$B$47,0)+IF(AND(Projects!$G$6="Yes",Projects!$J$6="Yes",Projects!$K$6="No",57=Projects!$C$6),Projects!$B$6*Assumptions!$B$47,0)+IF(AND(Projects!$G$7="Yes",Projects!$J$7="Yes",Projects!$K$7="No",57=Projects!$C$7),Projects!$B$7*Assumptions!$B$47,0)+IF(AND(Projects!$G$8="Yes",Projects!$J$8="Yes",Projects!$K$8="No",57=Projects!$C$8),Projects!$B$8*Assumptions!$B$47,0)+IF(AND(Projects!$G$9="Yes",Projects!$J$9="Yes",Projects!$K$9="No",57=Projects!$C$9),Projects!$B$9*Assumptions!$B$47,0)+IF(AND(Projects!$G$10="Yes",Projects!$J$10="Yes",Projects!$K$10="No",57=Projects!$C$10),Projects!$B$10*Assumptions!$B$47,0)+IF(AND(Projects!$G$11="Yes",Projects!$J$11="Yes",Projects!$K$11="No",57=Projects!$C$11),Projects!$B$11*Assumptions!$B$47,0)+IF(AND(Projects!$G$12="Yes",Projects!$J$12="Yes",Projects!$K$12="No",57=Projects!$C$12),Projects!$B$12*Assumptions!$B$47,0)+IF(AND(Projects!$G$13="Yes",Projects!$J$13="Yes",Projects!$K$13="No",57=Projects!$C$13),Projects!$B$13*Assumptions!$B$47,0)+IF(AND(Projects!$G$14="Yes",Projects!$J$14="Yes",Projects!$K$14="No",57=Projects!$C$14),Projects!$B$14*Assumptions!$B$47,0)),Actuals!BJ107)</f>
        <v>-0</v>
      </c>
      <c r="BJ194" s="14" t="n">
        <f aca="false">IF(ISBLANK(Actuals!BK107),-(IF(AND(Projects!$G$2="Yes",Projects!$J$2="Yes",Projects!$K$2="No",58=Projects!$C$2),Projects!$B$2*Assumptions!$B$47,0)+IF(AND(Projects!$G$3="Yes",Projects!$J$3="Yes",Projects!$K$3="No",58=Projects!$C$3),Projects!$B$3*Assumptions!$B$47,0)+IF(AND(Projects!$G$4="Yes",Projects!$J$4="Yes",Projects!$K$4="No",58=Projects!$C$4),Projects!$B$4*Assumptions!$B$47,0)+IF(AND(Projects!$G$5="Yes",Projects!$J$5="Yes",Projects!$K$5="No",58=Projects!$C$5),Projects!$B$5*Assumptions!$B$47,0)+IF(AND(Projects!$G$6="Yes",Projects!$J$6="Yes",Projects!$K$6="No",58=Projects!$C$6),Projects!$B$6*Assumptions!$B$47,0)+IF(AND(Projects!$G$7="Yes",Projects!$J$7="Yes",Projects!$K$7="No",58=Projects!$C$7),Projects!$B$7*Assumptions!$B$47,0)+IF(AND(Projects!$G$8="Yes",Projects!$J$8="Yes",Projects!$K$8="No",58=Projects!$C$8),Projects!$B$8*Assumptions!$B$47,0)+IF(AND(Projects!$G$9="Yes",Projects!$J$9="Yes",Projects!$K$9="No",58=Projects!$C$9),Projects!$B$9*Assumptions!$B$47,0)+IF(AND(Projects!$G$10="Yes",Projects!$J$10="Yes",Projects!$K$10="No",58=Projects!$C$10),Projects!$B$10*Assumptions!$B$47,0)+IF(AND(Projects!$G$11="Yes",Projects!$J$11="Yes",Projects!$K$11="No",58=Projects!$C$11),Projects!$B$11*Assumptions!$B$47,0)+IF(AND(Projects!$G$12="Yes",Projects!$J$12="Yes",Projects!$K$12="No",58=Projects!$C$12),Projects!$B$12*Assumptions!$B$47,0)+IF(AND(Projects!$G$13="Yes",Projects!$J$13="Yes",Projects!$K$13="No",58=Projects!$C$13),Projects!$B$13*Assumptions!$B$47,0)+IF(AND(Projects!$G$14="Yes",Projects!$J$14="Yes",Projects!$K$14="No",58=Projects!$C$14),Projects!$B$14*Assumptions!$B$47,0)),Actuals!BK107)</f>
        <v>-0</v>
      </c>
      <c r="BK194" s="14" t="n">
        <f aca="false">IF(ISBLANK(Actuals!BL107),-(IF(AND(Projects!$G$2="Yes",Projects!$J$2="Yes",Projects!$K$2="No",59=Projects!$C$2),Projects!$B$2*Assumptions!$B$47,0)+IF(AND(Projects!$G$3="Yes",Projects!$J$3="Yes",Projects!$K$3="No",59=Projects!$C$3),Projects!$B$3*Assumptions!$B$47,0)+IF(AND(Projects!$G$4="Yes",Projects!$J$4="Yes",Projects!$K$4="No",59=Projects!$C$4),Projects!$B$4*Assumptions!$B$47,0)+IF(AND(Projects!$G$5="Yes",Projects!$J$5="Yes",Projects!$K$5="No",59=Projects!$C$5),Projects!$B$5*Assumptions!$B$47,0)+IF(AND(Projects!$G$6="Yes",Projects!$J$6="Yes",Projects!$K$6="No",59=Projects!$C$6),Projects!$B$6*Assumptions!$B$47,0)+IF(AND(Projects!$G$7="Yes",Projects!$J$7="Yes",Projects!$K$7="No",59=Projects!$C$7),Projects!$B$7*Assumptions!$B$47,0)+IF(AND(Projects!$G$8="Yes",Projects!$J$8="Yes",Projects!$K$8="No",59=Projects!$C$8),Projects!$B$8*Assumptions!$B$47,0)+IF(AND(Projects!$G$9="Yes",Projects!$J$9="Yes",Projects!$K$9="No",59=Projects!$C$9),Projects!$B$9*Assumptions!$B$47,0)+IF(AND(Projects!$G$10="Yes",Projects!$J$10="Yes",Projects!$K$10="No",59=Projects!$C$10),Projects!$B$10*Assumptions!$B$47,0)+IF(AND(Projects!$G$11="Yes",Projects!$J$11="Yes",Projects!$K$11="No",59=Projects!$C$11),Projects!$B$11*Assumptions!$B$47,0)+IF(AND(Projects!$G$12="Yes",Projects!$J$12="Yes",Projects!$K$12="No",59=Projects!$C$12),Projects!$B$12*Assumptions!$B$47,0)+IF(AND(Projects!$G$13="Yes",Projects!$J$13="Yes",Projects!$K$13="No",59=Projects!$C$13),Projects!$B$13*Assumptions!$B$47,0)+IF(AND(Projects!$G$14="Yes",Projects!$J$14="Yes",Projects!$K$14="No",59=Projects!$C$14),Projects!$B$14*Assumptions!$B$47,0)),Actuals!BL107)</f>
        <v>-0</v>
      </c>
      <c r="BL194" s="14" t="n">
        <f aca="false">IF(ISBLANK(Actuals!BM107),-(IF(AND(Projects!$G$2="Yes",Projects!$J$2="Yes",Projects!$K$2="No",60=Projects!$C$2),Projects!$B$2*Assumptions!$B$47,0)+IF(AND(Projects!$G$3="Yes",Projects!$J$3="Yes",Projects!$K$3="No",60=Projects!$C$3),Projects!$B$3*Assumptions!$B$47,0)+IF(AND(Projects!$G$4="Yes",Projects!$J$4="Yes",Projects!$K$4="No",60=Projects!$C$4),Projects!$B$4*Assumptions!$B$47,0)+IF(AND(Projects!$G$5="Yes",Projects!$J$5="Yes",Projects!$K$5="No",60=Projects!$C$5),Projects!$B$5*Assumptions!$B$47,0)+IF(AND(Projects!$G$6="Yes",Projects!$J$6="Yes",Projects!$K$6="No",60=Projects!$C$6),Projects!$B$6*Assumptions!$B$47,0)+IF(AND(Projects!$G$7="Yes",Projects!$J$7="Yes",Projects!$K$7="No",60=Projects!$C$7),Projects!$B$7*Assumptions!$B$47,0)+IF(AND(Projects!$G$8="Yes",Projects!$J$8="Yes",Projects!$K$8="No",60=Projects!$C$8),Projects!$B$8*Assumptions!$B$47,0)+IF(AND(Projects!$G$9="Yes",Projects!$J$9="Yes",Projects!$K$9="No",60=Projects!$C$9),Projects!$B$9*Assumptions!$B$47,0)+IF(AND(Projects!$G$10="Yes",Projects!$J$10="Yes",Projects!$K$10="No",60=Projects!$C$10),Projects!$B$10*Assumptions!$B$47,0)+IF(AND(Projects!$G$11="Yes",Projects!$J$11="Yes",Projects!$K$11="No",60=Projects!$C$11),Projects!$B$11*Assumptions!$B$47,0)+IF(AND(Projects!$G$12="Yes",Projects!$J$12="Yes",Projects!$K$12="No",60=Projects!$C$12),Projects!$B$12*Assumptions!$B$47,0)+IF(AND(Projects!$G$13="Yes",Projects!$J$13="Yes",Projects!$K$13="No",60=Projects!$C$13),Projects!$B$13*Assumptions!$B$47,0)+IF(AND(Projects!$G$14="Yes",Projects!$J$14="Yes",Projects!$K$14="No",60=Projects!$C$14),Projects!$B$14*Assumptions!$B$47,0)),Actuals!BM107)</f>
        <v>-0</v>
      </c>
      <c r="BM194" s="14" t="n">
        <f aca="false">IF(ISBLANK(Actuals!BN107),-(IF(AND(Projects!$G$2="Yes",Projects!$J$2="Yes",Projects!$K$2="No",61=Projects!$C$2),Projects!$B$2*Assumptions!$B$47,0)+IF(AND(Projects!$G$3="Yes",Projects!$J$3="Yes",Projects!$K$3="No",61=Projects!$C$3),Projects!$B$3*Assumptions!$B$47,0)+IF(AND(Projects!$G$4="Yes",Projects!$J$4="Yes",Projects!$K$4="No",61=Projects!$C$4),Projects!$B$4*Assumptions!$B$47,0)+IF(AND(Projects!$G$5="Yes",Projects!$J$5="Yes",Projects!$K$5="No",61=Projects!$C$5),Projects!$B$5*Assumptions!$B$47,0)+IF(AND(Projects!$G$6="Yes",Projects!$J$6="Yes",Projects!$K$6="No",61=Projects!$C$6),Projects!$B$6*Assumptions!$B$47,0)+IF(AND(Projects!$G$7="Yes",Projects!$J$7="Yes",Projects!$K$7="No",61=Projects!$C$7),Projects!$B$7*Assumptions!$B$47,0)+IF(AND(Projects!$G$8="Yes",Projects!$J$8="Yes",Projects!$K$8="No",61=Projects!$C$8),Projects!$B$8*Assumptions!$B$47,0)+IF(AND(Projects!$G$9="Yes",Projects!$J$9="Yes",Projects!$K$9="No",61=Projects!$C$9),Projects!$B$9*Assumptions!$B$47,0)+IF(AND(Projects!$G$10="Yes",Projects!$J$10="Yes",Projects!$K$10="No",61=Projects!$C$10),Projects!$B$10*Assumptions!$B$47,0)+IF(AND(Projects!$G$11="Yes",Projects!$J$11="Yes",Projects!$K$11="No",61=Projects!$C$11),Projects!$B$11*Assumptions!$B$47,0)+IF(AND(Projects!$G$12="Yes",Projects!$J$12="Yes",Projects!$K$12="No",61=Projects!$C$12),Projects!$B$12*Assumptions!$B$47,0)+IF(AND(Projects!$G$13="Yes",Projects!$J$13="Yes",Projects!$K$13="No",61=Projects!$C$13),Projects!$B$13*Assumptions!$B$47,0)+IF(AND(Projects!$G$14="Yes",Projects!$J$14="Yes",Projects!$K$14="No",61=Projects!$C$14),Projects!$B$14*Assumptions!$B$47,0)),Actuals!BN107)</f>
        <v>-0</v>
      </c>
      <c r="BN194" s="14" t="n">
        <f aca="false">IF(ISBLANK(Actuals!BO107),-(IF(AND(Projects!$G$2="Yes",Projects!$J$2="Yes",Projects!$K$2="No",62=Projects!$C$2),Projects!$B$2*Assumptions!$B$47,0)+IF(AND(Projects!$G$3="Yes",Projects!$J$3="Yes",Projects!$K$3="No",62=Projects!$C$3),Projects!$B$3*Assumptions!$B$47,0)+IF(AND(Projects!$G$4="Yes",Projects!$J$4="Yes",Projects!$K$4="No",62=Projects!$C$4),Projects!$B$4*Assumptions!$B$47,0)+IF(AND(Projects!$G$5="Yes",Projects!$J$5="Yes",Projects!$K$5="No",62=Projects!$C$5),Projects!$B$5*Assumptions!$B$47,0)+IF(AND(Projects!$G$6="Yes",Projects!$J$6="Yes",Projects!$K$6="No",62=Projects!$C$6),Projects!$B$6*Assumptions!$B$47,0)+IF(AND(Projects!$G$7="Yes",Projects!$J$7="Yes",Projects!$K$7="No",62=Projects!$C$7),Projects!$B$7*Assumptions!$B$47,0)+IF(AND(Projects!$G$8="Yes",Projects!$J$8="Yes",Projects!$K$8="No",62=Projects!$C$8),Projects!$B$8*Assumptions!$B$47,0)+IF(AND(Projects!$G$9="Yes",Projects!$J$9="Yes",Projects!$K$9="No",62=Projects!$C$9),Projects!$B$9*Assumptions!$B$47,0)+IF(AND(Projects!$G$10="Yes",Projects!$J$10="Yes",Projects!$K$10="No",62=Projects!$C$10),Projects!$B$10*Assumptions!$B$47,0)+IF(AND(Projects!$G$11="Yes",Projects!$J$11="Yes",Projects!$K$11="No",62=Projects!$C$11),Projects!$B$11*Assumptions!$B$47,0)+IF(AND(Projects!$G$12="Yes",Projects!$J$12="Yes",Projects!$K$12="No",62=Projects!$C$12),Projects!$B$12*Assumptions!$B$47,0)+IF(AND(Projects!$G$13="Yes",Projects!$J$13="Yes",Projects!$K$13="No",62=Projects!$C$13),Projects!$B$13*Assumptions!$B$47,0)+IF(AND(Projects!$G$14="Yes",Projects!$J$14="Yes",Projects!$K$14="No",62=Projects!$C$14),Projects!$B$14*Assumptions!$B$47,0)),Actuals!BO107)</f>
        <v>-0</v>
      </c>
      <c r="BO194" s="14" t="n">
        <f aca="false">IF(ISBLANK(Actuals!BP107),-(IF(AND(Projects!$G$2="Yes",Projects!$J$2="Yes",Projects!$K$2="No",63=Projects!$C$2),Projects!$B$2*Assumptions!$B$47,0)+IF(AND(Projects!$G$3="Yes",Projects!$J$3="Yes",Projects!$K$3="No",63=Projects!$C$3),Projects!$B$3*Assumptions!$B$47,0)+IF(AND(Projects!$G$4="Yes",Projects!$J$4="Yes",Projects!$K$4="No",63=Projects!$C$4),Projects!$B$4*Assumptions!$B$47,0)+IF(AND(Projects!$G$5="Yes",Projects!$J$5="Yes",Projects!$K$5="No",63=Projects!$C$5),Projects!$B$5*Assumptions!$B$47,0)+IF(AND(Projects!$G$6="Yes",Projects!$J$6="Yes",Projects!$K$6="No",63=Projects!$C$6),Projects!$B$6*Assumptions!$B$47,0)+IF(AND(Projects!$G$7="Yes",Projects!$J$7="Yes",Projects!$K$7="No",63=Projects!$C$7),Projects!$B$7*Assumptions!$B$47,0)+IF(AND(Projects!$G$8="Yes",Projects!$J$8="Yes",Projects!$K$8="No",63=Projects!$C$8),Projects!$B$8*Assumptions!$B$47,0)+IF(AND(Projects!$G$9="Yes",Projects!$J$9="Yes",Projects!$K$9="No",63=Projects!$C$9),Projects!$B$9*Assumptions!$B$47,0)+IF(AND(Projects!$G$10="Yes",Projects!$J$10="Yes",Projects!$K$10="No",63=Projects!$C$10),Projects!$B$10*Assumptions!$B$47,0)+IF(AND(Projects!$G$11="Yes",Projects!$J$11="Yes",Projects!$K$11="No",63=Projects!$C$11),Projects!$B$11*Assumptions!$B$47,0)+IF(AND(Projects!$G$12="Yes",Projects!$J$12="Yes",Projects!$K$12="No",63=Projects!$C$12),Projects!$B$12*Assumptions!$B$47,0)+IF(AND(Projects!$G$13="Yes",Projects!$J$13="Yes",Projects!$K$13="No",63=Projects!$C$13),Projects!$B$13*Assumptions!$B$47,0)+IF(AND(Projects!$G$14="Yes",Projects!$J$14="Yes",Projects!$K$14="No",63=Projects!$C$14),Projects!$B$14*Assumptions!$B$47,0)),Actuals!BP107)</f>
        <v>-0</v>
      </c>
      <c r="BP194" s="14" t="n">
        <f aca="false">IF(ISBLANK(Actuals!BQ107),-(IF(AND(Projects!$G$2="Yes",Projects!$J$2="Yes",Projects!$K$2="No",64=Projects!$C$2),Projects!$B$2*Assumptions!$B$47,0)+IF(AND(Projects!$G$3="Yes",Projects!$J$3="Yes",Projects!$K$3="No",64=Projects!$C$3),Projects!$B$3*Assumptions!$B$47,0)+IF(AND(Projects!$G$4="Yes",Projects!$J$4="Yes",Projects!$K$4="No",64=Projects!$C$4),Projects!$B$4*Assumptions!$B$47,0)+IF(AND(Projects!$G$5="Yes",Projects!$J$5="Yes",Projects!$K$5="No",64=Projects!$C$5),Projects!$B$5*Assumptions!$B$47,0)+IF(AND(Projects!$G$6="Yes",Projects!$J$6="Yes",Projects!$K$6="No",64=Projects!$C$6),Projects!$B$6*Assumptions!$B$47,0)+IF(AND(Projects!$G$7="Yes",Projects!$J$7="Yes",Projects!$K$7="No",64=Projects!$C$7),Projects!$B$7*Assumptions!$B$47,0)+IF(AND(Projects!$G$8="Yes",Projects!$J$8="Yes",Projects!$K$8="No",64=Projects!$C$8),Projects!$B$8*Assumptions!$B$47,0)+IF(AND(Projects!$G$9="Yes",Projects!$J$9="Yes",Projects!$K$9="No",64=Projects!$C$9),Projects!$B$9*Assumptions!$B$47,0)+IF(AND(Projects!$G$10="Yes",Projects!$J$10="Yes",Projects!$K$10="No",64=Projects!$C$10),Projects!$B$10*Assumptions!$B$47,0)+IF(AND(Projects!$G$11="Yes",Projects!$J$11="Yes",Projects!$K$11="No",64=Projects!$C$11),Projects!$B$11*Assumptions!$B$47,0)+IF(AND(Projects!$G$12="Yes",Projects!$J$12="Yes",Projects!$K$12="No",64=Projects!$C$12),Projects!$B$12*Assumptions!$B$47,0)+IF(AND(Projects!$G$13="Yes",Projects!$J$13="Yes",Projects!$K$13="No",64=Projects!$C$13),Projects!$B$13*Assumptions!$B$47,0)+IF(AND(Projects!$G$14="Yes",Projects!$J$14="Yes",Projects!$K$14="No",64=Projects!$C$14),Projects!$B$14*Assumptions!$B$47,0)),Actuals!BQ107)</f>
        <v>-0</v>
      </c>
      <c r="BQ194" s="14" t="n">
        <f aca="false">IF(ISBLANK(Actuals!BR107),-(IF(AND(Projects!$G$2="Yes",Projects!$J$2="Yes",Projects!$K$2="No",65=Projects!$C$2),Projects!$B$2*Assumptions!$B$47,0)+IF(AND(Projects!$G$3="Yes",Projects!$J$3="Yes",Projects!$K$3="No",65=Projects!$C$3),Projects!$B$3*Assumptions!$B$47,0)+IF(AND(Projects!$G$4="Yes",Projects!$J$4="Yes",Projects!$K$4="No",65=Projects!$C$4),Projects!$B$4*Assumptions!$B$47,0)+IF(AND(Projects!$G$5="Yes",Projects!$J$5="Yes",Projects!$K$5="No",65=Projects!$C$5),Projects!$B$5*Assumptions!$B$47,0)+IF(AND(Projects!$G$6="Yes",Projects!$J$6="Yes",Projects!$K$6="No",65=Projects!$C$6),Projects!$B$6*Assumptions!$B$47,0)+IF(AND(Projects!$G$7="Yes",Projects!$J$7="Yes",Projects!$K$7="No",65=Projects!$C$7),Projects!$B$7*Assumptions!$B$47,0)+IF(AND(Projects!$G$8="Yes",Projects!$J$8="Yes",Projects!$K$8="No",65=Projects!$C$8),Projects!$B$8*Assumptions!$B$47,0)+IF(AND(Projects!$G$9="Yes",Projects!$J$9="Yes",Projects!$K$9="No",65=Projects!$C$9),Projects!$B$9*Assumptions!$B$47,0)+IF(AND(Projects!$G$10="Yes",Projects!$J$10="Yes",Projects!$K$10="No",65=Projects!$C$10),Projects!$B$10*Assumptions!$B$47,0)+IF(AND(Projects!$G$11="Yes",Projects!$J$11="Yes",Projects!$K$11="No",65=Projects!$C$11),Projects!$B$11*Assumptions!$B$47,0)+IF(AND(Projects!$G$12="Yes",Projects!$J$12="Yes",Projects!$K$12="No",65=Projects!$C$12),Projects!$B$12*Assumptions!$B$47,0)+IF(AND(Projects!$G$13="Yes",Projects!$J$13="Yes",Projects!$K$13="No",65=Projects!$C$13),Projects!$B$13*Assumptions!$B$47,0)+IF(AND(Projects!$G$14="Yes",Projects!$J$14="Yes",Projects!$K$14="No",65=Projects!$C$14),Projects!$B$14*Assumptions!$B$47,0)),Actuals!BR107)</f>
        <v>-0</v>
      </c>
      <c r="BR194" s="14" t="n">
        <f aca="false">IF(ISBLANK(Actuals!BS107),-(IF(AND(Projects!$G$2="Yes",Projects!$J$2="Yes",Projects!$K$2="No",66=Projects!$C$2),Projects!$B$2*Assumptions!$B$47,0)+IF(AND(Projects!$G$3="Yes",Projects!$J$3="Yes",Projects!$K$3="No",66=Projects!$C$3),Projects!$B$3*Assumptions!$B$47,0)+IF(AND(Projects!$G$4="Yes",Projects!$J$4="Yes",Projects!$K$4="No",66=Projects!$C$4),Projects!$B$4*Assumptions!$B$47,0)+IF(AND(Projects!$G$5="Yes",Projects!$J$5="Yes",Projects!$K$5="No",66=Projects!$C$5),Projects!$B$5*Assumptions!$B$47,0)+IF(AND(Projects!$G$6="Yes",Projects!$J$6="Yes",Projects!$K$6="No",66=Projects!$C$6),Projects!$B$6*Assumptions!$B$47,0)+IF(AND(Projects!$G$7="Yes",Projects!$J$7="Yes",Projects!$K$7="No",66=Projects!$C$7),Projects!$B$7*Assumptions!$B$47,0)+IF(AND(Projects!$G$8="Yes",Projects!$J$8="Yes",Projects!$K$8="No",66=Projects!$C$8),Projects!$B$8*Assumptions!$B$47,0)+IF(AND(Projects!$G$9="Yes",Projects!$J$9="Yes",Projects!$K$9="No",66=Projects!$C$9),Projects!$B$9*Assumptions!$B$47,0)+IF(AND(Projects!$G$10="Yes",Projects!$J$10="Yes",Projects!$K$10="No",66=Projects!$C$10),Projects!$B$10*Assumptions!$B$47,0)+IF(AND(Projects!$G$11="Yes",Projects!$J$11="Yes",Projects!$K$11="No",66=Projects!$C$11),Projects!$B$11*Assumptions!$B$47,0)+IF(AND(Projects!$G$12="Yes",Projects!$J$12="Yes",Projects!$K$12="No",66=Projects!$C$12),Projects!$B$12*Assumptions!$B$47,0)+IF(AND(Projects!$G$13="Yes",Projects!$J$13="Yes",Projects!$K$13="No",66=Projects!$C$13),Projects!$B$13*Assumptions!$B$47,0)+IF(AND(Projects!$G$14="Yes",Projects!$J$14="Yes",Projects!$K$14="No",66=Projects!$C$14),Projects!$B$14*Assumptions!$B$47,0)),Actuals!BS107)</f>
        <v>-0</v>
      </c>
      <c r="BS194" s="14" t="n">
        <f aca="false">IF(ISBLANK(Actuals!BT107),-(IF(AND(Projects!$G$2="Yes",Projects!$J$2="Yes",Projects!$K$2="No",67=Projects!$C$2),Projects!$B$2*Assumptions!$B$47,0)+IF(AND(Projects!$G$3="Yes",Projects!$J$3="Yes",Projects!$K$3="No",67=Projects!$C$3),Projects!$B$3*Assumptions!$B$47,0)+IF(AND(Projects!$G$4="Yes",Projects!$J$4="Yes",Projects!$K$4="No",67=Projects!$C$4),Projects!$B$4*Assumptions!$B$47,0)+IF(AND(Projects!$G$5="Yes",Projects!$J$5="Yes",Projects!$K$5="No",67=Projects!$C$5),Projects!$B$5*Assumptions!$B$47,0)+IF(AND(Projects!$G$6="Yes",Projects!$J$6="Yes",Projects!$K$6="No",67=Projects!$C$6),Projects!$B$6*Assumptions!$B$47,0)+IF(AND(Projects!$G$7="Yes",Projects!$J$7="Yes",Projects!$K$7="No",67=Projects!$C$7),Projects!$B$7*Assumptions!$B$47,0)+IF(AND(Projects!$G$8="Yes",Projects!$J$8="Yes",Projects!$K$8="No",67=Projects!$C$8),Projects!$B$8*Assumptions!$B$47,0)+IF(AND(Projects!$G$9="Yes",Projects!$J$9="Yes",Projects!$K$9="No",67=Projects!$C$9),Projects!$B$9*Assumptions!$B$47,0)+IF(AND(Projects!$G$10="Yes",Projects!$J$10="Yes",Projects!$K$10="No",67=Projects!$C$10),Projects!$B$10*Assumptions!$B$47,0)+IF(AND(Projects!$G$11="Yes",Projects!$J$11="Yes",Projects!$K$11="No",67=Projects!$C$11),Projects!$B$11*Assumptions!$B$47,0)+IF(AND(Projects!$G$12="Yes",Projects!$J$12="Yes",Projects!$K$12="No",67=Projects!$C$12),Projects!$B$12*Assumptions!$B$47,0)+IF(AND(Projects!$G$13="Yes",Projects!$J$13="Yes",Projects!$K$13="No",67=Projects!$C$13),Projects!$B$13*Assumptions!$B$47,0)+IF(AND(Projects!$G$14="Yes",Projects!$J$14="Yes",Projects!$K$14="No",67=Projects!$C$14),Projects!$B$14*Assumptions!$B$47,0)),Actuals!BT107)</f>
        <v>-0</v>
      </c>
      <c r="BT194" s="14" t="n">
        <f aca="false">IF(ISBLANK(Actuals!BU107),-(IF(AND(Projects!$G$2="Yes",Projects!$J$2="Yes",Projects!$K$2="No",68=Projects!$C$2),Projects!$B$2*Assumptions!$B$47,0)+IF(AND(Projects!$G$3="Yes",Projects!$J$3="Yes",Projects!$K$3="No",68=Projects!$C$3),Projects!$B$3*Assumptions!$B$47,0)+IF(AND(Projects!$G$4="Yes",Projects!$J$4="Yes",Projects!$K$4="No",68=Projects!$C$4),Projects!$B$4*Assumptions!$B$47,0)+IF(AND(Projects!$G$5="Yes",Projects!$J$5="Yes",Projects!$K$5="No",68=Projects!$C$5),Projects!$B$5*Assumptions!$B$47,0)+IF(AND(Projects!$G$6="Yes",Projects!$J$6="Yes",Projects!$K$6="No",68=Projects!$C$6),Projects!$B$6*Assumptions!$B$47,0)+IF(AND(Projects!$G$7="Yes",Projects!$J$7="Yes",Projects!$K$7="No",68=Projects!$C$7),Projects!$B$7*Assumptions!$B$47,0)+IF(AND(Projects!$G$8="Yes",Projects!$J$8="Yes",Projects!$K$8="No",68=Projects!$C$8),Projects!$B$8*Assumptions!$B$47,0)+IF(AND(Projects!$G$9="Yes",Projects!$J$9="Yes",Projects!$K$9="No",68=Projects!$C$9),Projects!$B$9*Assumptions!$B$47,0)+IF(AND(Projects!$G$10="Yes",Projects!$J$10="Yes",Projects!$K$10="No",68=Projects!$C$10),Projects!$B$10*Assumptions!$B$47,0)+IF(AND(Projects!$G$11="Yes",Projects!$J$11="Yes",Projects!$K$11="No",68=Projects!$C$11),Projects!$B$11*Assumptions!$B$47,0)+IF(AND(Projects!$G$12="Yes",Projects!$J$12="Yes",Projects!$K$12="No",68=Projects!$C$12),Projects!$B$12*Assumptions!$B$47,0)+IF(AND(Projects!$G$13="Yes",Projects!$J$13="Yes",Projects!$K$13="No",68=Projects!$C$13),Projects!$B$13*Assumptions!$B$47,0)+IF(AND(Projects!$G$14="Yes",Projects!$J$14="Yes",Projects!$K$14="No",68=Projects!$C$14),Projects!$B$14*Assumptions!$B$47,0)),Actuals!BU107)</f>
        <v>-0</v>
      </c>
      <c r="BU194" s="14" t="n">
        <f aca="false">IF(ISBLANK(Actuals!BV107),-(IF(AND(Projects!$G$2="Yes",Projects!$J$2="Yes",Projects!$K$2="No",69=Projects!$C$2),Projects!$B$2*Assumptions!$B$47,0)+IF(AND(Projects!$G$3="Yes",Projects!$J$3="Yes",Projects!$K$3="No",69=Projects!$C$3),Projects!$B$3*Assumptions!$B$47,0)+IF(AND(Projects!$G$4="Yes",Projects!$J$4="Yes",Projects!$K$4="No",69=Projects!$C$4),Projects!$B$4*Assumptions!$B$47,0)+IF(AND(Projects!$G$5="Yes",Projects!$J$5="Yes",Projects!$K$5="No",69=Projects!$C$5),Projects!$B$5*Assumptions!$B$47,0)+IF(AND(Projects!$G$6="Yes",Projects!$J$6="Yes",Projects!$K$6="No",69=Projects!$C$6),Projects!$B$6*Assumptions!$B$47,0)+IF(AND(Projects!$G$7="Yes",Projects!$J$7="Yes",Projects!$K$7="No",69=Projects!$C$7),Projects!$B$7*Assumptions!$B$47,0)+IF(AND(Projects!$G$8="Yes",Projects!$J$8="Yes",Projects!$K$8="No",69=Projects!$C$8),Projects!$B$8*Assumptions!$B$47,0)+IF(AND(Projects!$G$9="Yes",Projects!$J$9="Yes",Projects!$K$9="No",69=Projects!$C$9),Projects!$B$9*Assumptions!$B$47,0)+IF(AND(Projects!$G$10="Yes",Projects!$J$10="Yes",Projects!$K$10="No",69=Projects!$C$10),Projects!$B$10*Assumptions!$B$47,0)+IF(AND(Projects!$G$11="Yes",Projects!$J$11="Yes",Projects!$K$11="No",69=Projects!$C$11),Projects!$B$11*Assumptions!$B$47,0)+IF(AND(Projects!$G$12="Yes",Projects!$J$12="Yes",Projects!$K$12="No",69=Projects!$C$12),Projects!$B$12*Assumptions!$B$47,0)+IF(AND(Projects!$G$13="Yes",Projects!$J$13="Yes",Projects!$K$13="No",69=Projects!$C$13),Projects!$B$13*Assumptions!$B$47,0)+IF(AND(Projects!$G$14="Yes",Projects!$J$14="Yes",Projects!$K$14="No",69=Projects!$C$14),Projects!$B$14*Assumptions!$B$47,0)),Actuals!BV107)</f>
        <v>-0</v>
      </c>
      <c r="BV194" s="14" t="n">
        <f aca="false">IF(ISBLANK(Actuals!BW107),-(IF(AND(Projects!$G$2="Yes",Projects!$J$2="Yes",Projects!$K$2="No",70=Projects!$C$2),Projects!$B$2*Assumptions!$B$47,0)+IF(AND(Projects!$G$3="Yes",Projects!$J$3="Yes",Projects!$K$3="No",70=Projects!$C$3),Projects!$B$3*Assumptions!$B$47,0)+IF(AND(Projects!$G$4="Yes",Projects!$J$4="Yes",Projects!$K$4="No",70=Projects!$C$4),Projects!$B$4*Assumptions!$B$47,0)+IF(AND(Projects!$G$5="Yes",Projects!$J$5="Yes",Projects!$K$5="No",70=Projects!$C$5),Projects!$B$5*Assumptions!$B$47,0)+IF(AND(Projects!$G$6="Yes",Projects!$J$6="Yes",Projects!$K$6="No",70=Projects!$C$6),Projects!$B$6*Assumptions!$B$47,0)+IF(AND(Projects!$G$7="Yes",Projects!$J$7="Yes",Projects!$K$7="No",70=Projects!$C$7),Projects!$B$7*Assumptions!$B$47,0)+IF(AND(Projects!$G$8="Yes",Projects!$J$8="Yes",Projects!$K$8="No",70=Projects!$C$8),Projects!$B$8*Assumptions!$B$47,0)+IF(AND(Projects!$G$9="Yes",Projects!$J$9="Yes",Projects!$K$9="No",70=Projects!$C$9),Projects!$B$9*Assumptions!$B$47,0)+IF(AND(Projects!$G$10="Yes",Projects!$J$10="Yes",Projects!$K$10="No",70=Projects!$C$10),Projects!$B$10*Assumptions!$B$47,0)+IF(AND(Projects!$G$11="Yes",Projects!$J$11="Yes",Projects!$K$11="No",70=Projects!$C$11),Projects!$B$11*Assumptions!$B$47,0)+IF(AND(Projects!$G$12="Yes",Projects!$J$12="Yes",Projects!$K$12="No",70=Projects!$C$12),Projects!$B$12*Assumptions!$B$47,0)+IF(AND(Projects!$G$13="Yes",Projects!$J$13="Yes",Projects!$K$13="No",70=Projects!$C$13),Projects!$B$13*Assumptions!$B$47,0)+IF(AND(Projects!$G$14="Yes",Projects!$J$14="Yes",Projects!$K$14="No",70=Projects!$C$14),Projects!$B$14*Assumptions!$B$47,0)),Actuals!BW107)</f>
        <v>-0</v>
      </c>
      <c r="BW194" s="14" t="n">
        <f aca="false">IF(ISBLANK(Actuals!BX107),-(IF(AND(Projects!$G$2="Yes",Projects!$J$2="Yes",Projects!$K$2="No",71=Projects!$C$2),Projects!$B$2*Assumptions!$B$47,0)+IF(AND(Projects!$G$3="Yes",Projects!$J$3="Yes",Projects!$K$3="No",71=Projects!$C$3),Projects!$B$3*Assumptions!$B$47,0)+IF(AND(Projects!$G$4="Yes",Projects!$J$4="Yes",Projects!$K$4="No",71=Projects!$C$4),Projects!$B$4*Assumptions!$B$47,0)+IF(AND(Projects!$G$5="Yes",Projects!$J$5="Yes",Projects!$K$5="No",71=Projects!$C$5),Projects!$B$5*Assumptions!$B$47,0)+IF(AND(Projects!$G$6="Yes",Projects!$J$6="Yes",Projects!$K$6="No",71=Projects!$C$6),Projects!$B$6*Assumptions!$B$47,0)+IF(AND(Projects!$G$7="Yes",Projects!$J$7="Yes",Projects!$K$7="No",71=Projects!$C$7),Projects!$B$7*Assumptions!$B$47,0)+IF(AND(Projects!$G$8="Yes",Projects!$J$8="Yes",Projects!$K$8="No",71=Projects!$C$8),Projects!$B$8*Assumptions!$B$47,0)+IF(AND(Projects!$G$9="Yes",Projects!$J$9="Yes",Projects!$K$9="No",71=Projects!$C$9),Projects!$B$9*Assumptions!$B$47,0)+IF(AND(Projects!$G$10="Yes",Projects!$J$10="Yes",Projects!$K$10="No",71=Projects!$C$10),Projects!$B$10*Assumptions!$B$47,0)+IF(AND(Projects!$G$11="Yes",Projects!$J$11="Yes",Projects!$K$11="No",71=Projects!$C$11),Projects!$B$11*Assumptions!$B$47,0)+IF(AND(Projects!$G$12="Yes",Projects!$J$12="Yes",Projects!$K$12="No",71=Projects!$C$12),Projects!$B$12*Assumptions!$B$47,0)+IF(AND(Projects!$G$13="Yes",Projects!$J$13="Yes",Projects!$K$13="No",71=Projects!$C$13),Projects!$B$13*Assumptions!$B$47,0)+IF(AND(Projects!$G$14="Yes",Projects!$J$14="Yes",Projects!$K$14="No",71=Projects!$C$14),Projects!$B$14*Assumptions!$B$47,0)),Actuals!BX107)</f>
        <v>-0</v>
      </c>
      <c r="BX194" s="14" t="n">
        <f aca="false">IF(ISBLANK(Actuals!BY107),-(IF(AND(Projects!$G$2="Yes",Projects!$J$2="Yes",Projects!$K$2="No",72=Projects!$C$2),Projects!$B$2*Assumptions!$B$47,0)+IF(AND(Projects!$G$3="Yes",Projects!$J$3="Yes",Projects!$K$3="No",72=Projects!$C$3),Projects!$B$3*Assumptions!$B$47,0)+IF(AND(Projects!$G$4="Yes",Projects!$J$4="Yes",Projects!$K$4="No",72=Projects!$C$4),Projects!$B$4*Assumptions!$B$47,0)+IF(AND(Projects!$G$5="Yes",Projects!$J$5="Yes",Projects!$K$5="No",72=Projects!$C$5),Projects!$B$5*Assumptions!$B$47,0)+IF(AND(Projects!$G$6="Yes",Projects!$J$6="Yes",Projects!$K$6="No",72=Projects!$C$6),Projects!$B$6*Assumptions!$B$47,0)+IF(AND(Projects!$G$7="Yes",Projects!$J$7="Yes",Projects!$K$7="No",72=Projects!$C$7),Projects!$B$7*Assumptions!$B$47,0)+IF(AND(Projects!$G$8="Yes",Projects!$J$8="Yes",Projects!$K$8="No",72=Projects!$C$8),Projects!$B$8*Assumptions!$B$47,0)+IF(AND(Projects!$G$9="Yes",Projects!$J$9="Yes",Projects!$K$9="No",72=Projects!$C$9),Projects!$B$9*Assumptions!$B$47,0)+IF(AND(Projects!$G$10="Yes",Projects!$J$10="Yes",Projects!$K$10="No",72=Projects!$C$10),Projects!$B$10*Assumptions!$B$47,0)+IF(AND(Projects!$G$11="Yes",Projects!$J$11="Yes",Projects!$K$11="No",72=Projects!$C$11),Projects!$B$11*Assumptions!$B$47,0)+IF(AND(Projects!$G$12="Yes",Projects!$J$12="Yes",Projects!$K$12="No",72=Projects!$C$12),Projects!$B$12*Assumptions!$B$47,0)+IF(AND(Projects!$G$13="Yes",Projects!$J$13="Yes",Projects!$K$13="No",72=Projects!$C$13),Projects!$B$13*Assumptions!$B$47,0)+IF(AND(Projects!$G$14="Yes",Projects!$J$14="Yes",Projects!$K$14="No",72=Projects!$C$14),Projects!$B$14*Assumptions!$B$47,0)),Actuals!BY107)</f>
        <v>-0</v>
      </c>
      <c r="BY194" s="14" t="n">
        <f aca="false">IF(ISBLANK(Actuals!BZ107),-(IF(AND(Projects!$G$2="Yes",Projects!$J$2="Yes",Projects!$K$2="No",73=Projects!$C$2),Projects!$B$2*Assumptions!$B$47,0)+IF(AND(Projects!$G$3="Yes",Projects!$J$3="Yes",Projects!$K$3="No",73=Projects!$C$3),Projects!$B$3*Assumptions!$B$47,0)+IF(AND(Projects!$G$4="Yes",Projects!$J$4="Yes",Projects!$K$4="No",73=Projects!$C$4),Projects!$B$4*Assumptions!$B$47,0)+IF(AND(Projects!$G$5="Yes",Projects!$J$5="Yes",Projects!$K$5="No",73=Projects!$C$5),Projects!$B$5*Assumptions!$B$47,0)+IF(AND(Projects!$G$6="Yes",Projects!$J$6="Yes",Projects!$K$6="No",73=Projects!$C$6),Projects!$B$6*Assumptions!$B$47,0)+IF(AND(Projects!$G$7="Yes",Projects!$J$7="Yes",Projects!$K$7="No",73=Projects!$C$7),Projects!$B$7*Assumptions!$B$47,0)+IF(AND(Projects!$G$8="Yes",Projects!$J$8="Yes",Projects!$K$8="No",73=Projects!$C$8),Projects!$B$8*Assumptions!$B$47,0)+IF(AND(Projects!$G$9="Yes",Projects!$J$9="Yes",Projects!$K$9="No",73=Projects!$C$9),Projects!$B$9*Assumptions!$B$47,0)+IF(AND(Projects!$G$10="Yes",Projects!$J$10="Yes",Projects!$K$10="No",73=Projects!$C$10),Projects!$B$10*Assumptions!$B$47,0)+IF(AND(Projects!$G$11="Yes",Projects!$J$11="Yes",Projects!$K$11="No",73=Projects!$C$11),Projects!$B$11*Assumptions!$B$47,0)+IF(AND(Projects!$G$12="Yes",Projects!$J$12="Yes",Projects!$K$12="No",73=Projects!$C$12),Projects!$B$12*Assumptions!$B$47,0)+IF(AND(Projects!$G$13="Yes",Projects!$J$13="Yes",Projects!$K$13="No",73=Projects!$C$13),Projects!$B$13*Assumptions!$B$47,0)+IF(AND(Projects!$G$14="Yes",Projects!$J$14="Yes",Projects!$K$14="No",73=Projects!$C$14),Projects!$B$14*Assumptions!$B$47,0)),Actuals!BZ107)</f>
        <v>-0</v>
      </c>
      <c r="BZ194" s="14" t="n">
        <f aca="false">IF(ISBLANK(Actuals!CA107),-(IF(AND(Projects!$G$2="Yes",Projects!$J$2="Yes",Projects!$K$2="No",74=Projects!$C$2),Projects!$B$2*Assumptions!$B$47,0)+IF(AND(Projects!$G$3="Yes",Projects!$J$3="Yes",Projects!$K$3="No",74=Projects!$C$3),Projects!$B$3*Assumptions!$B$47,0)+IF(AND(Projects!$G$4="Yes",Projects!$J$4="Yes",Projects!$K$4="No",74=Projects!$C$4),Projects!$B$4*Assumptions!$B$47,0)+IF(AND(Projects!$G$5="Yes",Projects!$J$5="Yes",Projects!$K$5="No",74=Projects!$C$5),Projects!$B$5*Assumptions!$B$47,0)+IF(AND(Projects!$G$6="Yes",Projects!$J$6="Yes",Projects!$K$6="No",74=Projects!$C$6),Projects!$B$6*Assumptions!$B$47,0)+IF(AND(Projects!$G$7="Yes",Projects!$J$7="Yes",Projects!$K$7="No",74=Projects!$C$7),Projects!$B$7*Assumptions!$B$47,0)+IF(AND(Projects!$G$8="Yes",Projects!$J$8="Yes",Projects!$K$8="No",74=Projects!$C$8),Projects!$B$8*Assumptions!$B$47,0)+IF(AND(Projects!$G$9="Yes",Projects!$J$9="Yes",Projects!$K$9="No",74=Projects!$C$9),Projects!$B$9*Assumptions!$B$47,0)+IF(AND(Projects!$G$10="Yes",Projects!$J$10="Yes",Projects!$K$10="No",74=Projects!$C$10),Projects!$B$10*Assumptions!$B$47,0)+IF(AND(Projects!$G$11="Yes",Projects!$J$11="Yes",Projects!$K$11="No",74=Projects!$C$11),Projects!$B$11*Assumptions!$B$47,0)+IF(AND(Projects!$G$12="Yes",Projects!$J$12="Yes",Projects!$K$12="No",74=Projects!$C$12),Projects!$B$12*Assumptions!$B$47,0)+IF(AND(Projects!$G$13="Yes",Projects!$J$13="Yes",Projects!$K$13="No",74=Projects!$C$13),Projects!$B$13*Assumptions!$B$47,0)+IF(AND(Projects!$G$14="Yes",Projects!$J$14="Yes",Projects!$K$14="No",74=Projects!$C$14),Projects!$B$14*Assumptions!$B$47,0)),Actuals!CA107)</f>
        <v>-0</v>
      </c>
      <c r="CA194" s="14" t="n">
        <f aca="false">IF(ISBLANK(Actuals!CB107),-(IF(AND(Projects!$G$2="Yes",Projects!$J$2="Yes",Projects!$K$2="No",75=Projects!$C$2),Projects!$B$2*Assumptions!$B$47,0)+IF(AND(Projects!$G$3="Yes",Projects!$J$3="Yes",Projects!$K$3="No",75=Projects!$C$3),Projects!$B$3*Assumptions!$B$47,0)+IF(AND(Projects!$G$4="Yes",Projects!$J$4="Yes",Projects!$K$4="No",75=Projects!$C$4),Projects!$B$4*Assumptions!$B$47,0)+IF(AND(Projects!$G$5="Yes",Projects!$J$5="Yes",Projects!$K$5="No",75=Projects!$C$5),Projects!$B$5*Assumptions!$B$47,0)+IF(AND(Projects!$G$6="Yes",Projects!$J$6="Yes",Projects!$K$6="No",75=Projects!$C$6),Projects!$B$6*Assumptions!$B$47,0)+IF(AND(Projects!$G$7="Yes",Projects!$J$7="Yes",Projects!$K$7="No",75=Projects!$C$7),Projects!$B$7*Assumptions!$B$47,0)+IF(AND(Projects!$G$8="Yes",Projects!$J$8="Yes",Projects!$K$8="No",75=Projects!$C$8),Projects!$B$8*Assumptions!$B$47,0)+IF(AND(Projects!$G$9="Yes",Projects!$J$9="Yes",Projects!$K$9="No",75=Projects!$C$9),Projects!$B$9*Assumptions!$B$47,0)+IF(AND(Projects!$G$10="Yes",Projects!$J$10="Yes",Projects!$K$10="No",75=Projects!$C$10),Projects!$B$10*Assumptions!$B$47,0)+IF(AND(Projects!$G$11="Yes",Projects!$J$11="Yes",Projects!$K$11="No",75=Projects!$C$11),Projects!$B$11*Assumptions!$B$47,0)+IF(AND(Projects!$G$12="Yes",Projects!$J$12="Yes",Projects!$K$12="No",75=Projects!$C$12),Projects!$B$12*Assumptions!$B$47,0)+IF(AND(Projects!$G$13="Yes",Projects!$J$13="Yes",Projects!$K$13="No",75=Projects!$C$13),Projects!$B$13*Assumptions!$B$47,0)+IF(AND(Projects!$G$14="Yes",Projects!$J$14="Yes",Projects!$K$14="No",75=Projects!$C$14),Projects!$B$14*Assumptions!$B$47,0)),Actuals!CB107)</f>
        <v>-0</v>
      </c>
      <c r="CB194" s="14" t="n">
        <f aca="false">IF(ISBLANK(Actuals!CC107),-(IF(AND(Projects!$G$2="Yes",Projects!$J$2="Yes",Projects!$K$2="No",76=Projects!$C$2),Projects!$B$2*Assumptions!$B$47,0)+IF(AND(Projects!$G$3="Yes",Projects!$J$3="Yes",Projects!$K$3="No",76=Projects!$C$3),Projects!$B$3*Assumptions!$B$47,0)+IF(AND(Projects!$G$4="Yes",Projects!$J$4="Yes",Projects!$K$4="No",76=Projects!$C$4),Projects!$B$4*Assumptions!$B$47,0)+IF(AND(Projects!$G$5="Yes",Projects!$J$5="Yes",Projects!$K$5="No",76=Projects!$C$5),Projects!$B$5*Assumptions!$B$47,0)+IF(AND(Projects!$G$6="Yes",Projects!$J$6="Yes",Projects!$K$6="No",76=Projects!$C$6),Projects!$B$6*Assumptions!$B$47,0)+IF(AND(Projects!$G$7="Yes",Projects!$J$7="Yes",Projects!$K$7="No",76=Projects!$C$7),Projects!$B$7*Assumptions!$B$47,0)+IF(AND(Projects!$G$8="Yes",Projects!$J$8="Yes",Projects!$K$8="No",76=Projects!$C$8),Projects!$B$8*Assumptions!$B$47,0)+IF(AND(Projects!$G$9="Yes",Projects!$J$9="Yes",Projects!$K$9="No",76=Projects!$C$9),Projects!$B$9*Assumptions!$B$47,0)+IF(AND(Projects!$G$10="Yes",Projects!$J$10="Yes",Projects!$K$10="No",76=Projects!$C$10),Projects!$B$10*Assumptions!$B$47,0)+IF(AND(Projects!$G$11="Yes",Projects!$J$11="Yes",Projects!$K$11="No",76=Projects!$C$11),Projects!$B$11*Assumptions!$B$47,0)+IF(AND(Projects!$G$12="Yes",Projects!$J$12="Yes",Projects!$K$12="No",76=Projects!$C$12),Projects!$B$12*Assumptions!$B$47,0)+IF(AND(Projects!$G$13="Yes",Projects!$J$13="Yes",Projects!$K$13="No",76=Projects!$C$13),Projects!$B$13*Assumptions!$B$47,0)+IF(AND(Projects!$G$14="Yes",Projects!$J$14="Yes",Projects!$K$14="No",76=Projects!$C$14),Projects!$B$14*Assumptions!$B$47,0)),Actuals!CC107)</f>
        <v>-0</v>
      </c>
      <c r="CC194" s="14" t="n">
        <f aca="false">IF(ISBLANK(Actuals!CD107),-(IF(AND(Projects!$G$2="Yes",Projects!$J$2="Yes",Projects!$K$2="No",77=Projects!$C$2),Projects!$B$2*Assumptions!$B$47,0)+IF(AND(Projects!$G$3="Yes",Projects!$J$3="Yes",Projects!$K$3="No",77=Projects!$C$3),Projects!$B$3*Assumptions!$B$47,0)+IF(AND(Projects!$G$4="Yes",Projects!$J$4="Yes",Projects!$K$4="No",77=Projects!$C$4),Projects!$B$4*Assumptions!$B$47,0)+IF(AND(Projects!$G$5="Yes",Projects!$J$5="Yes",Projects!$K$5="No",77=Projects!$C$5),Projects!$B$5*Assumptions!$B$47,0)+IF(AND(Projects!$G$6="Yes",Projects!$J$6="Yes",Projects!$K$6="No",77=Projects!$C$6),Projects!$B$6*Assumptions!$B$47,0)+IF(AND(Projects!$G$7="Yes",Projects!$J$7="Yes",Projects!$K$7="No",77=Projects!$C$7),Projects!$B$7*Assumptions!$B$47,0)+IF(AND(Projects!$G$8="Yes",Projects!$J$8="Yes",Projects!$K$8="No",77=Projects!$C$8),Projects!$B$8*Assumptions!$B$47,0)+IF(AND(Projects!$G$9="Yes",Projects!$J$9="Yes",Projects!$K$9="No",77=Projects!$C$9),Projects!$B$9*Assumptions!$B$47,0)+IF(AND(Projects!$G$10="Yes",Projects!$J$10="Yes",Projects!$K$10="No",77=Projects!$C$10),Projects!$B$10*Assumptions!$B$47,0)+IF(AND(Projects!$G$11="Yes",Projects!$J$11="Yes",Projects!$K$11="No",77=Projects!$C$11),Projects!$B$11*Assumptions!$B$47,0)+IF(AND(Projects!$G$12="Yes",Projects!$J$12="Yes",Projects!$K$12="No",77=Projects!$C$12),Projects!$B$12*Assumptions!$B$47,0)+IF(AND(Projects!$G$13="Yes",Projects!$J$13="Yes",Projects!$K$13="No",77=Projects!$C$13),Projects!$B$13*Assumptions!$B$47,0)+IF(AND(Projects!$G$14="Yes",Projects!$J$14="Yes",Projects!$K$14="No",77=Projects!$C$14),Projects!$B$14*Assumptions!$B$47,0)),Actuals!CD107)</f>
        <v>-0</v>
      </c>
      <c r="CD194" s="14" t="n">
        <f aca="false">IF(ISBLANK(Actuals!CE107),-(IF(AND(Projects!$G$2="Yes",Projects!$J$2="Yes",Projects!$K$2="No",78=Projects!$C$2),Projects!$B$2*Assumptions!$B$47,0)+IF(AND(Projects!$G$3="Yes",Projects!$J$3="Yes",Projects!$K$3="No",78=Projects!$C$3),Projects!$B$3*Assumptions!$B$47,0)+IF(AND(Projects!$G$4="Yes",Projects!$J$4="Yes",Projects!$K$4="No",78=Projects!$C$4),Projects!$B$4*Assumptions!$B$47,0)+IF(AND(Projects!$G$5="Yes",Projects!$J$5="Yes",Projects!$K$5="No",78=Projects!$C$5),Projects!$B$5*Assumptions!$B$47,0)+IF(AND(Projects!$G$6="Yes",Projects!$J$6="Yes",Projects!$K$6="No",78=Projects!$C$6),Projects!$B$6*Assumptions!$B$47,0)+IF(AND(Projects!$G$7="Yes",Projects!$J$7="Yes",Projects!$K$7="No",78=Projects!$C$7),Projects!$B$7*Assumptions!$B$47,0)+IF(AND(Projects!$G$8="Yes",Projects!$J$8="Yes",Projects!$K$8="No",78=Projects!$C$8),Projects!$B$8*Assumptions!$B$47,0)+IF(AND(Projects!$G$9="Yes",Projects!$J$9="Yes",Projects!$K$9="No",78=Projects!$C$9),Projects!$B$9*Assumptions!$B$47,0)+IF(AND(Projects!$G$10="Yes",Projects!$J$10="Yes",Projects!$K$10="No",78=Projects!$C$10),Projects!$B$10*Assumptions!$B$47,0)+IF(AND(Projects!$G$11="Yes",Projects!$J$11="Yes",Projects!$K$11="No",78=Projects!$C$11),Projects!$B$11*Assumptions!$B$47,0)+IF(AND(Projects!$G$12="Yes",Projects!$J$12="Yes",Projects!$K$12="No",78=Projects!$C$12),Projects!$B$12*Assumptions!$B$47,0)+IF(AND(Projects!$G$13="Yes",Projects!$J$13="Yes",Projects!$K$13="No",78=Projects!$C$13),Projects!$B$13*Assumptions!$B$47,0)+IF(AND(Projects!$G$14="Yes",Projects!$J$14="Yes",Projects!$K$14="No",78=Projects!$C$14),Projects!$B$14*Assumptions!$B$47,0)),Actuals!CE107)</f>
        <v>-0</v>
      </c>
      <c r="CE194" s="14" t="n">
        <f aca="false">IF(ISBLANK(Actuals!CF107),-(IF(AND(Projects!$G$2="Yes",Projects!$J$2="Yes",Projects!$K$2="No",79=Projects!$C$2),Projects!$B$2*Assumptions!$B$47,0)+IF(AND(Projects!$G$3="Yes",Projects!$J$3="Yes",Projects!$K$3="No",79=Projects!$C$3),Projects!$B$3*Assumptions!$B$47,0)+IF(AND(Projects!$G$4="Yes",Projects!$J$4="Yes",Projects!$K$4="No",79=Projects!$C$4),Projects!$B$4*Assumptions!$B$47,0)+IF(AND(Projects!$G$5="Yes",Projects!$J$5="Yes",Projects!$K$5="No",79=Projects!$C$5),Projects!$B$5*Assumptions!$B$47,0)+IF(AND(Projects!$G$6="Yes",Projects!$J$6="Yes",Projects!$K$6="No",79=Projects!$C$6),Projects!$B$6*Assumptions!$B$47,0)+IF(AND(Projects!$G$7="Yes",Projects!$J$7="Yes",Projects!$K$7="No",79=Projects!$C$7),Projects!$B$7*Assumptions!$B$47,0)+IF(AND(Projects!$G$8="Yes",Projects!$J$8="Yes",Projects!$K$8="No",79=Projects!$C$8),Projects!$B$8*Assumptions!$B$47,0)+IF(AND(Projects!$G$9="Yes",Projects!$J$9="Yes",Projects!$K$9="No",79=Projects!$C$9),Projects!$B$9*Assumptions!$B$47,0)+IF(AND(Projects!$G$10="Yes",Projects!$J$10="Yes",Projects!$K$10="No",79=Projects!$C$10),Projects!$B$10*Assumptions!$B$47,0)+IF(AND(Projects!$G$11="Yes",Projects!$J$11="Yes",Projects!$K$11="No",79=Projects!$C$11),Projects!$B$11*Assumptions!$B$47,0)+IF(AND(Projects!$G$12="Yes",Projects!$J$12="Yes",Projects!$K$12="No",79=Projects!$C$12),Projects!$B$12*Assumptions!$B$47,0)+IF(AND(Projects!$G$13="Yes",Projects!$J$13="Yes",Projects!$K$13="No",79=Projects!$C$13),Projects!$B$13*Assumptions!$B$47,0)+IF(AND(Projects!$G$14="Yes",Projects!$J$14="Yes",Projects!$K$14="No",79=Projects!$C$14),Projects!$B$14*Assumptions!$B$47,0)),Actuals!CF107)</f>
        <v>-0</v>
      </c>
      <c r="CF194" s="14" t="n">
        <f aca="false">IF(ISBLANK(Actuals!CG107),-(IF(AND(Projects!$G$2="Yes",Projects!$J$2="Yes",Projects!$K$2="No",80=Projects!$C$2),Projects!$B$2*Assumptions!$B$47,0)+IF(AND(Projects!$G$3="Yes",Projects!$J$3="Yes",Projects!$K$3="No",80=Projects!$C$3),Projects!$B$3*Assumptions!$B$47,0)+IF(AND(Projects!$G$4="Yes",Projects!$J$4="Yes",Projects!$K$4="No",80=Projects!$C$4),Projects!$B$4*Assumptions!$B$47,0)+IF(AND(Projects!$G$5="Yes",Projects!$J$5="Yes",Projects!$K$5="No",80=Projects!$C$5),Projects!$B$5*Assumptions!$B$47,0)+IF(AND(Projects!$G$6="Yes",Projects!$J$6="Yes",Projects!$K$6="No",80=Projects!$C$6),Projects!$B$6*Assumptions!$B$47,0)+IF(AND(Projects!$G$7="Yes",Projects!$J$7="Yes",Projects!$K$7="No",80=Projects!$C$7),Projects!$B$7*Assumptions!$B$47,0)+IF(AND(Projects!$G$8="Yes",Projects!$J$8="Yes",Projects!$K$8="No",80=Projects!$C$8),Projects!$B$8*Assumptions!$B$47,0)+IF(AND(Projects!$G$9="Yes",Projects!$J$9="Yes",Projects!$K$9="No",80=Projects!$C$9),Projects!$B$9*Assumptions!$B$47,0)+IF(AND(Projects!$G$10="Yes",Projects!$J$10="Yes",Projects!$K$10="No",80=Projects!$C$10),Projects!$B$10*Assumptions!$B$47,0)+IF(AND(Projects!$G$11="Yes",Projects!$J$11="Yes",Projects!$K$11="No",80=Projects!$C$11),Projects!$B$11*Assumptions!$B$47,0)+IF(AND(Projects!$G$12="Yes",Projects!$J$12="Yes",Projects!$K$12="No",80=Projects!$C$12),Projects!$B$12*Assumptions!$B$47,0)+IF(AND(Projects!$G$13="Yes",Projects!$J$13="Yes",Projects!$K$13="No",80=Projects!$C$13),Projects!$B$13*Assumptions!$B$47,0)+IF(AND(Projects!$G$14="Yes",Projects!$J$14="Yes",Projects!$K$14="No",80=Projects!$C$14),Projects!$B$14*Assumptions!$B$47,0)),Actuals!CG107)</f>
        <v>-0</v>
      </c>
      <c r="CG194" s="14" t="n">
        <f aca="false">IF(ISBLANK(Actuals!CH107),-(IF(AND(Projects!$G$2="Yes",Projects!$J$2="Yes",Projects!$K$2="No",81=Projects!$C$2),Projects!$B$2*Assumptions!$B$47,0)+IF(AND(Projects!$G$3="Yes",Projects!$J$3="Yes",Projects!$K$3="No",81=Projects!$C$3),Projects!$B$3*Assumptions!$B$47,0)+IF(AND(Projects!$G$4="Yes",Projects!$J$4="Yes",Projects!$K$4="No",81=Projects!$C$4),Projects!$B$4*Assumptions!$B$47,0)+IF(AND(Projects!$G$5="Yes",Projects!$J$5="Yes",Projects!$K$5="No",81=Projects!$C$5),Projects!$B$5*Assumptions!$B$47,0)+IF(AND(Projects!$G$6="Yes",Projects!$J$6="Yes",Projects!$K$6="No",81=Projects!$C$6),Projects!$B$6*Assumptions!$B$47,0)+IF(AND(Projects!$G$7="Yes",Projects!$J$7="Yes",Projects!$K$7="No",81=Projects!$C$7),Projects!$B$7*Assumptions!$B$47,0)+IF(AND(Projects!$G$8="Yes",Projects!$J$8="Yes",Projects!$K$8="No",81=Projects!$C$8),Projects!$B$8*Assumptions!$B$47,0)+IF(AND(Projects!$G$9="Yes",Projects!$J$9="Yes",Projects!$K$9="No",81=Projects!$C$9),Projects!$B$9*Assumptions!$B$47,0)+IF(AND(Projects!$G$10="Yes",Projects!$J$10="Yes",Projects!$K$10="No",81=Projects!$C$10),Projects!$B$10*Assumptions!$B$47,0)+IF(AND(Projects!$G$11="Yes",Projects!$J$11="Yes",Projects!$K$11="No",81=Projects!$C$11),Projects!$B$11*Assumptions!$B$47,0)+IF(AND(Projects!$G$12="Yes",Projects!$J$12="Yes",Projects!$K$12="No",81=Projects!$C$12),Projects!$B$12*Assumptions!$B$47,0)+IF(AND(Projects!$G$13="Yes",Projects!$J$13="Yes",Projects!$K$13="No",81=Projects!$C$13),Projects!$B$13*Assumptions!$B$47,0)+IF(AND(Projects!$G$14="Yes",Projects!$J$14="Yes",Projects!$K$14="No",81=Projects!$C$14),Projects!$B$14*Assumptions!$B$47,0)),Actuals!CH107)</f>
        <v>-0</v>
      </c>
      <c r="CH194" s="14" t="n">
        <f aca="false">IF(ISBLANK(Actuals!CI107),-(IF(AND(Projects!$G$2="Yes",Projects!$J$2="Yes",Projects!$K$2="No",82=Projects!$C$2),Projects!$B$2*Assumptions!$B$47,0)+IF(AND(Projects!$G$3="Yes",Projects!$J$3="Yes",Projects!$K$3="No",82=Projects!$C$3),Projects!$B$3*Assumptions!$B$47,0)+IF(AND(Projects!$G$4="Yes",Projects!$J$4="Yes",Projects!$K$4="No",82=Projects!$C$4),Projects!$B$4*Assumptions!$B$47,0)+IF(AND(Projects!$G$5="Yes",Projects!$J$5="Yes",Projects!$K$5="No",82=Projects!$C$5),Projects!$B$5*Assumptions!$B$47,0)+IF(AND(Projects!$G$6="Yes",Projects!$J$6="Yes",Projects!$K$6="No",82=Projects!$C$6),Projects!$B$6*Assumptions!$B$47,0)+IF(AND(Projects!$G$7="Yes",Projects!$J$7="Yes",Projects!$K$7="No",82=Projects!$C$7),Projects!$B$7*Assumptions!$B$47,0)+IF(AND(Projects!$G$8="Yes",Projects!$J$8="Yes",Projects!$K$8="No",82=Projects!$C$8),Projects!$B$8*Assumptions!$B$47,0)+IF(AND(Projects!$G$9="Yes",Projects!$J$9="Yes",Projects!$K$9="No",82=Projects!$C$9),Projects!$B$9*Assumptions!$B$47,0)+IF(AND(Projects!$G$10="Yes",Projects!$J$10="Yes",Projects!$K$10="No",82=Projects!$C$10),Projects!$B$10*Assumptions!$B$47,0)+IF(AND(Projects!$G$11="Yes",Projects!$J$11="Yes",Projects!$K$11="No",82=Projects!$C$11),Projects!$B$11*Assumptions!$B$47,0)+IF(AND(Projects!$G$12="Yes",Projects!$J$12="Yes",Projects!$K$12="No",82=Projects!$C$12),Projects!$B$12*Assumptions!$B$47,0)+IF(AND(Projects!$G$13="Yes",Projects!$J$13="Yes",Projects!$K$13="No",82=Projects!$C$13),Projects!$B$13*Assumptions!$B$47,0)+IF(AND(Projects!$G$14="Yes",Projects!$J$14="Yes",Projects!$K$14="No",82=Projects!$C$14),Projects!$B$14*Assumptions!$B$47,0)),Actuals!CI107)</f>
        <v>-0</v>
      </c>
      <c r="CI194" s="14" t="n">
        <f aca="false">IF(ISBLANK(Actuals!CJ107),-(IF(AND(Projects!$G$2="Yes",Projects!$J$2="Yes",Projects!$K$2="No",83=Projects!$C$2),Projects!$B$2*Assumptions!$B$47,0)+IF(AND(Projects!$G$3="Yes",Projects!$J$3="Yes",Projects!$K$3="No",83=Projects!$C$3),Projects!$B$3*Assumptions!$B$47,0)+IF(AND(Projects!$G$4="Yes",Projects!$J$4="Yes",Projects!$K$4="No",83=Projects!$C$4),Projects!$B$4*Assumptions!$B$47,0)+IF(AND(Projects!$G$5="Yes",Projects!$J$5="Yes",Projects!$K$5="No",83=Projects!$C$5),Projects!$B$5*Assumptions!$B$47,0)+IF(AND(Projects!$G$6="Yes",Projects!$J$6="Yes",Projects!$K$6="No",83=Projects!$C$6),Projects!$B$6*Assumptions!$B$47,0)+IF(AND(Projects!$G$7="Yes",Projects!$J$7="Yes",Projects!$K$7="No",83=Projects!$C$7),Projects!$B$7*Assumptions!$B$47,0)+IF(AND(Projects!$G$8="Yes",Projects!$J$8="Yes",Projects!$K$8="No",83=Projects!$C$8),Projects!$B$8*Assumptions!$B$47,0)+IF(AND(Projects!$G$9="Yes",Projects!$J$9="Yes",Projects!$K$9="No",83=Projects!$C$9),Projects!$B$9*Assumptions!$B$47,0)+IF(AND(Projects!$G$10="Yes",Projects!$J$10="Yes",Projects!$K$10="No",83=Projects!$C$10),Projects!$B$10*Assumptions!$B$47,0)+IF(AND(Projects!$G$11="Yes",Projects!$J$11="Yes",Projects!$K$11="No",83=Projects!$C$11),Projects!$B$11*Assumptions!$B$47,0)+IF(AND(Projects!$G$12="Yes",Projects!$J$12="Yes",Projects!$K$12="No",83=Projects!$C$12),Projects!$B$12*Assumptions!$B$47,0)+IF(AND(Projects!$G$13="Yes",Projects!$J$13="Yes",Projects!$K$13="No",83=Projects!$C$13),Projects!$B$13*Assumptions!$B$47,0)+IF(AND(Projects!$G$14="Yes",Projects!$J$14="Yes",Projects!$K$14="No",83=Projects!$C$14),Projects!$B$14*Assumptions!$B$47,0)),Actuals!CJ107)</f>
        <v>-0</v>
      </c>
      <c r="CJ194" s="14" t="n">
        <f aca="false">IF(ISBLANK(Actuals!CK107),-(IF(AND(Projects!$G$2="Yes",Projects!$J$2="Yes",Projects!$K$2="No",84=Projects!$C$2),Projects!$B$2*Assumptions!$B$47,0)+IF(AND(Projects!$G$3="Yes",Projects!$J$3="Yes",Projects!$K$3="No",84=Projects!$C$3),Projects!$B$3*Assumptions!$B$47,0)+IF(AND(Projects!$G$4="Yes",Projects!$J$4="Yes",Projects!$K$4="No",84=Projects!$C$4),Projects!$B$4*Assumptions!$B$47,0)+IF(AND(Projects!$G$5="Yes",Projects!$J$5="Yes",Projects!$K$5="No",84=Projects!$C$5),Projects!$B$5*Assumptions!$B$47,0)+IF(AND(Projects!$G$6="Yes",Projects!$J$6="Yes",Projects!$K$6="No",84=Projects!$C$6),Projects!$B$6*Assumptions!$B$47,0)+IF(AND(Projects!$G$7="Yes",Projects!$J$7="Yes",Projects!$K$7="No",84=Projects!$C$7),Projects!$B$7*Assumptions!$B$47,0)+IF(AND(Projects!$G$8="Yes",Projects!$J$8="Yes",Projects!$K$8="No",84=Projects!$C$8),Projects!$B$8*Assumptions!$B$47,0)+IF(AND(Projects!$G$9="Yes",Projects!$J$9="Yes",Projects!$K$9="No",84=Projects!$C$9),Projects!$B$9*Assumptions!$B$47,0)+IF(AND(Projects!$G$10="Yes",Projects!$J$10="Yes",Projects!$K$10="No",84=Projects!$C$10),Projects!$B$10*Assumptions!$B$47,0)+IF(AND(Projects!$G$11="Yes",Projects!$J$11="Yes",Projects!$K$11="No",84=Projects!$C$11),Projects!$B$11*Assumptions!$B$47,0)+IF(AND(Projects!$G$12="Yes",Projects!$J$12="Yes",Projects!$K$12="No",84=Projects!$C$12),Projects!$B$12*Assumptions!$B$47,0)+IF(AND(Projects!$G$13="Yes",Projects!$J$13="Yes",Projects!$K$13="No",84=Projects!$C$13),Projects!$B$13*Assumptions!$B$47,0)+IF(AND(Projects!$G$14="Yes",Projects!$J$14="Yes",Projects!$K$14="No",84=Projects!$C$14),Projects!$B$14*Assumptions!$B$47,0)),Actuals!CK107)</f>
        <v>-0</v>
      </c>
      <c r="CK194" s="14" t="n">
        <f aca="false">IF(ISBLANK(Actuals!CL107),-(IF(AND(Projects!$G$2="Yes",Projects!$J$2="Yes",Projects!$K$2="No",85=Projects!$C$2),Projects!$B$2*Assumptions!$B$47,0)+IF(AND(Projects!$G$3="Yes",Projects!$J$3="Yes",Projects!$K$3="No",85=Projects!$C$3),Projects!$B$3*Assumptions!$B$47,0)+IF(AND(Projects!$G$4="Yes",Projects!$J$4="Yes",Projects!$K$4="No",85=Projects!$C$4),Projects!$B$4*Assumptions!$B$47,0)+IF(AND(Projects!$G$5="Yes",Projects!$J$5="Yes",Projects!$K$5="No",85=Projects!$C$5),Projects!$B$5*Assumptions!$B$47,0)+IF(AND(Projects!$G$6="Yes",Projects!$J$6="Yes",Projects!$K$6="No",85=Projects!$C$6),Projects!$B$6*Assumptions!$B$47,0)+IF(AND(Projects!$G$7="Yes",Projects!$J$7="Yes",Projects!$K$7="No",85=Projects!$C$7),Projects!$B$7*Assumptions!$B$47,0)+IF(AND(Projects!$G$8="Yes",Projects!$J$8="Yes",Projects!$K$8="No",85=Projects!$C$8),Projects!$B$8*Assumptions!$B$47,0)+IF(AND(Projects!$G$9="Yes",Projects!$J$9="Yes",Projects!$K$9="No",85=Projects!$C$9),Projects!$B$9*Assumptions!$B$47,0)+IF(AND(Projects!$G$10="Yes",Projects!$J$10="Yes",Projects!$K$10="No",85=Projects!$C$10),Projects!$B$10*Assumptions!$B$47,0)+IF(AND(Projects!$G$11="Yes",Projects!$J$11="Yes",Projects!$K$11="No",85=Projects!$C$11),Projects!$B$11*Assumptions!$B$47,0)+IF(AND(Projects!$G$12="Yes",Projects!$J$12="Yes",Projects!$K$12="No",85=Projects!$C$12),Projects!$B$12*Assumptions!$B$47,0)+IF(AND(Projects!$G$13="Yes",Projects!$J$13="Yes",Projects!$K$13="No",85=Projects!$C$13),Projects!$B$13*Assumptions!$B$47,0)+IF(AND(Projects!$G$14="Yes",Projects!$J$14="Yes",Projects!$K$14="No",85=Projects!$C$14),Projects!$B$14*Assumptions!$B$47,0)),Actuals!CL107)</f>
        <v>-0</v>
      </c>
      <c r="CL194" s="14" t="n">
        <f aca="false">IF(ISBLANK(Actuals!CM107),-(IF(AND(Projects!$G$2="Yes",Projects!$J$2="Yes",Projects!$K$2="No",86=Projects!$C$2),Projects!$B$2*Assumptions!$B$47,0)+IF(AND(Projects!$G$3="Yes",Projects!$J$3="Yes",Projects!$K$3="No",86=Projects!$C$3),Projects!$B$3*Assumptions!$B$47,0)+IF(AND(Projects!$G$4="Yes",Projects!$J$4="Yes",Projects!$K$4="No",86=Projects!$C$4),Projects!$B$4*Assumptions!$B$47,0)+IF(AND(Projects!$G$5="Yes",Projects!$J$5="Yes",Projects!$K$5="No",86=Projects!$C$5),Projects!$B$5*Assumptions!$B$47,0)+IF(AND(Projects!$G$6="Yes",Projects!$J$6="Yes",Projects!$K$6="No",86=Projects!$C$6),Projects!$B$6*Assumptions!$B$47,0)+IF(AND(Projects!$G$7="Yes",Projects!$J$7="Yes",Projects!$K$7="No",86=Projects!$C$7),Projects!$B$7*Assumptions!$B$47,0)+IF(AND(Projects!$G$8="Yes",Projects!$J$8="Yes",Projects!$K$8="No",86=Projects!$C$8),Projects!$B$8*Assumptions!$B$47,0)+IF(AND(Projects!$G$9="Yes",Projects!$J$9="Yes",Projects!$K$9="No",86=Projects!$C$9),Projects!$B$9*Assumptions!$B$47,0)+IF(AND(Projects!$G$10="Yes",Projects!$J$10="Yes",Projects!$K$10="No",86=Projects!$C$10),Projects!$B$10*Assumptions!$B$47,0)+IF(AND(Projects!$G$11="Yes",Projects!$J$11="Yes",Projects!$K$11="No",86=Projects!$C$11),Projects!$B$11*Assumptions!$B$47,0)+IF(AND(Projects!$G$12="Yes",Projects!$J$12="Yes",Projects!$K$12="No",86=Projects!$C$12),Projects!$B$12*Assumptions!$B$47,0)+IF(AND(Projects!$G$13="Yes",Projects!$J$13="Yes",Projects!$K$13="No",86=Projects!$C$13),Projects!$B$13*Assumptions!$B$47,0)+IF(AND(Projects!$G$14="Yes",Projects!$J$14="Yes",Projects!$K$14="No",86=Projects!$C$14),Projects!$B$14*Assumptions!$B$47,0)),Actuals!CM107)</f>
        <v>-0</v>
      </c>
      <c r="CM194" s="14" t="n">
        <f aca="false">IF(ISBLANK(Actuals!CN107),-(IF(AND(Projects!$G$2="Yes",Projects!$J$2="Yes",Projects!$K$2="No",87=Projects!$C$2),Projects!$B$2*Assumptions!$B$47,0)+IF(AND(Projects!$G$3="Yes",Projects!$J$3="Yes",Projects!$K$3="No",87=Projects!$C$3),Projects!$B$3*Assumptions!$B$47,0)+IF(AND(Projects!$G$4="Yes",Projects!$J$4="Yes",Projects!$K$4="No",87=Projects!$C$4),Projects!$B$4*Assumptions!$B$47,0)+IF(AND(Projects!$G$5="Yes",Projects!$J$5="Yes",Projects!$K$5="No",87=Projects!$C$5),Projects!$B$5*Assumptions!$B$47,0)+IF(AND(Projects!$G$6="Yes",Projects!$J$6="Yes",Projects!$K$6="No",87=Projects!$C$6),Projects!$B$6*Assumptions!$B$47,0)+IF(AND(Projects!$G$7="Yes",Projects!$J$7="Yes",Projects!$K$7="No",87=Projects!$C$7),Projects!$B$7*Assumptions!$B$47,0)+IF(AND(Projects!$G$8="Yes",Projects!$J$8="Yes",Projects!$K$8="No",87=Projects!$C$8),Projects!$B$8*Assumptions!$B$47,0)+IF(AND(Projects!$G$9="Yes",Projects!$J$9="Yes",Projects!$K$9="No",87=Projects!$C$9),Projects!$B$9*Assumptions!$B$47,0)+IF(AND(Projects!$G$10="Yes",Projects!$J$10="Yes",Projects!$K$10="No",87=Projects!$C$10),Projects!$B$10*Assumptions!$B$47,0)+IF(AND(Projects!$G$11="Yes",Projects!$J$11="Yes",Projects!$K$11="No",87=Projects!$C$11),Projects!$B$11*Assumptions!$B$47,0)+IF(AND(Projects!$G$12="Yes",Projects!$J$12="Yes",Projects!$K$12="No",87=Projects!$C$12),Projects!$B$12*Assumptions!$B$47,0)+IF(AND(Projects!$G$13="Yes",Projects!$J$13="Yes",Projects!$K$13="No",87=Projects!$C$13),Projects!$B$13*Assumptions!$B$47,0)+IF(AND(Projects!$G$14="Yes",Projects!$J$14="Yes",Projects!$K$14="No",87=Projects!$C$14),Projects!$B$14*Assumptions!$B$47,0)),Actuals!CN107)</f>
        <v>-0</v>
      </c>
      <c r="CN194" s="14" t="n">
        <f aca="false">IF(ISBLANK(Actuals!CO107),-(IF(AND(Projects!$G$2="Yes",Projects!$J$2="Yes",Projects!$K$2="No",88=Projects!$C$2),Projects!$B$2*Assumptions!$B$47,0)+IF(AND(Projects!$G$3="Yes",Projects!$J$3="Yes",Projects!$K$3="No",88=Projects!$C$3),Projects!$B$3*Assumptions!$B$47,0)+IF(AND(Projects!$G$4="Yes",Projects!$J$4="Yes",Projects!$K$4="No",88=Projects!$C$4),Projects!$B$4*Assumptions!$B$47,0)+IF(AND(Projects!$G$5="Yes",Projects!$J$5="Yes",Projects!$K$5="No",88=Projects!$C$5),Projects!$B$5*Assumptions!$B$47,0)+IF(AND(Projects!$G$6="Yes",Projects!$J$6="Yes",Projects!$K$6="No",88=Projects!$C$6),Projects!$B$6*Assumptions!$B$47,0)+IF(AND(Projects!$G$7="Yes",Projects!$J$7="Yes",Projects!$K$7="No",88=Projects!$C$7),Projects!$B$7*Assumptions!$B$47,0)+IF(AND(Projects!$G$8="Yes",Projects!$J$8="Yes",Projects!$K$8="No",88=Projects!$C$8),Projects!$B$8*Assumptions!$B$47,0)+IF(AND(Projects!$G$9="Yes",Projects!$J$9="Yes",Projects!$K$9="No",88=Projects!$C$9),Projects!$B$9*Assumptions!$B$47,0)+IF(AND(Projects!$G$10="Yes",Projects!$J$10="Yes",Projects!$K$10="No",88=Projects!$C$10),Projects!$B$10*Assumptions!$B$47,0)+IF(AND(Projects!$G$11="Yes",Projects!$J$11="Yes",Projects!$K$11="No",88=Projects!$C$11),Projects!$B$11*Assumptions!$B$47,0)+IF(AND(Projects!$G$12="Yes",Projects!$J$12="Yes",Projects!$K$12="No",88=Projects!$C$12),Projects!$B$12*Assumptions!$B$47,0)+IF(AND(Projects!$G$13="Yes",Projects!$J$13="Yes",Projects!$K$13="No",88=Projects!$C$13),Projects!$B$13*Assumptions!$B$47,0)+IF(AND(Projects!$G$14="Yes",Projects!$J$14="Yes",Projects!$K$14="No",88=Projects!$C$14),Projects!$B$14*Assumptions!$B$47,0)),Actuals!CO107)</f>
        <v>-0</v>
      </c>
      <c r="CO194" s="14" t="n">
        <f aca="false">IF(ISBLANK(Actuals!CP107),-(IF(AND(Projects!$G$2="Yes",Projects!$J$2="Yes",Projects!$K$2="No",89=Projects!$C$2),Projects!$B$2*Assumptions!$B$47,0)+IF(AND(Projects!$G$3="Yes",Projects!$J$3="Yes",Projects!$K$3="No",89=Projects!$C$3),Projects!$B$3*Assumptions!$B$47,0)+IF(AND(Projects!$G$4="Yes",Projects!$J$4="Yes",Projects!$K$4="No",89=Projects!$C$4),Projects!$B$4*Assumptions!$B$47,0)+IF(AND(Projects!$G$5="Yes",Projects!$J$5="Yes",Projects!$K$5="No",89=Projects!$C$5),Projects!$B$5*Assumptions!$B$47,0)+IF(AND(Projects!$G$6="Yes",Projects!$J$6="Yes",Projects!$K$6="No",89=Projects!$C$6),Projects!$B$6*Assumptions!$B$47,0)+IF(AND(Projects!$G$7="Yes",Projects!$J$7="Yes",Projects!$K$7="No",89=Projects!$C$7),Projects!$B$7*Assumptions!$B$47,0)+IF(AND(Projects!$G$8="Yes",Projects!$J$8="Yes",Projects!$K$8="No",89=Projects!$C$8),Projects!$B$8*Assumptions!$B$47,0)+IF(AND(Projects!$G$9="Yes",Projects!$J$9="Yes",Projects!$K$9="No",89=Projects!$C$9),Projects!$B$9*Assumptions!$B$47,0)+IF(AND(Projects!$G$10="Yes",Projects!$J$10="Yes",Projects!$K$10="No",89=Projects!$C$10),Projects!$B$10*Assumptions!$B$47,0)+IF(AND(Projects!$G$11="Yes",Projects!$J$11="Yes",Projects!$K$11="No",89=Projects!$C$11),Projects!$B$11*Assumptions!$B$47,0)+IF(AND(Projects!$G$12="Yes",Projects!$J$12="Yes",Projects!$K$12="No",89=Projects!$C$12),Projects!$B$12*Assumptions!$B$47,0)+IF(AND(Projects!$G$13="Yes",Projects!$J$13="Yes",Projects!$K$13="No",89=Projects!$C$13),Projects!$B$13*Assumptions!$B$47,0)+IF(AND(Projects!$G$14="Yes",Projects!$J$14="Yes",Projects!$K$14="No",89=Projects!$C$14),Projects!$B$14*Assumptions!$B$47,0)),Actuals!CP107)</f>
        <v>-0</v>
      </c>
      <c r="CP194" s="14" t="n">
        <f aca="false">IF(ISBLANK(Actuals!CQ107),-(IF(AND(Projects!$G$2="Yes",Projects!$J$2="Yes",Projects!$K$2="No",90=Projects!$C$2),Projects!$B$2*Assumptions!$B$47,0)+IF(AND(Projects!$G$3="Yes",Projects!$J$3="Yes",Projects!$K$3="No",90=Projects!$C$3),Projects!$B$3*Assumptions!$B$47,0)+IF(AND(Projects!$G$4="Yes",Projects!$J$4="Yes",Projects!$K$4="No",90=Projects!$C$4),Projects!$B$4*Assumptions!$B$47,0)+IF(AND(Projects!$G$5="Yes",Projects!$J$5="Yes",Projects!$K$5="No",90=Projects!$C$5),Projects!$B$5*Assumptions!$B$47,0)+IF(AND(Projects!$G$6="Yes",Projects!$J$6="Yes",Projects!$K$6="No",90=Projects!$C$6),Projects!$B$6*Assumptions!$B$47,0)+IF(AND(Projects!$G$7="Yes",Projects!$J$7="Yes",Projects!$K$7="No",90=Projects!$C$7),Projects!$B$7*Assumptions!$B$47,0)+IF(AND(Projects!$G$8="Yes",Projects!$J$8="Yes",Projects!$K$8="No",90=Projects!$C$8),Projects!$B$8*Assumptions!$B$47,0)+IF(AND(Projects!$G$9="Yes",Projects!$J$9="Yes",Projects!$K$9="No",90=Projects!$C$9),Projects!$B$9*Assumptions!$B$47,0)+IF(AND(Projects!$G$10="Yes",Projects!$J$10="Yes",Projects!$K$10="No",90=Projects!$C$10),Projects!$B$10*Assumptions!$B$47,0)+IF(AND(Projects!$G$11="Yes",Projects!$J$11="Yes",Projects!$K$11="No",90=Projects!$C$11),Projects!$B$11*Assumptions!$B$47,0)+IF(AND(Projects!$G$12="Yes",Projects!$J$12="Yes",Projects!$K$12="No",90=Projects!$C$12),Projects!$B$12*Assumptions!$B$47,0)+IF(AND(Projects!$G$13="Yes",Projects!$J$13="Yes",Projects!$K$13="No",90=Projects!$C$13),Projects!$B$13*Assumptions!$B$47,0)+IF(AND(Projects!$G$14="Yes",Projects!$J$14="Yes",Projects!$K$14="No",90=Projects!$C$14),Projects!$B$14*Assumptions!$B$47,0)),Actuals!CQ107)</f>
        <v>-0</v>
      </c>
      <c r="CQ194" s="14" t="n">
        <f aca="false">IF(ISBLANK(Actuals!CR107),-(IF(AND(Projects!$G$2="Yes",Projects!$J$2="Yes",Projects!$K$2="No",91=Projects!$C$2),Projects!$B$2*Assumptions!$B$47,0)+IF(AND(Projects!$G$3="Yes",Projects!$J$3="Yes",Projects!$K$3="No",91=Projects!$C$3),Projects!$B$3*Assumptions!$B$47,0)+IF(AND(Projects!$G$4="Yes",Projects!$J$4="Yes",Projects!$K$4="No",91=Projects!$C$4),Projects!$B$4*Assumptions!$B$47,0)+IF(AND(Projects!$G$5="Yes",Projects!$J$5="Yes",Projects!$K$5="No",91=Projects!$C$5),Projects!$B$5*Assumptions!$B$47,0)+IF(AND(Projects!$G$6="Yes",Projects!$J$6="Yes",Projects!$K$6="No",91=Projects!$C$6),Projects!$B$6*Assumptions!$B$47,0)+IF(AND(Projects!$G$7="Yes",Projects!$J$7="Yes",Projects!$K$7="No",91=Projects!$C$7),Projects!$B$7*Assumptions!$B$47,0)+IF(AND(Projects!$G$8="Yes",Projects!$J$8="Yes",Projects!$K$8="No",91=Projects!$C$8),Projects!$B$8*Assumptions!$B$47,0)+IF(AND(Projects!$G$9="Yes",Projects!$J$9="Yes",Projects!$K$9="No",91=Projects!$C$9),Projects!$B$9*Assumptions!$B$47,0)+IF(AND(Projects!$G$10="Yes",Projects!$J$10="Yes",Projects!$K$10="No",91=Projects!$C$10),Projects!$B$10*Assumptions!$B$47,0)+IF(AND(Projects!$G$11="Yes",Projects!$J$11="Yes",Projects!$K$11="No",91=Projects!$C$11),Projects!$B$11*Assumptions!$B$47,0)+IF(AND(Projects!$G$12="Yes",Projects!$J$12="Yes",Projects!$K$12="No",91=Projects!$C$12),Projects!$B$12*Assumptions!$B$47,0)+IF(AND(Projects!$G$13="Yes",Projects!$J$13="Yes",Projects!$K$13="No",91=Projects!$C$13),Projects!$B$13*Assumptions!$B$47,0)+IF(AND(Projects!$G$14="Yes",Projects!$J$14="Yes",Projects!$K$14="No",91=Projects!$C$14),Projects!$B$14*Assumptions!$B$47,0)),Actuals!CR107)</f>
        <v>-0</v>
      </c>
      <c r="CR194" s="14" t="n">
        <f aca="false">IF(ISBLANK(Actuals!CS107),-(IF(AND(Projects!$G$2="Yes",Projects!$J$2="Yes",Projects!$K$2="No",92=Projects!$C$2),Projects!$B$2*Assumptions!$B$47,0)+IF(AND(Projects!$G$3="Yes",Projects!$J$3="Yes",Projects!$K$3="No",92=Projects!$C$3),Projects!$B$3*Assumptions!$B$47,0)+IF(AND(Projects!$G$4="Yes",Projects!$J$4="Yes",Projects!$K$4="No",92=Projects!$C$4),Projects!$B$4*Assumptions!$B$47,0)+IF(AND(Projects!$G$5="Yes",Projects!$J$5="Yes",Projects!$K$5="No",92=Projects!$C$5),Projects!$B$5*Assumptions!$B$47,0)+IF(AND(Projects!$G$6="Yes",Projects!$J$6="Yes",Projects!$K$6="No",92=Projects!$C$6),Projects!$B$6*Assumptions!$B$47,0)+IF(AND(Projects!$G$7="Yes",Projects!$J$7="Yes",Projects!$K$7="No",92=Projects!$C$7),Projects!$B$7*Assumptions!$B$47,0)+IF(AND(Projects!$G$8="Yes",Projects!$J$8="Yes",Projects!$K$8="No",92=Projects!$C$8),Projects!$B$8*Assumptions!$B$47,0)+IF(AND(Projects!$G$9="Yes",Projects!$J$9="Yes",Projects!$K$9="No",92=Projects!$C$9),Projects!$B$9*Assumptions!$B$47,0)+IF(AND(Projects!$G$10="Yes",Projects!$J$10="Yes",Projects!$K$10="No",92=Projects!$C$10),Projects!$B$10*Assumptions!$B$47,0)+IF(AND(Projects!$G$11="Yes",Projects!$J$11="Yes",Projects!$K$11="No",92=Projects!$C$11),Projects!$B$11*Assumptions!$B$47,0)+IF(AND(Projects!$G$12="Yes",Projects!$J$12="Yes",Projects!$K$12="No",92=Projects!$C$12),Projects!$B$12*Assumptions!$B$47,0)+IF(AND(Projects!$G$13="Yes",Projects!$J$13="Yes",Projects!$K$13="No",92=Projects!$C$13),Projects!$B$13*Assumptions!$B$47,0)+IF(AND(Projects!$G$14="Yes",Projects!$J$14="Yes",Projects!$K$14="No",92=Projects!$C$14),Projects!$B$14*Assumptions!$B$47,0)),Actuals!CS107)</f>
        <v>-0</v>
      </c>
      <c r="CS194" s="14" t="n">
        <f aca="false">IF(ISBLANK(Actuals!CT107),-(IF(AND(Projects!$G$2="Yes",Projects!$J$2="Yes",Projects!$K$2="No",93=Projects!$C$2),Projects!$B$2*Assumptions!$B$47,0)+IF(AND(Projects!$G$3="Yes",Projects!$J$3="Yes",Projects!$K$3="No",93=Projects!$C$3),Projects!$B$3*Assumptions!$B$47,0)+IF(AND(Projects!$G$4="Yes",Projects!$J$4="Yes",Projects!$K$4="No",93=Projects!$C$4),Projects!$B$4*Assumptions!$B$47,0)+IF(AND(Projects!$G$5="Yes",Projects!$J$5="Yes",Projects!$K$5="No",93=Projects!$C$5),Projects!$B$5*Assumptions!$B$47,0)+IF(AND(Projects!$G$6="Yes",Projects!$J$6="Yes",Projects!$K$6="No",93=Projects!$C$6),Projects!$B$6*Assumptions!$B$47,0)+IF(AND(Projects!$G$7="Yes",Projects!$J$7="Yes",Projects!$K$7="No",93=Projects!$C$7),Projects!$B$7*Assumptions!$B$47,0)+IF(AND(Projects!$G$8="Yes",Projects!$J$8="Yes",Projects!$K$8="No",93=Projects!$C$8),Projects!$B$8*Assumptions!$B$47,0)+IF(AND(Projects!$G$9="Yes",Projects!$J$9="Yes",Projects!$K$9="No",93=Projects!$C$9),Projects!$B$9*Assumptions!$B$47,0)+IF(AND(Projects!$G$10="Yes",Projects!$J$10="Yes",Projects!$K$10="No",93=Projects!$C$10),Projects!$B$10*Assumptions!$B$47,0)+IF(AND(Projects!$G$11="Yes",Projects!$J$11="Yes",Projects!$K$11="No",93=Projects!$C$11),Projects!$B$11*Assumptions!$B$47,0)+IF(AND(Projects!$G$12="Yes",Projects!$J$12="Yes",Projects!$K$12="No",93=Projects!$C$12),Projects!$B$12*Assumptions!$B$47,0)+IF(AND(Projects!$G$13="Yes",Projects!$J$13="Yes",Projects!$K$13="No",93=Projects!$C$13),Projects!$B$13*Assumptions!$B$47,0)+IF(AND(Projects!$G$14="Yes",Projects!$J$14="Yes",Projects!$K$14="No",93=Projects!$C$14),Projects!$B$14*Assumptions!$B$47,0)),Actuals!CT107)</f>
        <v>-0</v>
      </c>
      <c r="CT194" s="14" t="n">
        <f aca="false">IF(ISBLANK(Actuals!CU107),-(IF(AND(Projects!$G$2="Yes",Projects!$J$2="Yes",Projects!$K$2="No",94=Projects!$C$2),Projects!$B$2*Assumptions!$B$47,0)+IF(AND(Projects!$G$3="Yes",Projects!$J$3="Yes",Projects!$K$3="No",94=Projects!$C$3),Projects!$B$3*Assumptions!$B$47,0)+IF(AND(Projects!$G$4="Yes",Projects!$J$4="Yes",Projects!$K$4="No",94=Projects!$C$4),Projects!$B$4*Assumptions!$B$47,0)+IF(AND(Projects!$G$5="Yes",Projects!$J$5="Yes",Projects!$K$5="No",94=Projects!$C$5),Projects!$B$5*Assumptions!$B$47,0)+IF(AND(Projects!$G$6="Yes",Projects!$J$6="Yes",Projects!$K$6="No",94=Projects!$C$6),Projects!$B$6*Assumptions!$B$47,0)+IF(AND(Projects!$G$7="Yes",Projects!$J$7="Yes",Projects!$K$7="No",94=Projects!$C$7),Projects!$B$7*Assumptions!$B$47,0)+IF(AND(Projects!$G$8="Yes",Projects!$J$8="Yes",Projects!$K$8="No",94=Projects!$C$8),Projects!$B$8*Assumptions!$B$47,0)+IF(AND(Projects!$G$9="Yes",Projects!$J$9="Yes",Projects!$K$9="No",94=Projects!$C$9),Projects!$B$9*Assumptions!$B$47,0)+IF(AND(Projects!$G$10="Yes",Projects!$J$10="Yes",Projects!$K$10="No",94=Projects!$C$10),Projects!$B$10*Assumptions!$B$47,0)+IF(AND(Projects!$G$11="Yes",Projects!$J$11="Yes",Projects!$K$11="No",94=Projects!$C$11),Projects!$B$11*Assumptions!$B$47,0)+IF(AND(Projects!$G$12="Yes",Projects!$J$12="Yes",Projects!$K$12="No",94=Projects!$C$12),Projects!$B$12*Assumptions!$B$47,0)+IF(AND(Projects!$G$13="Yes",Projects!$J$13="Yes",Projects!$K$13="No",94=Projects!$C$13),Projects!$B$13*Assumptions!$B$47,0)+IF(AND(Projects!$G$14="Yes",Projects!$J$14="Yes",Projects!$K$14="No",94=Projects!$C$14),Projects!$B$14*Assumptions!$B$47,0)),Actuals!CU107)</f>
        <v>-0</v>
      </c>
      <c r="CU194" s="14" t="n">
        <f aca="false">IF(ISBLANK(Actuals!CV107),-(IF(AND(Projects!$G$2="Yes",Projects!$J$2="Yes",Projects!$K$2="No",95=Projects!$C$2),Projects!$B$2*Assumptions!$B$47,0)+IF(AND(Projects!$G$3="Yes",Projects!$J$3="Yes",Projects!$K$3="No",95=Projects!$C$3),Projects!$B$3*Assumptions!$B$47,0)+IF(AND(Projects!$G$4="Yes",Projects!$J$4="Yes",Projects!$K$4="No",95=Projects!$C$4),Projects!$B$4*Assumptions!$B$47,0)+IF(AND(Projects!$G$5="Yes",Projects!$J$5="Yes",Projects!$K$5="No",95=Projects!$C$5),Projects!$B$5*Assumptions!$B$47,0)+IF(AND(Projects!$G$6="Yes",Projects!$J$6="Yes",Projects!$K$6="No",95=Projects!$C$6),Projects!$B$6*Assumptions!$B$47,0)+IF(AND(Projects!$G$7="Yes",Projects!$J$7="Yes",Projects!$K$7="No",95=Projects!$C$7),Projects!$B$7*Assumptions!$B$47,0)+IF(AND(Projects!$G$8="Yes",Projects!$J$8="Yes",Projects!$K$8="No",95=Projects!$C$8),Projects!$B$8*Assumptions!$B$47,0)+IF(AND(Projects!$G$9="Yes",Projects!$J$9="Yes",Projects!$K$9="No",95=Projects!$C$9),Projects!$B$9*Assumptions!$B$47,0)+IF(AND(Projects!$G$10="Yes",Projects!$J$10="Yes",Projects!$K$10="No",95=Projects!$C$10),Projects!$B$10*Assumptions!$B$47,0)+IF(AND(Projects!$G$11="Yes",Projects!$J$11="Yes",Projects!$K$11="No",95=Projects!$C$11),Projects!$B$11*Assumptions!$B$47,0)+IF(AND(Projects!$G$12="Yes",Projects!$J$12="Yes",Projects!$K$12="No",95=Projects!$C$12),Projects!$B$12*Assumptions!$B$47,0)+IF(AND(Projects!$G$13="Yes",Projects!$J$13="Yes",Projects!$K$13="No",95=Projects!$C$13),Projects!$B$13*Assumptions!$B$47,0)+IF(AND(Projects!$G$14="Yes",Projects!$J$14="Yes",Projects!$K$14="No",95=Projects!$C$14),Projects!$B$14*Assumptions!$B$47,0)),Actuals!CV107)</f>
        <v>-0</v>
      </c>
      <c r="CV194" s="14" t="n">
        <f aca="false">IF(ISBLANK(Actuals!CW107),-(IF(AND(Projects!$G$2="Yes",Projects!$J$2="Yes",Projects!$K$2="No",96=Projects!$C$2),Projects!$B$2*Assumptions!$B$47,0)+IF(AND(Projects!$G$3="Yes",Projects!$J$3="Yes",Projects!$K$3="No",96=Projects!$C$3),Projects!$B$3*Assumptions!$B$47,0)+IF(AND(Projects!$G$4="Yes",Projects!$J$4="Yes",Projects!$K$4="No",96=Projects!$C$4),Projects!$B$4*Assumptions!$B$47,0)+IF(AND(Projects!$G$5="Yes",Projects!$J$5="Yes",Projects!$K$5="No",96=Projects!$C$5),Projects!$B$5*Assumptions!$B$47,0)+IF(AND(Projects!$G$6="Yes",Projects!$J$6="Yes",Projects!$K$6="No",96=Projects!$C$6),Projects!$B$6*Assumptions!$B$47,0)+IF(AND(Projects!$G$7="Yes",Projects!$J$7="Yes",Projects!$K$7="No",96=Projects!$C$7),Projects!$B$7*Assumptions!$B$47,0)+IF(AND(Projects!$G$8="Yes",Projects!$J$8="Yes",Projects!$K$8="No",96=Projects!$C$8),Projects!$B$8*Assumptions!$B$47,0)+IF(AND(Projects!$G$9="Yes",Projects!$J$9="Yes",Projects!$K$9="No",96=Projects!$C$9),Projects!$B$9*Assumptions!$B$47,0)+IF(AND(Projects!$G$10="Yes",Projects!$J$10="Yes",Projects!$K$10="No",96=Projects!$C$10),Projects!$B$10*Assumptions!$B$47,0)+IF(AND(Projects!$G$11="Yes",Projects!$J$11="Yes",Projects!$K$11="No",96=Projects!$C$11),Projects!$B$11*Assumptions!$B$47,0)+IF(AND(Projects!$G$12="Yes",Projects!$J$12="Yes",Projects!$K$12="No",96=Projects!$C$12),Projects!$B$12*Assumptions!$B$47,0)+IF(AND(Projects!$G$13="Yes",Projects!$J$13="Yes",Projects!$K$13="No",96=Projects!$C$13),Projects!$B$13*Assumptions!$B$47,0)+IF(AND(Projects!$G$14="Yes",Projects!$J$14="Yes",Projects!$K$14="No",96=Projects!$C$14),Projects!$B$14*Assumptions!$B$47,0)),Actuals!CW107)</f>
        <v>-0</v>
      </c>
      <c r="CW194" s="14" t="n">
        <f aca="false">IF(ISBLANK(Actuals!CX107),-(IF(AND(Projects!$G$2="Yes",Projects!$J$2="Yes",Projects!$K$2="No",97=Projects!$C$2),Projects!$B$2*Assumptions!$B$47,0)+IF(AND(Projects!$G$3="Yes",Projects!$J$3="Yes",Projects!$K$3="No",97=Projects!$C$3),Projects!$B$3*Assumptions!$B$47,0)+IF(AND(Projects!$G$4="Yes",Projects!$J$4="Yes",Projects!$K$4="No",97=Projects!$C$4),Projects!$B$4*Assumptions!$B$47,0)+IF(AND(Projects!$G$5="Yes",Projects!$J$5="Yes",Projects!$K$5="No",97=Projects!$C$5),Projects!$B$5*Assumptions!$B$47,0)+IF(AND(Projects!$G$6="Yes",Projects!$J$6="Yes",Projects!$K$6="No",97=Projects!$C$6),Projects!$B$6*Assumptions!$B$47,0)+IF(AND(Projects!$G$7="Yes",Projects!$J$7="Yes",Projects!$K$7="No",97=Projects!$C$7),Projects!$B$7*Assumptions!$B$47,0)+IF(AND(Projects!$G$8="Yes",Projects!$J$8="Yes",Projects!$K$8="No",97=Projects!$C$8),Projects!$B$8*Assumptions!$B$47,0)+IF(AND(Projects!$G$9="Yes",Projects!$J$9="Yes",Projects!$K$9="No",97=Projects!$C$9),Projects!$B$9*Assumptions!$B$47,0)+IF(AND(Projects!$G$10="Yes",Projects!$J$10="Yes",Projects!$K$10="No",97=Projects!$C$10),Projects!$B$10*Assumptions!$B$47,0)+IF(AND(Projects!$G$11="Yes",Projects!$J$11="Yes",Projects!$K$11="No",97=Projects!$C$11),Projects!$B$11*Assumptions!$B$47,0)+IF(AND(Projects!$G$12="Yes",Projects!$J$12="Yes",Projects!$K$12="No",97=Projects!$C$12),Projects!$B$12*Assumptions!$B$47,0)+IF(AND(Projects!$G$13="Yes",Projects!$J$13="Yes",Projects!$K$13="No",97=Projects!$C$13),Projects!$B$13*Assumptions!$B$47,0)+IF(AND(Projects!$G$14="Yes",Projects!$J$14="Yes",Projects!$K$14="No",97=Projects!$C$14),Projects!$B$14*Assumptions!$B$47,0)),Actuals!CX107)</f>
        <v>-0</v>
      </c>
      <c r="CX194" s="14" t="n">
        <f aca="false">IF(ISBLANK(Actuals!CY107),-(IF(AND(Projects!$G$2="Yes",Projects!$J$2="Yes",Projects!$K$2="No",98=Projects!$C$2),Projects!$B$2*Assumptions!$B$47,0)+IF(AND(Projects!$G$3="Yes",Projects!$J$3="Yes",Projects!$K$3="No",98=Projects!$C$3),Projects!$B$3*Assumptions!$B$47,0)+IF(AND(Projects!$G$4="Yes",Projects!$J$4="Yes",Projects!$K$4="No",98=Projects!$C$4),Projects!$B$4*Assumptions!$B$47,0)+IF(AND(Projects!$G$5="Yes",Projects!$J$5="Yes",Projects!$K$5="No",98=Projects!$C$5),Projects!$B$5*Assumptions!$B$47,0)+IF(AND(Projects!$G$6="Yes",Projects!$J$6="Yes",Projects!$K$6="No",98=Projects!$C$6),Projects!$B$6*Assumptions!$B$47,0)+IF(AND(Projects!$G$7="Yes",Projects!$J$7="Yes",Projects!$K$7="No",98=Projects!$C$7),Projects!$B$7*Assumptions!$B$47,0)+IF(AND(Projects!$G$8="Yes",Projects!$J$8="Yes",Projects!$K$8="No",98=Projects!$C$8),Projects!$B$8*Assumptions!$B$47,0)+IF(AND(Projects!$G$9="Yes",Projects!$J$9="Yes",Projects!$K$9="No",98=Projects!$C$9),Projects!$B$9*Assumptions!$B$47,0)+IF(AND(Projects!$G$10="Yes",Projects!$J$10="Yes",Projects!$K$10="No",98=Projects!$C$10),Projects!$B$10*Assumptions!$B$47,0)+IF(AND(Projects!$G$11="Yes",Projects!$J$11="Yes",Projects!$K$11="No",98=Projects!$C$11),Projects!$B$11*Assumptions!$B$47,0)+IF(AND(Projects!$G$12="Yes",Projects!$J$12="Yes",Projects!$K$12="No",98=Projects!$C$12),Projects!$B$12*Assumptions!$B$47,0)+IF(AND(Projects!$G$13="Yes",Projects!$J$13="Yes",Projects!$K$13="No",98=Projects!$C$13),Projects!$B$13*Assumptions!$B$47,0)+IF(AND(Projects!$G$14="Yes",Projects!$J$14="Yes",Projects!$K$14="No",98=Projects!$C$14),Projects!$B$14*Assumptions!$B$47,0)),Actuals!CY107)</f>
        <v>-0</v>
      </c>
      <c r="CY194" s="14" t="n">
        <f aca="false">IF(ISBLANK(Actuals!CZ107),-(IF(AND(Projects!$G$2="Yes",Projects!$J$2="Yes",Projects!$K$2="No",99=Projects!$C$2),Projects!$B$2*Assumptions!$B$47,0)+IF(AND(Projects!$G$3="Yes",Projects!$J$3="Yes",Projects!$K$3="No",99=Projects!$C$3),Projects!$B$3*Assumptions!$B$47,0)+IF(AND(Projects!$G$4="Yes",Projects!$J$4="Yes",Projects!$K$4="No",99=Projects!$C$4),Projects!$B$4*Assumptions!$B$47,0)+IF(AND(Projects!$G$5="Yes",Projects!$J$5="Yes",Projects!$K$5="No",99=Projects!$C$5),Projects!$B$5*Assumptions!$B$47,0)+IF(AND(Projects!$G$6="Yes",Projects!$J$6="Yes",Projects!$K$6="No",99=Projects!$C$6),Projects!$B$6*Assumptions!$B$47,0)+IF(AND(Projects!$G$7="Yes",Projects!$J$7="Yes",Projects!$K$7="No",99=Projects!$C$7),Projects!$B$7*Assumptions!$B$47,0)+IF(AND(Projects!$G$8="Yes",Projects!$J$8="Yes",Projects!$K$8="No",99=Projects!$C$8),Projects!$B$8*Assumptions!$B$47,0)+IF(AND(Projects!$G$9="Yes",Projects!$J$9="Yes",Projects!$K$9="No",99=Projects!$C$9),Projects!$B$9*Assumptions!$B$47,0)+IF(AND(Projects!$G$10="Yes",Projects!$J$10="Yes",Projects!$K$10="No",99=Projects!$C$10),Projects!$B$10*Assumptions!$B$47,0)+IF(AND(Projects!$G$11="Yes",Projects!$J$11="Yes",Projects!$K$11="No",99=Projects!$C$11),Projects!$B$11*Assumptions!$B$47,0)+IF(AND(Projects!$G$12="Yes",Projects!$J$12="Yes",Projects!$K$12="No",99=Projects!$C$12),Projects!$B$12*Assumptions!$B$47,0)+IF(AND(Projects!$G$13="Yes",Projects!$J$13="Yes",Projects!$K$13="No",99=Projects!$C$13),Projects!$B$13*Assumptions!$B$47,0)+IF(AND(Projects!$G$14="Yes",Projects!$J$14="Yes",Projects!$K$14="No",99=Projects!$C$14),Projects!$B$14*Assumptions!$B$47,0)),Actuals!CZ107)</f>
        <v>-0</v>
      </c>
      <c r="CZ194" s="14" t="n">
        <f aca="false">IF(ISBLANK(Actuals!DA107),-(IF(AND(Projects!$G$2="Yes",Projects!$J$2="Yes",Projects!$K$2="No",100=Projects!$C$2),Projects!$B$2*Assumptions!$B$47,0)+IF(AND(Projects!$G$3="Yes",Projects!$J$3="Yes",Projects!$K$3="No",100=Projects!$C$3),Projects!$B$3*Assumptions!$B$47,0)+IF(AND(Projects!$G$4="Yes",Projects!$J$4="Yes",Projects!$K$4="No",100=Projects!$C$4),Projects!$B$4*Assumptions!$B$47,0)+IF(AND(Projects!$G$5="Yes",Projects!$J$5="Yes",Projects!$K$5="No",100=Projects!$C$5),Projects!$B$5*Assumptions!$B$47,0)+IF(AND(Projects!$G$6="Yes",Projects!$J$6="Yes",Projects!$K$6="No",100=Projects!$C$6),Projects!$B$6*Assumptions!$B$47,0)+IF(AND(Projects!$G$7="Yes",Projects!$J$7="Yes",Projects!$K$7="No",100=Projects!$C$7),Projects!$B$7*Assumptions!$B$47,0)+IF(AND(Projects!$G$8="Yes",Projects!$J$8="Yes",Projects!$K$8="No",100=Projects!$C$8),Projects!$B$8*Assumptions!$B$47,0)+IF(AND(Projects!$G$9="Yes",Projects!$J$9="Yes",Projects!$K$9="No",100=Projects!$C$9),Projects!$B$9*Assumptions!$B$47,0)+IF(AND(Projects!$G$10="Yes",Projects!$J$10="Yes",Projects!$K$10="No",100=Projects!$C$10),Projects!$B$10*Assumptions!$B$47,0)+IF(AND(Projects!$G$11="Yes",Projects!$J$11="Yes",Projects!$K$11="No",100=Projects!$C$11),Projects!$B$11*Assumptions!$B$47,0)+IF(AND(Projects!$G$12="Yes",Projects!$J$12="Yes",Projects!$K$12="No",100=Projects!$C$12),Projects!$B$12*Assumptions!$B$47,0)+IF(AND(Projects!$G$13="Yes",Projects!$J$13="Yes",Projects!$K$13="No",100=Projects!$C$13),Projects!$B$13*Assumptions!$B$47,0)+IF(AND(Projects!$G$14="Yes",Projects!$J$14="Yes",Projects!$K$14="No",100=Projects!$C$14),Projects!$B$14*Assumptions!$B$47,0)),Actuals!DA107)</f>
        <v>-0</v>
      </c>
      <c r="DA194" s="14" t="n">
        <f aca="false">IF(ISBLANK(Actuals!DB107),-(IF(AND(Projects!$G$2="Yes",Projects!$J$2="Yes",Projects!$K$2="No",101=Projects!$C$2),Projects!$B$2*Assumptions!$B$47,0)+IF(AND(Projects!$G$3="Yes",Projects!$J$3="Yes",Projects!$K$3="No",101=Projects!$C$3),Projects!$B$3*Assumptions!$B$47,0)+IF(AND(Projects!$G$4="Yes",Projects!$J$4="Yes",Projects!$K$4="No",101=Projects!$C$4),Projects!$B$4*Assumptions!$B$47,0)+IF(AND(Projects!$G$5="Yes",Projects!$J$5="Yes",Projects!$K$5="No",101=Projects!$C$5),Projects!$B$5*Assumptions!$B$47,0)+IF(AND(Projects!$G$6="Yes",Projects!$J$6="Yes",Projects!$K$6="No",101=Projects!$C$6),Projects!$B$6*Assumptions!$B$47,0)+IF(AND(Projects!$G$7="Yes",Projects!$J$7="Yes",Projects!$K$7="No",101=Projects!$C$7),Projects!$B$7*Assumptions!$B$47,0)+IF(AND(Projects!$G$8="Yes",Projects!$J$8="Yes",Projects!$K$8="No",101=Projects!$C$8),Projects!$B$8*Assumptions!$B$47,0)+IF(AND(Projects!$G$9="Yes",Projects!$J$9="Yes",Projects!$K$9="No",101=Projects!$C$9),Projects!$B$9*Assumptions!$B$47,0)+IF(AND(Projects!$G$10="Yes",Projects!$J$10="Yes",Projects!$K$10="No",101=Projects!$C$10),Projects!$B$10*Assumptions!$B$47,0)+IF(AND(Projects!$G$11="Yes",Projects!$J$11="Yes",Projects!$K$11="No",101=Projects!$C$11),Projects!$B$11*Assumptions!$B$47,0)+IF(AND(Projects!$G$12="Yes",Projects!$J$12="Yes",Projects!$K$12="No",101=Projects!$C$12),Projects!$B$12*Assumptions!$B$47,0)+IF(AND(Projects!$G$13="Yes",Projects!$J$13="Yes",Projects!$K$13="No",101=Projects!$C$13),Projects!$B$13*Assumptions!$B$47,0)+IF(AND(Projects!$G$14="Yes",Projects!$J$14="Yes",Projects!$K$14="No",101=Projects!$C$14),Projects!$B$14*Assumptions!$B$47,0)),Actuals!DB107)</f>
        <v>-0</v>
      </c>
      <c r="DB194" s="14" t="n">
        <f aca="false">IF(ISBLANK(Actuals!DC107),-(IF(AND(Projects!$G$2="Yes",Projects!$J$2="Yes",Projects!$K$2="No",102=Projects!$C$2),Projects!$B$2*Assumptions!$B$47,0)+IF(AND(Projects!$G$3="Yes",Projects!$J$3="Yes",Projects!$K$3="No",102=Projects!$C$3),Projects!$B$3*Assumptions!$B$47,0)+IF(AND(Projects!$G$4="Yes",Projects!$J$4="Yes",Projects!$K$4="No",102=Projects!$C$4),Projects!$B$4*Assumptions!$B$47,0)+IF(AND(Projects!$G$5="Yes",Projects!$J$5="Yes",Projects!$K$5="No",102=Projects!$C$5),Projects!$B$5*Assumptions!$B$47,0)+IF(AND(Projects!$G$6="Yes",Projects!$J$6="Yes",Projects!$K$6="No",102=Projects!$C$6),Projects!$B$6*Assumptions!$B$47,0)+IF(AND(Projects!$G$7="Yes",Projects!$J$7="Yes",Projects!$K$7="No",102=Projects!$C$7),Projects!$B$7*Assumptions!$B$47,0)+IF(AND(Projects!$G$8="Yes",Projects!$J$8="Yes",Projects!$K$8="No",102=Projects!$C$8),Projects!$B$8*Assumptions!$B$47,0)+IF(AND(Projects!$G$9="Yes",Projects!$J$9="Yes",Projects!$K$9="No",102=Projects!$C$9),Projects!$B$9*Assumptions!$B$47,0)+IF(AND(Projects!$G$10="Yes",Projects!$J$10="Yes",Projects!$K$10="No",102=Projects!$C$10),Projects!$B$10*Assumptions!$B$47,0)+IF(AND(Projects!$G$11="Yes",Projects!$J$11="Yes",Projects!$K$11="No",102=Projects!$C$11),Projects!$B$11*Assumptions!$B$47,0)+IF(AND(Projects!$G$12="Yes",Projects!$J$12="Yes",Projects!$K$12="No",102=Projects!$C$12),Projects!$B$12*Assumptions!$B$47,0)+IF(AND(Projects!$G$13="Yes",Projects!$J$13="Yes",Projects!$K$13="No",102=Projects!$C$13),Projects!$B$13*Assumptions!$B$47,0)+IF(AND(Projects!$G$14="Yes",Projects!$J$14="Yes",Projects!$K$14="No",102=Projects!$C$14),Projects!$B$14*Assumptions!$B$47,0)),Actuals!DC107)</f>
        <v>-0</v>
      </c>
      <c r="DC194" s="14" t="n">
        <f aca="false">IF(ISBLANK(Actuals!DD107),-(IF(AND(Projects!$G$2="Yes",Projects!$J$2="Yes",Projects!$K$2="No",103=Projects!$C$2),Projects!$B$2*Assumptions!$B$47,0)+IF(AND(Projects!$G$3="Yes",Projects!$J$3="Yes",Projects!$K$3="No",103=Projects!$C$3),Projects!$B$3*Assumptions!$B$47,0)+IF(AND(Projects!$G$4="Yes",Projects!$J$4="Yes",Projects!$K$4="No",103=Projects!$C$4),Projects!$B$4*Assumptions!$B$47,0)+IF(AND(Projects!$G$5="Yes",Projects!$J$5="Yes",Projects!$K$5="No",103=Projects!$C$5),Projects!$B$5*Assumptions!$B$47,0)+IF(AND(Projects!$G$6="Yes",Projects!$J$6="Yes",Projects!$K$6="No",103=Projects!$C$6),Projects!$B$6*Assumptions!$B$47,0)+IF(AND(Projects!$G$7="Yes",Projects!$J$7="Yes",Projects!$K$7="No",103=Projects!$C$7),Projects!$B$7*Assumptions!$B$47,0)+IF(AND(Projects!$G$8="Yes",Projects!$J$8="Yes",Projects!$K$8="No",103=Projects!$C$8),Projects!$B$8*Assumptions!$B$47,0)+IF(AND(Projects!$G$9="Yes",Projects!$J$9="Yes",Projects!$K$9="No",103=Projects!$C$9),Projects!$B$9*Assumptions!$B$47,0)+IF(AND(Projects!$G$10="Yes",Projects!$J$10="Yes",Projects!$K$10="No",103=Projects!$C$10),Projects!$B$10*Assumptions!$B$47,0)+IF(AND(Projects!$G$11="Yes",Projects!$J$11="Yes",Projects!$K$11="No",103=Projects!$C$11),Projects!$B$11*Assumptions!$B$47,0)+IF(AND(Projects!$G$12="Yes",Projects!$J$12="Yes",Projects!$K$12="No",103=Projects!$C$12),Projects!$B$12*Assumptions!$B$47,0)+IF(AND(Projects!$G$13="Yes",Projects!$J$13="Yes",Projects!$K$13="No",103=Projects!$C$13),Projects!$B$13*Assumptions!$B$47,0)+IF(AND(Projects!$G$14="Yes",Projects!$J$14="Yes",Projects!$K$14="No",103=Projects!$C$14),Projects!$B$14*Assumptions!$B$47,0)),Actuals!DD107)</f>
        <v>-0</v>
      </c>
      <c r="DD194" s="14" t="n">
        <f aca="false">IF(ISBLANK(Actuals!DE107),-(IF(AND(Projects!$G$2="Yes",Projects!$J$2="Yes",Projects!$K$2="No",104=Projects!$C$2),Projects!$B$2*Assumptions!$B$47,0)+IF(AND(Projects!$G$3="Yes",Projects!$J$3="Yes",Projects!$K$3="No",104=Projects!$C$3),Projects!$B$3*Assumptions!$B$47,0)+IF(AND(Projects!$G$4="Yes",Projects!$J$4="Yes",Projects!$K$4="No",104=Projects!$C$4),Projects!$B$4*Assumptions!$B$47,0)+IF(AND(Projects!$G$5="Yes",Projects!$J$5="Yes",Projects!$K$5="No",104=Projects!$C$5),Projects!$B$5*Assumptions!$B$47,0)+IF(AND(Projects!$G$6="Yes",Projects!$J$6="Yes",Projects!$K$6="No",104=Projects!$C$6),Projects!$B$6*Assumptions!$B$47,0)+IF(AND(Projects!$G$7="Yes",Projects!$J$7="Yes",Projects!$K$7="No",104=Projects!$C$7),Projects!$B$7*Assumptions!$B$47,0)+IF(AND(Projects!$G$8="Yes",Projects!$J$8="Yes",Projects!$K$8="No",104=Projects!$C$8),Projects!$B$8*Assumptions!$B$47,0)+IF(AND(Projects!$G$9="Yes",Projects!$J$9="Yes",Projects!$K$9="No",104=Projects!$C$9),Projects!$B$9*Assumptions!$B$47,0)+IF(AND(Projects!$G$10="Yes",Projects!$J$10="Yes",Projects!$K$10="No",104=Projects!$C$10),Projects!$B$10*Assumptions!$B$47,0)+IF(AND(Projects!$G$11="Yes",Projects!$J$11="Yes",Projects!$K$11="No",104=Projects!$C$11),Projects!$B$11*Assumptions!$B$47,0)+IF(AND(Projects!$G$12="Yes",Projects!$J$12="Yes",Projects!$K$12="No",104=Projects!$C$12),Projects!$B$12*Assumptions!$B$47,0)+IF(AND(Projects!$G$13="Yes",Projects!$J$13="Yes",Projects!$K$13="No",104=Projects!$C$13),Projects!$B$13*Assumptions!$B$47,0)+IF(AND(Projects!$G$14="Yes",Projects!$J$14="Yes",Projects!$K$14="No",104=Projects!$C$14),Projects!$B$14*Assumptions!$B$47,0)),Actuals!DE107)</f>
        <v>-0</v>
      </c>
      <c r="DE194" s="14" t="n">
        <f aca="false">IF(ISBLANK(Actuals!DF107),-(IF(AND(Projects!$G$2="Yes",Projects!$J$2="Yes",Projects!$K$2="No",105=Projects!$C$2),Projects!$B$2*Assumptions!$B$47,0)+IF(AND(Projects!$G$3="Yes",Projects!$J$3="Yes",Projects!$K$3="No",105=Projects!$C$3),Projects!$B$3*Assumptions!$B$47,0)+IF(AND(Projects!$G$4="Yes",Projects!$J$4="Yes",Projects!$K$4="No",105=Projects!$C$4),Projects!$B$4*Assumptions!$B$47,0)+IF(AND(Projects!$G$5="Yes",Projects!$J$5="Yes",Projects!$K$5="No",105=Projects!$C$5),Projects!$B$5*Assumptions!$B$47,0)+IF(AND(Projects!$G$6="Yes",Projects!$J$6="Yes",Projects!$K$6="No",105=Projects!$C$6),Projects!$B$6*Assumptions!$B$47,0)+IF(AND(Projects!$G$7="Yes",Projects!$J$7="Yes",Projects!$K$7="No",105=Projects!$C$7),Projects!$B$7*Assumptions!$B$47,0)+IF(AND(Projects!$G$8="Yes",Projects!$J$8="Yes",Projects!$K$8="No",105=Projects!$C$8),Projects!$B$8*Assumptions!$B$47,0)+IF(AND(Projects!$G$9="Yes",Projects!$J$9="Yes",Projects!$K$9="No",105=Projects!$C$9),Projects!$B$9*Assumptions!$B$47,0)+IF(AND(Projects!$G$10="Yes",Projects!$J$10="Yes",Projects!$K$10="No",105=Projects!$C$10),Projects!$B$10*Assumptions!$B$47,0)+IF(AND(Projects!$G$11="Yes",Projects!$J$11="Yes",Projects!$K$11="No",105=Projects!$C$11),Projects!$B$11*Assumptions!$B$47,0)+IF(AND(Projects!$G$12="Yes",Projects!$J$12="Yes",Projects!$K$12="No",105=Projects!$C$12),Projects!$B$12*Assumptions!$B$47,0)+IF(AND(Projects!$G$13="Yes",Projects!$J$13="Yes",Projects!$K$13="No",105=Projects!$C$13),Projects!$B$13*Assumptions!$B$47,0)+IF(AND(Projects!$G$14="Yes",Projects!$J$14="Yes",Projects!$K$14="No",105=Projects!$C$14),Projects!$B$14*Assumptions!$B$47,0)),Actuals!DF107)</f>
        <v>-0</v>
      </c>
    </row>
    <row r="195" customFormat="false" ht="15" hidden="false" customHeight="true" outlineLevel="0" collapsed="false">
      <c r="A195" s="29" t="s">
        <v>128</v>
      </c>
      <c r="B195" s="14" t="n">
        <f aca="false">IF(ISBLANK(Actuals!C108),0,Actuals!C108)</f>
        <v>0</v>
      </c>
      <c r="C195" s="14" t="n">
        <f aca="false">IF(ISBLANK(Actuals!D108),0,Actuals!D108)</f>
        <v>0</v>
      </c>
      <c r="D195" s="14" t="n">
        <f aca="false">IF(ISBLANK(Actuals!E108),0,Actuals!E108)</f>
        <v>0</v>
      </c>
      <c r="E195" s="14" t="n">
        <f aca="false">IF(ISBLANK(Actuals!F108),-(IF(AND(Projects!$G$7="Yes",Projects!$K$7="No",1=Projects!$C$7,Assumptions!$B$53&gt;0),Assumptions!$B$53*Assumptions!$B$48,0)+IF(AND(Projects!$G$11="Yes",Projects!$K$11="No",1=Projects!$C$11,Assumptions!$B$51&gt;0),Assumptions!$B$51*Assumptions!$B$48,0)+IF(AND(Projects!$G$12="Yes",Projects!$K$12="No",1=Projects!$C$12,Assumptions!$B$52&gt;0),Assumptions!$B$52*Assumptions!$B$48,0)+IF(AND(Projects!$G$13="Yes",Projects!$K$13="No",1=Projects!$C$13,Assumptions!$B$54&gt;0),Assumptions!$B$54*Assumptions!$B$48,0)+IF(AND(Projects!$G$14="Yes",Projects!$K$14="No",1=Projects!$C$14,Assumptions!$B$55&gt;0),Assumptions!$B$55*Assumptions!$B$48,0)),Actuals!F108)</f>
        <v>-0</v>
      </c>
      <c r="F195" s="14" t="n">
        <f aca="false">IF(ISBLANK(Actuals!G108),-(IF(AND(Projects!$G$7="Yes",Projects!$K$7="No",2=Projects!$C$7,Assumptions!$B$53&gt;0),Assumptions!$B$53*Assumptions!$B$48,0)+IF(AND(Projects!$G$11="Yes",Projects!$K$11="No",2=Projects!$C$11,Assumptions!$B$51&gt;0),Assumptions!$B$51*Assumptions!$B$48,0)+IF(AND(Projects!$G$12="Yes",Projects!$K$12="No",2=Projects!$C$12,Assumptions!$B$52&gt;0),Assumptions!$B$52*Assumptions!$B$48,0)+IF(AND(Projects!$G$13="Yes",Projects!$K$13="No",2=Projects!$C$13,Assumptions!$B$54&gt;0),Assumptions!$B$54*Assumptions!$B$48,0)+IF(AND(Projects!$G$14="Yes",Projects!$K$14="No",2=Projects!$C$14,Assumptions!$B$55&gt;0),Assumptions!$B$55*Assumptions!$B$48,0)),Actuals!G108)</f>
        <v>-0</v>
      </c>
      <c r="G195" s="14" t="n">
        <f aca="false">IF(ISBLANK(Actuals!H108),-(IF(AND(Projects!$G$7="Yes",Projects!$K$7="No",3=Projects!$C$7,Assumptions!$B$53&gt;0),Assumptions!$B$53*Assumptions!$B$48,0)+IF(AND(Projects!$G$11="Yes",Projects!$K$11="No",3=Projects!$C$11,Assumptions!$B$51&gt;0),Assumptions!$B$51*Assumptions!$B$48,0)+IF(AND(Projects!$G$12="Yes",Projects!$K$12="No",3=Projects!$C$12,Assumptions!$B$52&gt;0),Assumptions!$B$52*Assumptions!$B$48,0)+IF(AND(Projects!$G$13="Yes",Projects!$K$13="No",3=Projects!$C$13,Assumptions!$B$54&gt;0),Assumptions!$B$54*Assumptions!$B$48,0)+IF(AND(Projects!$G$14="Yes",Projects!$K$14="No",3=Projects!$C$14,Assumptions!$B$55&gt;0),Assumptions!$B$55*Assumptions!$B$48,0)),Actuals!H108)</f>
        <v>-0</v>
      </c>
      <c r="H195" s="14" t="n">
        <f aca="false">IF(ISBLANK(Actuals!I108),-(IF(AND(Projects!$G$7="Yes",Projects!$K$7="No",4=Projects!$C$7,Assumptions!$B$53&gt;0),Assumptions!$B$53*Assumptions!$B$48,0)+IF(AND(Projects!$G$11="Yes",Projects!$K$11="No",4=Projects!$C$11,Assumptions!$B$51&gt;0),Assumptions!$B$51*Assumptions!$B$48,0)+IF(AND(Projects!$G$12="Yes",Projects!$K$12="No",4=Projects!$C$12,Assumptions!$B$52&gt;0),Assumptions!$B$52*Assumptions!$B$48,0)+IF(AND(Projects!$G$13="Yes",Projects!$K$13="No",4=Projects!$C$13,Assumptions!$B$54&gt;0),Assumptions!$B$54*Assumptions!$B$48,0)+IF(AND(Projects!$G$14="Yes",Projects!$K$14="No",4=Projects!$C$14,Assumptions!$B$55&gt;0),Assumptions!$B$55*Assumptions!$B$48,0)),Actuals!I108)</f>
        <v>-0</v>
      </c>
      <c r="I195" s="14" t="n">
        <f aca="false">IF(ISBLANK(Actuals!J108),-(IF(AND(Projects!$G$7="Yes",Projects!$K$7="No",5=Projects!$C$7,Assumptions!$B$53&gt;0),Assumptions!$B$53*Assumptions!$B$48,0)+IF(AND(Projects!$G$11="Yes",Projects!$K$11="No",5=Projects!$C$11,Assumptions!$B$51&gt;0),Assumptions!$B$51*Assumptions!$B$48,0)+IF(AND(Projects!$G$12="Yes",Projects!$K$12="No",5=Projects!$C$12,Assumptions!$B$52&gt;0),Assumptions!$B$52*Assumptions!$B$48,0)+IF(AND(Projects!$G$13="Yes",Projects!$K$13="No",5=Projects!$C$13,Assumptions!$B$54&gt;0),Assumptions!$B$54*Assumptions!$B$48,0)+IF(AND(Projects!$G$14="Yes",Projects!$K$14="No",5=Projects!$C$14,Assumptions!$B$55&gt;0),Assumptions!$B$55*Assumptions!$B$48,0)),Actuals!J108)</f>
        <v>-0</v>
      </c>
      <c r="J195" s="14" t="n">
        <f aca="false">IF(ISBLANK(Actuals!K108),-(IF(AND(Projects!$G$7="Yes",Projects!$K$7="No",6=Projects!$C$7,Assumptions!$B$53&gt;0),Assumptions!$B$53*Assumptions!$B$48,0)+IF(AND(Projects!$G$11="Yes",Projects!$K$11="No",6=Projects!$C$11,Assumptions!$B$51&gt;0),Assumptions!$B$51*Assumptions!$B$48,0)+IF(AND(Projects!$G$12="Yes",Projects!$K$12="No",6=Projects!$C$12,Assumptions!$B$52&gt;0),Assumptions!$B$52*Assumptions!$B$48,0)+IF(AND(Projects!$G$13="Yes",Projects!$K$13="No",6=Projects!$C$13,Assumptions!$B$54&gt;0),Assumptions!$B$54*Assumptions!$B$48,0)+IF(AND(Projects!$G$14="Yes",Projects!$K$14="No",6=Projects!$C$14,Assumptions!$B$55&gt;0),Assumptions!$B$55*Assumptions!$B$48,0)),Actuals!K108)</f>
        <v>-0</v>
      </c>
      <c r="K195" s="14" t="n">
        <f aca="false">IF(ISBLANK(Actuals!L108),-(IF(AND(Projects!$G$7="Yes",Projects!$K$7="No",7=Projects!$C$7,Assumptions!$B$53&gt;0),Assumptions!$B$53*Assumptions!$B$48,0)+IF(AND(Projects!$G$11="Yes",Projects!$K$11="No",7=Projects!$C$11,Assumptions!$B$51&gt;0),Assumptions!$B$51*Assumptions!$B$48,0)+IF(AND(Projects!$G$12="Yes",Projects!$K$12="No",7=Projects!$C$12,Assumptions!$B$52&gt;0),Assumptions!$B$52*Assumptions!$B$48,0)+IF(AND(Projects!$G$13="Yes",Projects!$K$13="No",7=Projects!$C$13,Assumptions!$B$54&gt;0),Assumptions!$B$54*Assumptions!$B$48,0)+IF(AND(Projects!$G$14="Yes",Projects!$K$14="No",7=Projects!$C$14,Assumptions!$B$55&gt;0),Assumptions!$B$55*Assumptions!$B$48,0)),Actuals!L108)</f>
        <v>-120000</v>
      </c>
      <c r="L195" s="14" t="n">
        <f aca="false">IF(ISBLANK(Actuals!M108),-(IF(AND(Projects!$G$7="Yes",Projects!$K$7="No",8=Projects!$C$7,Assumptions!$B$53&gt;0),Assumptions!$B$53*Assumptions!$B$48,0)+IF(AND(Projects!$G$11="Yes",Projects!$K$11="No",8=Projects!$C$11,Assumptions!$B$51&gt;0),Assumptions!$B$51*Assumptions!$B$48,0)+IF(AND(Projects!$G$12="Yes",Projects!$K$12="No",8=Projects!$C$12,Assumptions!$B$52&gt;0),Assumptions!$B$52*Assumptions!$B$48,0)+IF(AND(Projects!$G$13="Yes",Projects!$K$13="No",8=Projects!$C$13,Assumptions!$B$54&gt;0),Assumptions!$B$54*Assumptions!$B$48,0)+IF(AND(Projects!$G$14="Yes",Projects!$K$14="No",8=Projects!$C$14,Assumptions!$B$55&gt;0),Assumptions!$B$55*Assumptions!$B$48,0)),Actuals!M108)</f>
        <v>-0</v>
      </c>
      <c r="M195" s="14" t="n">
        <f aca="false">IF(ISBLANK(Actuals!N108),-(IF(AND(Projects!$G$7="Yes",Projects!$K$7="No",9=Projects!$C$7,Assumptions!$B$53&gt;0),Assumptions!$B$53*Assumptions!$B$48,0)+IF(AND(Projects!$G$11="Yes",Projects!$K$11="No",9=Projects!$C$11,Assumptions!$B$51&gt;0),Assumptions!$B$51*Assumptions!$B$48,0)+IF(AND(Projects!$G$12="Yes",Projects!$K$12="No",9=Projects!$C$12,Assumptions!$B$52&gt;0),Assumptions!$B$52*Assumptions!$B$48,0)+IF(AND(Projects!$G$13="Yes",Projects!$K$13="No",9=Projects!$C$13,Assumptions!$B$54&gt;0),Assumptions!$B$54*Assumptions!$B$48,0)+IF(AND(Projects!$G$14="Yes",Projects!$K$14="No",9=Projects!$C$14,Assumptions!$B$55&gt;0),Assumptions!$B$55*Assumptions!$B$48,0)),Actuals!N108)</f>
        <v>-0</v>
      </c>
      <c r="N195" s="14" t="n">
        <f aca="false">IF(ISBLANK(Actuals!O108),-(IF(AND(Projects!$G$7="Yes",Projects!$K$7="No",10=Projects!$C$7,Assumptions!$B$53&gt;0),Assumptions!$B$53*Assumptions!$B$48,0)+IF(AND(Projects!$G$11="Yes",Projects!$K$11="No",10=Projects!$C$11,Assumptions!$B$51&gt;0),Assumptions!$B$51*Assumptions!$B$48,0)+IF(AND(Projects!$G$12="Yes",Projects!$K$12="No",10=Projects!$C$12,Assumptions!$B$52&gt;0),Assumptions!$B$52*Assumptions!$B$48,0)+IF(AND(Projects!$G$13="Yes",Projects!$K$13="No",10=Projects!$C$13,Assumptions!$B$54&gt;0),Assumptions!$B$54*Assumptions!$B$48,0)+IF(AND(Projects!$G$14="Yes",Projects!$K$14="No",10=Projects!$C$14,Assumptions!$B$55&gt;0),Assumptions!$B$55*Assumptions!$B$48,0)),Actuals!O108)</f>
        <v>-0</v>
      </c>
      <c r="O195" s="14" t="n">
        <f aca="false">IF(ISBLANK(Actuals!P108),-(IF(AND(Projects!$G$7="Yes",Projects!$K$7="No",11=Projects!$C$7,Assumptions!$B$53&gt;0),Assumptions!$B$53*Assumptions!$B$48,0)+IF(AND(Projects!$G$11="Yes",Projects!$K$11="No",11=Projects!$C$11,Assumptions!$B$51&gt;0),Assumptions!$B$51*Assumptions!$B$48,0)+IF(AND(Projects!$G$12="Yes",Projects!$K$12="No",11=Projects!$C$12,Assumptions!$B$52&gt;0),Assumptions!$B$52*Assumptions!$B$48,0)+IF(AND(Projects!$G$13="Yes",Projects!$K$13="No",11=Projects!$C$13,Assumptions!$B$54&gt;0),Assumptions!$B$54*Assumptions!$B$48,0)+IF(AND(Projects!$G$14="Yes",Projects!$K$14="No",11=Projects!$C$14,Assumptions!$B$55&gt;0),Assumptions!$B$55*Assumptions!$B$48,0)),Actuals!P108)</f>
        <v>-0</v>
      </c>
      <c r="P195" s="14" t="n">
        <f aca="false">IF(ISBLANK(Actuals!Q108),-(IF(AND(Projects!$G$7="Yes",Projects!$K$7="No",12=Projects!$C$7,Assumptions!$B$53&gt;0),Assumptions!$B$53*Assumptions!$B$48,0)+IF(AND(Projects!$G$11="Yes",Projects!$K$11="No",12=Projects!$C$11,Assumptions!$B$51&gt;0),Assumptions!$B$51*Assumptions!$B$48,0)+IF(AND(Projects!$G$12="Yes",Projects!$K$12="No",12=Projects!$C$12,Assumptions!$B$52&gt;0),Assumptions!$B$52*Assumptions!$B$48,0)+IF(AND(Projects!$G$13="Yes",Projects!$K$13="No",12=Projects!$C$13,Assumptions!$B$54&gt;0),Assumptions!$B$54*Assumptions!$B$48,0)+IF(AND(Projects!$G$14="Yes",Projects!$K$14="No",12=Projects!$C$14,Assumptions!$B$55&gt;0),Assumptions!$B$55*Assumptions!$B$48,0)),Actuals!Q108)</f>
        <v>-0</v>
      </c>
      <c r="Q195" s="14" t="n">
        <f aca="false">IF(ISBLANK(Actuals!R108),-(IF(AND(Projects!$G$7="Yes",Projects!$K$7="No",13=Projects!$C$7,Assumptions!$B$53&gt;0),Assumptions!$B$53*Assumptions!$B$48,0)+IF(AND(Projects!$G$11="Yes",Projects!$K$11="No",13=Projects!$C$11,Assumptions!$B$51&gt;0),Assumptions!$B$51*Assumptions!$B$48,0)+IF(AND(Projects!$G$12="Yes",Projects!$K$12="No",13=Projects!$C$12,Assumptions!$B$52&gt;0),Assumptions!$B$52*Assumptions!$B$48,0)+IF(AND(Projects!$G$13="Yes",Projects!$K$13="No",13=Projects!$C$13,Assumptions!$B$54&gt;0),Assumptions!$B$54*Assumptions!$B$48,0)+IF(AND(Projects!$G$14="Yes",Projects!$K$14="No",13=Projects!$C$14,Assumptions!$B$55&gt;0),Assumptions!$B$55*Assumptions!$B$48,0)),Actuals!R108)</f>
        <v>-0</v>
      </c>
      <c r="R195" s="14" t="n">
        <f aca="false">IF(ISBLANK(Actuals!S108),-(IF(AND(Projects!$G$7="Yes",Projects!$K$7="No",14=Projects!$C$7,Assumptions!$B$53&gt;0),Assumptions!$B$53*Assumptions!$B$48,0)+IF(AND(Projects!$G$11="Yes",Projects!$K$11="No",14=Projects!$C$11,Assumptions!$B$51&gt;0),Assumptions!$B$51*Assumptions!$B$48,0)+IF(AND(Projects!$G$12="Yes",Projects!$K$12="No",14=Projects!$C$12,Assumptions!$B$52&gt;0),Assumptions!$B$52*Assumptions!$B$48,0)+IF(AND(Projects!$G$13="Yes",Projects!$K$13="No",14=Projects!$C$13,Assumptions!$B$54&gt;0),Assumptions!$B$54*Assumptions!$B$48,0)+IF(AND(Projects!$G$14="Yes",Projects!$K$14="No",14=Projects!$C$14,Assumptions!$B$55&gt;0),Assumptions!$B$55*Assumptions!$B$48,0)),Actuals!S108)</f>
        <v>-0</v>
      </c>
      <c r="S195" s="14" t="n">
        <f aca="false">IF(ISBLANK(Actuals!T108),-(IF(AND(Projects!$G$7="Yes",Projects!$K$7="No",15=Projects!$C$7,Assumptions!$B$53&gt;0),Assumptions!$B$53*Assumptions!$B$48,0)+IF(AND(Projects!$G$11="Yes",Projects!$K$11="No",15=Projects!$C$11,Assumptions!$B$51&gt;0),Assumptions!$B$51*Assumptions!$B$48,0)+IF(AND(Projects!$G$12="Yes",Projects!$K$12="No",15=Projects!$C$12,Assumptions!$B$52&gt;0),Assumptions!$B$52*Assumptions!$B$48,0)+IF(AND(Projects!$G$13="Yes",Projects!$K$13="No",15=Projects!$C$13,Assumptions!$B$54&gt;0),Assumptions!$B$54*Assumptions!$B$48,0)+IF(AND(Projects!$G$14="Yes",Projects!$K$14="No",15=Projects!$C$14,Assumptions!$B$55&gt;0),Assumptions!$B$55*Assumptions!$B$48,0)),Actuals!T108)</f>
        <v>-0</v>
      </c>
      <c r="T195" s="14" t="n">
        <f aca="false">IF(ISBLANK(Actuals!U108),-(IF(AND(Projects!$G$7="Yes",Projects!$K$7="No",16=Projects!$C$7,Assumptions!$B$53&gt;0),Assumptions!$B$53*Assumptions!$B$48,0)+IF(AND(Projects!$G$11="Yes",Projects!$K$11="No",16=Projects!$C$11,Assumptions!$B$51&gt;0),Assumptions!$B$51*Assumptions!$B$48,0)+IF(AND(Projects!$G$12="Yes",Projects!$K$12="No",16=Projects!$C$12,Assumptions!$B$52&gt;0),Assumptions!$B$52*Assumptions!$B$48,0)+IF(AND(Projects!$G$13="Yes",Projects!$K$13="No",16=Projects!$C$13,Assumptions!$B$54&gt;0),Assumptions!$B$54*Assumptions!$B$48,0)+IF(AND(Projects!$G$14="Yes",Projects!$K$14="No",16=Projects!$C$14,Assumptions!$B$55&gt;0),Assumptions!$B$55*Assumptions!$B$48,0)),Actuals!U108)</f>
        <v>-0</v>
      </c>
      <c r="U195" s="14" t="n">
        <f aca="false">IF(ISBLANK(Actuals!V108),-(IF(AND(Projects!$G$7="Yes",Projects!$K$7="No",17=Projects!$C$7,Assumptions!$B$53&gt;0),Assumptions!$B$53*Assumptions!$B$48,0)+IF(AND(Projects!$G$11="Yes",Projects!$K$11="No",17=Projects!$C$11,Assumptions!$B$51&gt;0),Assumptions!$B$51*Assumptions!$B$48,0)+IF(AND(Projects!$G$12="Yes",Projects!$K$12="No",17=Projects!$C$12,Assumptions!$B$52&gt;0),Assumptions!$B$52*Assumptions!$B$48,0)+IF(AND(Projects!$G$13="Yes",Projects!$K$13="No",17=Projects!$C$13,Assumptions!$B$54&gt;0),Assumptions!$B$54*Assumptions!$B$48,0)+IF(AND(Projects!$G$14="Yes",Projects!$K$14="No",17=Projects!$C$14,Assumptions!$B$55&gt;0),Assumptions!$B$55*Assumptions!$B$48,0)),Actuals!V108)</f>
        <v>-0</v>
      </c>
      <c r="V195" s="14" t="n">
        <f aca="false">IF(ISBLANK(Actuals!W108),-(IF(AND(Projects!$G$7="Yes",Projects!$K$7="No",18=Projects!$C$7,Assumptions!$B$53&gt;0),Assumptions!$B$53*Assumptions!$B$48,0)+IF(AND(Projects!$G$11="Yes",Projects!$K$11="No",18=Projects!$C$11,Assumptions!$B$51&gt;0),Assumptions!$B$51*Assumptions!$B$48,0)+IF(AND(Projects!$G$12="Yes",Projects!$K$12="No",18=Projects!$C$12,Assumptions!$B$52&gt;0),Assumptions!$B$52*Assumptions!$B$48,0)+IF(AND(Projects!$G$13="Yes",Projects!$K$13="No",18=Projects!$C$13,Assumptions!$B$54&gt;0),Assumptions!$B$54*Assumptions!$B$48,0)+IF(AND(Projects!$G$14="Yes",Projects!$K$14="No",18=Projects!$C$14,Assumptions!$B$55&gt;0),Assumptions!$B$55*Assumptions!$B$48,0)),Actuals!W108)</f>
        <v>-0</v>
      </c>
      <c r="W195" s="14" t="n">
        <f aca="false">IF(ISBLANK(Actuals!X108),-(IF(AND(Projects!$G$7="Yes",Projects!$K$7="No",19=Projects!$C$7,Assumptions!$B$53&gt;0),Assumptions!$B$53*Assumptions!$B$48,0)+IF(AND(Projects!$G$11="Yes",Projects!$K$11="No",19=Projects!$C$11,Assumptions!$B$51&gt;0),Assumptions!$B$51*Assumptions!$B$48,0)+IF(AND(Projects!$G$12="Yes",Projects!$K$12="No",19=Projects!$C$12,Assumptions!$B$52&gt;0),Assumptions!$B$52*Assumptions!$B$48,0)+IF(AND(Projects!$G$13="Yes",Projects!$K$13="No",19=Projects!$C$13,Assumptions!$B$54&gt;0),Assumptions!$B$54*Assumptions!$B$48,0)+IF(AND(Projects!$G$14="Yes",Projects!$K$14="No",19=Projects!$C$14,Assumptions!$B$55&gt;0),Assumptions!$B$55*Assumptions!$B$48,0)),Actuals!X108)</f>
        <v>-0</v>
      </c>
      <c r="X195" s="14" t="n">
        <f aca="false">IF(ISBLANK(Actuals!Y108),-(IF(AND(Projects!$G$7="Yes",Projects!$K$7="No",20=Projects!$C$7,Assumptions!$B$53&gt;0),Assumptions!$B$53*Assumptions!$B$48,0)+IF(AND(Projects!$G$11="Yes",Projects!$K$11="No",20=Projects!$C$11,Assumptions!$B$51&gt;0),Assumptions!$B$51*Assumptions!$B$48,0)+IF(AND(Projects!$G$12="Yes",Projects!$K$12="No",20=Projects!$C$12,Assumptions!$B$52&gt;0),Assumptions!$B$52*Assumptions!$B$48,0)+IF(AND(Projects!$G$13="Yes",Projects!$K$13="No",20=Projects!$C$13,Assumptions!$B$54&gt;0),Assumptions!$B$54*Assumptions!$B$48,0)+IF(AND(Projects!$G$14="Yes",Projects!$K$14="No",20=Projects!$C$14,Assumptions!$B$55&gt;0),Assumptions!$B$55*Assumptions!$B$48,0)),Actuals!Y108)</f>
        <v>-0</v>
      </c>
      <c r="Y195" s="14" t="n">
        <f aca="false">IF(ISBLANK(Actuals!Z108),-(IF(AND(Projects!$G$7="Yes",Projects!$K$7="No",21=Projects!$C$7,Assumptions!$B$53&gt;0),Assumptions!$B$53*Assumptions!$B$48,0)+IF(AND(Projects!$G$11="Yes",Projects!$K$11="No",21=Projects!$C$11,Assumptions!$B$51&gt;0),Assumptions!$B$51*Assumptions!$B$48,0)+IF(AND(Projects!$G$12="Yes",Projects!$K$12="No",21=Projects!$C$12,Assumptions!$B$52&gt;0),Assumptions!$B$52*Assumptions!$B$48,0)+IF(AND(Projects!$G$13="Yes",Projects!$K$13="No",21=Projects!$C$13,Assumptions!$B$54&gt;0),Assumptions!$B$54*Assumptions!$B$48,0)+IF(AND(Projects!$G$14="Yes",Projects!$K$14="No",21=Projects!$C$14,Assumptions!$B$55&gt;0),Assumptions!$B$55*Assumptions!$B$48,0)),Actuals!Z108)</f>
        <v>-0</v>
      </c>
      <c r="Z195" s="14" t="n">
        <f aca="false">IF(ISBLANK(Actuals!AA108),-(IF(AND(Projects!$G$7="Yes",Projects!$K$7="No",22=Projects!$C$7,Assumptions!$B$53&gt;0),Assumptions!$B$53*Assumptions!$B$48,0)+IF(AND(Projects!$G$11="Yes",Projects!$K$11="No",22=Projects!$C$11,Assumptions!$B$51&gt;0),Assumptions!$B$51*Assumptions!$B$48,0)+IF(AND(Projects!$G$12="Yes",Projects!$K$12="No",22=Projects!$C$12,Assumptions!$B$52&gt;0),Assumptions!$B$52*Assumptions!$B$48,0)+IF(AND(Projects!$G$13="Yes",Projects!$K$13="No",22=Projects!$C$13,Assumptions!$B$54&gt;0),Assumptions!$B$54*Assumptions!$B$48,0)+IF(AND(Projects!$G$14="Yes",Projects!$K$14="No",22=Projects!$C$14,Assumptions!$B$55&gt;0),Assumptions!$B$55*Assumptions!$B$48,0)),Actuals!AA108)</f>
        <v>-0</v>
      </c>
      <c r="AA195" s="14" t="n">
        <f aca="false">IF(ISBLANK(Actuals!AB108),-(IF(AND(Projects!$G$7="Yes",Projects!$K$7="No",23=Projects!$C$7,Assumptions!$B$53&gt;0),Assumptions!$B$53*Assumptions!$B$48,0)+IF(AND(Projects!$G$11="Yes",Projects!$K$11="No",23=Projects!$C$11,Assumptions!$B$51&gt;0),Assumptions!$B$51*Assumptions!$B$48,0)+IF(AND(Projects!$G$12="Yes",Projects!$K$12="No",23=Projects!$C$12,Assumptions!$B$52&gt;0),Assumptions!$B$52*Assumptions!$B$48,0)+IF(AND(Projects!$G$13="Yes",Projects!$K$13="No",23=Projects!$C$13,Assumptions!$B$54&gt;0),Assumptions!$B$54*Assumptions!$B$48,0)+IF(AND(Projects!$G$14="Yes",Projects!$K$14="No",23=Projects!$C$14,Assumptions!$B$55&gt;0),Assumptions!$B$55*Assumptions!$B$48,0)),Actuals!AB108)</f>
        <v>-0</v>
      </c>
      <c r="AB195" s="14" t="n">
        <f aca="false">IF(ISBLANK(Actuals!AC108),-(IF(AND(Projects!$G$7="Yes",Projects!$K$7="No",24=Projects!$C$7,Assumptions!$B$53&gt;0),Assumptions!$B$53*Assumptions!$B$48,0)+IF(AND(Projects!$G$11="Yes",Projects!$K$11="No",24=Projects!$C$11,Assumptions!$B$51&gt;0),Assumptions!$B$51*Assumptions!$B$48,0)+IF(AND(Projects!$G$12="Yes",Projects!$K$12="No",24=Projects!$C$12,Assumptions!$B$52&gt;0),Assumptions!$B$52*Assumptions!$B$48,0)+IF(AND(Projects!$G$13="Yes",Projects!$K$13="No",24=Projects!$C$13,Assumptions!$B$54&gt;0),Assumptions!$B$54*Assumptions!$B$48,0)+IF(AND(Projects!$G$14="Yes",Projects!$K$14="No",24=Projects!$C$14,Assumptions!$B$55&gt;0),Assumptions!$B$55*Assumptions!$B$48,0)),Actuals!AC108)</f>
        <v>-0</v>
      </c>
      <c r="AC195" s="14" t="n">
        <f aca="false">IF(ISBLANK(Actuals!AD108),-(IF(AND(Projects!$G$7="Yes",Projects!$K$7="No",25=Projects!$C$7,Assumptions!$B$53&gt;0),Assumptions!$B$53*Assumptions!$B$48,0)+IF(AND(Projects!$G$11="Yes",Projects!$K$11="No",25=Projects!$C$11,Assumptions!$B$51&gt;0),Assumptions!$B$51*Assumptions!$B$48,0)+IF(AND(Projects!$G$12="Yes",Projects!$K$12="No",25=Projects!$C$12,Assumptions!$B$52&gt;0),Assumptions!$B$52*Assumptions!$B$48,0)+IF(AND(Projects!$G$13="Yes",Projects!$K$13="No",25=Projects!$C$13,Assumptions!$B$54&gt;0),Assumptions!$B$54*Assumptions!$B$48,0)+IF(AND(Projects!$G$14="Yes",Projects!$K$14="No",25=Projects!$C$14,Assumptions!$B$55&gt;0),Assumptions!$B$55*Assumptions!$B$48,0)),Actuals!AD108)</f>
        <v>-0</v>
      </c>
      <c r="AD195" s="14" t="n">
        <f aca="false">IF(ISBLANK(Actuals!AE108),-(IF(AND(Projects!$G$7="Yes",Projects!$K$7="No",26=Projects!$C$7,Assumptions!$B$53&gt;0),Assumptions!$B$53*Assumptions!$B$48,0)+IF(AND(Projects!$G$11="Yes",Projects!$K$11="No",26=Projects!$C$11,Assumptions!$B$51&gt;0),Assumptions!$B$51*Assumptions!$B$48,0)+IF(AND(Projects!$G$12="Yes",Projects!$K$12="No",26=Projects!$C$12,Assumptions!$B$52&gt;0),Assumptions!$B$52*Assumptions!$B$48,0)+IF(AND(Projects!$G$13="Yes",Projects!$K$13="No",26=Projects!$C$13,Assumptions!$B$54&gt;0),Assumptions!$B$54*Assumptions!$B$48,0)+IF(AND(Projects!$G$14="Yes",Projects!$K$14="No",26=Projects!$C$14,Assumptions!$B$55&gt;0),Assumptions!$B$55*Assumptions!$B$48,0)),Actuals!AE108)</f>
        <v>-0</v>
      </c>
      <c r="AE195" s="14" t="n">
        <f aca="false">IF(ISBLANK(Actuals!AF108),-(IF(AND(Projects!$G$7="Yes",Projects!$K$7="No",27=Projects!$C$7,Assumptions!$B$53&gt;0),Assumptions!$B$53*Assumptions!$B$48,0)+IF(AND(Projects!$G$11="Yes",Projects!$K$11="No",27=Projects!$C$11,Assumptions!$B$51&gt;0),Assumptions!$B$51*Assumptions!$B$48,0)+IF(AND(Projects!$G$12="Yes",Projects!$K$12="No",27=Projects!$C$12,Assumptions!$B$52&gt;0),Assumptions!$B$52*Assumptions!$B$48,0)+IF(AND(Projects!$G$13="Yes",Projects!$K$13="No",27=Projects!$C$13,Assumptions!$B$54&gt;0),Assumptions!$B$54*Assumptions!$B$48,0)+IF(AND(Projects!$G$14="Yes",Projects!$K$14="No",27=Projects!$C$14,Assumptions!$B$55&gt;0),Assumptions!$B$55*Assumptions!$B$48,0)),Actuals!AF108)</f>
        <v>-0</v>
      </c>
      <c r="AF195" s="14" t="n">
        <f aca="false">IF(ISBLANK(Actuals!AG108),-(IF(AND(Projects!$G$7="Yes",Projects!$K$7="No",28=Projects!$C$7,Assumptions!$B$53&gt;0),Assumptions!$B$53*Assumptions!$B$48,0)+IF(AND(Projects!$G$11="Yes",Projects!$K$11="No",28=Projects!$C$11,Assumptions!$B$51&gt;0),Assumptions!$B$51*Assumptions!$B$48,0)+IF(AND(Projects!$G$12="Yes",Projects!$K$12="No",28=Projects!$C$12,Assumptions!$B$52&gt;0),Assumptions!$B$52*Assumptions!$B$48,0)+IF(AND(Projects!$G$13="Yes",Projects!$K$13="No",28=Projects!$C$13,Assumptions!$B$54&gt;0),Assumptions!$B$54*Assumptions!$B$48,0)+IF(AND(Projects!$G$14="Yes",Projects!$K$14="No",28=Projects!$C$14,Assumptions!$B$55&gt;0),Assumptions!$B$55*Assumptions!$B$48,0)),Actuals!AG108)</f>
        <v>-0</v>
      </c>
      <c r="AG195" s="14" t="n">
        <f aca="false">IF(ISBLANK(Actuals!AH108),-(IF(AND(Projects!$G$7="Yes",Projects!$K$7="No",29=Projects!$C$7,Assumptions!$B$53&gt;0),Assumptions!$B$53*Assumptions!$B$48,0)+IF(AND(Projects!$G$11="Yes",Projects!$K$11="No",29=Projects!$C$11,Assumptions!$B$51&gt;0),Assumptions!$B$51*Assumptions!$B$48,0)+IF(AND(Projects!$G$12="Yes",Projects!$K$12="No",29=Projects!$C$12,Assumptions!$B$52&gt;0),Assumptions!$B$52*Assumptions!$B$48,0)+IF(AND(Projects!$G$13="Yes",Projects!$K$13="No",29=Projects!$C$13,Assumptions!$B$54&gt;0),Assumptions!$B$54*Assumptions!$B$48,0)+IF(AND(Projects!$G$14="Yes",Projects!$K$14="No",29=Projects!$C$14,Assumptions!$B$55&gt;0),Assumptions!$B$55*Assumptions!$B$48,0)),Actuals!AH108)</f>
        <v>-0</v>
      </c>
      <c r="AH195" s="14" t="n">
        <f aca="false">IF(ISBLANK(Actuals!AI108),-(IF(AND(Projects!$G$7="Yes",Projects!$K$7="No",30=Projects!$C$7,Assumptions!$B$53&gt;0),Assumptions!$B$53*Assumptions!$B$48,0)+IF(AND(Projects!$G$11="Yes",Projects!$K$11="No",30=Projects!$C$11,Assumptions!$B$51&gt;0),Assumptions!$B$51*Assumptions!$B$48,0)+IF(AND(Projects!$G$12="Yes",Projects!$K$12="No",30=Projects!$C$12,Assumptions!$B$52&gt;0),Assumptions!$B$52*Assumptions!$B$48,0)+IF(AND(Projects!$G$13="Yes",Projects!$K$13="No",30=Projects!$C$13,Assumptions!$B$54&gt;0),Assumptions!$B$54*Assumptions!$B$48,0)+IF(AND(Projects!$G$14="Yes",Projects!$K$14="No",30=Projects!$C$14,Assumptions!$B$55&gt;0),Assumptions!$B$55*Assumptions!$B$48,0)),Actuals!AI108)</f>
        <v>-0</v>
      </c>
      <c r="AI195" s="14" t="n">
        <f aca="false">IF(ISBLANK(Actuals!AJ108),-(IF(AND(Projects!$G$7="Yes",Projects!$K$7="No",31=Projects!$C$7,Assumptions!$B$53&gt;0),Assumptions!$B$53*Assumptions!$B$48,0)+IF(AND(Projects!$G$11="Yes",Projects!$K$11="No",31=Projects!$C$11,Assumptions!$B$51&gt;0),Assumptions!$B$51*Assumptions!$B$48,0)+IF(AND(Projects!$G$12="Yes",Projects!$K$12="No",31=Projects!$C$12,Assumptions!$B$52&gt;0),Assumptions!$B$52*Assumptions!$B$48,0)+IF(AND(Projects!$G$13="Yes",Projects!$K$13="No",31=Projects!$C$13,Assumptions!$B$54&gt;0),Assumptions!$B$54*Assumptions!$B$48,0)+IF(AND(Projects!$G$14="Yes",Projects!$K$14="No",31=Projects!$C$14,Assumptions!$B$55&gt;0),Assumptions!$B$55*Assumptions!$B$48,0)),Actuals!AJ108)</f>
        <v>-0</v>
      </c>
      <c r="AJ195" s="14" t="n">
        <f aca="false">IF(ISBLANK(Actuals!AK108),-(IF(AND(Projects!$G$7="Yes",Projects!$K$7="No",32=Projects!$C$7,Assumptions!$B$53&gt;0),Assumptions!$B$53*Assumptions!$B$48,0)+IF(AND(Projects!$G$11="Yes",Projects!$K$11="No",32=Projects!$C$11,Assumptions!$B$51&gt;0),Assumptions!$B$51*Assumptions!$B$48,0)+IF(AND(Projects!$G$12="Yes",Projects!$K$12="No",32=Projects!$C$12,Assumptions!$B$52&gt;0),Assumptions!$B$52*Assumptions!$B$48,0)+IF(AND(Projects!$G$13="Yes",Projects!$K$13="No",32=Projects!$C$13,Assumptions!$B$54&gt;0),Assumptions!$B$54*Assumptions!$B$48,0)+IF(AND(Projects!$G$14="Yes",Projects!$K$14="No",32=Projects!$C$14,Assumptions!$B$55&gt;0),Assumptions!$B$55*Assumptions!$B$48,0)),Actuals!AK108)</f>
        <v>-0</v>
      </c>
      <c r="AK195" s="14" t="n">
        <f aca="false">IF(ISBLANK(Actuals!AL108),-(IF(AND(Projects!$G$7="Yes",Projects!$K$7="No",33=Projects!$C$7,Assumptions!$B$53&gt;0),Assumptions!$B$53*Assumptions!$B$48,0)+IF(AND(Projects!$G$11="Yes",Projects!$K$11="No",33=Projects!$C$11,Assumptions!$B$51&gt;0),Assumptions!$B$51*Assumptions!$B$48,0)+IF(AND(Projects!$G$12="Yes",Projects!$K$12="No",33=Projects!$C$12,Assumptions!$B$52&gt;0),Assumptions!$B$52*Assumptions!$B$48,0)+IF(AND(Projects!$G$13="Yes",Projects!$K$13="No",33=Projects!$C$13,Assumptions!$B$54&gt;0),Assumptions!$B$54*Assumptions!$B$48,0)+IF(AND(Projects!$G$14="Yes",Projects!$K$14="No",33=Projects!$C$14,Assumptions!$B$55&gt;0),Assumptions!$B$55*Assumptions!$B$48,0)),Actuals!AL108)</f>
        <v>-0</v>
      </c>
      <c r="AL195" s="14" t="n">
        <f aca="false">IF(ISBLANK(Actuals!AM108),-(IF(AND(Projects!$G$7="Yes",Projects!$K$7="No",34=Projects!$C$7,Assumptions!$B$53&gt;0),Assumptions!$B$53*Assumptions!$B$48,0)+IF(AND(Projects!$G$11="Yes",Projects!$K$11="No",34=Projects!$C$11,Assumptions!$B$51&gt;0),Assumptions!$B$51*Assumptions!$B$48,0)+IF(AND(Projects!$G$12="Yes",Projects!$K$12="No",34=Projects!$C$12,Assumptions!$B$52&gt;0),Assumptions!$B$52*Assumptions!$B$48,0)+IF(AND(Projects!$G$13="Yes",Projects!$K$13="No",34=Projects!$C$13,Assumptions!$B$54&gt;0),Assumptions!$B$54*Assumptions!$B$48,0)+IF(AND(Projects!$G$14="Yes",Projects!$K$14="No",34=Projects!$C$14,Assumptions!$B$55&gt;0),Assumptions!$B$55*Assumptions!$B$48,0)),Actuals!AM108)</f>
        <v>-0</v>
      </c>
      <c r="AM195" s="14" t="n">
        <f aca="false">IF(ISBLANK(Actuals!AN108),-(IF(AND(Projects!$G$7="Yes",Projects!$K$7="No",35=Projects!$C$7,Assumptions!$B$53&gt;0),Assumptions!$B$53*Assumptions!$B$48,0)+IF(AND(Projects!$G$11="Yes",Projects!$K$11="No",35=Projects!$C$11,Assumptions!$B$51&gt;0),Assumptions!$B$51*Assumptions!$B$48,0)+IF(AND(Projects!$G$12="Yes",Projects!$K$12="No",35=Projects!$C$12,Assumptions!$B$52&gt;0),Assumptions!$B$52*Assumptions!$B$48,0)+IF(AND(Projects!$G$13="Yes",Projects!$K$13="No",35=Projects!$C$13,Assumptions!$B$54&gt;0),Assumptions!$B$54*Assumptions!$B$48,0)+IF(AND(Projects!$G$14="Yes",Projects!$K$14="No",35=Projects!$C$14,Assumptions!$B$55&gt;0),Assumptions!$B$55*Assumptions!$B$48,0)),Actuals!AN108)</f>
        <v>-0</v>
      </c>
      <c r="AN195" s="14" t="n">
        <f aca="false">IF(ISBLANK(Actuals!AO108),-(IF(AND(Projects!$G$7="Yes",Projects!$K$7="No",36=Projects!$C$7,Assumptions!$B$53&gt;0),Assumptions!$B$53*Assumptions!$B$48,0)+IF(AND(Projects!$G$11="Yes",Projects!$K$11="No",36=Projects!$C$11,Assumptions!$B$51&gt;0),Assumptions!$B$51*Assumptions!$B$48,0)+IF(AND(Projects!$G$12="Yes",Projects!$K$12="No",36=Projects!$C$12,Assumptions!$B$52&gt;0),Assumptions!$B$52*Assumptions!$B$48,0)+IF(AND(Projects!$G$13="Yes",Projects!$K$13="No",36=Projects!$C$13,Assumptions!$B$54&gt;0),Assumptions!$B$54*Assumptions!$B$48,0)+IF(AND(Projects!$G$14="Yes",Projects!$K$14="No",36=Projects!$C$14,Assumptions!$B$55&gt;0),Assumptions!$B$55*Assumptions!$B$48,0)),Actuals!AO108)</f>
        <v>-0</v>
      </c>
      <c r="AO195" s="14" t="n">
        <f aca="false">IF(ISBLANK(Actuals!AP108),-(IF(AND(Projects!$G$7="Yes",Projects!$K$7="No",37=Projects!$C$7,Assumptions!$B$53&gt;0),Assumptions!$B$53*Assumptions!$B$48,0)+IF(AND(Projects!$G$11="Yes",Projects!$K$11="No",37=Projects!$C$11,Assumptions!$B$51&gt;0),Assumptions!$B$51*Assumptions!$B$48,0)+IF(AND(Projects!$G$12="Yes",Projects!$K$12="No",37=Projects!$C$12,Assumptions!$B$52&gt;0),Assumptions!$B$52*Assumptions!$B$48,0)+IF(AND(Projects!$G$13="Yes",Projects!$K$13="No",37=Projects!$C$13,Assumptions!$B$54&gt;0),Assumptions!$B$54*Assumptions!$B$48,0)+IF(AND(Projects!$G$14="Yes",Projects!$K$14="No",37=Projects!$C$14,Assumptions!$B$55&gt;0),Assumptions!$B$55*Assumptions!$B$48,0)),Actuals!AP108)</f>
        <v>-0</v>
      </c>
      <c r="AP195" s="14" t="n">
        <f aca="false">IF(ISBLANK(Actuals!AQ108),-(IF(AND(Projects!$G$7="Yes",Projects!$K$7="No",38=Projects!$C$7,Assumptions!$B$53&gt;0),Assumptions!$B$53*Assumptions!$B$48,0)+IF(AND(Projects!$G$11="Yes",Projects!$K$11="No",38=Projects!$C$11,Assumptions!$B$51&gt;0),Assumptions!$B$51*Assumptions!$B$48,0)+IF(AND(Projects!$G$12="Yes",Projects!$K$12="No",38=Projects!$C$12,Assumptions!$B$52&gt;0),Assumptions!$B$52*Assumptions!$B$48,0)+IF(AND(Projects!$G$13="Yes",Projects!$K$13="No",38=Projects!$C$13,Assumptions!$B$54&gt;0),Assumptions!$B$54*Assumptions!$B$48,0)+IF(AND(Projects!$G$14="Yes",Projects!$K$14="No",38=Projects!$C$14,Assumptions!$B$55&gt;0),Assumptions!$B$55*Assumptions!$B$48,0)),Actuals!AQ108)</f>
        <v>-0</v>
      </c>
      <c r="AQ195" s="14" t="n">
        <f aca="false">IF(ISBLANK(Actuals!AR108),-(IF(AND(Projects!$G$7="Yes",Projects!$K$7="No",39=Projects!$C$7,Assumptions!$B$53&gt;0),Assumptions!$B$53*Assumptions!$B$48,0)+IF(AND(Projects!$G$11="Yes",Projects!$K$11="No",39=Projects!$C$11,Assumptions!$B$51&gt;0),Assumptions!$B$51*Assumptions!$B$48,0)+IF(AND(Projects!$G$12="Yes",Projects!$K$12="No",39=Projects!$C$12,Assumptions!$B$52&gt;0),Assumptions!$B$52*Assumptions!$B$48,0)+IF(AND(Projects!$G$13="Yes",Projects!$K$13="No",39=Projects!$C$13,Assumptions!$B$54&gt;0),Assumptions!$B$54*Assumptions!$B$48,0)+IF(AND(Projects!$G$14="Yes",Projects!$K$14="No",39=Projects!$C$14,Assumptions!$B$55&gt;0),Assumptions!$B$55*Assumptions!$B$48,0)),Actuals!AR108)</f>
        <v>-0</v>
      </c>
      <c r="AR195" s="14" t="n">
        <f aca="false">IF(ISBLANK(Actuals!AS108),-(IF(AND(Projects!$G$7="Yes",Projects!$K$7="No",40=Projects!$C$7,Assumptions!$B$53&gt;0),Assumptions!$B$53*Assumptions!$B$48,0)+IF(AND(Projects!$G$11="Yes",Projects!$K$11="No",40=Projects!$C$11,Assumptions!$B$51&gt;0),Assumptions!$B$51*Assumptions!$B$48,0)+IF(AND(Projects!$G$12="Yes",Projects!$K$12="No",40=Projects!$C$12,Assumptions!$B$52&gt;0),Assumptions!$B$52*Assumptions!$B$48,0)+IF(AND(Projects!$G$13="Yes",Projects!$K$13="No",40=Projects!$C$13,Assumptions!$B$54&gt;0),Assumptions!$B$54*Assumptions!$B$48,0)+IF(AND(Projects!$G$14="Yes",Projects!$K$14="No",40=Projects!$C$14,Assumptions!$B$55&gt;0),Assumptions!$B$55*Assumptions!$B$48,0)),Actuals!AS108)</f>
        <v>-0</v>
      </c>
      <c r="AS195" s="14" t="n">
        <f aca="false">IF(ISBLANK(Actuals!AT108),-(IF(AND(Projects!$G$7="Yes",Projects!$K$7="No",41=Projects!$C$7,Assumptions!$B$53&gt;0),Assumptions!$B$53*Assumptions!$B$48,0)+IF(AND(Projects!$G$11="Yes",Projects!$K$11="No",41=Projects!$C$11,Assumptions!$B$51&gt;0),Assumptions!$B$51*Assumptions!$B$48,0)+IF(AND(Projects!$G$12="Yes",Projects!$K$12="No",41=Projects!$C$12,Assumptions!$B$52&gt;0),Assumptions!$B$52*Assumptions!$B$48,0)+IF(AND(Projects!$G$13="Yes",Projects!$K$13="No",41=Projects!$C$13,Assumptions!$B$54&gt;0),Assumptions!$B$54*Assumptions!$B$48,0)+IF(AND(Projects!$G$14="Yes",Projects!$K$14="No",41=Projects!$C$14,Assumptions!$B$55&gt;0),Assumptions!$B$55*Assumptions!$B$48,0)),Actuals!AT108)</f>
        <v>-0</v>
      </c>
      <c r="AT195" s="14" t="n">
        <f aca="false">IF(ISBLANK(Actuals!AU108),-(IF(AND(Projects!$G$7="Yes",Projects!$K$7="No",42=Projects!$C$7,Assumptions!$B$53&gt;0),Assumptions!$B$53*Assumptions!$B$48,0)+IF(AND(Projects!$G$11="Yes",Projects!$K$11="No",42=Projects!$C$11,Assumptions!$B$51&gt;0),Assumptions!$B$51*Assumptions!$B$48,0)+IF(AND(Projects!$G$12="Yes",Projects!$K$12="No",42=Projects!$C$12,Assumptions!$B$52&gt;0),Assumptions!$B$52*Assumptions!$B$48,0)+IF(AND(Projects!$G$13="Yes",Projects!$K$13="No",42=Projects!$C$13,Assumptions!$B$54&gt;0),Assumptions!$B$54*Assumptions!$B$48,0)+IF(AND(Projects!$G$14="Yes",Projects!$K$14="No",42=Projects!$C$14,Assumptions!$B$55&gt;0),Assumptions!$B$55*Assumptions!$B$48,0)),Actuals!AU108)</f>
        <v>-0</v>
      </c>
      <c r="AU195" s="14" t="n">
        <f aca="false">IF(ISBLANK(Actuals!AV108),-(IF(AND(Projects!$G$7="Yes",Projects!$K$7="No",43=Projects!$C$7,Assumptions!$B$53&gt;0),Assumptions!$B$53*Assumptions!$B$48,0)+IF(AND(Projects!$G$11="Yes",Projects!$K$11="No",43=Projects!$C$11,Assumptions!$B$51&gt;0),Assumptions!$B$51*Assumptions!$B$48,0)+IF(AND(Projects!$G$12="Yes",Projects!$K$12="No",43=Projects!$C$12,Assumptions!$B$52&gt;0),Assumptions!$B$52*Assumptions!$B$48,0)+IF(AND(Projects!$G$13="Yes",Projects!$K$13="No",43=Projects!$C$13,Assumptions!$B$54&gt;0),Assumptions!$B$54*Assumptions!$B$48,0)+IF(AND(Projects!$G$14="Yes",Projects!$K$14="No",43=Projects!$C$14,Assumptions!$B$55&gt;0),Assumptions!$B$55*Assumptions!$B$48,0)),Actuals!AV108)</f>
        <v>-0</v>
      </c>
      <c r="AV195" s="14" t="n">
        <f aca="false">IF(ISBLANK(Actuals!AW108),-(IF(AND(Projects!$G$7="Yes",Projects!$K$7="No",44=Projects!$C$7,Assumptions!$B$53&gt;0),Assumptions!$B$53*Assumptions!$B$48,0)+IF(AND(Projects!$G$11="Yes",Projects!$K$11="No",44=Projects!$C$11,Assumptions!$B$51&gt;0),Assumptions!$B$51*Assumptions!$B$48,0)+IF(AND(Projects!$G$12="Yes",Projects!$K$12="No",44=Projects!$C$12,Assumptions!$B$52&gt;0),Assumptions!$B$52*Assumptions!$B$48,0)+IF(AND(Projects!$G$13="Yes",Projects!$K$13="No",44=Projects!$C$13,Assumptions!$B$54&gt;0),Assumptions!$B$54*Assumptions!$B$48,0)+IF(AND(Projects!$G$14="Yes",Projects!$K$14="No",44=Projects!$C$14,Assumptions!$B$55&gt;0),Assumptions!$B$55*Assumptions!$B$48,0)),Actuals!AW108)</f>
        <v>-0</v>
      </c>
      <c r="AW195" s="14" t="n">
        <f aca="false">IF(ISBLANK(Actuals!AX108),-(IF(AND(Projects!$G$7="Yes",Projects!$K$7="No",45=Projects!$C$7,Assumptions!$B$53&gt;0),Assumptions!$B$53*Assumptions!$B$48,0)+IF(AND(Projects!$G$11="Yes",Projects!$K$11="No",45=Projects!$C$11,Assumptions!$B$51&gt;0),Assumptions!$B$51*Assumptions!$B$48,0)+IF(AND(Projects!$G$12="Yes",Projects!$K$12="No",45=Projects!$C$12,Assumptions!$B$52&gt;0),Assumptions!$B$52*Assumptions!$B$48,0)+IF(AND(Projects!$G$13="Yes",Projects!$K$13="No",45=Projects!$C$13,Assumptions!$B$54&gt;0),Assumptions!$B$54*Assumptions!$B$48,0)+IF(AND(Projects!$G$14="Yes",Projects!$K$14="No",45=Projects!$C$14,Assumptions!$B$55&gt;0),Assumptions!$B$55*Assumptions!$B$48,0)),Actuals!AX108)</f>
        <v>-0</v>
      </c>
      <c r="AX195" s="14" t="n">
        <f aca="false">IF(ISBLANK(Actuals!AY108),-(IF(AND(Projects!$G$7="Yes",Projects!$K$7="No",46=Projects!$C$7,Assumptions!$B$53&gt;0),Assumptions!$B$53*Assumptions!$B$48,0)+IF(AND(Projects!$G$11="Yes",Projects!$K$11="No",46=Projects!$C$11,Assumptions!$B$51&gt;0),Assumptions!$B$51*Assumptions!$B$48,0)+IF(AND(Projects!$G$12="Yes",Projects!$K$12="No",46=Projects!$C$12,Assumptions!$B$52&gt;0),Assumptions!$B$52*Assumptions!$B$48,0)+IF(AND(Projects!$G$13="Yes",Projects!$K$13="No",46=Projects!$C$13,Assumptions!$B$54&gt;0),Assumptions!$B$54*Assumptions!$B$48,0)+IF(AND(Projects!$G$14="Yes",Projects!$K$14="No",46=Projects!$C$14,Assumptions!$B$55&gt;0),Assumptions!$B$55*Assumptions!$B$48,0)),Actuals!AY108)</f>
        <v>-0</v>
      </c>
      <c r="AY195" s="14" t="n">
        <f aca="false">IF(ISBLANK(Actuals!AZ108),-(IF(AND(Projects!$G$7="Yes",Projects!$K$7="No",47=Projects!$C$7,Assumptions!$B$53&gt;0),Assumptions!$B$53*Assumptions!$B$48,0)+IF(AND(Projects!$G$11="Yes",Projects!$K$11="No",47=Projects!$C$11,Assumptions!$B$51&gt;0),Assumptions!$B$51*Assumptions!$B$48,0)+IF(AND(Projects!$G$12="Yes",Projects!$K$12="No",47=Projects!$C$12,Assumptions!$B$52&gt;0),Assumptions!$B$52*Assumptions!$B$48,0)+IF(AND(Projects!$G$13="Yes",Projects!$K$13="No",47=Projects!$C$13,Assumptions!$B$54&gt;0),Assumptions!$B$54*Assumptions!$B$48,0)+IF(AND(Projects!$G$14="Yes",Projects!$K$14="No",47=Projects!$C$14,Assumptions!$B$55&gt;0),Assumptions!$B$55*Assumptions!$B$48,0)),Actuals!AZ108)</f>
        <v>-0</v>
      </c>
      <c r="AZ195" s="14" t="n">
        <f aca="false">IF(ISBLANK(Actuals!BA108),-(IF(AND(Projects!$G$7="Yes",Projects!$K$7="No",48=Projects!$C$7,Assumptions!$B$53&gt;0),Assumptions!$B$53*Assumptions!$B$48,0)+IF(AND(Projects!$G$11="Yes",Projects!$K$11="No",48=Projects!$C$11,Assumptions!$B$51&gt;0),Assumptions!$B$51*Assumptions!$B$48,0)+IF(AND(Projects!$G$12="Yes",Projects!$K$12="No",48=Projects!$C$12,Assumptions!$B$52&gt;0),Assumptions!$B$52*Assumptions!$B$48,0)+IF(AND(Projects!$G$13="Yes",Projects!$K$13="No",48=Projects!$C$13,Assumptions!$B$54&gt;0),Assumptions!$B$54*Assumptions!$B$48,0)+IF(AND(Projects!$G$14="Yes",Projects!$K$14="No",48=Projects!$C$14,Assumptions!$B$55&gt;0),Assumptions!$B$55*Assumptions!$B$48,0)),Actuals!BA108)</f>
        <v>-0</v>
      </c>
      <c r="BA195" s="14" t="n">
        <f aca="false">IF(ISBLANK(Actuals!BB108),-(IF(AND(Projects!$G$7="Yes",Projects!$K$7="No",49=Projects!$C$7,Assumptions!$B$53&gt;0),Assumptions!$B$53*Assumptions!$B$48,0)+IF(AND(Projects!$G$11="Yes",Projects!$K$11="No",49=Projects!$C$11,Assumptions!$B$51&gt;0),Assumptions!$B$51*Assumptions!$B$48,0)+IF(AND(Projects!$G$12="Yes",Projects!$K$12="No",49=Projects!$C$12,Assumptions!$B$52&gt;0),Assumptions!$B$52*Assumptions!$B$48,0)+IF(AND(Projects!$G$13="Yes",Projects!$K$13="No",49=Projects!$C$13,Assumptions!$B$54&gt;0),Assumptions!$B$54*Assumptions!$B$48,0)+IF(AND(Projects!$G$14="Yes",Projects!$K$14="No",49=Projects!$C$14,Assumptions!$B$55&gt;0),Assumptions!$B$55*Assumptions!$B$48,0)),Actuals!BB108)</f>
        <v>-0</v>
      </c>
      <c r="BB195" s="14" t="n">
        <f aca="false">IF(ISBLANK(Actuals!BC108),-(IF(AND(Projects!$G$7="Yes",Projects!$K$7="No",50=Projects!$C$7,Assumptions!$B$53&gt;0),Assumptions!$B$53*Assumptions!$B$48,0)+IF(AND(Projects!$G$11="Yes",Projects!$K$11="No",50=Projects!$C$11,Assumptions!$B$51&gt;0),Assumptions!$B$51*Assumptions!$B$48,0)+IF(AND(Projects!$G$12="Yes",Projects!$K$12="No",50=Projects!$C$12,Assumptions!$B$52&gt;0),Assumptions!$B$52*Assumptions!$B$48,0)+IF(AND(Projects!$G$13="Yes",Projects!$K$13="No",50=Projects!$C$13,Assumptions!$B$54&gt;0),Assumptions!$B$54*Assumptions!$B$48,0)+IF(AND(Projects!$G$14="Yes",Projects!$K$14="No",50=Projects!$C$14,Assumptions!$B$55&gt;0),Assumptions!$B$55*Assumptions!$B$48,0)),Actuals!BC108)</f>
        <v>-0</v>
      </c>
      <c r="BC195" s="14" t="n">
        <f aca="false">IF(ISBLANK(Actuals!BD108),-(IF(AND(Projects!$G$7="Yes",Projects!$K$7="No",51=Projects!$C$7,Assumptions!$B$53&gt;0),Assumptions!$B$53*Assumptions!$B$48,0)+IF(AND(Projects!$G$11="Yes",Projects!$K$11="No",51=Projects!$C$11,Assumptions!$B$51&gt;0),Assumptions!$B$51*Assumptions!$B$48,0)+IF(AND(Projects!$G$12="Yes",Projects!$K$12="No",51=Projects!$C$12,Assumptions!$B$52&gt;0),Assumptions!$B$52*Assumptions!$B$48,0)+IF(AND(Projects!$G$13="Yes",Projects!$K$13="No",51=Projects!$C$13,Assumptions!$B$54&gt;0),Assumptions!$B$54*Assumptions!$B$48,0)+IF(AND(Projects!$G$14="Yes",Projects!$K$14="No",51=Projects!$C$14,Assumptions!$B$55&gt;0),Assumptions!$B$55*Assumptions!$B$48,0)),Actuals!BD108)</f>
        <v>-0</v>
      </c>
      <c r="BD195" s="14" t="n">
        <f aca="false">IF(ISBLANK(Actuals!BE108),-(IF(AND(Projects!$G$7="Yes",Projects!$K$7="No",52=Projects!$C$7,Assumptions!$B$53&gt;0),Assumptions!$B$53*Assumptions!$B$48,0)+IF(AND(Projects!$G$11="Yes",Projects!$K$11="No",52=Projects!$C$11,Assumptions!$B$51&gt;0),Assumptions!$B$51*Assumptions!$B$48,0)+IF(AND(Projects!$G$12="Yes",Projects!$K$12="No",52=Projects!$C$12,Assumptions!$B$52&gt;0),Assumptions!$B$52*Assumptions!$B$48,0)+IF(AND(Projects!$G$13="Yes",Projects!$K$13="No",52=Projects!$C$13,Assumptions!$B$54&gt;0),Assumptions!$B$54*Assumptions!$B$48,0)+IF(AND(Projects!$G$14="Yes",Projects!$K$14="No",52=Projects!$C$14,Assumptions!$B$55&gt;0),Assumptions!$B$55*Assumptions!$B$48,0)),Actuals!BE108)</f>
        <v>-0</v>
      </c>
      <c r="BE195" s="14" t="n">
        <f aca="false">IF(ISBLANK(Actuals!BF108),-(IF(AND(Projects!$G$7="Yes",Projects!$K$7="No",53=Projects!$C$7,Assumptions!$B$53&gt;0),Assumptions!$B$53*Assumptions!$B$48,0)+IF(AND(Projects!$G$11="Yes",Projects!$K$11="No",53=Projects!$C$11,Assumptions!$B$51&gt;0),Assumptions!$B$51*Assumptions!$B$48,0)+IF(AND(Projects!$G$12="Yes",Projects!$K$12="No",53=Projects!$C$12,Assumptions!$B$52&gt;0),Assumptions!$B$52*Assumptions!$B$48,0)+IF(AND(Projects!$G$13="Yes",Projects!$K$13="No",53=Projects!$C$13,Assumptions!$B$54&gt;0),Assumptions!$B$54*Assumptions!$B$48,0)+IF(AND(Projects!$G$14="Yes",Projects!$K$14="No",53=Projects!$C$14,Assumptions!$B$55&gt;0),Assumptions!$B$55*Assumptions!$B$48,0)),Actuals!BF108)</f>
        <v>-0</v>
      </c>
      <c r="BF195" s="14" t="n">
        <f aca="false">IF(ISBLANK(Actuals!BG108),-(IF(AND(Projects!$G$7="Yes",Projects!$K$7="No",54=Projects!$C$7,Assumptions!$B$53&gt;0),Assumptions!$B$53*Assumptions!$B$48,0)+IF(AND(Projects!$G$11="Yes",Projects!$K$11="No",54=Projects!$C$11,Assumptions!$B$51&gt;0),Assumptions!$B$51*Assumptions!$B$48,0)+IF(AND(Projects!$G$12="Yes",Projects!$K$12="No",54=Projects!$C$12,Assumptions!$B$52&gt;0),Assumptions!$B$52*Assumptions!$B$48,0)+IF(AND(Projects!$G$13="Yes",Projects!$K$13="No",54=Projects!$C$13,Assumptions!$B$54&gt;0),Assumptions!$B$54*Assumptions!$B$48,0)+IF(AND(Projects!$G$14="Yes",Projects!$K$14="No",54=Projects!$C$14,Assumptions!$B$55&gt;0),Assumptions!$B$55*Assumptions!$B$48,0)),Actuals!BG108)</f>
        <v>-0</v>
      </c>
      <c r="BG195" s="14" t="n">
        <f aca="false">IF(ISBLANK(Actuals!BH108),-(IF(AND(Projects!$G$7="Yes",Projects!$K$7="No",55=Projects!$C$7,Assumptions!$B$53&gt;0),Assumptions!$B$53*Assumptions!$B$48,0)+IF(AND(Projects!$G$11="Yes",Projects!$K$11="No",55=Projects!$C$11,Assumptions!$B$51&gt;0),Assumptions!$B$51*Assumptions!$B$48,0)+IF(AND(Projects!$G$12="Yes",Projects!$K$12="No",55=Projects!$C$12,Assumptions!$B$52&gt;0),Assumptions!$B$52*Assumptions!$B$48,0)+IF(AND(Projects!$G$13="Yes",Projects!$K$13="No",55=Projects!$C$13,Assumptions!$B$54&gt;0),Assumptions!$B$54*Assumptions!$B$48,0)+IF(AND(Projects!$G$14="Yes",Projects!$K$14="No",55=Projects!$C$14,Assumptions!$B$55&gt;0),Assumptions!$B$55*Assumptions!$B$48,0)),Actuals!BH108)</f>
        <v>-0</v>
      </c>
      <c r="BH195" s="14" t="n">
        <f aca="false">IF(ISBLANK(Actuals!BI108),-(IF(AND(Projects!$G$7="Yes",Projects!$K$7="No",56=Projects!$C$7,Assumptions!$B$53&gt;0),Assumptions!$B$53*Assumptions!$B$48,0)+IF(AND(Projects!$G$11="Yes",Projects!$K$11="No",56=Projects!$C$11,Assumptions!$B$51&gt;0),Assumptions!$B$51*Assumptions!$B$48,0)+IF(AND(Projects!$G$12="Yes",Projects!$K$12="No",56=Projects!$C$12,Assumptions!$B$52&gt;0),Assumptions!$B$52*Assumptions!$B$48,0)+IF(AND(Projects!$G$13="Yes",Projects!$K$13="No",56=Projects!$C$13,Assumptions!$B$54&gt;0),Assumptions!$B$54*Assumptions!$B$48,0)+IF(AND(Projects!$G$14="Yes",Projects!$K$14="No",56=Projects!$C$14,Assumptions!$B$55&gt;0),Assumptions!$B$55*Assumptions!$B$48,0)),Actuals!BI108)</f>
        <v>-0</v>
      </c>
      <c r="BI195" s="14" t="n">
        <f aca="false">IF(ISBLANK(Actuals!BJ108),-(IF(AND(Projects!$G$7="Yes",Projects!$K$7="No",57=Projects!$C$7,Assumptions!$B$53&gt;0),Assumptions!$B$53*Assumptions!$B$48,0)+IF(AND(Projects!$G$11="Yes",Projects!$K$11="No",57=Projects!$C$11,Assumptions!$B$51&gt;0),Assumptions!$B$51*Assumptions!$B$48,0)+IF(AND(Projects!$G$12="Yes",Projects!$K$12="No",57=Projects!$C$12,Assumptions!$B$52&gt;0),Assumptions!$B$52*Assumptions!$B$48,0)+IF(AND(Projects!$G$13="Yes",Projects!$K$13="No",57=Projects!$C$13,Assumptions!$B$54&gt;0),Assumptions!$B$54*Assumptions!$B$48,0)+IF(AND(Projects!$G$14="Yes",Projects!$K$14="No",57=Projects!$C$14,Assumptions!$B$55&gt;0),Assumptions!$B$55*Assumptions!$B$48,0)),Actuals!BJ108)</f>
        <v>-0</v>
      </c>
      <c r="BJ195" s="14" t="n">
        <f aca="false">IF(ISBLANK(Actuals!BK108),-(IF(AND(Projects!$G$7="Yes",Projects!$K$7="No",58=Projects!$C$7,Assumptions!$B$53&gt;0),Assumptions!$B$53*Assumptions!$B$48,0)+IF(AND(Projects!$G$11="Yes",Projects!$K$11="No",58=Projects!$C$11,Assumptions!$B$51&gt;0),Assumptions!$B$51*Assumptions!$B$48,0)+IF(AND(Projects!$G$12="Yes",Projects!$K$12="No",58=Projects!$C$12,Assumptions!$B$52&gt;0),Assumptions!$B$52*Assumptions!$B$48,0)+IF(AND(Projects!$G$13="Yes",Projects!$K$13="No",58=Projects!$C$13,Assumptions!$B$54&gt;0),Assumptions!$B$54*Assumptions!$B$48,0)+IF(AND(Projects!$G$14="Yes",Projects!$K$14="No",58=Projects!$C$14,Assumptions!$B$55&gt;0),Assumptions!$B$55*Assumptions!$B$48,0)),Actuals!BK108)</f>
        <v>-0</v>
      </c>
      <c r="BK195" s="14" t="n">
        <f aca="false">IF(ISBLANK(Actuals!BL108),-(IF(AND(Projects!$G$7="Yes",Projects!$K$7="No",59=Projects!$C$7,Assumptions!$B$53&gt;0),Assumptions!$B$53*Assumptions!$B$48,0)+IF(AND(Projects!$G$11="Yes",Projects!$K$11="No",59=Projects!$C$11,Assumptions!$B$51&gt;0),Assumptions!$B$51*Assumptions!$B$48,0)+IF(AND(Projects!$G$12="Yes",Projects!$K$12="No",59=Projects!$C$12,Assumptions!$B$52&gt;0),Assumptions!$B$52*Assumptions!$B$48,0)+IF(AND(Projects!$G$13="Yes",Projects!$K$13="No",59=Projects!$C$13,Assumptions!$B$54&gt;0),Assumptions!$B$54*Assumptions!$B$48,0)+IF(AND(Projects!$G$14="Yes",Projects!$K$14="No",59=Projects!$C$14,Assumptions!$B$55&gt;0),Assumptions!$B$55*Assumptions!$B$48,0)),Actuals!BL108)</f>
        <v>-0</v>
      </c>
      <c r="BL195" s="14" t="n">
        <f aca="false">IF(ISBLANK(Actuals!BM108),-(IF(AND(Projects!$G$7="Yes",Projects!$K$7="No",60=Projects!$C$7,Assumptions!$B$53&gt;0),Assumptions!$B$53*Assumptions!$B$48,0)+IF(AND(Projects!$G$11="Yes",Projects!$K$11="No",60=Projects!$C$11,Assumptions!$B$51&gt;0),Assumptions!$B$51*Assumptions!$B$48,0)+IF(AND(Projects!$G$12="Yes",Projects!$K$12="No",60=Projects!$C$12,Assumptions!$B$52&gt;0),Assumptions!$B$52*Assumptions!$B$48,0)+IF(AND(Projects!$G$13="Yes",Projects!$K$13="No",60=Projects!$C$13,Assumptions!$B$54&gt;0),Assumptions!$B$54*Assumptions!$B$48,0)+IF(AND(Projects!$G$14="Yes",Projects!$K$14="No",60=Projects!$C$14,Assumptions!$B$55&gt;0),Assumptions!$B$55*Assumptions!$B$48,0)),Actuals!BM108)</f>
        <v>-0</v>
      </c>
      <c r="BM195" s="14" t="n">
        <f aca="false">IF(ISBLANK(Actuals!BN108),-(IF(AND(Projects!$G$7="Yes",Projects!$K$7="No",61=Projects!$C$7,Assumptions!$B$53&gt;0),Assumptions!$B$53*Assumptions!$B$48,0)+IF(AND(Projects!$G$11="Yes",Projects!$K$11="No",61=Projects!$C$11,Assumptions!$B$51&gt;0),Assumptions!$B$51*Assumptions!$B$48,0)+IF(AND(Projects!$G$12="Yes",Projects!$K$12="No",61=Projects!$C$12,Assumptions!$B$52&gt;0),Assumptions!$B$52*Assumptions!$B$48,0)+IF(AND(Projects!$G$13="Yes",Projects!$K$13="No",61=Projects!$C$13,Assumptions!$B$54&gt;0),Assumptions!$B$54*Assumptions!$B$48,0)+IF(AND(Projects!$G$14="Yes",Projects!$K$14="No",61=Projects!$C$14,Assumptions!$B$55&gt;0),Assumptions!$B$55*Assumptions!$B$48,0)),Actuals!BN108)</f>
        <v>-0</v>
      </c>
      <c r="BN195" s="14" t="n">
        <f aca="false">IF(ISBLANK(Actuals!BO108),-(IF(AND(Projects!$G$7="Yes",Projects!$K$7="No",62=Projects!$C$7,Assumptions!$B$53&gt;0),Assumptions!$B$53*Assumptions!$B$48,0)+IF(AND(Projects!$G$11="Yes",Projects!$K$11="No",62=Projects!$C$11,Assumptions!$B$51&gt;0),Assumptions!$B$51*Assumptions!$B$48,0)+IF(AND(Projects!$G$12="Yes",Projects!$K$12="No",62=Projects!$C$12,Assumptions!$B$52&gt;0),Assumptions!$B$52*Assumptions!$B$48,0)+IF(AND(Projects!$G$13="Yes",Projects!$K$13="No",62=Projects!$C$13,Assumptions!$B$54&gt;0),Assumptions!$B$54*Assumptions!$B$48,0)+IF(AND(Projects!$G$14="Yes",Projects!$K$14="No",62=Projects!$C$14,Assumptions!$B$55&gt;0),Assumptions!$B$55*Assumptions!$B$48,0)),Actuals!BO108)</f>
        <v>-0</v>
      </c>
      <c r="BO195" s="14" t="n">
        <f aca="false">IF(ISBLANK(Actuals!BP108),-(IF(AND(Projects!$G$7="Yes",Projects!$K$7="No",63=Projects!$C$7,Assumptions!$B$53&gt;0),Assumptions!$B$53*Assumptions!$B$48,0)+IF(AND(Projects!$G$11="Yes",Projects!$K$11="No",63=Projects!$C$11,Assumptions!$B$51&gt;0),Assumptions!$B$51*Assumptions!$B$48,0)+IF(AND(Projects!$G$12="Yes",Projects!$K$12="No",63=Projects!$C$12,Assumptions!$B$52&gt;0),Assumptions!$B$52*Assumptions!$B$48,0)+IF(AND(Projects!$G$13="Yes",Projects!$K$13="No",63=Projects!$C$13,Assumptions!$B$54&gt;0),Assumptions!$B$54*Assumptions!$B$48,0)+IF(AND(Projects!$G$14="Yes",Projects!$K$14="No",63=Projects!$C$14,Assumptions!$B$55&gt;0),Assumptions!$B$55*Assumptions!$B$48,0)),Actuals!BP108)</f>
        <v>-0</v>
      </c>
      <c r="BP195" s="14" t="n">
        <f aca="false">IF(ISBLANK(Actuals!BQ108),-(IF(AND(Projects!$G$7="Yes",Projects!$K$7="No",64=Projects!$C$7,Assumptions!$B$53&gt;0),Assumptions!$B$53*Assumptions!$B$48,0)+IF(AND(Projects!$G$11="Yes",Projects!$K$11="No",64=Projects!$C$11,Assumptions!$B$51&gt;0),Assumptions!$B$51*Assumptions!$B$48,0)+IF(AND(Projects!$G$12="Yes",Projects!$K$12="No",64=Projects!$C$12,Assumptions!$B$52&gt;0),Assumptions!$B$52*Assumptions!$B$48,0)+IF(AND(Projects!$G$13="Yes",Projects!$K$13="No",64=Projects!$C$13,Assumptions!$B$54&gt;0),Assumptions!$B$54*Assumptions!$B$48,0)+IF(AND(Projects!$G$14="Yes",Projects!$K$14="No",64=Projects!$C$14,Assumptions!$B$55&gt;0),Assumptions!$B$55*Assumptions!$B$48,0)),Actuals!BQ108)</f>
        <v>-0</v>
      </c>
      <c r="BQ195" s="14" t="n">
        <f aca="false">IF(ISBLANK(Actuals!BR108),-(IF(AND(Projects!$G$7="Yes",Projects!$K$7="No",65=Projects!$C$7,Assumptions!$B$53&gt;0),Assumptions!$B$53*Assumptions!$B$48,0)+IF(AND(Projects!$G$11="Yes",Projects!$K$11="No",65=Projects!$C$11,Assumptions!$B$51&gt;0),Assumptions!$B$51*Assumptions!$B$48,0)+IF(AND(Projects!$G$12="Yes",Projects!$K$12="No",65=Projects!$C$12,Assumptions!$B$52&gt;0),Assumptions!$B$52*Assumptions!$B$48,0)+IF(AND(Projects!$G$13="Yes",Projects!$K$13="No",65=Projects!$C$13,Assumptions!$B$54&gt;0),Assumptions!$B$54*Assumptions!$B$48,0)+IF(AND(Projects!$G$14="Yes",Projects!$K$14="No",65=Projects!$C$14,Assumptions!$B$55&gt;0),Assumptions!$B$55*Assumptions!$B$48,0)),Actuals!BR108)</f>
        <v>-0</v>
      </c>
      <c r="BR195" s="14" t="n">
        <f aca="false">IF(ISBLANK(Actuals!BS108),-(IF(AND(Projects!$G$7="Yes",Projects!$K$7="No",66=Projects!$C$7,Assumptions!$B$53&gt;0),Assumptions!$B$53*Assumptions!$B$48,0)+IF(AND(Projects!$G$11="Yes",Projects!$K$11="No",66=Projects!$C$11,Assumptions!$B$51&gt;0),Assumptions!$B$51*Assumptions!$B$48,0)+IF(AND(Projects!$G$12="Yes",Projects!$K$12="No",66=Projects!$C$12,Assumptions!$B$52&gt;0),Assumptions!$B$52*Assumptions!$B$48,0)+IF(AND(Projects!$G$13="Yes",Projects!$K$13="No",66=Projects!$C$13,Assumptions!$B$54&gt;0),Assumptions!$B$54*Assumptions!$B$48,0)+IF(AND(Projects!$G$14="Yes",Projects!$K$14="No",66=Projects!$C$14,Assumptions!$B$55&gt;0),Assumptions!$B$55*Assumptions!$B$48,0)),Actuals!BS108)</f>
        <v>-0</v>
      </c>
      <c r="BS195" s="14" t="n">
        <f aca="false">IF(ISBLANK(Actuals!BT108),-(IF(AND(Projects!$G$7="Yes",Projects!$K$7="No",67=Projects!$C$7,Assumptions!$B$53&gt;0),Assumptions!$B$53*Assumptions!$B$48,0)+IF(AND(Projects!$G$11="Yes",Projects!$K$11="No",67=Projects!$C$11,Assumptions!$B$51&gt;0),Assumptions!$B$51*Assumptions!$B$48,0)+IF(AND(Projects!$G$12="Yes",Projects!$K$12="No",67=Projects!$C$12,Assumptions!$B$52&gt;0),Assumptions!$B$52*Assumptions!$B$48,0)+IF(AND(Projects!$G$13="Yes",Projects!$K$13="No",67=Projects!$C$13,Assumptions!$B$54&gt;0),Assumptions!$B$54*Assumptions!$B$48,0)+IF(AND(Projects!$G$14="Yes",Projects!$K$14="No",67=Projects!$C$14,Assumptions!$B$55&gt;0),Assumptions!$B$55*Assumptions!$B$48,0)),Actuals!BT108)</f>
        <v>-0</v>
      </c>
      <c r="BT195" s="14" t="n">
        <f aca="false">IF(ISBLANK(Actuals!BU108),-(IF(AND(Projects!$G$7="Yes",Projects!$K$7="No",68=Projects!$C$7,Assumptions!$B$53&gt;0),Assumptions!$B$53*Assumptions!$B$48,0)+IF(AND(Projects!$G$11="Yes",Projects!$K$11="No",68=Projects!$C$11,Assumptions!$B$51&gt;0),Assumptions!$B$51*Assumptions!$B$48,0)+IF(AND(Projects!$G$12="Yes",Projects!$K$12="No",68=Projects!$C$12,Assumptions!$B$52&gt;0),Assumptions!$B$52*Assumptions!$B$48,0)+IF(AND(Projects!$G$13="Yes",Projects!$K$13="No",68=Projects!$C$13,Assumptions!$B$54&gt;0),Assumptions!$B$54*Assumptions!$B$48,0)+IF(AND(Projects!$G$14="Yes",Projects!$K$14="No",68=Projects!$C$14,Assumptions!$B$55&gt;0),Assumptions!$B$55*Assumptions!$B$48,0)),Actuals!BU108)</f>
        <v>-0</v>
      </c>
      <c r="BU195" s="14" t="n">
        <f aca="false">IF(ISBLANK(Actuals!BV108),-(IF(AND(Projects!$G$7="Yes",Projects!$K$7="No",69=Projects!$C$7,Assumptions!$B$53&gt;0),Assumptions!$B$53*Assumptions!$B$48,0)+IF(AND(Projects!$G$11="Yes",Projects!$K$11="No",69=Projects!$C$11,Assumptions!$B$51&gt;0),Assumptions!$B$51*Assumptions!$B$48,0)+IF(AND(Projects!$G$12="Yes",Projects!$K$12="No",69=Projects!$C$12,Assumptions!$B$52&gt;0),Assumptions!$B$52*Assumptions!$B$48,0)+IF(AND(Projects!$G$13="Yes",Projects!$K$13="No",69=Projects!$C$13,Assumptions!$B$54&gt;0),Assumptions!$B$54*Assumptions!$B$48,0)+IF(AND(Projects!$G$14="Yes",Projects!$K$14="No",69=Projects!$C$14,Assumptions!$B$55&gt;0),Assumptions!$B$55*Assumptions!$B$48,0)),Actuals!BV108)</f>
        <v>-0</v>
      </c>
      <c r="BV195" s="14" t="n">
        <f aca="false">IF(ISBLANK(Actuals!BW108),-(IF(AND(Projects!$G$7="Yes",Projects!$K$7="No",70=Projects!$C$7,Assumptions!$B$53&gt;0),Assumptions!$B$53*Assumptions!$B$48,0)+IF(AND(Projects!$G$11="Yes",Projects!$K$11="No",70=Projects!$C$11,Assumptions!$B$51&gt;0),Assumptions!$B$51*Assumptions!$B$48,0)+IF(AND(Projects!$G$12="Yes",Projects!$K$12="No",70=Projects!$C$12,Assumptions!$B$52&gt;0),Assumptions!$B$52*Assumptions!$B$48,0)+IF(AND(Projects!$G$13="Yes",Projects!$K$13="No",70=Projects!$C$13,Assumptions!$B$54&gt;0),Assumptions!$B$54*Assumptions!$B$48,0)+IF(AND(Projects!$G$14="Yes",Projects!$K$14="No",70=Projects!$C$14,Assumptions!$B$55&gt;0),Assumptions!$B$55*Assumptions!$B$48,0)),Actuals!BW108)</f>
        <v>-0</v>
      </c>
      <c r="BW195" s="14" t="n">
        <f aca="false">IF(ISBLANK(Actuals!BX108),-(IF(AND(Projects!$G$7="Yes",Projects!$K$7="No",71=Projects!$C$7,Assumptions!$B$53&gt;0),Assumptions!$B$53*Assumptions!$B$48,0)+IF(AND(Projects!$G$11="Yes",Projects!$K$11="No",71=Projects!$C$11,Assumptions!$B$51&gt;0),Assumptions!$B$51*Assumptions!$B$48,0)+IF(AND(Projects!$G$12="Yes",Projects!$K$12="No",71=Projects!$C$12,Assumptions!$B$52&gt;0),Assumptions!$B$52*Assumptions!$B$48,0)+IF(AND(Projects!$G$13="Yes",Projects!$K$13="No",71=Projects!$C$13,Assumptions!$B$54&gt;0),Assumptions!$B$54*Assumptions!$B$48,0)+IF(AND(Projects!$G$14="Yes",Projects!$K$14="No",71=Projects!$C$14,Assumptions!$B$55&gt;0),Assumptions!$B$55*Assumptions!$B$48,0)),Actuals!BX108)</f>
        <v>-0</v>
      </c>
      <c r="BX195" s="14" t="n">
        <f aca="false">IF(ISBLANK(Actuals!BY108),-(IF(AND(Projects!$G$7="Yes",Projects!$K$7="No",72=Projects!$C$7,Assumptions!$B$53&gt;0),Assumptions!$B$53*Assumptions!$B$48,0)+IF(AND(Projects!$G$11="Yes",Projects!$K$11="No",72=Projects!$C$11,Assumptions!$B$51&gt;0),Assumptions!$B$51*Assumptions!$B$48,0)+IF(AND(Projects!$G$12="Yes",Projects!$K$12="No",72=Projects!$C$12,Assumptions!$B$52&gt;0),Assumptions!$B$52*Assumptions!$B$48,0)+IF(AND(Projects!$G$13="Yes",Projects!$K$13="No",72=Projects!$C$13,Assumptions!$B$54&gt;0),Assumptions!$B$54*Assumptions!$B$48,0)+IF(AND(Projects!$G$14="Yes",Projects!$K$14="No",72=Projects!$C$14,Assumptions!$B$55&gt;0),Assumptions!$B$55*Assumptions!$B$48,0)),Actuals!BY108)</f>
        <v>-0</v>
      </c>
      <c r="BY195" s="14" t="n">
        <f aca="false">IF(ISBLANK(Actuals!BZ108),-(IF(AND(Projects!$G$7="Yes",Projects!$K$7="No",73=Projects!$C$7,Assumptions!$B$53&gt;0),Assumptions!$B$53*Assumptions!$B$48,0)+IF(AND(Projects!$G$11="Yes",Projects!$K$11="No",73=Projects!$C$11,Assumptions!$B$51&gt;0),Assumptions!$B$51*Assumptions!$B$48,0)+IF(AND(Projects!$G$12="Yes",Projects!$K$12="No",73=Projects!$C$12,Assumptions!$B$52&gt;0),Assumptions!$B$52*Assumptions!$B$48,0)+IF(AND(Projects!$G$13="Yes",Projects!$K$13="No",73=Projects!$C$13,Assumptions!$B$54&gt;0),Assumptions!$B$54*Assumptions!$B$48,0)+IF(AND(Projects!$G$14="Yes",Projects!$K$14="No",73=Projects!$C$14,Assumptions!$B$55&gt;0),Assumptions!$B$55*Assumptions!$B$48,0)),Actuals!BZ108)</f>
        <v>-0</v>
      </c>
      <c r="BZ195" s="14" t="n">
        <f aca="false">IF(ISBLANK(Actuals!CA108),-(IF(AND(Projects!$G$7="Yes",Projects!$K$7="No",74=Projects!$C$7,Assumptions!$B$53&gt;0),Assumptions!$B$53*Assumptions!$B$48,0)+IF(AND(Projects!$G$11="Yes",Projects!$K$11="No",74=Projects!$C$11,Assumptions!$B$51&gt;0),Assumptions!$B$51*Assumptions!$B$48,0)+IF(AND(Projects!$G$12="Yes",Projects!$K$12="No",74=Projects!$C$12,Assumptions!$B$52&gt;0),Assumptions!$B$52*Assumptions!$B$48,0)+IF(AND(Projects!$G$13="Yes",Projects!$K$13="No",74=Projects!$C$13,Assumptions!$B$54&gt;0),Assumptions!$B$54*Assumptions!$B$48,0)+IF(AND(Projects!$G$14="Yes",Projects!$K$14="No",74=Projects!$C$14,Assumptions!$B$55&gt;0),Assumptions!$B$55*Assumptions!$B$48,0)),Actuals!CA108)</f>
        <v>-0</v>
      </c>
      <c r="CA195" s="14" t="n">
        <f aca="false">IF(ISBLANK(Actuals!CB108),-(IF(AND(Projects!$G$7="Yes",Projects!$K$7="No",75=Projects!$C$7,Assumptions!$B$53&gt;0),Assumptions!$B$53*Assumptions!$B$48,0)+IF(AND(Projects!$G$11="Yes",Projects!$K$11="No",75=Projects!$C$11,Assumptions!$B$51&gt;0),Assumptions!$B$51*Assumptions!$B$48,0)+IF(AND(Projects!$G$12="Yes",Projects!$K$12="No",75=Projects!$C$12,Assumptions!$B$52&gt;0),Assumptions!$B$52*Assumptions!$B$48,0)+IF(AND(Projects!$G$13="Yes",Projects!$K$13="No",75=Projects!$C$13,Assumptions!$B$54&gt;0),Assumptions!$B$54*Assumptions!$B$48,0)+IF(AND(Projects!$G$14="Yes",Projects!$K$14="No",75=Projects!$C$14,Assumptions!$B$55&gt;0),Assumptions!$B$55*Assumptions!$B$48,0)),Actuals!CB108)</f>
        <v>-0</v>
      </c>
      <c r="CB195" s="14" t="n">
        <f aca="false">IF(ISBLANK(Actuals!CC108),-(IF(AND(Projects!$G$7="Yes",Projects!$K$7="No",76=Projects!$C$7,Assumptions!$B$53&gt;0),Assumptions!$B$53*Assumptions!$B$48,0)+IF(AND(Projects!$G$11="Yes",Projects!$K$11="No",76=Projects!$C$11,Assumptions!$B$51&gt;0),Assumptions!$B$51*Assumptions!$B$48,0)+IF(AND(Projects!$G$12="Yes",Projects!$K$12="No",76=Projects!$C$12,Assumptions!$B$52&gt;0),Assumptions!$B$52*Assumptions!$B$48,0)+IF(AND(Projects!$G$13="Yes",Projects!$K$13="No",76=Projects!$C$13,Assumptions!$B$54&gt;0),Assumptions!$B$54*Assumptions!$B$48,0)+IF(AND(Projects!$G$14="Yes",Projects!$K$14="No",76=Projects!$C$14,Assumptions!$B$55&gt;0),Assumptions!$B$55*Assumptions!$B$48,0)),Actuals!CC108)</f>
        <v>-0</v>
      </c>
      <c r="CC195" s="14" t="n">
        <f aca="false">IF(ISBLANK(Actuals!CD108),-(IF(AND(Projects!$G$7="Yes",Projects!$K$7="No",77=Projects!$C$7,Assumptions!$B$53&gt;0),Assumptions!$B$53*Assumptions!$B$48,0)+IF(AND(Projects!$G$11="Yes",Projects!$K$11="No",77=Projects!$C$11,Assumptions!$B$51&gt;0),Assumptions!$B$51*Assumptions!$B$48,0)+IF(AND(Projects!$G$12="Yes",Projects!$K$12="No",77=Projects!$C$12,Assumptions!$B$52&gt;0),Assumptions!$B$52*Assumptions!$B$48,0)+IF(AND(Projects!$G$13="Yes",Projects!$K$13="No",77=Projects!$C$13,Assumptions!$B$54&gt;0),Assumptions!$B$54*Assumptions!$B$48,0)+IF(AND(Projects!$G$14="Yes",Projects!$K$14="No",77=Projects!$C$14,Assumptions!$B$55&gt;0),Assumptions!$B$55*Assumptions!$B$48,0)),Actuals!CD108)</f>
        <v>-0</v>
      </c>
      <c r="CD195" s="14" t="n">
        <f aca="false">IF(ISBLANK(Actuals!CE108),-(IF(AND(Projects!$G$7="Yes",Projects!$K$7="No",78=Projects!$C$7,Assumptions!$B$53&gt;0),Assumptions!$B$53*Assumptions!$B$48,0)+IF(AND(Projects!$G$11="Yes",Projects!$K$11="No",78=Projects!$C$11,Assumptions!$B$51&gt;0),Assumptions!$B$51*Assumptions!$B$48,0)+IF(AND(Projects!$G$12="Yes",Projects!$K$12="No",78=Projects!$C$12,Assumptions!$B$52&gt;0),Assumptions!$B$52*Assumptions!$B$48,0)+IF(AND(Projects!$G$13="Yes",Projects!$K$13="No",78=Projects!$C$13,Assumptions!$B$54&gt;0),Assumptions!$B$54*Assumptions!$B$48,0)+IF(AND(Projects!$G$14="Yes",Projects!$K$14="No",78=Projects!$C$14,Assumptions!$B$55&gt;0),Assumptions!$B$55*Assumptions!$B$48,0)),Actuals!CE108)</f>
        <v>-0</v>
      </c>
      <c r="CE195" s="14" t="n">
        <f aca="false">IF(ISBLANK(Actuals!CF108),-(IF(AND(Projects!$G$7="Yes",Projects!$K$7="No",79=Projects!$C$7,Assumptions!$B$53&gt;0),Assumptions!$B$53*Assumptions!$B$48,0)+IF(AND(Projects!$G$11="Yes",Projects!$K$11="No",79=Projects!$C$11,Assumptions!$B$51&gt;0),Assumptions!$B$51*Assumptions!$B$48,0)+IF(AND(Projects!$G$12="Yes",Projects!$K$12="No",79=Projects!$C$12,Assumptions!$B$52&gt;0),Assumptions!$B$52*Assumptions!$B$48,0)+IF(AND(Projects!$G$13="Yes",Projects!$K$13="No",79=Projects!$C$13,Assumptions!$B$54&gt;0),Assumptions!$B$54*Assumptions!$B$48,0)+IF(AND(Projects!$G$14="Yes",Projects!$K$14="No",79=Projects!$C$14,Assumptions!$B$55&gt;0),Assumptions!$B$55*Assumptions!$B$48,0)),Actuals!CF108)</f>
        <v>-0</v>
      </c>
      <c r="CF195" s="14" t="n">
        <f aca="false">IF(ISBLANK(Actuals!CG108),-(IF(AND(Projects!$G$7="Yes",Projects!$K$7="No",80=Projects!$C$7,Assumptions!$B$53&gt;0),Assumptions!$B$53*Assumptions!$B$48,0)+IF(AND(Projects!$G$11="Yes",Projects!$K$11="No",80=Projects!$C$11,Assumptions!$B$51&gt;0),Assumptions!$B$51*Assumptions!$B$48,0)+IF(AND(Projects!$G$12="Yes",Projects!$K$12="No",80=Projects!$C$12,Assumptions!$B$52&gt;0),Assumptions!$B$52*Assumptions!$B$48,0)+IF(AND(Projects!$G$13="Yes",Projects!$K$13="No",80=Projects!$C$13,Assumptions!$B$54&gt;0),Assumptions!$B$54*Assumptions!$B$48,0)+IF(AND(Projects!$G$14="Yes",Projects!$K$14="No",80=Projects!$C$14,Assumptions!$B$55&gt;0),Assumptions!$B$55*Assumptions!$B$48,0)),Actuals!CG108)</f>
        <v>-0</v>
      </c>
      <c r="CG195" s="14" t="n">
        <f aca="false">IF(ISBLANK(Actuals!CH108),-(IF(AND(Projects!$G$7="Yes",Projects!$K$7="No",81=Projects!$C$7,Assumptions!$B$53&gt;0),Assumptions!$B$53*Assumptions!$B$48,0)+IF(AND(Projects!$G$11="Yes",Projects!$K$11="No",81=Projects!$C$11,Assumptions!$B$51&gt;0),Assumptions!$B$51*Assumptions!$B$48,0)+IF(AND(Projects!$G$12="Yes",Projects!$K$12="No",81=Projects!$C$12,Assumptions!$B$52&gt;0),Assumptions!$B$52*Assumptions!$B$48,0)+IF(AND(Projects!$G$13="Yes",Projects!$K$13="No",81=Projects!$C$13,Assumptions!$B$54&gt;0),Assumptions!$B$54*Assumptions!$B$48,0)+IF(AND(Projects!$G$14="Yes",Projects!$K$14="No",81=Projects!$C$14,Assumptions!$B$55&gt;0),Assumptions!$B$55*Assumptions!$B$48,0)),Actuals!CH108)</f>
        <v>-0</v>
      </c>
      <c r="CH195" s="14" t="n">
        <f aca="false">IF(ISBLANK(Actuals!CI108),-(IF(AND(Projects!$G$7="Yes",Projects!$K$7="No",82=Projects!$C$7,Assumptions!$B$53&gt;0),Assumptions!$B$53*Assumptions!$B$48,0)+IF(AND(Projects!$G$11="Yes",Projects!$K$11="No",82=Projects!$C$11,Assumptions!$B$51&gt;0),Assumptions!$B$51*Assumptions!$B$48,0)+IF(AND(Projects!$G$12="Yes",Projects!$K$12="No",82=Projects!$C$12,Assumptions!$B$52&gt;0),Assumptions!$B$52*Assumptions!$B$48,0)+IF(AND(Projects!$G$13="Yes",Projects!$K$13="No",82=Projects!$C$13,Assumptions!$B$54&gt;0),Assumptions!$B$54*Assumptions!$B$48,0)+IF(AND(Projects!$G$14="Yes",Projects!$K$14="No",82=Projects!$C$14,Assumptions!$B$55&gt;0),Assumptions!$B$55*Assumptions!$B$48,0)),Actuals!CI108)</f>
        <v>-0</v>
      </c>
      <c r="CI195" s="14" t="n">
        <f aca="false">IF(ISBLANK(Actuals!CJ108),-(IF(AND(Projects!$G$7="Yes",Projects!$K$7="No",83=Projects!$C$7,Assumptions!$B$53&gt;0),Assumptions!$B$53*Assumptions!$B$48,0)+IF(AND(Projects!$G$11="Yes",Projects!$K$11="No",83=Projects!$C$11,Assumptions!$B$51&gt;0),Assumptions!$B$51*Assumptions!$B$48,0)+IF(AND(Projects!$G$12="Yes",Projects!$K$12="No",83=Projects!$C$12,Assumptions!$B$52&gt;0),Assumptions!$B$52*Assumptions!$B$48,0)+IF(AND(Projects!$G$13="Yes",Projects!$K$13="No",83=Projects!$C$13,Assumptions!$B$54&gt;0),Assumptions!$B$54*Assumptions!$B$48,0)+IF(AND(Projects!$G$14="Yes",Projects!$K$14="No",83=Projects!$C$14,Assumptions!$B$55&gt;0),Assumptions!$B$55*Assumptions!$B$48,0)),Actuals!CJ108)</f>
        <v>-0</v>
      </c>
      <c r="CJ195" s="14" t="n">
        <f aca="false">IF(ISBLANK(Actuals!CK108),-(IF(AND(Projects!$G$7="Yes",Projects!$K$7="No",84=Projects!$C$7,Assumptions!$B$53&gt;0),Assumptions!$B$53*Assumptions!$B$48,0)+IF(AND(Projects!$G$11="Yes",Projects!$K$11="No",84=Projects!$C$11,Assumptions!$B$51&gt;0),Assumptions!$B$51*Assumptions!$B$48,0)+IF(AND(Projects!$G$12="Yes",Projects!$K$12="No",84=Projects!$C$12,Assumptions!$B$52&gt;0),Assumptions!$B$52*Assumptions!$B$48,0)+IF(AND(Projects!$G$13="Yes",Projects!$K$13="No",84=Projects!$C$13,Assumptions!$B$54&gt;0),Assumptions!$B$54*Assumptions!$B$48,0)+IF(AND(Projects!$G$14="Yes",Projects!$K$14="No",84=Projects!$C$14,Assumptions!$B$55&gt;0),Assumptions!$B$55*Assumptions!$B$48,0)),Actuals!CK108)</f>
        <v>-0</v>
      </c>
      <c r="CK195" s="14" t="n">
        <f aca="false">IF(ISBLANK(Actuals!CL108),-(IF(AND(Projects!$G$7="Yes",Projects!$K$7="No",85=Projects!$C$7,Assumptions!$B$53&gt;0),Assumptions!$B$53*Assumptions!$B$48,0)+IF(AND(Projects!$G$11="Yes",Projects!$K$11="No",85=Projects!$C$11,Assumptions!$B$51&gt;0),Assumptions!$B$51*Assumptions!$B$48,0)+IF(AND(Projects!$G$12="Yes",Projects!$K$12="No",85=Projects!$C$12,Assumptions!$B$52&gt;0),Assumptions!$B$52*Assumptions!$B$48,0)+IF(AND(Projects!$G$13="Yes",Projects!$K$13="No",85=Projects!$C$13,Assumptions!$B$54&gt;0),Assumptions!$B$54*Assumptions!$B$48,0)+IF(AND(Projects!$G$14="Yes",Projects!$K$14="No",85=Projects!$C$14,Assumptions!$B$55&gt;0),Assumptions!$B$55*Assumptions!$B$48,0)),Actuals!CL108)</f>
        <v>-0</v>
      </c>
      <c r="CL195" s="14" t="n">
        <f aca="false">IF(ISBLANK(Actuals!CM108),-(IF(AND(Projects!$G$7="Yes",Projects!$K$7="No",86=Projects!$C$7,Assumptions!$B$53&gt;0),Assumptions!$B$53*Assumptions!$B$48,0)+IF(AND(Projects!$G$11="Yes",Projects!$K$11="No",86=Projects!$C$11,Assumptions!$B$51&gt;0),Assumptions!$B$51*Assumptions!$B$48,0)+IF(AND(Projects!$G$12="Yes",Projects!$K$12="No",86=Projects!$C$12,Assumptions!$B$52&gt;0),Assumptions!$B$52*Assumptions!$B$48,0)+IF(AND(Projects!$G$13="Yes",Projects!$K$13="No",86=Projects!$C$13,Assumptions!$B$54&gt;0),Assumptions!$B$54*Assumptions!$B$48,0)+IF(AND(Projects!$G$14="Yes",Projects!$K$14="No",86=Projects!$C$14,Assumptions!$B$55&gt;0),Assumptions!$B$55*Assumptions!$B$48,0)),Actuals!CM108)</f>
        <v>-0</v>
      </c>
      <c r="CM195" s="14" t="n">
        <f aca="false">IF(ISBLANK(Actuals!CN108),-(IF(AND(Projects!$G$7="Yes",Projects!$K$7="No",87=Projects!$C$7,Assumptions!$B$53&gt;0),Assumptions!$B$53*Assumptions!$B$48,0)+IF(AND(Projects!$G$11="Yes",Projects!$K$11="No",87=Projects!$C$11,Assumptions!$B$51&gt;0),Assumptions!$B$51*Assumptions!$B$48,0)+IF(AND(Projects!$G$12="Yes",Projects!$K$12="No",87=Projects!$C$12,Assumptions!$B$52&gt;0),Assumptions!$B$52*Assumptions!$B$48,0)+IF(AND(Projects!$G$13="Yes",Projects!$K$13="No",87=Projects!$C$13,Assumptions!$B$54&gt;0),Assumptions!$B$54*Assumptions!$B$48,0)+IF(AND(Projects!$G$14="Yes",Projects!$K$14="No",87=Projects!$C$14,Assumptions!$B$55&gt;0),Assumptions!$B$55*Assumptions!$B$48,0)),Actuals!CN108)</f>
        <v>-0</v>
      </c>
      <c r="CN195" s="14" t="n">
        <f aca="false">IF(ISBLANK(Actuals!CO108),-(IF(AND(Projects!$G$7="Yes",Projects!$K$7="No",88=Projects!$C$7,Assumptions!$B$53&gt;0),Assumptions!$B$53*Assumptions!$B$48,0)+IF(AND(Projects!$G$11="Yes",Projects!$K$11="No",88=Projects!$C$11,Assumptions!$B$51&gt;0),Assumptions!$B$51*Assumptions!$B$48,0)+IF(AND(Projects!$G$12="Yes",Projects!$K$12="No",88=Projects!$C$12,Assumptions!$B$52&gt;0),Assumptions!$B$52*Assumptions!$B$48,0)+IF(AND(Projects!$G$13="Yes",Projects!$K$13="No",88=Projects!$C$13,Assumptions!$B$54&gt;0),Assumptions!$B$54*Assumptions!$B$48,0)+IF(AND(Projects!$G$14="Yes",Projects!$K$14="No",88=Projects!$C$14,Assumptions!$B$55&gt;0),Assumptions!$B$55*Assumptions!$B$48,0)),Actuals!CO108)</f>
        <v>-0</v>
      </c>
      <c r="CO195" s="14" t="n">
        <f aca="false">IF(ISBLANK(Actuals!CP108),-(IF(AND(Projects!$G$7="Yes",Projects!$K$7="No",89=Projects!$C$7,Assumptions!$B$53&gt;0),Assumptions!$B$53*Assumptions!$B$48,0)+IF(AND(Projects!$G$11="Yes",Projects!$K$11="No",89=Projects!$C$11,Assumptions!$B$51&gt;0),Assumptions!$B$51*Assumptions!$B$48,0)+IF(AND(Projects!$G$12="Yes",Projects!$K$12="No",89=Projects!$C$12,Assumptions!$B$52&gt;0),Assumptions!$B$52*Assumptions!$B$48,0)+IF(AND(Projects!$G$13="Yes",Projects!$K$13="No",89=Projects!$C$13,Assumptions!$B$54&gt;0),Assumptions!$B$54*Assumptions!$B$48,0)+IF(AND(Projects!$G$14="Yes",Projects!$K$14="No",89=Projects!$C$14,Assumptions!$B$55&gt;0),Assumptions!$B$55*Assumptions!$B$48,0)),Actuals!CP108)</f>
        <v>-0</v>
      </c>
      <c r="CP195" s="14" t="n">
        <f aca="false">IF(ISBLANK(Actuals!CQ108),-(IF(AND(Projects!$G$7="Yes",Projects!$K$7="No",90=Projects!$C$7,Assumptions!$B$53&gt;0),Assumptions!$B$53*Assumptions!$B$48,0)+IF(AND(Projects!$G$11="Yes",Projects!$K$11="No",90=Projects!$C$11,Assumptions!$B$51&gt;0),Assumptions!$B$51*Assumptions!$B$48,0)+IF(AND(Projects!$G$12="Yes",Projects!$K$12="No",90=Projects!$C$12,Assumptions!$B$52&gt;0),Assumptions!$B$52*Assumptions!$B$48,0)+IF(AND(Projects!$G$13="Yes",Projects!$K$13="No",90=Projects!$C$13,Assumptions!$B$54&gt;0),Assumptions!$B$54*Assumptions!$B$48,0)+IF(AND(Projects!$G$14="Yes",Projects!$K$14="No",90=Projects!$C$14,Assumptions!$B$55&gt;0),Assumptions!$B$55*Assumptions!$B$48,0)),Actuals!CQ108)</f>
        <v>-0</v>
      </c>
      <c r="CQ195" s="14" t="n">
        <f aca="false">IF(ISBLANK(Actuals!CR108),-(IF(AND(Projects!$G$7="Yes",Projects!$K$7="No",91=Projects!$C$7,Assumptions!$B$53&gt;0),Assumptions!$B$53*Assumptions!$B$48,0)+IF(AND(Projects!$G$11="Yes",Projects!$K$11="No",91=Projects!$C$11,Assumptions!$B$51&gt;0),Assumptions!$B$51*Assumptions!$B$48,0)+IF(AND(Projects!$G$12="Yes",Projects!$K$12="No",91=Projects!$C$12,Assumptions!$B$52&gt;0),Assumptions!$B$52*Assumptions!$B$48,0)+IF(AND(Projects!$G$13="Yes",Projects!$K$13="No",91=Projects!$C$13,Assumptions!$B$54&gt;0),Assumptions!$B$54*Assumptions!$B$48,0)+IF(AND(Projects!$G$14="Yes",Projects!$K$14="No",91=Projects!$C$14,Assumptions!$B$55&gt;0),Assumptions!$B$55*Assumptions!$B$48,0)),Actuals!CR108)</f>
        <v>-0</v>
      </c>
      <c r="CR195" s="14" t="n">
        <f aca="false">IF(ISBLANK(Actuals!CS108),-(IF(AND(Projects!$G$7="Yes",Projects!$K$7="No",92=Projects!$C$7,Assumptions!$B$53&gt;0),Assumptions!$B$53*Assumptions!$B$48,0)+IF(AND(Projects!$G$11="Yes",Projects!$K$11="No",92=Projects!$C$11,Assumptions!$B$51&gt;0),Assumptions!$B$51*Assumptions!$B$48,0)+IF(AND(Projects!$G$12="Yes",Projects!$K$12="No",92=Projects!$C$12,Assumptions!$B$52&gt;0),Assumptions!$B$52*Assumptions!$B$48,0)+IF(AND(Projects!$G$13="Yes",Projects!$K$13="No",92=Projects!$C$13,Assumptions!$B$54&gt;0),Assumptions!$B$54*Assumptions!$B$48,0)+IF(AND(Projects!$G$14="Yes",Projects!$K$14="No",92=Projects!$C$14,Assumptions!$B$55&gt;0),Assumptions!$B$55*Assumptions!$B$48,0)),Actuals!CS108)</f>
        <v>-0</v>
      </c>
      <c r="CS195" s="14" t="n">
        <f aca="false">IF(ISBLANK(Actuals!CT108),-(IF(AND(Projects!$G$7="Yes",Projects!$K$7="No",93=Projects!$C$7,Assumptions!$B$53&gt;0),Assumptions!$B$53*Assumptions!$B$48,0)+IF(AND(Projects!$G$11="Yes",Projects!$K$11="No",93=Projects!$C$11,Assumptions!$B$51&gt;0),Assumptions!$B$51*Assumptions!$B$48,0)+IF(AND(Projects!$G$12="Yes",Projects!$K$12="No",93=Projects!$C$12,Assumptions!$B$52&gt;0),Assumptions!$B$52*Assumptions!$B$48,0)+IF(AND(Projects!$G$13="Yes",Projects!$K$13="No",93=Projects!$C$13,Assumptions!$B$54&gt;0),Assumptions!$B$54*Assumptions!$B$48,0)+IF(AND(Projects!$G$14="Yes",Projects!$K$14="No",93=Projects!$C$14,Assumptions!$B$55&gt;0),Assumptions!$B$55*Assumptions!$B$48,0)),Actuals!CT108)</f>
        <v>-0</v>
      </c>
      <c r="CT195" s="14" t="n">
        <f aca="false">IF(ISBLANK(Actuals!CU108),-(IF(AND(Projects!$G$7="Yes",Projects!$K$7="No",94=Projects!$C$7,Assumptions!$B$53&gt;0),Assumptions!$B$53*Assumptions!$B$48,0)+IF(AND(Projects!$G$11="Yes",Projects!$K$11="No",94=Projects!$C$11,Assumptions!$B$51&gt;0),Assumptions!$B$51*Assumptions!$B$48,0)+IF(AND(Projects!$G$12="Yes",Projects!$K$12="No",94=Projects!$C$12,Assumptions!$B$52&gt;0),Assumptions!$B$52*Assumptions!$B$48,0)+IF(AND(Projects!$G$13="Yes",Projects!$K$13="No",94=Projects!$C$13,Assumptions!$B$54&gt;0),Assumptions!$B$54*Assumptions!$B$48,0)+IF(AND(Projects!$G$14="Yes",Projects!$K$14="No",94=Projects!$C$14,Assumptions!$B$55&gt;0),Assumptions!$B$55*Assumptions!$B$48,0)),Actuals!CU108)</f>
        <v>-0</v>
      </c>
      <c r="CU195" s="14" t="n">
        <f aca="false">IF(ISBLANK(Actuals!CV108),-(IF(AND(Projects!$G$7="Yes",Projects!$K$7="No",95=Projects!$C$7,Assumptions!$B$53&gt;0),Assumptions!$B$53*Assumptions!$B$48,0)+IF(AND(Projects!$G$11="Yes",Projects!$K$11="No",95=Projects!$C$11,Assumptions!$B$51&gt;0),Assumptions!$B$51*Assumptions!$B$48,0)+IF(AND(Projects!$G$12="Yes",Projects!$K$12="No",95=Projects!$C$12,Assumptions!$B$52&gt;0),Assumptions!$B$52*Assumptions!$B$48,0)+IF(AND(Projects!$G$13="Yes",Projects!$K$13="No",95=Projects!$C$13,Assumptions!$B$54&gt;0),Assumptions!$B$54*Assumptions!$B$48,0)+IF(AND(Projects!$G$14="Yes",Projects!$K$14="No",95=Projects!$C$14,Assumptions!$B$55&gt;0),Assumptions!$B$55*Assumptions!$B$48,0)),Actuals!CV108)</f>
        <v>-0</v>
      </c>
      <c r="CV195" s="14" t="n">
        <f aca="false">IF(ISBLANK(Actuals!CW108),-(IF(AND(Projects!$G$7="Yes",Projects!$K$7="No",96=Projects!$C$7,Assumptions!$B$53&gt;0),Assumptions!$B$53*Assumptions!$B$48,0)+IF(AND(Projects!$G$11="Yes",Projects!$K$11="No",96=Projects!$C$11,Assumptions!$B$51&gt;0),Assumptions!$B$51*Assumptions!$B$48,0)+IF(AND(Projects!$G$12="Yes",Projects!$K$12="No",96=Projects!$C$12,Assumptions!$B$52&gt;0),Assumptions!$B$52*Assumptions!$B$48,0)+IF(AND(Projects!$G$13="Yes",Projects!$K$13="No",96=Projects!$C$13,Assumptions!$B$54&gt;0),Assumptions!$B$54*Assumptions!$B$48,0)+IF(AND(Projects!$G$14="Yes",Projects!$K$14="No",96=Projects!$C$14,Assumptions!$B$55&gt;0),Assumptions!$B$55*Assumptions!$B$48,0)),Actuals!CW108)</f>
        <v>-0</v>
      </c>
      <c r="CW195" s="14" t="n">
        <f aca="false">IF(ISBLANK(Actuals!CX108),-(IF(AND(Projects!$G$7="Yes",Projects!$K$7="No",97=Projects!$C$7,Assumptions!$B$53&gt;0),Assumptions!$B$53*Assumptions!$B$48,0)+IF(AND(Projects!$G$11="Yes",Projects!$K$11="No",97=Projects!$C$11,Assumptions!$B$51&gt;0),Assumptions!$B$51*Assumptions!$B$48,0)+IF(AND(Projects!$G$12="Yes",Projects!$K$12="No",97=Projects!$C$12,Assumptions!$B$52&gt;0),Assumptions!$B$52*Assumptions!$B$48,0)+IF(AND(Projects!$G$13="Yes",Projects!$K$13="No",97=Projects!$C$13,Assumptions!$B$54&gt;0),Assumptions!$B$54*Assumptions!$B$48,0)+IF(AND(Projects!$G$14="Yes",Projects!$K$14="No",97=Projects!$C$14,Assumptions!$B$55&gt;0),Assumptions!$B$55*Assumptions!$B$48,0)),Actuals!CX108)</f>
        <v>-0</v>
      </c>
      <c r="CX195" s="14" t="n">
        <f aca="false">IF(ISBLANK(Actuals!CY108),-(IF(AND(Projects!$G$7="Yes",Projects!$K$7="No",98=Projects!$C$7,Assumptions!$B$53&gt;0),Assumptions!$B$53*Assumptions!$B$48,0)+IF(AND(Projects!$G$11="Yes",Projects!$K$11="No",98=Projects!$C$11,Assumptions!$B$51&gt;0),Assumptions!$B$51*Assumptions!$B$48,0)+IF(AND(Projects!$G$12="Yes",Projects!$K$12="No",98=Projects!$C$12,Assumptions!$B$52&gt;0),Assumptions!$B$52*Assumptions!$B$48,0)+IF(AND(Projects!$G$13="Yes",Projects!$K$13="No",98=Projects!$C$13,Assumptions!$B$54&gt;0),Assumptions!$B$54*Assumptions!$B$48,0)+IF(AND(Projects!$G$14="Yes",Projects!$K$14="No",98=Projects!$C$14,Assumptions!$B$55&gt;0),Assumptions!$B$55*Assumptions!$B$48,0)),Actuals!CY108)</f>
        <v>-0</v>
      </c>
      <c r="CY195" s="14" t="n">
        <f aca="false">IF(ISBLANK(Actuals!CZ108),-(IF(AND(Projects!$G$7="Yes",Projects!$K$7="No",99=Projects!$C$7,Assumptions!$B$53&gt;0),Assumptions!$B$53*Assumptions!$B$48,0)+IF(AND(Projects!$G$11="Yes",Projects!$K$11="No",99=Projects!$C$11,Assumptions!$B$51&gt;0),Assumptions!$B$51*Assumptions!$B$48,0)+IF(AND(Projects!$G$12="Yes",Projects!$K$12="No",99=Projects!$C$12,Assumptions!$B$52&gt;0),Assumptions!$B$52*Assumptions!$B$48,0)+IF(AND(Projects!$G$13="Yes",Projects!$K$13="No",99=Projects!$C$13,Assumptions!$B$54&gt;0),Assumptions!$B$54*Assumptions!$B$48,0)+IF(AND(Projects!$G$14="Yes",Projects!$K$14="No",99=Projects!$C$14,Assumptions!$B$55&gt;0),Assumptions!$B$55*Assumptions!$B$48,0)),Actuals!CZ108)</f>
        <v>-0</v>
      </c>
      <c r="CZ195" s="14" t="n">
        <f aca="false">IF(ISBLANK(Actuals!DA108),-(IF(AND(Projects!$G$7="Yes",Projects!$K$7="No",100=Projects!$C$7,Assumptions!$B$53&gt;0),Assumptions!$B$53*Assumptions!$B$48,0)+IF(AND(Projects!$G$11="Yes",Projects!$K$11="No",100=Projects!$C$11,Assumptions!$B$51&gt;0),Assumptions!$B$51*Assumptions!$B$48,0)+IF(AND(Projects!$G$12="Yes",Projects!$K$12="No",100=Projects!$C$12,Assumptions!$B$52&gt;0),Assumptions!$B$52*Assumptions!$B$48,0)+IF(AND(Projects!$G$13="Yes",Projects!$K$13="No",100=Projects!$C$13,Assumptions!$B$54&gt;0),Assumptions!$B$54*Assumptions!$B$48,0)+IF(AND(Projects!$G$14="Yes",Projects!$K$14="No",100=Projects!$C$14,Assumptions!$B$55&gt;0),Assumptions!$B$55*Assumptions!$B$48,0)),Actuals!DA108)</f>
        <v>-0</v>
      </c>
      <c r="DA195" s="14" t="n">
        <f aca="false">IF(ISBLANK(Actuals!DB108),-(IF(AND(Projects!$G$7="Yes",Projects!$K$7="No",101=Projects!$C$7,Assumptions!$B$53&gt;0),Assumptions!$B$53*Assumptions!$B$48,0)+IF(AND(Projects!$G$11="Yes",Projects!$K$11="No",101=Projects!$C$11,Assumptions!$B$51&gt;0),Assumptions!$B$51*Assumptions!$B$48,0)+IF(AND(Projects!$G$12="Yes",Projects!$K$12="No",101=Projects!$C$12,Assumptions!$B$52&gt;0),Assumptions!$B$52*Assumptions!$B$48,0)+IF(AND(Projects!$G$13="Yes",Projects!$K$13="No",101=Projects!$C$13,Assumptions!$B$54&gt;0),Assumptions!$B$54*Assumptions!$B$48,0)+IF(AND(Projects!$G$14="Yes",Projects!$K$14="No",101=Projects!$C$14,Assumptions!$B$55&gt;0),Assumptions!$B$55*Assumptions!$B$48,0)),Actuals!DB108)</f>
        <v>-0</v>
      </c>
      <c r="DB195" s="14" t="n">
        <f aca="false">IF(ISBLANK(Actuals!DC108),-(IF(AND(Projects!$G$7="Yes",Projects!$K$7="No",102=Projects!$C$7,Assumptions!$B$53&gt;0),Assumptions!$B$53*Assumptions!$B$48,0)+IF(AND(Projects!$G$11="Yes",Projects!$K$11="No",102=Projects!$C$11,Assumptions!$B$51&gt;0),Assumptions!$B$51*Assumptions!$B$48,0)+IF(AND(Projects!$G$12="Yes",Projects!$K$12="No",102=Projects!$C$12,Assumptions!$B$52&gt;0),Assumptions!$B$52*Assumptions!$B$48,0)+IF(AND(Projects!$G$13="Yes",Projects!$K$13="No",102=Projects!$C$13,Assumptions!$B$54&gt;0),Assumptions!$B$54*Assumptions!$B$48,0)+IF(AND(Projects!$G$14="Yes",Projects!$K$14="No",102=Projects!$C$14,Assumptions!$B$55&gt;0),Assumptions!$B$55*Assumptions!$B$48,0)),Actuals!DC108)</f>
        <v>-0</v>
      </c>
      <c r="DC195" s="14" t="n">
        <f aca="false">IF(ISBLANK(Actuals!DD108),-(IF(AND(Projects!$G$7="Yes",Projects!$K$7="No",103=Projects!$C$7,Assumptions!$B$53&gt;0),Assumptions!$B$53*Assumptions!$B$48,0)+IF(AND(Projects!$G$11="Yes",Projects!$K$11="No",103=Projects!$C$11,Assumptions!$B$51&gt;0),Assumptions!$B$51*Assumptions!$B$48,0)+IF(AND(Projects!$G$12="Yes",Projects!$K$12="No",103=Projects!$C$12,Assumptions!$B$52&gt;0),Assumptions!$B$52*Assumptions!$B$48,0)+IF(AND(Projects!$G$13="Yes",Projects!$K$13="No",103=Projects!$C$13,Assumptions!$B$54&gt;0),Assumptions!$B$54*Assumptions!$B$48,0)+IF(AND(Projects!$G$14="Yes",Projects!$K$14="No",103=Projects!$C$14,Assumptions!$B$55&gt;0),Assumptions!$B$55*Assumptions!$B$48,0)),Actuals!DD108)</f>
        <v>-0</v>
      </c>
      <c r="DD195" s="14" t="n">
        <f aca="false">IF(ISBLANK(Actuals!DE108),-(IF(AND(Projects!$G$7="Yes",Projects!$K$7="No",104=Projects!$C$7,Assumptions!$B$53&gt;0),Assumptions!$B$53*Assumptions!$B$48,0)+IF(AND(Projects!$G$11="Yes",Projects!$K$11="No",104=Projects!$C$11,Assumptions!$B$51&gt;0),Assumptions!$B$51*Assumptions!$B$48,0)+IF(AND(Projects!$G$12="Yes",Projects!$K$12="No",104=Projects!$C$12,Assumptions!$B$52&gt;0),Assumptions!$B$52*Assumptions!$B$48,0)+IF(AND(Projects!$G$13="Yes",Projects!$K$13="No",104=Projects!$C$13,Assumptions!$B$54&gt;0),Assumptions!$B$54*Assumptions!$B$48,0)+IF(AND(Projects!$G$14="Yes",Projects!$K$14="No",104=Projects!$C$14,Assumptions!$B$55&gt;0),Assumptions!$B$55*Assumptions!$B$48,0)),Actuals!DE108)</f>
        <v>-0</v>
      </c>
      <c r="DE195" s="14" t="n">
        <f aca="false">IF(ISBLANK(Actuals!DF108),-(IF(AND(Projects!$G$7="Yes",Projects!$K$7="No",105=Projects!$C$7,Assumptions!$B$53&gt;0),Assumptions!$B$53*Assumptions!$B$48,0)+IF(AND(Projects!$G$11="Yes",Projects!$K$11="No",105=Projects!$C$11,Assumptions!$B$51&gt;0),Assumptions!$B$51*Assumptions!$B$48,0)+IF(AND(Projects!$G$12="Yes",Projects!$K$12="No",105=Projects!$C$12,Assumptions!$B$52&gt;0),Assumptions!$B$52*Assumptions!$B$48,0)+IF(AND(Projects!$G$13="Yes",Projects!$K$13="No",105=Projects!$C$13,Assumptions!$B$54&gt;0),Assumptions!$B$54*Assumptions!$B$48,0)+IF(AND(Projects!$G$14="Yes",Projects!$K$14="No",105=Projects!$C$14,Assumptions!$B$55&gt;0),Assumptions!$B$55*Assumptions!$B$48,0)),Actuals!DF108)</f>
        <v>-0</v>
      </c>
    </row>
    <row r="196" customFormat="false" ht="15" hidden="false" customHeight="true" outlineLevel="0" collapsed="false">
      <c r="A196" s="29" t="s">
        <v>129</v>
      </c>
      <c r="B196" s="14" t="n">
        <f aca="false">IF(ISBLANK(Actuals!C109),0,Actuals!C109)</f>
        <v>0</v>
      </c>
      <c r="C196" s="14" t="n">
        <f aca="false">IF(ISBLANK(Actuals!D109),0,Actuals!D109)</f>
        <v>0</v>
      </c>
      <c r="D196" s="14" t="n">
        <f aca="false">IF(ISBLANK(Actuals!E109),0,Actuals!E109)</f>
        <v>0</v>
      </c>
      <c r="E196" s="14" t="n">
        <f aca="false">IF(ISBLANK(Actuals!F109),-Helpers!C20,Actuals!F109)</f>
        <v>-0</v>
      </c>
      <c r="F196" s="14" t="n">
        <f aca="false">IF(ISBLANK(Actuals!G109),-Helpers!D20,Actuals!G109)</f>
        <v>-0</v>
      </c>
      <c r="G196" s="14" t="n">
        <f aca="false">IF(ISBLANK(Actuals!H109),-Helpers!E20,Actuals!H109)</f>
        <v>-0</v>
      </c>
      <c r="H196" s="14" t="n">
        <f aca="false">IF(ISBLANK(Actuals!I109),-Helpers!F20,Actuals!I109)</f>
        <v>-0</v>
      </c>
      <c r="I196" s="14" t="n">
        <f aca="false">IF(ISBLANK(Actuals!J109),-Helpers!G20,Actuals!J109)</f>
        <v>-0</v>
      </c>
      <c r="J196" s="14" t="n">
        <f aca="false">IF(ISBLANK(Actuals!K109),-Helpers!H20,Actuals!K109)</f>
        <v>-0</v>
      </c>
      <c r="K196" s="14" t="n">
        <f aca="false">IF(ISBLANK(Actuals!L109),-Helpers!I20,Actuals!L109)</f>
        <v>-0</v>
      </c>
      <c r="L196" s="14" t="n">
        <f aca="false">IF(ISBLANK(Actuals!M109),-Helpers!J20,Actuals!M109)</f>
        <v>-0</v>
      </c>
      <c r="M196" s="14" t="n">
        <f aca="false">IF(ISBLANK(Actuals!N109),-Helpers!K20,Actuals!N109)</f>
        <v>-0</v>
      </c>
      <c r="N196" s="14" t="n">
        <f aca="false">IF(ISBLANK(Actuals!O109),-Helpers!L20,Actuals!O109)</f>
        <v>-0</v>
      </c>
      <c r="O196" s="14" t="n">
        <f aca="false">IF(ISBLANK(Actuals!P109),-Helpers!M20,Actuals!P109)</f>
        <v>-0</v>
      </c>
      <c r="P196" s="14" t="n">
        <f aca="false">IF(ISBLANK(Actuals!Q109),-Helpers!N20,Actuals!Q109)</f>
        <v>-0</v>
      </c>
      <c r="Q196" s="14" t="n">
        <f aca="false">IF(ISBLANK(Actuals!R109),-Helpers!O20,Actuals!R109)</f>
        <v>-0</v>
      </c>
      <c r="R196" s="14" t="n">
        <f aca="false">IF(ISBLANK(Actuals!S109),-Helpers!P20,Actuals!S109)</f>
        <v>-0</v>
      </c>
      <c r="S196" s="14" t="n">
        <f aca="false">IF(ISBLANK(Actuals!T109),-Helpers!Q20,Actuals!T109)</f>
        <v>-0</v>
      </c>
      <c r="T196" s="14" t="n">
        <f aca="false">IF(ISBLANK(Actuals!U109),-Helpers!R20,Actuals!U109)</f>
        <v>-0</v>
      </c>
      <c r="U196" s="14" t="n">
        <f aca="false">IF(ISBLANK(Actuals!V109),-Helpers!S20,Actuals!V109)</f>
        <v>-0</v>
      </c>
      <c r="V196" s="14" t="n">
        <f aca="false">IF(ISBLANK(Actuals!W109),-Helpers!T20,Actuals!W109)</f>
        <v>-0</v>
      </c>
      <c r="W196" s="14" t="n">
        <f aca="false">IF(ISBLANK(Actuals!X109),-Helpers!U20,Actuals!X109)</f>
        <v>-0</v>
      </c>
      <c r="X196" s="14" t="n">
        <f aca="false">IF(ISBLANK(Actuals!Y109),-Helpers!V20,Actuals!Y109)</f>
        <v>-0</v>
      </c>
      <c r="Y196" s="14" t="n">
        <f aca="false">IF(ISBLANK(Actuals!Z109),-Helpers!W20,Actuals!Z109)</f>
        <v>-0</v>
      </c>
      <c r="Z196" s="14" t="n">
        <f aca="false">IF(ISBLANK(Actuals!AA109),-Helpers!X20,Actuals!AA109)</f>
        <v>-0</v>
      </c>
      <c r="AA196" s="14" t="n">
        <f aca="false">IF(ISBLANK(Actuals!AB109),-Helpers!Y20,Actuals!AB109)</f>
        <v>-0</v>
      </c>
      <c r="AB196" s="14" t="n">
        <f aca="false">IF(ISBLANK(Actuals!AC109),-Helpers!Z20,Actuals!AC109)</f>
        <v>-0</v>
      </c>
      <c r="AC196" s="14" t="n">
        <f aca="false">IF(ISBLANK(Actuals!AD109),-Helpers!AA20,Actuals!AD109)</f>
        <v>-0</v>
      </c>
      <c r="AD196" s="14" t="n">
        <f aca="false">IF(ISBLANK(Actuals!AE109),-Helpers!AB20,Actuals!AE109)</f>
        <v>-0</v>
      </c>
      <c r="AE196" s="14" t="n">
        <f aca="false">IF(ISBLANK(Actuals!AF109),-Helpers!AC20,Actuals!AF109)</f>
        <v>-0</v>
      </c>
      <c r="AF196" s="14" t="n">
        <f aca="false">IF(ISBLANK(Actuals!AG109),-Helpers!AD20,Actuals!AG109)</f>
        <v>-0</v>
      </c>
      <c r="AG196" s="14" t="n">
        <f aca="false">IF(ISBLANK(Actuals!AH109),-Helpers!AE20,Actuals!AH109)</f>
        <v>-0</v>
      </c>
      <c r="AH196" s="14" t="n">
        <f aca="false">IF(ISBLANK(Actuals!AI109),-Helpers!AF20,Actuals!AI109)</f>
        <v>-0</v>
      </c>
      <c r="AI196" s="14" t="n">
        <f aca="false">IF(ISBLANK(Actuals!AJ109),-Helpers!AG20,Actuals!AJ109)</f>
        <v>-0</v>
      </c>
      <c r="AJ196" s="14" t="n">
        <f aca="false">IF(ISBLANK(Actuals!AK109),-Helpers!AH20,Actuals!AK109)</f>
        <v>-0</v>
      </c>
      <c r="AK196" s="14" t="n">
        <f aca="false">IF(ISBLANK(Actuals!AL109),-Helpers!AI20,Actuals!AL109)</f>
        <v>-0</v>
      </c>
      <c r="AL196" s="14" t="n">
        <f aca="false">IF(ISBLANK(Actuals!AM109),-Helpers!AJ20,Actuals!AM109)</f>
        <v>-0</v>
      </c>
      <c r="AM196" s="14" t="n">
        <f aca="false">IF(ISBLANK(Actuals!AN109),-Helpers!AK20,Actuals!AN109)</f>
        <v>-0</v>
      </c>
      <c r="AN196" s="14" t="n">
        <f aca="false">IF(ISBLANK(Actuals!AO109),-Helpers!AL20,Actuals!AO109)</f>
        <v>-0</v>
      </c>
      <c r="AO196" s="14" t="n">
        <f aca="false">IF(ISBLANK(Actuals!AP109),-Helpers!AM20,Actuals!AP109)</f>
        <v>-0</v>
      </c>
      <c r="AP196" s="14" t="n">
        <f aca="false">IF(ISBLANK(Actuals!AQ109),-Helpers!AN20,Actuals!AQ109)</f>
        <v>-0</v>
      </c>
      <c r="AQ196" s="14" t="n">
        <f aca="false">IF(ISBLANK(Actuals!AR109),-Helpers!AO20,Actuals!AR109)</f>
        <v>-0</v>
      </c>
      <c r="AR196" s="14" t="n">
        <f aca="false">IF(ISBLANK(Actuals!AS109),-Helpers!AP20,Actuals!AS109)</f>
        <v>-0</v>
      </c>
      <c r="AS196" s="14" t="n">
        <f aca="false">IF(ISBLANK(Actuals!AT109),-Helpers!AQ20,Actuals!AT109)</f>
        <v>-0</v>
      </c>
      <c r="AT196" s="14" t="n">
        <f aca="false">IF(ISBLANK(Actuals!AU109),-Helpers!AR20,Actuals!AU109)</f>
        <v>-81683</v>
      </c>
      <c r="AU196" s="14" t="n">
        <f aca="false">IF(ISBLANK(Actuals!AV109),-Helpers!AS20,Actuals!AV109)</f>
        <v>-0</v>
      </c>
      <c r="AV196" s="14" t="n">
        <f aca="false">IF(ISBLANK(Actuals!AW109),-Helpers!AT20,Actuals!AW109)</f>
        <v>-0</v>
      </c>
      <c r="AW196" s="14" t="n">
        <f aca="false">IF(ISBLANK(Actuals!AX109),-Helpers!AU20,Actuals!AX109)</f>
        <v>-81682</v>
      </c>
      <c r="AX196" s="14" t="n">
        <f aca="false">IF(ISBLANK(Actuals!AY109),-Helpers!AV20,Actuals!AY109)</f>
        <v>-0</v>
      </c>
      <c r="AY196" s="14" t="n">
        <f aca="false">IF(ISBLANK(Actuals!AZ109),-Helpers!AW20,Actuals!AZ109)</f>
        <v>-0</v>
      </c>
      <c r="AZ196" s="14" t="n">
        <f aca="false">IF(ISBLANK(Actuals!BA109),-Helpers!AX20,Actuals!BA109)</f>
        <v>-81682</v>
      </c>
      <c r="BA196" s="14" t="n">
        <f aca="false">IF(ISBLANK(Actuals!BB109),-Helpers!AY20,Actuals!BB109)</f>
        <v>-0</v>
      </c>
      <c r="BB196" s="14" t="n">
        <f aca="false">IF(ISBLANK(Actuals!BC109),-Helpers!AZ20,Actuals!BC109)</f>
        <v>-0</v>
      </c>
      <c r="BC196" s="14" t="n">
        <f aca="false">IF(ISBLANK(Actuals!BD109),-Helpers!BA20,Actuals!BD109)</f>
        <v>-81682</v>
      </c>
      <c r="BD196" s="14" t="n">
        <f aca="false">IF(ISBLANK(Actuals!BE109),-Helpers!BB20,Actuals!BE109)</f>
        <v>-0</v>
      </c>
      <c r="BE196" s="14" t="n">
        <f aca="false">IF(ISBLANK(Actuals!BF109),-Helpers!BC20,Actuals!BF109)</f>
        <v>-0</v>
      </c>
      <c r="BF196" s="14" t="n">
        <f aca="false">IF(ISBLANK(Actuals!BG109),-Helpers!BD20,Actuals!BG109)</f>
        <v>-59178</v>
      </c>
      <c r="BG196" s="14" t="n">
        <f aca="false">IF(ISBLANK(Actuals!BH109),-Helpers!BE20,Actuals!BH109)</f>
        <v>-0</v>
      </c>
      <c r="BH196" s="14" t="n">
        <f aca="false">IF(ISBLANK(Actuals!BI109),-Helpers!BF20,Actuals!BI109)</f>
        <v>-0</v>
      </c>
      <c r="BI196" s="14" t="n">
        <f aca="false">IF(ISBLANK(Actuals!BJ109),-Helpers!BG20,Actuals!BJ109)</f>
        <v>-59176</v>
      </c>
      <c r="BJ196" s="14" t="n">
        <f aca="false">IF(ISBLANK(Actuals!BK109),-Helpers!BH20,Actuals!BK109)</f>
        <v>-0</v>
      </c>
      <c r="BK196" s="14" t="n">
        <f aca="false">IF(ISBLANK(Actuals!BL109),-Helpers!BI20,Actuals!BL109)</f>
        <v>-0</v>
      </c>
      <c r="BL196" s="14" t="n">
        <f aca="false">IF(ISBLANK(Actuals!BM109),-Helpers!BJ20,Actuals!BM109)</f>
        <v>-59176</v>
      </c>
      <c r="BM196" s="14" t="n">
        <f aca="false">IF(ISBLANK(Actuals!BN109),-Helpers!BK20,Actuals!BN109)</f>
        <v>-0</v>
      </c>
      <c r="BN196" s="14" t="n">
        <f aca="false">IF(ISBLANK(Actuals!BO109),-Helpers!BL20,Actuals!BO109)</f>
        <v>-0</v>
      </c>
      <c r="BO196" s="14" t="n">
        <f aca="false">IF(ISBLANK(Actuals!BP109),-Helpers!BM20,Actuals!BP109)</f>
        <v>-59176</v>
      </c>
      <c r="BP196" s="14" t="n">
        <f aca="false">IF(ISBLANK(Actuals!BQ109),-Helpers!BN20,Actuals!BQ109)</f>
        <v>-0</v>
      </c>
      <c r="BQ196" s="14" t="n">
        <f aca="false">IF(ISBLANK(Actuals!BR109),-Helpers!BO20,Actuals!BR109)</f>
        <v>-0</v>
      </c>
      <c r="BR196" s="14" t="n">
        <f aca="false">IF(ISBLANK(Actuals!BS109),-Helpers!BP20,Actuals!BS109)</f>
        <v>-14512.65</v>
      </c>
      <c r="BS196" s="14" t="n">
        <f aca="false">IF(ISBLANK(Actuals!BT109),-Helpers!BQ20,Actuals!BT109)</f>
        <v>-0</v>
      </c>
      <c r="BT196" s="14" t="n">
        <f aca="false">IF(ISBLANK(Actuals!BU109),-Helpers!BR20,Actuals!BU109)</f>
        <v>-0</v>
      </c>
      <c r="BU196" s="14" t="n">
        <f aca="false">IF(ISBLANK(Actuals!BV109),-Helpers!BS20,Actuals!BV109)</f>
        <v>-0</v>
      </c>
      <c r="BV196" s="14" t="n">
        <f aca="false">IF(ISBLANK(Actuals!BW109),-Helpers!BT20,Actuals!BW109)</f>
        <v>-0</v>
      </c>
      <c r="BW196" s="14" t="n">
        <f aca="false">IF(ISBLANK(Actuals!BX109),-Helpers!BU20,Actuals!BX109)</f>
        <v>-0</v>
      </c>
      <c r="BX196" s="14" t="n">
        <f aca="false">IF(ISBLANK(Actuals!BY109),-Helpers!BV20,Actuals!BY109)</f>
        <v>-0</v>
      </c>
      <c r="BY196" s="14" t="n">
        <f aca="false">IF(ISBLANK(Actuals!BZ109),-Helpers!BW20,Actuals!BZ109)</f>
        <v>-0</v>
      </c>
      <c r="BZ196" s="14" t="n">
        <f aca="false">IF(ISBLANK(Actuals!CA109),-Helpers!BX20,Actuals!CA109)</f>
        <v>-0</v>
      </c>
      <c r="CA196" s="14" t="n">
        <f aca="false">IF(ISBLANK(Actuals!CB109),-Helpers!BY20,Actuals!CB109)</f>
        <v>-0</v>
      </c>
      <c r="CB196" s="14" t="n">
        <f aca="false">IF(ISBLANK(Actuals!CC109),-Helpers!BZ20,Actuals!CC109)</f>
        <v>-0</v>
      </c>
      <c r="CC196" s="14" t="n">
        <f aca="false">IF(ISBLANK(Actuals!CD109),-Helpers!CA20,Actuals!CD109)</f>
        <v>-0</v>
      </c>
      <c r="CD196" s="14" t="n">
        <f aca="false">IF(ISBLANK(Actuals!CE109),-Helpers!CB20,Actuals!CE109)</f>
        <v>-0</v>
      </c>
      <c r="CE196" s="14" t="n">
        <f aca="false">IF(ISBLANK(Actuals!CF109),-Helpers!CC20,Actuals!CF109)</f>
        <v>-0</v>
      </c>
      <c r="CF196" s="14" t="n">
        <f aca="false">IF(ISBLANK(Actuals!CG109),-Helpers!CD20,Actuals!CG109)</f>
        <v>-0</v>
      </c>
      <c r="CG196" s="14" t="n">
        <f aca="false">IF(ISBLANK(Actuals!CH109),-Helpers!CE20,Actuals!CH109)</f>
        <v>-0</v>
      </c>
      <c r="CH196" s="14" t="n">
        <f aca="false">IF(ISBLANK(Actuals!CI109),-Helpers!CF20,Actuals!CI109)</f>
        <v>-0</v>
      </c>
      <c r="CI196" s="14" t="n">
        <f aca="false">IF(ISBLANK(Actuals!CJ109),-Helpers!CG20,Actuals!CJ109)</f>
        <v>-0</v>
      </c>
      <c r="CJ196" s="14" t="n">
        <f aca="false">IF(ISBLANK(Actuals!CK109),-Helpers!CH20,Actuals!CK109)</f>
        <v>-0</v>
      </c>
      <c r="CK196" s="14" t="n">
        <f aca="false">IF(ISBLANK(Actuals!CL109),-Helpers!CI20,Actuals!CL109)</f>
        <v>-0</v>
      </c>
      <c r="CL196" s="14" t="n">
        <f aca="false">IF(ISBLANK(Actuals!CM109),-Helpers!CJ20,Actuals!CM109)</f>
        <v>-0</v>
      </c>
      <c r="CM196" s="14" t="n">
        <f aca="false">IF(ISBLANK(Actuals!CN109),-Helpers!CK20,Actuals!CN109)</f>
        <v>-0</v>
      </c>
      <c r="CN196" s="14" t="n">
        <f aca="false">IF(ISBLANK(Actuals!CO109),-Helpers!CL20,Actuals!CO109)</f>
        <v>-0</v>
      </c>
      <c r="CO196" s="14" t="n">
        <f aca="false">IF(ISBLANK(Actuals!CP109),-Helpers!CM20,Actuals!CP109)</f>
        <v>-0</v>
      </c>
      <c r="CP196" s="14" t="n">
        <f aca="false">IF(ISBLANK(Actuals!CQ109),-Helpers!CN20,Actuals!CQ109)</f>
        <v>-0</v>
      </c>
      <c r="CQ196" s="14" t="n">
        <f aca="false">IF(ISBLANK(Actuals!CR109),-Helpers!CO20,Actuals!CR109)</f>
        <v>-0</v>
      </c>
      <c r="CR196" s="14" t="n">
        <f aca="false">IF(ISBLANK(Actuals!CS109),-Helpers!CP20,Actuals!CS109)</f>
        <v>-0</v>
      </c>
      <c r="CS196" s="14" t="n">
        <f aca="false">IF(ISBLANK(Actuals!CT109),-Helpers!CQ20,Actuals!CT109)</f>
        <v>-0</v>
      </c>
      <c r="CT196" s="14" t="n">
        <f aca="false">IF(ISBLANK(Actuals!CU109),-Helpers!CR20,Actuals!CU109)</f>
        <v>-0</v>
      </c>
      <c r="CU196" s="14" t="n">
        <f aca="false">IF(ISBLANK(Actuals!CV109),-Helpers!CS20,Actuals!CV109)</f>
        <v>-0</v>
      </c>
      <c r="CV196" s="14" t="n">
        <f aca="false">IF(ISBLANK(Actuals!CW109),-Helpers!CT20,Actuals!CW109)</f>
        <v>-0</v>
      </c>
      <c r="CW196" s="14" t="n">
        <f aca="false">IF(ISBLANK(Actuals!CX109),-Helpers!CU20,Actuals!CX109)</f>
        <v>-0</v>
      </c>
      <c r="CX196" s="14" t="n">
        <f aca="false">IF(ISBLANK(Actuals!CY109),-Helpers!CV20,Actuals!CY109)</f>
        <v>-0</v>
      </c>
      <c r="CY196" s="14" t="n">
        <f aca="false">IF(ISBLANK(Actuals!CZ109),-Helpers!CW20,Actuals!CZ109)</f>
        <v>-0</v>
      </c>
      <c r="CZ196" s="14" t="n">
        <f aca="false">IF(ISBLANK(Actuals!DA109),-Helpers!CX20,Actuals!DA109)</f>
        <v>-0</v>
      </c>
      <c r="DA196" s="14" t="n">
        <f aca="false">IF(ISBLANK(Actuals!DB109),-Helpers!CY20,Actuals!DB109)</f>
        <v>-0</v>
      </c>
      <c r="DB196" s="14" t="n">
        <f aca="false">IF(ISBLANK(Actuals!DC109),-Helpers!CZ20,Actuals!DC109)</f>
        <v>-0</v>
      </c>
      <c r="DC196" s="14" t="n">
        <f aca="false">IF(ISBLANK(Actuals!DD109),-Helpers!DA20,Actuals!DD109)</f>
        <v>-0</v>
      </c>
      <c r="DD196" s="14" t="n">
        <f aca="false">IF(ISBLANK(Actuals!DE109),-Helpers!DB20,Actuals!DE109)</f>
        <v>-0</v>
      </c>
      <c r="DE196" s="14" t="n">
        <f aca="false">IF(ISBLANK(Actuals!DF109),-Helpers!DC20,Actuals!DF109)</f>
        <v>-0</v>
      </c>
    </row>
    <row r="197" customFormat="false" ht="15" hidden="false" customHeight="true" outlineLevel="0" collapsed="false">
      <c r="A197" s="29" t="s">
        <v>130</v>
      </c>
      <c r="B197" s="14" t="n">
        <f aca="false">IF(ISBLANK(Actuals!C110),0,Actuals!C110)</f>
        <v>0</v>
      </c>
      <c r="C197" s="14" t="n">
        <f aca="false">IF(ISBLANK(Actuals!D110),0,Actuals!D110)</f>
        <v>0</v>
      </c>
      <c r="D197" s="14" t="n">
        <f aca="false">IF(ISBLANK(Actuals!E110),0,Actuals!E110)</f>
        <v>0</v>
      </c>
      <c r="E197" s="14" t="n">
        <f aca="false">IF(ISBLANK(Actuals!F110),-Helpers!C23+E245,Actuals!F110)</f>
        <v>-0</v>
      </c>
      <c r="F197" s="14" t="n">
        <f aca="false">IF(ISBLANK(Actuals!G110),-Helpers!D23+F245,Actuals!G110)</f>
        <v>-0</v>
      </c>
      <c r="G197" s="14" t="n">
        <f aca="false">IF(ISBLANK(Actuals!H110),-Helpers!E23+G245,Actuals!H110)</f>
        <v>-0</v>
      </c>
      <c r="H197" s="14" t="n">
        <f aca="false">IF(ISBLANK(Actuals!I110),-Helpers!F23+H245,Actuals!I110)</f>
        <v>-0</v>
      </c>
      <c r="I197" s="14" t="n">
        <f aca="false">IF(ISBLANK(Actuals!J110),-Helpers!G23+I245,Actuals!J110)</f>
        <v>-0</v>
      </c>
      <c r="J197" s="14" t="n">
        <f aca="false">IF(ISBLANK(Actuals!K110),-Helpers!H23+J245,Actuals!K110)</f>
        <v>-0</v>
      </c>
      <c r="K197" s="14" t="n">
        <f aca="false">IF(ISBLANK(Actuals!L110),-Helpers!I23+K245,Actuals!L110)</f>
        <v>-0</v>
      </c>
      <c r="L197" s="14" t="n">
        <f aca="false">IF(ISBLANK(Actuals!M110),-Helpers!J23+L245,Actuals!M110)</f>
        <v>-0</v>
      </c>
      <c r="M197" s="14" t="n">
        <f aca="false">IF(ISBLANK(Actuals!N110),-Helpers!K23+M245,Actuals!N110)</f>
        <v>-0</v>
      </c>
      <c r="N197" s="14" t="n">
        <f aca="false">IF(ISBLANK(Actuals!O110),-Helpers!L23+N245,Actuals!O110)</f>
        <v>-0</v>
      </c>
      <c r="O197" s="14" t="n">
        <f aca="false">IF(ISBLANK(Actuals!P110),-Helpers!M23+O245,Actuals!P110)</f>
        <v>-0</v>
      </c>
      <c r="P197" s="14" t="n">
        <f aca="false">IF(ISBLANK(Actuals!Q110),-Helpers!N23+P245,Actuals!Q110)</f>
        <v>-0</v>
      </c>
      <c r="Q197" s="14" t="n">
        <f aca="false">IF(ISBLANK(Actuals!R110),-Helpers!O23+Q245,Actuals!R110)</f>
        <v>-0</v>
      </c>
      <c r="R197" s="14" t="n">
        <f aca="false">IF(ISBLANK(Actuals!S110),-Helpers!P23+R245,Actuals!S110)</f>
        <v>-0</v>
      </c>
      <c r="S197" s="14" t="n">
        <f aca="false">IF(ISBLANK(Actuals!T110),-Helpers!Q23+S245,Actuals!T110)</f>
        <v>-0</v>
      </c>
      <c r="T197" s="14" t="n">
        <f aca="false">IF(ISBLANK(Actuals!U110),-Helpers!R23+T245,Actuals!U110)</f>
        <v>-0</v>
      </c>
      <c r="U197" s="14" t="n">
        <f aca="false">IF(ISBLANK(Actuals!V110),-Helpers!S23+U245,Actuals!V110)</f>
        <v>-0</v>
      </c>
      <c r="V197" s="14" t="n">
        <f aca="false">IF(ISBLANK(Actuals!W110),-Helpers!T23+V245,Actuals!W110)</f>
        <v>-0</v>
      </c>
      <c r="W197" s="14" t="n">
        <f aca="false">IF(ISBLANK(Actuals!X110),-Helpers!U23+W245,Actuals!X110)</f>
        <v>-0</v>
      </c>
      <c r="X197" s="14" t="n">
        <f aca="false">IF(ISBLANK(Actuals!Y110),-Helpers!V23+X245,Actuals!Y110)</f>
        <v>-0</v>
      </c>
      <c r="Y197" s="14" t="n">
        <f aca="false">IF(ISBLANK(Actuals!Z110),-Helpers!W23+Y245,Actuals!Z110)</f>
        <v>-0</v>
      </c>
      <c r="Z197" s="14" t="n">
        <f aca="false">IF(ISBLANK(Actuals!AA110),-Helpers!X23+Z245,Actuals!AA110)</f>
        <v>-0</v>
      </c>
      <c r="AA197" s="14" t="n">
        <f aca="false">IF(ISBLANK(Actuals!AB110),-Helpers!Y23+AA245,Actuals!AB110)</f>
        <v>-0</v>
      </c>
      <c r="AB197" s="14" t="n">
        <f aca="false">IF(ISBLANK(Actuals!AC110),-Helpers!Z23+AB245,Actuals!AC110)</f>
        <v>-0</v>
      </c>
      <c r="AC197" s="14" t="n">
        <f aca="false">IF(ISBLANK(Actuals!AD110),-Helpers!AA23+AC245,Actuals!AD110)</f>
        <v>-0</v>
      </c>
      <c r="AD197" s="14" t="n">
        <f aca="false">IF(ISBLANK(Actuals!AE110),-Helpers!AB23+AD245,Actuals!AE110)</f>
        <v>-0</v>
      </c>
      <c r="AE197" s="14" t="n">
        <f aca="false">IF(ISBLANK(Actuals!AF110),-Helpers!AC23+AE245,Actuals!AF110)</f>
        <v>-0</v>
      </c>
      <c r="AF197" s="14" t="n">
        <f aca="false">IF(ISBLANK(Actuals!AG110),-Helpers!AD23+AF245,Actuals!AG110)</f>
        <v>-0</v>
      </c>
      <c r="AG197" s="14" t="n">
        <f aca="false">IF(ISBLANK(Actuals!AH110),-Helpers!AE23+AG245,Actuals!AH110)</f>
        <v>-0</v>
      </c>
      <c r="AH197" s="14" t="n">
        <f aca="false">IF(ISBLANK(Actuals!AI110),-Helpers!AF23+AH245,Actuals!AI110)</f>
        <v>-0</v>
      </c>
      <c r="AI197" s="14" t="n">
        <f aca="false">IF(ISBLANK(Actuals!AJ110),-Helpers!AG23+AI245,Actuals!AJ110)</f>
        <v>-0</v>
      </c>
      <c r="AJ197" s="14" t="n">
        <f aca="false">IF(ISBLANK(Actuals!AK110),-Helpers!AH23+AJ245,Actuals!AK110)</f>
        <v>-0</v>
      </c>
      <c r="AK197" s="14" t="n">
        <f aca="false">IF(ISBLANK(Actuals!AL110),-Helpers!AI23+AK245,Actuals!AL110)</f>
        <v>-0</v>
      </c>
      <c r="AL197" s="14" t="n">
        <f aca="false">IF(ISBLANK(Actuals!AM110),-Helpers!AJ23+AL245,Actuals!AM110)</f>
        <v>-0</v>
      </c>
      <c r="AM197" s="14" t="n">
        <f aca="false">IF(ISBLANK(Actuals!AN110),-Helpers!AK23+AM245,Actuals!AN110)</f>
        <v>-0</v>
      </c>
      <c r="AN197" s="14" t="n">
        <f aca="false">IF(ISBLANK(Actuals!AO110),-Helpers!AL23+AN245,Actuals!AO110)</f>
        <v>-0</v>
      </c>
      <c r="AO197" s="14" t="n">
        <f aca="false">IF(ISBLANK(Actuals!AP110),-Helpers!AM23+AO245,Actuals!AP110)</f>
        <v>-0</v>
      </c>
      <c r="AP197" s="14" t="n">
        <f aca="false">IF(ISBLANK(Actuals!AQ110),-Helpers!AN23+AP245,Actuals!AQ110)</f>
        <v>-0</v>
      </c>
      <c r="AQ197" s="14" t="n">
        <f aca="false">IF(ISBLANK(Actuals!AR110),-Helpers!AO23+AQ245,Actuals!AR110)</f>
        <v>-0</v>
      </c>
      <c r="AR197" s="14" t="n">
        <f aca="false">IF(ISBLANK(Actuals!AS110),-Helpers!AP23+AR245,Actuals!AS110)</f>
        <v>-0</v>
      </c>
      <c r="AS197" s="14" t="n">
        <f aca="false">IF(ISBLANK(Actuals!AT110),-Helpers!AQ23+AS245,Actuals!AT110)</f>
        <v>-0</v>
      </c>
      <c r="AT197" s="14" t="n">
        <f aca="false">IF(ISBLANK(Actuals!AU110),-Helpers!AR23+AT245,Actuals!AU110)</f>
        <v>-0</v>
      </c>
      <c r="AU197" s="14" t="n">
        <f aca="false">IF(ISBLANK(Actuals!AV110),-Helpers!AS23+AU245,Actuals!AV110)</f>
        <v>-0</v>
      </c>
      <c r="AV197" s="14" t="n">
        <f aca="false">IF(ISBLANK(Actuals!AW110),-Helpers!AT23+AV245,Actuals!AW110)</f>
        <v>-0</v>
      </c>
      <c r="AW197" s="14" t="n">
        <f aca="false">IF(ISBLANK(Actuals!AX110),-Helpers!AU23+AW245,Actuals!AX110)</f>
        <v>-0</v>
      </c>
      <c r="AX197" s="14" t="n">
        <f aca="false">IF(ISBLANK(Actuals!AY110),-Helpers!AV23+AX245,Actuals!AY110)</f>
        <v>-0</v>
      </c>
      <c r="AY197" s="14" t="n">
        <f aca="false">IF(ISBLANK(Actuals!AZ110),-Helpers!AW23+AY245,Actuals!AZ110)</f>
        <v>-0</v>
      </c>
      <c r="AZ197" s="14" t="n">
        <f aca="false">IF(ISBLANK(Actuals!BA110),-Helpers!AX23+AZ245,Actuals!BA110)</f>
        <v>-0</v>
      </c>
      <c r="BA197" s="14" t="n">
        <f aca="false">IF(ISBLANK(Actuals!BB110),-Helpers!AY23+BA245,Actuals!BB110)</f>
        <v>-0</v>
      </c>
      <c r="BB197" s="14" t="n">
        <f aca="false">IF(ISBLANK(Actuals!BC110),-Helpers!AZ23+BB245,Actuals!BC110)</f>
        <v>-0</v>
      </c>
      <c r="BC197" s="14" t="n">
        <f aca="false">IF(ISBLANK(Actuals!BD110),-Helpers!BA23+BC245,Actuals!BD110)</f>
        <v>-851839</v>
      </c>
      <c r="BD197" s="14" t="n">
        <f aca="false">IF(ISBLANK(Actuals!BE110),-Helpers!BB23+BD245,Actuals!BE110)</f>
        <v>-0</v>
      </c>
      <c r="BE197" s="14" t="n">
        <f aca="false">IF(ISBLANK(Actuals!BF110),-Helpers!BC23+BE245,Actuals!BF110)</f>
        <v>-0</v>
      </c>
      <c r="BF197" s="14" t="n">
        <f aca="false">IF(ISBLANK(Actuals!BG110),-Helpers!BD23+BF245,Actuals!BG110)</f>
        <v>-71700</v>
      </c>
      <c r="BG197" s="14" t="n">
        <f aca="false">IF(ISBLANK(Actuals!BH110),-Helpers!BE23+BG245,Actuals!BH110)</f>
        <v>-0</v>
      </c>
      <c r="BH197" s="14" t="n">
        <f aca="false">IF(ISBLANK(Actuals!BI110),-Helpers!BF23+BH245,Actuals!BI110)</f>
        <v>-0</v>
      </c>
      <c r="BI197" s="14" t="n">
        <f aca="false">IF(ISBLANK(Actuals!BJ110),-Helpers!BG23+BI245,Actuals!BJ110)</f>
        <v>-71700</v>
      </c>
      <c r="BJ197" s="14" t="n">
        <f aca="false">IF(ISBLANK(Actuals!BK110),-Helpers!BH23+BJ245,Actuals!BK110)</f>
        <v>-0</v>
      </c>
      <c r="BK197" s="14" t="n">
        <f aca="false">IF(ISBLANK(Actuals!BL110),-Helpers!BI23+BK245,Actuals!BL110)</f>
        <v>-0</v>
      </c>
      <c r="BL197" s="14" t="n">
        <f aca="false">IF(ISBLANK(Actuals!BM110),-Helpers!BJ23+BL245,Actuals!BM110)</f>
        <v>-71700</v>
      </c>
      <c r="BM197" s="14" t="n">
        <f aca="false">IF(ISBLANK(Actuals!BN110),-Helpers!BK23+BM245,Actuals!BN110)</f>
        <v>-0</v>
      </c>
      <c r="BN197" s="14" t="n">
        <f aca="false">IF(ISBLANK(Actuals!BO110),-Helpers!BL23+BN245,Actuals!BO110)</f>
        <v>-0</v>
      </c>
      <c r="BO197" s="14" t="n">
        <f aca="false">IF(ISBLANK(Actuals!BP110),-Helpers!BM23+BO245,Actuals!BP110)</f>
        <v>-71700</v>
      </c>
      <c r="BP197" s="14" t="n">
        <f aca="false">IF(ISBLANK(Actuals!BQ110),-Helpers!BN23+BP245,Actuals!BQ110)</f>
        <v>-0</v>
      </c>
      <c r="BQ197" s="14" t="n">
        <f aca="false">IF(ISBLANK(Actuals!BR110),-Helpers!BO23+BQ245,Actuals!BR110)</f>
        <v>-0</v>
      </c>
      <c r="BR197" s="14" t="n">
        <f aca="false">IF(ISBLANK(Actuals!BS110),-Helpers!BP23+BR245,Actuals!BS110)</f>
        <v>-74643</v>
      </c>
      <c r="BS197" s="14" t="n">
        <f aca="false">IF(ISBLANK(Actuals!BT110),-Helpers!BQ23+BS245,Actuals!BT110)</f>
        <v>-0</v>
      </c>
      <c r="BT197" s="14" t="n">
        <f aca="false">IF(ISBLANK(Actuals!BU110),-Helpers!BR23+BT245,Actuals!BU110)</f>
        <v>-0</v>
      </c>
      <c r="BU197" s="14" t="n">
        <f aca="false">IF(ISBLANK(Actuals!BV110),-Helpers!BS23+BU245,Actuals!BV110)</f>
        <v>-74640</v>
      </c>
      <c r="BV197" s="14" t="n">
        <f aca="false">IF(ISBLANK(Actuals!BW110),-Helpers!BT23+BV245,Actuals!BW110)</f>
        <v>-0</v>
      </c>
      <c r="BW197" s="14" t="n">
        <f aca="false">IF(ISBLANK(Actuals!BX110),-Helpers!BU23+BW245,Actuals!BX110)</f>
        <v>-0</v>
      </c>
      <c r="BX197" s="14" t="n">
        <f aca="false">IF(ISBLANK(Actuals!BY110),-Helpers!BV23+BX245,Actuals!BY110)</f>
        <v>-74640</v>
      </c>
      <c r="BY197" s="14" t="n">
        <f aca="false">IF(ISBLANK(Actuals!BZ110),-Helpers!BW23+BY245,Actuals!BZ110)</f>
        <v>-0</v>
      </c>
      <c r="BZ197" s="14" t="n">
        <f aca="false">IF(ISBLANK(Actuals!CA110),-Helpers!BX23+BZ245,Actuals!CA110)</f>
        <v>-0</v>
      </c>
      <c r="CA197" s="14" t="n">
        <f aca="false">IF(ISBLANK(Actuals!CB110),-Helpers!BY23+CA245,Actuals!CB110)</f>
        <v>-74640</v>
      </c>
      <c r="CB197" s="14" t="n">
        <f aca="false">IF(ISBLANK(Actuals!CC110),-Helpers!BZ23+CB245,Actuals!CC110)</f>
        <v>-0</v>
      </c>
      <c r="CC197" s="14" t="n">
        <f aca="false">IF(ISBLANK(Actuals!CD110),-Helpers!CA23+CC245,Actuals!CD110)</f>
        <v>-0</v>
      </c>
      <c r="CD197" s="14" t="n">
        <f aca="false">IF(ISBLANK(Actuals!CE110),-Helpers!CB23+CD245,Actuals!CE110)</f>
        <v>-81363</v>
      </c>
      <c r="CE197" s="14" t="n">
        <f aca="false">IF(ISBLANK(Actuals!CF110),-Helpers!CC23+CE245,Actuals!CF110)</f>
        <v>-0</v>
      </c>
      <c r="CF197" s="14" t="n">
        <f aca="false">IF(ISBLANK(Actuals!CG110),-Helpers!CD23+CF245,Actuals!CG110)</f>
        <v>-0</v>
      </c>
      <c r="CG197" s="14" t="n">
        <f aca="false">IF(ISBLANK(Actuals!CH110),-Helpers!CE23+CG245,Actuals!CH110)</f>
        <v>-81362</v>
      </c>
      <c r="CH197" s="14" t="n">
        <f aca="false">IF(ISBLANK(Actuals!CI110),-Helpers!CF23+CH245,Actuals!CI110)</f>
        <v>-0</v>
      </c>
      <c r="CI197" s="14" t="n">
        <f aca="false">IF(ISBLANK(Actuals!CJ110),-Helpers!CG23+CI245,Actuals!CJ110)</f>
        <v>-0</v>
      </c>
      <c r="CJ197" s="14" t="n">
        <f aca="false">IF(ISBLANK(Actuals!CK110),-Helpers!CH23+CJ245,Actuals!CK110)</f>
        <v>-74753.9733935208</v>
      </c>
      <c r="CK197" s="14" t="n">
        <f aca="false">IF(ISBLANK(Actuals!CL110),-Helpers!CI23+CK245,Actuals!CL110)</f>
        <v>-0</v>
      </c>
      <c r="CL197" s="14" t="n">
        <f aca="false">IF(ISBLANK(Actuals!CM110),-Helpers!CJ23+CL245,Actuals!CM110)</f>
        <v>-0</v>
      </c>
      <c r="CM197" s="14" t="n">
        <f aca="false">IF(ISBLANK(Actuals!CN110),-Helpers!CK23+CM245,Actuals!CN110)</f>
        <v>-0</v>
      </c>
      <c r="CN197" s="14" t="n">
        <f aca="false">IF(ISBLANK(Actuals!CO110),-Helpers!CL23+CN245,Actuals!CO110)</f>
        <v>-0</v>
      </c>
      <c r="CO197" s="14" t="n">
        <f aca="false">IF(ISBLANK(Actuals!CP110),-Helpers!CM23+CO245,Actuals!CP110)</f>
        <v>-0</v>
      </c>
      <c r="CP197" s="14" t="n">
        <f aca="false">IF(ISBLANK(Actuals!CQ110),-Helpers!CN23+CP245,Actuals!CQ110)</f>
        <v>-0</v>
      </c>
      <c r="CQ197" s="14" t="n">
        <f aca="false">IF(ISBLANK(Actuals!CR110),-Helpers!CO23+CQ245,Actuals!CR110)</f>
        <v>-0</v>
      </c>
      <c r="CR197" s="14" t="n">
        <f aca="false">IF(ISBLANK(Actuals!CS110),-Helpers!CP23+CR245,Actuals!CS110)</f>
        <v>-0</v>
      </c>
      <c r="CS197" s="14" t="n">
        <f aca="false">IF(ISBLANK(Actuals!CT110),-Helpers!CQ23+CS245,Actuals!CT110)</f>
        <v>-0</v>
      </c>
      <c r="CT197" s="14" t="n">
        <f aca="false">IF(ISBLANK(Actuals!CU110),-Helpers!CR23+CT245,Actuals!CU110)</f>
        <v>-0</v>
      </c>
      <c r="CU197" s="14" t="n">
        <f aca="false">IF(ISBLANK(Actuals!CV110),-Helpers!CS23+CU245,Actuals!CV110)</f>
        <v>-0</v>
      </c>
      <c r="CV197" s="14" t="n">
        <f aca="false">IF(ISBLANK(Actuals!CW110),-Helpers!CT23+CV245,Actuals!CW110)</f>
        <v>-0</v>
      </c>
      <c r="CW197" s="14" t="n">
        <f aca="false">IF(ISBLANK(Actuals!CX110),-Helpers!CU23+CW245,Actuals!CX110)</f>
        <v>-0</v>
      </c>
      <c r="CX197" s="14" t="n">
        <f aca="false">IF(ISBLANK(Actuals!CY110),-Helpers!CV23+CX245,Actuals!CY110)</f>
        <v>-0</v>
      </c>
      <c r="CY197" s="14" t="n">
        <f aca="false">IF(ISBLANK(Actuals!CZ110),-Helpers!CW23+CY245,Actuals!CZ110)</f>
        <v>-0</v>
      </c>
      <c r="CZ197" s="14" t="n">
        <f aca="false">IF(ISBLANK(Actuals!DA110),-Helpers!CX23+CZ245,Actuals!DA110)</f>
        <v>-0</v>
      </c>
      <c r="DA197" s="14" t="n">
        <f aca="false">IF(ISBLANK(Actuals!DB110),-Helpers!CY23+DA245,Actuals!DB110)</f>
        <v>-0</v>
      </c>
      <c r="DB197" s="14" t="n">
        <f aca="false">IF(ISBLANK(Actuals!DC110),-Helpers!CZ23+DB245,Actuals!DC110)</f>
        <v>-0</v>
      </c>
      <c r="DC197" s="14" t="n">
        <f aca="false">IF(ISBLANK(Actuals!DD110),-Helpers!DA23+DC245,Actuals!DD110)</f>
        <v>-0</v>
      </c>
      <c r="DD197" s="14" t="n">
        <f aca="false">IF(ISBLANK(Actuals!DE110),-Helpers!DB23+DD245,Actuals!DE110)</f>
        <v>-0</v>
      </c>
      <c r="DE197" s="14" t="n">
        <f aca="false">IF(ISBLANK(Actuals!DF110),-Helpers!DC23+DE245,Actuals!DF110)</f>
        <v>-0</v>
      </c>
    </row>
    <row r="198" customFormat="false" ht="15" hidden="false" customHeight="true" outlineLevel="0" collapsed="false">
      <c r="A198" s="29" t="s">
        <v>131</v>
      </c>
      <c r="B198" s="14" t="n">
        <f aca="false">IF(ISBLANK(Actuals!C111),0,Actuals!C111)</f>
        <v>0</v>
      </c>
      <c r="C198" s="14" t="n">
        <f aca="false">IF(ISBLANK(Actuals!D111),0,Actuals!D111)</f>
        <v>0</v>
      </c>
      <c r="D198" s="14" t="n">
        <f aca="false">IF(ISBLANK(Actuals!E111),0,Actuals!E111)</f>
        <v>0</v>
      </c>
      <c r="E198" s="14" t="n">
        <f aca="false">IF(ISBLANK(Actuals!F111),-Helpers!C26+E240,Actuals!F111)</f>
        <v>-0</v>
      </c>
      <c r="F198" s="14" t="n">
        <f aca="false">IF(ISBLANK(Actuals!G111),-Helpers!D26+F240,Actuals!G111)</f>
        <v>-0</v>
      </c>
      <c r="G198" s="14" t="n">
        <f aca="false">IF(ISBLANK(Actuals!H111),-Helpers!E26+G240,Actuals!H111)</f>
        <v>-0</v>
      </c>
      <c r="H198" s="14" t="n">
        <f aca="false">IF(ISBLANK(Actuals!I111),-Helpers!F26+H240,Actuals!I111)</f>
        <v>-0</v>
      </c>
      <c r="I198" s="14" t="n">
        <f aca="false">IF(ISBLANK(Actuals!J111),-Helpers!G26+I240,Actuals!J111)</f>
        <v>-0</v>
      </c>
      <c r="J198" s="14" t="n">
        <f aca="false">IF(ISBLANK(Actuals!K111),-Helpers!H26+J240,Actuals!K111)</f>
        <v>-0</v>
      </c>
      <c r="K198" s="14" t="n">
        <f aca="false">IF(ISBLANK(Actuals!L111),-Helpers!I26+K240,Actuals!L111)</f>
        <v>-0</v>
      </c>
      <c r="L198" s="14" t="n">
        <f aca="false">IF(ISBLANK(Actuals!M111),-Helpers!J26+L240,Actuals!M111)</f>
        <v>-0</v>
      </c>
      <c r="M198" s="14" t="n">
        <f aca="false">IF(ISBLANK(Actuals!N111),-Helpers!K26+M240,Actuals!N111)</f>
        <v>-0</v>
      </c>
      <c r="N198" s="14" t="n">
        <f aca="false">IF(ISBLANK(Actuals!O111),-Helpers!L26+N240,Actuals!O111)</f>
        <v>-0</v>
      </c>
      <c r="O198" s="14" t="n">
        <f aca="false">IF(ISBLANK(Actuals!P111),-Helpers!M26+O240,Actuals!P111)</f>
        <v>-0</v>
      </c>
      <c r="P198" s="14" t="n">
        <f aca="false">IF(ISBLANK(Actuals!Q111),-Helpers!N26+P240,Actuals!Q111)</f>
        <v>-0</v>
      </c>
      <c r="Q198" s="14" t="n">
        <f aca="false">IF(ISBLANK(Actuals!R111),-Helpers!O26+Q240,Actuals!R111)</f>
        <v>-0</v>
      </c>
      <c r="R198" s="14" t="n">
        <f aca="false">IF(ISBLANK(Actuals!S111),-Helpers!P26+R240,Actuals!S111)</f>
        <v>-0</v>
      </c>
      <c r="S198" s="14" t="n">
        <f aca="false">IF(ISBLANK(Actuals!T111),-Helpers!Q26+S240,Actuals!T111)</f>
        <v>-0</v>
      </c>
      <c r="T198" s="14" t="n">
        <f aca="false">IF(ISBLANK(Actuals!U111),-Helpers!R26+T240,Actuals!U111)</f>
        <v>-0</v>
      </c>
      <c r="U198" s="14" t="n">
        <f aca="false">IF(ISBLANK(Actuals!V111),-Helpers!S26+U240,Actuals!V111)</f>
        <v>-0</v>
      </c>
      <c r="V198" s="14" t="n">
        <f aca="false">IF(ISBLANK(Actuals!W111),-Helpers!T26+V240,Actuals!W111)</f>
        <v>-0</v>
      </c>
      <c r="W198" s="14" t="n">
        <f aca="false">IF(ISBLANK(Actuals!X111),-Helpers!U26+W240,Actuals!X111)</f>
        <v>-0</v>
      </c>
      <c r="X198" s="14" t="n">
        <f aca="false">IF(ISBLANK(Actuals!Y111),-Helpers!V26+X240,Actuals!Y111)</f>
        <v>-0</v>
      </c>
      <c r="Y198" s="14" t="n">
        <f aca="false">IF(ISBLANK(Actuals!Z111),-Helpers!W26+Y240,Actuals!Z111)</f>
        <v>-0</v>
      </c>
      <c r="Z198" s="14" t="n">
        <f aca="false">IF(ISBLANK(Actuals!AA111),-Helpers!X26+Z240,Actuals!AA111)</f>
        <v>-0</v>
      </c>
      <c r="AA198" s="14" t="n">
        <f aca="false">IF(ISBLANK(Actuals!AB111),-Helpers!Y26+AA240,Actuals!AB111)</f>
        <v>-0</v>
      </c>
      <c r="AB198" s="14" t="n">
        <f aca="false">IF(ISBLANK(Actuals!AC111),-Helpers!Z26+AB240,Actuals!AC111)</f>
        <v>-0</v>
      </c>
      <c r="AC198" s="14" t="n">
        <f aca="false">IF(ISBLANK(Actuals!AD111),-Helpers!AA26+AC240,Actuals!AD111)</f>
        <v>-0</v>
      </c>
      <c r="AD198" s="14" t="n">
        <f aca="false">IF(ISBLANK(Actuals!AE111),-Helpers!AB26+AD240,Actuals!AE111)</f>
        <v>-0</v>
      </c>
      <c r="AE198" s="14" t="n">
        <f aca="false">IF(ISBLANK(Actuals!AF111),-Helpers!AC26+AE240,Actuals!AF111)</f>
        <v>-0</v>
      </c>
      <c r="AF198" s="14" t="n">
        <f aca="false">IF(ISBLANK(Actuals!AG111),-Helpers!AD26+AF240,Actuals!AG111)</f>
        <v>-0</v>
      </c>
      <c r="AG198" s="14" t="n">
        <f aca="false">IF(ISBLANK(Actuals!AH111),-Helpers!AE26+AG240,Actuals!AH111)</f>
        <v>-0</v>
      </c>
      <c r="AH198" s="14" t="n">
        <f aca="false">IF(ISBLANK(Actuals!AI111),-Helpers!AF26+AH240,Actuals!AI111)</f>
        <v>-0</v>
      </c>
      <c r="AI198" s="14" t="n">
        <f aca="false">IF(ISBLANK(Actuals!AJ111),-Helpers!AG26+AI240,Actuals!AJ111)</f>
        <v>-0</v>
      </c>
      <c r="AJ198" s="14" t="n">
        <f aca="false">IF(ISBLANK(Actuals!AK111),-Helpers!AH26+AJ240,Actuals!AK111)</f>
        <v>-0</v>
      </c>
      <c r="AK198" s="14" t="n">
        <f aca="false">IF(ISBLANK(Actuals!AL111),-Helpers!AI26+AK240,Actuals!AL111)</f>
        <v>-0</v>
      </c>
      <c r="AL198" s="14" t="n">
        <f aca="false">IF(ISBLANK(Actuals!AM111),-Helpers!AJ26+AL240,Actuals!AM111)</f>
        <v>-0</v>
      </c>
      <c r="AM198" s="14" t="n">
        <f aca="false">IF(ISBLANK(Actuals!AN111),-Helpers!AK26+AM240,Actuals!AN111)</f>
        <v>-0</v>
      </c>
      <c r="AN198" s="14" t="n">
        <f aca="false">IF(ISBLANK(Actuals!AO111),-Helpers!AL26+AN240,Actuals!AO111)</f>
        <v>-0</v>
      </c>
      <c r="AO198" s="14" t="n">
        <f aca="false">IF(ISBLANK(Actuals!AP111),-Helpers!AM26+AO240,Actuals!AP111)</f>
        <v>-0</v>
      </c>
      <c r="AP198" s="14" t="n">
        <f aca="false">IF(ISBLANK(Actuals!AQ111),-Helpers!AN26+AP240,Actuals!AQ111)</f>
        <v>-0</v>
      </c>
      <c r="AQ198" s="14" t="n">
        <f aca="false">IF(ISBLANK(Actuals!AR111),-Helpers!AO26+AQ240,Actuals!AR111)</f>
        <v>-0</v>
      </c>
      <c r="AR198" s="14" t="n">
        <f aca="false">IF(ISBLANK(Actuals!AS111),-Helpers!AP26+AR240,Actuals!AS111)</f>
        <v>-0</v>
      </c>
      <c r="AS198" s="14" t="n">
        <f aca="false">IF(ISBLANK(Actuals!AT111),-Helpers!AQ26+AS240,Actuals!AT111)</f>
        <v>-0</v>
      </c>
      <c r="AT198" s="14" t="n">
        <f aca="false">IF(ISBLANK(Actuals!AU111),-Helpers!AR26+AT240,Actuals!AU111)</f>
        <v>-0</v>
      </c>
      <c r="AU198" s="14" t="n">
        <f aca="false">IF(ISBLANK(Actuals!AV111),-Helpers!AS26+AU240,Actuals!AV111)</f>
        <v>-0</v>
      </c>
      <c r="AV198" s="14" t="n">
        <f aca="false">IF(ISBLANK(Actuals!AW111),-Helpers!AT26+AV240,Actuals!AW111)</f>
        <v>-0</v>
      </c>
      <c r="AW198" s="14" t="n">
        <f aca="false">IF(ISBLANK(Actuals!AX111),-Helpers!AU26+AW240,Actuals!AX111)</f>
        <v>-0</v>
      </c>
      <c r="AX198" s="14" t="n">
        <f aca="false">IF(ISBLANK(Actuals!AY111),-Helpers!AV26+AX240,Actuals!AY111)</f>
        <v>-0</v>
      </c>
      <c r="AY198" s="14" t="n">
        <f aca="false">IF(ISBLANK(Actuals!AZ111),-Helpers!AW26+AY240,Actuals!AZ111)</f>
        <v>-0</v>
      </c>
      <c r="AZ198" s="14" t="n">
        <f aca="false">IF(ISBLANK(Actuals!BA111),-Helpers!AX26+AZ240,Actuals!BA111)</f>
        <v>-0</v>
      </c>
      <c r="BA198" s="14" t="n">
        <f aca="false">IF(ISBLANK(Actuals!BB111),-Helpers!AY26+BA240,Actuals!BB111)</f>
        <v>-0</v>
      </c>
      <c r="BB198" s="14" t="n">
        <f aca="false">IF(ISBLANK(Actuals!BC111),-Helpers!AZ26+BB240,Actuals!BC111)</f>
        <v>-0</v>
      </c>
      <c r="BC198" s="14" t="n">
        <f aca="false">IF(ISBLANK(Actuals!BD111),-Helpers!BA26+BC240,Actuals!BD111)</f>
        <v>-0</v>
      </c>
      <c r="BD198" s="14" t="n">
        <f aca="false">IF(ISBLANK(Actuals!BE111),-Helpers!BB26+BD240,Actuals!BE111)</f>
        <v>-0</v>
      </c>
      <c r="BE198" s="14" t="n">
        <f aca="false">IF(ISBLANK(Actuals!BF111),-Helpers!BC26+BE240,Actuals!BF111)</f>
        <v>-0</v>
      </c>
      <c r="BF198" s="14" t="n">
        <f aca="false">IF(ISBLANK(Actuals!BG111),-Helpers!BD26+BF240,Actuals!BG111)</f>
        <v>-0</v>
      </c>
      <c r="BG198" s="14" t="n">
        <f aca="false">IF(ISBLANK(Actuals!BH111),-Helpers!BE26+BG240,Actuals!BH111)</f>
        <v>-0</v>
      </c>
      <c r="BH198" s="14" t="n">
        <f aca="false">IF(ISBLANK(Actuals!BI111),-Helpers!BF26+BH240,Actuals!BI111)</f>
        <v>-0</v>
      </c>
      <c r="BI198" s="14" t="n">
        <f aca="false">IF(ISBLANK(Actuals!BJ111),-Helpers!BG26+BI240,Actuals!BJ111)</f>
        <v>-0</v>
      </c>
      <c r="BJ198" s="14" t="n">
        <f aca="false">IF(ISBLANK(Actuals!BK111),-Helpers!BH26+BJ240,Actuals!BK111)</f>
        <v>-0</v>
      </c>
      <c r="BK198" s="14" t="n">
        <f aca="false">IF(ISBLANK(Actuals!BL111),-Helpers!BI26+BK240,Actuals!BL111)</f>
        <v>-0</v>
      </c>
      <c r="BL198" s="14" t="n">
        <f aca="false">IF(ISBLANK(Actuals!BM111),-Helpers!BJ26+BL240,Actuals!BM111)</f>
        <v>-0</v>
      </c>
      <c r="BM198" s="14" t="n">
        <f aca="false">IF(ISBLANK(Actuals!BN111),-Helpers!BK26+BM240,Actuals!BN111)</f>
        <v>-0</v>
      </c>
      <c r="BN198" s="14" t="n">
        <f aca="false">IF(ISBLANK(Actuals!BO111),-Helpers!BL26+BN240,Actuals!BO111)</f>
        <v>-0</v>
      </c>
      <c r="BO198" s="14" t="n">
        <f aca="false">IF(ISBLANK(Actuals!BP111),-Helpers!BM26+BO240,Actuals!BP111)</f>
        <v>-0</v>
      </c>
      <c r="BP198" s="14" t="n">
        <f aca="false">IF(ISBLANK(Actuals!BQ111),-Helpers!BN26+BP240,Actuals!BQ111)</f>
        <v>-0</v>
      </c>
      <c r="BQ198" s="14" t="n">
        <f aca="false">IF(ISBLANK(Actuals!BR111),-Helpers!BO26+BQ240,Actuals!BR111)</f>
        <v>-0</v>
      </c>
      <c r="BR198" s="14" t="n">
        <f aca="false">IF(ISBLANK(Actuals!BS111),-Helpers!BP26+BR240,Actuals!BS111)</f>
        <v>-0</v>
      </c>
      <c r="BS198" s="14" t="n">
        <f aca="false">IF(ISBLANK(Actuals!BT111),-Helpers!BQ26+BS240,Actuals!BT111)</f>
        <v>-0</v>
      </c>
      <c r="BT198" s="14" t="n">
        <f aca="false">IF(ISBLANK(Actuals!BU111),-Helpers!BR26+BT240,Actuals!BU111)</f>
        <v>-0</v>
      </c>
      <c r="BU198" s="14" t="n">
        <f aca="false">IF(ISBLANK(Actuals!BV111),-Helpers!BS26+BU240,Actuals!BV111)</f>
        <v>-0</v>
      </c>
      <c r="BV198" s="14" t="n">
        <f aca="false">IF(ISBLANK(Actuals!BW111),-Helpers!BT26+BV240,Actuals!BW111)</f>
        <v>-0</v>
      </c>
      <c r="BW198" s="14" t="n">
        <f aca="false">IF(ISBLANK(Actuals!BX111),-Helpers!BU26+BW240,Actuals!BX111)</f>
        <v>-0</v>
      </c>
      <c r="BX198" s="14" t="n">
        <f aca="false">IF(ISBLANK(Actuals!BY111),-Helpers!BV26+BX240,Actuals!BY111)</f>
        <v>-0</v>
      </c>
      <c r="BY198" s="14" t="n">
        <f aca="false">IF(ISBLANK(Actuals!BZ111),-Helpers!BW26+BY240,Actuals!BZ111)</f>
        <v>-0</v>
      </c>
      <c r="BZ198" s="14" t="n">
        <f aca="false">IF(ISBLANK(Actuals!CA111),-Helpers!BX26+BZ240,Actuals!CA111)</f>
        <v>-0</v>
      </c>
      <c r="CA198" s="14" t="n">
        <f aca="false">IF(ISBLANK(Actuals!CB111),-Helpers!BY26+CA240,Actuals!CB111)</f>
        <v>-73156</v>
      </c>
      <c r="CB198" s="14" t="n">
        <f aca="false">IF(ISBLANK(Actuals!CC111),-Helpers!BZ26+CB240,Actuals!CC111)</f>
        <v>-0</v>
      </c>
      <c r="CC198" s="14" t="n">
        <f aca="false">IF(ISBLANK(Actuals!CD111),-Helpers!CA26+CC240,Actuals!CD111)</f>
        <v>-0</v>
      </c>
      <c r="CD198" s="14" t="n">
        <f aca="false">IF(ISBLANK(Actuals!CE111),-Helpers!CB26+CD240,Actuals!CE111)</f>
        <v>-73155</v>
      </c>
      <c r="CE198" s="14" t="n">
        <f aca="false">IF(ISBLANK(Actuals!CF111),-Helpers!CC26+CE240,Actuals!CF111)</f>
        <v>-0</v>
      </c>
      <c r="CF198" s="14" t="n">
        <f aca="false">IF(ISBLANK(Actuals!CG111),-Helpers!CD26+CF240,Actuals!CG111)</f>
        <v>-0</v>
      </c>
      <c r="CG198" s="14" t="n">
        <f aca="false">IF(ISBLANK(Actuals!CH111),-Helpers!CE26+CG240,Actuals!CH111)</f>
        <v>-73155</v>
      </c>
      <c r="CH198" s="14" t="n">
        <f aca="false">IF(ISBLANK(Actuals!CI111),-Helpers!CF26+CH240,Actuals!CI111)</f>
        <v>-0</v>
      </c>
      <c r="CI198" s="14" t="n">
        <f aca="false">IF(ISBLANK(Actuals!CJ111),-Helpers!CG26+CI240,Actuals!CJ111)</f>
        <v>-0</v>
      </c>
      <c r="CJ198" s="14" t="n">
        <f aca="false">IF(ISBLANK(Actuals!CK111),-Helpers!CH26+CJ240,Actuals!CK111)</f>
        <v>-73155</v>
      </c>
      <c r="CK198" s="14" t="n">
        <f aca="false">IF(ISBLANK(Actuals!CL111),-Helpers!CI26+CK240,Actuals!CL111)</f>
        <v>-73155</v>
      </c>
      <c r="CL198" s="14" t="n">
        <f aca="false">IF(ISBLANK(Actuals!CM111),-Helpers!CJ26+CL240,Actuals!CM111)</f>
        <v>-73155</v>
      </c>
      <c r="CM198" s="14" t="n">
        <f aca="false">IF(ISBLANK(Actuals!CN111),-Helpers!CK26+CM240,Actuals!CN111)</f>
        <v>-73155</v>
      </c>
      <c r="CN198" s="14" t="n">
        <f aca="false">IF(ISBLANK(Actuals!CO111),-Helpers!CL26+CN240,Actuals!CO111)</f>
        <v>-73155</v>
      </c>
      <c r="CO198" s="14" t="n">
        <f aca="false">IF(ISBLANK(Actuals!CP111),-Helpers!CM26+CO240,Actuals!CP111)</f>
        <v>-73155</v>
      </c>
      <c r="CP198" s="14" t="n">
        <f aca="false">IF(ISBLANK(Actuals!CQ111),-Helpers!CN26+CP240,Actuals!CQ111)</f>
        <v>-73155</v>
      </c>
      <c r="CQ198" s="14" t="n">
        <f aca="false">IF(ISBLANK(Actuals!CR111),-Helpers!CO26+CQ240,Actuals!CR111)</f>
        <v>-73155</v>
      </c>
      <c r="CR198" s="14" t="n">
        <f aca="false">IF(ISBLANK(Actuals!CS111),-Helpers!CP26+CR240,Actuals!CS111)</f>
        <v>-73155</v>
      </c>
      <c r="CS198" s="14" t="n">
        <f aca="false">IF(ISBLANK(Actuals!CT111),-Helpers!CQ26+CS240,Actuals!CT111)</f>
        <v>-73155</v>
      </c>
      <c r="CT198" s="14" t="n">
        <f aca="false">IF(ISBLANK(Actuals!CU111),-Helpers!CR26+CT240,Actuals!CU111)</f>
        <v>-73155</v>
      </c>
      <c r="CU198" s="14" t="n">
        <f aca="false">IF(ISBLANK(Actuals!CV111),-Helpers!CS26+CU240,Actuals!CV111)</f>
        <v>-73155</v>
      </c>
      <c r="CV198" s="14" t="n">
        <f aca="false">IF(ISBLANK(Actuals!CW111),-Helpers!CT26+CV240,Actuals!CW111)</f>
        <v>-73155</v>
      </c>
      <c r="CW198" s="14" t="n">
        <f aca="false">IF(ISBLANK(Actuals!CX111),-Helpers!CU26+CW240,Actuals!CX111)</f>
        <v>-17446.8489364072</v>
      </c>
      <c r="CX198" s="14" t="n">
        <f aca="false">IF(ISBLANK(Actuals!CY111),-Helpers!CV26+CX240,Actuals!CY111)</f>
        <v>-0</v>
      </c>
      <c r="CY198" s="14" t="n">
        <f aca="false">IF(ISBLANK(Actuals!CZ111),-Helpers!CW26+CY240,Actuals!CZ111)</f>
        <v>-0</v>
      </c>
      <c r="CZ198" s="14" t="n">
        <f aca="false">IF(ISBLANK(Actuals!DA111),-Helpers!CX26+CZ240,Actuals!DA111)</f>
        <v>-0</v>
      </c>
      <c r="DA198" s="14" t="n">
        <f aca="false">IF(ISBLANK(Actuals!DB111),-Helpers!CY26+DA240,Actuals!DB111)</f>
        <v>-0</v>
      </c>
      <c r="DB198" s="14" t="n">
        <f aca="false">IF(ISBLANK(Actuals!DC111),-Helpers!CZ26+DB240,Actuals!DC111)</f>
        <v>-0</v>
      </c>
      <c r="DC198" s="14" t="n">
        <f aca="false">IF(ISBLANK(Actuals!DD111),-Helpers!DA26+DC240,Actuals!DD111)</f>
        <v>-0</v>
      </c>
      <c r="DD198" s="14" t="n">
        <f aca="false">IF(ISBLANK(Actuals!DE111),-Helpers!DB26+DD240,Actuals!DE111)</f>
        <v>-0</v>
      </c>
      <c r="DE198" s="14" t="n">
        <f aca="false">IF(ISBLANK(Actuals!DF111),-Helpers!DC26+DE240,Actuals!DF111)</f>
        <v>-0</v>
      </c>
    </row>
    <row r="199" customFormat="false" ht="19.5" hidden="false" customHeight="true" outlineLevel="0" collapsed="false">
      <c r="A199" s="33" t="s">
        <v>132</v>
      </c>
      <c r="B199" s="34" t="n">
        <f aca="false">SUM(B170:B198)</f>
        <v>-198827.72</v>
      </c>
      <c r="C199" s="34" t="n">
        <f aca="false">SUM(C170:C198)</f>
        <v>-192502</v>
      </c>
      <c r="D199" s="34" t="n">
        <f aca="false">SUM(D170:D198)</f>
        <v>-255024.1</v>
      </c>
      <c r="E199" s="34" t="n">
        <f aca="false">SUM(E170:E198)</f>
        <v>-195904.72</v>
      </c>
      <c r="F199" s="34" t="n">
        <f aca="false">SUM(F170:F198)</f>
        <v>-250029.52</v>
      </c>
      <c r="G199" s="34" t="n">
        <f aca="false">SUM(G170:G198)</f>
        <v>-201582.47</v>
      </c>
      <c r="H199" s="34" t="n">
        <f aca="false">SUM(H170:H198)</f>
        <v>-78090.0916666667</v>
      </c>
      <c r="I199" s="34" t="n">
        <f aca="false">SUM(I170:I198)</f>
        <v>-78090.0916666667</v>
      </c>
      <c r="J199" s="34" t="n">
        <f aca="false">SUM(J170:J198)</f>
        <v>-78090.0916666667</v>
      </c>
      <c r="K199" s="34" t="n">
        <f aca="false">SUM(K170:K198)</f>
        <v>-369313.211666667</v>
      </c>
      <c r="L199" s="34" t="n">
        <f aca="false">SUM(L170:L198)</f>
        <v>-78090.0916666667</v>
      </c>
      <c r="M199" s="34" t="n">
        <f aca="false">SUM(M170:M198)</f>
        <v>-78090.0916666667</v>
      </c>
      <c r="N199" s="34" t="n">
        <f aca="false">SUM(N170:N198)</f>
        <v>-78090.0916666667</v>
      </c>
      <c r="O199" s="34" t="n">
        <f aca="false">SUM(O170:O198)</f>
        <v>-78090.0916666667</v>
      </c>
      <c r="P199" s="34" t="n">
        <f aca="false">SUM(P170:P198)</f>
        <v>-78090.0916666667</v>
      </c>
      <c r="Q199" s="34" t="n">
        <f aca="false">SUM(Q170:Q198)</f>
        <v>-79651.8935</v>
      </c>
      <c r="R199" s="34" t="n">
        <f aca="false">SUM(R170:R198)</f>
        <v>-79651.8935</v>
      </c>
      <c r="S199" s="34" t="n">
        <f aca="false">SUM(S170:S198)</f>
        <v>-79651.8935</v>
      </c>
      <c r="T199" s="34" t="n">
        <f aca="false">SUM(T170:T198)</f>
        <v>-79651.8935</v>
      </c>
      <c r="U199" s="34" t="n">
        <f aca="false">SUM(U170:U198)</f>
        <v>-79651.8935</v>
      </c>
      <c r="V199" s="34" t="n">
        <f aca="false">SUM(V170:V198)</f>
        <v>-79651.8935</v>
      </c>
      <c r="W199" s="34" t="n">
        <f aca="false">SUM(W170:W198)</f>
        <v>-79651.8935</v>
      </c>
      <c r="X199" s="34" t="n">
        <f aca="false">SUM(X170:X198)</f>
        <v>-79651.8935</v>
      </c>
      <c r="Y199" s="34" t="n">
        <f aca="false">SUM(Y170:Y198)</f>
        <v>-79651.8935</v>
      </c>
      <c r="Z199" s="34" t="n">
        <f aca="false">SUM(Z170:Z198)</f>
        <v>-79651.8935</v>
      </c>
      <c r="AA199" s="34" t="n">
        <f aca="false">SUM(AA170:AA198)</f>
        <v>-79651.8935</v>
      </c>
      <c r="AB199" s="34" t="n">
        <f aca="false">SUM(AB170:AB198)</f>
        <v>-79651.8935</v>
      </c>
      <c r="AC199" s="34" t="n">
        <f aca="false">SUM(AC170:AC198)</f>
        <v>-81244.93137</v>
      </c>
      <c r="AD199" s="34" t="n">
        <f aca="false">SUM(AD170:AD198)</f>
        <v>-81244.93137</v>
      </c>
      <c r="AE199" s="34" t="n">
        <f aca="false">SUM(AE170:AE198)</f>
        <v>-81244.93137</v>
      </c>
      <c r="AF199" s="34" t="n">
        <f aca="false">SUM(AF170:AF198)</f>
        <v>-81244.93137</v>
      </c>
      <c r="AG199" s="34" t="n">
        <f aca="false">SUM(AG170:AG198)</f>
        <v>-81244.93137</v>
      </c>
      <c r="AH199" s="34" t="n">
        <f aca="false">SUM(AH170:AH198)</f>
        <v>-81244.93137</v>
      </c>
      <c r="AI199" s="34" t="n">
        <f aca="false">SUM(AI170:AI198)</f>
        <v>-81244.93137</v>
      </c>
      <c r="AJ199" s="34" t="n">
        <f aca="false">SUM(AJ170:AJ198)</f>
        <v>-81244.93137</v>
      </c>
      <c r="AK199" s="34" t="n">
        <f aca="false">SUM(AK170:AK198)</f>
        <v>-81244.93137</v>
      </c>
      <c r="AL199" s="34" t="n">
        <f aca="false">SUM(AL170:AL198)</f>
        <v>-81244.93137</v>
      </c>
      <c r="AM199" s="34" t="n">
        <f aca="false">SUM(AM170:AM198)</f>
        <v>-81244.93137</v>
      </c>
      <c r="AN199" s="34" t="n">
        <f aca="false">SUM(AN170:AN198)</f>
        <v>-81244.93137</v>
      </c>
      <c r="AO199" s="34" t="n">
        <f aca="false">SUM(AO170:AO198)</f>
        <v>-82869.8299974</v>
      </c>
      <c r="AP199" s="34" t="n">
        <f aca="false">SUM(AP170:AP198)</f>
        <v>-82869.8299974</v>
      </c>
      <c r="AQ199" s="34" t="n">
        <f aca="false">SUM(AQ170:AQ198)</f>
        <v>-82869.8299974</v>
      </c>
      <c r="AR199" s="34" t="n">
        <f aca="false">SUM(AR170:AR198)</f>
        <v>-82869.8299974</v>
      </c>
      <c r="AS199" s="34" t="n">
        <f aca="false">SUM(AS170:AS198)</f>
        <v>-82869.8299974</v>
      </c>
      <c r="AT199" s="34" t="n">
        <f aca="false">SUM(AT170:AT198)</f>
        <v>-164552.8299974</v>
      </c>
      <c r="AU199" s="34" t="n">
        <f aca="false">SUM(AU170:AU198)</f>
        <v>-82869.8299974</v>
      </c>
      <c r="AV199" s="34" t="n">
        <f aca="false">SUM(AV170:AV198)</f>
        <v>-82869.8299974</v>
      </c>
      <c r="AW199" s="34" t="n">
        <f aca="false">SUM(AW170:AW198)</f>
        <v>-164551.8299974</v>
      </c>
      <c r="AX199" s="34" t="n">
        <f aca="false">SUM(AX170:AX198)</f>
        <v>-82869.8299974</v>
      </c>
      <c r="AY199" s="34" t="n">
        <f aca="false">SUM(AY170:AY198)</f>
        <v>-82869.8299974</v>
      </c>
      <c r="AZ199" s="34" t="n">
        <f aca="false">SUM(AZ170:AZ198)</f>
        <v>-164551.8299974</v>
      </c>
      <c r="BA199" s="34" t="n">
        <f aca="false">SUM(BA170:BA198)</f>
        <v>-84527.226597348</v>
      </c>
      <c r="BB199" s="34" t="n">
        <f aca="false">SUM(BB170:BB198)</f>
        <v>-84527.226597348</v>
      </c>
      <c r="BC199" s="34" t="n">
        <f aca="false">SUM(BC170:BC198)</f>
        <v>-1018048.22659735</v>
      </c>
      <c r="BD199" s="34" t="n">
        <f aca="false">SUM(BD170:BD198)</f>
        <v>-84527.226597348</v>
      </c>
      <c r="BE199" s="34" t="n">
        <f aca="false">SUM(BE170:BE198)</f>
        <v>-84527.226597348</v>
      </c>
      <c r="BF199" s="34" t="n">
        <f aca="false">SUM(BF170:BF198)</f>
        <v>-215405.226597348</v>
      </c>
      <c r="BG199" s="34" t="n">
        <f aca="false">SUM(BG170:BG198)</f>
        <v>-84527.226597348</v>
      </c>
      <c r="BH199" s="34" t="n">
        <f aca="false">SUM(BH170:BH198)</f>
        <v>-84527.226597348</v>
      </c>
      <c r="BI199" s="34" t="n">
        <f aca="false">SUM(BI170:BI198)</f>
        <v>-215403.226597348</v>
      </c>
      <c r="BJ199" s="34" t="n">
        <f aca="false">SUM(BJ170:BJ198)</f>
        <v>-84527.226597348</v>
      </c>
      <c r="BK199" s="34" t="n">
        <f aca="false">SUM(BK170:BK198)</f>
        <v>-84527.226597348</v>
      </c>
      <c r="BL199" s="34" t="n">
        <f aca="false">SUM(BL170:BL198)</f>
        <v>-215403.226597348</v>
      </c>
      <c r="BM199" s="34" t="n">
        <f aca="false">SUM(BM170:BM198)</f>
        <v>-86217.771129295</v>
      </c>
      <c r="BN199" s="34" t="n">
        <f aca="false">SUM(BN170:BN198)</f>
        <v>-86217.771129295</v>
      </c>
      <c r="BO199" s="34" t="n">
        <f aca="false">SUM(BO170:BO198)</f>
        <v>-217093.771129295</v>
      </c>
      <c r="BP199" s="34" t="n">
        <f aca="false">SUM(BP170:BP198)</f>
        <v>-86217.771129295</v>
      </c>
      <c r="BQ199" s="34" t="n">
        <f aca="false">SUM(BQ170:BQ198)</f>
        <v>-86217.771129295</v>
      </c>
      <c r="BR199" s="34" t="n">
        <f aca="false">SUM(BR170:BR198)</f>
        <v>-175373.421129295</v>
      </c>
      <c r="BS199" s="34" t="n">
        <f aca="false">SUM(BS170:BS198)</f>
        <v>-86217.771129295</v>
      </c>
      <c r="BT199" s="34" t="n">
        <f aca="false">SUM(BT170:BT198)</f>
        <v>-86217.771129295</v>
      </c>
      <c r="BU199" s="34" t="n">
        <f aca="false">SUM(BU170:BU198)</f>
        <v>-160857.771129295</v>
      </c>
      <c r="BV199" s="34" t="n">
        <f aca="false">SUM(BV170:BV198)</f>
        <v>-86217.771129295</v>
      </c>
      <c r="BW199" s="34" t="n">
        <f aca="false">SUM(BW170:BW198)</f>
        <v>-86217.771129295</v>
      </c>
      <c r="BX199" s="34" t="n">
        <f aca="false">SUM(BX170:BX198)</f>
        <v>-160857.771129295</v>
      </c>
      <c r="BY199" s="34" t="n">
        <f aca="false">SUM(BY170:BY198)</f>
        <v>-87942.1265518809</v>
      </c>
      <c r="BZ199" s="34" t="n">
        <f aca="false">SUM(BZ170:BZ198)</f>
        <v>-87942.1265518809</v>
      </c>
      <c r="CA199" s="34" t="n">
        <f aca="false">SUM(CA170:CA198)</f>
        <v>-235738.126551881</v>
      </c>
      <c r="CB199" s="34" t="n">
        <f aca="false">SUM(CB170:CB198)</f>
        <v>-87942.1265518809</v>
      </c>
      <c r="CC199" s="34" t="n">
        <f aca="false">SUM(CC170:CC198)</f>
        <v>-87942.1265518809</v>
      </c>
      <c r="CD199" s="34" t="n">
        <f aca="false">SUM(CD170:CD198)</f>
        <v>-242460.126551881</v>
      </c>
      <c r="CE199" s="34" t="n">
        <f aca="false">SUM(CE170:CE198)</f>
        <v>-87942.1265518809</v>
      </c>
      <c r="CF199" s="34" t="n">
        <f aca="false">SUM(CF170:CF198)</f>
        <v>-87942.1265518809</v>
      </c>
      <c r="CG199" s="34" t="n">
        <f aca="false">SUM(CG170:CG198)</f>
        <v>-242459.126551881</v>
      </c>
      <c r="CH199" s="34" t="n">
        <f aca="false">SUM(CH170:CH198)</f>
        <v>-87942.1265518809</v>
      </c>
      <c r="CI199" s="34" t="n">
        <f aca="false">SUM(CI170:CI198)</f>
        <v>-87942.1265518809</v>
      </c>
      <c r="CJ199" s="34" t="n">
        <f aca="false">SUM(CJ170:CJ198)</f>
        <v>-235851.099945402</v>
      </c>
      <c r="CK199" s="34" t="n">
        <f aca="false">SUM(CK170:CK198)</f>
        <v>-162855.969082918</v>
      </c>
      <c r="CL199" s="34" t="n">
        <f aca="false">SUM(CL170:CL198)</f>
        <v>-162855.969082918</v>
      </c>
      <c r="CM199" s="34" t="n">
        <f aca="false">SUM(CM170:CM198)</f>
        <v>-162855.969082918</v>
      </c>
      <c r="CN199" s="34" t="n">
        <f aca="false">SUM(CN170:CN198)</f>
        <v>-162855.969082918</v>
      </c>
      <c r="CO199" s="34" t="n">
        <f aca="false">SUM(CO170:CO198)</f>
        <v>-162855.969082918</v>
      </c>
      <c r="CP199" s="34" t="n">
        <f aca="false">SUM(CP170:CP198)</f>
        <v>-162855.969082918</v>
      </c>
      <c r="CQ199" s="34" t="n">
        <f aca="false">SUM(CQ170:CQ198)</f>
        <v>-162855.969082918</v>
      </c>
      <c r="CR199" s="34" t="n">
        <f aca="false">SUM(CR170:CR198)</f>
        <v>-162855.969082918</v>
      </c>
      <c r="CS199" s="34" t="n">
        <f aca="false">SUM(CS170:CS198)</f>
        <v>-162855.969082918</v>
      </c>
      <c r="CT199" s="34" t="n">
        <f aca="false">SUM(CT170:CT198)</f>
        <v>-160947.475708022</v>
      </c>
      <c r="CU199" s="34" t="n">
        <f aca="false">SUM(CU170:CU198)</f>
        <v>-160947.475708022</v>
      </c>
      <c r="CV199" s="34" t="n">
        <f aca="false">SUM(CV170:CV198)</f>
        <v>-160947.475708022</v>
      </c>
      <c r="CW199" s="34" t="n">
        <f aca="false">SUM(CW170:CW198)</f>
        <v>-106995.17415859</v>
      </c>
      <c r="CX199" s="34" t="n">
        <f aca="false">SUM(CX170:CX198)</f>
        <v>-89548.3252221825</v>
      </c>
      <c r="CY199" s="34" t="n">
        <f aca="false">SUM(CY170:CY198)</f>
        <v>-89548.3252221825</v>
      </c>
      <c r="CZ199" s="34" t="n">
        <f aca="false">SUM(CZ170:CZ198)</f>
        <v>-89548.3252221825</v>
      </c>
      <c r="DA199" s="34" t="n">
        <f aca="false">SUM(DA170:DA198)</f>
        <v>-89548.3252221825</v>
      </c>
      <c r="DB199" s="34" t="n">
        <f aca="false">SUM(DB170:DB198)</f>
        <v>-89548.3252221825</v>
      </c>
      <c r="DC199" s="34" t="n">
        <f aca="false">SUM(DC170:DC198)</f>
        <v>-89548.3252221825</v>
      </c>
      <c r="DD199" s="34" t="n">
        <f aca="false">SUM(DD170:DD198)</f>
        <v>-89548.3252221825</v>
      </c>
      <c r="DE199" s="34" t="n">
        <f aca="false">SUM(DE170:DE198)</f>
        <v>-89548.3252221825</v>
      </c>
    </row>
    <row r="200" customFormat="false" ht="19.5" hidden="false" customHeight="true" outlineLevel="0" collapsed="false">
      <c r="A200" s="42" t="s">
        <v>133</v>
      </c>
      <c r="B200" s="43" t="n">
        <f aca="false">B168+B199</f>
        <v>-164713.14</v>
      </c>
      <c r="C200" s="43" t="n">
        <f aca="false">C168+C199</f>
        <v>-158387.42</v>
      </c>
      <c r="D200" s="43" t="n">
        <f aca="false">D168+D199</f>
        <v>-220909.52</v>
      </c>
      <c r="E200" s="43" t="n">
        <f aca="false">E168+E199</f>
        <v>-152290.14</v>
      </c>
      <c r="F200" s="43" t="n">
        <f aca="false">F168+F199</f>
        <v>-206414.94</v>
      </c>
      <c r="G200" s="43" t="n">
        <f aca="false">G168+G199</f>
        <v>141032.11</v>
      </c>
      <c r="H200" s="43" t="n">
        <f aca="false">H168+H199</f>
        <v>-32050.8688095238</v>
      </c>
      <c r="I200" s="43" t="n">
        <f aca="false">I168+I199</f>
        <v>228526.131190476</v>
      </c>
      <c r="J200" s="43" t="n">
        <f aca="false">J168+J199</f>
        <v>-22537.1988095238</v>
      </c>
      <c r="K200" s="43" t="n">
        <f aca="false">K168+K199</f>
        <v>-108331.108809524</v>
      </c>
      <c r="L200" s="43" t="n">
        <f aca="false">L168+L199</f>
        <v>-8227.98880952381</v>
      </c>
      <c r="M200" s="43" t="n">
        <f aca="false">M168+M199</f>
        <v>-10977.9888095238</v>
      </c>
      <c r="N200" s="43" t="n">
        <f aca="false">N168+N199</f>
        <v>9897.01119047619</v>
      </c>
      <c r="O200" s="43" t="n">
        <f aca="false">O168+O199</f>
        <v>-2960.13166666668</v>
      </c>
      <c r="P200" s="43" t="n">
        <f aca="false">P168+P199</f>
        <v>-1710.13166666668</v>
      </c>
      <c r="Q200" s="43" t="n">
        <f aca="false">Q168+Q199</f>
        <v>-3271.93350000001</v>
      </c>
      <c r="R200" s="43" t="n">
        <f aca="false">R168+R199</f>
        <v>-3271.93350000001</v>
      </c>
      <c r="S200" s="43" t="n">
        <f aca="false">S168+S199</f>
        <v>-3271.93350000001</v>
      </c>
      <c r="T200" s="43" t="n">
        <f aca="false">T168+T199</f>
        <v>-31178.1835</v>
      </c>
      <c r="U200" s="43" t="n">
        <f aca="false">U168+U199</f>
        <v>-27178.1835</v>
      </c>
      <c r="V200" s="43" t="n">
        <f aca="false">V168+V199</f>
        <v>-27178.1835</v>
      </c>
      <c r="W200" s="43" t="n">
        <f aca="false">W168+W199</f>
        <v>-27178.1835</v>
      </c>
      <c r="X200" s="43" t="n">
        <f aca="false">X168+X199</f>
        <v>-28525.1835</v>
      </c>
      <c r="Y200" s="43" t="n">
        <f aca="false">Y168+Y199</f>
        <v>86224.8165</v>
      </c>
      <c r="Z200" s="43" t="n">
        <f aca="false">Z168+Z199</f>
        <v>-53525.1835</v>
      </c>
      <c r="AA200" s="43" t="n">
        <f aca="false">AA168+AA199</f>
        <v>-53525.1835</v>
      </c>
      <c r="AB200" s="43" t="n">
        <f aca="false">AB168+AB199</f>
        <v>3849.8165</v>
      </c>
      <c r="AC200" s="43" t="n">
        <f aca="false">AC168+AC199</f>
        <v>-53868.22137</v>
      </c>
      <c r="AD200" s="43" t="n">
        <f aca="false">AD168+AD199</f>
        <v>-77552.43137</v>
      </c>
      <c r="AE200" s="43" t="n">
        <f aca="false">AE168+AE199</f>
        <v>-20177.43137</v>
      </c>
      <c r="AF200" s="43" t="n">
        <f aca="false">AF168+AF199</f>
        <v>-81552.43137</v>
      </c>
      <c r="AG200" s="43" t="n">
        <f aca="false">AG168+AG199</f>
        <v>-77552.43137</v>
      </c>
      <c r="AH200" s="43" t="n">
        <f aca="false">AH168+AH199</f>
        <v>-77552.43137</v>
      </c>
      <c r="AI200" s="43" t="n">
        <f aca="false">AI168+AI199</f>
        <v>-87052.43137</v>
      </c>
      <c r="AJ200" s="43" t="n">
        <f aca="false">AJ168+AJ199</f>
        <v>-87052.43137</v>
      </c>
      <c r="AK200" s="43" t="n">
        <f aca="false">AK168+AK199</f>
        <v>-87052.43137</v>
      </c>
      <c r="AL200" s="43" t="n">
        <f aca="false">AL168+AL199</f>
        <v>-87052.43137</v>
      </c>
      <c r="AM200" s="43" t="n">
        <f aca="false">AM168+AM199</f>
        <v>-88302.43137</v>
      </c>
      <c r="AN200" s="43" t="n">
        <f aca="false">AN168+AN199</f>
        <v>-88302.43137</v>
      </c>
      <c r="AO200" s="43" t="n">
        <f aca="false">AO168+AO199</f>
        <v>-89927.3299974</v>
      </c>
      <c r="AP200" s="43" t="n">
        <f aca="false">AP168+AP199</f>
        <v>-89927.3299974</v>
      </c>
      <c r="AQ200" s="43" t="n">
        <f aca="false">AQ168+AQ199</f>
        <v>-89927.3299974</v>
      </c>
      <c r="AR200" s="43" t="n">
        <f aca="false">AR168+AR199</f>
        <v>-93927.3299974</v>
      </c>
      <c r="AS200" s="43" t="n">
        <f aca="false">AS168+AS199</f>
        <v>-89927.3299974</v>
      </c>
      <c r="AT200" s="43" t="n">
        <f aca="false">AT168+AT199</f>
        <v>-82869.8299974</v>
      </c>
      <c r="AU200" s="43" t="n">
        <f aca="false">AU168+AU199</f>
        <v>-82869.8299974</v>
      </c>
      <c r="AV200" s="43" t="n">
        <f aca="false">AV168+AV199</f>
        <v>-82869.8299974</v>
      </c>
      <c r="AW200" s="43" t="n">
        <f aca="false">AW168+AW199</f>
        <v>-82869.8299974</v>
      </c>
      <c r="AX200" s="43" t="n">
        <f aca="false">AX168+AX199</f>
        <v>-82869.8299974</v>
      </c>
      <c r="AY200" s="43" t="n">
        <f aca="false">AY168+AY199</f>
        <v>-82869.8299974</v>
      </c>
      <c r="AZ200" s="43" t="n">
        <f aca="false">AZ168+AZ199</f>
        <v>-82869.8299974</v>
      </c>
      <c r="BA200" s="43" t="n">
        <f aca="false">BA168+BA199</f>
        <v>-84527.226597348</v>
      </c>
      <c r="BB200" s="43" t="n">
        <f aca="false">BB168+BB199</f>
        <v>-84527.226597348</v>
      </c>
      <c r="BC200" s="43" t="n">
        <f aca="false">BC168+BC199</f>
        <v>-84527.226597348</v>
      </c>
      <c r="BD200" s="43" t="n">
        <f aca="false">BD168+BD199</f>
        <v>-84527.226597348</v>
      </c>
      <c r="BE200" s="43" t="n">
        <f aca="false">BE168+BE199</f>
        <v>-84527.226597348</v>
      </c>
      <c r="BF200" s="43" t="n">
        <f aca="false">BF168+BF199</f>
        <v>-84527.226597348</v>
      </c>
      <c r="BG200" s="43" t="n">
        <f aca="false">BG168+BG199</f>
        <v>-84527.226597348</v>
      </c>
      <c r="BH200" s="43" t="n">
        <f aca="false">BH168+BH199</f>
        <v>-84527.226597348</v>
      </c>
      <c r="BI200" s="43" t="n">
        <f aca="false">BI168+BI199</f>
        <v>-84527.226597348</v>
      </c>
      <c r="BJ200" s="43" t="n">
        <f aca="false">BJ168+BJ199</f>
        <v>-84527.226597348</v>
      </c>
      <c r="BK200" s="43" t="n">
        <f aca="false">BK168+BK199</f>
        <v>-84527.226597348</v>
      </c>
      <c r="BL200" s="43" t="n">
        <f aca="false">BL168+BL199</f>
        <v>-84527.226597348</v>
      </c>
      <c r="BM200" s="43" t="n">
        <f aca="false">BM168+BM199</f>
        <v>-86217.771129295</v>
      </c>
      <c r="BN200" s="43" t="n">
        <f aca="false">BN168+BN199</f>
        <v>-86217.771129295</v>
      </c>
      <c r="BO200" s="43" t="n">
        <f aca="false">BO168+BO199</f>
        <v>-86217.771129295</v>
      </c>
      <c r="BP200" s="43" t="n">
        <f aca="false">BP168+BP199</f>
        <v>-86217.771129295</v>
      </c>
      <c r="BQ200" s="43" t="n">
        <f aca="false">BQ168+BQ199</f>
        <v>-86217.771129295</v>
      </c>
      <c r="BR200" s="43" t="n">
        <f aca="false">BR168+BR199</f>
        <v>-32967.421129295</v>
      </c>
      <c r="BS200" s="43" t="n">
        <f aca="false">BS168+BS199</f>
        <v>-86217.771129295</v>
      </c>
      <c r="BT200" s="43" t="n">
        <f aca="false">BT168+BT199</f>
        <v>-86217.771129295</v>
      </c>
      <c r="BU200" s="43" t="n">
        <f aca="false">BU168+BU199</f>
        <v>-18455.771129295</v>
      </c>
      <c r="BV200" s="43" t="n">
        <f aca="false">BV168+BV199</f>
        <v>-86217.771129295</v>
      </c>
      <c r="BW200" s="43" t="n">
        <f aca="false">BW168+BW199</f>
        <v>-86217.771129295</v>
      </c>
      <c r="BX200" s="43" t="n">
        <f aca="false">BX168+BX199</f>
        <v>-18455.771129295</v>
      </c>
      <c r="BY200" s="43" t="n">
        <f aca="false">BY168+BY199</f>
        <v>-87942.1265518809</v>
      </c>
      <c r="BZ200" s="43" t="n">
        <f aca="false">BZ168+BZ199</f>
        <v>-87942.1265518809</v>
      </c>
      <c r="CA200" s="43" t="n">
        <f aca="false">CA168+CA199</f>
        <v>-20180.1265518809</v>
      </c>
      <c r="CB200" s="43" t="n">
        <f aca="false">CB168+CB199</f>
        <v>-87942.1265518809</v>
      </c>
      <c r="CC200" s="43" t="n">
        <f aca="false">CC168+CC199</f>
        <v>-87942.1265518809</v>
      </c>
      <c r="CD200" s="43" t="n">
        <f aca="false">CD168+CD199</f>
        <v>-11443.1265518809</v>
      </c>
      <c r="CE200" s="43" t="n">
        <f aca="false">CE168+CE199</f>
        <v>-87942.1265518809</v>
      </c>
      <c r="CF200" s="43" t="n">
        <f aca="false">CF168+CF199</f>
        <v>-87942.1265518809</v>
      </c>
      <c r="CG200" s="43" t="n">
        <f aca="false">CG168+CG199</f>
        <v>-11443.1265518809</v>
      </c>
      <c r="CH200" s="43" t="n">
        <f aca="false">CH168+CH199</f>
        <v>-87942.1265518809</v>
      </c>
      <c r="CI200" s="43" t="n">
        <f aca="false">CI168+CI199</f>
        <v>-87942.1265518809</v>
      </c>
      <c r="CJ200" s="43" t="n">
        <f aca="false">CJ168+CJ199</f>
        <v>-4835.09994540163</v>
      </c>
      <c r="CK200" s="43" t="n">
        <f aca="false">CK168+CK199</f>
        <v>68160.0309170815</v>
      </c>
      <c r="CL200" s="43" t="n">
        <f aca="false">CL168+CL199</f>
        <v>68160.0309170815</v>
      </c>
      <c r="CM200" s="43" t="n">
        <f aca="false">CM168+CM199</f>
        <v>68160.0309170815</v>
      </c>
      <c r="CN200" s="43" t="n">
        <f aca="false">CN168+CN199</f>
        <v>68160.0309170815</v>
      </c>
      <c r="CO200" s="43" t="n">
        <f aca="false">CO168+CO199</f>
        <v>68160.0309170815</v>
      </c>
      <c r="CP200" s="43" t="n">
        <f aca="false">CP168+CP199</f>
        <v>68160.0309170815</v>
      </c>
      <c r="CQ200" s="43" t="n">
        <f aca="false">CQ168+CQ199</f>
        <v>68160.0309170815</v>
      </c>
      <c r="CR200" s="43" t="n">
        <f aca="false">CR168+CR199</f>
        <v>68160.0309170815</v>
      </c>
      <c r="CS200" s="43" t="n">
        <f aca="false">CS168+CS199</f>
        <v>68160.0309170815</v>
      </c>
      <c r="CT200" s="43" t="n">
        <f aca="false">CT168+CT199</f>
        <v>70068.524291978</v>
      </c>
      <c r="CU200" s="43" t="n">
        <f aca="false">CU168+CU199</f>
        <v>70068.524291978</v>
      </c>
      <c r="CV200" s="43" t="n">
        <f aca="false">CV168+CV199</f>
        <v>70068.524291978</v>
      </c>
      <c r="CW200" s="43" t="n">
        <f aca="false">CW168+CW199</f>
        <v>124020.82584141</v>
      </c>
      <c r="CX200" s="43" t="n">
        <f aca="false">CX168+CX199</f>
        <v>141467.674777818</v>
      </c>
      <c r="CY200" s="43" t="n">
        <f aca="false">CY168+CY199</f>
        <v>141467.674777818</v>
      </c>
      <c r="CZ200" s="43" t="n">
        <f aca="false">CZ168+CZ199</f>
        <v>141467.674777818</v>
      </c>
      <c r="DA200" s="43" t="n">
        <f aca="false">DA168+DA199</f>
        <v>141467.674777818</v>
      </c>
      <c r="DB200" s="43" t="n">
        <f aca="false">DB168+DB199</f>
        <v>141467.674777818</v>
      </c>
      <c r="DC200" s="43" t="n">
        <f aca="false">DC168+DC199</f>
        <v>141467.674777818</v>
      </c>
      <c r="DD200" s="43" t="n">
        <f aca="false">DD168+DD199</f>
        <v>141467.674777818</v>
      </c>
      <c r="DE200" s="43" t="n">
        <f aca="false">DE168+DE199</f>
        <v>141467.674777818</v>
      </c>
    </row>
    <row r="201" customFormat="false" ht="15" hidden="false" customHeight="true" outlineLevel="0" collapsed="false">
      <c r="A201" s="3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</row>
    <row r="202" customFormat="false" ht="15" hidden="false" customHeight="true" outlineLevel="0" collapsed="false">
      <c r="A202" s="45" t="s">
        <v>134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</row>
    <row r="203" customFormat="false" ht="15" hidden="false" customHeight="true" outlineLevel="0" collapsed="false">
      <c r="A203" s="47" t="s">
        <v>3</v>
      </c>
      <c r="B203" s="14" t="n">
        <f aca="false">B107</f>
        <v>218756.86</v>
      </c>
      <c r="C203" s="14" t="n">
        <f aca="false">C107</f>
        <v>-51000.77</v>
      </c>
      <c r="D203" s="14" t="n">
        <f aca="false">D107</f>
        <v>594184.52</v>
      </c>
      <c r="E203" s="14" t="n">
        <f aca="false">E107</f>
        <v>447358.25</v>
      </c>
      <c r="F203" s="14" t="n">
        <f aca="false">F107</f>
        <v>473786.7</v>
      </c>
      <c r="G203" s="14" t="n">
        <f aca="false">G107</f>
        <v>651645.13</v>
      </c>
      <c r="H203" s="14" t="n">
        <f aca="false">H107</f>
        <v>453210.539583304</v>
      </c>
      <c r="I203" s="14" t="n">
        <f aca="false">I107</f>
        <v>780640.358165302</v>
      </c>
      <c r="J203" s="14" t="n">
        <f aca="false">J107</f>
        <v>460189.159719214</v>
      </c>
      <c r="K203" s="14" t="n">
        <f aca="false">K107</f>
        <v>917026.006192911</v>
      </c>
      <c r="L203" s="14" t="n">
        <f aca="false">L107</f>
        <v>893119.652392856</v>
      </c>
      <c r="M203" s="14" t="n">
        <f aca="false">M107</f>
        <v>805010.145927133</v>
      </c>
      <c r="N203" s="14" t="n">
        <f aca="false">N107</f>
        <v>783060.08015205</v>
      </c>
      <c r="O203" s="14" t="n">
        <f aca="false">O107</f>
        <v>757463.405634305</v>
      </c>
      <c r="P203" s="14" t="n">
        <f aca="false">P107</f>
        <v>729536.780992099</v>
      </c>
      <c r="Q203" s="14" t="n">
        <f aca="false">Q107</f>
        <v>81016.6818575852</v>
      </c>
      <c r="R203" s="14" t="n">
        <f aca="false">R107</f>
        <v>844476.66374265</v>
      </c>
      <c r="S203" s="14" t="n">
        <f aca="false">S107</f>
        <v>817039.316223796</v>
      </c>
      <c r="T203" s="14" t="n">
        <f aca="false">T107</f>
        <v>741904.177723487</v>
      </c>
      <c r="U203" s="14" t="n">
        <f aca="false">U107</f>
        <v>689345.842642927</v>
      </c>
      <c r="V203" s="14" t="n">
        <f aca="false">V107</f>
        <v>686562.941985288</v>
      </c>
      <c r="W203" s="14" t="n">
        <f aca="false">W107</f>
        <v>683977.548188786</v>
      </c>
      <c r="X203" s="14" t="n">
        <f aca="false">X107</f>
        <v>672997.90576376</v>
      </c>
      <c r="Y203" s="14" t="n">
        <f aca="false">Y107</f>
        <v>672997.90576376</v>
      </c>
      <c r="Z203" s="14" t="n">
        <f aca="false">Z107</f>
        <v>672997.90576376</v>
      </c>
      <c r="AA203" s="14" t="n">
        <f aca="false">AA107</f>
        <v>751214.590385538</v>
      </c>
      <c r="AB203" s="14" t="n">
        <f aca="false">AB107</f>
        <v>594781.221141983</v>
      </c>
      <c r="AC203" s="14" t="n">
        <f aca="false">AC107</f>
        <v>697849.834341582</v>
      </c>
      <c r="AD203" s="14" t="n">
        <f aca="false">AD107</f>
        <v>491712.607942382</v>
      </c>
      <c r="AE203" s="14" t="n">
        <f aca="false">AE107</f>
        <v>-74333.8111890708</v>
      </c>
      <c r="AF203" s="14" t="n">
        <f aca="false">AF107</f>
        <v>649372.248810929</v>
      </c>
      <c r="AG203" s="14" t="n">
        <f aca="false">AG107</f>
        <v>777368.378378679</v>
      </c>
      <c r="AH203" s="14" t="n">
        <f aca="false">AH107</f>
        <v>548041.979569794</v>
      </c>
      <c r="AI203" s="14" t="n">
        <f aca="false">AI107</f>
        <v>548041.979569794</v>
      </c>
      <c r="AJ203" s="14" t="n">
        <f aca="false">AJ107</f>
        <v>548041.979569794</v>
      </c>
      <c r="AK203" s="14" t="n">
        <f aca="false">AK107</f>
        <v>548041.979569794</v>
      </c>
      <c r="AL203" s="14" t="n">
        <f aca="false">AL107</f>
        <v>891949.560586684</v>
      </c>
      <c r="AM203" s="14" t="n">
        <f aca="false">AM107</f>
        <v>330233.844925764</v>
      </c>
      <c r="AN203" s="14" t="n">
        <f aca="false">AN107</f>
        <v>330233.844925764</v>
      </c>
      <c r="AO203" s="14" t="n">
        <f aca="false">AO107</f>
        <v>330233.844925763</v>
      </c>
      <c r="AP203" s="14" t="n">
        <f aca="false">AP107</f>
        <v>330233.844925763</v>
      </c>
      <c r="AQ203" s="14" t="n">
        <f aca="false">AQ107</f>
        <v>330233.844925763</v>
      </c>
      <c r="AR203" s="14" t="n">
        <f aca="false">AR107</f>
        <v>330233.844925764</v>
      </c>
      <c r="AS203" s="14" t="n">
        <f aca="false">AS107</f>
        <v>330233.844925763</v>
      </c>
      <c r="AT203" s="14" t="n">
        <f aca="false">AT107</f>
        <v>602719.430279263</v>
      </c>
      <c r="AU203" s="14" t="n">
        <f aca="false">AU107</f>
        <v>157659.640868547</v>
      </c>
      <c r="AV203" s="14" t="n">
        <f aca="false">AV107</f>
        <v>157659.640868547</v>
      </c>
      <c r="AW203" s="14" t="n">
        <f aca="false">AW107</f>
        <v>157659.640868547</v>
      </c>
      <c r="AX203" s="14" t="n">
        <f aca="false">AX107</f>
        <v>157659.640868547</v>
      </c>
      <c r="AY203" s="14" t="n">
        <f aca="false">AY107</f>
        <v>157659.640868547</v>
      </c>
      <c r="AZ203" s="14" t="n">
        <f aca="false">AZ107</f>
        <v>157659.640868547</v>
      </c>
      <c r="BA203" s="14" t="n">
        <f aca="false">BA107</f>
        <v>157659.640868547</v>
      </c>
      <c r="BB203" s="14" t="n">
        <f aca="false">BB107</f>
        <v>157659.640868547</v>
      </c>
      <c r="BC203" s="14" t="n">
        <f aca="false">BC107</f>
        <v>157659.640868547</v>
      </c>
      <c r="BD203" s="14" t="n">
        <f aca="false">BD107</f>
        <v>157659.640868547</v>
      </c>
      <c r="BE203" s="14" t="n">
        <f aca="false">BE107</f>
        <v>157659.640868547</v>
      </c>
      <c r="BF203" s="14" t="n">
        <f aca="false">BF107</f>
        <v>157659.640868547</v>
      </c>
      <c r="BG203" s="14" t="n">
        <f aca="false">BG107</f>
        <v>157659.640868547</v>
      </c>
      <c r="BH203" s="14" t="n">
        <f aca="false">BH107</f>
        <v>406595.915924147</v>
      </c>
      <c r="BI203" s="14" t="n">
        <f aca="false">BI107</f>
        <v>0</v>
      </c>
      <c r="BJ203" s="14" t="n">
        <f aca="false">BJ107</f>
        <v>0</v>
      </c>
      <c r="BK203" s="14" t="n">
        <f aca="false">BK107</f>
        <v>0</v>
      </c>
      <c r="BL203" s="14" t="n">
        <f aca="false">BL107</f>
        <v>0</v>
      </c>
      <c r="BM203" s="14" t="n">
        <f aca="false">BM107</f>
        <v>0</v>
      </c>
      <c r="BN203" s="14" t="n">
        <f aca="false">BN107</f>
        <v>0</v>
      </c>
      <c r="BO203" s="14" t="n">
        <f aca="false">BO107</f>
        <v>0</v>
      </c>
      <c r="BP203" s="14" t="n">
        <f aca="false">BP107</f>
        <v>0</v>
      </c>
      <c r="BQ203" s="14" t="n">
        <f aca="false">BQ107</f>
        <v>0</v>
      </c>
      <c r="BR203" s="14" t="n">
        <f aca="false">BR107</f>
        <v>0</v>
      </c>
      <c r="BS203" s="14" t="n">
        <f aca="false">BS107</f>
        <v>0</v>
      </c>
      <c r="BT203" s="14" t="n">
        <f aca="false">BT107</f>
        <v>0</v>
      </c>
      <c r="BU203" s="14" t="n">
        <f aca="false">BU107</f>
        <v>0</v>
      </c>
      <c r="BV203" s="14" t="n">
        <f aca="false">BV107</f>
        <v>0</v>
      </c>
      <c r="BW203" s="14" t="n">
        <f aca="false">BW107</f>
        <v>0</v>
      </c>
      <c r="BX203" s="14" t="n">
        <f aca="false">BX107</f>
        <v>0</v>
      </c>
      <c r="BY203" s="14" t="n">
        <f aca="false">BY107</f>
        <v>0</v>
      </c>
      <c r="BZ203" s="14" t="n">
        <f aca="false">BZ107</f>
        <v>0</v>
      </c>
      <c r="CA203" s="14" t="n">
        <f aca="false">CA107</f>
        <v>0</v>
      </c>
      <c r="CB203" s="14" t="n">
        <f aca="false">CB107</f>
        <v>0</v>
      </c>
      <c r="CC203" s="14" t="n">
        <f aca="false">CC107</f>
        <v>0</v>
      </c>
      <c r="CD203" s="14" t="n">
        <f aca="false">CD107</f>
        <v>0</v>
      </c>
      <c r="CE203" s="14" t="n">
        <f aca="false">CE107</f>
        <v>0</v>
      </c>
      <c r="CF203" s="14" t="n">
        <f aca="false">CF107</f>
        <v>0</v>
      </c>
      <c r="CG203" s="14" t="n">
        <f aca="false">CG107</f>
        <v>0</v>
      </c>
      <c r="CH203" s="14" t="n">
        <f aca="false">CH107</f>
        <v>0</v>
      </c>
      <c r="CI203" s="14" t="n">
        <f aca="false">CI107</f>
        <v>0</v>
      </c>
      <c r="CJ203" s="14" t="n">
        <f aca="false">CJ107</f>
        <v>0</v>
      </c>
      <c r="CK203" s="14" t="n">
        <f aca="false">CK107</f>
        <v>0</v>
      </c>
      <c r="CL203" s="14" t="n">
        <f aca="false">CL107</f>
        <v>0</v>
      </c>
      <c r="CM203" s="14" t="n">
        <f aca="false">CM107</f>
        <v>0</v>
      </c>
      <c r="CN203" s="14" t="n">
        <f aca="false">CN107</f>
        <v>0</v>
      </c>
      <c r="CO203" s="14" t="n">
        <f aca="false">CO107</f>
        <v>0</v>
      </c>
      <c r="CP203" s="14" t="n">
        <f aca="false">CP107</f>
        <v>0</v>
      </c>
      <c r="CQ203" s="14" t="n">
        <f aca="false">CQ107</f>
        <v>0</v>
      </c>
      <c r="CR203" s="14" t="n">
        <f aca="false">CR107</f>
        <v>0</v>
      </c>
      <c r="CS203" s="14" t="n">
        <f aca="false">CS107</f>
        <v>0</v>
      </c>
      <c r="CT203" s="14" t="n">
        <f aca="false">CT107</f>
        <v>0</v>
      </c>
      <c r="CU203" s="14" t="n">
        <f aca="false">CU107</f>
        <v>0</v>
      </c>
      <c r="CV203" s="14" t="n">
        <f aca="false">CV107</f>
        <v>0</v>
      </c>
      <c r="CW203" s="14" t="n">
        <f aca="false">CW107</f>
        <v>0</v>
      </c>
      <c r="CX203" s="14" t="n">
        <f aca="false">CX107</f>
        <v>0</v>
      </c>
      <c r="CY203" s="14" t="n">
        <f aca="false">CY107</f>
        <v>0</v>
      </c>
      <c r="CZ203" s="14" t="n">
        <f aca="false">CZ107</f>
        <v>0</v>
      </c>
      <c r="DA203" s="14" t="n">
        <f aca="false">DA107</f>
        <v>0</v>
      </c>
      <c r="DB203" s="14" t="n">
        <f aca="false">DB107</f>
        <v>0</v>
      </c>
      <c r="DC203" s="14" t="n">
        <f aca="false">DC107</f>
        <v>0</v>
      </c>
      <c r="DD203" s="14" t="n">
        <f aca="false">DD107</f>
        <v>0</v>
      </c>
      <c r="DE203" s="14" t="n">
        <f aca="false">DE107</f>
        <v>0</v>
      </c>
    </row>
    <row r="204" customFormat="false" ht="15" hidden="false" customHeight="true" outlineLevel="0" collapsed="false">
      <c r="A204" s="47" t="s">
        <v>96</v>
      </c>
      <c r="B204" s="14" t="n">
        <f aca="false">B168</f>
        <v>34114.58</v>
      </c>
      <c r="C204" s="14" t="n">
        <f aca="false">C168</f>
        <v>34114.58</v>
      </c>
      <c r="D204" s="14" t="n">
        <f aca="false">D168</f>
        <v>34114.58</v>
      </c>
      <c r="E204" s="14" t="n">
        <f aca="false">E168</f>
        <v>43614.58</v>
      </c>
      <c r="F204" s="14" t="n">
        <f aca="false">F168</f>
        <v>43614.58</v>
      </c>
      <c r="G204" s="14" t="n">
        <f aca="false">G168</f>
        <v>342614.58</v>
      </c>
      <c r="H204" s="14" t="n">
        <f aca="false">H168</f>
        <v>46039.2228571429</v>
      </c>
      <c r="I204" s="14" t="n">
        <f aca="false">I168</f>
        <v>306616.222857143</v>
      </c>
      <c r="J204" s="14" t="n">
        <f aca="false">J168</f>
        <v>55552.8928571429</v>
      </c>
      <c r="K204" s="14" t="n">
        <f aca="false">K168</f>
        <v>260982.102857143</v>
      </c>
      <c r="L204" s="14" t="n">
        <f aca="false">L168</f>
        <v>69862.1028571429</v>
      </c>
      <c r="M204" s="14" t="n">
        <f aca="false">M168</f>
        <v>67112.1028571429</v>
      </c>
      <c r="N204" s="14" t="n">
        <f aca="false">N168</f>
        <v>87987.1028571429</v>
      </c>
      <c r="O204" s="14" t="n">
        <f aca="false">O168</f>
        <v>75129.96</v>
      </c>
      <c r="P204" s="14" t="n">
        <f aca="false">P168</f>
        <v>76379.96</v>
      </c>
      <c r="Q204" s="14" t="n">
        <f aca="false">Q168</f>
        <v>76379.96</v>
      </c>
      <c r="R204" s="14" t="n">
        <f aca="false">R168</f>
        <v>76379.96</v>
      </c>
      <c r="S204" s="14" t="n">
        <f aca="false">S168</f>
        <v>76379.96</v>
      </c>
      <c r="T204" s="14" t="n">
        <f aca="false">T168</f>
        <v>48473.71</v>
      </c>
      <c r="U204" s="14" t="n">
        <f aca="false">U168</f>
        <v>52473.71</v>
      </c>
      <c r="V204" s="14" t="n">
        <f aca="false">V168</f>
        <v>52473.71</v>
      </c>
      <c r="W204" s="14" t="n">
        <f aca="false">W168</f>
        <v>52473.71</v>
      </c>
      <c r="X204" s="14" t="n">
        <f aca="false">X168</f>
        <v>51126.71</v>
      </c>
      <c r="Y204" s="14" t="n">
        <f aca="false">Y168</f>
        <v>165876.71</v>
      </c>
      <c r="Z204" s="14" t="n">
        <f aca="false">Z168</f>
        <v>26126.71</v>
      </c>
      <c r="AA204" s="14" t="n">
        <f aca="false">AA168</f>
        <v>26126.71</v>
      </c>
      <c r="AB204" s="14" t="n">
        <f aca="false">AB168</f>
        <v>83501.71</v>
      </c>
      <c r="AC204" s="14" t="n">
        <f aca="false">AC168</f>
        <v>27376.71</v>
      </c>
      <c r="AD204" s="14" t="n">
        <f aca="false">AD168</f>
        <v>3692.5</v>
      </c>
      <c r="AE204" s="14" t="n">
        <f aca="false">AE168</f>
        <v>61067.5</v>
      </c>
      <c r="AF204" s="14" t="n">
        <f aca="false">AF168</f>
        <v>-307.5</v>
      </c>
      <c r="AG204" s="14" t="n">
        <f aca="false">AG168</f>
        <v>3692.5</v>
      </c>
      <c r="AH204" s="14" t="n">
        <f aca="false">AH168</f>
        <v>3692.5</v>
      </c>
      <c r="AI204" s="14" t="n">
        <f aca="false">AI168</f>
        <v>-5807.5</v>
      </c>
      <c r="AJ204" s="14" t="n">
        <f aca="false">AJ168</f>
        <v>-5807.5</v>
      </c>
      <c r="AK204" s="14" t="n">
        <f aca="false">AK168</f>
        <v>-5807.5</v>
      </c>
      <c r="AL204" s="14" t="n">
        <f aca="false">AL168</f>
        <v>-5807.5</v>
      </c>
      <c r="AM204" s="14" t="n">
        <f aca="false">AM168</f>
        <v>-7057.5</v>
      </c>
      <c r="AN204" s="14" t="n">
        <f aca="false">AN168</f>
        <v>-7057.5</v>
      </c>
      <c r="AO204" s="14" t="n">
        <f aca="false">AO168</f>
        <v>-7057.5</v>
      </c>
      <c r="AP204" s="14" t="n">
        <f aca="false">AP168</f>
        <v>-7057.5</v>
      </c>
      <c r="AQ204" s="14" t="n">
        <f aca="false">AQ168</f>
        <v>-7057.5</v>
      </c>
      <c r="AR204" s="14" t="n">
        <f aca="false">AR168</f>
        <v>-11057.5</v>
      </c>
      <c r="AS204" s="14" t="n">
        <f aca="false">AS168</f>
        <v>-7057.5</v>
      </c>
      <c r="AT204" s="14" t="n">
        <f aca="false">AT168</f>
        <v>81683</v>
      </c>
      <c r="AU204" s="14" t="n">
        <f aca="false">AU168</f>
        <v>0</v>
      </c>
      <c r="AV204" s="14" t="n">
        <f aca="false">AV168</f>
        <v>0</v>
      </c>
      <c r="AW204" s="14" t="n">
        <f aca="false">AW168</f>
        <v>81682</v>
      </c>
      <c r="AX204" s="14" t="n">
        <f aca="false">AX168</f>
        <v>0</v>
      </c>
      <c r="AY204" s="14" t="n">
        <f aca="false">AY168</f>
        <v>0</v>
      </c>
      <c r="AZ204" s="14" t="n">
        <f aca="false">AZ168</f>
        <v>81682</v>
      </c>
      <c r="BA204" s="14" t="n">
        <f aca="false">BA168</f>
        <v>0</v>
      </c>
      <c r="BB204" s="14" t="n">
        <f aca="false">BB168</f>
        <v>0</v>
      </c>
      <c r="BC204" s="14" t="n">
        <f aca="false">BC168</f>
        <v>933521</v>
      </c>
      <c r="BD204" s="14" t="n">
        <f aca="false">BD168</f>
        <v>0</v>
      </c>
      <c r="BE204" s="14" t="n">
        <f aca="false">BE168</f>
        <v>0</v>
      </c>
      <c r="BF204" s="14" t="n">
        <f aca="false">BF168</f>
        <v>130878</v>
      </c>
      <c r="BG204" s="14" t="n">
        <f aca="false">BG168</f>
        <v>0</v>
      </c>
      <c r="BH204" s="14" t="n">
        <f aca="false">BH168</f>
        <v>0</v>
      </c>
      <c r="BI204" s="14" t="n">
        <f aca="false">BI168</f>
        <v>130876</v>
      </c>
      <c r="BJ204" s="14" t="n">
        <f aca="false">BJ168</f>
        <v>0</v>
      </c>
      <c r="BK204" s="14" t="n">
        <f aca="false">BK168</f>
        <v>0</v>
      </c>
      <c r="BL204" s="14" t="n">
        <f aca="false">BL168</f>
        <v>130876</v>
      </c>
      <c r="BM204" s="14" t="n">
        <f aca="false">BM168</f>
        <v>0</v>
      </c>
      <c r="BN204" s="14" t="n">
        <f aca="false">BN168</f>
        <v>0</v>
      </c>
      <c r="BO204" s="14" t="n">
        <f aca="false">BO168</f>
        <v>130876</v>
      </c>
      <c r="BP204" s="14" t="n">
        <f aca="false">BP168</f>
        <v>0</v>
      </c>
      <c r="BQ204" s="14" t="n">
        <f aca="false">BQ168</f>
        <v>0</v>
      </c>
      <c r="BR204" s="14" t="n">
        <f aca="false">BR168</f>
        <v>142406</v>
      </c>
      <c r="BS204" s="14" t="n">
        <f aca="false">BS168</f>
        <v>0</v>
      </c>
      <c r="BT204" s="14" t="n">
        <f aca="false">BT168</f>
        <v>0</v>
      </c>
      <c r="BU204" s="14" t="n">
        <f aca="false">BU168</f>
        <v>142402</v>
      </c>
      <c r="BV204" s="14" t="n">
        <f aca="false">BV168</f>
        <v>0</v>
      </c>
      <c r="BW204" s="14" t="n">
        <f aca="false">BW168</f>
        <v>0</v>
      </c>
      <c r="BX204" s="14" t="n">
        <f aca="false">BX168</f>
        <v>142402</v>
      </c>
      <c r="BY204" s="14" t="n">
        <f aca="false">BY168</f>
        <v>0</v>
      </c>
      <c r="BZ204" s="14" t="n">
        <f aca="false">BZ168</f>
        <v>0</v>
      </c>
      <c r="CA204" s="14" t="n">
        <f aca="false">CA168</f>
        <v>215558</v>
      </c>
      <c r="CB204" s="14" t="n">
        <f aca="false">CB168</f>
        <v>0</v>
      </c>
      <c r="CC204" s="14" t="n">
        <f aca="false">CC168</f>
        <v>0</v>
      </c>
      <c r="CD204" s="14" t="n">
        <f aca="false">CD168</f>
        <v>231017</v>
      </c>
      <c r="CE204" s="14" t="n">
        <f aca="false">CE168</f>
        <v>0</v>
      </c>
      <c r="CF204" s="14" t="n">
        <f aca="false">CF168</f>
        <v>0</v>
      </c>
      <c r="CG204" s="14" t="n">
        <f aca="false">CG168</f>
        <v>231016</v>
      </c>
      <c r="CH204" s="14" t="n">
        <f aca="false">CH168</f>
        <v>0</v>
      </c>
      <c r="CI204" s="14" t="n">
        <f aca="false">CI168</f>
        <v>0</v>
      </c>
      <c r="CJ204" s="14" t="n">
        <f aca="false">CJ168</f>
        <v>231016</v>
      </c>
      <c r="CK204" s="14" t="n">
        <f aca="false">CK168</f>
        <v>231016</v>
      </c>
      <c r="CL204" s="14" t="n">
        <f aca="false">CL168</f>
        <v>231016</v>
      </c>
      <c r="CM204" s="14" t="n">
        <f aca="false">CM168</f>
        <v>231016</v>
      </c>
      <c r="CN204" s="14" t="n">
        <f aca="false">CN168</f>
        <v>231016</v>
      </c>
      <c r="CO204" s="14" t="n">
        <f aca="false">CO168</f>
        <v>231016</v>
      </c>
      <c r="CP204" s="14" t="n">
        <f aca="false">CP168</f>
        <v>231016</v>
      </c>
      <c r="CQ204" s="14" t="n">
        <f aca="false">CQ168</f>
        <v>231016</v>
      </c>
      <c r="CR204" s="14" t="n">
        <f aca="false">CR168</f>
        <v>231016</v>
      </c>
      <c r="CS204" s="14" t="n">
        <f aca="false">CS168</f>
        <v>231016</v>
      </c>
      <c r="CT204" s="14" t="n">
        <f aca="false">CT168</f>
        <v>231016</v>
      </c>
      <c r="CU204" s="14" t="n">
        <f aca="false">CU168</f>
        <v>231016</v>
      </c>
      <c r="CV204" s="14" t="n">
        <f aca="false">CV168</f>
        <v>231016</v>
      </c>
      <c r="CW204" s="14" t="n">
        <f aca="false">CW168</f>
        <v>231016</v>
      </c>
      <c r="CX204" s="14" t="n">
        <f aca="false">CX168</f>
        <v>231016</v>
      </c>
      <c r="CY204" s="14" t="n">
        <f aca="false">CY168</f>
        <v>231016</v>
      </c>
      <c r="CZ204" s="14" t="n">
        <f aca="false">CZ168</f>
        <v>231016</v>
      </c>
      <c r="DA204" s="14" t="n">
        <f aca="false">DA168</f>
        <v>231016</v>
      </c>
      <c r="DB204" s="14" t="n">
        <f aca="false">DB168</f>
        <v>231016</v>
      </c>
      <c r="DC204" s="14" t="n">
        <f aca="false">DC168</f>
        <v>231016</v>
      </c>
      <c r="DD204" s="14" t="n">
        <f aca="false">DD168</f>
        <v>231016</v>
      </c>
      <c r="DE204" s="14" t="n">
        <f aca="false">DE168</f>
        <v>231016</v>
      </c>
    </row>
    <row r="205" customFormat="false" ht="15" hidden="false" customHeight="true" outlineLevel="0" collapsed="false">
      <c r="A205" s="48" t="s">
        <v>135</v>
      </c>
      <c r="B205" s="34" t="n">
        <f aca="false">B203+B204</f>
        <v>252871.44</v>
      </c>
      <c r="C205" s="34" t="n">
        <f aca="false">C203+C204</f>
        <v>-16886.19</v>
      </c>
      <c r="D205" s="34" t="n">
        <f aca="false">D203+D204</f>
        <v>628299.1</v>
      </c>
      <c r="E205" s="34" t="n">
        <f aca="false">E203+E204</f>
        <v>490972.830000001</v>
      </c>
      <c r="F205" s="34" t="n">
        <f aca="false">F203+F204</f>
        <v>517401.28</v>
      </c>
      <c r="G205" s="34" t="n">
        <f aca="false">G203+G204</f>
        <v>994259.71</v>
      </c>
      <c r="H205" s="34" t="n">
        <f aca="false">H203+H204</f>
        <v>499249.762440447</v>
      </c>
      <c r="I205" s="34" t="n">
        <f aca="false">I203+I204</f>
        <v>1087256.58102245</v>
      </c>
      <c r="J205" s="34" t="n">
        <f aca="false">J203+J204</f>
        <v>515742.052576357</v>
      </c>
      <c r="K205" s="34" t="n">
        <f aca="false">K203+K204</f>
        <v>1178008.10905005</v>
      </c>
      <c r="L205" s="34" t="n">
        <f aca="false">L203+L204</f>
        <v>962981.755249999</v>
      </c>
      <c r="M205" s="34" t="n">
        <f aca="false">M203+M204</f>
        <v>872122.248784276</v>
      </c>
      <c r="N205" s="34" t="n">
        <f aca="false">N203+N204</f>
        <v>871047.183009193</v>
      </c>
      <c r="O205" s="34" t="n">
        <f aca="false">O203+O204</f>
        <v>832593.365634305</v>
      </c>
      <c r="P205" s="34" t="n">
        <f aca="false">P203+P204</f>
        <v>805916.740992099</v>
      </c>
      <c r="Q205" s="34" t="n">
        <f aca="false">Q203+Q204</f>
        <v>157396.641857585</v>
      </c>
      <c r="R205" s="34" t="n">
        <f aca="false">R203+R204</f>
        <v>920856.62374265</v>
      </c>
      <c r="S205" s="34" t="n">
        <f aca="false">S203+S204</f>
        <v>893419.276223796</v>
      </c>
      <c r="T205" s="34" t="n">
        <f aca="false">T203+T204</f>
        <v>790377.887723487</v>
      </c>
      <c r="U205" s="34" t="n">
        <f aca="false">U203+U204</f>
        <v>741819.552642927</v>
      </c>
      <c r="V205" s="34" t="n">
        <f aca="false">V203+V204</f>
        <v>739036.651985288</v>
      </c>
      <c r="W205" s="34" t="n">
        <f aca="false">W203+W204</f>
        <v>736451.258188786</v>
      </c>
      <c r="X205" s="34" t="n">
        <f aca="false">X203+X204</f>
        <v>724124.61576376</v>
      </c>
      <c r="Y205" s="34" t="n">
        <f aca="false">Y203+Y204</f>
        <v>838874.61576376</v>
      </c>
      <c r="Z205" s="34" t="n">
        <f aca="false">Z203+Z204</f>
        <v>699124.61576376</v>
      </c>
      <c r="AA205" s="34" t="n">
        <f aca="false">AA203+AA204</f>
        <v>777341.300385538</v>
      </c>
      <c r="AB205" s="34" t="n">
        <f aca="false">AB203+AB204</f>
        <v>678282.931141983</v>
      </c>
      <c r="AC205" s="34" t="n">
        <f aca="false">AC203+AC204</f>
        <v>725226.544341582</v>
      </c>
      <c r="AD205" s="34" t="n">
        <f aca="false">AD203+AD204</f>
        <v>495405.107942382</v>
      </c>
      <c r="AE205" s="34" t="n">
        <f aca="false">AE203+AE204</f>
        <v>-13266.3111890708</v>
      </c>
      <c r="AF205" s="34" t="n">
        <f aca="false">AF203+AF204</f>
        <v>649064.748810929</v>
      </c>
      <c r="AG205" s="34" t="n">
        <f aca="false">AG203+AG204</f>
        <v>781060.878378679</v>
      </c>
      <c r="AH205" s="34" t="n">
        <f aca="false">AH203+AH204</f>
        <v>551734.479569794</v>
      </c>
      <c r="AI205" s="34" t="n">
        <f aca="false">AI203+AI204</f>
        <v>542234.479569794</v>
      </c>
      <c r="AJ205" s="34" t="n">
        <f aca="false">AJ203+AJ204</f>
        <v>542234.479569794</v>
      </c>
      <c r="AK205" s="34" t="n">
        <f aca="false">AK203+AK204</f>
        <v>542234.479569794</v>
      </c>
      <c r="AL205" s="34" t="n">
        <f aca="false">AL203+AL204</f>
        <v>886142.060586684</v>
      </c>
      <c r="AM205" s="34" t="n">
        <f aca="false">AM203+AM204</f>
        <v>323176.344925764</v>
      </c>
      <c r="AN205" s="34" t="n">
        <f aca="false">AN203+AN204</f>
        <v>323176.344925764</v>
      </c>
      <c r="AO205" s="34" t="n">
        <f aca="false">AO203+AO204</f>
        <v>323176.344925763</v>
      </c>
      <c r="AP205" s="34" t="n">
        <f aca="false">AP203+AP204</f>
        <v>323176.344925763</v>
      </c>
      <c r="AQ205" s="34" t="n">
        <f aca="false">AQ203+AQ204</f>
        <v>323176.344925763</v>
      </c>
      <c r="AR205" s="34" t="n">
        <f aca="false">AR203+AR204</f>
        <v>319176.344925764</v>
      </c>
      <c r="AS205" s="34" t="n">
        <f aca="false">AS203+AS204</f>
        <v>323176.344925763</v>
      </c>
      <c r="AT205" s="34" t="n">
        <f aca="false">AT203+AT204</f>
        <v>684402.430279263</v>
      </c>
      <c r="AU205" s="34" t="n">
        <f aca="false">AU203+AU204</f>
        <v>157659.640868547</v>
      </c>
      <c r="AV205" s="34" t="n">
        <f aca="false">AV203+AV204</f>
        <v>157659.640868547</v>
      </c>
      <c r="AW205" s="34" t="n">
        <f aca="false">AW203+AW204</f>
        <v>239341.640868547</v>
      </c>
      <c r="AX205" s="34" t="n">
        <f aca="false">AX203+AX204</f>
        <v>157659.640868547</v>
      </c>
      <c r="AY205" s="34" t="n">
        <f aca="false">AY203+AY204</f>
        <v>157659.640868547</v>
      </c>
      <c r="AZ205" s="34" t="n">
        <f aca="false">AZ203+AZ204</f>
        <v>239341.640868547</v>
      </c>
      <c r="BA205" s="34" t="n">
        <f aca="false">BA203+BA204</f>
        <v>157659.640868547</v>
      </c>
      <c r="BB205" s="34" t="n">
        <f aca="false">BB203+BB204</f>
        <v>157659.640868547</v>
      </c>
      <c r="BC205" s="34" t="n">
        <f aca="false">BC203+BC204</f>
        <v>1091180.64086855</v>
      </c>
      <c r="BD205" s="34" t="n">
        <f aca="false">BD203+BD204</f>
        <v>157659.640868547</v>
      </c>
      <c r="BE205" s="34" t="n">
        <f aca="false">BE203+BE204</f>
        <v>157659.640868547</v>
      </c>
      <c r="BF205" s="34" t="n">
        <f aca="false">BF203+BF204</f>
        <v>288537.640868547</v>
      </c>
      <c r="BG205" s="34" t="n">
        <f aca="false">BG203+BG204</f>
        <v>157659.640868547</v>
      </c>
      <c r="BH205" s="34" t="n">
        <f aca="false">BH203+BH204</f>
        <v>406595.915924147</v>
      </c>
      <c r="BI205" s="34" t="n">
        <f aca="false">BI203+BI204</f>
        <v>130876</v>
      </c>
      <c r="BJ205" s="34" t="n">
        <f aca="false">BJ203+BJ204</f>
        <v>0</v>
      </c>
      <c r="BK205" s="34" t="n">
        <f aca="false">BK203+BK204</f>
        <v>0</v>
      </c>
      <c r="BL205" s="34" t="n">
        <f aca="false">BL203+BL204</f>
        <v>130876</v>
      </c>
      <c r="BM205" s="34" t="n">
        <f aca="false">BM203+BM204</f>
        <v>0</v>
      </c>
      <c r="BN205" s="34" t="n">
        <f aca="false">BN203+BN204</f>
        <v>0</v>
      </c>
      <c r="BO205" s="34" t="n">
        <f aca="false">BO203+BO204</f>
        <v>130876</v>
      </c>
      <c r="BP205" s="34" t="n">
        <f aca="false">BP203+BP204</f>
        <v>0</v>
      </c>
      <c r="BQ205" s="34" t="n">
        <f aca="false">BQ203+BQ204</f>
        <v>0</v>
      </c>
      <c r="BR205" s="34" t="n">
        <f aca="false">BR203+BR204</f>
        <v>142406</v>
      </c>
      <c r="BS205" s="34" t="n">
        <f aca="false">BS203+BS204</f>
        <v>0</v>
      </c>
      <c r="BT205" s="34" t="n">
        <f aca="false">BT203+BT204</f>
        <v>0</v>
      </c>
      <c r="BU205" s="34" t="n">
        <f aca="false">BU203+BU204</f>
        <v>142402</v>
      </c>
      <c r="BV205" s="34" t="n">
        <f aca="false">BV203+BV204</f>
        <v>0</v>
      </c>
      <c r="BW205" s="34" t="n">
        <f aca="false">BW203+BW204</f>
        <v>0</v>
      </c>
      <c r="BX205" s="34" t="n">
        <f aca="false">BX203+BX204</f>
        <v>142402</v>
      </c>
      <c r="BY205" s="34" t="n">
        <f aca="false">BY203+BY204</f>
        <v>0</v>
      </c>
      <c r="BZ205" s="34" t="n">
        <f aca="false">BZ203+BZ204</f>
        <v>0</v>
      </c>
      <c r="CA205" s="34" t="n">
        <f aca="false">CA203+CA204</f>
        <v>215558</v>
      </c>
      <c r="CB205" s="34" t="n">
        <f aca="false">CB203+CB204</f>
        <v>0</v>
      </c>
      <c r="CC205" s="34" t="n">
        <f aca="false">CC203+CC204</f>
        <v>0</v>
      </c>
      <c r="CD205" s="34" t="n">
        <f aca="false">CD203+CD204</f>
        <v>231017</v>
      </c>
      <c r="CE205" s="34" t="n">
        <f aca="false">CE203+CE204</f>
        <v>0</v>
      </c>
      <c r="CF205" s="34" t="n">
        <f aca="false">CF203+CF204</f>
        <v>0</v>
      </c>
      <c r="CG205" s="34" t="n">
        <f aca="false">CG203+CG204</f>
        <v>231016</v>
      </c>
      <c r="CH205" s="34" t="n">
        <f aca="false">CH203+CH204</f>
        <v>0</v>
      </c>
      <c r="CI205" s="34" t="n">
        <f aca="false">CI203+CI204</f>
        <v>0</v>
      </c>
      <c r="CJ205" s="34" t="n">
        <f aca="false">CJ203+CJ204</f>
        <v>231016</v>
      </c>
      <c r="CK205" s="34" t="n">
        <f aca="false">CK203+CK204</f>
        <v>231016</v>
      </c>
      <c r="CL205" s="34" t="n">
        <f aca="false">CL203+CL204</f>
        <v>231016</v>
      </c>
      <c r="CM205" s="34" t="n">
        <f aca="false">CM203+CM204</f>
        <v>231016</v>
      </c>
      <c r="CN205" s="34" t="n">
        <f aca="false">CN203+CN204</f>
        <v>231016</v>
      </c>
      <c r="CO205" s="34" t="n">
        <f aca="false">CO203+CO204</f>
        <v>231016</v>
      </c>
      <c r="CP205" s="34" t="n">
        <f aca="false">CP203+CP204</f>
        <v>231016</v>
      </c>
      <c r="CQ205" s="34" t="n">
        <f aca="false">CQ203+CQ204</f>
        <v>231016</v>
      </c>
      <c r="CR205" s="34" t="n">
        <f aca="false">CR203+CR204</f>
        <v>231016</v>
      </c>
      <c r="CS205" s="34" t="n">
        <f aca="false">CS203+CS204</f>
        <v>231016</v>
      </c>
      <c r="CT205" s="34" t="n">
        <f aca="false">CT203+CT204</f>
        <v>231016</v>
      </c>
      <c r="CU205" s="34" t="n">
        <f aca="false">CU203+CU204</f>
        <v>231016</v>
      </c>
      <c r="CV205" s="34" t="n">
        <f aca="false">CV203+CV204</f>
        <v>231016</v>
      </c>
      <c r="CW205" s="34" t="n">
        <f aca="false">CW203+CW204</f>
        <v>231016</v>
      </c>
      <c r="CX205" s="34" t="n">
        <f aca="false">CX203+CX204</f>
        <v>231016</v>
      </c>
      <c r="CY205" s="34" t="n">
        <f aca="false">CY203+CY204</f>
        <v>231016</v>
      </c>
      <c r="CZ205" s="34" t="n">
        <f aca="false">CZ203+CZ204</f>
        <v>231016</v>
      </c>
      <c r="DA205" s="34" t="n">
        <f aca="false">DA203+DA204</f>
        <v>231016</v>
      </c>
      <c r="DB205" s="34" t="n">
        <f aca="false">DB203+DB204</f>
        <v>231016</v>
      </c>
      <c r="DC205" s="34" t="n">
        <f aca="false">DC203+DC204</f>
        <v>231016</v>
      </c>
      <c r="DD205" s="34" t="n">
        <f aca="false">DD203+DD204</f>
        <v>231016</v>
      </c>
      <c r="DE205" s="34" t="n">
        <f aca="false">DE203+DE204</f>
        <v>231016</v>
      </c>
    </row>
    <row r="206" customFormat="false" ht="15" hidden="false" customHeight="true" outlineLevel="0" collapsed="false">
      <c r="A206" s="47" t="s">
        <v>59</v>
      </c>
      <c r="B206" s="14" t="n">
        <f aca="false">B144</f>
        <v>-260601.5</v>
      </c>
      <c r="C206" s="14" t="n">
        <f aca="false">C144</f>
        <v>-260308.54</v>
      </c>
      <c r="D206" s="14" t="n">
        <f aca="false">D144</f>
        <v>-351937.74</v>
      </c>
      <c r="E206" s="14" t="n">
        <f aca="false">E144</f>
        <v>-73431.56</v>
      </c>
      <c r="F206" s="14" t="n">
        <f aca="false">F144</f>
        <v>-437914.85</v>
      </c>
      <c r="G206" s="14" t="n">
        <f aca="false">G144</f>
        <v>-426674.543333333</v>
      </c>
      <c r="H206" s="14" t="n">
        <f aca="false">H144</f>
        <v>-529245.725</v>
      </c>
      <c r="I206" s="14" t="n">
        <f aca="false">I144</f>
        <v>-484245.725</v>
      </c>
      <c r="J206" s="14" t="n">
        <f aca="false">J144</f>
        <v>-523512.391666667</v>
      </c>
      <c r="K206" s="14" t="n">
        <f aca="false">K144</f>
        <v>-499512.391666667</v>
      </c>
      <c r="L206" s="14" t="n">
        <f aca="false">L144</f>
        <v>-499512.391666667</v>
      </c>
      <c r="M206" s="14" t="n">
        <f aca="false">M144</f>
        <v>-531416.558333333</v>
      </c>
      <c r="N206" s="14" t="n">
        <f aca="false">N144</f>
        <v>-489572.815</v>
      </c>
      <c r="O206" s="14" t="n">
        <f aca="false">O144</f>
        <v>-489572.815</v>
      </c>
      <c r="P206" s="14" t="n">
        <f aca="false">P144</f>
        <v>-489572.815</v>
      </c>
      <c r="Q206" s="14" t="n">
        <f aca="false">Q144</f>
        <v>-536859.604633333</v>
      </c>
      <c r="R206" s="14" t="n">
        <f aca="false">R144</f>
        <v>-512859.604633333</v>
      </c>
      <c r="S206" s="14" t="n">
        <f aca="false">S144</f>
        <v>-512859.604633333</v>
      </c>
      <c r="T206" s="14" t="n">
        <f aca="false">T144</f>
        <v>-512859.604633333</v>
      </c>
      <c r="U206" s="14" t="n">
        <f aca="false">U144</f>
        <v>-512859.604633333</v>
      </c>
      <c r="V206" s="14" t="n">
        <f aca="false">V144</f>
        <v>-512859.604633333</v>
      </c>
      <c r="W206" s="14" t="n">
        <f aca="false">W144</f>
        <v>-512859.604633333</v>
      </c>
      <c r="X206" s="14" t="n">
        <f aca="false">X144</f>
        <v>-512859.604633333</v>
      </c>
      <c r="Y206" s="14" t="n">
        <f aca="false">Y144</f>
        <v>-512859.604633333</v>
      </c>
      <c r="Z206" s="14" t="n">
        <f aca="false">Z144</f>
        <v>-512859.604633333</v>
      </c>
      <c r="AA206" s="14" t="n">
        <f aca="false">AA144</f>
        <v>-512859.604633333</v>
      </c>
      <c r="AB206" s="14" t="n">
        <f aca="false">AB144</f>
        <v>-512859.604633333</v>
      </c>
      <c r="AC206" s="14" t="n">
        <f aca="false">AC144</f>
        <v>-521040.130059333</v>
      </c>
      <c r="AD206" s="14" t="n">
        <f aca="false">AD144</f>
        <v>-521040.130059333</v>
      </c>
      <c r="AE206" s="14" t="n">
        <f aca="false">AE144</f>
        <v>-521040.130059333</v>
      </c>
      <c r="AF206" s="14" t="n">
        <f aca="false">AF144</f>
        <v>-521040.130059333</v>
      </c>
      <c r="AG206" s="14" t="n">
        <f aca="false">AG144</f>
        <v>-521040.130059333</v>
      </c>
      <c r="AH206" s="14" t="n">
        <f aca="false">AH144</f>
        <v>-521040.130059333</v>
      </c>
      <c r="AI206" s="14" t="n">
        <f aca="false">AI144</f>
        <v>-521040.130059333</v>
      </c>
      <c r="AJ206" s="14" t="n">
        <f aca="false">AJ144</f>
        <v>-521040.130059333</v>
      </c>
      <c r="AK206" s="14" t="n">
        <f aca="false">AK144</f>
        <v>-521040.130059333</v>
      </c>
      <c r="AL206" s="14" t="n">
        <f aca="false">AL144</f>
        <v>-521040.130059333</v>
      </c>
      <c r="AM206" s="14" t="n">
        <f aca="false">AM144</f>
        <v>-521040.130059333</v>
      </c>
      <c r="AN206" s="14" t="n">
        <f aca="false">AN144</f>
        <v>-521040.130059333</v>
      </c>
      <c r="AO206" s="14" t="n">
        <f aca="false">AO144</f>
        <v>-529384.265993853</v>
      </c>
      <c r="AP206" s="14" t="n">
        <f aca="false">AP144</f>
        <v>-529384.265993853</v>
      </c>
      <c r="AQ206" s="14" t="n">
        <f aca="false">AQ144</f>
        <v>-529384.265993853</v>
      </c>
      <c r="AR206" s="14" t="n">
        <f aca="false">AR144</f>
        <v>-529384.265993853</v>
      </c>
      <c r="AS206" s="14" t="n">
        <f aca="false">AS144</f>
        <v>-529384.265993853</v>
      </c>
      <c r="AT206" s="14" t="n">
        <f aca="false">AT144</f>
        <v>-529384.265993853</v>
      </c>
      <c r="AU206" s="14" t="n">
        <f aca="false">AU144</f>
        <v>-529384.265993853</v>
      </c>
      <c r="AV206" s="14" t="n">
        <f aca="false">AV144</f>
        <v>-529384.265993853</v>
      </c>
      <c r="AW206" s="14" t="n">
        <f aca="false">AW144</f>
        <v>-529384.265993853</v>
      </c>
      <c r="AX206" s="14" t="n">
        <f aca="false">AX144</f>
        <v>-529384.265993853</v>
      </c>
      <c r="AY206" s="14" t="n">
        <f aca="false">AY144</f>
        <v>-529384.265993853</v>
      </c>
      <c r="AZ206" s="14" t="n">
        <f aca="false">AZ144</f>
        <v>-529384.265993853</v>
      </c>
      <c r="BA206" s="14" t="n">
        <f aca="false">BA144</f>
        <v>-537895.284647064</v>
      </c>
      <c r="BB206" s="14" t="n">
        <f aca="false">BB144</f>
        <v>-537895.284647064</v>
      </c>
      <c r="BC206" s="14" t="n">
        <f aca="false">BC144</f>
        <v>-537895.284647064</v>
      </c>
      <c r="BD206" s="14" t="n">
        <f aca="false">BD144</f>
        <v>-537895.284647064</v>
      </c>
      <c r="BE206" s="14" t="n">
        <f aca="false">BE144</f>
        <v>-537895.284647064</v>
      </c>
      <c r="BF206" s="14" t="n">
        <f aca="false">BF144</f>
        <v>-537895.284647064</v>
      </c>
      <c r="BG206" s="14" t="n">
        <f aca="false">BG144</f>
        <v>-537895.284647064</v>
      </c>
      <c r="BH206" s="14" t="n">
        <f aca="false">BH144</f>
        <v>-537895.284647064</v>
      </c>
      <c r="BI206" s="14" t="n">
        <f aca="false">BI144</f>
        <v>-537895.284647064</v>
      </c>
      <c r="BJ206" s="14" t="n">
        <f aca="false">BJ144</f>
        <v>-537895.284647064</v>
      </c>
      <c r="BK206" s="14" t="n">
        <f aca="false">BK144</f>
        <v>-537895.284647064</v>
      </c>
      <c r="BL206" s="14" t="n">
        <f aca="false">BL144</f>
        <v>-537895.284647064</v>
      </c>
      <c r="BM206" s="14" t="n">
        <f aca="false">BM144</f>
        <v>-546576.523673338</v>
      </c>
      <c r="BN206" s="14" t="n">
        <f aca="false">BN144</f>
        <v>-546576.523673338</v>
      </c>
      <c r="BO206" s="14" t="n">
        <f aca="false">BO144</f>
        <v>-546576.523673338</v>
      </c>
      <c r="BP206" s="14" t="n">
        <f aca="false">BP144</f>
        <v>-546576.523673338</v>
      </c>
      <c r="BQ206" s="14" t="n">
        <f aca="false">BQ144</f>
        <v>-546576.523673338</v>
      </c>
      <c r="BR206" s="14" t="n">
        <f aca="false">BR144</f>
        <v>-546576.523673338</v>
      </c>
      <c r="BS206" s="14" t="n">
        <f aca="false">BS144</f>
        <v>-546576.523673338</v>
      </c>
      <c r="BT206" s="14" t="n">
        <f aca="false">BT144</f>
        <v>-546576.523673338</v>
      </c>
      <c r="BU206" s="14" t="n">
        <f aca="false">BU144</f>
        <v>-546576.523673338</v>
      </c>
      <c r="BV206" s="14" t="n">
        <f aca="false">BV144</f>
        <v>-546576.523673338</v>
      </c>
      <c r="BW206" s="14" t="n">
        <f aca="false">BW144</f>
        <v>-546576.523673338</v>
      </c>
      <c r="BX206" s="14" t="n">
        <f aca="false">BX144</f>
        <v>-546576.523673338</v>
      </c>
      <c r="BY206" s="14" t="n">
        <f aca="false">BY144</f>
        <v>-555431.387480139</v>
      </c>
      <c r="BZ206" s="14" t="n">
        <f aca="false">BZ144</f>
        <v>-555431.387480139</v>
      </c>
      <c r="CA206" s="14" t="n">
        <f aca="false">CA144</f>
        <v>-555431.387480139</v>
      </c>
      <c r="CB206" s="14" t="n">
        <f aca="false">CB144</f>
        <v>-555431.387480139</v>
      </c>
      <c r="CC206" s="14" t="n">
        <f aca="false">CC144</f>
        <v>-555431.387480139</v>
      </c>
      <c r="CD206" s="14" t="n">
        <f aca="false">CD144</f>
        <v>-555431.387480139</v>
      </c>
      <c r="CE206" s="14" t="n">
        <f aca="false">CE144</f>
        <v>-555431.387480139</v>
      </c>
      <c r="CF206" s="14" t="n">
        <f aca="false">CF144</f>
        <v>-555431.387480139</v>
      </c>
      <c r="CG206" s="14" t="n">
        <f aca="false">CG144</f>
        <v>-555431.387480139</v>
      </c>
      <c r="CH206" s="14" t="n">
        <f aca="false">CH144</f>
        <v>-555431.387480139</v>
      </c>
      <c r="CI206" s="14" t="n">
        <f aca="false">CI144</f>
        <v>-555431.387480139</v>
      </c>
      <c r="CJ206" s="14" t="n">
        <f aca="false">CJ144</f>
        <v>-555431.387480139</v>
      </c>
      <c r="CK206" s="14" t="n">
        <f aca="false">CK144</f>
        <v>-564463.348563075</v>
      </c>
      <c r="CL206" s="14" t="n">
        <f aca="false">CL144</f>
        <v>-564463.348563075</v>
      </c>
      <c r="CM206" s="14" t="n">
        <f aca="false">CM144</f>
        <v>-564463.348563075</v>
      </c>
      <c r="CN206" s="14" t="n">
        <f aca="false">CN144</f>
        <v>-564463.348563075</v>
      </c>
      <c r="CO206" s="14" t="n">
        <f aca="false">CO144</f>
        <v>-564463.348563075</v>
      </c>
      <c r="CP206" s="14" t="n">
        <f aca="false">CP144</f>
        <v>-564463.348563075</v>
      </c>
      <c r="CQ206" s="14" t="n">
        <f aca="false">CQ144</f>
        <v>-564463.348563075</v>
      </c>
      <c r="CR206" s="14" t="n">
        <f aca="false">CR144</f>
        <v>-564463.348563075</v>
      </c>
      <c r="CS206" s="14" t="n">
        <f aca="false">CS144</f>
        <v>-564463.348563075</v>
      </c>
      <c r="CT206" s="14" t="n">
        <f aca="false">CT144</f>
        <v>-510019.23755921</v>
      </c>
      <c r="CU206" s="14" t="n">
        <f aca="false">CU144</f>
        <v>-510019.23755921</v>
      </c>
      <c r="CV206" s="14" t="n">
        <f aca="false">CV144</f>
        <v>-510019.23755921</v>
      </c>
      <c r="CW206" s="14" t="n">
        <f aca="false">CW144</f>
        <v>-518142.955643728</v>
      </c>
      <c r="CX206" s="14" t="n">
        <f aca="false">CX144</f>
        <v>-518142.955643728</v>
      </c>
      <c r="CY206" s="14" t="n">
        <f aca="false">CY144</f>
        <v>-518142.955643728</v>
      </c>
      <c r="CZ206" s="14" t="n">
        <f aca="false">CZ144</f>
        <v>-518142.955643728</v>
      </c>
      <c r="DA206" s="14" t="n">
        <f aca="false">DA144</f>
        <v>-518142.955643728</v>
      </c>
      <c r="DB206" s="14" t="n">
        <f aca="false">DB144</f>
        <v>-518142.955643728</v>
      </c>
      <c r="DC206" s="14" t="n">
        <f aca="false">DC144</f>
        <v>-518142.955643728</v>
      </c>
      <c r="DD206" s="14" t="n">
        <f aca="false">DD144</f>
        <v>-518142.955643728</v>
      </c>
      <c r="DE206" s="14" t="n">
        <f aca="false">DE144</f>
        <v>-518142.955643728</v>
      </c>
    </row>
    <row r="207" customFormat="false" ht="15" hidden="false" customHeight="true" outlineLevel="0" collapsed="false">
      <c r="A207" s="47" t="s">
        <v>117</v>
      </c>
      <c r="B207" s="14" t="n">
        <f aca="false">B199</f>
        <v>-198827.72</v>
      </c>
      <c r="C207" s="14" t="n">
        <f aca="false">C199</f>
        <v>-192502</v>
      </c>
      <c r="D207" s="14" t="n">
        <f aca="false">D199</f>
        <v>-255024.1</v>
      </c>
      <c r="E207" s="14" t="n">
        <f aca="false">E199</f>
        <v>-195904.72</v>
      </c>
      <c r="F207" s="14" t="n">
        <f aca="false">F199</f>
        <v>-250029.52</v>
      </c>
      <c r="G207" s="14" t="n">
        <f aca="false">G199</f>
        <v>-201582.47</v>
      </c>
      <c r="H207" s="14" t="n">
        <f aca="false">H199</f>
        <v>-78090.0916666667</v>
      </c>
      <c r="I207" s="14" t="n">
        <f aca="false">I199</f>
        <v>-78090.0916666667</v>
      </c>
      <c r="J207" s="14" t="n">
        <f aca="false">J199</f>
        <v>-78090.0916666667</v>
      </c>
      <c r="K207" s="14" t="n">
        <f aca="false">K199</f>
        <v>-369313.211666667</v>
      </c>
      <c r="L207" s="14" t="n">
        <f aca="false">L199</f>
        <v>-78090.0916666667</v>
      </c>
      <c r="M207" s="14" t="n">
        <f aca="false">M199</f>
        <v>-78090.0916666667</v>
      </c>
      <c r="N207" s="14" t="n">
        <f aca="false">N199</f>
        <v>-78090.0916666667</v>
      </c>
      <c r="O207" s="14" t="n">
        <f aca="false">O199</f>
        <v>-78090.0916666667</v>
      </c>
      <c r="P207" s="14" t="n">
        <f aca="false">P199</f>
        <v>-78090.0916666667</v>
      </c>
      <c r="Q207" s="14" t="n">
        <f aca="false">Q199</f>
        <v>-79651.8935</v>
      </c>
      <c r="R207" s="14" t="n">
        <f aca="false">R199</f>
        <v>-79651.8935</v>
      </c>
      <c r="S207" s="14" t="n">
        <f aca="false">S199</f>
        <v>-79651.8935</v>
      </c>
      <c r="T207" s="14" t="n">
        <f aca="false">T199</f>
        <v>-79651.8935</v>
      </c>
      <c r="U207" s="14" t="n">
        <f aca="false">U199</f>
        <v>-79651.8935</v>
      </c>
      <c r="V207" s="14" t="n">
        <f aca="false">V199</f>
        <v>-79651.8935</v>
      </c>
      <c r="W207" s="14" t="n">
        <f aca="false">W199</f>
        <v>-79651.8935</v>
      </c>
      <c r="X207" s="14" t="n">
        <f aca="false">X199</f>
        <v>-79651.8935</v>
      </c>
      <c r="Y207" s="14" t="n">
        <f aca="false">Y199</f>
        <v>-79651.8935</v>
      </c>
      <c r="Z207" s="14" t="n">
        <f aca="false">Z199</f>
        <v>-79651.8935</v>
      </c>
      <c r="AA207" s="14" t="n">
        <f aca="false">AA199</f>
        <v>-79651.8935</v>
      </c>
      <c r="AB207" s="14" t="n">
        <f aca="false">AB199</f>
        <v>-79651.8935</v>
      </c>
      <c r="AC207" s="14" t="n">
        <f aca="false">AC199</f>
        <v>-81244.93137</v>
      </c>
      <c r="AD207" s="14" t="n">
        <f aca="false">AD199</f>
        <v>-81244.93137</v>
      </c>
      <c r="AE207" s="14" t="n">
        <f aca="false">AE199</f>
        <v>-81244.93137</v>
      </c>
      <c r="AF207" s="14" t="n">
        <f aca="false">AF199</f>
        <v>-81244.93137</v>
      </c>
      <c r="AG207" s="14" t="n">
        <f aca="false">AG199</f>
        <v>-81244.93137</v>
      </c>
      <c r="AH207" s="14" t="n">
        <f aca="false">AH199</f>
        <v>-81244.93137</v>
      </c>
      <c r="AI207" s="14" t="n">
        <f aca="false">AI199</f>
        <v>-81244.93137</v>
      </c>
      <c r="AJ207" s="14" t="n">
        <f aca="false">AJ199</f>
        <v>-81244.93137</v>
      </c>
      <c r="AK207" s="14" t="n">
        <f aca="false">AK199</f>
        <v>-81244.93137</v>
      </c>
      <c r="AL207" s="14" t="n">
        <f aca="false">AL199</f>
        <v>-81244.93137</v>
      </c>
      <c r="AM207" s="14" t="n">
        <f aca="false">AM199</f>
        <v>-81244.93137</v>
      </c>
      <c r="AN207" s="14" t="n">
        <f aca="false">AN199</f>
        <v>-81244.93137</v>
      </c>
      <c r="AO207" s="14" t="n">
        <f aca="false">AO199</f>
        <v>-82869.8299974</v>
      </c>
      <c r="AP207" s="14" t="n">
        <f aca="false">AP199</f>
        <v>-82869.8299974</v>
      </c>
      <c r="AQ207" s="14" t="n">
        <f aca="false">AQ199</f>
        <v>-82869.8299974</v>
      </c>
      <c r="AR207" s="14" t="n">
        <f aca="false">AR199</f>
        <v>-82869.8299974</v>
      </c>
      <c r="AS207" s="14" t="n">
        <f aca="false">AS199</f>
        <v>-82869.8299974</v>
      </c>
      <c r="AT207" s="14" t="n">
        <f aca="false">AT199</f>
        <v>-164552.8299974</v>
      </c>
      <c r="AU207" s="14" t="n">
        <f aca="false">AU199</f>
        <v>-82869.8299974</v>
      </c>
      <c r="AV207" s="14" t="n">
        <f aca="false">AV199</f>
        <v>-82869.8299974</v>
      </c>
      <c r="AW207" s="14" t="n">
        <f aca="false">AW199</f>
        <v>-164551.8299974</v>
      </c>
      <c r="AX207" s="14" t="n">
        <f aca="false">AX199</f>
        <v>-82869.8299974</v>
      </c>
      <c r="AY207" s="14" t="n">
        <f aca="false">AY199</f>
        <v>-82869.8299974</v>
      </c>
      <c r="AZ207" s="14" t="n">
        <f aca="false">AZ199</f>
        <v>-164551.8299974</v>
      </c>
      <c r="BA207" s="14" t="n">
        <f aca="false">BA199</f>
        <v>-84527.226597348</v>
      </c>
      <c r="BB207" s="14" t="n">
        <f aca="false">BB199</f>
        <v>-84527.226597348</v>
      </c>
      <c r="BC207" s="14" t="n">
        <f aca="false">BC199</f>
        <v>-1018048.22659735</v>
      </c>
      <c r="BD207" s="14" t="n">
        <f aca="false">BD199</f>
        <v>-84527.226597348</v>
      </c>
      <c r="BE207" s="14" t="n">
        <f aca="false">BE199</f>
        <v>-84527.226597348</v>
      </c>
      <c r="BF207" s="14" t="n">
        <f aca="false">BF199</f>
        <v>-215405.226597348</v>
      </c>
      <c r="BG207" s="14" t="n">
        <f aca="false">BG199</f>
        <v>-84527.226597348</v>
      </c>
      <c r="BH207" s="14" t="n">
        <f aca="false">BH199</f>
        <v>-84527.226597348</v>
      </c>
      <c r="BI207" s="14" t="n">
        <f aca="false">BI199</f>
        <v>-215403.226597348</v>
      </c>
      <c r="BJ207" s="14" t="n">
        <f aca="false">BJ199</f>
        <v>-84527.226597348</v>
      </c>
      <c r="BK207" s="14" t="n">
        <f aca="false">BK199</f>
        <v>-84527.226597348</v>
      </c>
      <c r="BL207" s="14" t="n">
        <f aca="false">BL199</f>
        <v>-215403.226597348</v>
      </c>
      <c r="BM207" s="14" t="n">
        <f aca="false">BM199</f>
        <v>-86217.771129295</v>
      </c>
      <c r="BN207" s="14" t="n">
        <f aca="false">BN199</f>
        <v>-86217.771129295</v>
      </c>
      <c r="BO207" s="14" t="n">
        <f aca="false">BO199</f>
        <v>-217093.771129295</v>
      </c>
      <c r="BP207" s="14" t="n">
        <f aca="false">BP199</f>
        <v>-86217.771129295</v>
      </c>
      <c r="BQ207" s="14" t="n">
        <f aca="false">BQ199</f>
        <v>-86217.771129295</v>
      </c>
      <c r="BR207" s="14" t="n">
        <f aca="false">BR199</f>
        <v>-175373.421129295</v>
      </c>
      <c r="BS207" s="14" t="n">
        <f aca="false">BS199</f>
        <v>-86217.771129295</v>
      </c>
      <c r="BT207" s="14" t="n">
        <f aca="false">BT199</f>
        <v>-86217.771129295</v>
      </c>
      <c r="BU207" s="14" t="n">
        <f aca="false">BU199</f>
        <v>-160857.771129295</v>
      </c>
      <c r="BV207" s="14" t="n">
        <f aca="false">BV199</f>
        <v>-86217.771129295</v>
      </c>
      <c r="BW207" s="14" t="n">
        <f aca="false">BW199</f>
        <v>-86217.771129295</v>
      </c>
      <c r="BX207" s="14" t="n">
        <f aca="false">BX199</f>
        <v>-160857.771129295</v>
      </c>
      <c r="BY207" s="14" t="n">
        <f aca="false">BY199</f>
        <v>-87942.1265518809</v>
      </c>
      <c r="BZ207" s="14" t="n">
        <f aca="false">BZ199</f>
        <v>-87942.1265518809</v>
      </c>
      <c r="CA207" s="14" t="n">
        <f aca="false">CA199</f>
        <v>-235738.126551881</v>
      </c>
      <c r="CB207" s="14" t="n">
        <f aca="false">CB199</f>
        <v>-87942.1265518809</v>
      </c>
      <c r="CC207" s="14" t="n">
        <f aca="false">CC199</f>
        <v>-87942.1265518809</v>
      </c>
      <c r="CD207" s="14" t="n">
        <f aca="false">CD199</f>
        <v>-242460.126551881</v>
      </c>
      <c r="CE207" s="14" t="n">
        <f aca="false">CE199</f>
        <v>-87942.1265518809</v>
      </c>
      <c r="CF207" s="14" t="n">
        <f aca="false">CF199</f>
        <v>-87942.1265518809</v>
      </c>
      <c r="CG207" s="14" t="n">
        <f aca="false">CG199</f>
        <v>-242459.126551881</v>
      </c>
      <c r="CH207" s="14" t="n">
        <f aca="false">CH199</f>
        <v>-87942.1265518809</v>
      </c>
      <c r="CI207" s="14" t="n">
        <f aca="false">CI199</f>
        <v>-87942.1265518809</v>
      </c>
      <c r="CJ207" s="14" t="n">
        <f aca="false">CJ199</f>
        <v>-235851.099945402</v>
      </c>
      <c r="CK207" s="14" t="n">
        <f aca="false">CK199</f>
        <v>-162855.969082918</v>
      </c>
      <c r="CL207" s="14" t="n">
        <f aca="false">CL199</f>
        <v>-162855.969082918</v>
      </c>
      <c r="CM207" s="14" t="n">
        <f aca="false">CM199</f>
        <v>-162855.969082918</v>
      </c>
      <c r="CN207" s="14" t="n">
        <f aca="false">CN199</f>
        <v>-162855.969082918</v>
      </c>
      <c r="CO207" s="14" t="n">
        <f aca="false">CO199</f>
        <v>-162855.969082918</v>
      </c>
      <c r="CP207" s="14" t="n">
        <f aca="false">CP199</f>
        <v>-162855.969082918</v>
      </c>
      <c r="CQ207" s="14" t="n">
        <f aca="false">CQ199</f>
        <v>-162855.969082918</v>
      </c>
      <c r="CR207" s="14" t="n">
        <f aca="false">CR199</f>
        <v>-162855.969082918</v>
      </c>
      <c r="CS207" s="14" t="n">
        <f aca="false">CS199</f>
        <v>-162855.969082918</v>
      </c>
      <c r="CT207" s="14" t="n">
        <f aca="false">CT199</f>
        <v>-160947.475708022</v>
      </c>
      <c r="CU207" s="14" t="n">
        <f aca="false">CU199</f>
        <v>-160947.475708022</v>
      </c>
      <c r="CV207" s="14" t="n">
        <f aca="false">CV199</f>
        <v>-160947.475708022</v>
      </c>
      <c r="CW207" s="14" t="n">
        <f aca="false">CW199</f>
        <v>-106995.17415859</v>
      </c>
      <c r="CX207" s="14" t="n">
        <f aca="false">CX199</f>
        <v>-89548.3252221825</v>
      </c>
      <c r="CY207" s="14" t="n">
        <f aca="false">CY199</f>
        <v>-89548.3252221825</v>
      </c>
      <c r="CZ207" s="14" t="n">
        <f aca="false">CZ199</f>
        <v>-89548.3252221825</v>
      </c>
      <c r="DA207" s="14" t="n">
        <f aca="false">DA199</f>
        <v>-89548.3252221825</v>
      </c>
      <c r="DB207" s="14" t="n">
        <f aca="false">DB199</f>
        <v>-89548.3252221825</v>
      </c>
      <c r="DC207" s="14" t="n">
        <f aca="false">DC199</f>
        <v>-89548.3252221825</v>
      </c>
      <c r="DD207" s="14" t="n">
        <f aca="false">DD199</f>
        <v>-89548.3252221825</v>
      </c>
      <c r="DE207" s="14" t="n">
        <f aca="false">DE199</f>
        <v>-89548.3252221825</v>
      </c>
    </row>
    <row r="208" customFormat="false" ht="15" hidden="false" customHeight="true" outlineLevel="0" collapsed="false">
      <c r="A208" s="48" t="s">
        <v>136</v>
      </c>
      <c r="B208" s="34" t="n">
        <f aca="false">B206+B207</f>
        <v>-459429.22</v>
      </c>
      <c r="C208" s="34" t="n">
        <f aca="false">C206+C207</f>
        <v>-452810.54</v>
      </c>
      <c r="D208" s="34" t="n">
        <f aca="false">D206+D207</f>
        <v>-606961.84</v>
      </c>
      <c r="E208" s="34" t="n">
        <f aca="false">E206+E207</f>
        <v>-269336.28</v>
      </c>
      <c r="F208" s="34" t="n">
        <f aca="false">F206+F207</f>
        <v>-687944.37</v>
      </c>
      <c r="G208" s="34" t="n">
        <f aca="false">G206+G207</f>
        <v>-628257.013333333</v>
      </c>
      <c r="H208" s="34" t="n">
        <f aca="false">H206+H207</f>
        <v>-607335.816666667</v>
      </c>
      <c r="I208" s="34" t="n">
        <f aca="false">I206+I207</f>
        <v>-562335.816666667</v>
      </c>
      <c r="J208" s="34" t="n">
        <f aca="false">J206+J207</f>
        <v>-601602.483333333</v>
      </c>
      <c r="K208" s="34" t="n">
        <f aca="false">K206+K207</f>
        <v>-868825.603333333</v>
      </c>
      <c r="L208" s="34" t="n">
        <f aca="false">L206+L207</f>
        <v>-577602.483333333</v>
      </c>
      <c r="M208" s="34" t="n">
        <f aca="false">M206+M207</f>
        <v>-609506.65</v>
      </c>
      <c r="N208" s="34" t="n">
        <f aca="false">N206+N207</f>
        <v>-567662.906666667</v>
      </c>
      <c r="O208" s="34" t="n">
        <f aca="false">O206+O207</f>
        <v>-567662.906666667</v>
      </c>
      <c r="P208" s="34" t="n">
        <f aca="false">P206+P207</f>
        <v>-567662.906666667</v>
      </c>
      <c r="Q208" s="34" t="n">
        <f aca="false">Q206+Q207</f>
        <v>-616511.498133333</v>
      </c>
      <c r="R208" s="34" t="n">
        <f aca="false">R206+R207</f>
        <v>-592511.498133333</v>
      </c>
      <c r="S208" s="34" t="n">
        <f aca="false">S206+S207</f>
        <v>-592511.498133333</v>
      </c>
      <c r="T208" s="34" t="n">
        <f aca="false">T206+T207</f>
        <v>-592511.498133333</v>
      </c>
      <c r="U208" s="34" t="n">
        <f aca="false">U206+U207</f>
        <v>-592511.498133333</v>
      </c>
      <c r="V208" s="34" t="n">
        <f aca="false">V206+V207</f>
        <v>-592511.498133333</v>
      </c>
      <c r="W208" s="34" t="n">
        <f aca="false">W206+W207</f>
        <v>-592511.498133333</v>
      </c>
      <c r="X208" s="34" t="n">
        <f aca="false">X206+X207</f>
        <v>-592511.498133333</v>
      </c>
      <c r="Y208" s="34" t="n">
        <f aca="false">Y206+Y207</f>
        <v>-592511.498133333</v>
      </c>
      <c r="Z208" s="34" t="n">
        <f aca="false">Z206+Z207</f>
        <v>-592511.498133333</v>
      </c>
      <c r="AA208" s="34" t="n">
        <f aca="false">AA206+AA207</f>
        <v>-592511.498133333</v>
      </c>
      <c r="AB208" s="34" t="n">
        <f aca="false">AB206+AB207</f>
        <v>-592511.498133333</v>
      </c>
      <c r="AC208" s="34" t="n">
        <f aca="false">AC206+AC207</f>
        <v>-602285.061429333</v>
      </c>
      <c r="AD208" s="34" t="n">
        <f aca="false">AD206+AD207</f>
        <v>-602285.061429333</v>
      </c>
      <c r="AE208" s="34" t="n">
        <f aca="false">AE206+AE207</f>
        <v>-602285.061429333</v>
      </c>
      <c r="AF208" s="34" t="n">
        <f aca="false">AF206+AF207</f>
        <v>-602285.061429333</v>
      </c>
      <c r="AG208" s="34" t="n">
        <f aca="false">AG206+AG207</f>
        <v>-602285.061429333</v>
      </c>
      <c r="AH208" s="34" t="n">
        <f aca="false">AH206+AH207</f>
        <v>-602285.061429333</v>
      </c>
      <c r="AI208" s="34" t="n">
        <f aca="false">AI206+AI207</f>
        <v>-602285.061429333</v>
      </c>
      <c r="AJ208" s="34" t="n">
        <f aca="false">AJ206+AJ207</f>
        <v>-602285.061429333</v>
      </c>
      <c r="AK208" s="34" t="n">
        <f aca="false">AK206+AK207</f>
        <v>-602285.061429333</v>
      </c>
      <c r="AL208" s="34" t="n">
        <f aca="false">AL206+AL207</f>
        <v>-602285.061429333</v>
      </c>
      <c r="AM208" s="34" t="n">
        <f aca="false">AM206+AM207</f>
        <v>-602285.061429333</v>
      </c>
      <c r="AN208" s="34" t="n">
        <f aca="false">AN206+AN207</f>
        <v>-602285.061429333</v>
      </c>
      <c r="AO208" s="34" t="n">
        <f aca="false">AO206+AO207</f>
        <v>-612254.095991254</v>
      </c>
      <c r="AP208" s="34" t="n">
        <f aca="false">AP206+AP207</f>
        <v>-612254.095991254</v>
      </c>
      <c r="AQ208" s="34" t="n">
        <f aca="false">AQ206+AQ207</f>
        <v>-612254.095991254</v>
      </c>
      <c r="AR208" s="34" t="n">
        <f aca="false">AR206+AR207</f>
        <v>-612254.095991254</v>
      </c>
      <c r="AS208" s="34" t="n">
        <f aca="false">AS206+AS207</f>
        <v>-612254.095991254</v>
      </c>
      <c r="AT208" s="34" t="n">
        <f aca="false">AT206+AT207</f>
        <v>-693937.095991253</v>
      </c>
      <c r="AU208" s="34" t="n">
        <f aca="false">AU206+AU207</f>
        <v>-612254.095991254</v>
      </c>
      <c r="AV208" s="34" t="n">
        <f aca="false">AV206+AV207</f>
        <v>-612254.095991254</v>
      </c>
      <c r="AW208" s="34" t="n">
        <f aca="false">AW206+AW207</f>
        <v>-693936.095991253</v>
      </c>
      <c r="AX208" s="34" t="n">
        <f aca="false">AX206+AX207</f>
        <v>-612254.095991254</v>
      </c>
      <c r="AY208" s="34" t="n">
        <f aca="false">AY206+AY207</f>
        <v>-612254.095991254</v>
      </c>
      <c r="AZ208" s="34" t="n">
        <f aca="false">AZ206+AZ207</f>
        <v>-693936.095991253</v>
      </c>
      <c r="BA208" s="34" t="n">
        <f aca="false">BA206+BA207</f>
        <v>-622422.511244412</v>
      </c>
      <c r="BB208" s="34" t="n">
        <f aca="false">BB206+BB207</f>
        <v>-622422.511244412</v>
      </c>
      <c r="BC208" s="34" t="n">
        <f aca="false">BC206+BC207</f>
        <v>-1555943.51124441</v>
      </c>
      <c r="BD208" s="34" t="n">
        <f aca="false">BD206+BD207</f>
        <v>-622422.511244412</v>
      </c>
      <c r="BE208" s="34" t="n">
        <f aca="false">BE206+BE207</f>
        <v>-622422.511244412</v>
      </c>
      <c r="BF208" s="34" t="n">
        <f aca="false">BF206+BF207</f>
        <v>-753300.511244412</v>
      </c>
      <c r="BG208" s="34" t="n">
        <f aca="false">BG206+BG207</f>
        <v>-622422.511244412</v>
      </c>
      <c r="BH208" s="34" t="n">
        <f aca="false">BH206+BH207</f>
        <v>-622422.511244412</v>
      </c>
      <c r="BI208" s="34" t="n">
        <f aca="false">BI206+BI207</f>
        <v>-753298.511244412</v>
      </c>
      <c r="BJ208" s="34" t="n">
        <f aca="false">BJ206+BJ207</f>
        <v>-622422.511244412</v>
      </c>
      <c r="BK208" s="34" t="n">
        <f aca="false">BK206+BK207</f>
        <v>-622422.511244412</v>
      </c>
      <c r="BL208" s="34" t="n">
        <f aca="false">BL206+BL207</f>
        <v>-753298.511244412</v>
      </c>
      <c r="BM208" s="34" t="n">
        <f aca="false">BM206+BM207</f>
        <v>-632794.294802633</v>
      </c>
      <c r="BN208" s="34" t="n">
        <f aca="false">BN206+BN207</f>
        <v>-632794.294802633</v>
      </c>
      <c r="BO208" s="34" t="n">
        <f aca="false">BO206+BO207</f>
        <v>-763670.294802633</v>
      </c>
      <c r="BP208" s="34" t="n">
        <f aca="false">BP206+BP207</f>
        <v>-632794.294802633</v>
      </c>
      <c r="BQ208" s="34" t="n">
        <f aca="false">BQ206+BQ207</f>
        <v>-632794.294802633</v>
      </c>
      <c r="BR208" s="34" t="n">
        <f aca="false">BR206+BR207</f>
        <v>-721949.944802633</v>
      </c>
      <c r="BS208" s="34" t="n">
        <f aca="false">BS206+BS207</f>
        <v>-632794.294802633</v>
      </c>
      <c r="BT208" s="34" t="n">
        <f aca="false">BT206+BT207</f>
        <v>-632794.294802633</v>
      </c>
      <c r="BU208" s="34" t="n">
        <f aca="false">BU206+BU207</f>
        <v>-707434.294802633</v>
      </c>
      <c r="BV208" s="34" t="n">
        <f aca="false">BV206+BV207</f>
        <v>-632794.294802633</v>
      </c>
      <c r="BW208" s="34" t="n">
        <f aca="false">BW206+BW207</f>
        <v>-632794.294802633</v>
      </c>
      <c r="BX208" s="34" t="n">
        <f aca="false">BX206+BX207</f>
        <v>-707434.294802633</v>
      </c>
      <c r="BY208" s="34" t="n">
        <f aca="false">BY206+BY207</f>
        <v>-643373.514032019</v>
      </c>
      <c r="BZ208" s="34" t="n">
        <f aca="false">BZ206+BZ207</f>
        <v>-643373.514032019</v>
      </c>
      <c r="CA208" s="34" t="n">
        <f aca="false">CA206+CA207</f>
        <v>-791169.514032019</v>
      </c>
      <c r="CB208" s="34" t="n">
        <f aca="false">CB206+CB207</f>
        <v>-643373.514032019</v>
      </c>
      <c r="CC208" s="34" t="n">
        <f aca="false">CC206+CC207</f>
        <v>-643373.514032019</v>
      </c>
      <c r="CD208" s="34" t="n">
        <f aca="false">CD206+CD207</f>
        <v>-797891.514032019</v>
      </c>
      <c r="CE208" s="34" t="n">
        <f aca="false">CE206+CE207</f>
        <v>-643373.514032019</v>
      </c>
      <c r="CF208" s="34" t="n">
        <f aca="false">CF206+CF207</f>
        <v>-643373.514032019</v>
      </c>
      <c r="CG208" s="34" t="n">
        <f aca="false">CG206+CG207</f>
        <v>-797890.514032019</v>
      </c>
      <c r="CH208" s="34" t="n">
        <f aca="false">CH206+CH207</f>
        <v>-643373.514032019</v>
      </c>
      <c r="CI208" s="34" t="n">
        <f aca="false">CI206+CI207</f>
        <v>-643373.514032019</v>
      </c>
      <c r="CJ208" s="34" t="n">
        <f aca="false">CJ206+CJ207</f>
        <v>-791282.48742554</v>
      </c>
      <c r="CK208" s="34" t="n">
        <f aca="false">CK206+CK207</f>
        <v>-727319.317645993</v>
      </c>
      <c r="CL208" s="34" t="n">
        <f aca="false">CL206+CL207</f>
        <v>-727319.317645993</v>
      </c>
      <c r="CM208" s="34" t="n">
        <f aca="false">CM206+CM207</f>
        <v>-727319.317645993</v>
      </c>
      <c r="CN208" s="34" t="n">
        <f aca="false">CN206+CN207</f>
        <v>-727319.317645993</v>
      </c>
      <c r="CO208" s="34" t="n">
        <f aca="false">CO206+CO207</f>
        <v>-727319.317645993</v>
      </c>
      <c r="CP208" s="34" t="n">
        <f aca="false">CP206+CP207</f>
        <v>-727319.317645993</v>
      </c>
      <c r="CQ208" s="34" t="n">
        <f aca="false">CQ206+CQ207</f>
        <v>-727319.317645993</v>
      </c>
      <c r="CR208" s="34" t="n">
        <f aca="false">CR206+CR207</f>
        <v>-727319.317645993</v>
      </c>
      <c r="CS208" s="34" t="n">
        <f aca="false">CS206+CS207</f>
        <v>-727319.317645993</v>
      </c>
      <c r="CT208" s="34" t="n">
        <f aca="false">CT206+CT207</f>
        <v>-670966.713267232</v>
      </c>
      <c r="CU208" s="34" t="n">
        <f aca="false">CU206+CU207</f>
        <v>-670966.713267232</v>
      </c>
      <c r="CV208" s="34" t="n">
        <f aca="false">CV206+CV207</f>
        <v>-670966.713267232</v>
      </c>
      <c r="CW208" s="34" t="n">
        <f aca="false">CW206+CW207</f>
        <v>-625138.129802317</v>
      </c>
      <c r="CX208" s="34" t="n">
        <f aca="false">CX206+CX207</f>
        <v>-607691.28086591</v>
      </c>
      <c r="CY208" s="34" t="n">
        <f aca="false">CY206+CY207</f>
        <v>-607691.28086591</v>
      </c>
      <c r="CZ208" s="34" t="n">
        <f aca="false">CZ206+CZ207</f>
        <v>-607691.28086591</v>
      </c>
      <c r="DA208" s="34" t="n">
        <f aca="false">DA206+DA207</f>
        <v>-607691.28086591</v>
      </c>
      <c r="DB208" s="34" t="n">
        <f aca="false">DB206+DB207</f>
        <v>-607691.28086591</v>
      </c>
      <c r="DC208" s="34" t="n">
        <f aca="false">DC206+DC207</f>
        <v>-607691.28086591</v>
      </c>
      <c r="DD208" s="34" t="n">
        <f aca="false">DD206+DD207</f>
        <v>-607691.28086591</v>
      </c>
      <c r="DE208" s="34" t="n">
        <f aca="false">DE206+DE207</f>
        <v>-607691.28086591</v>
      </c>
    </row>
    <row r="209" customFormat="false" ht="19.5" hidden="false" customHeight="true" outlineLevel="0" collapsed="false">
      <c r="A209" s="49" t="s">
        <v>137</v>
      </c>
      <c r="B209" s="43" t="n">
        <f aca="false">B205+B208</f>
        <v>-206557.78</v>
      </c>
      <c r="C209" s="43" t="n">
        <f aca="false">C205+C208</f>
        <v>-469696.73</v>
      </c>
      <c r="D209" s="43" t="n">
        <f aca="false">D205+D208</f>
        <v>21337.26</v>
      </c>
      <c r="E209" s="43" t="n">
        <f aca="false">E205+E208</f>
        <v>221636.55</v>
      </c>
      <c r="F209" s="43" t="n">
        <f aca="false">F205+F208</f>
        <v>-170543.09</v>
      </c>
      <c r="G209" s="43" t="n">
        <f aca="false">G205+G208</f>
        <v>366002.696666667</v>
      </c>
      <c r="H209" s="43" t="n">
        <f aca="false">H205+H208</f>
        <v>-108086.05422622</v>
      </c>
      <c r="I209" s="43" t="n">
        <f aca="false">I205+I208</f>
        <v>524920.764355779</v>
      </c>
      <c r="J209" s="43" t="n">
        <f aca="false">J205+J208</f>
        <v>-85860.4307569764</v>
      </c>
      <c r="K209" s="43" t="n">
        <f aca="false">K205+K208</f>
        <v>309182.50571672</v>
      </c>
      <c r="L209" s="43" t="n">
        <f aca="false">L205+L208</f>
        <v>385379.271916665</v>
      </c>
      <c r="M209" s="43" t="n">
        <f aca="false">M205+M208</f>
        <v>262615.598784276</v>
      </c>
      <c r="N209" s="43" t="n">
        <f aca="false">N205+N208</f>
        <v>303384.276342526</v>
      </c>
      <c r="O209" s="43" t="n">
        <f aca="false">O205+O208</f>
        <v>264930.458967639</v>
      </c>
      <c r="P209" s="43" t="n">
        <f aca="false">P205+P208</f>
        <v>238253.834325432</v>
      </c>
      <c r="Q209" s="43" t="n">
        <f aca="false">Q205+Q208</f>
        <v>-459114.856275748</v>
      </c>
      <c r="R209" s="43" t="n">
        <f aca="false">R205+R208</f>
        <v>328345.125609317</v>
      </c>
      <c r="S209" s="43" t="n">
        <f aca="false">S205+S208</f>
        <v>300907.778090462</v>
      </c>
      <c r="T209" s="43" t="n">
        <f aca="false">T205+T208</f>
        <v>197866.389590153</v>
      </c>
      <c r="U209" s="43" t="n">
        <f aca="false">U205+U208</f>
        <v>149308.054509593</v>
      </c>
      <c r="V209" s="43" t="n">
        <f aca="false">V205+V208</f>
        <v>146525.153851954</v>
      </c>
      <c r="W209" s="43" t="n">
        <f aca="false">W205+W208</f>
        <v>143939.760055453</v>
      </c>
      <c r="X209" s="43" t="n">
        <f aca="false">X205+X208</f>
        <v>131613.117630427</v>
      </c>
      <c r="Y209" s="43" t="n">
        <f aca="false">Y205+Y208</f>
        <v>246363.117630427</v>
      </c>
      <c r="Z209" s="43" t="n">
        <f aca="false">Z205+Z208</f>
        <v>106613.117630427</v>
      </c>
      <c r="AA209" s="43" t="n">
        <f aca="false">AA205+AA208</f>
        <v>184829.802252204</v>
      </c>
      <c r="AB209" s="43" t="n">
        <f aca="false">AB205+AB208</f>
        <v>85771.4330086494</v>
      </c>
      <c r="AC209" s="43" t="n">
        <f aca="false">AC205+AC208</f>
        <v>122941.482912248</v>
      </c>
      <c r="AD209" s="43" t="n">
        <f aca="false">AD205+AD208</f>
        <v>-106879.953486952</v>
      </c>
      <c r="AE209" s="43" t="n">
        <f aca="false">AE205+AE208</f>
        <v>-615551.372618404</v>
      </c>
      <c r="AF209" s="43" t="n">
        <f aca="false">AF205+AF208</f>
        <v>46779.6873815958</v>
      </c>
      <c r="AG209" s="43" t="n">
        <f aca="false">AG205+AG208</f>
        <v>178775.816949346</v>
      </c>
      <c r="AH209" s="43" t="n">
        <f aca="false">AH205+AH208</f>
        <v>-50550.5818595393</v>
      </c>
      <c r="AI209" s="43" t="n">
        <f aca="false">AI205+AI208</f>
        <v>-60050.5818595397</v>
      </c>
      <c r="AJ209" s="43" t="n">
        <f aca="false">AJ205+AJ208</f>
        <v>-60050.5818595397</v>
      </c>
      <c r="AK209" s="43" t="n">
        <f aca="false">AK205+AK208</f>
        <v>-60050.5818595397</v>
      </c>
      <c r="AL209" s="43" t="n">
        <f aca="false">AL205+AL208</f>
        <v>283856.999157351</v>
      </c>
      <c r="AM209" s="43" t="n">
        <f aca="false">AM205+AM208</f>
        <v>-279108.71650357</v>
      </c>
      <c r="AN209" s="43" t="n">
        <f aca="false">AN205+AN208</f>
        <v>-279108.71650357</v>
      </c>
      <c r="AO209" s="43" t="n">
        <f aca="false">AO205+AO208</f>
        <v>-289077.75106549</v>
      </c>
      <c r="AP209" s="43" t="n">
        <f aca="false">AP205+AP208</f>
        <v>-289077.75106549</v>
      </c>
      <c r="AQ209" s="43" t="n">
        <f aca="false">AQ205+AQ208</f>
        <v>-289077.75106549</v>
      </c>
      <c r="AR209" s="43" t="n">
        <f aca="false">AR205+AR208</f>
        <v>-293077.75106549</v>
      </c>
      <c r="AS209" s="43" t="n">
        <f aca="false">AS205+AS208</f>
        <v>-289077.75106549</v>
      </c>
      <c r="AT209" s="43" t="n">
        <f aca="false">AT205+AT208</f>
        <v>-9534.66571199033</v>
      </c>
      <c r="AU209" s="43" t="n">
        <f aca="false">AU205+AU208</f>
        <v>-454594.455122707</v>
      </c>
      <c r="AV209" s="43" t="n">
        <f aca="false">AV205+AV208</f>
        <v>-454594.455122707</v>
      </c>
      <c r="AW209" s="43" t="n">
        <f aca="false">AW205+AW208</f>
        <v>-454594.455122707</v>
      </c>
      <c r="AX209" s="43" t="n">
        <f aca="false">AX205+AX208</f>
        <v>-454594.455122707</v>
      </c>
      <c r="AY209" s="43" t="n">
        <f aca="false">AY205+AY208</f>
        <v>-454594.455122707</v>
      </c>
      <c r="AZ209" s="43" t="n">
        <f aca="false">AZ205+AZ208</f>
        <v>-454594.455122707</v>
      </c>
      <c r="BA209" s="43" t="n">
        <f aca="false">BA205+BA208</f>
        <v>-464762.870375865</v>
      </c>
      <c r="BB209" s="43" t="n">
        <f aca="false">BB205+BB208</f>
        <v>-464762.870375865</v>
      </c>
      <c r="BC209" s="43" t="n">
        <f aca="false">BC205+BC208</f>
        <v>-464762.870375865</v>
      </c>
      <c r="BD209" s="43" t="n">
        <f aca="false">BD205+BD208</f>
        <v>-464762.870375865</v>
      </c>
      <c r="BE209" s="43" t="n">
        <f aca="false">BE205+BE208</f>
        <v>-464762.870375865</v>
      </c>
      <c r="BF209" s="43" t="n">
        <f aca="false">BF205+BF208</f>
        <v>-464762.870375865</v>
      </c>
      <c r="BG209" s="43" t="n">
        <f aca="false">BG205+BG208</f>
        <v>-464762.870375865</v>
      </c>
      <c r="BH209" s="43" t="n">
        <f aca="false">BH205+BH208</f>
        <v>-215826.595320265</v>
      </c>
      <c r="BI209" s="43" t="n">
        <f aca="false">BI205+BI208</f>
        <v>-622422.511244412</v>
      </c>
      <c r="BJ209" s="43" t="n">
        <f aca="false">BJ205+BJ208</f>
        <v>-622422.511244412</v>
      </c>
      <c r="BK209" s="43" t="n">
        <f aca="false">BK205+BK208</f>
        <v>-622422.511244412</v>
      </c>
      <c r="BL209" s="43" t="n">
        <f aca="false">BL205+BL208</f>
        <v>-622422.511244412</v>
      </c>
      <c r="BM209" s="43" t="n">
        <f aca="false">BM205+BM208</f>
        <v>-632794.294802633</v>
      </c>
      <c r="BN209" s="43" t="n">
        <f aca="false">BN205+BN208</f>
        <v>-632794.294802633</v>
      </c>
      <c r="BO209" s="43" t="n">
        <f aca="false">BO205+BO208</f>
        <v>-632794.294802633</v>
      </c>
      <c r="BP209" s="43" t="n">
        <f aca="false">BP205+BP208</f>
        <v>-632794.294802633</v>
      </c>
      <c r="BQ209" s="43" t="n">
        <f aca="false">BQ205+BQ208</f>
        <v>-632794.294802633</v>
      </c>
      <c r="BR209" s="43" t="n">
        <f aca="false">BR205+BR208</f>
        <v>-579543.944802633</v>
      </c>
      <c r="BS209" s="43" t="n">
        <f aca="false">BS205+BS208</f>
        <v>-632794.294802633</v>
      </c>
      <c r="BT209" s="43" t="n">
        <f aca="false">BT205+BT208</f>
        <v>-632794.294802633</v>
      </c>
      <c r="BU209" s="43" t="n">
        <f aca="false">BU205+BU208</f>
        <v>-565032.294802633</v>
      </c>
      <c r="BV209" s="43" t="n">
        <f aca="false">BV205+BV208</f>
        <v>-632794.294802633</v>
      </c>
      <c r="BW209" s="43" t="n">
        <f aca="false">BW205+BW208</f>
        <v>-632794.294802633</v>
      </c>
      <c r="BX209" s="43" t="n">
        <f aca="false">BX205+BX208</f>
        <v>-565032.294802633</v>
      </c>
      <c r="BY209" s="43" t="n">
        <f aca="false">BY205+BY208</f>
        <v>-643373.514032019</v>
      </c>
      <c r="BZ209" s="43" t="n">
        <f aca="false">BZ205+BZ208</f>
        <v>-643373.514032019</v>
      </c>
      <c r="CA209" s="43" t="n">
        <f aca="false">CA205+CA208</f>
        <v>-575611.514032019</v>
      </c>
      <c r="CB209" s="43" t="n">
        <f aca="false">CB205+CB208</f>
        <v>-643373.514032019</v>
      </c>
      <c r="CC209" s="43" t="n">
        <f aca="false">CC205+CC208</f>
        <v>-643373.514032019</v>
      </c>
      <c r="CD209" s="43" t="n">
        <f aca="false">CD205+CD208</f>
        <v>-566874.514032019</v>
      </c>
      <c r="CE209" s="43" t="n">
        <f aca="false">CE205+CE208</f>
        <v>-643373.514032019</v>
      </c>
      <c r="CF209" s="43" t="n">
        <f aca="false">CF205+CF208</f>
        <v>-643373.514032019</v>
      </c>
      <c r="CG209" s="43" t="n">
        <f aca="false">CG205+CG208</f>
        <v>-566874.514032019</v>
      </c>
      <c r="CH209" s="43" t="n">
        <f aca="false">CH205+CH208</f>
        <v>-643373.514032019</v>
      </c>
      <c r="CI209" s="43" t="n">
        <f aca="false">CI205+CI208</f>
        <v>-643373.514032019</v>
      </c>
      <c r="CJ209" s="43" t="n">
        <f aca="false">CJ205+CJ208</f>
        <v>-560266.48742554</v>
      </c>
      <c r="CK209" s="43" t="n">
        <f aca="false">CK205+CK208</f>
        <v>-496303.317645993</v>
      </c>
      <c r="CL209" s="43" t="n">
        <f aca="false">CL205+CL208</f>
        <v>-496303.317645993</v>
      </c>
      <c r="CM209" s="43" t="n">
        <f aca="false">CM205+CM208</f>
        <v>-496303.317645993</v>
      </c>
      <c r="CN209" s="43" t="n">
        <f aca="false">CN205+CN208</f>
        <v>-496303.317645993</v>
      </c>
      <c r="CO209" s="43" t="n">
        <f aca="false">CO205+CO208</f>
        <v>-496303.317645993</v>
      </c>
      <c r="CP209" s="43" t="n">
        <f aca="false">CP205+CP208</f>
        <v>-496303.317645993</v>
      </c>
      <c r="CQ209" s="43" t="n">
        <f aca="false">CQ205+CQ208</f>
        <v>-496303.317645993</v>
      </c>
      <c r="CR209" s="43" t="n">
        <f aca="false">CR205+CR208</f>
        <v>-496303.317645993</v>
      </c>
      <c r="CS209" s="43" t="n">
        <f aca="false">CS205+CS208</f>
        <v>-496303.317645993</v>
      </c>
      <c r="CT209" s="43" t="n">
        <f aca="false">CT205+CT208</f>
        <v>-439950.713267232</v>
      </c>
      <c r="CU209" s="43" t="n">
        <f aca="false">CU205+CU208</f>
        <v>-439950.713267232</v>
      </c>
      <c r="CV209" s="43" t="n">
        <f aca="false">CV205+CV208</f>
        <v>-439950.713267232</v>
      </c>
      <c r="CW209" s="43" t="n">
        <f aca="false">CW205+CW208</f>
        <v>-394122.129802317</v>
      </c>
      <c r="CX209" s="43" t="n">
        <f aca="false">CX205+CX208</f>
        <v>-376675.28086591</v>
      </c>
      <c r="CY209" s="43" t="n">
        <f aca="false">CY205+CY208</f>
        <v>-376675.28086591</v>
      </c>
      <c r="CZ209" s="43" t="n">
        <f aca="false">CZ205+CZ208</f>
        <v>-376675.28086591</v>
      </c>
      <c r="DA209" s="43" t="n">
        <f aca="false">DA205+DA208</f>
        <v>-376675.28086591</v>
      </c>
      <c r="DB209" s="43" t="n">
        <f aca="false">DB205+DB208</f>
        <v>-376675.28086591</v>
      </c>
      <c r="DC209" s="43" t="n">
        <f aca="false">DC205+DC208</f>
        <v>-376675.28086591</v>
      </c>
      <c r="DD209" s="43" t="n">
        <f aca="false">DD205+DD208</f>
        <v>-376675.28086591</v>
      </c>
      <c r="DE209" s="43" t="n">
        <f aca="false">DE205+DE208</f>
        <v>-376675.28086591</v>
      </c>
    </row>
    <row r="210" customFormat="false" ht="19.5" hidden="false" customHeight="true" outlineLevel="0" collapsed="false">
      <c r="A210" s="50" t="s">
        <v>138</v>
      </c>
      <c r="B210" s="37" t="n">
        <f aca="false">IFERROR(IF(OR(B205&lt;=0,B209/B205&lt;0,B209/B205&gt;1),0,B209/B205),0)</f>
        <v>0</v>
      </c>
      <c r="C210" s="37" t="n">
        <f aca="false">IFERROR(IF(OR(C205&lt;=0,C209/C205&lt;0,C209/C205&gt;1),0,C209/C205),0)</f>
        <v>0</v>
      </c>
      <c r="D210" s="37" t="n">
        <f aca="false">IFERROR(IF(OR(D205&lt;=0,D209/D205&lt;0,D209/D205&gt;1),0,D209/D205),0)</f>
        <v>0.0339603542325622</v>
      </c>
      <c r="E210" s="37" t="n">
        <f aca="false">IFERROR(IF(OR(E205&lt;=0,E209/E205&lt;0,E209/E205&gt;1),0,E209/E205),0)</f>
        <v>0.451423248818066</v>
      </c>
      <c r="F210" s="37" t="n">
        <f aca="false">IFERROR(IF(OR(F205&lt;=0,F209/F205&lt;0,F209/F205&gt;1),0,F209/F205),0)</f>
        <v>0</v>
      </c>
      <c r="G210" s="37" t="n">
        <f aca="false">IFERROR(IF(OR(G205&lt;=0,G209/G205&lt;0,G209/G205&gt;1),0,G209/G205),0)</f>
        <v>0.368115788043616</v>
      </c>
      <c r="H210" s="37" t="n">
        <f aca="false">IFERROR(IF(OR(H205&lt;=0,H209/H205&lt;0,H209/H205&gt;1),0,H209/H205),0)</f>
        <v>0</v>
      </c>
      <c r="I210" s="37" t="n">
        <f aca="false">IFERROR(IF(OR(I205&lt;=0,I209/I205&lt;0,I209/I205&gt;1),0,I209/I205),0)</f>
        <v>0.482793825779512</v>
      </c>
      <c r="J210" s="37" t="n">
        <f aca="false">IFERROR(IF(OR(J205&lt;=0,J209/J205&lt;0,J209/J205&gt;1),0,J209/J205),0)</f>
        <v>0</v>
      </c>
      <c r="K210" s="37" t="n">
        <f aca="false">IFERROR(IF(OR(K205&lt;=0,K209/K205&lt;0,K209/K205&gt;1),0,K209/K205),0)</f>
        <v>0.262462120032472</v>
      </c>
      <c r="L210" s="37" t="n">
        <f aca="false">IFERROR(IF(OR(L205&lt;=0,L209/L205&lt;0,L209/L205&gt;1),0,L209/L205),0)</f>
        <v>0.400193741797961</v>
      </c>
      <c r="M210" s="37" t="n">
        <f aca="false">IFERROR(IF(OR(M205&lt;=0,M209/M205&lt;0,M209/M205&gt;1),0,M209/M205),0)</f>
        <v>0.301122462074965</v>
      </c>
      <c r="N210" s="37" t="n">
        <f aca="false">IFERROR(IF(OR(N205&lt;=0,N209/N205&lt;0,N209/N205&gt;1),0,N209/N205),0)</f>
        <v>0.34829832672718</v>
      </c>
      <c r="O210" s="37" t="n">
        <f aca="false">IFERROR(IF(OR(O205&lt;=0,O209/O205&lt;0,O209/O205&gt;1),0,O209/O205),0)</f>
        <v>0.318199099227512</v>
      </c>
      <c r="P210" s="37" t="n">
        <f aca="false">IFERROR(IF(OR(P205&lt;=0,P209/P205&lt;0,P209/P205&gt;1),0,P209/P205),0)</f>
        <v>0.295630829100457</v>
      </c>
      <c r="Q210" s="37" t="n">
        <f aca="false">IFERROR(IF(OR(Q205&lt;=0,Q209/Q205&lt;0,Q209/Q205&gt;1),0,Q209/Q205),0)</f>
        <v>0</v>
      </c>
      <c r="R210" s="37" t="n">
        <f aca="false">IFERROR(IF(OR(R205&lt;=0,R209/R205&lt;0,R209/R205&gt;1),0,R209/R205),0)</f>
        <v>0.356564873557427</v>
      </c>
      <c r="S210" s="37" t="n">
        <f aca="false">IFERROR(IF(OR(S205&lt;=0,S209/S205&lt;0,S209/S205&gt;1),0,S209/S205),0)</f>
        <v>0.336804662825617</v>
      </c>
      <c r="T210" s="37" t="n">
        <f aca="false">IFERROR(IF(OR(T205&lt;=0,T209/T205&lt;0,T209/T205&gt;1),0,T209/T205),0)</f>
        <v>0.250344035003389</v>
      </c>
      <c r="U210" s="37" t="n">
        <f aca="false">IFERROR(IF(OR(U205&lt;=0,U209/U205&lt;0,U209/U205&gt;1),0,U209/U205),0)</f>
        <v>0.201272740759723</v>
      </c>
      <c r="V210" s="37" t="n">
        <f aca="false">IFERROR(IF(OR(V205&lt;=0,V209/V205&lt;0,V209/V205&gt;1),0,V209/V205),0)</f>
        <v>0.198265070424235</v>
      </c>
      <c r="W210" s="37" t="n">
        <f aca="false">IFERROR(IF(OR(W205&lt;=0,W209/W205&lt;0,W209/W205&gt;1),0,W209/W205),0)</f>
        <v>0.19545049106095</v>
      </c>
      <c r="X210" s="37" t="n">
        <f aca="false">IFERROR(IF(OR(X205&lt;=0,X209/X205&lt;0,X209/X205&gt;1),0,X209/X205),0)</f>
        <v>0.181754790218821</v>
      </c>
      <c r="Y210" s="37" t="n">
        <f aca="false">IFERROR(IF(OR(Y205&lt;=0,Y209/Y205&lt;0,Y209/Y205&gt;1),0,Y209/Y205),0)</f>
        <v>0.293682885381057</v>
      </c>
      <c r="Z210" s="37" t="n">
        <f aca="false">IFERROR(IF(OR(Z205&lt;=0,Z209/Z205&lt;0,Z209/Z205&gt;1),0,Z209/Z205),0)</f>
        <v>0.152495156409215</v>
      </c>
      <c r="AA210" s="37" t="n">
        <f aca="false">IFERROR(IF(OR(AA205&lt;=0,AA209/AA205&lt;0,AA209/AA205&gt;1),0,AA209/AA205),0)</f>
        <v>0.237771751173563</v>
      </c>
      <c r="AB210" s="37" t="n">
        <f aca="false">IFERROR(IF(OR(AB205&lt;=0,AB209/AB205&lt;0,AB209/AB205&gt;1),0,AB209/AB205),0)</f>
        <v>0.12645376887819</v>
      </c>
      <c r="AC210" s="37" t="n">
        <f aca="false">IFERROR(IF(OR(AC205&lt;=0,AC209/AC205&lt;0,AC209/AC205&gt;1),0,AC209/AC205),0)</f>
        <v>0.169521487970169</v>
      </c>
      <c r="AD210" s="37" t="n">
        <f aca="false">IFERROR(IF(OR(AD205&lt;=0,AD209/AD205&lt;0,AD209/AD205&gt;1),0,AD209/AD205),0)</f>
        <v>0</v>
      </c>
      <c r="AE210" s="37" t="n">
        <f aca="false">IFERROR(IF(OR(AE205&lt;=0,AE209/AE205&lt;0,AE209/AE205&gt;1),0,AE209/AE205),0)</f>
        <v>0</v>
      </c>
      <c r="AF210" s="37" t="n">
        <f aca="false">IFERROR(IF(OR(AF205&lt;=0,AF209/AF205&lt;0,AF209/AF205&gt;1),0,AF209/AF205),0)</f>
        <v>0.0720724511187753</v>
      </c>
      <c r="AG210" s="37" t="n">
        <f aca="false">IFERROR(IF(OR(AG205&lt;=0,AG209/AG205&lt;0,AG209/AG205&gt;1),0,AG209/AG205),0)</f>
        <v>0.228888454022236</v>
      </c>
      <c r="AH210" s="37" t="n">
        <f aca="false">IFERROR(IF(OR(AH205&lt;=0,AH209/AH205&lt;0,AH209/AH205&gt;1),0,AH209/AH205),0)</f>
        <v>0</v>
      </c>
      <c r="AI210" s="37" t="n">
        <f aca="false">IFERROR(IF(OR(AI205&lt;=0,AI209/AI205&lt;0,AI209/AI205&gt;1),0,AI209/AI205),0)</f>
        <v>0</v>
      </c>
      <c r="AJ210" s="37" t="n">
        <f aca="false">IFERROR(IF(OR(AJ205&lt;=0,AJ209/AJ205&lt;0,AJ209/AJ205&gt;1),0,AJ209/AJ205),0)</f>
        <v>0</v>
      </c>
      <c r="AK210" s="37" t="n">
        <f aca="false">IFERROR(IF(OR(AK205&lt;=0,AK209/AK205&lt;0,AK209/AK205&gt;1),0,AK209/AK205),0)</f>
        <v>0</v>
      </c>
      <c r="AL210" s="37" t="n">
        <f aca="false">IFERROR(IF(OR(AL205&lt;=0,AL209/AL205&lt;0,AL209/AL205&gt;1),0,AL209/AL205),0)</f>
        <v>0.320328998907262</v>
      </c>
      <c r="AM210" s="37" t="n">
        <f aca="false">IFERROR(IF(OR(AM205&lt;=0,AM209/AM205&lt;0,AM209/AM205&gt;1),0,AM209/AM205),0)</f>
        <v>0</v>
      </c>
      <c r="AN210" s="37" t="n">
        <f aca="false">IFERROR(IF(OR(AN205&lt;=0,AN209/AN205&lt;0,AN209/AN205&gt;1),0,AN209/AN205),0)</f>
        <v>0</v>
      </c>
      <c r="AO210" s="37" t="n">
        <f aca="false">IFERROR(IF(OR(AO205&lt;=0,AO209/AO205&lt;0,AO209/AO205&gt;1),0,AO209/AO205),0)</f>
        <v>0</v>
      </c>
      <c r="AP210" s="37" t="n">
        <f aca="false">IFERROR(IF(OR(AP205&lt;=0,AP209/AP205&lt;0,AP209/AP205&gt;1),0,AP209/AP205),0)</f>
        <v>0</v>
      </c>
      <c r="AQ210" s="37" t="n">
        <f aca="false">IFERROR(IF(OR(AQ205&lt;=0,AQ209/AQ205&lt;0,AQ209/AQ205&gt;1),0,AQ209/AQ205),0)</f>
        <v>0</v>
      </c>
      <c r="AR210" s="37" t="n">
        <f aca="false">IFERROR(IF(OR(AR205&lt;=0,AR209/AR205&lt;0,AR209/AR205&gt;1),0,AR209/AR205),0)</f>
        <v>0</v>
      </c>
      <c r="AS210" s="37" t="n">
        <f aca="false">IFERROR(IF(OR(AS205&lt;=0,AS209/AS205&lt;0,AS209/AS205&gt;1),0,AS209/AS205),0)</f>
        <v>0</v>
      </c>
      <c r="AT210" s="37" t="n">
        <f aca="false">IFERROR(IF(OR(AT205&lt;=0,AT209/AT205&lt;0,AT209/AT205&gt;1),0,AT209/AT205),0)</f>
        <v>0</v>
      </c>
      <c r="AU210" s="37" t="n">
        <f aca="false">IFERROR(IF(OR(AU205&lt;=0,AU209/AU205&lt;0,AU209/AU205&gt;1),0,AU209/AU205),0)</f>
        <v>0</v>
      </c>
      <c r="AV210" s="37" t="n">
        <f aca="false">IFERROR(IF(OR(AV205&lt;=0,AV209/AV205&lt;0,AV209/AV205&gt;1),0,AV209/AV205),0)</f>
        <v>0</v>
      </c>
      <c r="AW210" s="37" t="n">
        <f aca="false">IFERROR(IF(OR(AW205&lt;=0,AW209/AW205&lt;0,AW209/AW205&gt;1),0,AW209/AW205),0)</f>
        <v>0</v>
      </c>
      <c r="AX210" s="37" t="n">
        <f aca="false">IFERROR(IF(OR(AX205&lt;=0,AX209/AX205&lt;0,AX209/AX205&gt;1),0,AX209/AX205),0)</f>
        <v>0</v>
      </c>
      <c r="AY210" s="37" t="n">
        <f aca="false">IFERROR(IF(OR(AY205&lt;=0,AY209/AY205&lt;0,AY209/AY205&gt;1),0,AY209/AY205),0)</f>
        <v>0</v>
      </c>
      <c r="AZ210" s="37" t="n">
        <f aca="false">IFERROR(IF(OR(AZ205&lt;=0,AZ209/AZ205&lt;0,AZ209/AZ205&gt;1),0,AZ209/AZ205),0)</f>
        <v>0</v>
      </c>
      <c r="BA210" s="37" t="n">
        <f aca="false">IFERROR(IF(OR(BA205&lt;=0,BA209/BA205&lt;0,BA209/BA205&gt;1),0,BA209/BA205),0)</f>
        <v>0</v>
      </c>
      <c r="BB210" s="37" t="n">
        <f aca="false">IFERROR(IF(OR(BB205&lt;=0,BB209/BB205&lt;0,BB209/BB205&gt;1),0,BB209/BB205),0)</f>
        <v>0</v>
      </c>
      <c r="BC210" s="37" t="n">
        <f aca="false">IFERROR(IF(OR(BC205&lt;=0,BC209/BC205&lt;0,BC209/BC205&gt;1),0,BC209/BC205),0)</f>
        <v>0</v>
      </c>
      <c r="BD210" s="37" t="n">
        <f aca="false">IFERROR(IF(OR(BD205&lt;=0,BD209/BD205&lt;0,BD209/BD205&gt;1),0,BD209/BD205),0)</f>
        <v>0</v>
      </c>
      <c r="BE210" s="37" t="n">
        <f aca="false">IFERROR(IF(OR(BE205&lt;=0,BE209/BE205&lt;0,BE209/BE205&gt;1),0,BE209/BE205),0)</f>
        <v>0</v>
      </c>
      <c r="BF210" s="37" t="n">
        <f aca="false">IFERROR(IF(OR(BF205&lt;=0,BF209/BF205&lt;0,BF209/BF205&gt;1),0,BF209/BF205),0)</f>
        <v>0</v>
      </c>
      <c r="BG210" s="37" t="n">
        <f aca="false">IFERROR(IF(OR(BG205&lt;=0,BG209/BG205&lt;0,BG209/BG205&gt;1),0,BG209/BG205),0)</f>
        <v>0</v>
      </c>
      <c r="BH210" s="37" t="n">
        <f aca="false">IFERROR(IF(OR(BH205&lt;=0,BH209/BH205&lt;0,BH209/BH205&gt;1),0,BH209/BH205),0)</f>
        <v>0</v>
      </c>
      <c r="BI210" s="37" t="n">
        <f aca="false">IFERROR(IF(OR(BI205&lt;=0,BI209/BI205&lt;0,BI209/BI205&gt;1),0,BI209/BI205),0)</f>
        <v>0</v>
      </c>
      <c r="BJ210" s="37" t="n">
        <f aca="false">IFERROR(IF(OR(BJ205&lt;=0,BJ209/BJ205&lt;0,BJ209/BJ205&gt;1),0,BJ209/BJ205),0)</f>
        <v>0</v>
      </c>
      <c r="BK210" s="37" t="n">
        <f aca="false">IFERROR(IF(OR(BK205&lt;=0,BK209/BK205&lt;0,BK209/BK205&gt;1),0,BK209/BK205),0)</f>
        <v>0</v>
      </c>
      <c r="BL210" s="37" t="n">
        <f aca="false">IFERROR(IF(OR(BL205&lt;=0,BL209/BL205&lt;0,BL209/BL205&gt;1),0,BL209/BL205),0)</f>
        <v>0</v>
      </c>
      <c r="BM210" s="37" t="n">
        <f aca="false">IFERROR(IF(OR(BM205&lt;=0,BM209/BM205&lt;0,BM209/BM205&gt;1),0,BM209/BM205),0)</f>
        <v>0</v>
      </c>
      <c r="BN210" s="37" t="n">
        <f aca="false">IFERROR(IF(OR(BN205&lt;=0,BN209/BN205&lt;0,BN209/BN205&gt;1),0,BN209/BN205),0)</f>
        <v>0</v>
      </c>
      <c r="BO210" s="37" t="n">
        <f aca="false">IFERROR(IF(OR(BO205&lt;=0,BO209/BO205&lt;0,BO209/BO205&gt;1),0,BO209/BO205),0)</f>
        <v>0</v>
      </c>
      <c r="BP210" s="37" t="n">
        <f aca="false">IFERROR(IF(OR(BP205&lt;=0,BP209/BP205&lt;0,BP209/BP205&gt;1),0,BP209/BP205),0)</f>
        <v>0</v>
      </c>
      <c r="BQ210" s="37" t="n">
        <f aca="false">IFERROR(IF(OR(BQ205&lt;=0,BQ209/BQ205&lt;0,BQ209/BQ205&gt;1),0,BQ209/BQ205),0)</f>
        <v>0</v>
      </c>
      <c r="BR210" s="37" t="n">
        <f aca="false">IFERROR(IF(OR(BR205&lt;=0,BR209/BR205&lt;0,BR209/BR205&gt;1),0,BR209/BR205),0)</f>
        <v>0</v>
      </c>
      <c r="BS210" s="37" t="n">
        <f aca="false">IFERROR(IF(OR(BS205&lt;=0,BS209/BS205&lt;0,BS209/BS205&gt;1),0,BS209/BS205),0)</f>
        <v>0</v>
      </c>
      <c r="BT210" s="37" t="n">
        <f aca="false">IFERROR(IF(OR(BT205&lt;=0,BT209/BT205&lt;0,BT209/BT205&gt;1),0,BT209/BT205),0)</f>
        <v>0</v>
      </c>
      <c r="BU210" s="37" t="n">
        <f aca="false">IFERROR(IF(OR(BU205&lt;=0,BU209/BU205&lt;0,BU209/BU205&gt;1),0,BU209/BU205),0)</f>
        <v>0</v>
      </c>
      <c r="BV210" s="37" t="n">
        <f aca="false">IFERROR(IF(OR(BV205&lt;=0,BV209/BV205&lt;0,BV209/BV205&gt;1),0,BV209/BV205),0)</f>
        <v>0</v>
      </c>
      <c r="BW210" s="37" t="n">
        <f aca="false">IFERROR(IF(OR(BW205&lt;=0,BW209/BW205&lt;0,BW209/BW205&gt;1),0,BW209/BW205),0)</f>
        <v>0</v>
      </c>
      <c r="BX210" s="37" t="n">
        <f aca="false">IFERROR(IF(OR(BX205&lt;=0,BX209/BX205&lt;0,BX209/BX205&gt;1),0,BX209/BX205),0)</f>
        <v>0</v>
      </c>
      <c r="BY210" s="37" t="n">
        <f aca="false">IFERROR(IF(OR(BY205&lt;=0,BY209/BY205&lt;0,BY209/BY205&gt;1),0,BY209/BY205),0)</f>
        <v>0</v>
      </c>
      <c r="BZ210" s="37" t="n">
        <f aca="false">IFERROR(IF(OR(BZ205&lt;=0,BZ209/BZ205&lt;0,BZ209/BZ205&gt;1),0,BZ209/BZ205),0)</f>
        <v>0</v>
      </c>
      <c r="CA210" s="37" t="n">
        <f aca="false">IFERROR(IF(OR(CA205&lt;=0,CA209/CA205&lt;0,CA209/CA205&gt;1),0,CA209/CA205),0)</f>
        <v>0</v>
      </c>
      <c r="CB210" s="37" t="n">
        <f aca="false">IFERROR(IF(OR(CB205&lt;=0,CB209/CB205&lt;0,CB209/CB205&gt;1),0,CB209/CB205),0)</f>
        <v>0</v>
      </c>
      <c r="CC210" s="37" t="n">
        <f aca="false">IFERROR(IF(OR(CC205&lt;=0,CC209/CC205&lt;0,CC209/CC205&gt;1),0,CC209/CC205),0)</f>
        <v>0</v>
      </c>
      <c r="CD210" s="37" t="n">
        <f aca="false">IFERROR(IF(OR(CD205&lt;=0,CD209/CD205&lt;0,CD209/CD205&gt;1),0,CD209/CD205),0)</f>
        <v>0</v>
      </c>
      <c r="CE210" s="37" t="n">
        <f aca="false">IFERROR(IF(OR(CE205&lt;=0,CE209/CE205&lt;0,CE209/CE205&gt;1),0,CE209/CE205),0)</f>
        <v>0</v>
      </c>
      <c r="CF210" s="37" t="n">
        <f aca="false">IFERROR(IF(OR(CF205&lt;=0,CF209/CF205&lt;0,CF209/CF205&gt;1),0,CF209/CF205),0)</f>
        <v>0</v>
      </c>
      <c r="CG210" s="37" t="n">
        <f aca="false">IFERROR(IF(OR(CG205&lt;=0,CG209/CG205&lt;0,CG209/CG205&gt;1),0,CG209/CG205),0)</f>
        <v>0</v>
      </c>
      <c r="CH210" s="37" t="n">
        <f aca="false">IFERROR(IF(OR(CH205&lt;=0,CH209/CH205&lt;0,CH209/CH205&gt;1),0,CH209/CH205),0)</f>
        <v>0</v>
      </c>
      <c r="CI210" s="37" t="n">
        <f aca="false">IFERROR(IF(OR(CI205&lt;=0,CI209/CI205&lt;0,CI209/CI205&gt;1),0,CI209/CI205),0)</f>
        <v>0</v>
      </c>
      <c r="CJ210" s="37" t="n">
        <f aca="false">IFERROR(IF(OR(CJ205&lt;=0,CJ209/CJ205&lt;0,CJ209/CJ205&gt;1),0,CJ209/CJ205),0)</f>
        <v>0</v>
      </c>
      <c r="CK210" s="37" t="n">
        <f aca="false">IFERROR(IF(OR(CK205&lt;=0,CK209/CK205&lt;0,CK209/CK205&gt;1),0,CK209/CK205),0)</f>
        <v>0</v>
      </c>
      <c r="CL210" s="37" t="n">
        <f aca="false">IFERROR(IF(OR(CL205&lt;=0,CL209/CL205&lt;0,CL209/CL205&gt;1),0,CL209/CL205),0)</f>
        <v>0</v>
      </c>
      <c r="CM210" s="37" t="n">
        <f aca="false">IFERROR(IF(OR(CM205&lt;=0,CM209/CM205&lt;0,CM209/CM205&gt;1),0,CM209/CM205),0)</f>
        <v>0</v>
      </c>
      <c r="CN210" s="37" t="n">
        <f aca="false">IFERROR(IF(OR(CN205&lt;=0,CN209/CN205&lt;0,CN209/CN205&gt;1),0,CN209/CN205),0)</f>
        <v>0</v>
      </c>
      <c r="CO210" s="37" t="n">
        <f aca="false">IFERROR(IF(OR(CO205&lt;=0,CO209/CO205&lt;0,CO209/CO205&gt;1),0,CO209/CO205),0)</f>
        <v>0</v>
      </c>
      <c r="CP210" s="37" t="n">
        <f aca="false">IFERROR(IF(OR(CP205&lt;=0,CP209/CP205&lt;0,CP209/CP205&gt;1),0,CP209/CP205),0)</f>
        <v>0</v>
      </c>
      <c r="CQ210" s="37" t="n">
        <f aca="false">IFERROR(IF(OR(CQ205&lt;=0,CQ209/CQ205&lt;0,CQ209/CQ205&gt;1),0,CQ209/CQ205),0)</f>
        <v>0</v>
      </c>
      <c r="CR210" s="37" t="n">
        <f aca="false">IFERROR(IF(OR(CR205&lt;=0,CR209/CR205&lt;0,CR209/CR205&gt;1),0,CR209/CR205),0)</f>
        <v>0</v>
      </c>
      <c r="CS210" s="37" t="n">
        <f aca="false">IFERROR(IF(OR(CS205&lt;=0,CS209/CS205&lt;0,CS209/CS205&gt;1),0,CS209/CS205),0)</f>
        <v>0</v>
      </c>
      <c r="CT210" s="37" t="n">
        <f aca="false">IFERROR(IF(OR(CT205&lt;=0,CT209/CT205&lt;0,CT209/CT205&gt;1),0,CT209/CT205),0)</f>
        <v>0</v>
      </c>
      <c r="CU210" s="37" t="n">
        <f aca="false">IFERROR(IF(OR(CU205&lt;=0,CU209/CU205&lt;0,CU209/CU205&gt;1),0,CU209/CU205),0)</f>
        <v>0</v>
      </c>
      <c r="CV210" s="37" t="n">
        <f aca="false">IFERROR(IF(OR(CV205&lt;=0,CV209/CV205&lt;0,CV209/CV205&gt;1),0,CV209/CV205),0)</f>
        <v>0</v>
      </c>
      <c r="CW210" s="37" t="n">
        <f aca="false">IFERROR(IF(OR(CW205&lt;=0,CW209/CW205&lt;0,CW209/CW205&gt;1),0,CW209/CW205),0)</f>
        <v>0</v>
      </c>
      <c r="CX210" s="37" t="n">
        <f aca="false">IFERROR(IF(OR(CX205&lt;=0,CX209/CX205&lt;0,CX209/CX205&gt;1),0,CX209/CX205),0)</f>
        <v>0</v>
      </c>
      <c r="CY210" s="37" t="n">
        <f aca="false">IFERROR(IF(OR(CY205&lt;=0,CY209/CY205&lt;0,CY209/CY205&gt;1),0,CY209/CY205),0)</f>
        <v>0</v>
      </c>
      <c r="CZ210" s="37" t="n">
        <f aca="false">IFERROR(IF(OR(CZ205&lt;=0,CZ209/CZ205&lt;0,CZ209/CZ205&gt;1),0,CZ209/CZ205),0)</f>
        <v>0</v>
      </c>
      <c r="DA210" s="37" t="n">
        <f aca="false">IFERROR(IF(OR(DA205&lt;=0,DA209/DA205&lt;0,DA209/DA205&gt;1),0,DA209/DA205),0)</f>
        <v>0</v>
      </c>
      <c r="DB210" s="37" t="n">
        <f aca="false">IFERROR(IF(OR(DB205&lt;=0,DB209/DB205&lt;0,DB209/DB205&gt;1),0,DB209/DB205),0)</f>
        <v>0</v>
      </c>
      <c r="DC210" s="37" t="n">
        <f aca="false">IFERROR(IF(OR(DC205&lt;=0,DC209/DC205&lt;0,DC209/DC205&gt;1),0,DC209/DC205),0)</f>
        <v>0</v>
      </c>
      <c r="DD210" s="37" t="n">
        <f aca="false">IFERROR(IF(OR(DD205&lt;=0,DD209/DD205&lt;0,DD209/DD205&gt;1),0,DD209/DD205),0)</f>
        <v>0</v>
      </c>
      <c r="DE210" s="37" t="n">
        <f aca="false">IFERROR(IF(OR(DE205&lt;=0,DE209/DE205&lt;0,DE209/DE205&gt;1),0,DE209/DE205),0)</f>
        <v>0</v>
      </c>
    </row>
    <row r="211" customFormat="false" ht="15" hidden="false" customHeight="true" outlineLevel="0" collapsed="false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</row>
    <row r="212" customFormat="false" ht="15" hidden="false" customHeight="true" outlineLevel="0" collapsed="false">
      <c r="A212" s="47" t="s">
        <v>139</v>
      </c>
      <c r="B212" s="14" t="n">
        <f aca="false">ROUND(B209-('Original Budget'!C57+'Original Budget'!C114),2)</f>
        <v>-3809.74</v>
      </c>
      <c r="C212" s="14" t="n">
        <f aca="false">ROUND(C209-('Original Budget'!D57+'Original Budget'!D114),2)</f>
        <v>-4402.09</v>
      </c>
      <c r="D212" s="14" t="n">
        <f aca="false">ROUND(D209-('Original Budget'!E57+'Original Budget'!E114),2)</f>
        <v>-14504.79</v>
      </c>
      <c r="E212" s="14" t="n">
        <f aca="false">ROUND(E209-('Original Budget'!F57+'Original Budget'!F114),2)</f>
        <v>178918.55</v>
      </c>
      <c r="F212" s="14" t="n">
        <f aca="false">ROUND(F209-('Original Budget'!G57+'Original Budget'!G114),2)</f>
        <v>-140863.17</v>
      </c>
      <c r="G212" s="14" t="n">
        <f aca="false">ROUND(G209-('Original Budget'!H57+'Original Budget'!H114),2)</f>
        <v>425057.62</v>
      </c>
      <c r="H212" s="14" t="n">
        <f aca="false">ROUND(H209-('Original Budget'!I57+'Original Budget'!I114),2)</f>
        <v>-552499.3</v>
      </c>
      <c r="I212" s="14" t="n">
        <f aca="false">ROUND(I209-('Original Budget'!J57+'Original Budget'!J114),2)</f>
        <v>387567.73</v>
      </c>
      <c r="J212" s="14" t="n">
        <f aca="false">ROUND(J209-('Original Budget'!K57+'Original Budget'!K114),2)</f>
        <v>-222380.14</v>
      </c>
      <c r="K212" s="14" t="n">
        <f aca="false">ROUND(K209-('Original Budget'!L57+'Original Budget'!L114),2)</f>
        <v>-132387.77</v>
      </c>
      <c r="L212" s="14" t="n">
        <f aca="false">ROUND(L209-('Original Budget'!M57+'Original Budget'!M114),2)</f>
        <v>-77816.94</v>
      </c>
      <c r="M212" s="14" t="n">
        <f aca="false">ROUND(M209-('Original Budget'!N57+'Original Budget'!N114),2)</f>
        <v>51794.47</v>
      </c>
      <c r="N212" s="14" t="n">
        <f aca="false">ROUND(N209-('Original Budget'!O57+'Original Budget'!O114),2)</f>
        <v>92563.15</v>
      </c>
      <c r="O212" s="14" t="n">
        <f aca="false">ROUND(O209-('Original Budget'!P57+'Original Budget'!P114),2)</f>
        <v>54109.33</v>
      </c>
      <c r="P212" s="14" t="n">
        <f aca="false">ROUND(P209-('Original Budget'!Q57+'Original Budget'!Q114),2)</f>
        <v>27432.71</v>
      </c>
      <c r="Q212" s="14" t="n">
        <f aca="false">ROUND(Q209-('Original Budget'!R57+'Original Budget'!R114),2)</f>
        <v>-903.12</v>
      </c>
      <c r="R212" s="14" t="n">
        <f aca="false">ROUND(R209-('Original Budget'!S57+'Original Budget'!S114),2)</f>
        <v>-29611.61</v>
      </c>
      <c r="S212" s="14" t="n">
        <f aca="false">ROUND(S209-('Original Budget'!T57+'Original Budget'!T114),2)</f>
        <v>-215710.84</v>
      </c>
      <c r="T212" s="14" t="n">
        <f aca="false">ROUND(T209-('Original Budget'!U57+'Original Budget'!U114),2)</f>
        <v>-56665.53</v>
      </c>
      <c r="U212" s="14" t="n">
        <f aca="false">ROUND(U209-('Original Budget'!V57+'Original Budget'!V114),2)</f>
        <v>160454.89</v>
      </c>
      <c r="V212" s="14" t="n">
        <f aca="false">ROUND(V209-('Original Budget'!W57+'Original Budget'!W114),2)</f>
        <v>157671.99</v>
      </c>
      <c r="W212" s="14" t="n">
        <f aca="false">ROUND(W209-('Original Budget'!X57+'Original Budget'!X114),2)</f>
        <v>133276.29</v>
      </c>
      <c r="X212" s="14" t="n">
        <f aca="false">ROUND(X209-('Original Budget'!Y57+'Original Budget'!Y114),2)</f>
        <v>164570.25</v>
      </c>
      <c r="Y212" s="14" t="n">
        <f aca="false">ROUND(Y209-('Original Budget'!Z57+'Original Budget'!Z114),2)</f>
        <v>221945.25</v>
      </c>
      <c r="Z212" s="14" t="n">
        <f aca="false">ROUND(Z209-('Original Budget'!AA57+'Original Budget'!AA114),2)</f>
        <v>139570.25</v>
      </c>
      <c r="AA212" s="14" t="n">
        <f aca="false">ROUND(AA209-('Original Budget'!AB57+'Original Budget'!AB114),2)</f>
        <v>217786.94</v>
      </c>
      <c r="AB212" s="14" t="n">
        <f aca="false">ROUND(AB209-('Original Budget'!AC57+'Original Budget'!AC114),2)</f>
        <v>61353.57</v>
      </c>
      <c r="AC212" s="14" t="n">
        <f aca="false">ROUND(AC209-('Original Budget'!AD57+'Original Budget'!AD114),2)</f>
        <v>84252.97</v>
      </c>
      <c r="AD212" s="14" t="n">
        <f aca="false">ROUND(AD209-('Original Budget'!AE57+'Original Budget'!AE114),2)</f>
        <v>18473.56</v>
      </c>
      <c r="AE212" s="14" t="n">
        <f aca="false">ROUND(AE209-('Original Budget'!AF57+'Original Budget'!AF114),2)</f>
        <v>18473.56</v>
      </c>
      <c r="AF212" s="14" t="n">
        <f aca="false">ROUND(AF209-('Original Budget'!AG57+'Original Budget'!AG114),2)</f>
        <v>14473.56</v>
      </c>
      <c r="AG212" s="14" t="n">
        <f aca="false">ROUND(AG209-('Original Budget'!AH57+'Original Budget'!AH114),2)</f>
        <v>146469.69</v>
      </c>
      <c r="AH212" s="14" t="n">
        <f aca="false">ROUND(AH209-('Original Budget'!AI57+'Original Budget'!AI114),2)</f>
        <v>-82856.71</v>
      </c>
      <c r="AI212" s="14" t="n">
        <f aca="false">ROUND(AI209-('Original Budget'!AJ57+'Original Budget'!AJ114),2)</f>
        <v>-210852.84</v>
      </c>
      <c r="AJ212" s="14" t="n">
        <f aca="false">ROUND(AJ209-('Original Budget'!AK57+'Original Budget'!AK114),2)</f>
        <v>18473.56</v>
      </c>
      <c r="AK212" s="14" t="n">
        <f aca="false">ROUND(AK209-('Original Budget'!AL57+'Original Budget'!AL114),2)</f>
        <v>-240177.16</v>
      </c>
      <c r="AL212" s="14" t="n">
        <f aca="false">ROUND(AL209-('Original Budget'!AM57+'Original Budget'!AM114),2)</f>
        <v>526193.27</v>
      </c>
      <c r="AM212" s="14" t="n">
        <f aca="false">ROUND(AM209-('Original Budget'!AN57+'Original Budget'!AN114),2)</f>
        <v>-36772.45</v>
      </c>
      <c r="AN212" s="14" t="n">
        <f aca="false">ROUND(AN209-('Original Budget'!AO57+'Original Budget'!AO114),2)</f>
        <v>-132151.51</v>
      </c>
      <c r="AO212" s="14" t="n">
        <f aca="false">ROUND(AO209-('Original Budget'!AP57+'Original Budget'!AP114),2)</f>
        <v>24248.13</v>
      </c>
      <c r="AP212" s="14" t="n">
        <f aca="false">ROUND(AP209-('Original Budget'!AQ57+'Original Budget'!AQ114),2)</f>
        <v>24248.13</v>
      </c>
      <c r="AQ212" s="14" t="n">
        <f aca="false">ROUND(AQ209-('Original Budget'!AR57+'Original Budget'!AR114),2)</f>
        <v>24248.13</v>
      </c>
      <c r="AR212" s="14" t="n">
        <f aca="false">ROUND(AR209-('Original Budget'!AS57+'Original Budget'!AS114),2)</f>
        <v>20248.13</v>
      </c>
      <c r="AS212" s="14" t="n">
        <f aca="false">ROUND(AS209-('Original Budget'!AT57+'Original Budget'!AT114),2)</f>
        <v>24248.13</v>
      </c>
      <c r="AT212" s="14" t="n">
        <f aca="false">ROUND(AT209-('Original Budget'!AU57+'Original Budget'!AU114),2)</f>
        <v>31305.63</v>
      </c>
      <c r="AU212" s="14" t="n">
        <f aca="false">ROUND(AU209-('Original Budget'!AV57+'Original Budget'!AV114),2)</f>
        <v>31305.63</v>
      </c>
      <c r="AV212" s="14" t="n">
        <f aca="false">ROUND(AV209-('Original Budget'!AW57+'Original Budget'!AW114),2)</f>
        <v>31305.63</v>
      </c>
      <c r="AW212" s="14" t="n">
        <f aca="false">ROUND(AW209-('Original Budget'!AX57+'Original Budget'!AX114),2)</f>
        <v>31305.63</v>
      </c>
      <c r="AX212" s="14" t="n">
        <f aca="false">ROUND(AX209-('Original Budget'!AY57+'Original Budget'!AY114),2)</f>
        <v>31305.63</v>
      </c>
      <c r="AY212" s="14" t="n">
        <f aca="false">ROUND(AY209-('Original Budget'!AZ57+'Original Budget'!AZ114),2)</f>
        <v>31305.63</v>
      </c>
      <c r="AZ212" s="14" t="n">
        <f aca="false">ROUND(AZ209-('Original Budget'!BA57+'Original Budget'!BA114),2)</f>
        <v>31305.63</v>
      </c>
      <c r="BA212" s="14" t="n">
        <f aca="false">ROUND(BA209-('Original Budget'!BB57+'Original Budget'!BB114),2)</f>
        <v>31931.74</v>
      </c>
      <c r="BB212" s="14" t="n">
        <f aca="false">ROUND(BB209-('Original Budget'!BC57+'Original Budget'!BC114),2)</f>
        <v>31931.74</v>
      </c>
      <c r="BC212" s="14" t="n">
        <f aca="false">ROUND(BC209-('Original Budget'!BD57+'Original Budget'!BD114),2)</f>
        <v>31931.74</v>
      </c>
      <c r="BD212" s="14" t="n">
        <f aca="false">ROUND(BD209-('Original Budget'!BE57+'Original Budget'!BE114),2)</f>
        <v>31931.74</v>
      </c>
      <c r="BE212" s="14" t="n">
        <f aca="false">ROUND(BE209-('Original Budget'!BF57+'Original Budget'!BF114),2)</f>
        <v>31931.74</v>
      </c>
      <c r="BF212" s="14" t="n">
        <f aca="false">ROUND(BF209-('Original Budget'!BG57+'Original Budget'!BG114),2)</f>
        <v>31931.74</v>
      </c>
      <c r="BG212" s="14" t="n">
        <f aca="false">ROUND(BG209-('Original Budget'!BH57+'Original Budget'!BH114),2)</f>
        <v>31931.74</v>
      </c>
      <c r="BH212" s="14" t="n">
        <f aca="false">ROUND(BH209-('Original Budget'!BI57+'Original Budget'!BI114),2)</f>
        <v>31931.74</v>
      </c>
      <c r="BI212" s="14" t="n">
        <f aca="false">ROUND(BI209-('Original Budget'!BJ57+'Original Budget'!BJ114),2)</f>
        <v>31931.74</v>
      </c>
      <c r="BJ212" s="14" t="n">
        <f aca="false">ROUND(BJ209-('Original Budget'!BK57+'Original Budget'!BK114),2)</f>
        <v>31931.74</v>
      </c>
      <c r="BK212" s="14" t="n">
        <f aca="false">ROUND(BK209-('Original Budget'!BL57+'Original Budget'!BL114),2)</f>
        <v>31931.74</v>
      </c>
      <c r="BL212" s="14" t="n">
        <f aca="false">ROUND(BL209-('Original Budget'!BM57+'Original Budget'!BM114),2)</f>
        <v>31931.74</v>
      </c>
      <c r="BM212" s="14" t="n">
        <f aca="false">ROUND(BM209-('Original Budget'!BN57+'Original Budget'!BN114),2)</f>
        <v>32570.38</v>
      </c>
      <c r="BN212" s="14" t="n">
        <f aca="false">ROUND(BN209-('Original Budget'!BO57+'Original Budget'!BO114),2)</f>
        <v>32570.38</v>
      </c>
      <c r="BO212" s="14" t="n">
        <f aca="false">ROUND(BO209-('Original Budget'!BP57+'Original Budget'!BP114),2)</f>
        <v>32570.38</v>
      </c>
      <c r="BP212" s="14" t="n">
        <f aca="false">ROUND(BP209-('Original Budget'!BQ57+'Original Budget'!BQ114),2)</f>
        <v>32570.38</v>
      </c>
      <c r="BQ212" s="14" t="n">
        <f aca="false">ROUND(BQ209-('Original Budget'!BR57+'Original Budget'!BR114),2)</f>
        <v>32570.38</v>
      </c>
      <c r="BR212" s="14" t="n">
        <f aca="false">ROUND(BR209-('Original Budget'!BS57+'Original Budget'!BS114),2)</f>
        <v>34307.21</v>
      </c>
      <c r="BS212" s="14" t="n">
        <f aca="false">ROUND(BS209-('Original Budget'!BT57+'Original Budget'!BT114),2)</f>
        <v>32570.38</v>
      </c>
      <c r="BT212" s="14" t="n">
        <f aca="false">ROUND(BT209-('Original Budget'!BU57+'Original Budget'!BU114),2)</f>
        <v>32570.38</v>
      </c>
      <c r="BU212" s="14" t="n">
        <f aca="false">ROUND(BU209-('Original Budget'!BV57+'Original Budget'!BV114),2)</f>
        <v>32570.38</v>
      </c>
      <c r="BV212" s="14" t="n">
        <f aca="false">ROUND(BV209-('Original Budget'!BW57+'Original Budget'!BW114),2)</f>
        <v>32570.38</v>
      </c>
      <c r="BW212" s="14" t="n">
        <f aca="false">ROUND(BW209-('Original Budget'!BX57+'Original Budget'!BX114),2)</f>
        <v>32570.38</v>
      </c>
      <c r="BX212" s="14" t="n">
        <f aca="false">ROUND(BX209-('Original Budget'!BY57+'Original Budget'!BY114),2)</f>
        <v>32570.38</v>
      </c>
      <c r="BY212" s="14" t="n">
        <f aca="false">ROUND(BY209-('Original Budget'!BZ57+'Original Budget'!BZ114),2)</f>
        <v>33221.78</v>
      </c>
      <c r="BZ212" s="14" t="n">
        <f aca="false">ROUND(BZ209-('Original Budget'!CA57+'Original Budget'!CA114),2)</f>
        <v>33221.78</v>
      </c>
      <c r="CA212" s="14" t="n">
        <f aca="false">ROUND(CA209-('Original Budget'!CB57+'Original Budget'!CB114),2)</f>
        <v>33221.78</v>
      </c>
      <c r="CB212" s="14" t="n">
        <f aca="false">ROUND(CB209-('Original Budget'!CC57+'Original Budget'!CC114),2)</f>
        <v>33221.78</v>
      </c>
      <c r="CC212" s="14" t="n">
        <f aca="false">ROUND(CC209-('Original Budget'!CD57+'Original Budget'!CD114),2)</f>
        <v>33221.78</v>
      </c>
      <c r="CD212" s="14" t="n">
        <f aca="false">ROUND(CD209-('Original Budget'!CE57+'Original Budget'!CE114),2)</f>
        <v>33221.78</v>
      </c>
      <c r="CE212" s="14" t="n">
        <f aca="false">ROUND(CE209-('Original Budget'!CF57+'Original Budget'!CF114),2)</f>
        <v>33221.78</v>
      </c>
      <c r="CF212" s="14" t="n">
        <f aca="false">ROUND(CF209-('Original Budget'!CG57+'Original Budget'!CG114),2)</f>
        <v>33221.78</v>
      </c>
      <c r="CG212" s="14" t="n">
        <f aca="false">ROUND(CG209-('Original Budget'!CH57+'Original Budget'!CH114),2)</f>
        <v>33221.78</v>
      </c>
      <c r="CH212" s="14" t="n">
        <f aca="false">ROUND(CH209-('Original Budget'!CI57+'Original Budget'!CI114),2)</f>
        <v>33221.78</v>
      </c>
      <c r="CI212" s="14" t="n">
        <f aca="false">ROUND(CI209-('Original Budget'!CJ57+'Original Budget'!CJ114),2)</f>
        <v>33221.78</v>
      </c>
      <c r="CJ212" s="14" t="n">
        <f aca="false">ROUND(CJ209-('Original Budget'!CK57+'Original Budget'!CK114),2)</f>
        <v>33221.78</v>
      </c>
      <c r="CK212" s="14" t="n">
        <f aca="false">ROUND(CK209-('Original Budget'!CL57+'Original Budget'!CL114),2)</f>
        <v>33886.22</v>
      </c>
      <c r="CL212" s="14" t="n">
        <f aca="false">ROUND(CL209-('Original Budget'!CM57+'Original Budget'!CM114),2)</f>
        <v>33886.22</v>
      </c>
      <c r="CM212" s="14" t="n">
        <f aca="false">ROUND(CM209-('Original Budget'!CN57+'Original Budget'!CN114),2)</f>
        <v>33886.22</v>
      </c>
      <c r="CN212" s="14" t="n">
        <f aca="false">ROUND(CN209-('Original Budget'!CO57+'Original Budget'!CO114),2)</f>
        <v>33886.22</v>
      </c>
      <c r="CO212" s="14" t="n">
        <f aca="false">ROUND(CO209-('Original Budget'!CP57+'Original Budget'!CP114),2)</f>
        <v>33886.22</v>
      </c>
      <c r="CP212" s="14" t="n">
        <f aca="false">ROUND(CP209-('Original Budget'!CQ57+'Original Budget'!CQ114),2)</f>
        <v>33886.22</v>
      </c>
      <c r="CQ212" s="14" t="n">
        <f aca="false">ROUND(CQ209-('Original Budget'!CR57+'Original Budget'!CR114),2)</f>
        <v>33886.22</v>
      </c>
      <c r="CR212" s="14" t="n">
        <f aca="false">ROUND(CR209-('Original Budget'!CS57+'Original Budget'!CS114),2)</f>
        <v>33886.22</v>
      </c>
      <c r="CS212" s="14" t="n">
        <f aca="false">ROUND(CS209-('Original Budget'!CT57+'Original Budget'!CT114),2)</f>
        <v>33886.22</v>
      </c>
      <c r="CT212" s="14" t="n">
        <f aca="false">ROUND(CT209-('Original Budget'!CU57+'Original Budget'!CU114),2)</f>
        <v>31110.23</v>
      </c>
      <c r="CU212" s="14" t="n">
        <f aca="false">ROUND(CU209-('Original Budget'!CV57+'Original Budget'!CV114),2)</f>
        <v>31110.23</v>
      </c>
      <c r="CV212" s="14" t="n">
        <f aca="false">ROUND(CV209-('Original Budget'!CW57+'Original Budget'!CW114),2)</f>
        <v>31110.23</v>
      </c>
      <c r="CW212" s="14" t="n">
        <f aca="false">ROUND(CW209-('Original Budget'!CX57+'Original Budget'!CX114),2)</f>
        <v>31732.43</v>
      </c>
      <c r="CX212" s="14" t="n">
        <f aca="false">ROUND(CX209-('Original Budget'!CY57+'Original Budget'!CY114),2)</f>
        <v>31732.43</v>
      </c>
      <c r="CY212" s="14" t="n">
        <f aca="false">ROUND(CY209-('Original Budget'!CZ57+'Original Budget'!CZ114),2)</f>
        <v>31732.43</v>
      </c>
      <c r="CZ212" s="14" t="n">
        <f aca="false">ROUND(CZ209-('Original Budget'!DA57+'Original Budget'!DA114),2)</f>
        <v>31732.43</v>
      </c>
      <c r="DA212" s="14" t="n">
        <f aca="false">ROUND(DA209-('Original Budget'!DB57+'Original Budget'!DB114),2)</f>
        <v>31732.43</v>
      </c>
      <c r="DB212" s="14" t="n">
        <f aca="false">ROUND(DB209-('Original Budget'!DC57+'Original Budget'!DC114),2)</f>
        <v>31732.43</v>
      </c>
      <c r="DC212" s="14" t="n">
        <f aca="false">ROUND(DC209-('Original Budget'!DD57+'Original Budget'!DD114),2)</f>
        <v>31732.43</v>
      </c>
      <c r="DD212" s="14" t="n">
        <f aca="false">ROUND(DD209-('Original Budget'!DE57+'Original Budget'!DE114),2)</f>
        <v>31732.43</v>
      </c>
      <c r="DE212" s="14" t="n">
        <f aca="false">ROUND(DE209-('Original Budget'!DF57+'Original Budget'!DF114),2)</f>
        <v>31732.43</v>
      </c>
    </row>
    <row r="213" customFormat="false" ht="15" hidden="false" customHeight="true" outlineLevel="0" collapsed="false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</row>
    <row r="214" customFormat="false" ht="15" hidden="false" customHeight="true" outlineLevel="0" collapsed="false">
      <c r="A214" s="52" t="s">
        <v>140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</row>
    <row r="215" customFormat="false" ht="19.5" hidden="false" customHeight="true" outlineLevel="0" collapsed="false">
      <c r="A215" s="29" t="s">
        <v>141</v>
      </c>
      <c r="B215" s="14"/>
      <c r="C215" s="14"/>
      <c r="D215" s="14"/>
      <c r="E215" s="14" t="n">
        <f aca="false">Assumptions!$B$33</f>
        <v>1615485</v>
      </c>
      <c r="F215" s="14" t="n">
        <f aca="false">E218</f>
        <v>1615485</v>
      </c>
      <c r="G215" s="14" t="n">
        <f aca="false">F218</f>
        <v>1615485</v>
      </c>
      <c r="H215" s="14" t="n">
        <f aca="false">G218</f>
        <v>1676065.6875</v>
      </c>
      <c r="I215" s="14" t="n">
        <f aca="false">H218</f>
        <v>1676065.6875</v>
      </c>
      <c r="J215" s="14" t="n">
        <f aca="false">I218</f>
        <v>1676065.6875</v>
      </c>
      <c r="K215" s="14" t="n">
        <f aca="false">J218</f>
        <v>1738918.15078125</v>
      </c>
      <c r="L215" s="14" t="n">
        <f aca="false">K218</f>
        <v>1738918.15078125</v>
      </c>
      <c r="M215" s="14" t="n">
        <f aca="false">L218</f>
        <v>1738918.15078125</v>
      </c>
      <c r="N215" s="14" t="n">
        <f aca="false">M218</f>
        <v>1804127.58143555</v>
      </c>
      <c r="O215" s="14" t="n">
        <f aca="false">N218</f>
        <v>1692127.58143555</v>
      </c>
      <c r="P215" s="14" t="n">
        <f aca="false">O218</f>
        <v>1580127.58143555</v>
      </c>
      <c r="Q215" s="14" t="n">
        <f aca="false">P218</f>
        <v>1527382.36573938</v>
      </c>
      <c r="R215" s="14" t="n">
        <f aca="false">Q218</f>
        <v>1415382.36573938</v>
      </c>
      <c r="S215" s="14" t="n">
        <f aca="false">R218</f>
        <v>1303382.36573938</v>
      </c>
      <c r="T215" s="14" t="n">
        <f aca="false">S218</f>
        <v>1240259.20445461</v>
      </c>
      <c r="U215" s="14" t="n">
        <f aca="false">T218</f>
        <v>1128259.20445461</v>
      </c>
      <c r="V215" s="14" t="n">
        <f aca="false">U218</f>
        <v>1016259.20445461</v>
      </c>
      <c r="W215" s="14" t="n">
        <f aca="false">V218</f>
        <v>942368.924621655</v>
      </c>
      <c r="X215" s="14" t="n">
        <f aca="false">W218</f>
        <v>830368.924621655</v>
      </c>
      <c r="Y215" s="14" t="n">
        <f aca="false">X218</f>
        <v>718368.924621655</v>
      </c>
      <c r="Z215" s="14" t="n">
        <f aca="false">Y218</f>
        <v>633307.759294967</v>
      </c>
      <c r="AA215" s="14" t="n">
        <f aca="false">Z218</f>
        <v>521307.759294967</v>
      </c>
      <c r="AB215" s="14" t="n">
        <f aca="false">AA218</f>
        <v>409307.759294967</v>
      </c>
      <c r="AC215" s="14" t="n">
        <f aca="false">AB218</f>
        <v>312656.800268528</v>
      </c>
      <c r="AD215" s="14" t="n">
        <f aca="false">AC218</f>
        <v>200656.800268528</v>
      </c>
      <c r="AE215" s="14" t="n">
        <f aca="false">AD218</f>
        <v>88656.8002685279</v>
      </c>
      <c r="AF215" s="14" t="n">
        <f aca="false">AE218</f>
        <v>0</v>
      </c>
      <c r="AG215" s="14" t="n">
        <f aca="false">AF218</f>
        <v>0</v>
      </c>
      <c r="AH215" s="14" t="n">
        <f aca="false">AG218</f>
        <v>0</v>
      </c>
      <c r="AI215" s="14" t="n">
        <f aca="false">AH218</f>
        <v>0</v>
      </c>
      <c r="AJ215" s="14" t="n">
        <f aca="false">AI218</f>
        <v>0</v>
      </c>
      <c r="AK215" s="14" t="n">
        <f aca="false">AJ218</f>
        <v>0</v>
      </c>
      <c r="AL215" s="14" t="n">
        <f aca="false">AK218</f>
        <v>0</v>
      </c>
      <c r="AM215" s="14" t="n">
        <f aca="false">AL218</f>
        <v>0</v>
      </c>
      <c r="AN215" s="14" t="n">
        <f aca="false">AM218</f>
        <v>0</v>
      </c>
      <c r="AO215" s="14" t="n">
        <f aca="false">AN218</f>
        <v>0</v>
      </c>
      <c r="AP215" s="14" t="n">
        <f aca="false">AO218</f>
        <v>0</v>
      </c>
      <c r="AQ215" s="14" t="n">
        <f aca="false">AP218</f>
        <v>0</v>
      </c>
      <c r="AR215" s="14" t="n">
        <f aca="false">AQ218</f>
        <v>0</v>
      </c>
      <c r="AS215" s="14" t="n">
        <f aca="false">AR218</f>
        <v>0</v>
      </c>
      <c r="AT215" s="14" t="n">
        <f aca="false">AS218</f>
        <v>0</v>
      </c>
      <c r="AU215" s="14" t="n">
        <f aca="false">AT218</f>
        <v>0</v>
      </c>
      <c r="AV215" s="14" t="n">
        <f aca="false">AU218</f>
        <v>0</v>
      </c>
      <c r="AW215" s="14" t="n">
        <f aca="false">AV218</f>
        <v>0</v>
      </c>
      <c r="AX215" s="14" t="n">
        <f aca="false">AW218</f>
        <v>0</v>
      </c>
      <c r="AY215" s="14" t="n">
        <f aca="false">AX218</f>
        <v>0</v>
      </c>
      <c r="AZ215" s="14" t="n">
        <f aca="false">AY218</f>
        <v>0</v>
      </c>
      <c r="BA215" s="14" t="n">
        <f aca="false">AZ218</f>
        <v>0</v>
      </c>
      <c r="BB215" s="14" t="n">
        <f aca="false">BA218</f>
        <v>0</v>
      </c>
      <c r="BC215" s="14" t="n">
        <f aca="false">BB218</f>
        <v>0</v>
      </c>
      <c r="BD215" s="14" t="n">
        <f aca="false">BC218</f>
        <v>0</v>
      </c>
      <c r="BE215" s="14" t="n">
        <f aca="false">BD218</f>
        <v>0</v>
      </c>
      <c r="BF215" s="14" t="n">
        <f aca="false">BE218</f>
        <v>0</v>
      </c>
      <c r="BG215" s="14" t="n">
        <f aca="false">BF218</f>
        <v>0</v>
      </c>
      <c r="BH215" s="14" t="n">
        <f aca="false">BG218</f>
        <v>0</v>
      </c>
      <c r="BI215" s="14" t="n">
        <f aca="false">BH218</f>
        <v>0</v>
      </c>
      <c r="BJ215" s="14" t="n">
        <f aca="false">BI218</f>
        <v>0</v>
      </c>
      <c r="BK215" s="14" t="n">
        <f aca="false">BJ218</f>
        <v>0</v>
      </c>
      <c r="BL215" s="14" t="n">
        <f aca="false">BK218</f>
        <v>0</v>
      </c>
      <c r="BM215" s="14" t="n">
        <f aca="false">BL218</f>
        <v>0</v>
      </c>
      <c r="BN215" s="14" t="n">
        <f aca="false">BM218</f>
        <v>0</v>
      </c>
      <c r="BO215" s="14" t="n">
        <f aca="false">BN218</f>
        <v>0</v>
      </c>
      <c r="BP215" s="14" t="n">
        <f aca="false">BO218</f>
        <v>0</v>
      </c>
      <c r="BQ215" s="14" t="n">
        <f aca="false">BP218</f>
        <v>0</v>
      </c>
      <c r="BR215" s="14" t="n">
        <f aca="false">BQ218</f>
        <v>0</v>
      </c>
      <c r="BS215" s="14" t="n">
        <f aca="false">BR218</f>
        <v>0</v>
      </c>
      <c r="BT215" s="14" t="n">
        <f aca="false">BS218</f>
        <v>0</v>
      </c>
      <c r="BU215" s="14" t="n">
        <f aca="false">BT218</f>
        <v>0</v>
      </c>
      <c r="BV215" s="14" t="n">
        <f aca="false">BU218</f>
        <v>0</v>
      </c>
      <c r="BW215" s="14" t="n">
        <f aca="false">BV218</f>
        <v>0</v>
      </c>
      <c r="BX215" s="14" t="n">
        <f aca="false">BW218</f>
        <v>0</v>
      </c>
      <c r="BY215" s="14" t="n">
        <f aca="false">BX218</f>
        <v>0</v>
      </c>
      <c r="BZ215" s="14" t="n">
        <f aca="false">BY218</f>
        <v>0</v>
      </c>
      <c r="CA215" s="14" t="n">
        <f aca="false">BZ218</f>
        <v>0</v>
      </c>
      <c r="CB215" s="14" t="n">
        <f aca="false">CA218</f>
        <v>0</v>
      </c>
      <c r="CC215" s="14" t="n">
        <f aca="false">CB218</f>
        <v>0</v>
      </c>
      <c r="CD215" s="14" t="n">
        <f aca="false">CC218</f>
        <v>0</v>
      </c>
      <c r="CE215" s="14" t="n">
        <f aca="false">CD218</f>
        <v>0</v>
      </c>
      <c r="CF215" s="14" t="n">
        <f aca="false">CE218</f>
        <v>0</v>
      </c>
      <c r="CG215" s="14" t="n">
        <f aca="false">CF218</f>
        <v>0</v>
      </c>
      <c r="CH215" s="14" t="n">
        <f aca="false">CG218</f>
        <v>0</v>
      </c>
      <c r="CI215" s="14" t="n">
        <f aca="false">CH218</f>
        <v>0</v>
      </c>
      <c r="CJ215" s="14" t="n">
        <f aca="false">CI218</f>
        <v>0</v>
      </c>
      <c r="CK215" s="14" t="n">
        <f aca="false">CJ218</f>
        <v>0</v>
      </c>
      <c r="CL215" s="14" t="n">
        <f aca="false">CK218</f>
        <v>0</v>
      </c>
      <c r="CM215" s="14" t="n">
        <f aca="false">CL218</f>
        <v>0</v>
      </c>
      <c r="CN215" s="14" t="n">
        <f aca="false">CM218</f>
        <v>0</v>
      </c>
      <c r="CO215" s="14" t="n">
        <f aca="false">CN218</f>
        <v>0</v>
      </c>
      <c r="CP215" s="14" t="n">
        <f aca="false">CO218</f>
        <v>0</v>
      </c>
      <c r="CQ215" s="14" t="n">
        <f aca="false">CP218</f>
        <v>0</v>
      </c>
      <c r="CR215" s="14" t="n">
        <f aca="false">CQ218</f>
        <v>0</v>
      </c>
      <c r="CS215" s="14" t="n">
        <f aca="false">CR218</f>
        <v>0</v>
      </c>
      <c r="CT215" s="14" t="n">
        <f aca="false">CS218</f>
        <v>0</v>
      </c>
      <c r="CU215" s="14" t="n">
        <f aca="false">CT218</f>
        <v>0</v>
      </c>
      <c r="CV215" s="14" t="n">
        <f aca="false">CU218</f>
        <v>0</v>
      </c>
      <c r="CW215" s="14" t="n">
        <f aca="false">CV218</f>
        <v>0</v>
      </c>
      <c r="CX215" s="14" t="n">
        <f aca="false">CW218</f>
        <v>0</v>
      </c>
      <c r="CY215" s="14" t="n">
        <f aca="false">CX218</f>
        <v>0</v>
      </c>
      <c r="CZ215" s="14" t="n">
        <f aca="false">CY218</f>
        <v>0</v>
      </c>
      <c r="DA215" s="14" t="n">
        <f aca="false">CZ218</f>
        <v>0</v>
      </c>
      <c r="DB215" s="14" t="n">
        <f aca="false">DA218</f>
        <v>0</v>
      </c>
      <c r="DC215" s="14" t="n">
        <f aca="false">DB218</f>
        <v>0</v>
      </c>
      <c r="DD215" s="14" t="n">
        <f aca="false">DC218</f>
        <v>0</v>
      </c>
      <c r="DE215" s="14" t="n">
        <f aca="false">DD218</f>
        <v>0</v>
      </c>
    </row>
    <row r="216" customFormat="false" ht="15" hidden="false" customHeight="true" outlineLevel="0" collapsed="false">
      <c r="A216" s="29" t="s">
        <v>142</v>
      </c>
      <c r="B216" s="14"/>
      <c r="C216" s="14"/>
      <c r="D216" s="14"/>
      <c r="E216" s="14" t="n">
        <f aca="false">IF(AND(MOD(1,3)=0,E215&gt;0),E215*Assumptions!$B$35,0)</f>
        <v>0</v>
      </c>
      <c r="F216" s="14" t="n">
        <f aca="false">IF(AND(MOD(2,3)=0,F215&gt;0),F215*Assumptions!$B$35,0)</f>
        <v>0</v>
      </c>
      <c r="G216" s="14" t="n">
        <f aca="false">IF(AND(MOD(3,3)=0,G215&gt;0),G215*Assumptions!$B$35,0)</f>
        <v>60580.6875</v>
      </c>
      <c r="H216" s="14" t="n">
        <f aca="false">IF(AND(MOD(4,3)=0,H215&gt;0),H215*Assumptions!$B$35,0)</f>
        <v>0</v>
      </c>
      <c r="I216" s="14" t="n">
        <f aca="false">IF(AND(MOD(5,3)=0,I215&gt;0),I215*Assumptions!$B$35,0)</f>
        <v>0</v>
      </c>
      <c r="J216" s="14" t="n">
        <f aca="false">IF(AND(MOD(6,3)=0,J215&gt;0),J215*Assumptions!$B$35,0)</f>
        <v>62852.46328125</v>
      </c>
      <c r="K216" s="14" t="n">
        <f aca="false">IF(AND(MOD(7,3)=0,K215&gt;0),K215*Assumptions!$B$35,0)</f>
        <v>0</v>
      </c>
      <c r="L216" s="14" t="n">
        <f aca="false">IF(AND(MOD(8,3)=0,L215&gt;0),L215*Assumptions!$B$35,0)</f>
        <v>0</v>
      </c>
      <c r="M216" s="14" t="n">
        <f aca="false">IF(AND(MOD(9,3)=0,M215&gt;0),M215*Assumptions!$B$35,0)</f>
        <v>65209.4306542969</v>
      </c>
      <c r="N216" s="14" t="n">
        <f aca="false">IF(AND(MOD(10,3)=0,N215&gt;0),N215*Assumptions!$B$35,0)</f>
        <v>0</v>
      </c>
      <c r="O216" s="14" t="n">
        <f aca="false">IF(AND(MOD(11,3)=0,O215&gt;0),O215*Assumptions!$B$35,0)</f>
        <v>0</v>
      </c>
      <c r="P216" s="14" t="n">
        <f aca="false">IF(AND(MOD(12,3)=0,P215&gt;0),P215*Assumptions!$B$35,0)</f>
        <v>59254.784303833</v>
      </c>
      <c r="Q216" s="14" t="n">
        <f aca="false">IF(AND(MOD(13,3)=0,Q215&gt;0),Q215*Assumptions!$B$35,0)</f>
        <v>0</v>
      </c>
      <c r="R216" s="14" t="n">
        <f aca="false">IF(AND(MOD(14,3)=0,R215&gt;0),R215*Assumptions!$B$35,0)</f>
        <v>0</v>
      </c>
      <c r="S216" s="14" t="n">
        <f aca="false">IF(AND(MOD(15,3)=0,S215&gt;0),S215*Assumptions!$B$35,0)</f>
        <v>48876.8387152267</v>
      </c>
      <c r="T216" s="14" t="n">
        <f aca="false">IF(AND(MOD(16,3)=0,T215&gt;0),T215*Assumptions!$B$35,0)</f>
        <v>0</v>
      </c>
      <c r="U216" s="14" t="n">
        <f aca="false">IF(AND(MOD(17,3)=0,U215&gt;0),U215*Assumptions!$B$35,0)</f>
        <v>0</v>
      </c>
      <c r="V216" s="14" t="n">
        <f aca="false">IF(AND(MOD(18,3)=0,V215&gt;0),V215*Assumptions!$B$35,0)</f>
        <v>38109.7201670478</v>
      </c>
      <c r="W216" s="14" t="n">
        <f aca="false">IF(AND(MOD(19,3)=0,W215&gt;0),W215*Assumptions!$B$35,0)</f>
        <v>0</v>
      </c>
      <c r="X216" s="14" t="n">
        <f aca="false">IF(AND(MOD(20,3)=0,X215&gt;0),X215*Assumptions!$B$35,0)</f>
        <v>0</v>
      </c>
      <c r="Y216" s="14" t="n">
        <f aca="false">IF(AND(MOD(21,3)=0,Y215&gt;0),Y215*Assumptions!$B$35,0)</f>
        <v>26938.8346733121</v>
      </c>
      <c r="Z216" s="14" t="n">
        <f aca="false">IF(AND(MOD(22,3)=0,Z215&gt;0),Z215*Assumptions!$B$35,0)</f>
        <v>0</v>
      </c>
      <c r="AA216" s="14" t="n">
        <f aca="false">IF(AND(MOD(23,3)=0,AA215&gt;0),AA215*Assumptions!$B$35,0)</f>
        <v>0</v>
      </c>
      <c r="AB216" s="14" t="n">
        <f aca="false">IF(AND(MOD(24,3)=0,AB215&gt;0),AB215*Assumptions!$B$35,0)</f>
        <v>15349.0409735613</v>
      </c>
      <c r="AC216" s="14" t="n">
        <f aca="false">IF(AND(MOD(25,3)=0,AC215&gt;0),AC215*Assumptions!$B$35,0)</f>
        <v>0</v>
      </c>
      <c r="AD216" s="14" t="n">
        <f aca="false">IF(AND(MOD(26,3)=0,AD215&gt;0),AD215*Assumptions!$B$35,0)</f>
        <v>0</v>
      </c>
      <c r="AE216" s="14" t="n">
        <f aca="false">IF(AND(MOD(27,3)=0,AE215&gt;0),AE215*Assumptions!$B$35,0)</f>
        <v>3324.6300100698</v>
      </c>
      <c r="AF216" s="14" t="n">
        <f aca="false">IF(AND(MOD(28,3)=0,AF215&gt;0),AF215*Assumptions!$B$35,0)</f>
        <v>0</v>
      </c>
      <c r="AG216" s="14" t="n">
        <f aca="false">IF(AND(MOD(29,3)=0,AG215&gt;0),AG215*Assumptions!$B$35,0)</f>
        <v>0</v>
      </c>
      <c r="AH216" s="14" t="n">
        <f aca="false">IF(AND(MOD(30,3)=0,AH215&gt;0),AH215*Assumptions!$B$35,0)</f>
        <v>0</v>
      </c>
      <c r="AI216" s="14" t="n">
        <f aca="false">IF(AND(MOD(31,3)=0,AI215&gt;0),AI215*Assumptions!$B$35,0)</f>
        <v>0</v>
      </c>
      <c r="AJ216" s="14" t="n">
        <f aca="false">IF(AND(MOD(32,3)=0,AJ215&gt;0),AJ215*Assumptions!$B$35,0)</f>
        <v>0</v>
      </c>
      <c r="AK216" s="14" t="n">
        <f aca="false">IF(AND(MOD(33,3)=0,AK215&gt;0),AK215*Assumptions!$B$35,0)</f>
        <v>0</v>
      </c>
      <c r="AL216" s="14" t="n">
        <f aca="false">IF(AND(MOD(34,3)=0,AL215&gt;0),AL215*Assumptions!$B$35,0)</f>
        <v>0</v>
      </c>
      <c r="AM216" s="14" t="n">
        <f aca="false">IF(AND(MOD(35,3)=0,AM215&gt;0),AM215*Assumptions!$B$35,0)</f>
        <v>0</v>
      </c>
      <c r="AN216" s="14" t="n">
        <f aca="false">IF(AND(MOD(36,3)=0,AN215&gt;0),AN215*Assumptions!$B$35,0)</f>
        <v>0</v>
      </c>
      <c r="AO216" s="14" t="n">
        <f aca="false">IF(AND(MOD(37,3)=0,AO215&gt;0),AO215*Assumptions!$B$35,0)</f>
        <v>0</v>
      </c>
      <c r="AP216" s="14" t="n">
        <f aca="false">IF(AND(MOD(38,3)=0,AP215&gt;0),AP215*Assumptions!$B$35,0)</f>
        <v>0</v>
      </c>
      <c r="AQ216" s="14" t="n">
        <f aca="false">IF(AND(MOD(39,3)=0,AQ215&gt;0),AQ215*Assumptions!$B$35,0)</f>
        <v>0</v>
      </c>
      <c r="AR216" s="14" t="n">
        <f aca="false">IF(AND(MOD(40,3)=0,AR215&gt;0),AR215*Assumptions!$B$35,0)</f>
        <v>0</v>
      </c>
      <c r="AS216" s="14" t="n">
        <f aca="false">IF(AND(MOD(41,3)=0,AS215&gt;0),AS215*Assumptions!$B$35,0)</f>
        <v>0</v>
      </c>
      <c r="AT216" s="14" t="n">
        <f aca="false">IF(AND(MOD(42,3)=0,AT215&gt;0),AT215*Assumptions!$B$35,0)</f>
        <v>0</v>
      </c>
      <c r="AU216" s="14" t="n">
        <f aca="false">IF(AND(MOD(43,3)=0,AU215&gt;0),AU215*Assumptions!$B$35,0)</f>
        <v>0</v>
      </c>
      <c r="AV216" s="14" t="n">
        <f aca="false">IF(AND(MOD(44,3)=0,AV215&gt;0),AV215*Assumptions!$B$35,0)</f>
        <v>0</v>
      </c>
      <c r="AW216" s="14" t="n">
        <f aca="false">IF(AND(MOD(45,3)=0,AW215&gt;0),AW215*Assumptions!$B$35,0)</f>
        <v>0</v>
      </c>
      <c r="AX216" s="14" t="n">
        <f aca="false">IF(AND(MOD(46,3)=0,AX215&gt;0),AX215*Assumptions!$B$35,0)</f>
        <v>0</v>
      </c>
      <c r="AY216" s="14" t="n">
        <f aca="false">IF(AND(MOD(47,3)=0,AY215&gt;0),AY215*Assumptions!$B$35,0)</f>
        <v>0</v>
      </c>
      <c r="AZ216" s="14" t="n">
        <f aca="false">IF(AND(MOD(48,3)=0,AZ215&gt;0),AZ215*Assumptions!$B$35,0)</f>
        <v>0</v>
      </c>
      <c r="BA216" s="14" t="n">
        <f aca="false">IF(AND(MOD(49,3)=0,BA215&gt;0),BA215*Assumptions!$B$35,0)</f>
        <v>0</v>
      </c>
      <c r="BB216" s="14" t="n">
        <f aca="false">IF(AND(MOD(50,3)=0,BB215&gt;0),BB215*Assumptions!$B$35,0)</f>
        <v>0</v>
      </c>
      <c r="BC216" s="14" t="n">
        <f aca="false">IF(AND(MOD(51,3)=0,BC215&gt;0),BC215*Assumptions!$B$35,0)</f>
        <v>0</v>
      </c>
      <c r="BD216" s="14" t="n">
        <f aca="false">IF(AND(MOD(52,3)=0,BD215&gt;0),BD215*Assumptions!$B$35,0)</f>
        <v>0</v>
      </c>
      <c r="BE216" s="14" t="n">
        <f aca="false">IF(AND(MOD(53,3)=0,BE215&gt;0),BE215*Assumptions!$B$35,0)</f>
        <v>0</v>
      </c>
      <c r="BF216" s="14" t="n">
        <f aca="false">IF(AND(MOD(54,3)=0,BF215&gt;0),BF215*Assumptions!$B$35,0)</f>
        <v>0</v>
      </c>
      <c r="BG216" s="14" t="n">
        <f aca="false">IF(AND(MOD(55,3)=0,BG215&gt;0),BG215*Assumptions!$B$35,0)</f>
        <v>0</v>
      </c>
      <c r="BH216" s="14" t="n">
        <f aca="false">IF(AND(MOD(56,3)=0,BH215&gt;0),BH215*Assumptions!$B$35,0)</f>
        <v>0</v>
      </c>
      <c r="BI216" s="14" t="n">
        <f aca="false">IF(AND(MOD(57,3)=0,BI215&gt;0),BI215*Assumptions!$B$35,0)</f>
        <v>0</v>
      </c>
      <c r="BJ216" s="14" t="n">
        <f aca="false">IF(AND(MOD(58,3)=0,BJ215&gt;0),BJ215*Assumptions!$B$35,0)</f>
        <v>0</v>
      </c>
      <c r="BK216" s="14" t="n">
        <f aca="false">IF(AND(MOD(59,3)=0,BK215&gt;0),BK215*Assumptions!$B$35,0)</f>
        <v>0</v>
      </c>
      <c r="BL216" s="14" t="n">
        <f aca="false">IF(AND(MOD(60,3)=0,BL215&gt;0),BL215*Assumptions!$B$35,0)</f>
        <v>0</v>
      </c>
      <c r="BM216" s="14" t="n">
        <f aca="false">IF(AND(MOD(61,3)=0,BM215&gt;0),BM215*Assumptions!$B$35,0)</f>
        <v>0</v>
      </c>
      <c r="BN216" s="14" t="n">
        <f aca="false">IF(AND(MOD(62,3)=0,BN215&gt;0),BN215*Assumptions!$B$35,0)</f>
        <v>0</v>
      </c>
      <c r="BO216" s="14" t="n">
        <f aca="false">IF(AND(MOD(63,3)=0,BO215&gt;0),BO215*Assumptions!$B$35,0)</f>
        <v>0</v>
      </c>
      <c r="BP216" s="14" t="n">
        <f aca="false">IF(AND(MOD(64,3)=0,BP215&gt;0),BP215*Assumptions!$B$35,0)</f>
        <v>0</v>
      </c>
      <c r="BQ216" s="14" t="n">
        <f aca="false">IF(AND(MOD(65,3)=0,BQ215&gt;0),BQ215*Assumptions!$B$35,0)</f>
        <v>0</v>
      </c>
      <c r="BR216" s="14" t="n">
        <f aca="false">IF(AND(MOD(66,3)=0,BR215&gt;0),BR215*Assumptions!$B$35,0)</f>
        <v>0</v>
      </c>
      <c r="BS216" s="14" t="n">
        <f aca="false">IF(AND(MOD(67,3)=0,BS215&gt;0),BS215*Assumptions!$B$35,0)</f>
        <v>0</v>
      </c>
      <c r="BT216" s="14" t="n">
        <f aca="false">IF(AND(MOD(68,3)=0,BT215&gt;0),BT215*Assumptions!$B$35,0)</f>
        <v>0</v>
      </c>
      <c r="BU216" s="14" t="n">
        <f aca="false">IF(AND(MOD(69,3)=0,BU215&gt;0),BU215*Assumptions!$B$35,0)</f>
        <v>0</v>
      </c>
      <c r="BV216" s="14" t="n">
        <f aca="false">IF(AND(MOD(70,3)=0,BV215&gt;0),BV215*Assumptions!$B$35,0)</f>
        <v>0</v>
      </c>
      <c r="BW216" s="14" t="n">
        <f aca="false">IF(AND(MOD(71,3)=0,BW215&gt;0),BW215*Assumptions!$B$35,0)</f>
        <v>0</v>
      </c>
      <c r="BX216" s="14" t="n">
        <f aca="false">IF(AND(MOD(72,3)=0,BX215&gt;0),BX215*Assumptions!$B$35,0)</f>
        <v>0</v>
      </c>
      <c r="BY216" s="14" t="n">
        <f aca="false">IF(AND(MOD(73,3)=0,BY215&gt;0),BY215*Assumptions!$B$35,0)</f>
        <v>0</v>
      </c>
      <c r="BZ216" s="14" t="n">
        <f aca="false">IF(AND(MOD(74,3)=0,BZ215&gt;0),BZ215*Assumptions!$B$35,0)</f>
        <v>0</v>
      </c>
      <c r="CA216" s="14" t="n">
        <f aca="false">IF(AND(MOD(75,3)=0,CA215&gt;0),CA215*Assumptions!$B$35,0)</f>
        <v>0</v>
      </c>
      <c r="CB216" s="14" t="n">
        <f aca="false">IF(AND(MOD(76,3)=0,CB215&gt;0),CB215*Assumptions!$B$35,0)</f>
        <v>0</v>
      </c>
      <c r="CC216" s="14" t="n">
        <f aca="false">IF(AND(MOD(77,3)=0,CC215&gt;0),CC215*Assumptions!$B$35,0)</f>
        <v>0</v>
      </c>
      <c r="CD216" s="14" t="n">
        <f aca="false">IF(AND(MOD(78,3)=0,CD215&gt;0),CD215*Assumptions!$B$35,0)</f>
        <v>0</v>
      </c>
      <c r="CE216" s="14" t="n">
        <f aca="false">IF(AND(MOD(79,3)=0,CE215&gt;0),CE215*Assumptions!$B$35,0)</f>
        <v>0</v>
      </c>
      <c r="CF216" s="14" t="n">
        <f aca="false">IF(AND(MOD(80,3)=0,CF215&gt;0),CF215*Assumptions!$B$35,0)</f>
        <v>0</v>
      </c>
      <c r="CG216" s="14" t="n">
        <f aca="false">IF(AND(MOD(81,3)=0,CG215&gt;0),CG215*Assumptions!$B$35,0)</f>
        <v>0</v>
      </c>
      <c r="CH216" s="14" t="n">
        <f aca="false">IF(AND(MOD(82,3)=0,CH215&gt;0),CH215*Assumptions!$B$35,0)</f>
        <v>0</v>
      </c>
      <c r="CI216" s="14" t="n">
        <f aca="false">IF(AND(MOD(83,3)=0,CI215&gt;0),CI215*Assumptions!$B$35,0)</f>
        <v>0</v>
      </c>
      <c r="CJ216" s="14" t="n">
        <f aca="false">IF(AND(MOD(84,3)=0,CJ215&gt;0),CJ215*Assumptions!$B$35,0)</f>
        <v>0</v>
      </c>
      <c r="CK216" s="14" t="n">
        <f aca="false">IF(AND(MOD(85,3)=0,CK215&gt;0),CK215*Assumptions!$B$35,0)</f>
        <v>0</v>
      </c>
      <c r="CL216" s="14" t="n">
        <f aca="false">IF(AND(MOD(86,3)=0,CL215&gt;0),CL215*Assumptions!$B$35,0)</f>
        <v>0</v>
      </c>
      <c r="CM216" s="14" t="n">
        <f aca="false">IF(AND(MOD(87,3)=0,CM215&gt;0),CM215*Assumptions!$B$35,0)</f>
        <v>0</v>
      </c>
      <c r="CN216" s="14" t="n">
        <f aca="false">IF(AND(MOD(88,3)=0,CN215&gt;0),CN215*Assumptions!$B$35,0)</f>
        <v>0</v>
      </c>
      <c r="CO216" s="14" t="n">
        <f aca="false">IF(AND(MOD(89,3)=0,CO215&gt;0),CO215*Assumptions!$B$35,0)</f>
        <v>0</v>
      </c>
      <c r="CP216" s="14" t="n">
        <f aca="false">IF(AND(MOD(90,3)=0,CP215&gt;0),CP215*Assumptions!$B$35,0)</f>
        <v>0</v>
      </c>
      <c r="CQ216" s="14" t="n">
        <f aca="false">IF(AND(MOD(91,3)=0,CQ215&gt;0),CQ215*Assumptions!$B$35,0)</f>
        <v>0</v>
      </c>
      <c r="CR216" s="14" t="n">
        <f aca="false">IF(AND(MOD(92,3)=0,CR215&gt;0),CR215*Assumptions!$B$35,0)</f>
        <v>0</v>
      </c>
      <c r="CS216" s="14" t="n">
        <f aca="false">IF(AND(MOD(93,3)=0,CS215&gt;0),CS215*Assumptions!$B$35,0)</f>
        <v>0</v>
      </c>
      <c r="CT216" s="14" t="n">
        <f aca="false">IF(AND(MOD(94,3)=0,CT215&gt;0),CT215*Assumptions!$B$35,0)</f>
        <v>0</v>
      </c>
      <c r="CU216" s="14" t="n">
        <f aca="false">IF(AND(MOD(95,3)=0,CU215&gt;0),CU215*Assumptions!$B$35,0)</f>
        <v>0</v>
      </c>
      <c r="CV216" s="14" t="n">
        <f aca="false">IF(AND(MOD(96,3)=0,CV215&gt;0),CV215*Assumptions!$B$35,0)</f>
        <v>0</v>
      </c>
      <c r="CW216" s="14" t="n">
        <f aca="false">IF(AND(MOD(97,3)=0,CW215&gt;0),CW215*Assumptions!$B$35,0)</f>
        <v>0</v>
      </c>
      <c r="CX216" s="14" t="n">
        <f aca="false">IF(AND(MOD(98,3)=0,CX215&gt;0),CX215*Assumptions!$B$35,0)</f>
        <v>0</v>
      </c>
      <c r="CY216" s="14" t="n">
        <f aca="false">IF(AND(MOD(99,3)=0,CY215&gt;0),CY215*Assumptions!$B$35,0)</f>
        <v>0</v>
      </c>
      <c r="CZ216" s="14" t="n">
        <f aca="false">IF(AND(MOD(100,3)=0,CZ215&gt;0),CZ215*Assumptions!$B$35,0)</f>
        <v>0</v>
      </c>
      <c r="DA216" s="14" t="n">
        <f aca="false">IF(AND(MOD(101,3)=0,DA215&gt;0),DA215*Assumptions!$B$35,0)</f>
        <v>0</v>
      </c>
      <c r="DB216" s="14" t="n">
        <f aca="false">IF(AND(MOD(102,3)=0,DB215&gt;0),DB215*Assumptions!$B$35,0)</f>
        <v>0</v>
      </c>
      <c r="DC216" s="14" t="n">
        <f aca="false">IF(AND(MOD(103,3)=0,DC215&gt;0),DC215*Assumptions!$B$35,0)</f>
        <v>0</v>
      </c>
      <c r="DD216" s="14" t="n">
        <f aca="false">IF(AND(MOD(104,3)=0,DD215&gt;0),DD215*Assumptions!$B$35,0)</f>
        <v>0</v>
      </c>
      <c r="DE216" s="14" t="n">
        <f aca="false">IF(AND(MOD(105,3)=0,DE215&gt;0),DE215*Assumptions!$B$35,0)</f>
        <v>0</v>
      </c>
    </row>
    <row r="217" customFormat="false" ht="15" hidden="false" customHeight="true" outlineLevel="0" collapsed="false">
      <c r="A217" s="29" t="s">
        <v>143</v>
      </c>
      <c r="B217" s="14"/>
      <c r="C217" s="14"/>
      <c r="D217" s="14"/>
      <c r="E217" s="14" t="n">
        <f aca="false">IF(AND(1&gt;=Assumptions!$B$37,E215+E216&gt;0),-MIN(Assumptions!$B$36,E215+E216),0)</f>
        <v>0</v>
      </c>
      <c r="F217" s="14" t="n">
        <f aca="false">IF(AND(2&gt;=Assumptions!$B$37,F215+F216&gt;0),-MIN(Assumptions!$B$36,F215+F216),0)</f>
        <v>0</v>
      </c>
      <c r="G217" s="14" t="n">
        <f aca="false">IF(AND(3&gt;=Assumptions!$B$37,G215+G216&gt;0),-MIN(Assumptions!$B$36,G215+G216),0)</f>
        <v>0</v>
      </c>
      <c r="H217" s="14" t="n">
        <f aca="false">IF(AND(4&gt;=Assumptions!$B$37,H215+H216&gt;0),-MIN(Assumptions!$B$36,H215+H216),0)</f>
        <v>0</v>
      </c>
      <c r="I217" s="14" t="n">
        <f aca="false">IF(AND(5&gt;=Assumptions!$B$37,I215+I216&gt;0),-MIN(Assumptions!$B$36,I215+I216),0)</f>
        <v>0</v>
      </c>
      <c r="J217" s="14" t="n">
        <f aca="false">IF(AND(6&gt;=Assumptions!$B$37,J215+J216&gt;0),-MIN(Assumptions!$B$36,J215+J216),0)</f>
        <v>0</v>
      </c>
      <c r="K217" s="14" t="n">
        <f aca="false">IF(AND(7&gt;=Assumptions!$B$37,K215+K216&gt;0),-MIN(Assumptions!$B$36,K215+K216),0)</f>
        <v>0</v>
      </c>
      <c r="L217" s="14" t="n">
        <f aca="false">IF(AND(8&gt;=Assumptions!$B$37,L215+L216&gt;0),-MIN(Assumptions!$B$36,L215+L216),0)</f>
        <v>0</v>
      </c>
      <c r="M217" s="14" t="n">
        <f aca="false">IF(AND(9&gt;=Assumptions!$B$37,M215+M216&gt;0),-MIN(Assumptions!$B$36,M215+M216),0)</f>
        <v>0</v>
      </c>
      <c r="N217" s="14" t="n">
        <f aca="false">IF(AND(10&gt;=Assumptions!$B$37,N215+N216&gt;0),-MIN(Assumptions!$B$36,N215+N216),0)</f>
        <v>-112000</v>
      </c>
      <c r="O217" s="14" t="n">
        <f aca="false">IF(AND(11&gt;=Assumptions!$B$37,O215+O216&gt;0),-MIN(Assumptions!$B$36,O215+O216),0)</f>
        <v>-112000</v>
      </c>
      <c r="P217" s="14" t="n">
        <f aca="false">IF(AND(12&gt;=Assumptions!$B$37,P215+P216&gt;0),-MIN(Assumptions!$B$36,P215+P216),0)</f>
        <v>-112000</v>
      </c>
      <c r="Q217" s="14" t="n">
        <f aca="false">IF(AND(13&gt;=Assumptions!$B$37,Q215+Q216&gt;0),-MIN(Assumptions!$B$36,Q215+Q216),0)</f>
        <v>-112000</v>
      </c>
      <c r="R217" s="14" t="n">
        <f aca="false">IF(AND(14&gt;=Assumptions!$B$37,R215+R216&gt;0),-MIN(Assumptions!$B$36,R215+R216),0)</f>
        <v>-112000</v>
      </c>
      <c r="S217" s="14" t="n">
        <f aca="false">IF(AND(15&gt;=Assumptions!$B$37,S215+S216&gt;0),-MIN(Assumptions!$B$36,S215+S216),0)</f>
        <v>-112000</v>
      </c>
      <c r="T217" s="14" t="n">
        <f aca="false">IF(AND(16&gt;=Assumptions!$B$37,T215+T216&gt;0),-MIN(Assumptions!$B$36,T215+T216),0)</f>
        <v>-112000</v>
      </c>
      <c r="U217" s="14" t="n">
        <f aca="false">IF(AND(17&gt;=Assumptions!$B$37,U215+U216&gt;0),-MIN(Assumptions!$B$36,U215+U216),0)</f>
        <v>-112000</v>
      </c>
      <c r="V217" s="14" t="n">
        <f aca="false">IF(AND(18&gt;=Assumptions!$B$37,V215+V216&gt;0),-MIN(Assumptions!$B$36,V215+V216),0)</f>
        <v>-112000</v>
      </c>
      <c r="W217" s="14" t="n">
        <f aca="false">IF(AND(19&gt;=Assumptions!$B$37,W215+W216&gt;0),-MIN(Assumptions!$B$36,W215+W216),0)</f>
        <v>-112000</v>
      </c>
      <c r="X217" s="14" t="n">
        <f aca="false">IF(AND(20&gt;=Assumptions!$B$37,X215+X216&gt;0),-MIN(Assumptions!$B$36,X215+X216),0)</f>
        <v>-112000</v>
      </c>
      <c r="Y217" s="14" t="n">
        <f aca="false">IF(AND(21&gt;=Assumptions!$B$37,Y215+Y216&gt;0),-MIN(Assumptions!$B$36,Y215+Y216),0)</f>
        <v>-112000</v>
      </c>
      <c r="Z217" s="14" t="n">
        <f aca="false">IF(AND(22&gt;=Assumptions!$B$37,Z215+Z216&gt;0),-MIN(Assumptions!$B$36,Z215+Z216),0)</f>
        <v>-112000</v>
      </c>
      <c r="AA217" s="14" t="n">
        <f aca="false">IF(AND(23&gt;=Assumptions!$B$37,AA215+AA216&gt;0),-MIN(Assumptions!$B$36,AA215+AA216),0)</f>
        <v>-112000</v>
      </c>
      <c r="AB217" s="14" t="n">
        <f aca="false">IF(AND(24&gt;=Assumptions!$B$37,AB215+AB216&gt;0),-MIN(Assumptions!$B$36,AB215+AB216),0)</f>
        <v>-112000</v>
      </c>
      <c r="AC217" s="14" t="n">
        <f aca="false">IF(AND(25&gt;=Assumptions!$B$37,AC215+AC216&gt;0),-MIN(Assumptions!$B$36,AC215+AC216),0)</f>
        <v>-112000</v>
      </c>
      <c r="AD217" s="14" t="n">
        <f aca="false">IF(AND(26&gt;=Assumptions!$B$37,AD215+AD216&gt;0),-MIN(Assumptions!$B$36,AD215+AD216),0)</f>
        <v>-112000</v>
      </c>
      <c r="AE217" s="14" t="n">
        <f aca="false">IF(AND(27&gt;=Assumptions!$B$37,AE215+AE216&gt;0),-MIN(Assumptions!$B$36,AE215+AE216),0)</f>
        <v>-91981.4302785977</v>
      </c>
      <c r="AF217" s="14" t="n">
        <f aca="false">IF(AND(28&gt;=Assumptions!$B$37,AF215+AF216&gt;0),-MIN(Assumptions!$B$36,AF215+AF216),0)</f>
        <v>0</v>
      </c>
      <c r="AG217" s="14" t="n">
        <f aca="false">IF(AND(29&gt;=Assumptions!$B$37,AG215+AG216&gt;0),-MIN(Assumptions!$B$36,AG215+AG216),0)</f>
        <v>0</v>
      </c>
      <c r="AH217" s="14" t="n">
        <f aca="false">IF(AND(30&gt;=Assumptions!$B$37,AH215+AH216&gt;0),-MIN(Assumptions!$B$36,AH215+AH216),0)</f>
        <v>0</v>
      </c>
      <c r="AI217" s="14" t="n">
        <f aca="false">IF(AND(31&gt;=Assumptions!$B$37,AI215+AI216&gt;0),-MIN(Assumptions!$B$36,AI215+AI216),0)</f>
        <v>0</v>
      </c>
      <c r="AJ217" s="14" t="n">
        <f aca="false">IF(AND(32&gt;=Assumptions!$B$37,AJ215+AJ216&gt;0),-MIN(Assumptions!$B$36,AJ215+AJ216),0)</f>
        <v>0</v>
      </c>
      <c r="AK217" s="14" t="n">
        <f aca="false">IF(AND(33&gt;=Assumptions!$B$37,AK215+AK216&gt;0),-MIN(Assumptions!$B$36,AK215+AK216),0)</f>
        <v>0</v>
      </c>
      <c r="AL217" s="14" t="n">
        <f aca="false">IF(AND(34&gt;=Assumptions!$B$37,AL215+AL216&gt;0),-MIN(Assumptions!$B$36,AL215+AL216),0)</f>
        <v>0</v>
      </c>
      <c r="AM217" s="14" t="n">
        <f aca="false">IF(AND(35&gt;=Assumptions!$B$37,AM215+AM216&gt;0),-MIN(Assumptions!$B$36,AM215+AM216),0)</f>
        <v>0</v>
      </c>
      <c r="AN217" s="14" t="n">
        <f aca="false">IF(AND(36&gt;=Assumptions!$B$37,AN215+AN216&gt;0),-MIN(Assumptions!$B$36,AN215+AN216),0)</f>
        <v>0</v>
      </c>
      <c r="AO217" s="14" t="n">
        <f aca="false">IF(AND(37&gt;=Assumptions!$B$37,AO215+AO216&gt;0),-MIN(Assumptions!$B$36,AO215+AO216),0)</f>
        <v>0</v>
      </c>
      <c r="AP217" s="14" t="n">
        <f aca="false">IF(AND(38&gt;=Assumptions!$B$37,AP215+AP216&gt;0),-MIN(Assumptions!$B$36,AP215+AP216),0)</f>
        <v>0</v>
      </c>
      <c r="AQ217" s="14" t="n">
        <f aca="false">IF(AND(39&gt;=Assumptions!$B$37,AQ215+AQ216&gt;0),-MIN(Assumptions!$B$36,AQ215+AQ216),0)</f>
        <v>0</v>
      </c>
      <c r="AR217" s="14" t="n">
        <f aca="false">IF(AND(40&gt;=Assumptions!$B$37,AR215+AR216&gt;0),-MIN(Assumptions!$B$36,AR215+AR216),0)</f>
        <v>0</v>
      </c>
      <c r="AS217" s="14" t="n">
        <f aca="false">IF(AND(41&gt;=Assumptions!$B$37,AS215+AS216&gt;0),-MIN(Assumptions!$B$36,AS215+AS216),0)</f>
        <v>0</v>
      </c>
      <c r="AT217" s="14" t="n">
        <f aca="false">IF(AND(42&gt;=Assumptions!$B$37,AT215+AT216&gt;0),-MIN(Assumptions!$B$36,AT215+AT216),0)</f>
        <v>0</v>
      </c>
      <c r="AU217" s="14" t="n">
        <f aca="false">IF(AND(43&gt;=Assumptions!$B$37,AU215+AU216&gt;0),-MIN(Assumptions!$B$36,AU215+AU216),0)</f>
        <v>0</v>
      </c>
      <c r="AV217" s="14" t="n">
        <f aca="false">IF(AND(44&gt;=Assumptions!$B$37,AV215+AV216&gt;0),-MIN(Assumptions!$B$36,AV215+AV216),0)</f>
        <v>0</v>
      </c>
      <c r="AW217" s="14" t="n">
        <f aca="false">IF(AND(45&gt;=Assumptions!$B$37,AW215+AW216&gt;0),-MIN(Assumptions!$B$36,AW215+AW216),0)</f>
        <v>0</v>
      </c>
      <c r="AX217" s="14" t="n">
        <f aca="false">IF(AND(46&gt;=Assumptions!$B$37,AX215+AX216&gt;0),-MIN(Assumptions!$B$36,AX215+AX216),0)</f>
        <v>0</v>
      </c>
      <c r="AY217" s="14" t="n">
        <f aca="false">IF(AND(47&gt;=Assumptions!$B$37,AY215+AY216&gt;0),-MIN(Assumptions!$B$36,AY215+AY216),0)</f>
        <v>0</v>
      </c>
      <c r="AZ217" s="14" t="n">
        <f aca="false">IF(AND(48&gt;=Assumptions!$B$37,AZ215+AZ216&gt;0),-MIN(Assumptions!$B$36,AZ215+AZ216),0)</f>
        <v>0</v>
      </c>
      <c r="BA217" s="14" t="n">
        <f aca="false">IF(AND(49&gt;=Assumptions!$B$37,BA215+BA216&gt;0),-MIN(Assumptions!$B$36,BA215+BA216),0)</f>
        <v>0</v>
      </c>
      <c r="BB217" s="14" t="n">
        <f aca="false">IF(AND(50&gt;=Assumptions!$B$37,BB215+BB216&gt;0),-MIN(Assumptions!$B$36,BB215+BB216),0)</f>
        <v>0</v>
      </c>
      <c r="BC217" s="14" t="n">
        <f aca="false">IF(AND(51&gt;=Assumptions!$B$37,BC215+BC216&gt;0),-MIN(Assumptions!$B$36,BC215+BC216),0)</f>
        <v>0</v>
      </c>
      <c r="BD217" s="14" t="n">
        <f aca="false">IF(AND(52&gt;=Assumptions!$B$37,BD215+BD216&gt;0),-MIN(Assumptions!$B$36,BD215+BD216),0)</f>
        <v>0</v>
      </c>
      <c r="BE217" s="14" t="n">
        <f aca="false">IF(AND(53&gt;=Assumptions!$B$37,BE215+BE216&gt;0),-MIN(Assumptions!$B$36,BE215+BE216),0)</f>
        <v>0</v>
      </c>
      <c r="BF217" s="14" t="n">
        <f aca="false">IF(AND(54&gt;=Assumptions!$B$37,BF215+BF216&gt;0),-MIN(Assumptions!$B$36,BF215+BF216),0)</f>
        <v>0</v>
      </c>
      <c r="BG217" s="14" t="n">
        <f aca="false">IF(AND(55&gt;=Assumptions!$B$37,BG215+BG216&gt;0),-MIN(Assumptions!$B$36,BG215+BG216),0)</f>
        <v>0</v>
      </c>
      <c r="BH217" s="14" t="n">
        <f aca="false">IF(AND(56&gt;=Assumptions!$B$37,BH215+BH216&gt;0),-MIN(Assumptions!$B$36,BH215+BH216),0)</f>
        <v>0</v>
      </c>
      <c r="BI217" s="14" t="n">
        <f aca="false">IF(AND(57&gt;=Assumptions!$B$37,BI215+BI216&gt;0),-MIN(Assumptions!$B$36,BI215+BI216),0)</f>
        <v>0</v>
      </c>
      <c r="BJ217" s="14" t="n">
        <f aca="false">IF(AND(58&gt;=Assumptions!$B$37,BJ215+BJ216&gt;0),-MIN(Assumptions!$B$36,BJ215+BJ216),0)</f>
        <v>0</v>
      </c>
      <c r="BK217" s="14" t="n">
        <f aca="false">IF(AND(59&gt;=Assumptions!$B$37,BK215+BK216&gt;0),-MIN(Assumptions!$B$36,BK215+BK216),0)</f>
        <v>0</v>
      </c>
      <c r="BL217" s="14" t="n">
        <f aca="false">IF(AND(60&gt;=Assumptions!$B$37,BL215+BL216&gt;0),-MIN(Assumptions!$B$36,BL215+BL216),0)</f>
        <v>0</v>
      </c>
      <c r="BM217" s="14" t="n">
        <f aca="false">IF(AND(61&gt;=Assumptions!$B$37,BM215+BM216&gt;0),-MIN(Assumptions!$B$36,BM215+BM216),0)</f>
        <v>0</v>
      </c>
      <c r="BN217" s="14" t="n">
        <f aca="false">IF(AND(62&gt;=Assumptions!$B$37,BN215+BN216&gt;0),-MIN(Assumptions!$B$36,BN215+BN216),0)</f>
        <v>0</v>
      </c>
      <c r="BO217" s="14" t="n">
        <f aca="false">IF(AND(63&gt;=Assumptions!$B$37,BO215+BO216&gt;0),-MIN(Assumptions!$B$36,BO215+BO216),0)</f>
        <v>0</v>
      </c>
      <c r="BP217" s="14" t="n">
        <f aca="false">IF(AND(64&gt;=Assumptions!$B$37,BP215+BP216&gt;0),-MIN(Assumptions!$B$36,BP215+BP216),0)</f>
        <v>0</v>
      </c>
      <c r="BQ217" s="14" t="n">
        <f aca="false">IF(AND(65&gt;=Assumptions!$B$37,BQ215+BQ216&gt;0),-MIN(Assumptions!$B$36,BQ215+BQ216),0)</f>
        <v>0</v>
      </c>
      <c r="BR217" s="14" t="n">
        <f aca="false">IF(AND(66&gt;=Assumptions!$B$37,BR215+BR216&gt;0),-MIN(Assumptions!$B$36,BR215+BR216),0)</f>
        <v>0</v>
      </c>
      <c r="BS217" s="14" t="n">
        <f aca="false">IF(AND(67&gt;=Assumptions!$B$37,BS215+BS216&gt;0),-MIN(Assumptions!$B$36,BS215+BS216),0)</f>
        <v>0</v>
      </c>
      <c r="BT217" s="14" t="n">
        <f aca="false">IF(AND(68&gt;=Assumptions!$B$37,BT215+BT216&gt;0),-MIN(Assumptions!$B$36,BT215+BT216),0)</f>
        <v>0</v>
      </c>
      <c r="BU217" s="14" t="n">
        <f aca="false">IF(AND(69&gt;=Assumptions!$B$37,BU215+BU216&gt;0),-MIN(Assumptions!$B$36,BU215+BU216),0)</f>
        <v>0</v>
      </c>
      <c r="BV217" s="14" t="n">
        <f aca="false">IF(AND(70&gt;=Assumptions!$B$37,BV215+BV216&gt;0),-MIN(Assumptions!$B$36,BV215+BV216),0)</f>
        <v>0</v>
      </c>
      <c r="BW217" s="14" t="n">
        <f aca="false">IF(AND(71&gt;=Assumptions!$B$37,BW215+BW216&gt;0),-MIN(Assumptions!$B$36,BW215+BW216),0)</f>
        <v>0</v>
      </c>
      <c r="BX217" s="14" t="n">
        <f aca="false">IF(AND(72&gt;=Assumptions!$B$37,BX215+BX216&gt;0),-MIN(Assumptions!$B$36,BX215+BX216),0)</f>
        <v>0</v>
      </c>
      <c r="BY217" s="14" t="n">
        <f aca="false">IF(AND(73&gt;=Assumptions!$B$37,BY215+BY216&gt;0),-MIN(Assumptions!$B$36,BY215+BY216),0)</f>
        <v>0</v>
      </c>
      <c r="BZ217" s="14" t="n">
        <f aca="false">IF(AND(74&gt;=Assumptions!$B$37,BZ215+BZ216&gt;0),-MIN(Assumptions!$B$36,BZ215+BZ216),0)</f>
        <v>0</v>
      </c>
      <c r="CA217" s="14" t="n">
        <f aca="false">IF(AND(75&gt;=Assumptions!$B$37,CA215+CA216&gt;0),-MIN(Assumptions!$B$36,CA215+CA216),0)</f>
        <v>0</v>
      </c>
      <c r="CB217" s="14" t="n">
        <f aca="false">IF(AND(76&gt;=Assumptions!$B$37,CB215+CB216&gt;0),-MIN(Assumptions!$B$36,CB215+CB216),0)</f>
        <v>0</v>
      </c>
      <c r="CC217" s="14" t="n">
        <f aca="false">IF(AND(77&gt;=Assumptions!$B$37,CC215+CC216&gt;0),-MIN(Assumptions!$B$36,CC215+CC216),0)</f>
        <v>0</v>
      </c>
      <c r="CD217" s="14" t="n">
        <f aca="false">IF(AND(78&gt;=Assumptions!$B$37,CD215+CD216&gt;0),-MIN(Assumptions!$B$36,CD215+CD216),0)</f>
        <v>0</v>
      </c>
      <c r="CE217" s="14" t="n">
        <f aca="false">IF(AND(79&gt;=Assumptions!$B$37,CE215+CE216&gt;0),-MIN(Assumptions!$B$36,CE215+CE216),0)</f>
        <v>0</v>
      </c>
      <c r="CF217" s="14" t="n">
        <f aca="false">IF(AND(80&gt;=Assumptions!$B$37,CF215+CF216&gt;0),-MIN(Assumptions!$B$36,CF215+CF216),0)</f>
        <v>0</v>
      </c>
      <c r="CG217" s="14" t="n">
        <f aca="false">IF(AND(81&gt;=Assumptions!$B$37,CG215+CG216&gt;0),-MIN(Assumptions!$B$36,CG215+CG216),0)</f>
        <v>0</v>
      </c>
      <c r="CH217" s="14" t="n">
        <f aca="false">IF(AND(82&gt;=Assumptions!$B$37,CH215+CH216&gt;0),-MIN(Assumptions!$B$36,CH215+CH216),0)</f>
        <v>0</v>
      </c>
      <c r="CI217" s="14" t="n">
        <f aca="false">IF(AND(83&gt;=Assumptions!$B$37,CI215+CI216&gt;0),-MIN(Assumptions!$B$36,CI215+CI216),0)</f>
        <v>0</v>
      </c>
      <c r="CJ217" s="14" t="n">
        <f aca="false">IF(AND(84&gt;=Assumptions!$B$37,CJ215+CJ216&gt;0),-MIN(Assumptions!$B$36,CJ215+CJ216),0)</f>
        <v>0</v>
      </c>
      <c r="CK217" s="14" t="n">
        <f aca="false">IF(AND(85&gt;=Assumptions!$B$37,CK215+CK216&gt;0),-MIN(Assumptions!$B$36,CK215+CK216),0)</f>
        <v>0</v>
      </c>
      <c r="CL217" s="14" t="n">
        <f aca="false">IF(AND(86&gt;=Assumptions!$B$37,CL215+CL216&gt;0),-MIN(Assumptions!$B$36,CL215+CL216),0)</f>
        <v>0</v>
      </c>
      <c r="CM217" s="14" t="n">
        <f aca="false">IF(AND(87&gt;=Assumptions!$B$37,CM215+CM216&gt;0),-MIN(Assumptions!$B$36,CM215+CM216),0)</f>
        <v>0</v>
      </c>
      <c r="CN217" s="14" t="n">
        <f aca="false">IF(AND(88&gt;=Assumptions!$B$37,CN215+CN216&gt;0),-MIN(Assumptions!$B$36,CN215+CN216),0)</f>
        <v>0</v>
      </c>
      <c r="CO217" s="14" t="n">
        <f aca="false">IF(AND(89&gt;=Assumptions!$B$37,CO215+CO216&gt;0),-MIN(Assumptions!$B$36,CO215+CO216),0)</f>
        <v>0</v>
      </c>
      <c r="CP217" s="14" t="n">
        <f aca="false">IF(AND(90&gt;=Assumptions!$B$37,CP215+CP216&gt;0),-MIN(Assumptions!$B$36,CP215+CP216),0)</f>
        <v>0</v>
      </c>
      <c r="CQ217" s="14" t="n">
        <f aca="false">IF(AND(91&gt;=Assumptions!$B$37,CQ215+CQ216&gt;0),-MIN(Assumptions!$B$36,CQ215+CQ216),0)</f>
        <v>0</v>
      </c>
      <c r="CR217" s="14" t="n">
        <f aca="false">IF(AND(92&gt;=Assumptions!$B$37,CR215+CR216&gt;0),-MIN(Assumptions!$B$36,CR215+CR216),0)</f>
        <v>0</v>
      </c>
      <c r="CS217" s="14" t="n">
        <f aca="false">IF(AND(93&gt;=Assumptions!$B$37,CS215+CS216&gt;0),-MIN(Assumptions!$B$36,CS215+CS216),0)</f>
        <v>0</v>
      </c>
      <c r="CT217" s="14" t="n">
        <f aca="false">IF(AND(94&gt;=Assumptions!$B$37,CT215+CT216&gt;0),-MIN(Assumptions!$B$36,CT215+CT216),0)</f>
        <v>0</v>
      </c>
      <c r="CU217" s="14" t="n">
        <f aca="false">IF(AND(95&gt;=Assumptions!$B$37,CU215+CU216&gt;0),-MIN(Assumptions!$B$36,CU215+CU216),0)</f>
        <v>0</v>
      </c>
      <c r="CV217" s="14" t="n">
        <f aca="false">IF(AND(96&gt;=Assumptions!$B$37,CV215+CV216&gt;0),-MIN(Assumptions!$B$36,CV215+CV216),0)</f>
        <v>0</v>
      </c>
      <c r="CW217" s="14" t="n">
        <f aca="false">IF(AND(97&gt;=Assumptions!$B$37,CW215+CW216&gt;0),-MIN(Assumptions!$B$36,CW215+CW216),0)</f>
        <v>0</v>
      </c>
      <c r="CX217" s="14" t="n">
        <f aca="false">IF(AND(98&gt;=Assumptions!$B$37,CX215+CX216&gt;0),-MIN(Assumptions!$B$36,CX215+CX216),0)</f>
        <v>0</v>
      </c>
      <c r="CY217" s="14" t="n">
        <f aca="false">IF(AND(99&gt;=Assumptions!$B$37,CY215+CY216&gt;0),-MIN(Assumptions!$B$36,CY215+CY216),0)</f>
        <v>0</v>
      </c>
      <c r="CZ217" s="14" t="n">
        <f aca="false">IF(AND(100&gt;=Assumptions!$B$37,CZ215+CZ216&gt;0),-MIN(Assumptions!$B$36,CZ215+CZ216),0)</f>
        <v>0</v>
      </c>
      <c r="DA217" s="14" t="n">
        <f aca="false">IF(AND(101&gt;=Assumptions!$B$37,DA215+DA216&gt;0),-MIN(Assumptions!$B$36,DA215+DA216),0)</f>
        <v>0</v>
      </c>
      <c r="DB217" s="14" t="n">
        <f aca="false">IF(AND(102&gt;=Assumptions!$B$37,DB215+DB216&gt;0),-MIN(Assumptions!$B$36,DB215+DB216),0)</f>
        <v>0</v>
      </c>
      <c r="DC217" s="14" t="n">
        <f aca="false">IF(AND(103&gt;=Assumptions!$B$37,DC215+DC216&gt;0),-MIN(Assumptions!$B$36,DC215+DC216),0)</f>
        <v>0</v>
      </c>
      <c r="DD217" s="14" t="n">
        <f aca="false">IF(AND(104&gt;=Assumptions!$B$37,DD215+DD216&gt;0),-MIN(Assumptions!$B$36,DD215+DD216),0)</f>
        <v>0</v>
      </c>
      <c r="DE217" s="14" t="n">
        <f aca="false">IF(AND(105&gt;=Assumptions!$B$37,DE215+DE216&gt;0),-MIN(Assumptions!$B$36,DE215+DE216),0)</f>
        <v>0</v>
      </c>
    </row>
    <row r="218" customFormat="false" ht="15" hidden="false" customHeight="true" outlineLevel="0" collapsed="false">
      <c r="A218" s="53" t="s">
        <v>144</v>
      </c>
      <c r="B218" s="54"/>
      <c r="C218" s="54"/>
      <c r="D218" s="54"/>
      <c r="E218" s="54" t="n">
        <f aca="false">MAX(0,E215+E216+E217)</f>
        <v>1615485</v>
      </c>
      <c r="F218" s="54" t="n">
        <f aca="false">MAX(0,F215+F216+F217)</f>
        <v>1615485</v>
      </c>
      <c r="G218" s="54" t="n">
        <f aca="false">MAX(0,G215+G216+G217)</f>
        <v>1676065.6875</v>
      </c>
      <c r="H218" s="54" t="n">
        <f aca="false">MAX(0,H215+H216+H217)</f>
        <v>1676065.6875</v>
      </c>
      <c r="I218" s="54" t="n">
        <f aca="false">MAX(0,I215+I216+I217)</f>
        <v>1676065.6875</v>
      </c>
      <c r="J218" s="54" t="n">
        <f aca="false">MAX(0,J215+J216+J217)</f>
        <v>1738918.15078125</v>
      </c>
      <c r="K218" s="54" t="n">
        <f aca="false">MAX(0,K215+K216+K217)</f>
        <v>1738918.15078125</v>
      </c>
      <c r="L218" s="54" t="n">
        <f aca="false">MAX(0,L215+L216+L217)</f>
        <v>1738918.15078125</v>
      </c>
      <c r="M218" s="54" t="n">
        <f aca="false">MAX(0,M215+M216+M217)</f>
        <v>1804127.58143555</v>
      </c>
      <c r="N218" s="54" t="n">
        <f aca="false">MAX(0,N215+N216+N217)</f>
        <v>1692127.58143555</v>
      </c>
      <c r="O218" s="54" t="n">
        <f aca="false">MAX(0,O215+O216+O217)</f>
        <v>1580127.58143555</v>
      </c>
      <c r="P218" s="54" t="n">
        <f aca="false">MAX(0,P215+P216+P217)</f>
        <v>1527382.36573938</v>
      </c>
      <c r="Q218" s="54" t="n">
        <f aca="false">MAX(0,Q215+Q216+Q217)</f>
        <v>1415382.36573938</v>
      </c>
      <c r="R218" s="54" t="n">
        <f aca="false">MAX(0,R215+R216+R217)</f>
        <v>1303382.36573938</v>
      </c>
      <c r="S218" s="54" t="n">
        <f aca="false">MAX(0,S215+S216+S217)</f>
        <v>1240259.20445461</v>
      </c>
      <c r="T218" s="54" t="n">
        <f aca="false">MAX(0,T215+T216+T217)</f>
        <v>1128259.20445461</v>
      </c>
      <c r="U218" s="54" t="n">
        <f aca="false">MAX(0,U215+U216+U217)</f>
        <v>1016259.20445461</v>
      </c>
      <c r="V218" s="54" t="n">
        <f aca="false">MAX(0,V215+V216+V217)</f>
        <v>942368.924621655</v>
      </c>
      <c r="W218" s="54" t="n">
        <f aca="false">MAX(0,W215+W216+W217)</f>
        <v>830368.924621655</v>
      </c>
      <c r="X218" s="54" t="n">
        <f aca="false">MAX(0,X215+X216+X217)</f>
        <v>718368.924621655</v>
      </c>
      <c r="Y218" s="54" t="n">
        <f aca="false">MAX(0,Y215+Y216+Y217)</f>
        <v>633307.759294967</v>
      </c>
      <c r="Z218" s="54" t="n">
        <f aca="false">MAX(0,Z215+Z216+Z217)</f>
        <v>521307.759294967</v>
      </c>
      <c r="AA218" s="54" t="n">
        <f aca="false">MAX(0,AA215+AA216+AA217)</f>
        <v>409307.759294967</v>
      </c>
      <c r="AB218" s="54" t="n">
        <f aca="false">MAX(0,AB215+AB216+AB217)</f>
        <v>312656.800268528</v>
      </c>
      <c r="AC218" s="54" t="n">
        <f aca="false">MAX(0,AC215+AC216+AC217)</f>
        <v>200656.800268528</v>
      </c>
      <c r="AD218" s="54" t="n">
        <f aca="false">MAX(0,AD215+AD216+AD217)</f>
        <v>88656.8002685279</v>
      </c>
      <c r="AE218" s="54" t="n">
        <f aca="false">MAX(0,AE215+AE216+AE217)</f>
        <v>0</v>
      </c>
      <c r="AF218" s="54" t="n">
        <f aca="false">MAX(0,AF215+AF216+AF217)</f>
        <v>0</v>
      </c>
      <c r="AG218" s="54" t="n">
        <f aca="false">MAX(0,AG215+AG216+AG217)</f>
        <v>0</v>
      </c>
      <c r="AH218" s="54" t="n">
        <f aca="false">MAX(0,AH215+AH216+AH217)</f>
        <v>0</v>
      </c>
      <c r="AI218" s="54" t="n">
        <f aca="false">MAX(0,AI215+AI216+AI217)</f>
        <v>0</v>
      </c>
      <c r="AJ218" s="54" t="n">
        <f aca="false">MAX(0,AJ215+AJ216+AJ217)</f>
        <v>0</v>
      </c>
      <c r="AK218" s="54" t="n">
        <f aca="false">MAX(0,AK215+AK216+AK217)</f>
        <v>0</v>
      </c>
      <c r="AL218" s="54" t="n">
        <f aca="false">MAX(0,AL215+AL216+AL217)</f>
        <v>0</v>
      </c>
      <c r="AM218" s="54" t="n">
        <f aca="false">MAX(0,AM215+AM216+AM217)</f>
        <v>0</v>
      </c>
      <c r="AN218" s="54" t="n">
        <f aca="false">MAX(0,AN215+AN216+AN217)</f>
        <v>0</v>
      </c>
      <c r="AO218" s="54" t="n">
        <f aca="false">MAX(0,AO215+AO216+AO217)</f>
        <v>0</v>
      </c>
      <c r="AP218" s="54" t="n">
        <f aca="false">MAX(0,AP215+AP216+AP217)</f>
        <v>0</v>
      </c>
      <c r="AQ218" s="54" t="n">
        <f aca="false">MAX(0,AQ215+AQ216+AQ217)</f>
        <v>0</v>
      </c>
      <c r="AR218" s="54" t="n">
        <f aca="false">MAX(0,AR215+AR216+AR217)</f>
        <v>0</v>
      </c>
      <c r="AS218" s="54" t="n">
        <f aca="false">MAX(0,AS215+AS216+AS217)</f>
        <v>0</v>
      </c>
      <c r="AT218" s="54" t="n">
        <f aca="false">MAX(0,AT215+AT216+AT217)</f>
        <v>0</v>
      </c>
      <c r="AU218" s="54" t="n">
        <f aca="false">MAX(0,AU215+AU216+AU217)</f>
        <v>0</v>
      </c>
      <c r="AV218" s="54" t="n">
        <f aca="false">MAX(0,AV215+AV216+AV217)</f>
        <v>0</v>
      </c>
      <c r="AW218" s="54" t="n">
        <f aca="false">MAX(0,AW215+AW216+AW217)</f>
        <v>0</v>
      </c>
      <c r="AX218" s="54" t="n">
        <f aca="false">MAX(0,AX215+AX216+AX217)</f>
        <v>0</v>
      </c>
      <c r="AY218" s="54" t="n">
        <f aca="false">MAX(0,AY215+AY216+AY217)</f>
        <v>0</v>
      </c>
      <c r="AZ218" s="54" t="n">
        <f aca="false">MAX(0,AZ215+AZ216+AZ217)</f>
        <v>0</v>
      </c>
      <c r="BA218" s="54" t="n">
        <f aca="false">MAX(0,BA215+BA216+BA217)</f>
        <v>0</v>
      </c>
      <c r="BB218" s="54" t="n">
        <f aca="false">MAX(0,BB215+BB216+BB217)</f>
        <v>0</v>
      </c>
      <c r="BC218" s="54" t="n">
        <f aca="false">MAX(0,BC215+BC216+BC217)</f>
        <v>0</v>
      </c>
      <c r="BD218" s="54" t="n">
        <f aca="false">MAX(0,BD215+BD216+BD217)</f>
        <v>0</v>
      </c>
      <c r="BE218" s="54" t="n">
        <f aca="false">MAX(0,BE215+BE216+BE217)</f>
        <v>0</v>
      </c>
      <c r="BF218" s="54" t="n">
        <f aca="false">MAX(0,BF215+BF216+BF217)</f>
        <v>0</v>
      </c>
      <c r="BG218" s="54" t="n">
        <f aca="false">MAX(0,BG215+BG216+BG217)</f>
        <v>0</v>
      </c>
      <c r="BH218" s="54" t="n">
        <f aca="false">MAX(0,BH215+BH216+BH217)</f>
        <v>0</v>
      </c>
      <c r="BI218" s="54" t="n">
        <f aca="false">MAX(0,BI215+BI216+BI217)</f>
        <v>0</v>
      </c>
      <c r="BJ218" s="54" t="n">
        <f aca="false">MAX(0,BJ215+BJ216+BJ217)</f>
        <v>0</v>
      </c>
      <c r="BK218" s="54" t="n">
        <f aca="false">MAX(0,BK215+BK216+BK217)</f>
        <v>0</v>
      </c>
      <c r="BL218" s="54" t="n">
        <f aca="false">MAX(0,BL215+BL216+BL217)</f>
        <v>0</v>
      </c>
      <c r="BM218" s="54" t="n">
        <f aca="false">MAX(0,BM215+BM216+BM217)</f>
        <v>0</v>
      </c>
      <c r="BN218" s="54" t="n">
        <f aca="false">MAX(0,BN215+BN216+BN217)</f>
        <v>0</v>
      </c>
      <c r="BO218" s="54" t="n">
        <f aca="false">MAX(0,BO215+BO216+BO217)</f>
        <v>0</v>
      </c>
      <c r="BP218" s="54" t="n">
        <f aca="false">MAX(0,BP215+BP216+BP217)</f>
        <v>0</v>
      </c>
      <c r="BQ218" s="54" t="n">
        <f aca="false">MAX(0,BQ215+BQ216+BQ217)</f>
        <v>0</v>
      </c>
      <c r="BR218" s="54" t="n">
        <f aca="false">MAX(0,BR215+BR216+BR217)</f>
        <v>0</v>
      </c>
      <c r="BS218" s="54" t="n">
        <f aca="false">MAX(0,BS215+BS216+BS217)</f>
        <v>0</v>
      </c>
      <c r="BT218" s="54" t="n">
        <f aca="false">MAX(0,BT215+BT216+BT217)</f>
        <v>0</v>
      </c>
      <c r="BU218" s="54" t="n">
        <f aca="false">MAX(0,BU215+BU216+BU217)</f>
        <v>0</v>
      </c>
      <c r="BV218" s="54" t="n">
        <f aca="false">MAX(0,BV215+BV216+BV217)</f>
        <v>0</v>
      </c>
      <c r="BW218" s="54" t="n">
        <f aca="false">MAX(0,BW215+BW216+BW217)</f>
        <v>0</v>
      </c>
      <c r="BX218" s="54" t="n">
        <f aca="false">MAX(0,BX215+BX216+BX217)</f>
        <v>0</v>
      </c>
      <c r="BY218" s="54" t="n">
        <f aca="false">MAX(0,BY215+BY216+BY217)</f>
        <v>0</v>
      </c>
      <c r="BZ218" s="54" t="n">
        <f aca="false">MAX(0,BZ215+BZ216+BZ217)</f>
        <v>0</v>
      </c>
      <c r="CA218" s="54" t="n">
        <f aca="false">MAX(0,CA215+CA216+CA217)</f>
        <v>0</v>
      </c>
      <c r="CB218" s="54" t="n">
        <f aca="false">MAX(0,CB215+CB216+CB217)</f>
        <v>0</v>
      </c>
      <c r="CC218" s="54" t="n">
        <f aca="false">MAX(0,CC215+CC216+CC217)</f>
        <v>0</v>
      </c>
      <c r="CD218" s="54" t="n">
        <f aca="false">MAX(0,CD215+CD216+CD217)</f>
        <v>0</v>
      </c>
      <c r="CE218" s="54" t="n">
        <f aca="false">MAX(0,CE215+CE216+CE217)</f>
        <v>0</v>
      </c>
      <c r="CF218" s="54" t="n">
        <f aca="false">MAX(0,CF215+CF216+CF217)</f>
        <v>0</v>
      </c>
      <c r="CG218" s="54" t="n">
        <f aca="false">MAX(0,CG215+CG216+CG217)</f>
        <v>0</v>
      </c>
      <c r="CH218" s="54" t="n">
        <f aca="false">MAX(0,CH215+CH216+CH217)</f>
        <v>0</v>
      </c>
      <c r="CI218" s="54" t="n">
        <f aca="false">MAX(0,CI215+CI216+CI217)</f>
        <v>0</v>
      </c>
      <c r="CJ218" s="54" t="n">
        <f aca="false">MAX(0,CJ215+CJ216+CJ217)</f>
        <v>0</v>
      </c>
      <c r="CK218" s="54" t="n">
        <f aca="false">MAX(0,CK215+CK216+CK217)</f>
        <v>0</v>
      </c>
      <c r="CL218" s="54" t="n">
        <f aca="false">MAX(0,CL215+CL216+CL217)</f>
        <v>0</v>
      </c>
      <c r="CM218" s="54" t="n">
        <f aca="false">MAX(0,CM215+CM216+CM217)</f>
        <v>0</v>
      </c>
      <c r="CN218" s="54" t="n">
        <f aca="false">MAX(0,CN215+CN216+CN217)</f>
        <v>0</v>
      </c>
      <c r="CO218" s="54" t="n">
        <f aca="false">MAX(0,CO215+CO216+CO217)</f>
        <v>0</v>
      </c>
      <c r="CP218" s="54" t="n">
        <f aca="false">MAX(0,CP215+CP216+CP217)</f>
        <v>0</v>
      </c>
      <c r="CQ218" s="54" t="n">
        <f aca="false">MAX(0,CQ215+CQ216+CQ217)</f>
        <v>0</v>
      </c>
      <c r="CR218" s="54" t="n">
        <f aca="false">MAX(0,CR215+CR216+CR217)</f>
        <v>0</v>
      </c>
      <c r="CS218" s="54" t="n">
        <f aca="false">MAX(0,CS215+CS216+CS217)</f>
        <v>0</v>
      </c>
      <c r="CT218" s="54" t="n">
        <f aca="false">MAX(0,CT215+CT216+CT217)</f>
        <v>0</v>
      </c>
      <c r="CU218" s="54" t="n">
        <f aca="false">MAX(0,CU215+CU216+CU217)</f>
        <v>0</v>
      </c>
      <c r="CV218" s="54" t="n">
        <f aca="false">MAX(0,CV215+CV216+CV217)</f>
        <v>0</v>
      </c>
      <c r="CW218" s="54" t="n">
        <f aca="false">MAX(0,CW215+CW216+CW217)</f>
        <v>0</v>
      </c>
      <c r="CX218" s="54" t="n">
        <f aca="false">MAX(0,CX215+CX216+CX217)</f>
        <v>0</v>
      </c>
      <c r="CY218" s="54" t="n">
        <f aca="false">MAX(0,CY215+CY216+CY217)</f>
        <v>0</v>
      </c>
      <c r="CZ218" s="54" t="n">
        <f aca="false">MAX(0,CZ215+CZ216+CZ217)</f>
        <v>0</v>
      </c>
      <c r="DA218" s="54" t="n">
        <f aca="false">MAX(0,DA215+DA216+DA217)</f>
        <v>0</v>
      </c>
      <c r="DB218" s="54" t="n">
        <f aca="false">MAX(0,DB215+DB216+DB217)</f>
        <v>0</v>
      </c>
      <c r="DC218" s="54" t="n">
        <f aca="false">MAX(0,DC215+DC216+DC217)</f>
        <v>0</v>
      </c>
      <c r="DD218" s="54" t="n">
        <f aca="false">MAX(0,DD215+DD216+DD217)</f>
        <v>0</v>
      </c>
      <c r="DE218" s="54" t="n">
        <f aca="false">MAX(0,DE215+DE216+DE217)</f>
        <v>0</v>
      </c>
    </row>
    <row r="219" customFormat="false" ht="13.5" hidden="false" customHeight="true" outlineLevel="0" collapsed="false">
      <c r="A219" s="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</row>
    <row r="220" customFormat="false" ht="16.5" hidden="false" customHeight="true" outlineLevel="0" collapsed="false">
      <c r="A220" s="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</row>
    <row r="221" customFormat="false" ht="15" hidden="false" customHeight="true" outlineLevel="0" collapsed="false">
      <c r="A221" s="52" t="s">
        <v>145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</row>
    <row r="222" customFormat="false" ht="15" hidden="false" customHeight="true" outlineLevel="0" collapsed="false">
      <c r="A222" s="29" t="s">
        <v>141</v>
      </c>
      <c r="B222" s="14"/>
      <c r="C222" s="14"/>
      <c r="D222" s="14"/>
      <c r="E222" s="14" t="n">
        <f aca="false">Assumptions!$B$41</f>
        <v>1000000</v>
      </c>
      <c r="F222" s="14" t="n">
        <f aca="false">E224</f>
        <v>1000000</v>
      </c>
      <c r="G222" s="14" t="n">
        <f aca="false">F224</f>
        <v>1000000</v>
      </c>
      <c r="H222" s="14" t="n">
        <f aca="false">G224</f>
        <v>1000000</v>
      </c>
      <c r="I222" s="14" t="n">
        <f aca="false">H224</f>
        <v>1000000</v>
      </c>
      <c r="J222" s="14" t="n">
        <f aca="false">I224</f>
        <v>1000000</v>
      </c>
      <c r="K222" s="14" t="n">
        <f aca="false">J224</f>
        <v>1000000</v>
      </c>
      <c r="L222" s="14" t="n">
        <f aca="false">K224</f>
        <v>1000000</v>
      </c>
      <c r="M222" s="14" t="n">
        <f aca="false">L224</f>
        <v>1000000</v>
      </c>
      <c r="N222" s="14" t="n">
        <f aca="false">M224</f>
        <v>1000000</v>
      </c>
      <c r="O222" s="14" t="n">
        <f aca="false">N224</f>
        <v>1000000</v>
      </c>
      <c r="P222" s="14" t="n">
        <f aca="false">O224</f>
        <v>750000</v>
      </c>
      <c r="Q222" s="14" t="n">
        <f aca="false">P224</f>
        <v>750000</v>
      </c>
      <c r="R222" s="14" t="n">
        <f aca="false">Q224</f>
        <v>750000</v>
      </c>
      <c r="S222" s="14" t="n">
        <f aca="false">R224</f>
        <v>750000</v>
      </c>
      <c r="T222" s="14" t="n">
        <f aca="false">S224</f>
        <v>750000</v>
      </c>
      <c r="U222" s="14" t="n">
        <f aca="false">T224</f>
        <v>750000</v>
      </c>
      <c r="V222" s="14" t="n">
        <f aca="false">U224</f>
        <v>750000</v>
      </c>
      <c r="W222" s="14" t="n">
        <f aca="false">V224</f>
        <v>750000</v>
      </c>
      <c r="X222" s="14" t="n">
        <f aca="false">W224</f>
        <v>750000</v>
      </c>
      <c r="Y222" s="14" t="n">
        <f aca="false">X224</f>
        <v>750000</v>
      </c>
      <c r="Z222" s="14" t="n">
        <f aca="false">Y224</f>
        <v>750000</v>
      </c>
      <c r="AA222" s="14" t="n">
        <f aca="false">Z224</f>
        <v>750000</v>
      </c>
      <c r="AB222" s="14" t="n">
        <f aca="false">AA224</f>
        <v>500000</v>
      </c>
      <c r="AC222" s="14" t="n">
        <f aca="false">AB224</f>
        <v>500000</v>
      </c>
      <c r="AD222" s="14" t="n">
        <f aca="false">AC224</f>
        <v>500000</v>
      </c>
      <c r="AE222" s="14" t="n">
        <f aca="false">AD224</f>
        <v>500000</v>
      </c>
      <c r="AF222" s="14" t="n">
        <f aca="false">AE224</f>
        <v>500000</v>
      </c>
      <c r="AG222" s="14" t="n">
        <f aca="false">AF224</f>
        <v>500000</v>
      </c>
      <c r="AH222" s="14" t="n">
        <f aca="false">AG224</f>
        <v>500000</v>
      </c>
      <c r="AI222" s="14" t="n">
        <f aca="false">AH224</f>
        <v>500000</v>
      </c>
      <c r="AJ222" s="14" t="n">
        <f aca="false">AI224</f>
        <v>500000</v>
      </c>
      <c r="AK222" s="14" t="n">
        <f aca="false">AJ224</f>
        <v>500000</v>
      </c>
      <c r="AL222" s="14" t="n">
        <f aca="false">AK224</f>
        <v>500000</v>
      </c>
      <c r="AM222" s="14" t="n">
        <f aca="false">AL224</f>
        <v>500000</v>
      </c>
      <c r="AN222" s="14" t="n">
        <f aca="false">AM224</f>
        <v>500000</v>
      </c>
      <c r="AO222" s="14" t="n">
        <f aca="false">AN224</f>
        <v>500000</v>
      </c>
      <c r="AP222" s="14" t="n">
        <f aca="false">AO224</f>
        <v>500000</v>
      </c>
      <c r="AQ222" s="14" t="n">
        <f aca="false">AP224</f>
        <v>500000</v>
      </c>
      <c r="AR222" s="14" t="n">
        <f aca="false">AQ224</f>
        <v>500000</v>
      </c>
      <c r="AS222" s="14" t="n">
        <f aca="false">AR224</f>
        <v>500000</v>
      </c>
      <c r="AT222" s="14" t="n">
        <f aca="false">AS224</f>
        <v>500000</v>
      </c>
      <c r="AU222" s="14" t="n">
        <f aca="false">AT224</f>
        <v>500000</v>
      </c>
      <c r="AV222" s="14" t="n">
        <f aca="false">AU224</f>
        <v>500000</v>
      </c>
      <c r="AW222" s="14" t="n">
        <f aca="false">AV224</f>
        <v>500000</v>
      </c>
      <c r="AX222" s="14" t="n">
        <f aca="false">AW224</f>
        <v>500000</v>
      </c>
      <c r="AY222" s="14" t="n">
        <f aca="false">AX224</f>
        <v>500000</v>
      </c>
      <c r="AZ222" s="14" t="n">
        <f aca="false">AY224</f>
        <v>500000</v>
      </c>
      <c r="BA222" s="14" t="n">
        <f aca="false">AZ224</f>
        <v>500000</v>
      </c>
      <c r="BB222" s="14" t="n">
        <f aca="false">BA224</f>
        <v>500000</v>
      </c>
      <c r="BC222" s="14" t="n">
        <f aca="false">BB224</f>
        <v>500000</v>
      </c>
      <c r="BD222" s="14" t="n">
        <f aca="false">BC224</f>
        <v>500000</v>
      </c>
      <c r="BE222" s="14" t="n">
        <f aca="false">BD224</f>
        <v>500000</v>
      </c>
      <c r="BF222" s="14" t="n">
        <f aca="false">BE224</f>
        <v>500000</v>
      </c>
      <c r="BG222" s="14" t="n">
        <f aca="false">BF224</f>
        <v>500000</v>
      </c>
      <c r="BH222" s="14" t="n">
        <f aca="false">BG224</f>
        <v>500000</v>
      </c>
      <c r="BI222" s="14" t="n">
        <f aca="false">BH224</f>
        <v>500000</v>
      </c>
      <c r="BJ222" s="14" t="n">
        <f aca="false">BI224</f>
        <v>500000</v>
      </c>
      <c r="BK222" s="14" t="n">
        <f aca="false">BJ224</f>
        <v>500000</v>
      </c>
      <c r="BL222" s="14" t="n">
        <f aca="false">BK224</f>
        <v>500000</v>
      </c>
      <c r="BM222" s="14" t="n">
        <f aca="false">BL224</f>
        <v>500000</v>
      </c>
      <c r="BN222" s="14" t="n">
        <f aca="false">BM224</f>
        <v>500000</v>
      </c>
      <c r="BO222" s="14" t="n">
        <f aca="false">BN224</f>
        <v>500000</v>
      </c>
      <c r="BP222" s="14" t="n">
        <f aca="false">BO224</f>
        <v>500000</v>
      </c>
      <c r="BQ222" s="14" t="n">
        <f aca="false">BP224</f>
        <v>500000</v>
      </c>
      <c r="BR222" s="14" t="n">
        <f aca="false">BQ224</f>
        <v>500000</v>
      </c>
      <c r="BS222" s="14" t="n">
        <f aca="false">BR224</f>
        <v>500000</v>
      </c>
      <c r="BT222" s="14" t="n">
        <f aca="false">BS224</f>
        <v>500000</v>
      </c>
      <c r="BU222" s="14" t="n">
        <f aca="false">BT224</f>
        <v>500000</v>
      </c>
      <c r="BV222" s="14" t="n">
        <f aca="false">BU224</f>
        <v>500000</v>
      </c>
      <c r="BW222" s="14" t="n">
        <f aca="false">BV224</f>
        <v>500000</v>
      </c>
      <c r="BX222" s="14" t="n">
        <f aca="false">BW224</f>
        <v>500000</v>
      </c>
      <c r="BY222" s="14" t="n">
        <f aca="false">BX224</f>
        <v>500000</v>
      </c>
      <c r="BZ222" s="14" t="n">
        <f aca="false">BY224</f>
        <v>500000</v>
      </c>
      <c r="CA222" s="14" t="n">
        <f aca="false">BZ224</f>
        <v>500000</v>
      </c>
      <c r="CB222" s="14" t="n">
        <f aca="false">CA224</f>
        <v>500000</v>
      </c>
      <c r="CC222" s="14" t="n">
        <f aca="false">CB224</f>
        <v>500000</v>
      </c>
      <c r="CD222" s="14" t="n">
        <f aca="false">CC224</f>
        <v>500000</v>
      </c>
      <c r="CE222" s="14" t="n">
        <f aca="false">CD224</f>
        <v>500000</v>
      </c>
      <c r="CF222" s="14" t="n">
        <f aca="false">CE224</f>
        <v>500000</v>
      </c>
      <c r="CG222" s="14" t="n">
        <f aca="false">CF224</f>
        <v>500000</v>
      </c>
      <c r="CH222" s="14" t="n">
        <f aca="false">CG224</f>
        <v>500000</v>
      </c>
      <c r="CI222" s="14" t="n">
        <f aca="false">CH224</f>
        <v>500000</v>
      </c>
      <c r="CJ222" s="14" t="n">
        <f aca="false">CI224</f>
        <v>500000</v>
      </c>
      <c r="CK222" s="14" t="n">
        <f aca="false">CJ224</f>
        <v>500000</v>
      </c>
      <c r="CL222" s="14" t="n">
        <f aca="false">CK224</f>
        <v>500000</v>
      </c>
      <c r="CM222" s="14" t="n">
        <f aca="false">CL224</f>
        <v>500000</v>
      </c>
      <c r="CN222" s="14" t="n">
        <f aca="false">CM224</f>
        <v>500000</v>
      </c>
      <c r="CO222" s="14" t="n">
        <f aca="false">CN224</f>
        <v>500000</v>
      </c>
      <c r="CP222" s="14" t="n">
        <f aca="false">CO224</f>
        <v>500000</v>
      </c>
      <c r="CQ222" s="14" t="n">
        <f aca="false">CP224</f>
        <v>500000</v>
      </c>
      <c r="CR222" s="14" t="n">
        <f aca="false">CQ224</f>
        <v>500000</v>
      </c>
      <c r="CS222" s="14" t="n">
        <f aca="false">CR224</f>
        <v>500000</v>
      </c>
      <c r="CT222" s="14" t="n">
        <f aca="false">CS224</f>
        <v>500000</v>
      </c>
      <c r="CU222" s="14" t="n">
        <f aca="false">CT224</f>
        <v>500000</v>
      </c>
      <c r="CV222" s="14" t="n">
        <f aca="false">CU224</f>
        <v>500000</v>
      </c>
      <c r="CW222" s="14" t="n">
        <f aca="false">CV224</f>
        <v>500000</v>
      </c>
      <c r="CX222" s="14" t="n">
        <f aca="false">CW224</f>
        <v>500000</v>
      </c>
      <c r="CY222" s="14" t="n">
        <f aca="false">CX224</f>
        <v>500000</v>
      </c>
      <c r="CZ222" s="14" t="n">
        <f aca="false">CY224</f>
        <v>500000</v>
      </c>
      <c r="DA222" s="14" t="n">
        <f aca="false">CZ224</f>
        <v>500000</v>
      </c>
      <c r="DB222" s="14" t="n">
        <f aca="false">DA224</f>
        <v>500000</v>
      </c>
      <c r="DC222" s="14" t="n">
        <f aca="false">DB224</f>
        <v>500000</v>
      </c>
      <c r="DD222" s="14" t="n">
        <f aca="false">DC224</f>
        <v>500000</v>
      </c>
      <c r="DE222" s="14" t="n">
        <f aca="false">DD224</f>
        <v>500000</v>
      </c>
    </row>
    <row r="223" customFormat="false" ht="15" hidden="false" customHeight="true" outlineLevel="0" collapsed="false">
      <c r="A223" s="29" t="s">
        <v>146</v>
      </c>
      <c r="B223" s="14"/>
      <c r="C223" s="14"/>
      <c r="D223" s="14"/>
      <c r="E223" s="14" t="n">
        <v>0</v>
      </c>
      <c r="F223" s="14" t="n">
        <v>0</v>
      </c>
      <c r="G223" s="14" t="n">
        <v>0</v>
      </c>
      <c r="H223" s="14" t="n">
        <v>0</v>
      </c>
      <c r="I223" s="14" t="n">
        <v>0</v>
      </c>
      <c r="J223" s="14" t="n">
        <v>0</v>
      </c>
      <c r="K223" s="14" t="n">
        <v>0</v>
      </c>
      <c r="L223" s="14" t="n">
        <v>0</v>
      </c>
      <c r="M223" s="14" t="n">
        <v>0</v>
      </c>
      <c r="N223" s="14" t="n">
        <v>0</v>
      </c>
      <c r="O223" s="14" t="n">
        <f aca="false">IF(AND(O222&gt;0,SUM(B209:M209)&gt;=Assumptions!$B$43),-MIN(Assumptions!$B$42,O222),0)</f>
        <v>-250000</v>
      </c>
      <c r="P223" s="14" t="n">
        <v>0</v>
      </c>
      <c r="Q223" s="14" t="n">
        <v>0</v>
      </c>
      <c r="R223" s="14" t="n">
        <v>0</v>
      </c>
      <c r="S223" s="14" t="n">
        <v>0</v>
      </c>
      <c r="T223" s="14" t="n">
        <v>0</v>
      </c>
      <c r="U223" s="14" t="n">
        <v>0</v>
      </c>
      <c r="V223" s="14" t="n">
        <v>0</v>
      </c>
      <c r="W223" s="14" t="n">
        <v>0</v>
      </c>
      <c r="X223" s="14" t="n">
        <v>0</v>
      </c>
      <c r="Y223" s="14" t="n">
        <v>0</v>
      </c>
      <c r="Z223" s="14" t="n">
        <v>0</v>
      </c>
      <c r="AA223" s="14" t="n">
        <f aca="false">IF(AND(AA222&gt;0,SUM(N209:Y209)&gt;=Assumptions!$B$43),-MIN(Assumptions!$B$42,AA222),0)</f>
        <v>-250000</v>
      </c>
      <c r="AB223" s="14" t="n">
        <v>0</v>
      </c>
      <c r="AC223" s="14" t="n">
        <v>0</v>
      </c>
      <c r="AD223" s="14" t="n">
        <v>0</v>
      </c>
      <c r="AE223" s="14" t="n">
        <v>0</v>
      </c>
      <c r="AF223" s="14" t="n">
        <v>0</v>
      </c>
      <c r="AG223" s="14" t="n">
        <v>0</v>
      </c>
      <c r="AH223" s="14" t="n">
        <v>0</v>
      </c>
      <c r="AI223" s="14" t="n">
        <v>0</v>
      </c>
      <c r="AJ223" s="14" t="n">
        <v>0</v>
      </c>
      <c r="AK223" s="14" t="n">
        <v>0</v>
      </c>
      <c r="AL223" s="14" t="n">
        <v>0</v>
      </c>
      <c r="AM223" s="14" t="n">
        <f aca="false">IF(AND(AM222&gt;0,SUM(Z209:AK209)&gt;=Assumptions!$B$43),-MIN(Assumptions!$B$42,AM222),0)</f>
        <v>0</v>
      </c>
      <c r="AN223" s="14" t="n">
        <v>0</v>
      </c>
      <c r="AO223" s="14" t="n">
        <v>0</v>
      </c>
      <c r="AP223" s="14" t="n">
        <v>0</v>
      </c>
      <c r="AQ223" s="14" t="n">
        <v>0</v>
      </c>
      <c r="AR223" s="14" t="n">
        <v>0</v>
      </c>
      <c r="AS223" s="14" t="n">
        <v>0</v>
      </c>
      <c r="AT223" s="14" t="n">
        <v>0</v>
      </c>
      <c r="AU223" s="14" t="n">
        <v>0</v>
      </c>
      <c r="AV223" s="14" t="n">
        <v>0</v>
      </c>
      <c r="AW223" s="14" t="n">
        <v>0</v>
      </c>
      <c r="AX223" s="14" t="n">
        <v>0</v>
      </c>
      <c r="AY223" s="14" t="n">
        <f aca="false">IF(AND(AY222&gt;0,SUM(AL209:AW209)&gt;=Assumptions!$B$43),-MIN(Assumptions!$B$42,AY222),0)</f>
        <v>0</v>
      </c>
      <c r="AZ223" s="14" t="n">
        <v>0</v>
      </c>
      <c r="BA223" s="14" t="n">
        <v>0</v>
      </c>
      <c r="BB223" s="14" t="n">
        <v>0</v>
      </c>
      <c r="BC223" s="14" t="n">
        <v>0</v>
      </c>
      <c r="BD223" s="14" t="n">
        <v>0</v>
      </c>
      <c r="BE223" s="14" t="n">
        <v>0</v>
      </c>
      <c r="BF223" s="14" t="n">
        <v>0</v>
      </c>
      <c r="BG223" s="14" t="n">
        <v>0</v>
      </c>
      <c r="BH223" s="14" t="n">
        <v>0</v>
      </c>
      <c r="BI223" s="14" t="n">
        <v>0</v>
      </c>
      <c r="BJ223" s="14" t="n">
        <v>0</v>
      </c>
      <c r="BK223" s="14" t="n">
        <f aca="false">IF(AND(BK222&gt;0,SUM(AX209:BI209)&gt;=Assumptions!$B$43),-MIN(Assumptions!$B$42,BK222),0)</f>
        <v>0</v>
      </c>
      <c r="BL223" s="14" t="n">
        <v>0</v>
      </c>
      <c r="BM223" s="14" t="n">
        <v>0</v>
      </c>
      <c r="BN223" s="14" t="n">
        <v>0</v>
      </c>
      <c r="BO223" s="14" t="n">
        <v>0</v>
      </c>
      <c r="BP223" s="14" t="n">
        <v>0</v>
      </c>
      <c r="BQ223" s="14" t="n">
        <v>0</v>
      </c>
      <c r="BR223" s="14" t="n">
        <v>0</v>
      </c>
      <c r="BS223" s="14" t="n">
        <v>0</v>
      </c>
      <c r="BT223" s="14" t="n">
        <v>0</v>
      </c>
      <c r="BU223" s="14" t="n">
        <v>0</v>
      </c>
      <c r="BV223" s="14" t="n">
        <v>0</v>
      </c>
      <c r="BW223" s="14" t="n">
        <f aca="false">IF(AND(BW222&gt;0,SUM(BJ209:BU209)&gt;=Assumptions!$B$43),-MIN(Assumptions!$B$42,BW222),0)</f>
        <v>0</v>
      </c>
      <c r="BX223" s="14" t="n">
        <v>0</v>
      </c>
      <c r="BY223" s="14" t="n">
        <v>0</v>
      </c>
      <c r="BZ223" s="14" t="n">
        <v>0</v>
      </c>
      <c r="CA223" s="14" t="n">
        <v>0</v>
      </c>
      <c r="CB223" s="14" t="n">
        <v>0</v>
      </c>
      <c r="CC223" s="14" t="n">
        <v>0</v>
      </c>
      <c r="CD223" s="14" t="n">
        <v>0</v>
      </c>
      <c r="CE223" s="14" t="n">
        <v>0</v>
      </c>
      <c r="CF223" s="14" t="n">
        <v>0</v>
      </c>
      <c r="CG223" s="14" t="n">
        <v>0</v>
      </c>
      <c r="CH223" s="14" t="n">
        <v>0</v>
      </c>
      <c r="CI223" s="14" t="n">
        <f aca="false">IF(AND(CI222&gt;0,SUM(BV209:CG209)&gt;=Assumptions!$B$43),-MIN(Assumptions!$B$42,CI222),0)</f>
        <v>0</v>
      </c>
      <c r="CJ223" s="14" t="n">
        <v>0</v>
      </c>
      <c r="CK223" s="14" t="n">
        <v>0</v>
      </c>
      <c r="CL223" s="14" t="n">
        <v>0</v>
      </c>
      <c r="CM223" s="14" t="n">
        <v>0</v>
      </c>
      <c r="CN223" s="14" t="n">
        <v>0</v>
      </c>
      <c r="CO223" s="14" t="n">
        <v>0</v>
      </c>
      <c r="CP223" s="14" t="n">
        <v>0</v>
      </c>
      <c r="CQ223" s="14" t="n">
        <v>0</v>
      </c>
      <c r="CR223" s="14" t="n">
        <v>0</v>
      </c>
      <c r="CS223" s="14" t="n">
        <v>0</v>
      </c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</row>
    <row r="224" customFormat="false" ht="15" hidden="false" customHeight="true" outlineLevel="0" collapsed="false">
      <c r="A224" s="53" t="s">
        <v>144</v>
      </c>
      <c r="B224" s="54"/>
      <c r="C224" s="54"/>
      <c r="D224" s="54"/>
      <c r="E224" s="54" t="n">
        <f aca="false">MAX(0,E222+E223)</f>
        <v>1000000</v>
      </c>
      <c r="F224" s="54" t="n">
        <f aca="false">MAX(0,F222+F223)</f>
        <v>1000000</v>
      </c>
      <c r="G224" s="54" t="n">
        <f aca="false">MAX(0,G222+G223)</f>
        <v>1000000</v>
      </c>
      <c r="H224" s="54" t="n">
        <f aca="false">MAX(0,H222+H223)</f>
        <v>1000000</v>
      </c>
      <c r="I224" s="54" t="n">
        <f aca="false">MAX(0,I222+I223)</f>
        <v>1000000</v>
      </c>
      <c r="J224" s="54" t="n">
        <f aca="false">MAX(0,J222+J223)</f>
        <v>1000000</v>
      </c>
      <c r="K224" s="54" t="n">
        <f aca="false">MAX(0,K222+K223)</f>
        <v>1000000</v>
      </c>
      <c r="L224" s="54" t="n">
        <f aca="false">MAX(0,L222+L223)</f>
        <v>1000000</v>
      </c>
      <c r="M224" s="54" t="n">
        <f aca="false">MAX(0,M222+M223)</f>
        <v>1000000</v>
      </c>
      <c r="N224" s="54" t="n">
        <f aca="false">MAX(0,N222+N223)</f>
        <v>1000000</v>
      </c>
      <c r="O224" s="54" t="n">
        <f aca="false">MAX(0,O222+O223)</f>
        <v>750000</v>
      </c>
      <c r="P224" s="54" t="n">
        <f aca="false">MAX(0,P222+P223)</f>
        <v>750000</v>
      </c>
      <c r="Q224" s="54" t="n">
        <f aca="false">MAX(0,Q222+Q223)</f>
        <v>750000</v>
      </c>
      <c r="R224" s="54" t="n">
        <f aca="false">MAX(0,R222+R223)</f>
        <v>750000</v>
      </c>
      <c r="S224" s="54" t="n">
        <f aca="false">MAX(0,S222+S223)</f>
        <v>750000</v>
      </c>
      <c r="T224" s="54" t="n">
        <f aca="false">MAX(0,T222+T223)</f>
        <v>750000</v>
      </c>
      <c r="U224" s="54" t="n">
        <f aca="false">MAX(0,U222+U223)</f>
        <v>750000</v>
      </c>
      <c r="V224" s="54" t="n">
        <f aca="false">MAX(0,V222+V223)</f>
        <v>750000</v>
      </c>
      <c r="W224" s="54" t="n">
        <f aca="false">MAX(0,W222+W223)</f>
        <v>750000</v>
      </c>
      <c r="X224" s="54" t="n">
        <f aca="false">MAX(0,X222+X223)</f>
        <v>750000</v>
      </c>
      <c r="Y224" s="54" t="n">
        <f aca="false">MAX(0,Y222+Y223)</f>
        <v>750000</v>
      </c>
      <c r="Z224" s="54" t="n">
        <f aca="false">MAX(0,Z222+Z223)</f>
        <v>750000</v>
      </c>
      <c r="AA224" s="54" t="n">
        <f aca="false">MAX(0,AA222+AA223)</f>
        <v>500000</v>
      </c>
      <c r="AB224" s="54" t="n">
        <f aca="false">MAX(0,AB222+AB223)</f>
        <v>500000</v>
      </c>
      <c r="AC224" s="54" t="n">
        <f aca="false">MAX(0,AC222+AC223)</f>
        <v>500000</v>
      </c>
      <c r="AD224" s="54" t="n">
        <f aca="false">MAX(0,AD222+AD223)</f>
        <v>500000</v>
      </c>
      <c r="AE224" s="54" t="n">
        <f aca="false">MAX(0,AE222+AE223)</f>
        <v>500000</v>
      </c>
      <c r="AF224" s="54" t="n">
        <f aca="false">MAX(0,AF222+AF223)</f>
        <v>500000</v>
      </c>
      <c r="AG224" s="54" t="n">
        <f aca="false">MAX(0,AG222+AG223)</f>
        <v>500000</v>
      </c>
      <c r="AH224" s="54" t="n">
        <f aca="false">MAX(0,AH222+AH223)</f>
        <v>500000</v>
      </c>
      <c r="AI224" s="54" t="n">
        <f aca="false">MAX(0,AI222+AI223)</f>
        <v>500000</v>
      </c>
      <c r="AJ224" s="54" t="n">
        <f aca="false">MAX(0,AJ222+AJ223)</f>
        <v>500000</v>
      </c>
      <c r="AK224" s="54" t="n">
        <f aca="false">MAX(0,AK222+AK223)</f>
        <v>500000</v>
      </c>
      <c r="AL224" s="54" t="n">
        <f aca="false">MAX(0,AL222+AL223)</f>
        <v>500000</v>
      </c>
      <c r="AM224" s="54" t="n">
        <f aca="false">MAX(0,AM222+AM223)</f>
        <v>500000</v>
      </c>
      <c r="AN224" s="54" t="n">
        <f aca="false">MAX(0,AN222+AN223)</f>
        <v>500000</v>
      </c>
      <c r="AO224" s="54" t="n">
        <f aca="false">MAX(0,AO222+AO223)</f>
        <v>500000</v>
      </c>
      <c r="AP224" s="54" t="n">
        <f aca="false">MAX(0,AP222+AP223)</f>
        <v>500000</v>
      </c>
      <c r="AQ224" s="54" t="n">
        <f aca="false">MAX(0,AQ222+AQ223)</f>
        <v>500000</v>
      </c>
      <c r="AR224" s="54" t="n">
        <f aca="false">MAX(0,AR222+AR223)</f>
        <v>500000</v>
      </c>
      <c r="AS224" s="54" t="n">
        <f aca="false">MAX(0,AS222+AS223)</f>
        <v>500000</v>
      </c>
      <c r="AT224" s="54" t="n">
        <f aca="false">MAX(0,AT222+AT223)</f>
        <v>500000</v>
      </c>
      <c r="AU224" s="54" t="n">
        <f aca="false">MAX(0,AU222+AU223)</f>
        <v>500000</v>
      </c>
      <c r="AV224" s="54" t="n">
        <f aca="false">MAX(0,AV222+AV223)</f>
        <v>500000</v>
      </c>
      <c r="AW224" s="54" t="n">
        <f aca="false">MAX(0,AW222+AW223)</f>
        <v>500000</v>
      </c>
      <c r="AX224" s="54" t="n">
        <f aca="false">MAX(0,AX222+AX223)</f>
        <v>500000</v>
      </c>
      <c r="AY224" s="54" t="n">
        <f aca="false">MAX(0,AY222+AY223)</f>
        <v>500000</v>
      </c>
      <c r="AZ224" s="54" t="n">
        <f aca="false">MAX(0,AZ222+AZ223)</f>
        <v>500000</v>
      </c>
      <c r="BA224" s="54" t="n">
        <f aca="false">MAX(0,BA222+BA223)</f>
        <v>500000</v>
      </c>
      <c r="BB224" s="54" t="n">
        <f aca="false">MAX(0,BB222+BB223)</f>
        <v>500000</v>
      </c>
      <c r="BC224" s="54" t="n">
        <f aca="false">MAX(0,BC222+BC223)</f>
        <v>500000</v>
      </c>
      <c r="BD224" s="54" t="n">
        <f aca="false">MAX(0,BD222+BD223)</f>
        <v>500000</v>
      </c>
      <c r="BE224" s="54" t="n">
        <f aca="false">MAX(0,BE222+BE223)</f>
        <v>500000</v>
      </c>
      <c r="BF224" s="54" t="n">
        <f aca="false">MAX(0,BF222+BF223)</f>
        <v>500000</v>
      </c>
      <c r="BG224" s="54" t="n">
        <f aca="false">MAX(0,BG222+BG223)</f>
        <v>500000</v>
      </c>
      <c r="BH224" s="54" t="n">
        <f aca="false">MAX(0,BH222+BH223)</f>
        <v>500000</v>
      </c>
      <c r="BI224" s="54" t="n">
        <f aca="false">MAX(0,BI222+BI223)</f>
        <v>500000</v>
      </c>
      <c r="BJ224" s="54" t="n">
        <f aca="false">MAX(0,BJ222+BJ223)</f>
        <v>500000</v>
      </c>
      <c r="BK224" s="54" t="n">
        <f aca="false">MAX(0,BK222+BK223)</f>
        <v>500000</v>
      </c>
      <c r="BL224" s="54" t="n">
        <f aca="false">MAX(0,BL222+BL223)</f>
        <v>500000</v>
      </c>
      <c r="BM224" s="54" t="n">
        <f aca="false">MAX(0,BM222+BM223)</f>
        <v>500000</v>
      </c>
      <c r="BN224" s="54" t="n">
        <f aca="false">MAX(0,BN222+BN223)</f>
        <v>500000</v>
      </c>
      <c r="BO224" s="54" t="n">
        <f aca="false">MAX(0,BO222+BO223)</f>
        <v>500000</v>
      </c>
      <c r="BP224" s="54" t="n">
        <f aca="false">MAX(0,BP222+BP223)</f>
        <v>500000</v>
      </c>
      <c r="BQ224" s="54" t="n">
        <f aca="false">MAX(0,BQ222+BQ223)</f>
        <v>500000</v>
      </c>
      <c r="BR224" s="54" t="n">
        <f aca="false">MAX(0,BR222+BR223)</f>
        <v>500000</v>
      </c>
      <c r="BS224" s="54" t="n">
        <f aca="false">MAX(0,BS222+BS223)</f>
        <v>500000</v>
      </c>
      <c r="BT224" s="54" t="n">
        <f aca="false">MAX(0,BT222+BT223)</f>
        <v>500000</v>
      </c>
      <c r="BU224" s="54" t="n">
        <f aca="false">MAX(0,BU222+BU223)</f>
        <v>500000</v>
      </c>
      <c r="BV224" s="54" t="n">
        <f aca="false">MAX(0,BV222+BV223)</f>
        <v>500000</v>
      </c>
      <c r="BW224" s="54" t="n">
        <f aca="false">MAX(0,BW222+BW223)</f>
        <v>500000</v>
      </c>
      <c r="BX224" s="54" t="n">
        <f aca="false">MAX(0,BX222+BX223)</f>
        <v>500000</v>
      </c>
      <c r="BY224" s="54" t="n">
        <f aca="false">MAX(0,BY222+BY223)</f>
        <v>500000</v>
      </c>
      <c r="BZ224" s="54" t="n">
        <f aca="false">MAX(0,BZ222+BZ223)</f>
        <v>500000</v>
      </c>
      <c r="CA224" s="54" t="n">
        <f aca="false">MAX(0,CA222+CA223)</f>
        <v>500000</v>
      </c>
      <c r="CB224" s="54" t="n">
        <f aca="false">MAX(0,CB222+CB223)</f>
        <v>500000</v>
      </c>
      <c r="CC224" s="54" t="n">
        <f aca="false">MAX(0,CC222+CC223)</f>
        <v>500000</v>
      </c>
      <c r="CD224" s="54" t="n">
        <f aca="false">MAX(0,CD222+CD223)</f>
        <v>500000</v>
      </c>
      <c r="CE224" s="54" t="n">
        <f aca="false">MAX(0,CE222+CE223)</f>
        <v>500000</v>
      </c>
      <c r="CF224" s="54" t="n">
        <f aca="false">MAX(0,CF222+CF223)</f>
        <v>500000</v>
      </c>
      <c r="CG224" s="54" t="n">
        <f aca="false">MAX(0,CG222+CG223)</f>
        <v>500000</v>
      </c>
      <c r="CH224" s="54" t="n">
        <f aca="false">MAX(0,CH222+CH223)</f>
        <v>500000</v>
      </c>
      <c r="CI224" s="54" t="n">
        <f aca="false">MAX(0,CI222+CI223)</f>
        <v>500000</v>
      </c>
      <c r="CJ224" s="54" t="n">
        <f aca="false">MAX(0,CJ222+CJ223)</f>
        <v>500000</v>
      </c>
      <c r="CK224" s="54" t="n">
        <f aca="false">MAX(0,CK222+CK223)</f>
        <v>500000</v>
      </c>
      <c r="CL224" s="54" t="n">
        <f aca="false">MAX(0,CL222+CL223)</f>
        <v>500000</v>
      </c>
      <c r="CM224" s="54" t="n">
        <f aca="false">MAX(0,CM222+CM223)</f>
        <v>500000</v>
      </c>
      <c r="CN224" s="54" t="n">
        <f aca="false">MAX(0,CN222+CN223)</f>
        <v>500000</v>
      </c>
      <c r="CO224" s="54" t="n">
        <f aca="false">MAX(0,CO222+CO223)</f>
        <v>500000</v>
      </c>
      <c r="CP224" s="54" t="n">
        <f aca="false">MAX(0,CP222+CP223)</f>
        <v>500000</v>
      </c>
      <c r="CQ224" s="54" t="n">
        <f aca="false">MAX(0,CQ222+CQ223)</f>
        <v>500000</v>
      </c>
      <c r="CR224" s="54" t="n">
        <f aca="false">MAX(0,CR222+CR223)</f>
        <v>500000</v>
      </c>
      <c r="CS224" s="54" t="n">
        <f aca="false">MAX(0,CS222+CS223)</f>
        <v>500000</v>
      </c>
      <c r="CT224" s="54" t="n">
        <f aca="false">MAX(0,CT222+CT223)</f>
        <v>500000</v>
      </c>
      <c r="CU224" s="54" t="n">
        <f aca="false">MAX(0,CU222+CU223)</f>
        <v>500000</v>
      </c>
      <c r="CV224" s="54" t="n">
        <f aca="false">MAX(0,CV222+CV223)</f>
        <v>500000</v>
      </c>
      <c r="CW224" s="54" t="n">
        <f aca="false">MAX(0,CW222+CW223)</f>
        <v>500000</v>
      </c>
      <c r="CX224" s="54" t="n">
        <f aca="false">MAX(0,CX222+CX223)</f>
        <v>500000</v>
      </c>
      <c r="CY224" s="54" t="n">
        <f aca="false">MAX(0,CY222+CY223)</f>
        <v>500000</v>
      </c>
      <c r="CZ224" s="54" t="n">
        <f aca="false">MAX(0,CZ222+CZ223)</f>
        <v>500000</v>
      </c>
      <c r="DA224" s="54" t="n">
        <f aca="false">MAX(0,DA222+DA223)</f>
        <v>500000</v>
      </c>
      <c r="DB224" s="54" t="n">
        <f aca="false">MAX(0,DB222+DB223)</f>
        <v>500000</v>
      </c>
      <c r="DC224" s="54" t="n">
        <f aca="false">MAX(0,DC222+DC223)</f>
        <v>500000</v>
      </c>
      <c r="DD224" s="54" t="n">
        <f aca="false">MAX(0,DD222+DD223)</f>
        <v>500000</v>
      </c>
      <c r="DE224" s="54" t="n">
        <f aca="false">MAX(0,DE222+DE223)</f>
        <v>500000</v>
      </c>
    </row>
    <row r="225" customFormat="false" ht="15" hidden="false" customHeight="true" outlineLevel="0" collapsed="false">
      <c r="A225" s="55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56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56"/>
      <c r="DA225" s="56"/>
      <c r="DB225" s="56"/>
      <c r="DC225" s="56"/>
      <c r="DD225" s="56"/>
      <c r="DE225" s="56"/>
    </row>
    <row r="226" customFormat="false" ht="15" hidden="false" customHeight="true" outlineLevel="0" collapsed="false">
      <c r="A226" s="57" t="s">
        <v>147</v>
      </c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</row>
    <row r="227" customFormat="false" ht="15" hidden="false" customHeight="true" outlineLevel="0" collapsed="false">
      <c r="A227" s="29" t="s">
        <v>148</v>
      </c>
      <c r="B227" s="41"/>
      <c r="C227" s="41"/>
      <c r="D227" s="41"/>
      <c r="E227" s="41" t="n">
        <f aca="false">IF(AND(Projects!$G$11="Yes",Projects!$C$11&lt;=1),Assumptions!$B$60,0)</f>
        <v>0</v>
      </c>
      <c r="F227" s="41" t="n">
        <f aca="false">IF(AND(Projects!$G$11="Yes",2=Projects!$C$11),Assumptions!$B$60,E231)</f>
        <v>0</v>
      </c>
      <c r="G227" s="41" t="n">
        <f aca="false">IF(AND(Projects!$G$11="Yes",3=Projects!$C$11),Assumptions!$B$60,F231)</f>
        <v>0</v>
      </c>
      <c r="H227" s="41" t="n">
        <f aca="false">IF(AND(Projects!$G$11="Yes",4=Projects!$C$11),Assumptions!$B$60,G231)</f>
        <v>0</v>
      </c>
      <c r="I227" s="41" t="n">
        <f aca="false">IF(AND(Projects!$G$11="Yes",5=Projects!$C$11),Assumptions!$B$60,H231)</f>
        <v>0</v>
      </c>
      <c r="J227" s="41" t="n">
        <f aca="false">IF(AND(Projects!$G$11="Yes",6=Projects!$C$11),Assumptions!$B$60,I231)</f>
        <v>0</v>
      </c>
      <c r="K227" s="41" t="n">
        <f aca="false">IF(AND(Projects!$G$11="Yes",7=Projects!$C$11),Assumptions!$B$60,J231)</f>
        <v>0</v>
      </c>
      <c r="L227" s="41" t="n">
        <f aca="false">IF(AND(Projects!$G$11="Yes",8=Projects!$C$11),Assumptions!$B$60,K231)</f>
        <v>0</v>
      </c>
      <c r="M227" s="41" t="n">
        <f aca="false">IF(AND(Projects!$G$11="Yes",9=Projects!$C$11),Assumptions!$B$60,L231)</f>
        <v>0</v>
      </c>
      <c r="N227" s="41" t="n">
        <f aca="false">IF(AND(Projects!$G$11="Yes",10=Projects!$C$11),Assumptions!$B$60,M231)</f>
        <v>0</v>
      </c>
      <c r="O227" s="41" t="n">
        <f aca="false">IF(AND(Projects!$G$11="Yes",11=Projects!$C$11),Assumptions!$B$60,N231)</f>
        <v>0</v>
      </c>
      <c r="P227" s="41" t="n">
        <f aca="false">IF(AND(Projects!$G$11="Yes",12=Projects!$C$11),Assumptions!$B$60,O231)</f>
        <v>0</v>
      </c>
      <c r="Q227" s="41" t="n">
        <f aca="false">IF(AND(Projects!$G$11="Yes",13=Projects!$C$11),Assumptions!$B$60,P231)</f>
        <v>0</v>
      </c>
      <c r="R227" s="41" t="n">
        <f aca="false">IF(AND(Projects!$G$11="Yes",14=Projects!$C$11),Assumptions!$B$60,Q231)</f>
        <v>0</v>
      </c>
      <c r="S227" s="41" t="n">
        <f aca="false">IF(AND(Projects!$G$11="Yes",15=Projects!$C$11),Assumptions!$B$60,R231)</f>
        <v>0</v>
      </c>
      <c r="T227" s="41" t="n">
        <f aca="false">IF(AND(Projects!$G$11="Yes",16=Projects!$C$11),Assumptions!$B$60,S231)</f>
        <v>0</v>
      </c>
      <c r="U227" s="41" t="n">
        <f aca="false">IF(AND(Projects!$G$11="Yes",17=Projects!$C$11),Assumptions!$B$60,T231)</f>
        <v>0</v>
      </c>
      <c r="V227" s="41" t="n">
        <f aca="false">IF(AND(Projects!$G$11="Yes",18=Projects!$C$11),Assumptions!$B$60,U231)</f>
        <v>0</v>
      </c>
      <c r="W227" s="41" t="n">
        <f aca="false">IF(AND(Projects!$G$11="Yes",19=Projects!$C$11),Assumptions!$B$60,V231)</f>
        <v>0</v>
      </c>
      <c r="X227" s="41" t="n">
        <f aca="false">IF(AND(Projects!$G$11="Yes",20=Projects!$C$11),Assumptions!$B$60,W231)</f>
        <v>0</v>
      </c>
      <c r="Y227" s="41" t="n">
        <f aca="false">IF(AND(Projects!$G$11="Yes",21=Projects!$C$11),Assumptions!$B$60,X231)</f>
        <v>0</v>
      </c>
      <c r="Z227" s="41" t="n">
        <f aca="false">IF(AND(Projects!$G$11="Yes",22=Projects!$C$11),Assumptions!$B$60,Y231)</f>
        <v>0</v>
      </c>
      <c r="AA227" s="41" t="n">
        <f aca="false">IF(AND(Projects!$G$11="Yes",23=Projects!$C$11),Assumptions!$B$60,Z231)</f>
        <v>0</v>
      </c>
      <c r="AB227" s="41" t="n">
        <f aca="false">IF(AND(Projects!$G$11="Yes",24=Projects!$C$11),Assumptions!$B$60,AA231)</f>
        <v>0</v>
      </c>
      <c r="AC227" s="41" t="n">
        <f aca="false">IF(AND(Projects!$G$11="Yes",25=Projects!$C$11),Assumptions!$B$60,AB231)</f>
        <v>0</v>
      </c>
      <c r="AD227" s="41" t="n">
        <f aca="false">IF(AND(Projects!$G$11="Yes",26=Projects!$C$11),Assumptions!$B$60,AC231)</f>
        <v>0</v>
      </c>
      <c r="AE227" s="41" t="n">
        <f aca="false">IF(AND(Projects!$G$11="Yes",27=Projects!$C$11),Assumptions!$B$60,AD231)</f>
        <v>0</v>
      </c>
      <c r="AF227" s="41" t="n">
        <f aca="false">IF(AND(Projects!$G$11="Yes",28=Projects!$C$11),Assumptions!$B$60,AE231)</f>
        <v>0</v>
      </c>
      <c r="AG227" s="41" t="n">
        <f aca="false">IF(AND(Projects!$G$11="Yes",29=Projects!$C$11),Assumptions!$B$60,AF231)</f>
        <v>0</v>
      </c>
      <c r="AH227" s="41" t="n">
        <f aca="false">IF(AND(Projects!$G$11="Yes",30=Projects!$C$11),Assumptions!$B$60,AG231)</f>
        <v>0</v>
      </c>
      <c r="AI227" s="41" t="n">
        <f aca="false">IF(AND(Projects!$G$11="Yes",31=Projects!$C$11),Assumptions!$B$60,AH231)</f>
        <v>0</v>
      </c>
      <c r="AJ227" s="41" t="n">
        <f aca="false">IF(AND(Projects!$G$11="Yes",32=Projects!$C$11),Assumptions!$B$60,AI231)</f>
        <v>0</v>
      </c>
      <c r="AK227" s="41" t="n">
        <f aca="false">IF(AND(Projects!$G$11="Yes",33=Projects!$C$11),Assumptions!$B$60,AJ231)</f>
        <v>0</v>
      </c>
      <c r="AL227" s="41" t="n">
        <f aca="false">IF(AND(Projects!$G$11="Yes",34=Projects!$C$11),Assumptions!$B$60,AK231)</f>
        <v>0</v>
      </c>
      <c r="AM227" s="41" t="n">
        <f aca="false">IF(AND(Projects!$G$11="Yes",35=Projects!$C$11),Assumptions!$B$60,AL231)</f>
        <v>0</v>
      </c>
      <c r="AN227" s="41" t="n">
        <f aca="false">IF(AND(Projects!$G$11="Yes",36=Projects!$C$11),Assumptions!$B$60,AM231)</f>
        <v>0</v>
      </c>
      <c r="AO227" s="41" t="n">
        <f aca="false">IF(AND(Projects!$G$11="Yes",37=Projects!$C$11),Assumptions!$B$60,AN231)</f>
        <v>0</v>
      </c>
      <c r="AP227" s="41" t="n">
        <f aca="false">IF(AND(Projects!$G$11="Yes",38=Projects!$C$11),Assumptions!$B$60,AO231)</f>
        <v>0</v>
      </c>
      <c r="AQ227" s="41" t="n">
        <f aca="false">IF(AND(Projects!$G$11="Yes",39=Projects!$C$11),Assumptions!$B$60,AP231)</f>
        <v>0</v>
      </c>
      <c r="AR227" s="41" t="n">
        <f aca="false">IF(AND(Projects!$G$11="Yes",40=Projects!$C$11),Assumptions!$B$60,AQ231)</f>
        <v>0</v>
      </c>
      <c r="AS227" s="41" t="n">
        <f aca="false">IF(AND(Projects!$G$11="Yes",41=Projects!$C$11),Assumptions!$B$60,AR231)</f>
        <v>0</v>
      </c>
      <c r="AT227" s="41" t="n">
        <f aca="false">IF(AND(Projects!$G$11="Yes",42=Projects!$C$11),Assumptions!$B$60,AS231)</f>
        <v>0</v>
      </c>
      <c r="AU227" s="41" t="n">
        <f aca="false">IF(AND(Projects!$G$11="Yes",43=Projects!$C$11),Assumptions!$B$60,AT231)</f>
        <v>0</v>
      </c>
      <c r="AV227" s="41" t="n">
        <f aca="false">IF(AND(Projects!$G$11="Yes",44=Projects!$C$11),Assumptions!$B$60,AU231)</f>
        <v>0</v>
      </c>
      <c r="AW227" s="41" t="n">
        <f aca="false">IF(AND(Projects!$G$11="Yes",45=Projects!$C$11),Assumptions!$B$60,AV231)</f>
        <v>0</v>
      </c>
      <c r="AX227" s="41" t="n">
        <f aca="false">IF(AND(Projects!$G$11="Yes",46=Projects!$C$11),Assumptions!$B$60,AW231)</f>
        <v>0</v>
      </c>
      <c r="AY227" s="41" t="n">
        <f aca="false">IF(AND(Projects!$G$11="Yes",47=Projects!$C$11),Assumptions!$B$60,AX231)</f>
        <v>0</v>
      </c>
      <c r="AZ227" s="41" t="n">
        <f aca="false">IF(AND(Projects!$G$11="Yes",48=Projects!$C$11),Assumptions!$B$60,AY231)</f>
        <v>0</v>
      </c>
      <c r="BA227" s="41" t="n">
        <f aca="false">IF(AND(Projects!$G$11="Yes",49=Projects!$C$11),Assumptions!$B$60,AZ231)</f>
        <v>0</v>
      </c>
      <c r="BB227" s="41" t="n">
        <f aca="false">IF(AND(Projects!$G$11="Yes",50=Projects!$C$11),Assumptions!$B$60,BA231)</f>
        <v>0</v>
      </c>
      <c r="BC227" s="41" t="n">
        <f aca="false">IF(AND(Projects!$G$11="Yes",51=Projects!$C$11),Assumptions!$B$60,BB231)</f>
        <v>0</v>
      </c>
      <c r="BD227" s="41" t="n">
        <f aca="false">IF(AND(Projects!$G$11="Yes",52=Projects!$C$11),Assumptions!$B$60,BC231)</f>
        <v>0</v>
      </c>
      <c r="BE227" s="41" t="n">
        <f aca="false">IF(AND(Projects!$G$11="Yes",53=Projects!$C$11),Assumptions!$B$60,BD231)</f>
        <v>0</v>
      </c>
      <c r="BF227" s="41" t="n">
        <f aca="false">IF(AND(Projects!$G$11="Yes",54=Projects!$C$11),Assumptions!$B$60,BE231)</f>
        <v>0</v>
      </c>
      <c r="BG227" s="41" t="n">
        <f aca="false">IF(AND(Projects!$G$11="Yes",55=Projects!$C$11),Assumptions!$B$60,BF231)</f>
        <v>0</v>
      </c>
      <c r="BH227" s="41" t="n">
        <f aca="false">IF(AND(Projects!$G$11="Yes",56=Projects!$C$11),Assumptions!$B$60,BG231)</f>
        <v>0</v>
      </c>
      <c r="BI227" s="41" t="n">
        <f aca="false">IF(AND(Projects!$G$11="Yes",57=Projects!$C$11),Assumptions!$B$60,BH231)</f>
        <v>0</v>
      </c>
      <c r="BJ227" s="41" t="n">
        <f aca="false">IF(AND(Projects!$G$11="Yes",58=Projects!$C$11),Assumptions!$B$60,BI231)</f>
        <v>0</v>
      </c>
      <c r="BK227" s="41" t="n">
        <f aca="false">IF(AND(Projects!$G$11="Yes",59=Projects!$C$11),Assumptions!$B$60,BJ231)</f>
        <v>0</v>
      </c>
      <c r="BL227" s="41" t="n">
        <f aca="false">IF(AND(Projects!$G$11="Yes",60=Projects!$C$11),Assumptions!$B$60,BK231)</f>
        <v>0</v>
      </c>
      <c r="BM227" s="41" t="n">
        <f aca="false">IF(AND(Projects!$G$11="Yes",61=Projects!$C$11),Assumptions!$B$60,BL231)</f>
        <v>0</v>
      </c>
      <c r="BN227" s="41" t="n">
        <f aca="false">IF(AND(Projects!$G$11="Yes",62=Projects!$C$11),Assumptions!$B$60,BM231)</f>
        <v>0</v>
      </c>
      <c r="BO227" s="41" t="n">
        <f aca="false">IF(AND(Projects!$G$11="Yes",63=Projects!$C$11),Assumptions!$B$60,BN231)</f>
        <v>0</v>
      </c>
      <c r="BP227" s="41" t="n">
        <f aca="false">IF(AND(Projects!$G$11="Yes",64=Projects!$C$11),Assumptions!$B$60,BO231)</f>
        <v>0</v>
      </c>
      <c r="BQ227" s="41" t="n">
        <f aca="false">IF(AND(Projects!$G$11="Yes",65=Projects!$C$11),Assumptions!$B$60,BP231)</f>
        <v>0</v>
      </c>
      <c r="BR227" s="41" t="n">
        <f aca="false">IF(AND(Projects!$G$11="Yes",66=Projects!$C$11),Assumptions!$B$60,BQ231)</f>
        <v>0</v>
      </c>
      <c r="BS227" s="41" t="n">
        <f aca="false">IF(AND(Projects!$G$11="Yes",67=Projects!$C$11),Assumptions!$B$60,BR231)</f>
        <v>0</v>
      </c>
      <c r="BT227" s="41" t="n">
        <f aca="false">IF(AND(Projects!$G$11="Yes",68=Projects!$C$11),Assumptions!$B$60,BS231)</f>
        <v>0</v>
      </c>
      <c r="BU227" s="41" t="n">
        <f aca="false">IF(AND(Projects!$G$11="Yes",69=Projects!$C$11),Assumptions!$B$60,BT231)</f>
        <v>0</v>
      </c>
      <c r="BV227" s="41" t="n">
        <f aca="false">IF(AND(Projects!$G$11="Yes",70=Projects!$C$11),Assumptions!$B$60,BU231)</f>
        <v>0</v>
      </c>
      <c r="BW227" s="41" t="n">
        <f aca="false">IF(AND(Projects!$G$11="Yes",71=Projects!$C$11),Assumptions!$B$60,BV231)</f>
        <v>0</v>
      </c>
      <c r="BX227" s="41" t="n">
        <f aca="false">IF(AND(Projects!$G$11="Yes",72=Projects!$C$11),Assumptions!$B$60,BW231)</f>
        <v>0</v>
      </c>
      <c r="BY227" s="41" t="n">
        <f aca="false">IF(AND(Projects!$G$11="Yes",73=Projects!$C$11),Assumptions!$B$60,BX231)</f>
        <v>0</v>
      </c>
      <c r="BZ227" s="41" t="n">
        <f aca="false">IF(AND(Projects!$G$11="Yes",74=Projects!$C$11),Assumptions!$B$60,BY231)</f>
        <v>0</v>
      </c>
      <c r="CA227" s="41" t="n">
        <f aca="false">IF(AND(Projects!$G$11="Yes",75=Projects!$C$11),Assumptions!$B$60,BZ231)</f>
        <v>0</v>
      </c>
      <c r="CB227" s="41" t="n">
        <f aca="false">IF(AND(Projects!$G$11="Yes",76=Projects!$C$11),Assumptions!$B$60,CA231)</f>
        <v>0</v>
      </c>
      <c r="CC227" s="41" t="n">
        <f aca="false">IF(AND(Projects!$G$11="Yes",77=Projects!$C$11),Assumptions!$B$60,CB231)</f>
        <v>0</v>
      </c>
      <c r="CD227" s="41" t="n">
        <f aca="false">IF(AND(Projects!$G$11="Yes",78=Projects!$C$11),Assumptions!$B$60,CC231)</f>
        <v>0</v>
      </c>
      <c r="CE227" s="41" t="n">
        <f aca="false">IF(AND(Projects!$G$11="Yes",79=Projects!$C$11),Assumptions!$B$60,CD231)</f>
        <v>0</v>
      </c>
      <c r="CF227" s="41" t="n">
        <f aca="false">IF(AND(Projects!$G$11="Yes",80=Projects!$C$11),Assumptions!$B$60,CE231)</f>
        <v>0</v>
      </c>
      <c r="CG227" s="41" t="n">
        <f aca="false">IF(AND(Projects!$G$11="Yes",81=Projects!$C$11),Assumptions!$B$60,CF231)</f>
        <v>0</v>
      </c>
      <c r="CH227" s="41" t="n">
        <f aca="false">IF(AND(Projects!$G$11="Yes",82=Projects!$C$11),Assumptions!$B$60,CG231)</f>
        <v>0</v>
      </c>
      <c r="CI227" s="41" t="n">
        <f aca="false">IF(AND(Projects!$G$11="Yes",83=Projects!$C$11),Assumptions!$B$60,CH231)</f>
        <v>0</v>
      </c>
      <c r="CJ227" s="41" t="n">
        <f aca="false">IF(AND(Projects!$G$11="Yes",84=Projects!$C$11),Assumptions!$B$60,CI231)</f>
        <v>0</v>
      </c>
      <c r="CK227" s="41" t="n">
        <f aca="false">IF(AND(Projects!$G$11="Yes",85=Projects!$C$11),Assumptions!$B$60,CJ231)</f>
        <v>0</v>
      </c>
      <c r="CL227" s="41" t="n">
        <f aca="false">IF(AND(Projects!$G$11="Yes",86=Projects!$C$11),Assumptions!$B$60,CK231)</f>
        <v>0</v>
      </c>
      <c r="CM227" s="41" t="n">
        <f aca="false">IF(AND(Projects!$G$11="Yes",87=Projects!$C$11),Assumptions!$B$60,CL231)</f>
        <v>0</v>
      </c>
      <c r="CN227" s="41" t="n">
        <f aca="false">IF(AND(Projects!$G$11="Yes",88=Projects!$C$11),Assumptions!$B$60,CM231)</f>
        <v>0</v>
      </c>
      <c r="CO227" s="41" t="n">
        <f aca="false">IF(AND(Projects!$G$11="Yes",89=Projects!$C$11),Assumptions!$B$60,CN231)</f>
        <v>0</v>
      </c>
      <c r="CP227" s="41" t="n">
        <f aca="false">IF(AND(Projects!$G$11="Yes",90=Projects!$C$11),Assumptions!$B$60,CO231)</f>
        <v>0</v>
      </c>
      <c r="CQ227" s="41" t="n">
        <f aca="false">IF(AND(Projects!$G$11="Yes",91=Projects!$C$11),Assumptions!$B$60,CP231)</f>
        <v>0</v>
      </c>
      <c r="CR227" s="41" t="n">
        <f aca="false">IF(AND(Projects!$G$11="Yes",92=Projects!$C$11),Assumptions!$B$60,CQ231)</f>
        <v>0</v>
      </c>
      <c r="CS227" s="41" t="n">
        <f aca="false">IF(AND(Projects!$G$11="Yes",93=Projects!$C$11),Assumptions!$B$60,CR231)</f>
        <v>0</v>
      </c>
      <c r="CT227" s="41" t="n">
        <f aca="false">IF(AND(Projects!$G$11="Yes",94=Projects!$C$11),Assumptions!$B$60,CS231)</f>
        <v>0</v>
      </c>
      <c r="CU227" s="41" t="n">
        <f aca="false">IF(AND(Projects!$G$11="Yes",95=Projects!$C$11),Assumptions!$B$60,CT231)</f>
        <v>0</v>
      </c>
      <c r="CV227" s="41" t="n">
        <f aca="false">IF(AND(Projects!$G$11="Yes",96=Projects!$C$11),Assumptions!$B$60,CU231)</f>
        <v>0</v>
      </c>
      <c r="CW227" s="41" t="n">
        <f aca="false">IF(AND(Projects!$G$11="Yes",97=Projects!$C$11),Assumptions!$B$60,CV231)</f>
        <v>0</v>
      </c>
      <c r="CX227" s="41" t="n">
        <f aca="false">IF(AND(Projects!$G$11="Yes",98=Projects!$C$11),Assumptions!$B$60,CW231)</f>
        <v>0</v>
      </c>
      <c r="CY227" s="41" t="n">
        <f aca="false">IF(AND(Projects!$G$11="Yes",99=Projects!$C$11),Assumptions!$B$60,CX231)</f>
        <v>0</v>
      </c>
      <c r="CZ227" s="41" t="n">
        <f aca="false">IF(AND(Projects!$G$11="Yes",100=Projects!$C$11),Assumptions!$B$60,CY231)</f>
        <v>0</v>
      </c>
      <c r="DA227" s="41" t="n">
        <f aca="false">IF(AND(Projects!$G$11="Yes",101=Projects!$C$11),Assumptions!$B$60,CZ231)</f>
        <v>0</v>
      </c>
      <c r="DB227" s="41" t="n">
        <f aca="false">IF(AND(Projects!$G$11="Yes",102=Projects!$C$11),Assumptions!$B$60,DA231)</f>
        <v>0</v>
      </c>
      <c r="DC227" s="41" t="n">
        <f aca="false">IF(AND(Projects!$G$11="Yes",103=Projects!$C$11),Assumptions!$B$60,DB231)</f>
        <v>0</v>
      </c>
      <c r="DD227" s="41" t="n">
        <f aca="false">IF(AND(Projects!$G$11="Yes",104=Projects!$C$11),Assumptions!$B$60,DC231)</f>
        <v>0</v>
      </c>
      <c r="DE227" s="41" t="n">
        <f aca="false">IF(AND(Projects!$G$11="Yes",105=Projects!$C$11),Assumptions!$B$60,DD231)</f>
        <v>0</v>
      </c>
    </row>
    <row r="228" customFormat="false" ht="15" hidden="false" customHeight="true" outlineLevel="0" collapsed="false">
      <c r="A228" s="29" t="s">
        <v>149</v>
      </c>
      <c r="B228" s="41"/>
      <c r="C228" s="41"/>
      <c r="D228" s="41"/>
      <c r="E228" s="41" t="n">
        <f aca="false">IF(AND(MOD(1,3)=0,E227&gt;0),E227*Assumptions!$B$59,0)</f>
        <v>0</v>
      </c>
      <c r="F228" s="41" t="n">
        <f aca="false">IF(AND(MOD(2,3)=0,F227&gt;0),F227*Assumptions!$B$59,0)</f>
        <v>0</v>
      </c>
      <c r="G228" s="41" t="n">
        <f aca="false">IF(AND(MOD(3,3)=0,G227&gt;0),G227*Assumptions!$B$59,0)</f>
        <v>0</v>
      </c>
      <c r="H228" s="41" t="n">
        <f aca="false">IF(AND(MOD(4,3)=0,H227&gt;0),H227*Assumptions!$B$59,0)</f>
        <v>0</v>
      </c>
      <c r="I228" s="41" t="n">
        <f aca="false">IF(AND(MOD(5,3)=0,I227&gt;0),I227*Assumptions!$B$59,0)</f>
        <v>0</v>
      </c>
      <c r="J228" s="41" t="n">
        <f aca="false">IF(AND(MOD(6,3)=0,J227&gt;0),J227*Assumptions!$B$59,0)</f>
        <v>0</v>
      </c>
      <c r="K228" s="41" t="n">
        <f aca="false">IF(AND(MOD(7,3)=0,K227&gt;0),K227*Assumptions!$B$59,0)</f>
        <v>0</v>
      </c>
      <c r="L228" s="41" t="n">
        <f aca="false">IF(AND(MOD(8,3)=0,L227&gt;0),L227*Assumptions!$B$59,0)</f>
        <v>0</v>
      </c>
      <c r="M228" s="41" t="n">
        <f aca="false">IF(AND(MOD(9,3)=0,M227&gt;0),M227*Assumptions!$B$59,0)</f>
        <v>0</v>
      </c>
      <c r="N228" s="41" t="n">
        <f aca="false">IF(AND(MOD(10,3)=0,N227&gt;0),N227*Assumptions!$B$59,0)</f>
        <v>0</v>
      </c>
      <c r="O228" s="41" t="n">
        <f aca="false">IF(AND(MOD(11,3)=0,O227&gt;0),O227*Assumptions!$B$59,0)</f>
        <v>0</v>
      </c>
      <c r="P228" s="41" t="n">
        <f aca="false">IF(AND(MOD(12,3)=0,P227&gt;0),P227*Assumptions!$B$59,0)</f>
        <v>0</v>
      </c>
      <c r="Q228" s="41" t="n">
        <f aca="false">IF(AND(MOD(13,3)=0,Q227&gt;0),Q227*Assumptions!$B$59,0)</f>
        <v>0</v>
      </c>
      <c r="R228" s="41" t="n">
        <f aca="false">IF(AND(MOD(14,3)=0,R227&gt;0),R227*Assumptions!$B$59,0)</f>
        <v>0</v>
      </c>
      <c r="S228" s="41" t="n">
        <f aca="false">IF(AND(MOD(15,3)=0,S227&gt;0),S227*Assumptions!$B$59,0)</f>
        <v>0</v>
      </c>
      <c r="T228" s="41" t="n">
        <f aca="false">IF(AND(MOD(16,3)=0,T227&gt;0),T227*Assumptions!$B$59,0)</f>
        <v>0</v>
      </c>
      <c r="U228" s="41" t="n">
        <f aca="false">IF(AND(MOD(17,3)=0,U227&gt;0),U227*Assumptions!$B$59,0)</f>
        <v>0</v>
      </c>
      <c r="V228" s="41" t="n">
        <f aca="false">IF(AND(MOD(18,3)=0,V227&gt;0),V227*Assumptions!$B$59,0)</f>
        <v>0</v>
      </c>
      <c r="W228" s="41" t="n">
        <f aca="false">IF(AND(MOD(19,3)=0,W227&gt;0),W227*Assumptions!$B$59,0)</f>
        <v>0</v>
      </c>
      <c r="X228" s="41" t="n">
        <f aca="false">IF(AND(MOD(20,3)=0,X227&gt;0),X227*Assumptions!$B$59,0)</f>
        <v>0</v>
      </c>
      <c r="Y228" s="41" t="n">
        <f aca="false">IF(AND(MOD(21,3)=0,Y227&gt;0),Y227*Assumptions!$B$59,0)</f>
        <v>0</v>
      </c>
      <c r="Z228" s="41" t="n">
        <f aca="false">IF(AND(MOD(22,3)=0,Z227&gt;0),Z227*Assumptions!$B$59,0)</f>
        <v>0</v>
      </c>
      <c r="AA228" s="41" t="n">
        <f aca="false">IF(AND(MOD(23,3)=0,AA227&gt;0),AA227*Assumptions!$B$59,0)</f>
        <v>0</v>
      </c>
      <c r="AB228" s="41" t="n">
        <f aca="false">IF(AND(MOD(24,3)=0,AB227&gt;0),AB227*Assumptions!$B$59,0)</f>
        <v>0</v>
      </c>
      <c r="AC228" s="41" t="n">
        <f aca="false">IF(AND(MOD(25,3)=0,AC227&gt;0),AC227*Assumptions!$B$59,0)</f>
        <v>0</v>
      </c>
      <c r="AD228" s="41" t="n">
        <f aca="false">IF(AND(MOD(26,3)=0,AD227&gt;0),AD227*Assumptions!$B$59,0)</f>
        <v>0</v>
      </c>
      <c r="AE228" s="41" t="n">
        <f aca="false">IF(AND(MOD(27,3)=0,AE227&gt;0),AE227*Assumptions!$B$59,0)</f>
        <v>0</v>
      </c>
      <c r="AF228" s="41" t="n">
        <f aca="false">IF(AND(MOD(28,3)=0,AF227&gt;0),AF227*Assumptions!$B$59,0)</f>
        <v>0</v>
      </c>
      <c r="AG228" s="41" t="n">
        <f aca="false">IF(AND(MOD(29,3)=0,AG227&gt;0),AG227*Assumptions!$B$59,0)</f>
        <v>0</v>
      </c>
      <c r="AH228" s="41" t="n">
        <f aca="false">IF(AND(MOD(30,3)=0,AH227&gt;0),AH227*Assumptions!$B$59,0)</f>
        <v>0</v>
      </c>
      <c r="AI228" s="41" t="n">
        <f aca="false">IF(AND(MOD(31,3)=0,AI227&gt;0),AI227*Assumptions!$B$59,0)</f>
        <v>0</v>
      </c>
      <c r="AJ228" s="41" t="n">
        <f aca="false">IF(AND(MOD(32,3)=0,AJ227&gt;0),AJ227*Assumptions!$B$59,0)</f>
        <v>0</v>
      </c>
      <c r="AK228" s="41" t="n">
        <f aca="false">IF(AND(MOD(33,3)=0,AK227&gt;0),AK227*Assumptions!$B$59,0)</f>
        <v>0</v>
      </c>
      <c r="AL228" s="41" t="n">
        <f aca="false">IF(AND(MOD(34,3)=0,AL227&gt;0),AL227*Assumptions!$B$59,0)</f>
        <v>0</v>
      </c>
      <c r="AM228" s="41" t="n">
        <f aca="false">IF(AND(MOD(35,3)=0,AM227&gt;0),AM227*Assumptions!$B$59,0)</f>
        <v>0</v>
      </c>
      <c r="AN228" s="41" t="n">
        <f aca="false">IF(AND(MOD(36,3)=0,AN227&gt;0),AN227*Assumptions!$B$59,0)</f>
        <v>0</v>
      </c>
      <c r="AO228" s="41" t="n">
        <f aca="false">IF(AND(MOD(37,3)=0,AO227&gt;0),AO227*Assumptions!$B$59,0)</f>
        <v>0</v>
      </c>
      <c r="AP228" s="41" t="n">
        <f aca="false">IF(AND(MOD(38,3)=0,AP227&gt;0),AP227*Assumptions!$B$59,0)</f>
        <v>0</v>
      </c>
      <c r="AQ228" s="41" t="n">
        <f aca="false">IF(AND(MOD(39,3)=0,AQ227&gt;0),AQ227*Assumptions!$B$59,0)</f>
        <v>0</v>
      </c>
      <c r="AR228" s="41" t="n">
        <f aca="false">IF(AND(MOD(40,3)=0,AR227&gt;0),AR227*Assumptions!$B$59,0)</f>
        <v>0</v>
      </c>
      <c r="AS228" s="41" t="n">
        <f aca="false">IF(AND(MOD(41,3)=0,AS227&gt;0),AS227*Assumptions!$B$59,0)</f>
        <v>0</v>
      </c>
      <c r="AT228" s="41" t="n">
        <f aca="false">IF(AND(MOD(42,3)=0,AT227&gt;0),AT227*Assumptions!$B$59,0)</f>
        <v>0</v>
      </c>
      <c r="AU228" s="41" t="n">
        <f aca="false">IF(AND(MOD(43,3)=0,AU227&gt;0),AU227*Assumptions!$B$59,0)</f>
        <v>0</v>
      </c>
      <c r="AV228" s="41" t="n">
        <f aca="false">IF(AND(MOD(44,3)=0,AV227&gt;0),AV227*Assumptions!$B$59,0)</f>
        <v>0</v>
      </c>
      <c r="AW228" s="41" t="n">
        <f aca="false">IF(AND(MOD(45,3)=0,AW227&gt;0),AW227*Assumptions!$B$59,0)</f>
        <v>0</v>
      </c>
      <c r="AX228" s="41" t="n">
        <f aca="false">IF(AND(MOD(46,3)=0,AX227&gt;0),AX227*Assumptions!$B$59,0)</f>
        <v>0</v>
      </c>
      <c r="AY228" s="41" t="n">
        <f aca="false">IF(AND(MOD(47,3)=0,AY227&gt;0),AY227*Assumptions!$B$59,0)</f>
        <v>0</v>
      </c>
      <c r="AZ228" s="41" t="n">
        <f aca="false">IF(AND(MOD(48,3)=0,AZ227&gt;0),AZ227*Assumptions!$B$59,0)</f>
        <v>0</v>
      </c>
      <c r="BA228" s="41" t="n">
        <f aca="false">IF(AND(MOD(49,3)=0,BA227&gt;0),BA227*Assumptions!$B$59,0)</f>
        <v>0</v>
      </c>
      <c r="BB228" s="41" t="n">
        <f aca="false">IF(AND(MOD(50,3)=0,BB227&gt;0),BB227*Assumptions!$B$59,0)</f>
        <v>0</v>
      </c>
      <c r="BC228" s="41" t="n">
        <f aca="false">IF(AND(MOD(51,3)=0,BC227&gt;0),BC227*Assumptions!$B$59,0)</f>
        <v>0</v>
      </c>
      <c r="BD228" s="41" t="n">
        <f aca="false">IF(AND(MOD(52,3)=0,BD227&gt;0),BD227*Assumptions!$B$59,0)</f>
        <v>0</v>
      </c>
      <c r="BE228" s="41" t="n">
        <f aca="false">IF(AND(MOD(53,3)=0,BE227&gt;0),BE227*Assumptions!$B$59,0)</f>
        <v>0</v>
      </c>
      <c r="BF228" s="41" t="n">
        <f aca="false">IF(AND(MOD(54,3)=0,BF227&gt;0),BF227*Assumptions!$B$59,0)</f>
        <v>0</v>
      </c>
      <c r="BG228" s="41" t="n">
        <f aca="false">IF(AND(MOD(55,3)=0,BG227&gt;0),BG227*Assumptions!$B$59,0)</f>
        <v>0</v>
      </c>
      <c r="BH228" s="41" t="n">
        <f aca="false">IF(AND(MOD(56,3)=0,BH227&gt;0),BH227*Assumptions!$B$59,0)</f>
        <v>0</v>
      </c>
      <c r="BI228" s="41" t="n">
        <f aca="false">IF(AND(MOD(57,3)=0,BI227&gt;0),BI227*Assumptions!$B$59,0)</f>
        <v>0</v>
      </c>
      <c r="BJ228" s="41" t="n">
        <f aca="false">IF(AND(MOD(58,3)=0,BJ227&gt;0),BJ227*Assumptions!$B$59,0)</f>
        <v>0</v>
      </c>
      <c r="BK228" s="41" t="n">
        <f aca="false">IF(AND(MOD(59,3)=0,BK227&gt;0),BK227*Assumptions!$B$59,0)</f>
        <v>0</v>
      </c>
      <c r="BL228" s="41" t="n">
        <f aca="false">IF(AND(MOD(60,3)=0,BL227&gt;0),BL227*Assumptions!$B$59,0)</f>
        <v>0</v>
      </c>
      <c r="BM228" s="41" t="n">
        <f aca="false">IF(AND(MOD(61,3)=0,BM227&gt;0),BM227*Assumptions!$B$59,0)</f>
        <v>0</v>
      </c>
      <c r="BN228" s="41" t="n">
        <f aca="false">IF(AND(MOD(62,3)=0,BN227&gt;0),BN227*Assumptions!$B$59,0)</f>
        <v>0</v>
      </c>
      <c r="BO228" s="41" t="n">
        <f aca="false">IF(AND(MOD(63,3)=0,BO227&gt;0),BO227*Assumptions!$B$59,0)</f>
        <v>0</v>
      </c>
      <c r="BP228" s="41" t="n">
        <f aca="false">IF(AND(MOD(64,3)=0,BP227&gt;0),BP227*Assumptions!$B$59,0)</f>
        <v>0</v>
      </c>
      <c r="BQ228" s="41" t="n">
        <f aca="false">IF(AND(MOD(65,3)=0,BQ227&gt;0),BQ227*Assumptions!$B$59,0)</f>
        <v>0</v>
      </c>
      <c r="BR228" s="41" t="n">
        <f aca="false">IF(AND(MOD(66,3)=0,BR227&gt;0),BR227*Assumptions!$B$59,0)</f>
        <v>0</v>
      </c>
      <c r="BS228" s="41" t="n">
        <f aca="false">IF(AND(MOD(67,3)=0,BS227&gt;0),BS227*Assumptions!$B$59,0)</f>
        <v>0</v>
      </c>
      <c r="BT228" s="41" t="n">
        <f aca="false">IF(AND(MOD(68,3)=0,BT227&gt;0),BT227*Assumptions!$B$59,0)</f>
        <v>0</v>
      </c>
      <c r="BU228" s="41" t="n">
        <f aca="false">IF(AND(MOD(69,3)=0,BU227&gt;0),BU227*Assumptions!$B$59,0)</f>
        <v>0</v>
      </c>
      <c r="BV228" s="41" t="n">
        <f aca="false">IF(AND(MOD(70,3)=0,BV227&gt;0),BV227*Assumptions!$B$59,0)</f>
        <v>0</v>
      </c>
      <c r="BW228" s="41" t="n">
        <f aca="false">IF(AND(MOD(71,3)=0,BW227&gt;0),BW227*Assumptions!$B$59,0)</f>
        <v>0</v>
      </c>
      <c r="BX228" s="41" t="n">
        <f aca="false">IF(AND(MOD(72,3)=0,BX227&gt;0),BX227*Assumptions!$B$59,0)</f>
        <v>0</v>
      </c>
      <c r="BY228" s="41" t="n">
        <f aca="false">IF(AND(MOD(73,3)=0,BY227&gt;0),BY227*Assumptions!$B$59,0)</f>
        <v>0</v>
      </c>
      <c r="BZ228" s="41" t="n">
        <f aca="false">IF(AND(MOD(74,3)=0,BZ227&gt;0),BZ227*Assumptions!$B$59,0)</f>
        <v>0</v>
      </c>
      <c r="CA228" s="41" t="n">
        <f aca="false">IF(AND(MOD(75,3)=0,CA227&gt;0),CA227*Assumptions!$B$59,0)</f>
        <v>0</v>
      </c>
      <c r="CB228" s="41" t="n">
        <f aca="false">IF(AND(MOD(76,3)=0,CB227&gt;0),CB227*Assumptions!$B$59,0)</f>
        <v>0</v>
      </c>
      <c r="CC228" s="41" t="n">
        <f aca="false">IF(AND(MOD(77,3)=0,CC227&gt;0),CC227*Assumptions!$B$59,0)</f>
        <v>0</v>
      </c>
      <c r="CD228" s="41" t="n">
        <f aca="false">IF(AND(MOD(78,3)=0,CD227&gt;0),CD227*Assumptions!$B$59,0)</f>
        <v>0</v>
      </c>
      <c r="CE228" s="41" t="n">
        <f aca="false">IF(AND(MOD(79,3)=0,CE227&gt;0),CE227*Assumptions!$B$59,0)</f>
        <v>0</v>
      </c>
      <c r="CF228" s="41" t="n">
        <f aca="false">IF(AND(MOD(80,3)=0,CF227&gt;0),CF227*Assumptions!$B$59,0)</f>
        <v>0</v>
      </c>
      <c r="CG228" s="41" t="n">
        <f aca="false">IF(AND(MOD(81,3)=0,CG227&gt;0),CG227*Assumptions!$B$59,0)</f>
        <v>0</v>
      </c>
      <c r="CH228" s="41" t="n">
        <f aca="false">IF(AND(MOD(82,3)=0,CH227&gt;0),CH227*Assumptions!$B$59,0)</f>
        <v>0</v>
      </c>
      <c r="CI228" s="41" t="n">
        <f aca="false">IF(AND(MOD(83,3)=0,CI227&gt;0),CI227*Assumptions!$B$59,0)</f>
        <v>0</v>
      </c>
      <c r="CJ228" s="41" t="n">
        <f aca="false">IF(AND(MOD(84,3)=0,CJ227&gt;0),CJ227*Assumptions!$B$59,0)</f>
        <v>0</v>
      </c>
      <c r="CK228" s="41" t="n">
        <f aca="false">IF(AND(MOD(85,3)=0,CK227&gt;0),CK227*Assumptions!$B$59,0)</f>
        <v>0</v>
      </c>
      <c r="CL228" s="41" t="n">
        <f aca="false">IF(AND(MOD(86,3)=0,CL227&gt;0),CL227*Assumptions!$B$59,0)</f>
        <v>0</v>
      </c>
      <c r="CM228" s="41" t="n">
        <f aca="false">IF(AND(MOD(87,3)=0,CM227&gt;0),CM227*Assumptions!$B$59,0)</f>
        <v>0</v>
      </c>
      <c r="CN228" s="41" t="n">
        <f aca="false">IF(AND(MOD(88,3)=0,CN227&gt;0),CN227*Assumptions!$B$59,0)</f>
        <v>0</v>
      </c>
      <c r="CO228" s="41" t="n">
        <f aca="false">IF(AND(MOD(89,3)=0,CO227&gt;0),CO227*Assumptions!$B$59,0)</f>
        <v>0</v>
      </c>
      <c r="CP228" s="41" t="n">
        <f aca="false">IF(AND(MOD(90,3)=0,CP227&gt;0),CP227*Assumptions!$B$59,0)</f>
        <v>0</v>
      </c>
      <c r="CQ228" s="41" t="n">
        <f aca="false">IF(AND(MOD(91,3)=0,CQ227&gt;0),CQ227*Assumptions!$B$59,0)</f>
        <v>0</v>
      </c>
      <c r="CR228" s="41" t="n">
        <f aca="false">IF(AND(MOD(92,3)=0,CR227&gt;0),CR227*Assumptions!$B$59,0)</f>
        <v>0</v>
      </c>
      <c r="CS228" s="41" t="n">
        <f aca="false">IF(AND(MOD(93,3)=0,CS227&gt;0),CS227*Assumptions!$B$59,0)</f>
        <v>0</v>
      </c>
      <c r="CT228" s="41" t="n">
        <f aca="false">IF(AND(MOD(94,3)=0,CT227&gt;0),CT227*Assumptions!$B$59,0)</f>
        <v>0</v>
      </c>
      <c r="CU228" s="41" t="n">
        <f aca="false">IF(AND(MOD(95,3)=0,CU227&gt;0),CU227*Assumptions!$B$59,0)</f>
        <v>0</v>
      </c>
      <c r="CV228" s="41" t="n">
        <f aca="false">IF(AND(MOD(96,3)=0,CV227&gt;0),CV227*Assumptions!$B$59,0)</f>
        <v>0</v>
      </c>
      <c r="CW228" s="41" t="n">
        <f aca="false">IF(AND(MOD(97,3)=0,CW227&gt;0),CW227*Assumptions!$B$59,0)</f>
        <v>0</v>
      </c>
      <c r="CX228" s="41" t="n">
        <f aca="false">IF(AND(MOD(98,3)=0,CX227&gt;0),CX227*Assumptions!$B$59,0)</f>
        <v>0</v>
      </c>
      <c r="CY228" s="41" t="n">
        <f aca="false">IF(AND(MOD(99,3)=0,CY227&gt;0),CY227*Assumptions!$B$59,0)</f>
        <v>0</v>
      </c>
      <c r="CZ228" s="41" t="n">
        <f aca="false">IF(AND(MOD(100,3)=0,CZ227&gt;0),CZ227*Assumptions!$B$59,0)</f>
        <v>0</v>
      </c>
      <c r="DA228" s="41" t="n">
        <f aca="false">IF(AND(MOD(101,3)=0,DA227&gt;0),DA227*Assumptions!$B$59,0)</f>
        <v>0</v>
      </c>
      <c r="DB228" s="41" t="n">
        <f aca="false">IF(AND(MOD(102,3)=0,DB227&gt;0),DB227*Assumptions!$B$59,0)</f>
        <v>0</v>
      </c>
      <c r="DC228" s="41" t="n">
        <f aca="false">IF(AND(MOD(103,3)=0,DC227&gt;0),DC227*Assumptions!$B$59,0)</f>
        <v>0</v>
      </c>
      <c r="DD228" s="41" t="n">
        <f aca="false">IF(AND(MOD(104,3)=0,DD227&gt;0),DD227*Assumptions!$B$59,0)</f>
        <v>0</v>
      </c>
      <c r="DE228" s="41" t="n">
        <f aca="false">IF(AND(MOD(105,3)=0,DE227&gt;0),DE227*Assumptions!$B$59,0)</f>
        <v>0</v>
      </c>
    </row>
    <row r="229" customFormat="false" ht="15" hidden="false" customHeight="true" outlineLevel="0" collapsed="false">
      <c r="A229" s="29" t="s">
        <v>150</v>
      </c>
      <c r="B229" s="41"/>
      <c r="C229" s="41"/>
      <c r="D229" s="41"/>
      <c r="E229" s="41" t="n">
        <v>0</v>
      </c>
      <c r="F229" s="41" t="n">
        <v>0</v>
      </c>
      <c r="G229" s="41" t="n">
        <v>0</v>
      </c>
      <c r="H229" s="41" t="n">
        <v>0</v>
      </c>
      <c r="I229" s="41" t="n">
        <v>0</v>
      </c>
      <c r="J229" s="41" t="n">
        <v>0</v>
      </c>
      <c r="K229" s="41" t="n">
        <v>0</v>
      </c>
      <c r="L229" s="41" t="n">
        <v>0</v>
      </c>
      <c r="M229" s="41" t="n">
        <v>0</v>
      </c>
      <c r="N229" s="41" t="n">
        <v>0</v>
      </c>
      <c r="O229" s="41" t="n">
        <v>0</v>
      </c>
      <c r="P229" s="41" t="n">
        <v>0</v>
      </c>
      <c r="Q229" s="41" t="n">
        <v>0</v>
      </c>
      <c r="R229" s="41" t="n">
        <v>0</v>
      </c>
      <c r="S229" s="41" t="n">
        <v>0</v>
      </c>
      <c r="T229" s="41" t="n">
        <v>0</v>
      </c>
      <c r="U229" s="41" t="n">
        <v>0</v>
      </c>
      <c r="V229" s="41" t="n">
        <v>0</v>
      </c>
      <c r="W229" s="41" t="n">
        <v>0</v>
      </c>
      <c r="X229" s="41" t="n">
        <v>0</v>
      </c>
      <c r="Y229" s="41" t="n">
        <v>0</v>
      </c>
      <c r="Z229" s="41" t="n">
        <v>0</v>
      </c>
      <c r="AA229" s="41" t="n">
        <v>0</v>
      </c>
      <c r="AB229" s="41" t="n">
        <v>0</v>
      </c>
      <c r="AC229" s="41" t="n">
        <v>0</v>
      </c>
      <c r="AD229" s="41" t="n">
        <v>0</v>
      </c>
      <c r="AE229" s="41" t="n">
        <v>0</v>
      </c>
      <c r="AF229" s="41" t="n">
        <v>0</v>
      </c>
      <c r="AG229" s="41" t="n">
        <v>0</v>
      </c>
      <c r="AH229" s="41" t="n">
        <v>0</v>
      </c>
      <c r="AI229" s="41" t="n">
        <v>0</v>
      </c>
      <c r="AJ229" s="41" t="n">
        <v>0</v>
      </c>
      <c r="AK229" s="41" t="n">
        <v>0</v>
      </c>
      <c r="AL229" s="41" t="n">
        <v>0</v>
      </c>
      <c r="AM229" s="41" t="n">
        <v>0</v>
      </c>
      <c r="AN229" s="41" t="n">
        <v>0</v>
      </c>
      <c r="AO229" s="41" t="n">
        <v>0</v>
      </c>
      <c r="AP229" s="41" t="n">
        <v>0</v>
      </c>
      <c r="AQ229" s="41" t="n">
        <v>0</v>
      </c>
      <c r="AR229" s="41" t="n">
        <v>0</v>
      </c>
      <c r="AS229" s="41" t="n">
        <v>0</v>
      </c>
      <c r="AT229" s="41" t="n">
        <v>0</v>
      </c>
      <c r="AU229" s="41" t="n">
        <v>0</v>
      </c>
      <c r="AV229" s="41" t="n">
        <v>0</v>
      </c>
      <c r="AW229" s="41" t="n">
        <v>0</v>
      </c>
      <c r="AX229" s="41" t="n">
        <v>0</v>
      </c>
      <c r="AY229" s="41" t="n">
        <v>0</v>
      </c>
      <c r="AZ229" s="41" t="n">
        <v>0</v>
      </c>
      <c r="BA229" s="41" t="n">
        <v>0</v>
      </c>
      <c r="BB229" s="41" t="n">
        <v>0</v>
      </c>
      <c r="BC229" s="41" t="n">
        <v>0</v>
      </c>
      <c r="BD229" s="41" t="n">
        <v>0</v>
      </c>
      <c r="BE229" s="41" t="n">
        <v>0</v>
      </c>
      <c r="BF229" s="41" t="n">
        <v>0</v>
      </c>
      <c r="BG229" s="41" t="n">
        <v>0</v>
      </c>
      <c r="BH229" s="41" t="n">
        <v>0</v>
      </c>
      <c r="BI229" s="41" t="n">
        <v>0</v>
      </c>
      <c r="BJ229" s="41" t="n">
        <v>0</v>
      </c>
      <c r="BK229" s="41" t="n">
        <v>0</v>
      </c>
      <c r="BL229" s="41" t="n">
        <v>0</v>
      </c>
      <c r="BM229" s="41" t="n">
        <v>0</v>
      </c>
      <c r="BN229" s="41" t="n">
        <v>0</v>
      </c>
      <c r="BO229" s="41" t="n">
        <v>0</v>
      </c>
      <c r="BP229" s="41" t="n">
        <v>0</v>
      </c>
      <c r="BQ229" s="41" t="n">
        <v>0</v>
      </c>
      <c r="BR229" s="41" t="n">
        <v>0</v>
      </c>
      <c r="BS229" s="41" t="n">
        <v>0</v>
      </c>
      <c r="BT229" s="41" t="n">
        <v>0</v>
      </c>
      <c r="BU229" s="41" t="n">
        <v>0</v>
      </c>
      <c r="BV229" s="41" t="n">
        <v>0</v>
      </c>
      <c r="BW229" s="41" t="n">
        <v>0</v>
      </c>
      <c r="BX229" s="41" t="n">
        <v>0</v>
      </c>
      <c r="BY229" s="41" t="n">
        <v>0</v>
      </c>
      <c r="BZ229" s="41" t="n">
        <v>0</v>
      </c>
      <c r="CA229" s="41" t="n">
        <v>0</v>
      </c>
      <c r="CB229" s="41" t="n">
        <v>0</v>
      </c>
      <c r="CC229" s="41" t="n">
        <v>0</v>
      </c>
      <c r="CD229" s="41" t="n">
        <v>0</v>
      </c>
      <c r="CE229" s="41" t="n">
        <v>0</v>
      </c>
      <c r="CF229" s="41" t="n">
        <v>0</v>
      </c>
      <c r="CG229" s="41" t="n">
        <v>0</v>
      </c>
      <c r="CH229" s="41" t="n">
        <v>0</v>
      </c>
      <c r="CI229" s="41" t="n">
        <v>0</v>
      </c>
      <c r="CJ229" s="41" t="n">
        <v>0</v>
      </c>
      <c r="CK229" s="41" t="n">
        <v>0</v>
      </c>
      <c r="CL229" s="41" t="n">
        <v>0</v>
      </c>
      <c r="CM229" s="41" t="n">
        <v>0</v>
      </c>
      <c r="CN229" s="41" t="n">
        <v>0</v>
      </c>
      <c r="CO229" s="41" t="n">
        <v>0</v>
      </c>
      <c r="CP229" s="41" t="n">
        <v>0</v>
      </c>
      <c r="CQ229" s="41" t="n">
        <v>0</v>
      </c>
      <c r="CR229" s="41" t="n">
        <v>0</v>
      </c>
      <c r="CS229" s="41" t="n">
        <v>0</v>
      </c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</row>
    <row r="230" customFormat="false" ht="15" hidden="false" customHeight="true" outlineLevel="0" collapsed="false">
      <c r="A230" s="59" t="s">
        <v>151</v>
      </c>
      <c r="B230" s="60"/>
      <c r="C230" s="60"/>
      <c r="D230" s="60"/>
      <c r="E230" s="60" t="n">
        <v>0</v>
      </c>
      <c r="F230" s="60" t="n">
        <v>0</v>
      </c>
      <c r="G230" s="60" t="n">
        <v>0</v>
      </c>
      <c r="H230" s="60" t="n">
        <v>0</v>
      </c>
      <c r="I230" s="60" t="n">
        <v>0</v>
      </c>
      <c r="J230" s="60" t="n">
        <v>0</v>
      </c>
      <c r="K230" s="60" t="n">
        <v>0</v>
      </c>
      <c r="L230" s="60" t="n">
        <v>0</v>
      </c>
      <c r="M230" s="60" t="n">
        <v>0</v>
      </c>
      <c r="N230" s="60" t="n">
        <v>0</v>
      </c>
      <c r="O230" s="60" t="n">
        <v>0</v>
      </c>
      <c r="P230" s="60" t="n">
        <v>0</v>
      </c>
      <c r="Q230" s="60" t="n">
        <v>0</v>
      </c>
      <c r="R230" s="60" t="n">
        <v>0</v>
      </c>
      <c r="S230" s="60" t="n">
        <v>0</v>
      </c>
      <c r="T230" s="60" t="n">
        <v>0</v>
      </c>
      <c r="U230" s="60" t="n">
        <v>0</v>
      </c>
      <c r="V230" s="60" t="n">
        <v>0</v>
      </c>
      <c r="W230" s="60" t="n">
        <v>0</v>
      </c>
      <c r="X230" s="60" t="n">
        <v>0</v>
      </c>
      <c r="Y230" s="60" t="n">
        <v>0</v>
      </c>
      <c r="Z230" s="60" t="n">
        <v>0</v>
      </c>
      <c r="AA230" s="60" t="n">
        <v>0</v>
      </c>
      <c r="AB230" s="60" t="n">
        <v>0</v>
      </c>
      <c r="AC230" s="60" t="n">
        <v>0</v>
      </c>
      <c r="AD230" s="60" t="n">
        <v>0</v>
      </c>
      <c r="AE230" s="60" t="n">
        <v>0</v>
      </c>
      <c r="AF230" s="60" t="n">
        <v>0</v>
      </c>
      <c r="AG230" s="60" t="n">
        <v>0</v>
      </c>
      <c r="AH230" s="60" t="n">
        <v>0</v>
      </c>
      <c r="AI230" s="60" t="n">
        <v>0</v>
      </c>
      <c r="AJ230" s="60" t="n">
        <v>0</v>
      </c>
      <c r="AK230" s="60" t="n">
        <v>0</v>
      </c>
      <c r="AL230" s="60" t="n">
        <v>0</v>
      </c>
      <c r="AM230" s="60" t="n">
        <v>0</v>
      </c>
      <c r="AN230" s="60" t="n">
        <v>0</v>
      </c>
      <c r="AO230" s="60" t="n">
        <v>0</v>
      </c>
      <c r="AP230" s="60" t="n">
        <v>0</v>
      </c>
      <c r="AQ230" s="60" t="n">
        <v>0</v>
      </c>
      <c r="AR230" s="60" t="n">
        <v>0</v>
      </c>
      <c r="AS230" s="60" t="n">
        <v>0</v>
      </c>
      <c r="AT230" s="60" t="n">
        <v>0</v>
      </c>
      <c r="AU230" s="60" t="n">
        <v>0</v>
      </c>
      <c r="AV230" s="60" t="n">
        <v>0</v>
      </c>
      <c r="AW230" s="60" t="n">
        <v>0</v>
      </c>
      <c r="AX230" s="60" t="n">
        <v>0</v>
      </c>
      <c r="AY230" s="60" t="n">
        <v>0</v>
      </c>
      <c r="AZ230" s="60" t="n">
        <v>0</v>
      </c>
      <c r="BA230" s="60" t="n">
        <v>0</v>
      </c>
      <c r="BB230" s="60" t="n">
        <v>0</v>
      </c>
      <c r="BC230" s="60" t="n">
        <v>0</v>
      </c>
      <c r="BD230" s="60" t="n">
        <v>0</v>
      </c>
      <c r="BE230" s="60" t="n">
        <v>0</v>
      </c>
      <c r="BF230" s="60" t="n">
        <v>0</v>
      </c>
      <c r="BG230" s="60" t="n">
        <v>0</v>
      </c>
      <c r="BH230" s="60" t="n">
        <v>0</v>
      </c>
      <c r="BI230" s="60" t="n">
        <v>0</v>
      </c>
      <c r="BJ230" s="60" t="n">
        <v>0</v>
      </c>
      <c r="BK230" s="60" t="n">
        <v>0</v>
      </c>
      <c r="BL230" s="60" t="n">
        <v>0</v>
      </c>
      <c r="BM230" s="60" t="n">
        <v>0</v>
      </c>
      <c r="BN230" s="60" t="n">
        <v>0</v>
      </c>
      <c r="BO230" s="60" t="n">
        <v>0</v>
      </c>
      <c r="BP230" s="60" t="n">
        <v>0</v>
      </c>
      <c r="BQ230" s="60" t="n">
        <v>0</v>
      </c>
      <c r="BR230" s="60" t="n">
        <v>0</v>
      </c>
      <c r="BS230" s="60" t="n">
        <v>0</v>
      </c>
      <c r="BT230" s="60" t="n">
        <v>0</v>
      </c>
      <c r="BU230" s="60" t="n">
        <v>0</v>
      </c>
      <c r="BV230" s="60" t="n">
        <v>0</v>
      </c>
      <c r="BW230" s="60" t="n">
        <v>0</v>
      </c>
      <c r="BX230" s="60" t="n">
        <v>0</v>
      </c>
      <c r="BY230" s="60" t="n">
        <v>0</v>
      </c>
      <c r="BZ230" s="60" t="n">
        <v>0</v>
      </c>
      <c r="CA230" s="60" t="n">
        <v>0</v>
      </c>
      <c r="CB230" s="60" t="n">
        <v>0</v>
      </c>
      <c r="CC230" s="60" t="n">
        <v>0</v>
      </c>
      <c r="CD230" s="60" t="n">
        <v>0</v>
      </c>
      <c r="CE230" s="60" t="n">
        <v>0</v>
      </c>
      <c r="CF230" s="60" t="n">
        <v>0</v>
      </c>
      <c r="CG230" s="60" t="n">
        <v>0</v>
      </c>
      <c r="CH230" s="60" t="n">
        <v>0</v>
      </c>
      <c r="CI230" s="60" t="n">
        <v>0</v>
      </c>
      <c r="CJ230" s="60" t="n">
        <v>0</v>
      </c>
      <c r="CK230" s="60" t="n">
        <v>0</v>
      </c>
      <c r="CL230" s="60" t="n">
        <v>0</v>
      </c>
      <c r="CM230" s="60" t="n">
        <v>0</v>
      </c>
      <c r="CN230" s="60" t="n">
        <v>0</v>
      </c>
      <c r="CO230" s="60" t="n">
        <v>0</v>
      </c>
      <c r="CP230" s="60" t="n">
        <v>0</v>
      </c>
      <c r="CQ230" s="60" t="n">
        <v>0</v>
      </c>
      <c r="CR230" s="60" t="n">
        <v>0</v>
      </c>
      <c r="CS230" s="60" t="n">
        <v>0</v>
      </c>
      <c r="CT230" s="60"/>
      <c r="CU230" s="60"/>
      <c r="CV230" s="60"/>
      <c r="CW230" s="60"/>
      <c r="CX230" s="60"/>
      <c r="CY230" s="60"/>
      <c r="CZ230" s="60"/>
      <c r="DA230" s="60"/>
      <c r="DB230" s="60"/>
      <c r="DC230" s="60"/>
      <c r="DD230" s="60"/>
      <c r="DE230" s="60"/>
    </row>
    <row r="231" customFormat="false" ht="15" hidden="false" customHeight="true" outlineLevel="0" collapsed="false">
      <c r="A231" s="61" t="s">
        <v>152</v>
      </c>
      <c r="B231" s="62"/>
      <c r="C231" s="62"/>
      <c r="D231" s="62"/>
      <c r="E231" s="62" t="n">
        <f aca="false">MAX(0,E227+E228+E229+E230)</f>
        <v>0</v>
      </c>
      <c r="F231" s="62" t="n">
        <f aca="false">MAX(0,F227+F228+F229+F230)</f>
        <v>0</v>
      </c>
      <c r="G231" s="62" t="n">
        <f aca="false">MAX(0,G227+G228+G229+G230)</f>
        <v>0</v>
      </c>
      <c r="H231" s="62" t="n">
        <f aca="false">MAX(0,H227+H228+H229+H230)</f>
        <v>0</v>
      </c>
      <c r="I231" s="62" t="n">
        <f aca="false">MAX(0,I227+I228+I229+I230)</f>
        <v>0</v>
      </c>
      <c r="J231" s="62" t="n">
        <f aca="false">MAX(0,J227+J228+J229+J230)</f>
        <v>0</v>
      </c>
      <c r="K231" s="62" t="n">
        <f aca="false">MAX(0,K227+K228+K229+K230)</f>
        <v>0</v>
      </c>
      <c r="L231" s="62" t="n">
        <f aca="false">MAX(0,L227+L228+L229+L230)</f>
        <v>0</v>
      </c>
      <c r="M231" s="62" t="n">
        <f aca="false">MAX(0,M227+M228+M229+M230)</f>
        <v>0</v>
      </c>
      <c r="N231" s="62" t="n">
        <f aca="false">MAX(0,N227+N228+N229+N230)</f>
        <v>0</v>
      </c>
      <c r="O231" s="62" t="n">
        <f aca="false">MAX(0,O227+O228+O229+O230)</f>
        <v>0</v>
      </c>
      <c r="P231" s="62" t="n">
        <f aca="false">MAX(0,P227+P228+P229+P230)</f>
        <v>0</v>
      </c>
      <c r="Q231" s="62" t="n">
        <f aca="false">MAX(0,Q227+Q228+Q229+Q230)</f>
        <v>0</v>
      </c>
      <c r="R231" s="62" t="n">
        <f aca="false">MAX(0,R227+R228+R229+R230)</f>
        <v>0</v>
      </c>
      <c r="S231" s="62" t="n">
        <f aca="false">MAX(0,S227+S228+S229+S230)</f>
        <v>0</v>
      </c>
      <c r="T231" s="62" t="n">
        <f aca="false">MAX(0,T227+T228+T229+T230)</f>
        <v>0</v>
      </c>
      <c r="U231" s="62" t="n">
        <f aca="false">MAX(0,U227+U228+U229+U230)</f>
        <v>0</v>
      </c>
      <c r="V231" s="62" t="n">
        <f aca="false">MAX(0,V227+V228+V229+V230)</f>
        <v>0</v>
      </c>
      <c r="W231" s="62" t="n">
        <f aca="false">MAX(0,W227+W228+W229+W230)</f>
        <v>0</v>
      </c>
      <c r="X231" s="62" t="n">
        <f aca="false">MAX(0,X227+X228+X229+X230)</f>
        <v>0</v>
      </c>
      <c r="Y231" s="62" t="n">
        <f aca="false">MAX(0,Y227+Y228+Y229+Y230)</f>
        <v>0</v>
      </c>
      <c r="Z231" s="62" t="n">
        <f aca="false">MAX(0,Z227+Z228+Z229+Z230)</f>
        <v>0</v>
      </c>
      <c r="AA231" s="62" t="n">
        <f aca="false">MAX(0,AA227+AA228+AA229+AA230)</f>
        <v>0</v>
      </c>
      <c r="AB231" s="62" t="n">
        <f aca="false">MAX(0,AB227+AB228+AB229+AB230)</f>
        <v>0</v>
      </c>
      <c r="AC231" s="62" t="n">
        <f aca="false">MAX(0,AC227+AC228+AC229+AC230)</f>
        <v>0</v>
      </c>
      <c r="AD231" s="62" t="n">
        <f aca="false">MAX(0,AD227+AD228+AD229+AD230)</f>
        <v>0</v>
      </c>
      <c r="AE231" s="62" t="n">
        <f aca="false">MAX(0,AE227+AE228+AE229+AE230)</f>
        <v>0</v>
      </c>
      <c r="AF231" s="62" t="n">
        <f aca="false">MAX(0,AF227+AF228+AF229+AF230)</f>
        <v>0</v>
      </c>
      <c r="AG231" s="62" t="n">
        <f aca="false">MAX(0,AG227+AG228+AG229+AG230)</f>
        <v>0</v>
      </c>
      <c r="AH231" s="62" t="n">
        <f aca="false">MAX(0,AH227+AH228+AH229+AH230)</f>
        <v>0</v>
      </c>
      <c r="AI231" s="62" t="n">
        <f aca="false">MAX(0,AI227+AI228+AI229+AI230)</f>
        <v>0</v>
      </c>
      <c r="AJ231" s="62" t="n">
        <f aca="false">MAX(0,AJ227+AJ228+AJ229+AJ230)</f>
        <v>0</v>
      </c>
      <c r="AK231" s="62" t="n">
        <f aca="false">MAX(0,AK227+AK228+AK229+AK230)</f>
        <v>0</v>
      </c>
      <c r="AL231" s="62" t="n">
        <f aca="false">MAX(0,AL227+AL228+AL229+AL230)</f>
        <v>0</v>
      </c>
      <c r="AM231" s="62" t="n">
        <f aca="false">MAX(0,AM227+AM228+AM229+AM230)</f>
        <v>0</v>
      </c>
      <c r="AN231" s="62" t="n">
        <f aca="false">MAX(0,AN227+AN228+AN229+AN230)</f>
        <v>0</v>
      </c>
      <c r="AO231" s="62" t="n">
        <f aca="false">MAX(0,AO227+AO228+AO229+AO230)</f>
        <v>0</v>
      </c>
      <c r="AP231" s="62" t="n">
        <f aca="false">MAX(0,AP227+AP228+AP229+AP230)</f>
        <v>0</v>
      </c>
      <c r="AQ231" s="62" t="n">
        <f aca="false">MAX(0,AQ227+AQ228+AQ229+AQ230)</f>
        <v>0</v>
      </c>
      <c r="AR231" s="62" t="n">
        <f aca="false">MAX(0,AR227+AR228+AR229+AR230)</f>
        <v>0</v>
      </c>
      <c r="AS231" s="62" t="n">
        <f aca="false">MAX(0,AS227+AS228+AS229+AS230)</f>
        <v>0</v>
      </c>
      <c r="AT231" s="62" t="n">
        <f aca="false">MAX(0,AT227+AT228+AT229+AT230)</f>
        <v>0</v>
      </c>
      <c r="AU231" s="62" t="n">
        <f aca="false">MAX(0,AU227+AU228+AU229+AU230)</f>
        <v>0</v>
      </c>
      <c r="AV231" s="62" t="n">
        <f aca="false">MAX(0,AV227+AV228+AV229+AV230)</f>
        <v>0</v>
      </c>
      <c r="AW231" s="62" t="n">
        <f aca="false">MAX(0,AW227+AW228+AW229+AW230)</f>
        <v>0</v>
      </c>
      <c r="AX231" s="62" t="n">
        <f aca="false">MAX(0,AX227+AX228+AX229+AX230)</f>
        <v>0</v>
      </c>
      <c r="AY231" s="62" t="n">
        <f aca="false">MAX(0,AY227+AY228+AY229+AY230)</f>
        <v>0</v>
      </c>
      <c r="AZ231" s="62" t="n">
        <f aca="false">MAX(0,AZ227+AZ228+AZ229+AZ230)</f>
        <v>0</v>
      </c>
      <c r="BA231" s="62" t="n">
        <f aca="false">MAX(0,BA227+BA228+BA229+BA230)</f>
        <v>0</v>
      </c>
      <c r="BB231" s="62" t="n">
        <f aca="false">MAX(0,BB227+BB228+BB229+BB230)</f>
        <v>0</v>
      </c>
      <c r="BC231" s="62" t="n">
        <f aca="false">MAX(0,BC227+BC228+BC229+BC230)</f>
        <v>0</v>
      </c>
      <c r="BD231" s="62" t="n">
        <f aca="false">MAX(0,BD227+BD228+BD229+BD230)</f>
        <v>0</v>
      </c>
      <c r="BE231" s="62" t="n">
        <f aca="false">MAX(0,BE227+BE228+BE229+BE230)</f>
        <v>0</v>
      </c>
      <c r="BF231" s="62" t="n">
        <f aca="false">MAX(0,BF227+BF228+BF229+BF230)</f>
        <v>0</v>
      </c>
      <c r="BG231" s="62" t="n">
        <f aca="false">MAX(0,BG227+BG228+BG229+BG230)</f>
        <v>0</v>
      </c>
      <c r="BH231" s="62" t="n">
        <f aca="false">MAX(0,BH227+BH228+BH229+BH230)</f>
        <v>0</v>
      </c>
      <c r="BI231" s="62" t="n">
        <f aca="false">MAX(0,BI227+BI228+BI229+BI230)</f>
        <v>0</v>
      </c>
      <c r="BJ231" s="62" t="n">
        <f aca="false">MAX(0,BJ227+BJ228+BJ229+BJ230)</f>
        <v>0</v>
      </c>
      <c r="BK231" s="62" t="n">
        <f aca="false">MAX(0,BK227+BK228+BK229+BK230)</f>
        <v>0</v>
      </c>
      <c r="BL231" s="62" t="n">
        <f aca="false">MAX(0,BL227+BL228+BL229+BL230)</f>
        <v>0</v>
      </c>
      <c r="BM231" s="62" t="n">
        <f aca="false">MAX(0,BM227+BM228+BM229+BM230)</f>
        <v>0</v>
      </c>
      <c r="BN231" s="62" t="n">
        <f aca="false">MAX(0,BN227+BN228+BN229+BN230)</f>
        <v>0</v>
      </c>
      <c r="BO231" s="62" t="n">
        <f aca="false">MAX(0,BO227+BO228+BO229+BO230)</f>
        <v>0</v>
      </c>
      <c r="BP231" s="62" t="n">
        <f aca="false">MAX(0,BP227+BP228+BP229+BP230)</f>
        <v>0</v>
      </c>
      <c r="BQ231" s="62" t="n">
        <f aca="false">MAX(0,BQ227+BQ228+BQ229+BQ230)</f>
        <v>0</v>
      </c>
      <c r="BR231" s="62" t="n">
        <f aca="false">MAX(0,BR227+BR228+BR229+BR230)</f>
        <v>0</v>
      </c>
      <c r="BS231" s="62" t="n">
        <f aca="false">MAX(0,BS227+BS228+BS229+BS230)</f>
        <v>0</v>
      </c>
      <c r="BT231" s="62" t="n">
        <f aca="false">MAX(0,BT227+BT228+BT229+BT230)</f>
        <v>0</v>
      </c>
      <c r="BU231" s="62" t="n">
        <f aca="false">MAX(0,BU227+BU228+BU229+BU230)</f>
        <v>0</v>
      </c>
      <c r="BV231" s="62" t="n">
        <f aca="false">MAX(0,BV227+BV228+BV229+BV230)</f>
        <v>0</v>
      </c>
      <c r="BW231" s="62" t="n">
        <f aca="false">MAX(0,BW227+BW228+BW229+BW230)</f>
        <v>0</v>
      </c>
      <c r="BX231" s="62" t="n">
        <f aca="false">MAX(0,BX227+BX228+BX229+BX230)</f>
        <v>0</v>
      </c>
      <c r="BY231" s="62" t="n">
        <f aca="false">MAX(0,BY227+BY228+BY229+BY230)</f>
        <v>0</v>
      </c>
      <c r="BZ231" s="62" t="n">
        <f aca="false">MAX(0,BZ227+BZ228+BZ229+BZ230)</f>
        <v>0</v>
      </c>
      <c r="CA231" s="62" t="n">
        <f aca="false">MAX(0,CA227+CA228+CA229+CA230)</f>
        <v>0</v>
      </c>
      <c r="CB231" s="62" t="n">
        <f aca="false">MAX(0,CB227+CB228+CB229+CB230)</f>
        <v>0</v>
      </c>
      <c r="CC231" s="62" t="n">
        <f aca="false">MAX(0,CC227+CC228+CC229+CC230)</f>
        <v>0</v>
      </c>
      <c r="CD231" s="62" t="n">
        <f aca="false">MAX(0,CD227+CD228+CD229+CD230)</f>
        <v>0</v>
      </c>
      <c r="CE231" s="62" t="n">
        <f aca="false">MAX(0,CE227+CE228+CE229+CE230)</f>
        <v>0</v>
      </c>
      <c r="CF231" s="62" t="n">
        <f aca="false">MAX(0,CF227+CF228+CF229+CF230)</f>
        <v>0</v>
      </c>
      <c r="CG231" s="62" t="n">
        <f aca="false">MAX(0,CG227+CG228+CG229+CG230)</f>
        <v>0</v>
      </c>
      <c r="CH231" s="62" t="n">
        <f aca="false">MAX(0,CH227+CH228+CH229+CH230)</f>
        <v>0</v>
      </c>
      <c r="CI231" s="62" t="n">
        <f aca="false">MAX(0,CI227+CI228+CI229+CI230)</f>
        <v>0</v>
      </c>
      <c r="CJ231" s="62" t="n">
        <f aca="false">MAX(0,CJ227+CJ228+CJ229+CJ230)</f>
        <v>0</v>
      </c>
      <c r="CK231" s="62" t="n">
        <f aca="false">MAX(0,CK227+CK228+CK229+CK230)</f>
        <v>0</v>
      </c>
      <c r="CL231" s="62" t="n">
        <f aca="false">MAX(0,CL227+CL228+CL229+CL230)</f>
        <v>0</v>
      </c>
      <c r="CM231" s="62" t="n">
        <f aca="false">MAX(0,CM227+CM228+CM229+CM230)</f>
        <v>0</v>
      </c>
      <c r="CN231" s="62" t="n">
        <f aca="false">MAX(0,CN227+CN228+CN229+CN230)</f>
        <v>0</v>
      </c>
      <c r="CO231" s="62" t="n">
        <f aca="false">MAX(0,CO227+CO228+CO229+CO230)</f>
        <v>0</v>
      </c>
      <c r="CP231" s="62" t="n">
        <f aca="false">MAX(0,CP227+CP228+CP229+CP230)</f>
        <v>0</v>
      </c>
      <c r="CQ231" s="62" t="n">
        <f aca="false">MAX(0,CQ227+CQ228+CQ229+CQ230)</f>
        <v>0</v>
      </c>
      <c r="CR231" s="62" t="n">
        <f aca="false">MAX(0,CR227+CR228+CR229+CR230)</f>
        <v>0</v>
      </c>
      <c r="CS231" s="62" t="n">
        <f aca="false">MAX(0,CS227+CS228+CS229+CS230)</f>
        <v>0</v>
      </c>
      <c r="CT231" s="62" t="n">
        <f aca="false">MAX(0,CT227+CT228+CT229+CT230)</f>
        <v>0</v>
      </c>
      <c r="CU231" s="62" t="n">
        <f aca="false">MAX(0,CU227+CU228+CU229+CU230)</f>
        <v>0</v>
      </c>
      <c r="CV231" s="62" t="n">
        <f aca="false">MAX(0,CV227+CV228+CV229+CV230)</f>
        <v>0</v>
      </c>
      <c r="CW231" s="62" t="n">
        <f aca="false">MAX(0,CW227+CW228+CW229+CW230)</f>
        <v>0</v>
      </c>
      <c r="CX231" s="62" t="n">
        <f aca="false">MAX(0,CX227+CX228+CX229+CX230)</f>
        <v>0</v>
      </c>
      <c r="CY231" s="62" t="n">
        <f aca="false">MAX(0,CY227+CY228+CY229+CY230)</f>
        <v>0</v>
      </c>
      <c r="CZ231" s="62" t="n">
        <f aca="false">MAX(0,CZ227+CZ228+CZ229+CZ230)</f>
        <v>0</v>
      </c>
      <c r="DA231" s="62" t="n">
        <f aca="false">MAX(0,DA227+DA228+DA229+DA230)</f>
        <v>0</v>
      </c>
      <c r="DB231" s="62" t="n">
        <f aca="false">MAX(0,DB227+DB228+DB229+DB230)</f>
        <v>0</v>
      </c>
      <c r="DC231" s="62" t="n">
        <f aca="false">MAX(0,DC227+DC228+DC229+DC230)</f>
        <v>0</v>
      </c>
      <c r="DD231" s="62" t="n">
        <f aca="false">MAX(0,DD227+DD228+DD229+DD230)</f>
        <v>0</v>
      </c>
      <c r="DE231" s="62" t="n">
        <f aca="false">MAX(0,DE227+DE228+DE229+DE230)</f>
        <v>0</v>
      </c>
    </row>
    <row r="232" customFormat="false" ht="15" hidden="false" customHeight="true" outlineLevel="0" collapsed="false">
      <c r="A232" s="29" t="s">
        <v>153</v>
      </c>
      <c r="B232" s="41"/>
      <c r="C232" s="41"/>
      <c r="D232" s="41"/>
      <c r="E232" s="41" t="n">
        <f aca="false">IF(AND(Projects!$G$12="Yes",Projects!$C$12&lt;=1),Assumptions!$B$61,0)</f>
        <v>0</v>
      </c>
      <c r="F232" s="41" t="n">
        <f aca="false">IF(AND(Projects!$G$12="Yes",2=Projects!$C$12),Assumptions!$B$61,E236)</f>
        <v>0</v>
      </c>
      <c r="G232" s="41" t="n">
        <f aca="false">IF(AND(Projects!$G$12="Yes",3=Projects!$C$12),Assumptions!$B$61,F236)</f>
        <v>0</v>
      </c>
      <c r="H232" s="41" t="n">
        <f aca="false">IF(AND(Projects!$G$12="Yes",4=Projects!$C$12),Assumptions!$B$61,G236)</f>
        <v>0</v>
      </c>
      <c r="I232" s="41" t="n">
        <f aca="false">IF(AND(Projects!$G$12="Yes",5=Projects!$C$12),Assumptions!$B$61,H236)</f>
        <v>0</v>
      </c>
      <c r="J232" s="41" t="n">
        <f aca="false">IF(AND(Projects!$G$12="Yes",6=Projects!$C$12),Assumptions!$B$61,I236)</f>
        <v>0</v>
      </c>
      <c r="K232" s="41" t="n">
        <f aca="false">IF(AND(Projects!$G$12="Yes",7=Projects!$C$12),Assumptions!$B$61,J236)</f>
        <v>0</v>
      </c>
      <c r="L232" s="41" t="n">
        <f aca="false">IF(AND(Projects!$G$12="Yes",8=Projects!$C$12),Assumptions!$B$61,K236)</f>
        <v>0</v>
      </c>
      <c r="M232" s="41" t="n">
        <f aca="false">IF(AND(Projects!$G$12="Yes",9=Projects!$C$12),Assumptions!$B$61,L236)</f>
        <v>0</v>
      </c>
      <c r="N232" s="41" t="n">
        <f aca="false">IF(AND(Projects!$G$12="Yes",10=Projects!$C$12),Assumptions!$B$61,M236)</f>
        <v>0</v>
      </c>
      <c r="O232" s="41" t="n">
        <f aca="false">IF(AND(Projects!$G$12="Yes",11=Projects!$C$12),Assumptions!$B$61,N236)</f>
        <v>0</v>
      </c>
      <c r="P232" s="41" t="n">
        <f aca="false">IF(AND(Projects!$G$12="Yes",12=Projects!$C$12),Assumptions!$B$61,O236)</f>
        <v>0</v>
      </c>
      <c r="Q232" s="41" t="n">
        <f aca="false">IF(AND(Projects!$G$12="Yes",13=Projects!$C$12),Assumptions!$B$61,P236)</f>
        <v>0</v>
      </c>
      <c r="R232" s="41" t="n">
        <f aca="false">IF(AND(Projects!$G$12="Yes",14=Projects!$C$12),Assumptions!$B$61,Q236)</f>
        <v>0</v>
      </c>
      <c r="S232" s="41" t="n">
        <f aca="false">IF(AND(Projects!$G$12="Yes",15=Projects!$C$12),Assumptions!$B$61,R236)</f>
        <v>0</v>
      </c>
      <c r="T232" s="41" t="n">
        <f aca="false">IF(AND(Projects!$G$12="Yes",16=Projects!$C$12),Assumptions!$B$61,S236)</f>
        <v>0</v>
      </c>
      <c r="U232" s="41" t="n">
        <f aca="false">IF(AND(Projects!$G$12="Yes",17=Projects!$C$12),Assumptions!$B$61,T236)</f>
        <v>0</v>
      </c>
      <c r="V232" s="41" t="n">
        <f aca="false">IF(AND(Projects!$G$12="Yes",18=Projects!$C$12),Assumptions!$B$61,U236)</f>
        <v>0</v>
      </c>
      <c r="W232" s="41" t="n">
        <f aca="false">IF(AND(Projects!$G$12="Yes",19=Projects!$C$12),Assumptions!$B$61,V236)</f>
        <v>0</v>
      </c>
      <c r="X232" s="41" t="n">
        <f aca="false">IF(AND(Projects!$G$12="Yes",20=Projects!$C$12),Assumptions!$B$61,W236)</f>
        <v>0</v>
      </c>
      <c r="Y232" s="41" t="n">
        <f aca="false">IF(AND(Projects!$G$12="Yes",21=Projects!$C$12),Assumptions!$B$61,X236)</f>
        <v>0</v>
      </c>
      <c r="Z232" s="41" t="n">
        <f aca="false">IF(AND(Projects!$G$12="Yes",22=Projects!$C$12),Assumptions!$B$61,Y236)</f>
        <v>0</v>
      </c>
      <c r="AA232" s="41" t="n">
        <f aca="false">IF(AND(Projects!$G$12="Yes",23=Projects!$C$12),Assumptions!$B$61,Z236)</f>
        <v>0</v>
      </c>
      <c r="AB232" s="41" t="n">
        <f aca="false">IF(AND(Projects!$G$12="Yes",24=Projects!$C$12),Assumptions!$B$61,AA236)</f>
        <v>0</v>
      </c>
      <c r="AC232" s="41" t="n">
        <f aca="false">IF(AND(Projects!$G$12="Yes",25=Projects!$C$12),Assumptions!$B$61,AB236)</f>
        <v>0</v>
      </c>
      <c r="AD232" s="41" t="n">
        <f aca="false">IF(AND(Projects!$G$12="Yes",26=Projects!$C$12),Assumptions!$B$61,AC236)</f>
        <v>0</v>
      </c>
      <c r="AE232" s="41" t="n">
        <f aca="false">IF(AND(Projects!$G$12="Yes",27=Projects!$C$12),Assumptions!$B$61,AD236)</f>
        <v>0</v>
      </c>
      <c r="AF232" s="41" t="n">
        <f aca="false">IF(AND(Projects!$G$12="Yes",28=Projects!$C$12),Assumptions!$B$61,AE236)</f>
        <v>0</v>
      </c>
      <c r="AG232" s="41" t="n">
        <f aca="false">IF(AND(Projects!$G$12="Yes",29=Projects!$C$12),Assumptions!$B$61,AF236)</f>
        <v>0</v>
      </c>
      <c r="AH232" s="41" t="n">
        <f aca="false">IF(AND(Projects!$G$12="Yes",30=Projects!$C$12),Assumptions!$B$61,AG236)</f>
        <v>0</v>
      </c>
      <c r="AI232" s="41" t="n">
        <f aca="false">IF(AND(Projects!$G$12="Yes",31=Projects!$C$12),Assumptions!$B$61,AH236)</f>
        <v>0</v>
      </c>
      <c r="AJ232" s="41" t="n">
        <f aca="false">IF(AND(Projects!$G$12="Yes",32=Projects!$C$12),Assumptions!$B$61,AI236)</f>
        <v>0</v>
      </c>
      <c r="AK232" s="41" t="n">
        <f aca="false">IF(AND(Projects!$G$12="Yes",33=Projects!$C$12),Assumptions!$B$61,AJ236)</f>
        <v>0</v>
      </c>
      <c r="AL232" s="41" t="n">
        <f aca="false">IF(AND(Projects!$G$12="Yes",34=Projects!$C$12),Assumptions!$B$61,AK236)</f>
        <v>0</v>
      </c>
      <c r="AM232" s="41" t="n">
        <f aca="false">IF(AND(Projects!$G$12="Yes",35=Projects!$C$12),Assumptions!$B$61,AL236)</f>
        <v>0</v>
      </c>
      <c r="AN232" s="41" t="n">
        <f aca="false">IF(AND(Projects!$G$12="Yes",36=Projects!$C$12),Assumptions!$B$61,AM236)</f>
        <v>0</v>
      </c>
      <c r="AO232" s="41" t="n">
        <f aca="false">IF(AND(Projects!$G$12="Yes",37=Projects!$C$12),Assumptions!$B$61,AN236)</f>
        <v>0</v>
      </c>
      <c r="AP232" s="41" t="n">
        <f aca="false">IF(AND(Projects!$G$12="Yes",38=Projects!$C$12),Assumptions!$B$61,AO236)</f>
        <v>0</v>
      </c>
      <c r="AQ232" s="41" t="n">
        <f aca="false">IF(AND(Projects!$G$12="Yes",39=Projects!$C$12),Assumptions!$B$61,AP236)</f>
        <v>0</v>
      </c>
      <c r="AR232" s="41" t="n">
        <f aca="false">IF(AND(Projects!$G$12="Yes",40=Projects!$C$12),Assumptions!$B$61,AQ236)</f>
        <v>0</v>
      </c>
      <c r="AS232" s="41" t="n">
        <f aca="false">IF(AND(Projects!$G$12="Yes",41=Projects!$C$12),Assumptions!$B$61,AR236)</f>
        <v>0</v>
      </c>
      <c r="AT232" s="41" t="n">
        <f aca="false">IF(AND(Projects!$G$12="Yes",42=Projects!$C$12),Assumptions!$B$61,AS236)</f>
        <v>0</v>
      </c>
      <c r="AU232" s="41" t="n">
        <f aca="false">IF(AND(Projects!$G$12="Yes",43=Projects!$C$12),Assumptions!$B$61,AT236)</f>
        <v>0</v>
      </c>
      <c r="AV232" s="41" t="n">
        <f aca="false">IF(AND(Projects!$G$12="Yes",44=Projects!$C$12),Assumptions!$B$61,AU236)</f>
        <v>0</v>
      </c>
      <c r="AW232" s="41" t="n">
        <f aca="false">IF(AND(Projects!$G$12="Yes",45=Projects!$C$12),Assumptions!$B$61,AV236)</f>
        <v>0</v>
      </c>
      <c r="AX232" s="41" t="n">
        <f aca="false">IF(AND(Projects!$G$12="Yes",46=Projects!$C$12),Assumptions!$B$61,AW236)</f>
        <v>0</v>
      </c>
      <c r="AY232" s="41" t="n">
        <f aca="false">IF(AND(Projects!$G$12="Yes",47=Projects!$C$12),Assumptions!$B$61,AX236)</f>
        <v>0</v>
      </c>
      <c r="AZ232" s="41" t="n">
        <f aca="false">IF(AND(Projects!$G$12="Yes",48=Projects!$C$12),Assumptions!$B$61,AY236)</f>
        <v>0</v>
      </c>
      <c r="BA232" s="41" t="n">
        <f aca="false">IF(AND(Projects!$G$12="Yes",49=Projects!$C$12),Assumptions!$B$61,AZ236)</f>
        <v>0</v>
      </c>
      <c r="BB232" s="41" t="n">
        <f aca="false">IF(AND(Projects!$G$12="Yes",50=Projects!$C$12),Assumptions!$B$61,BA236)</f>
        <v>0</v>
      </c>
      <c r="BC232" s="41" t="n">
        <f aca="false">IF(AND(Projects!$G$12="Yes",51=Projects!$C$12),Assumptions!$B$61,BB236)</f>
        <v>0</v>
      </c>
      <c r="BD232" s="41" t="n">
        <f aca="false">IF(AND(Projects!$G$12="Yes",52=Projects!$C$12),Assumptions!$B$61,BC236)</f>
        <v>0</v>
      </c>
      <c r="BE232" s="41" t="n">
        <f aca="false">IF(AND(Projects!$G$12="Yes",53=Projects!$C$12),Assumptions!$B$61,BD236)</f>
        <v>0</v>
      </c>
      <c r="BF232" s="41" t="n">
        <f aca="false">IF(AND(Projects!$G$12="Yes",54=Projects!$C$12),Assumptions!$B$61,BE236)</f>
        <v>0</v>
      </c>
      <c r="BG232" s="41" t="n">
        <f aca="false">IF(AND(Projects!$G$12="Yes",55=Projects!$C$12),Assumptions!$B$61,BF236)</f>
        <v>0</v>
      </c>
      <c r="BH232" s="41" t="n">
        <f aca="false">IF(AND(Projects!$G$12="Yes",56=Projects!$C$12),Assumptions!$B$61,BG236)</f>
        <v>0</v>
      </c>
      <c r="BI232" s="41" t="n">
        <f aca="false">IF(AND(Projects!$G$12="Yes",57=Projects!$C$12),Assumptions!$B$61,BH236)</f>
        <v>0</v>
      </c>
      <c r="BJ232" s="41" t="n">
        <f aca="false">IF(AND(Projects!$G$12="Yes",58=Projects!$C$12),Assumptions!$B$61,BI236)</f>
        <v>0</v>
      </c>
      <c r="BK232" s="41" t="n">
        <f aca="false">IF(AND(Projects!$G$12="Yes",59=Projects!$C$12),Assumptions!$B$61,BJ236)</f>
        <v>0</v>
      </c>
      <c r="BL232" s="41" t="n">
        <f aca="false">IF(AND(Projects!$G$12="Yes",60=Projects!$C$12),Assumptions!$B$61,BK236)</f>
        <v>0</v>
      </c>
      <c r="BM232" s="41" t="n">
        <f aca="false">IF(AND(Projects!$G$12="Yes",61=Projects!$C$12),Assumptions!$B$61,BL236)</f>
        <v>0</v>
      </c>
      <c r="BN232" s="41" t="n">
        <f aca="false">IF(AND(Projects!$G$12="Yes",62=Projects!$C$12),Assumptions!$B$61,BM236)</f>
        <v>0</v>
      </c>
      <c r="BO232" s="41" t="n">
        <f aca="false">IF(AND(Projects!$G$12="Yes",63=Projects!$C$12),Assumptions!$B$61,BN236)</f>
        <v>0</v>
      </c>
      <c r="BP232" s="41" t="n">
        <f aca="false">IF(AND(Projects!$G$12="Yes",64=Projects!$C$12),Assumptions!$B$61,BO236)</f>
        <v>0</v>
      </c>
      <c r="BQ232" s="41" t="n">
        <f aca="false">IF(AND(Projects!$G$12="Yes",65=Projects!$C$12),Assumptions!$B$61,BP236)</f>
        <v>0</v>
      </c>
      <c r="BR232" s="41" t="n">
        <f aca="false">IF(AND(Projects!$G$12="Yes",66=Projects!$C$12),Assumptions!$B$61,BQ236)</f>
        <v>0</v>
      </c>
      <c r="BS232" s="41" t="n">
        <f aca="false">IF(AND(Projects!$G$12="Yes",67=Projects!$C$12),Assumptions!$B$61,BR236)</f>
        <v>0</v>
      </c>
      <c r="BT232" s="41" t="n">
        <f aca="false">IF(AND(Projects!$G$12="Yes",68=Projects!$C$12),Assumptions!$B$61,BS236)</f>
        <v>0</v>
      </c>
      <c r="BU232" s="41" t="n">
        <f aca="false">IF(AND(Projects!$G$12="Yes",69=Projects!$C$12),Assumptions!$B$61,BT236)</f>
        <v>0</v>
      </c>
      <c r="BV232" s="41" t="n">
        <f aca="false">IF(AND(Projects!$G$12="Yes",70=Projects!$C$12),Assumptions!$B$61,BU236)</f>
        <v>0</v>
      </c>
      <c r="BW232" s="41" t="n">
        <f aca="false">IF(AND(Projects!$G$12="Yes",71=Projects!$C$12),Assumptions!$B$61,BV236)</f>
        <v>0</v>
      </c>
      <c r="BX232" s="41" t="n">
        <f aca="false">IF(AND(Projects!$G$12="Yes",72=Projects!$C$12),Assumptions!$B$61,BW236)</f>
        <v>0</v>
      </c>
      <c r="BY232" s="41" t="n">
        <f aca="false">IF(AND(Projects!$G$12="Yes",73=Projects!$C$12),Assumptions!$B$61,BX236)</f>
        <v>0</v>
      </c>
      <c r="BZ232" s="41" t="n">
        <f aca="false">IF(AND(Projects!$G$12="Yes",74=Projects!$C$12),Assumptions!$B$61,BY236)</f>
        <v>0</v>
      </c>
      <c r="CA232" s="41" t="n">
        <f aca="false">IF(AND(Projects!$G$12="Yes",75=Projects!$C$12),Assumptions!$B$61,BZ236)</f>
        <v>0</v>
      </c>
      <c r="CB232" s="41" t="n">
        <f aca="false">IF(AND(Projects!$G$12="Yes",76=Projects!$C$12),Assumptions!$B$61,CA236)</f>
        <v>0</v>
      </c>
      <c r="CC232" s="41" t="n">
        <f aca="false">IF(AND(Projects!$G$12="Yes",77=Projects!$C$12),Assumptions!$B$61,CB236)</f>
        <v>0</v>
      </c>
      <c r="CD232" s="41" t="n">
        <f aca="false">IF(AND(Projects!$G$12="Yes",78=Projects!$C$12),Assumptions!$B$61,CC236)</f>
        <v>0</v>
      </c>
      <c r="CE232" s="41" t="n">
        <f aca="false">IF(AND(Projects!$G$12="Yes",79=Projects!$C$12),Assumptions!$B$61,CD236)</f>
        <v>0</v>
      </c>
      <c r="CF232" s="41" t="n">
        <f aca="false">IF(AND(Projects!$G$12="Yes",80=Projects!$C$12),Assumptions!$B$61,CE236)</f>
        <v>0</v>
      </c>
      <c r="CG232" s="41" t="n">
        <f aca="false">IF(AND(Projects!$G$12="Yes",81=Projects!$C$12),Assumptions!$B$61,CF236)</f>
        <v>0</v>
      </c>
      <c r="CH232" s="41" t="n">
        <f aca="false">IF(AND(Projects!$G$12="Yes",82=Projects!$C$12),Assumptions!$B$61,CG236)</f>
        <v>0</v>
      </c>
      <c r="CI232" s="41" t="n">
        <f aca="false">IF(AND(Projects!$G$12="Yes",83=Projects!$C$12),Assumptions!$B$61,CH236)</f>
        <v>0</v>
      </c>
      <c r="CJ232" s="41" t="n">
        <f aca="false">IF(AND(Projects!$G$12="Yes",84=Projects!$C$12),Assumptions!$B$61,CI236)</f>
        <v>0</v>
      </c>
      <c r="CK232" s="41" t="n">
        <f aca="false">IF(AND(Projects!$G$12="Yes",85=Projects!$C$12),Assumptions!$B$61,CJ236)</f>
        <v>0</v>
      </c>
      <c r="CL232" s="41" t="n">
        <f aca="false">IF(AND(Projects!$G$12="Yes",86=Projects!$C$12),Assumptions!$B$61,CK236)</f>
        <v>0</v>
      </c>
      <c r="CM232" s="41" t="n">
        <f aca="false">IF(AND(Projects!$G$12="Yes",87=Projects!$C$12),Assumptions!$B$61,CL236)</f>
        <v>0</v>
      </c>
      <c r="CN232" s="41" t="n">
        <f aca="false">IF(AND(Projects!$G$12="Yes",88=Projects!$C$12),Assumptions!$B$61,CM236)</f>
        <v>0</v>
      </c>
      <c r="CO232" s="41" t="n">
        <f aca="false">IF(AND(Projects!$G$12="Yes",89=Projects!$C$12),Assumptions!$B$61,CN236)</f>
        <v>0</v>
      </c>
      <c r="CP232" s="41" t="n">
        <f aca="false">IF(AND(Projects!$G$12="Yes",90=Projects!$C$12),Assumptions!$B$61,CO236)</f>
        <v>0</v>
      </c>
      <c r="CQ232" s="41" t="n">
        <f aca="false">IF(AND(Projects!$G$12="Yes",91=Projects!$C$12),Assumptions!$B$61,CP236)</f>
        <v>0</v>
      </c>
      <c r="CR232" s="41" t="n">
        <f aca="false">IF(AND(Projects!$G$12="Yes",92=Projects!$C$12),Assumptions!$B$61,CQ236)</f>
        <v>0</v>
      </c>
      <c r="CS232" s="41" t="n">
        <f aca="false">IF(AND(Projects!$G$12="Yes",93=Projects!$C$12),Assumptions!$B$61,CR236)</f>
        <v>0</v>
      </c>
      <c r="CT232" s="41" t="n">
        <f aca="false">IF(AND(Projects!$G$12="Yes",94=Projects!$C$12),Assumptions!$B$61,CS236)</f>
        <v>0</v>
      </c>
      <c r="CU232" s="41" t="n">
        <f aca="false">IF(AND(Projects!$G$12="Yes",95=Projects!$C$12),Assumptions!$B$61,CT236)</f>
        <v>0</v>
      </c>
      <c r="CV232" s="41" t="n">
        <f aca="false">IF(AND(Projects!$G$12="Yes",96=Projects!$C$12),Assumptions!$B$61,CU236)</f>
        <v>0</v>
      </c>
      <c r="CW232" s="41" t="n">
        <f aca="false">IF(AND(Projects!$G$12="Yes",97=Projects!$C$12),Assumptions!$B$61,CV236)</f>
        <v>0</v>
      </c>
      <c r="CX232" s="41" t="n">
        <f aca="false">IF(AND(Projects!$G$12="Yes",98=Projects!$C$12),Assumptions!$B$61,CW236)</f>
        <v>0</v>
      </c>
      <c r="CY232" s="41" t="n">
        <f aca="false">IF(AND(Projects!$G$12="Yes",99=Projects!$C$12),Assumptions!$B$61,CX236)</f>
        <v>0</v>
      </c>
      <c r="CZ232" s="41" t="n">
        <f aca="false">IF(AND(Projects!$G$12="Yes",100=Projects!$C$12),Assumptions!$B$61,CY236)</f>
        <v>0</v>
      </c>
      <c r="DA232" s="41" t="n">
        <f aca="false">IF(AND(Projects!$G$12="Yes",101=Projects!$C$12),Assumptions!$B$61,CZ236)</f>
        <v>0</v>
      </c>
      <c r="DB232" s="41" t="n">
        <f aca="false">IF(AND(Projects!$G$12="Yes",102=Projects!$C$12),Assumptions!$B$61,DA236)</f>
        <v>0</v>
      </c>
      <c r="DC232" s="41" t="n">
        <f aca="false">IF(AND(Projects!$G$12="Yes",103=Projects!$C$12),Assumptions!$B$61,DB236)</f>
        <v>0</v>
      </c>
      <c r="DD232" s="41" t="n">
        <f aca="false">IF(AND(Projects!$G$12="Yes",104=Projects!$C$12),Assumptions!$B$61,DC236)</f>
        <v>0</v>
      </c>
      <c r="DE232" s="41" t="n">
        <f aca="false">IF(AND(Projects!$G$12="Yes",105=Projects!$C$12),Assumptions!$B$61,DD236)</f>
        <v>0</v>
      </c>
    </row>
    <row r="233" customFormat="false" ht="21.75" hidden="false" customHeight="true" outlineLevel="0" collapsed="false">
      <c r="A233" s="29" t="s">
        <v>154</v>
      </c>
      <c r="B233" s="41"/>
      <c r="C233" s="41"/>
      <c r="D233" s="41"/>
      <c r="E233" s="41" t="n">
        <f aca="false">IF(AND(MOD(1,3)=0,E232&gt;0),E232*Assumptions!$B$59,0)</f>
        <v>0</v>
      </c>
      <c r="F233" s="41" t="n">
        <f aca="false">IF(AND(MOD(2,3)=0,F232&gt;0),F232*Assumptions!$B$59,0)</f>
        <v>0</v>
      </c>
      <c r="G233" s="41" t="n">
        <f aca="false">IF(AND(MOD(3,3)=0,G232&gt;0),G232*Assumptions!$B$59,0)</f>
        <v>0</v>
      </c>
      <c r="H233" s="41" t="n">
        <f aca="false">IF(AND(MOD(4,3)=0,H232&gt;0),H232*Assumptions!$B$59,0)</f>
        <v>0</v>
      </c>
      <c r="I233" s="41" t="n">
        <f aca="false">IF(AND(MOD(5,3)=0,I232&gt;0),I232*Assumptions!$B$59,0)</f>
        <v>0</v>
      </c>
      <c r="J233" s="41" t="n">
        <f aca="false">IF(AND(MOD(6,3)=0,J232&gt;0),J232*Assumptions!$B$59,0)</f>
        <v>0</v>
      </c>
      <c r="K233" s="41" t="n">
        <f aca="false">IF(AND(MOD(7,3)=0,K232&gt;0),K232*Assumptions!$B$59,0)</f>
        <v>0</v>
      </c>
      <c r="L233" s="41" t="n">
        <f aca="false">IF(AND(MOD(8,3)=0,L232&gt;0),L232*Assumptions!$B$59,0)</f>
        <v>0</v>
      </c>
      <c r="M233" s="41" t="n">
        <f aca="false">IF(AND(MOD(9,3)=0,M232&gt;0),M232*Assumptions!$B$59,0)</f>
        <v>0</v>
      </c>
      <c r="N233" s="41" t="n">
        <f aca="false">IF(AND(MOD(10,3)=0,N232&gt;0),N232*Assumptions!$B$59,0)</f>
        <v>0</v>
      </c>
      <c r="O233" s="41" t="n">
        <f aca="false">IF(AND(MOD(11,3)=0,O232&gt;0),O232*Assumptions!$B$59,0)</f>
        <v>0</v>
      </c>
      <c r="P233" s="41" t="n">
        <f aca="false">IF(AND(MOD(12,3)=0,P232&gt;0),P232*Assumptions!$B$59,0)</f>
        <v>0</v>
      </c>
      <c r="Q233" s="41" t="n">
        <f aca="false">IF(AND(MOD(13,3)=0,Q232&gt;0),Q232*Assumptions!$B$59,0)</f>
        <v>0</v>
      </c>
      <c r="R233" s="41" t="n">
        <f aca="false">IF(AND(MOD(14,3)=0,R232&gt;0),R232*Assumptions!$B$59,0)</f>
        <v>0</v>
      </c>
      <c r="S233" s="41" t="n">
        <f aca="false">IF(AND(MOD(15,3)=0,S232&gt;0),S232*Assumptions!$B$59,0)</f>
        <v>0</v>
      </c>
      <c r="T233" s="41" t="n">
        <f aca="false">IF(AND(MOD(16,3)=0,T232&gt;0),T232*Assumptions!$B$59,0)</f>
        <v>0</v>
      </c>
      <c r="U233" s="41" t="n">
        <f aca="false">IF(AND(MOD(17,3)=0,U232&gt;0),U232*Assumptions!$B$59,0)</f>
        <v>0</v>
      </c>
      <c r="V233" s="41" t="n">
        <f aca="false">IF(AND(MOD(18,3)=0,V232&gt;0),V232*Assumptions!$B$59,0)</f>
        <v>0</v>
      </c>
      <c r="W233" s="41" t="n">
        <f aca="false">IF(AND(MOD(19,3)=0,W232&gt;0),W232*Assumptions!$B$59,0)</f>
        <v>0</v>
      </c>
      <c r="X233" s="41" t="n">
        <f aca="false">IF(AND(MOD(20,3)=0,X232&gt;0),X232*Assumptions!$B$59,0)</f>
        <v>0</v>
      </c>
      <c r="Y233" s="41" t="n">
        <f aca="false">IF(AND(MOD(21,3)=0,Y232&gt;0),Y232*Assumptions!$B$59,0)</f>
        <v>0</v>
      </c>
      <c r="Z233" s="41" t="n">
        <f aca="false">IF(AND(MOD(22,3)=0,Z232&gt;0),Z232*Assumptions!$B$59,0)</f>
        <v>0</v>
      </c>
      <c r="AA233" s="41" t="n">
        <f aca="false">IF(AND(MOD(23,3)=0,AA232&gt;0),AA232*Assumptions!$B$59,0)</f>
        <v>0</v>
      </c>
      <c r="AB233" s="41" t="n">
        <f aca="false">IF(AND(MOD(24,3)=0,AB232&gt;0),AB232*Assumptions!$B$59,0)</f>
        <v>0</v>
      </c>
      <c r="AC233" s="41" t="n">
        <f aca="false">IF(AND(MOD(25,3)=0,AC232&gt;0),AC232*Assumptions!$B$59,0)</f>
        <v>0</v>
      </c>
      <c r="AD233" s="41" t="n">
        <f aca="false">IF(AND(MOD(26,3)=0,AD232&gt;0),AD232*Assumptions!$B$59,0)</f>
        <v>0</v>
      </c>
      <c r="AE233" s="41" t="n">
        <f aca="false">IF(AND(MOD(27,3)=0,AE232&gt;0),AE232*Assumptions!$B$59,0)</f>
        <v>0</v>
      </c>
      <c r="AF233" s="41" t="n">
        <f aca="false">IF(AND(MOD(28,3)=0,AF232&gt;0),AF232*Assumptions!$B$59,0)</f>
        <v>0</v>
      </c>
      <c r="AG233" s="41" t="n">
        <f aca="false">IF(AND(MOD(29,3)=0,AG232&gt;0),AG232*Assumptions!$B$59,0)</f>
        <v>0</v>
      </c>
      <c r="AH233" s="41" t="n">
        <f aca="false">IF(AND(MOD(30,3)=0,AH232&gt;0),AH232*Assumptions!$B$59,0)</f>
        <v>0</v>
      </c>
      <c r="AI233" s="41" t="n">
        <f aca="false">IF(AND(MOD(31,3)=0,AI232&gt;0),AI232*Assumptions!$B$59,0)</f>
        <v>0</v>
      </c>
      <c r="AJ233" s="41" t="n">
        <f aca="false">IF(AND(MOD(32,3)=0,AJ232&gt;0),AJ232*Assumptions!$B$59,0)</f>
        <v>0</v>
      </c>
      <c r="AK233" s="41" t="n">
        <f aca="false">IF(AND(MOD(33,3)=0,AK232&gt;0),AK232*Assumptions!$B$59,0)</f>
        <v>0</v>
      </c>
      <c r="AL233" s="41" t="n">
        <f aca="false">IF(AND(MOD(34,3)=0,AL232&gt;0),AL232*Assumptions!$B$59,0)</f>
        <v>0</v>
      </c>
      <c r="AM233" s="41" t="n">
        <f aca="false">IF(AND(MOD(35,3)=0,AM232&gt;0),AM232*Assumptions!$B$59,0)</f>
        <v>0</v>
      </c>
      <c r="AN233" s="41" t="n">
        <f aca="false">IF(AND(MOD(36,3)=0,AN232&gt;0),AN232*Assumptions!$B$59,0)</f>
        <v>0</v>
      </c>
      <c r="AO233" s="41" t="n">
        <f aca="false">IF(AND(MOD(37,3)=0,AO232&gt;0),AO232*Assumptions!$B$59,0)</f>
        <v>0</v>
      </c>
      <c r="AP233" s="41" t="n">
        <f aca="false">IF(AND(MOD(38,3)=0,AP232&gt;0),AP232*Assumptions!$B$59,0)</f>
        <v>0</v>
      </c>
      <c r="AQ233" s="41" t="n">
        <f aca="false">IF(AND(MOD(39,3)=0,AQ232&gt;0),AQ232*Assumptions!$B$59,0)</f>
        <v>0</v>
      </c>
      <c r="AR233" s="41" t="n">
        <f aca="false">IF(AND(MOD(40,3)=0,AR232&gt;0),AR232*Assumptions!$B$59,0)</f>
        <v>0</v>
      </c>
      <c r="AS233" s="41" t="n">
        <f aca="false">IF(AND(MOD(41,3)=0,AS232&gt;0),AS232*Assumptions!$B$59,0)</f>
        <v>0</v>
      </c>
      <c r="AT233" s="41" t="n">
        <f aca="false">IF(AND(MOD(42,3)=0,AT232&gt;0),AT232*Assumptions!$B$59,0)</f>
        <v>0</v>
      </c>
      <c r="AU233" s="41" t="n">
        <f aca="false">IF(AND(MOD(43,3)=0,AU232&gt;0),AU232*Assumptions!$B$59,0)</f>
        <v>0</v>
      </c>
      <c r="AV233" s="41" t="n">
        <f aca="false">IF(AND(MOD(44,3)=0,AV232&gt;0),AV232*Assumptions!$B$59,0)</f>
        <v>0</v>
      </c>
      <c r="AW233" s="41" t="n">
        <f aca="false">IF(AND(MOD(45,3)=0,AW232&gt;0),AW232*Assumptions!$B$59,0)</f>
        <v>0</v>
      </c>
      <c r="AX233" s="41" t="n">
        <f aca="false">IF(AND(MOD(46,3)=0,AX232&gt;0),AX232*Assumptions!$B$59,0)</f>
        <v>0</v>
      </c>
      <c r="AY233" s="41" t="n">
        <f aca="false">IF(AND(MOD(47,3)=0,AY232&gt;0),AY232*Assumptions!$B$59,0)</f>
        <v>0</v>
      </c>
      <c r="AZ233" s="41" t="n">
        <f aca="false">IF(AND(MOD(48,3)=0,AZ232&gt;0),AZ232*Assumptions!$B$59,0)</f>
        <v>0</v>
      </c>
      <c r="BA233" s="41" t="n">
        <f aca="false">IF(AND(MOD(49,3)=0,BA232&gt;0),BA232*Assumptions!$B$59,0)</f>
        <v>0</v>
      </c>
      <c r="BB233" s="41" t="n">
        <f aca="false">IF(AND(MOD(50,3)=0,BB232&gt;0),BB232*Assumptions!$B$59,0)</f>
        <v>0</v>
      </c>
      <c r="BC233" s="41" t="n">
        <f aca="false">IF(AND(MOD(51,3)=0,BC232&gt;0),BC232*Assumptions!$B$59,0)</f>
        <v>0</v>
      </c>
      <c r="BD233" s="41" t="n">
        <f aca="false">IF(AND(MOD(52,3)=0,BD232&gt;0),BD232*Assumptions!$B$59,0)</f>
        <v>0</v>
      </c>
      <c r="BE233" s="41" t="n">
        <f aca="false">IF(AND(MOD(53,3)=0,BE232&gt;0),BE232*Assumptions!$B$59,0)</f>
        <v>0</v>
      </c>
      <c r="BF233" s="41" t="n">
        <f aca="false">IF(AND(MOD(54,3)=0,BF232&gt;0),BF232*Assumptions!$B$59,0)</f>
        <v>0</v>
      </c>
      <c r="BG233" s="41" t="n">
        <f aca="false">IF(AND(MOD(55,3)=0,BG232&gt;0),BG232*Assumptions!$B$59,0)</f>
        <v>0</v>
      </c>
      <c r="BH233" s="41" t="n">
        <f aca="false">IF(AND(MOD(56,3)=0,BH232&gt;0),BH232*Assumptions!$B$59,0)</f>
        <v>0</v>
      </c>
      <c r="BI233" s="41" t="n">
        <f aca="false">IF(AND(MOD(57,3)=0,BI232&gt;0),BI232*Assumptions!$B$59,0)</f>
        <v>0</v>
      </c>
      <c r="BJ233" s="41" t="n">
        <f aca="false">IF(AND(MOD(58,3)=0,BJ232&gt;0),BJ232*Assumptions!$B$59,0)</f>
        <v>0</v>
      </c>
      <c r="BK233" s="41" t="n">
        <f aca="false">IF(AND(MOD(59,3)=0,BK232&gt;0),BK232*Assumptions!$B$59,0)</f>
        <v>0</v>
      </c>
      <c r="BL233" s="41" t="n">
        <f aca="false">IF(AND(MOD(60,3)=0,BL232&gt;0),BL232*Assumptions!$B$59,0)</f>
        <v>0</v>
      </c>
      <c r="BM233" s="41" t="n">
        <f aca="false">IF(AND(MOD(61,3)=0,BM232&gt;0),BM232*Assumptions!$B$59,0)</f>
        <v>0</v>
      </c>
      <c r="BN233" s="41" t="n">
        <f aca="false">IF(AND(MOD(62,3)=0,BN232&gt;0),BN232*Assumptions!$B$59,0)</f>
        <v>0</v>
      </c>
      <c r="BO233" s="41" t="n">
        <f aca="false">IF(AND(MOD(63,3)=0,BO232&gt;0),BO232*Assumptions!$B$59,0)</f>
        <v>0</v>
      </c>
      <c r="BP233" s="41" t="n">
        <f aca="false">IF(AND(MOD(64,3)=0,BP232&gt;0),BP232*Assumptions!$B$59,0)</f>
        <v>0</v>
      </c>
      <c r="BQ233" s="41" t="n">
        <f aca="false">IF(AND(MOD(65,3)=0,BQ232&gt;0),BQ232*Assumptions!$B$59,0)</f>
        <v>0</v>
      </c>
      <c r="BR233" s="41" t="n">
        <f aca="false">IF(AND(MOD(66,3)=0,BR232&gt;0),BR232*Assumptions!$B$59,0)</f>
        <v>0</v>
      </c>
      <c r="BS233" s="41" t="n">
        <f aca="false">IF(AND(MOD(67,3)=0,BS232&gt;0),BS232*Assumptions!$B$59,0)</f>
        <v>0</v>
      </c>
      <c r="BT233" s="41" t="n">
        <f aca="false">IF(AND(MOD(68,3)=0,BT232&gt;0),BT232*Assumptions!$B$59,0)</f>
        <v>0</v>
      </c>
      <c r="BU233" s="41" t="n">
        <f aca="false">IF(AND(MOD(69,3)=0,BU232&gt;0),BU232*Assumptions!$B$59,0)</f>
        <v>0</v>
      </c>
      <c r="BV233" s="41" t="n">
        <f aca="false">IF(AND(MOD(70,3)=0,BV232&gt;0),BV232*Assumptions!$B$59,0)</f>
        <v>0</v>
      </c>
      <c r="BW233" s="41" t="n">
        <f aca="false">IF(AND(MOD(71,3)=0,BW232&gt;0),BW232*Assumptions!$B$59,0)</f>
        <v>0</v>
      </c>
      <c r="BX233" s="41" t="n">
        <f aca="false">IF(AND(MOD(72,3)=0,BX232&gt;0),BX232*Assumptions!$B$59,0)</f>
        <v>0</v>
      </c>
      <c r="BY233" s="41" t="n">
        <f aca="false">IF(AND(MOD(73,3)=0,BY232&gt;0),BY232*Assumptions!$B$59,0)</f>
        <v>0</v>
      </c>
      <c r="BZ233" s="41" t="n">
        <f aca="false">IF(AND(MOD(74,3)=0,BZ232&gt;0),BZ232*Assumptions!$B$59,0)</f>
        <v>0</v>
      </c>
      <c r="CA233" s="41" t="n">
        <f aca="false">IF(AND(MOD(75,3)=0,CA232&gt;0),CA232*Assumptions!$B$59,0)</f>
        <v>0</v>
      </c>
      <c r="CB233" s="41" t="n">
        <f aca="false">IF(AND(MOD(76,3)=0,CB232&gt;0),CB232*Assumptions!$B$59,0)</f>
        <v>0</v>
      </c>
      <c r="CC233" s="41" t="n">
        <f aca="false">IF(AND(MOD(77,3)=0,CC232&gt;0),CC232*Assumptions!$B$59,0)</f>
        <v>0</v>
      </c>
      <c r="CD233" s="41" t="n">
        <f aca="false">IF(AND(MOD(78,3)=0,CD232&gt;0),CD232*Assumptions!$B$59,0)</f>
        <v>0</v>
      </c>
      <c r="CE233" s="41" t="n">
        <f aca="false">IF(AND(MOD(79,3)=0,CE232&gt;0),CE232*Assumptions!$B$59,0)</f>
        <v>0</v>
      </c>
      <c r="CF233" s="41" t="n">
        <f aca="false">IF(AND(MOD(80,3)=0,CF232&gt;0),CF232*Assumptions!$B$59,0)</f>
        <v>0</v>
      </c>
      <c r="CG233" s="41" t="n">
        <f aca="false">IF(AND(MOD(81,3)=0,CG232&gt;0),CG232*Assumptions!$B$59,0)</f>
        <v>0</v>
      </c>
      <c r="CH233" s="41" t="n">
        <f aca="false">IF(AND(MOD(82,3)=0,CH232&gt;0),CH232*Assumptions!$B$59,0)</f>
        <v>0</v>
      </c>
      <c r="CI233" s="41" t="n">
        <f aca="false">IF(AND(MOD(83,3)=0,CI232&gt;0),CI232*Assumptions!$B$59,0)</f>
        <v>0</v>
      </c>
      <c r="CJ233" s="41" t="n">
        <f aca="false">IF(AND(MOD(84,3)=0,CJ232&gt;0),CJ232*Assumptions!$B$59,0)</f>
        <v>0</v>
      </c>
      <c r="CK233" s="41" t="n">
        <f aca="false">IF(AND(MOD(85,3)=0,CK232&gt;0),CK232*Assumptions!$B$59,0)</f>
        <v>0</v>
      </c>
      <c r="CL233" s="41" t="n">
        <f aca="false">IF(AND(MOD(86,3)=0,CL232&gt;0),CL232*Assumptions!$B$59,0)</f>
        <v>0</v>
      </c>
      <c r="CM233" s="41" t="n">
        <f aca="false">IF(AND(MOD(87,3)=0,CM232&gt;0),CM232*Assumptions!$B$59,0)</f>
        <v>0</v>
      </c>
      <c r="CN233" s="41" t="n">
        <f aca="false">IF(AND(MOD(88,3)=0,CN232&gt;0),CN232*Assumptions!$B$59,0)</f>
        <v>0</v>
      </c>
      <c r="CO233" s="41" t="n">
        <f aca="false">IF(AND(MOD(89,3)=0,CO232&gt;0),CO232*Assumptions!$B$59,0)</f>
        <v>0</v>
      </c>
      <c r="CP233" s="41" t="n">
        <f aca="false">IF(AND(MOD(90,3)=0,CP232&gt;0),CP232*Assumptions!$B$59,0)</f>
        <v>0</v>
      </c>
      <c r="CQ233" s="41" t="n">
        <f aca="false">IF(AND(MOD(91,3)=0,CQ232&gt;0),CQ232*Assumptions!$B$59,0)</f>
        <v>0</v>
      </c>
      <c r="CR233" s="41" t="n">
        <f aca="false">IF(AND(MOD(92,3)=0,CR232&gt;0),CR232*Assumptions!$B$59,0)</f>
        <v>0</v>
      </c>
      <c r="CS233" s="41" t="n">
        <f aca="false">IF(AND(MOD(93,3)=0,CS232&gt;0),CS232*Assumptions!$B$59,0)</f>
        <v>0</v>
      </c>
      <c r="CT233" s="41" t="n">
        <f aca="false">IF(AND(MOD(94,3)=0,CT232&gt;0),CT232*Assumptions!$B$59,0)</f>
        <v>0</v>
      </c>
      <c r="CU233" s="41" t="n">
        <f aca="false">IF(AND(MOD(95,3)=0,CU232&gt;0),CU232*Assumptions!$B$59,0)</f>
        <v>0</v>
      </c>
      <c r="CV233" s="41" t="n">
        <f aca="false">IF(AND(MOD(96,3)=0,CV232&gt;0),CV232*Assumptions!$B$59,0)</f>
        <v>0</v>
      </c>
      <c r="CW233" s="41" t="n">
        <f aca="false">IF(AND(MOD(97,3)=0,CW232&gt;0),CW232*Assumptions!$B$59,0)</f>
        <v>0</v>
      </c>
      <c r="CX233" s="41" t="n">
        <f aca="false">IF(AND(MOD(98,3)=0,CX232&gt;0),CX232*Assumptions!$B$59,0)</f>
        <v>0</v>
      </c>
      <c r="CY233" s="41" t="n">
        <f aca="false">IF(AND(MOD(99,3)=0,CY232&gt;0),CY232*Assumptions!$B$59,0)</f>
        <v>0</v>
      </c>
      <c r="CZ233" s="41" t="n">
        <f aca="false">IF(AND(MOD(100,3)=0,CZ232&gt;0),CZ232*Assumptions!$B$59,0)</f>
        <v>0</v>
      </c>
      <c r="DA233" s="41" t="n">
        <f aca="false">IF(AND(MOD(101,3)=0,DA232&gt;0),DA232*Assumptions!$B$59,0)</f>
        <v>0</v>
      </c>
      <c r="DB233" s="41" t="n">
        <f aca="false">IF(AND(MOD(102,3)=0,DB232&gt;0),DB232*Assumptions!$B$59,0)</f>
        <v>0</v>
      </c>
      <c r="DC233" s="41" t="n">
        <f aca="false">IF(AND(MOD(103,3)=0,DC232&gt;0),DC232*Assumptions!$B$59,0)</f>
        <v>0</v>
      </c>
      <c r="DD233" s="41" t="n">
        <f aca="false">IF(AND(MOD(104,3)=0,DD232&gt;0),DD232*Assumptions!$B$59,0)</f>
        <v>0</v>
      </c>
      <c r="DE233" s="41" t="n">
        <f aca="false">IF(AND(MOD(105,3)=0,DE232&gt;0),DE232*Assumptions!$B$59,0)</f>
        <v>0</v>
      </c>
    </row>
    <row r="234" customFormat="false" ht="15" hidden="false" customHeight="true" outlineLevel="0" collapsed="false">
      <c r="A234" s="29" t="s">
        <v>155</v>
      </c>
      <c r="B234" s="41"/>
      <c r="C234" s="41"/>
      <c r="D234" s="41"/>
      <c r="E234" s="41" t="n">
        <v>0</v>
      </c>
      <c r="F234" s="41" t="n">
        <v>0</v>
      </c>
      <c r="G234" s="41" t="n">
        <v>0</v>
      </c>
      <c r="H234" s="41" t="n">
        <v>0</v>
      </c>
      <c r="I234" s="41" t="n">
        <v>0</v>
      </c>
      <c r="J234" s="41" t="n">
        <v>0</v>
      </c>
      <c r="K234" s="41" t="n">
        <v>0</v>
      </c>
      <c r="L234" s="41" t="n">
        <v>0</v>
      </c>
      <c r="M234" s="41" t="n">
        <v>0</v>
      </c>
      <c r="N234" s="41" t="n">
        <v>0</v>
      </c>
      <c r="O234" s="41" t="n">
        <v>0</v>
      </c>
      <c r="P234" s="41" t="n">
        <v>0</v>
      </c>
      <c r="Q234" s="41" t="n">
        <v>0</v>
      </c>
      <c r="R234" s="41" t="n">
        <v>0</v>
      </c>
      <c r="S234" s="41" t="n">
        <v>0</v>
      </c>
      <c r="T234" s="41" t="n">
        <v>0</v>
      </c>
      <c r="U234" s="41" t="n">
        <v>0</v>
      </c>
      <c r="V234" s="41" t="n">
        <v>0</v>
      </c>
      <c r="W234" s="41" t="n">
        <v>0</v>
      </c>
      <c r="X234" s="41" t="n">
        <v>0</v>
      </c>
      <c r="Y234" s="41" t="n">
        <v>0</v>
      </c>
      <c r="Z234" s="41" t="n">
        <v>0</v>
      </c>
      <c r="AA234" s="41" t="n">
        <v>0</v>
      </c>
      <c r="AB234" s="41" t="n">
        <v>0</v>
      </c>
      <c r="AC234" s="41" t="n">
        <v>0</v>
      </c>
      <c r="AD234" s="41" t="n">
        <v>0</v>
      </c>
      <c r="AE234" s="41" t="n">
        <v>0</v>
      </c>
      <c r="AF234" s="41" t="n">
        <v>0</v>
      </c>
      <c r="AG234" s="41" t="n">
        <v>0</v>
      </c>
      <c r="AH234" s="41" t="n">
        <v>0</v>
      </c>
      <c r="AI234" s="41" t="n">
        <v>0</v>
      </c>
      <c r="AJ234" s="41" t="n">
        <v>0</v>
      </c>
      <c r="AK234" s="41" t="n">
        <v>0</v>
      </c>
      <c r="AL234" s="41" t="n">
        <v>0</v>
      </c>
      <c r="AM234" s="41" t="n">
        <v>0</v>
      </c>
      <c r="AN234" s="41" t="n">
        <v>0</v>
      </c>
      <c r="AO234" s="41" t="n">
        <v>0</v>
      </c>
      <c r="AP234" s="41" t="n">
        <v>0</v>
      </c>
      <c r="AQ234" s="41" t="n">
        <v>0</v>
      </c>
      <c r="AR234" s="41" t="n">
        <v>0</v>
      </c>
      <c r="AS234" s="41" t="n">
        <v>0</v>
      </c>
      <c r="AT234" s="41" t="n">
        <v>0</v>
      </c>
      <c r="AU234" s="41" t="n">
        <v>0</v>
      </c>
      <c r="AV234" s="41" t="n">
        <v>0</v>
      </c>
      <c r="AW234" s="41" t="n">
        <v>0</v>
      </c>
      <c r="AX234" s="41" t="n">
        <v>0</v>
      </c>
      <c r="AY234" s="41" t="n">
        <v>0</v>
      </c>
      <c r="AZ234" s="41" t="n">
        <v>0</v>
      </c>
      <c r="BA234" s="41" t="n">
        <v>0</v>
      </c>
      <c r="BB234" s="41" t="n">
        <v>0</v>
      </c>
      <c r="BC234" s="41" t="n">
        <v>0</v>
      </c>
      <c r="BD234" s="41" t="n">
        <v>0</v>
      </c>
      <c r="BE234" s="41" t="n">
        <v>0</v>
      </c>
      <c r="BF234" s="41" t="n">
        <v>0</v>
      </c>
      <c r="BG234" s="41" t="n">
        <v>0</v>
      </c>
      <c r="BH234" s="41" t="n">
        <v>0</v>
      </c>
      <c r="BI234" s="41" t="n">
        <v>0</v>
      </c>
      <c r="BJ234" s="41" t="n">
        <v>0</v>
      </c>
      <c r="BK234" s="41" t="n">
        <v>0</v>
      </c>
      <c r="BL234" s="41" t="n">
        <v>0</v>
      </c>
      <c r="BM234" s="41" t="n">
        <v>0</v>
      </c>
      <c r="BN234" s="41" t="n">
        <v>0</v>
      </c>
      <c r="BO234" s="41" t="n">
        <v>0</v>
      </c>
      <c r="BP234" s="41" t="n">
        <v>0</v>
      </c>
      <c r="BQ234" s="41" t="n">
        <v>0</v>
      </c>
      <c r="BR234" s="41" t="n">
        <v>0</v>
      </c>
      <c r="BS234" s="41" t="n">
        <v>0</v>
      </c>
      <c r="BT234" s="41" t="n">
        <v>0</v>
      </c>
      <c r="BU234" s="41" t="n">
        <v>0</v>
      </c>
      <c r="BV234" s="41" t="n">
        <v>0</v>
      </c>
      <c r="BW234" s="41" t="n">
        <v>0</v>
      </c>
      <c r="BX234" s="41" t="n">
        <v>0</v>
      </c>
      <c r="BY234" s="41" t="n">
        <v>0</v>
      </c>
      <c r="BZ234" s="41" t="n">
        <v>0</v>
      </c>
      <c r="CA234" s="41" t="n">
        <v>0</v>
      </c>
      <c r="CB234" s="41" t="n">
        <v>0</v>
      </c>
      <c r="CC234" s="41" t="n">
        <v>0</v>
      </c>
      <c r="CD234" s="41" t="n">
        <v>0</v>
      </c>
      <c r="CE234" s="41" t="n">
        <v>0</v>
      </c>
      <c r="CF234" s="41" t="n">
        <v>0</v>
      </c>
      <c r="CG234" s="41" t="n">
        <v>0</v>
      </c>
      <c r="CH234" s="41" t="n">
        <v>0</v>
      </c>
      <c r="CI234" s="41" t="n">
        <v>0</v>
      </c>
      <c r="CJ234" s="41" t="n">
        <v>0</v>
      </c>
      <c r="CK234" s="41" t="n">
        <v>0</v>
      </c>
      <c r="CL234" s="41" t="n">
        <v>0</v>
      </c>
      <c r="CM234" s="41" t="n">
        <v>0</v>
      </c>
      <c r="CN234" s="41" t="n">
        <v>0</v>
      </c>
      <c r="CO234" s="41" t="n">
        <v>0</v>
      </c>
      <c r="CP234" s="41" t="n">
        <v>0</v>
      </c>
      <c r="CQ234" s="41" t="n">
        <v>0</v>
      </c>
      <c r="CR234" s="41" t="n">
        <v>0</v>
      </c>
      <c r="CS234" s="41" t="n">
        <v>0</v>
      </c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</row>
    <row r="235" customFormat="false" ht="15" hidden="false" customHeight="true" outlineLevel="0" collapsed="false">
      <c r="A235" s="59" t="s">
        <v>156</v>
      </c>
      <c r="B235" s="60"/>
      <c r="C235" s="60"/>
      <c r="D235" s="60"/>
      <c r="E235" s="60" t="n">
        <v>0</v>
      </c>
      <c r="F235" s="60" t="n">
        <v>0</v>
      </c>
      <c r="G235" s="60" t="n">
        <v>0</v>
      </c>
      <c r="H235" s="60" t="n">
        <v>0</v>
      </c>
      <c r="I235" s="60" t="n">
        <v>0</v>
      </c>
      <c r="J235" s="60" t="n">
        <v>0</v>
      </c>
      <c r="K235" s="60" t="n">
        <v>0</v>
      </c>
      <c r="L235" s="60" t="n">
        <v>0</v>
      </c>
      <c r="M235" s="60" t="n">
        <v>0</v>
      </c>
      <c r="N235" s="60" t="n">
        <v>0</v>
      </c>
      <c r="O235" s="60" t="n">
        <v>0</v>
      </c>
      <c r="P235" s="60" t="n">
        <v>0</v>
      </c>
      <c r="Q235" s="60" t="n">
        <v>0</v>
      </c>
      <c r="R235" s="60" t="n">
        <v>0</v>
      </c>
      <c r="S235" s="60" t="n">
        <v>0</v>
      </c>
      <c r="T235" s="60" t="n">
        <v>0</v>
      </c>
      <c r="U235" s="60" t="n">
        <v>0</v>
      </c>
      <c r="V235" s="60" t="n">
        <v>0</v>
      </c>
      <c r="W235" s="60" t="n">
        <v>0</v>
      </c>
      <c r="X235" s="60" t="n">
        <v>0</v>
      </c>
      <c r="Y235" s="60" t="n">
        <v>0</v>
      </c>
      <c r="Z235" s="60" t="n">
        <v>0</v>
      </c>
      <c r="AA235" s="60" t="n">
        <v>0</v>
      </c>
      <c r="AB235" s="60" t="n">
        <v>0</v>
      </c>
      <c r="AC235" s="60" t="n">
        <v>0</v>
      </c>
      <c r="AD235" s="60" t="n">
        <v>0</v>
      </c>
      <c r="AE235" s="60" t="n">
        <v>0</v>
      </c>
      <c r="AF235" s="60" t="n">
        <v>0</v>
      </c>
      <c r="AG235" s="60" t="n">
        <v>0</v>
      </c>
      <c r="AH235" s="60" t="n">
        <v>0</v>
      </c>
      <c r="AI235" s="60" t="n">
        <v>0</v>
      </c>
      <c r="AJ235" s="60" t="n">
        <v>0</v>
      </c>
      <c r="AK235" s="60" t="n">
        <v>0</v>
      </c>
      <c r="AL235" s="60" t="n">
        <v>0</v>
      </c>
      <c r="AM235" s="60" t="n">
        <v>0</v>
      </c>
      <c r="AN235" s="60" t="n">
        <v>0</v>
      </c>
      <c r="AO235" s="60" t="n">
        <v>0</v>
      </c>
      <c r="AP235" s="60" t="n">
        <v>0</v>
      </c>
      <c r="AQ235" s="60" t="n">
        <v>0</v>
      </c>
      <c r="AR235" s="60" t="n">
        <v>0</v>
      </c>
      <c r="AS235" s="60" t="n">
        <v>0</v>
      </c>
      <c r="AT235" s="60" t="n">
        <v>0</v>
      </c>
      <c r="AU235" s="60" t="n">
        <v>0</v>
      </c>
      <c r="AV235" s="60" t="n">
        <v>0</v>
      </c>
      <c r="AW235" s="60" t="n">
        <v>0</v>
      </c>
      <c r="AX235" s="60" t="n">
        <v>0</v>
      </c>
      <c r="AY235" s="60" t="n">
        <v>0</v>
      </c>
      <c r="AZ235" s="60" t="n">
        <v>0</v>
      </c>
      <c r="BA235" s="60" t="n">
        <v>0</v>
      </c>
      <c r="BB235" s="60" t="n">
        <v>0</v>
      </c>
      <c r="BC235" s="60" t="n">
        <v>0</v>
      </c>
      <c r="BD235" s="60" t="n">
        <v>0</v>
      </c>
      <c r="BE235" s="60" t="n">
        <v>0</v>
      </c>
      <c r="BF235" s="60" t="n">
        <v>0</v>
      </c>
      <c r="BG235" s="60" t="n">
        <v>0</v>
      </c>
      <c r="BH235" s="60" t="n">
        <v>0</v>
      </c>
      <c r="BI235" s="60" t="n">
        <v>0</v>
      </c>
      <c r="BJ235" s="60" t="n">
        <v>0</v>
      </c>
      <c r="BK235" s="60" t="n">
        <v>0</v>
      </c>
      <c r="BL235" s="60" t="n">
        <v>0</v>
      </c>
      <c r="BM235" s="60" t="n">
        <v>0</v>
      </c>
      <c r="BN235" s="60" t="n">
        <v>0</v>
      </c>
      <c r="BO235" s="60" t="n">
        <v>0</v>
      </c>
      <c r="BP235" s="60" t="n">
        <v>0</v>
      </c>
      <c r="BQ235" s="60" t="n">
        <v>0</v>
      </c>
      <c r="BR235" s="60" t="n">
        <v>0</v>
      </c>
      <c r="BS235" s="60" t="n">
        <v>0</v>
      </c>
      <c r="BT235" s="60" t="n">
        <v>0</v>
      </c>
      <c r="BU235" s="60" t="n">
        <v>0</v>
      </c>
      <c r="BV235" s="60" t="n">
        <v>0</v>
      </c>
      <c r="BW235" s="60" t="n">
        <v>0</v>
      </c>
      <c r="BX235" s="60" t="n">
        <v>0</v>
      </c>
      <c r="BY235" s="60" t="n">
        <v>0</v>
      </c>
      <c r="BZ235" s="60" t="n">
        <v>0</v>
      </c>
      <c r="CA235" s="60" t="n">
        <v>0</v>
      </c>
      <c r="CB235" s="60" t="n">
        <v>0</v>
      </c>
      <c r="CC235" s="60" t="n">
        <v>0</v>
      </c>
      <c r="CD235" s="60" t="n">
        <v>0</v>
      </c>
      <c r="CE235" s="60" t="n">
        <v>0</v>
      </c>
      <c r="CF235" s="60" t="n">
        <v>0</v>
      </c>
      <c r="CG235" s="60" t="n">
        <v>0</v>
      </c>
      <c r="CH235" s="60" t="n">
        <v>0</v>
      </c>
      <c r="CI235" s="60" t="n">
        <v>0</v>
      </c>
      <c r="CJ235" s="60" t="n">
        <v>0</v>
      </c>
      <c r="CK235" s="60" t="n">
        <v>0</v>
      </c>
      <c r="CL235" s="60" t="n">
        <v>0</v>
      </c>
      <c r="CM235" s="60" t="n">
        <v>0</v>
      </c>
      <c r="CN235" s="60" t="n">
        <v>0</v>
      </c>
      <c r="CO235" s="60" t="n">
        <v>0</v>
      </c>
      <c r="CP235" s="60" t="n">
        <v>0</v>
      </c>
      <c r="CQ235" s="60" t="n">
        <v>0</v>
      </c>
      <c r="CR235" s="60" t="n">
        <v>0</v>
      </c>
      <c r="CS235" s="60" t="n">
        <v>0</v>
      </c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</row>
    <row r="236" customFormat="false" ht="15" hidden="false" customHeight="true" outlineLevel="0" collapsed="false">
      <c r="A236" s="61" t="s">
        <v>157</v>
      </c>
      <c r="B236" s="62"/>
      <c r="C236" s="62"/>
      <c r="D236" s="62"/>
      <c r="E236" s="62" t="n">
        <f aca="false">MAX(0,E232+E233+E234+E235)</f>
        <v>0</v>
      </c>
      <c r="F236" s="62" t="n">
        <f aca="false">MAX(0,F232+F233+F234+F235)</f>
        <v>0</v>
      </c>
      <c r="G236" s="62" t="n">
        <f aca="false">MAX(0,G232+G233+G234+G235)</f>
        <v>0</v>
      </c>
      <c r="H236" s="62" t="n">
        <f aca="false">MAX(0,H232+H233+H234+H235)</f>
        <v>0</v>
      </c>
      <c r="I236" s="62" t="n">
        <f aca="false">MAX(0,I232+I233+I234+I235)</f>
        <v>0</v>
      </c>
      <c r="J236" s="62" t="n">
        <f aca="false">MAX(0,J232+J233+J234+J235)</f>
        <v>0</v>
      </c>
      <c r="K236" s="62" t="n">
        <f aca="false">MAX(0,K232+K233+K234+K235)</f>
        <v>0</v>
      </c>
      <c r="L236" s="62" t="n">
        <f aca="false">MAX(0,L232+L233+L234+L235)</f>
        <v>0</v>
      </c>
      <c r="M236" s="62" t="n">
        <f aca="false">MAX(0,M232+M233+M234+M235)</f>
        <v>0</v>
      </c>
      <c r="N236" s="62" t="n">
        <f aca="false">MAX(0,N232+N233+N234+N235)</f>
        <v>0</v>
      </c>
      <c r="O236" s="62" t="n">
        <f aca="false">MAX(0,O232+O233+O234+O235)</f>
        <v>0</v>
      </c>
      <c r="P236" s="62" t="n">
        <f aca="false">MAX(0,P232+P233+P234+P235)</f>
        <v>0</v>
      </c>
      <c r="Q236" s="62" t="n">
        <f aca="false">MAX(0,Q232+Q233+Q234+Q235)</f>
        <v>0</v>
      </c>
      <c r="R236" s="62" t="n">
        <f aca="false">MAX(0,R232+R233+R234+R235)</f>
        <v>0</v>
      </c>
      <c r="S236" s="62" t="n">
        <f aca="false">MAX(0,S232+S233+S234+S235)</f>
        <v>0</v>
      </c>
      <c r="T236" s="62" t="n">
        <f aca="false">MAX(0,T232+T233+T234+T235)</f>
        <v>0</v>
      </c>
      <c r="U236" s="62" t="n">
        <f aca="false">MAX(0,U232+U233+U234+U235)</f>
        <v>0</v>
      </c>
      <c r="V236" s="62" t="n">
        <f aca="false">MAX(0,V232+V233+V234+V235)</f>
        <v>0</v>
      </c>
      <c r="W236" s="62" t="n">
        <f aca="false">MAX(0,W232+W233+W234+W235)</f>
        <v>0</v>
      </c>
      <c r="X236" s="62" t="n">
        <f aca="false">MAX(0,X232+X233+X234+X235)</f>
        <v>0</v>
      </c>
      <c r="Y236" s="62" t="n">
        <f aca="false">MAX(0,Y232+Y233+Y234+Y235)</f>
        <v>0</v>
      </c>
      <c r="Z236" s="62" t="n">
        <f aca="false">MAX(0,Z232+Z233+Z234+Z235)</f>
        <v>0</v>
      </c>
      <c r="AA236" s="62" t="n">
        <f aca="false">MAX(0,AA232+AA233+AA234+AA235)</f>
        <v>0</v>
      </c>
      <c r="AB236" s="62" t="n">
        <f aca="false">MAX(0,AB232+AB233+AB234+AB235)</f>
        <v>0</v>
      </c>
      <c r="AC236" s="62" t="n">
        <f aca="false">MAX(0,AC232+AC233+AC234+AC235)</f>
        <v>0</v>
      </c>
      <c r="AD236" s="62" t="n">
        <f aca="false">MAX(0,AD232+AD233+AD234+AD235)</f>
        <v>0</v>
      </c>
      <c r="AE236" s="62" t="n">
        <f aca="false">MAX(0,AE232+AE233+AE234+AE235)</f>
        <v>0</v>
      </c>
      <c r="AF236" s="62" t="n">
        <f aca="false">MAX(0,AF232+AF233+AF234+AF235)</f>
        <v>0</v>
      </c>
      <c r="AG236" s="62" t="n">
        <f aca="false">MAX(0,AG232+AG233+AG234+AG235)</f>
        <v>0</v>
      </c>
      <c r="AH236" s="62" t="n">
        <f aca="false">MAX(0,AH232+AH233+AH234+AH235)</f>
        <v>0</v>
      </c>
      <c r="AI236" s="62" t="n">
        <f aca="false">MAX(0,AI232+AI233+AI234+AI235)</f>
        <v>0</v>
      </c>
      <c r="AJ236" s="62" t="n">
        <f aca="false">MAX(0,AJ232+AJ233+AJ234+AJ235)</f>
        <v>0</v>
      </c>
      <c r="AK236" s="62" t="n">
        <f aca="false">MAX(0,AK232+AK233+AK234+AK235)</f>
        <v>0</v>
      </c>
      <c r="AL236" s="62" t="n">
        <f aca="false">MAX(0,AL232+AL233+AL234+AL235)</f>
        <v>0</v>
      </c>
      <c r="AM236" s="62" t="n">
        <f aca="false">MAX(0,AM232+AM233+AM234+AM235)</f>
        <v>0</v>
      </c>
      <c r="AN236" s="62" t="n">
        <f aca="false">MAX(0,AN232+AN233+AN234+AN235)</f>
        <v>0</v>
      </c>
      <c r="AO236" s="62" t="n">
        <f aca="false">MAX(0,AO232+AO233+AO234+AO235)</f>
        <v>0</v>
      </c>
      <c r="AP236" s="62" t="n">
        <f aca="false">MAX(0,AP232+AP233+AP234+AP235)</f>
        <v>0</v>
      </c>
      <c r="AQ236" s="62" t="n">
        <f aca="false">MAX(0,AQ232+AQ233+AQ234+AQ235)</f>
        <v>0</v>
      </c>
      <c r="AR236" s="62" t="n">
        <f aca="false">MAX(0,AR232+AR233+AR234+AR235)</f>
        <v>0</v>
      </c>
      <c r="AS236" s="62" t="n">
        <f aca="false">MAX(0,AS232+AS233+AS234+AS235)</f>
        <v>0</v>
      </c>
      <c r="AT236" s="62" t="n">
        <f aca="false">MAX(0,AT232+AT233+AT234+AT235)</f>
        <v>0</v>
      </c>
      <c r="AU236" s="62" t="n">
        <f aca="false">MAX(0,AU232+AU233+AU234+AU235)</f>
        <v>0</v>
      </c>
      <c r="AV236" s="62" t="n">
        <f aca="false">MAX(0,AV232+AV233+AV234+AV235)</f>
        <v>0</v>
      </c>
      <c r="AW236" s="62" t="n">
        <f aca="false">MAX(0,AW232+AW233+AW234+AW235)</f>
        <v>0</v>
      </c>
      <c r="AX236" s="62" t="n">
        <f aca="false">MAX(0,AX232+AX233+AX234+AX235)</f>
        <v>0</v>
      </c>
      <c r="AY236" s="62" t="n">
        <f aca="false">MAX(0,AY232+AY233+AY234+AY235)</f>
        <v>0</v>
      </c>
      <c r="AZ236" s="62" t="n">
        <f aca="false">MAX(0,AZ232+AZ233+AZ234+AZ235)</f>
        <v>0</v>
      </c>
      <c r="BA236" s="62" t="n">
        <f aca="false">MAX(0,BA232+BA233+BA234+BA235)</f>
        <v>0</v>
      </c>
      <c r="BB236" s="62" t="n">
        <f aca="false">MAX(0,BB232+BB233+BB234+BB235)</f>
        <v>0</v>
      </c>
      <c r="BC236" s="62" t="n">
        <f aca="false">MAX(0,BC232+BC233+BC234+BC235)</f>
        <v>0</v>
      </c>
      <c r="BD236" s="62" t="n">
        <f aca="false">MAX(0,BD232+BD233+BD234+BD235)</f>
        <v>0</v>
      </c>
      <c r="BE236" s="62" t="n">
        <f aca="false">MAX(0,BE232+BE233+BE234+BE235)</f>
        <v>0</v>
      </c>
      <c r="BF236" s="62" t="n">
        <f aca="false">MAX(0,BF232+BF233+BF234+BF235)</f>
        <v>0</v>
      </c>
      <c r="BG236" s="62" t="n">
        <f aca="false">MAX(0,BG232+BG233+BG234+BG235)</f>
        <v>0</v>
      </c>
      <c r="BH236" s="62" t="n">
        <f aca="false">MAX(0,BH232+BH233+BH234+BH235)</f>
        <v>0</v>
      </c>
      <c r="BI236" s="62" t="n">
        <f aca="false">MAX(0,BI232+BI233+BI234+BI235)</f>
        <v>0</v>
      </c>
      <c r="BJ236" s="62" t="n">
        <f aca="false">MAX(0,BJ232+BJ233+BJ234+BJ235)</f>
        <v>0</v>
      </c>
      <c r="BK236" s="62" t="n">
        <f aca="false">MAX(0,BK232+BK233+BK234+BK235)</f>
        <v>0</v>
      </c>
      <c r="BL236" s="62" t="n">
        <f aca="false">MAX(0,BL232+BL233+BL234+BL235)</f>
        <v>0</v>
      </c>
      <c r="BM236" s="62" t="n">
        <f aca="false">MAX(0,BM232+BM233+BM234+BM235)</f>
        <v>0</v>
      </c>
      <c r="BN236" s="62" t="n">
        <f aca="false">MAX(0,BN232+BN233+BN234+BN235)</f>
        <v>0</v>
      </c>
      <c r="BO236" s="62" t="n">
        <f aca="false">MAX(0,BO232+BO233+BO234+BO235)</f>
        <v>0</v>
      </c>
      <c r="BP236" s="62" t="n">
        <f aca="false">MAX(0,BP232+BP233+BP234+BP235)</f>
        <v>0</v>
      </c>
      <c r="BQ236" s="62" t="n">
        <f aca="false">MAX(0,BQ232+BQ233+BQ234+BQ235)</f>
        <v>0</v>
      </c>
      <c r="BR236" s="62" t="n">
        <f aca="false">MAX(0,BR232+BR233+BR234+BR235)</f>
        <v>0</v>
      </c>
      <c r="BS236" s="62" t="n">
        <f aca="false">MAX(0,BS232+BS233+BS234+BS235)</f>
        <v>0</v>
      </c>
      <c r="BT236" s="62" t="n">
        <f aca="false">MAX(0,BT232+BT233+BT234+BT235)</f>
        <v>0</v>
      </c>
      <c r="BU236" s="62" t="n">
        <f aca="false">MAX(0,BU232+BU233+BU234+BU235)</f>
        <v>0</v>
      </c>
      <c r="BV236" s="62" t="n">
        <f aca="false">MAX(0,BV232+BV233+BV234+BV235)</f>
        <v>0</v>
      </c>
      <c r="BW236" s="62" t="n">
        <f aca="false">MAX(0,BW232+BW233+BW234+BW235)</f>
        <v>0</v>
      </c>
      <c r="BX236" s="62" t="n">
        <f aca="false">MAX(0,BX232+BX233+BX234+BX235)</f>
        <v>0</v>
      </c>
      <c r="BY236" s="62" t="n">
        <f aca="false">MAX(0,BY232+BY233+BY234+BY235)</f>
        <v>0</v>
      </c>
      <c r="BZ236" s="62" t="n">
        <f aca="false">MAX(0,BZ232+BZ233+BZ234+BZ235)</f>
        <v>0</v>
      </c>
      <c r="CA236" s="62" t="n">
        <f aca="false">MAX(0,CA232+CA233+CA234+CA235)</f>
        <v>0</v>
      </c>
      <c r="CB236" s="62" t="n">
        <f aca="false">MAX(0,CB232+CB233+CB234+CB235)</f>
        <v>0</v>
      </c>
      <c r="CC236" s="62" t="n">
        <f aca="false">MAX(0,CC232+CC233+CC234+CC235)</f>
        <v>0</v>
      </c>
      <c r="CD236" s="62" t="n">
        <f aca="false">MAX(0,CD232+CD233+CD234+CD235)</f>
        <v>0</v>
      </c>
      <c r="CE236" s="62" t="n">
        <f aca="false">MAX(0,CE232+CE233+CE234+CE235)</f>
        <v>0</v>
      </c>
      <c r="CF236" s="62" t="n">
        <f aca="false">MAX(0,CF232+CF233+CF234+CF235)</f>
        <v>0</v>
      </c>
      <c r="CG236" s="62" t="n">
        <f aca="false">MAX(0,CG232+CG233+CG234+CG235)</f>
        <v>0</v>
      </c>
      <c r="CH236" s="62" t="n">
        <f aca="false">MAX(0,CH232+CH233+CH234+CH235)</f>
        <v>0</v>
      </c>
      <c r="CI236" s="62" t="n">
        <f aca="false">MAX(0,CI232+CI233+CI234+CI235)</f>
        <v>0</v>
      </c>
      <c r="CJ236" s="62" t="n">
        <f aca="false">MAX(0,CJ232+CJ233+CJ234+CJ235)</f>
        <v>0</v>
      </c>
      <c r="CK236" s="62" t="n">
        <f aca="false">MAX(0,CK232+CK233+CK234+CK235)</f>
        <v>0</v>
      </c>
      <c r="CL236" s="62" t="n">
        <f aca="false">MAX(0,CL232+CL233+CL234+CL235)</f>
        <v>0</v>
      </c>
      <c r="CM236" s="62" t="n">
        <f aca="false">MAX(0,CM232+CM233+CM234+CM235)</f>
        <v>0</v>
      </c>
      <c r="CN236" s="62" t="n">
        <f aca="false">MAX(0,CN232+CN233+CN234+CN235)</f>
        <v>0</v>
      </c>
      <c r="CO236" s="62" t="n">
        <f aca="false">MAX(0,CO232+CO233+CO234+CO235)</f>
        <v>0</v>
      </c>
      <c r="CP236" s="62" t="n">
        <f aca="false">MAX(0,CP232+CP233+CP234+CP235)</f>
        <v>0</v>
      </c>
      <c r="CQ236" s="62" t="n">
        <f aca="false">MAX(0,CQ232+CQ233+CQ234+CQ235)</f>
        <v>0</v>
      </c>
      <c r="CR236" s="62" t="n">
        <f aca="false">MAX(0,CR232+CR233+CR234+CR235)</f>
        <v>0</v>
      </c>
      <c r="CS236" s="62" t="n">
        <f aca="false">MAX(0,CS232+CS233+CS234+CS235)</f>
        <v>0</v>
      </c>
      <c r="CT236" s="62" t="n">
        <f aca="false">MAX(0,CT232+CT233+CT234+CT235)</f>
        <v>0</v>
      </c>
      <c r="CU236" s="62" t="n">
        <f aca="false">MAX(0,CU232+CU233+CU234+CU235)</f>
        <v>0</v>
      </c>
      <c r="CV236" s="62" t="n">
        <f aca="false">MAX(0,CV232+CV233+CV234+CV235)</f>
        <v>0</v>
      </c>
      <c r="CW236" s="62" t="n">
        <f aca="false">MAX(0,CW232+CW233+CW234+CW235)</f>
        <v>0</v>
      </c>
      <c r="CX236" s="62" t="n">
        <f aca="false">MAX(0,CX232+CX233+CX234+CX235)</f>
        <v>0</v>
      </c>
      <c r="CY236" s="62" t="n">
        <f aca="false">MAX(0,CY232+CY233+CY234+CY235)</f>
        <v>0</v>
      </c>
      <c r="CZ236" s="62" t="n">
        <f aca="false">MAX(0,CZ232+CZ233+CZ234+CZ235)</f>
        <v>0</v>
      </c>
      <c r="DA236" s="62" t="n">
        <f aca="false">MAX(0,DA232+DA233+DA234+DA235)</f>
        <v>0</v>
      </c>
      <c r="DB236" s="62" t="n">
        <f aca="false">MAX(0,DB232+DB233+DB234+DB235)</f>
        <v>0</v>
      </c>
      <c r="DC236" s="62" t="n">
        <f aca="false">MAX(0,DC232+DC233+DC234+DC235)</f>
        <v>0</v>
      </c>
      <c r="DD236" s="62" t="n">
        <f aca="false">MAX(0,DD232+DD233+DD234+DD235)</f>
        <v>0</v>
      </c>
      <c r="DE236" s="62" t="n">
        <f aca="false">MAX(0,DE232+DE233+DE234+DE235)</f>
        <v>0</v>
      </c>
    </row>
    <row r="237" customFormat="false" ht="15" hidden="false" customHeight="true" outlineLevel="0" collapsed="false">
      <c r="A237" s="63" t="s">
        <v>158</v>
      </c>
      <c r="B237" s="64"/>
      <c r="C237" s="64"/>
      <c r="D237" s="64"/>
      <c r="E237" s="64" t="n">
        <f aca="false">IF(Projects!$G$14="Yes",Assumptions!$B$75,0)</f>
        <v>264927.15</v>
      </c>
      <c r="F237" s="64" t="n">
        <f aca="false">E241</f>
        <v>264927.15</v>
      </c>
      <c r="G237" s="64" t="n">
        <f aca="false">IF(Projects!$G$14="Yes",F241+176618.1,F241)</f>
        <v>441545.25</v>
      </c>
      <c r="H237" s="64" t="n">
        <f aca="false">G241</f>
        <v>458103.196875</v>
      </c>
      <c r="I237" s="64" t="n">
        <f aca="false">H241</f>
        <v>458103.196875</v>
      </c>
      <c r="J237" s="64" t="n">
        <f aca="false">IF(Projects!$G$14="Yes",I241+176618.1,I241)</f>
        <v>634721.296875</v>
      </c>
      <c r="K237" s="64" t="n">
        <f aca="false">J241</f>
        <v>658523.345507813</v>
      </c>
      <c r="L237" s="64" t="n">
        <f aca="false">K241</f>
        <v>658523.345507813</v>
      </c>
      <c r="M237" s="64" t="n">
        <f aca="false">L241</f>
        <v>658523.345507813</v>
      </c>
      <c r="N237" s="64" t="n">
        <f aca="false">IF(Projects!$G$14="Yes",M241+88309.05,M241)</f>
        <v>771527.020964355</v>
      </c>
      <c r="O237" s="64" t="n">
        <f aca="false">N241</f>
        <v>771527.020964355</v>
      </c>
      <c r="P237" s="64" t="n">
        <f aca="false">O241</f>
        <v>771527.020964355</v>
      </c>
      <c r="Q237" s="64" t="n">
        <f aca="false">P241</f>
        <v>800459.284250519</v>
      </c>
      <c r="R237" s="64" t="n">
        <f aca="false">Q241</f>
        <v>800459.284250519</v>
      </c>
      <c r="S237" s="64" t="n">
        <f aca="false">IF(Projects!$G$14="Yes",R241+88309.05,R241)</f>
        <v>888768.334250519</v>
      </c>
      <c r="T237" s="64" t="n">
        <f aca="false">S241</f>
        <v>922097.146784913</v>
      </c>
      <c r="U237" s="64" t="n">
        <f aca="false">T241</f>
        <v>922097.146784913</v>
      </c>
      <c r="V237" s="64" t="n">
        <f aca="false">U241</f>
        <v>922097.146784913</v>
      </c>
      <c r="W237" s="64" t="n">
        <f aca="false">V241</f>
        <v>956675.789789348</v>
      </c>
      <c r="X237" s="64" t="n">
        <f aca="false">W241</f>
        <v>956675.789789348</v>
      </c>
      <c r="Y237" s="64" t="n">
        <f aca="false">IF(Projects!$G$14="Yes",X241+88309.05,X241)</f>
        <v>1044984.83978935</v>
      </c>
      <c r="Z237" s="64" t="n">
        <f aca="false">Y241</f>
        <v>1084171.77128145</v>
      </c>
      <c r="AA237" s="64" t="n">
        <f aca="false">Z241</f>
        <v>1084171.77128145</v>
      </c>
      <c r="AB237" s="64" t="n">
        <f aca="false">AA241</f>
        <v>1084171.77128145</v>
      </c>
      <c r="AC237" s="64" t="n">
        <f aca="false">AB241</f>
        <v>1124828.2127045</v>
      </c>
      <c r="AD237" s="64" t="n">
        <f aca="false">AC241</f>
        <v>1124828.2127045</v>
      </c>
      <c r="AE237" s="64" t="n">
        <f aca="false">IF(Projects!$G$14="Yes",AD241+Assumptions!$B$76,AD241)</f>
        <v>2007918.7127045</v>
      </c>
      <c r="AF237" s="64" t="n">
        <f aca="false">AE241</f>
        <v>283215.664430921</v>
      </c>
      <c r="AG237" s="64" t="n">
        <f aca="false">AF241</f>
        <v>283215.664430921</v>
      </c>
      <c r="AH237" s="64" t="n">
        <f aca="false">AG241</f>
        <v>283215.664430921</v>
      </c>
      <c r="AI237" s="64" t="n">
        <f aca="false">AH241</f>
        <v>293836.251847081</v>
      </c>
      <c r="AJ237" s="64" t="n">
        <f aca="false">AI241</f>
        <v>293836.251847081</v>
      </c>
      <c r="AK237" s="64" t="n">
        <f aca="false">AJ241</f>
        <v>293836.251847081</v>
      </c>
      <c r="AL237" s="64" t="n">
        <f aca="false">AK241</f>
        <v>304855.111291347</v>
      </c>
      <c r="AM237" s="64" t="n">
        <f aca="false">AL241</f>
        <v>304855.111291347</v>
      </c>
      <c r="AN237" s="64" t="n">
        <f aca="false">AM241</f>
        <v>304855.111291347</v>
      </c>
      <c r="AO237" s="64" t="n">
        <f aca="false">AN241</f>
        <v>316287.177964772</v>
      </c>
      <c r="AP237" s="64" t="n">
        <f aca="false">AO241</f>
        <v>316287.177964772</v>
      </c>
      <c r="AQ237" s="64" t="n">
        <f aca="false">AP241</f>
        <v>316287.177964772</v>
      </c>
      <c r="AR237" s="64" t="n">
        <f aca="false">AQ241</f>
        <v>328147.947138451</v>
      </c>
      <c r="AS237" s="64" t="n">
        <f aca="false">AR241</f>
        <v>328147.947138451</v>
      </c>
      <c r="AT237" s="64" t="n">
        <f aca="false">AS241</f>
        <v>328147.947138451</v>
      </c>
      <c r="AU237" s="64" t="n">
        <f aca="false">AT241</f>
        <v>340453.495156143</v>
      </c>
      <c r="AV237" s="64" t="n">
        <f aca="false">AU241</f>
        <v>340453.495156143</v>
      </c>
      <c r="AW237" s="64" t="n">
        <f aca="false">AV241</f>
        <v>340453.495156143</v>
      </c>
      <c r="AX237" s="64" t="n">
        <f aca="false">AW241</f>
        <v>353220.501224498</v>
      </c>
      <c r="AY237" s="64" t="n">
        <f aca="false">AX241</f>
        <v>353220.501224498</v>
      </c>
      <c r="AZ237" s="64" t="n">
        <f aca="false">AY241</f>
        <v>353220.501224498</v>
      </c>
      <c r="BA237" s="64" t="n">
        <f aca="false">AZ241</f>
        <v>366466.270020417</v>
      </c>
      <c r="BB237" s="64" t="n">
        <f aca="false">BA241</f>
        <v>366466.270020417</v>
      </c>
      <c r="BC237" s="64" t="n">
        <f aca="false">BB241</f>
        <v>366466.270020417</v>
      </c>
      <c r="BD237" s="64" t="n">
        <f aca="false">BC241</f>
        <v>380208.755146183</v>
      </c>
      <c r="BE237" s="64" t="n">
        <f aca="false">BD241</f>
        <v>380208.755146183</v>
      </c>
      <c r="BF237" s="64" t="n">
        <f aca="false">BE241</f>
        <v>380208.755146183</v>
      </c>
      <c r="BG237" s="64" t="n">
        <f aca="false">BF241</f>
        <v>394466.583464164</v>
      </c>
      <c r="BH237" s="64" t="n">
        <f aca="false">BG241</f>
        <v>394466.583464164</v>
      </c>
      <c r="BI237" s="64" t="n">
        <f aca="false">BH241</f>
        <v>394466.583464164</v>
      </c>
      <c r="BJ237" s="64" t="n">
        <f aca="false">BI241</f>
        <v>409259.080344071</v>
      </c>
      <c r="BK237" s="64" t="n">
        <f aca="false">BJ241</f>
        <v>409259.080344071</v>
      </c>
      <c r="BL237" s="64" t="n">
        <f aca="false">BK241</f>
        <v>409259.080344071</v>
      </c>
      <c r="BM237" s="64" t="n">
        <f aca="false">BL241</f>
        <v>424606.295856973</v>
      </c>
      <c r="BN237" s="64" t="n">
        <f aca="false">BM241</f>
        <v>424606.295856973</v>
      </c>
      <c r="BO237" s="64" t="n">
        <f aca="false">BN241</f>
        <v>424606.295856973</v>
      </c>
      <c r="BP237" s="64" t="n">
        <f aca="false">BO241</f>
        <v>440529.03195161</v>
      </c>
      <c r="BQ237" s="64" t="n">
        <f aca="false">BP241</f>
        <v>440529.03195161</v>
      </c>
      <c r="BR237" s="64" t="n">
        <f aca="false">BQ241</f>
        <v>440529.03195161</v>
      </c>
      <c r="BS237" s="64" t="n">
        <f aca="false">BR241</f>
        <v>457048.870649795</v>
      </c>
      <c r="BT237" s="64" t="n">
        <f aca="false">BS241</f>
        <v>457048.870649795</v>
      </c>
      <c r="BU237" s="64" t="n">
        <f aca="false">BT241</f>
        <v>457048.870649795</v>
      </c>
      <c r="BV237" s="64" t="n">
        <f aca="false">BU241</f>
        <v>474188.203299162</v>
      </c>
      <c r="BW237" s="64" t="n">
        <f aca="false">BV241</f>
        <v>474188.203299162</v>
      </c>
      <c r="BX237" s="64" t="n">
        <f aca="false">BW241</f>
        <v>474188.203299162</v>
      </c>
      <c r="BY237" s="64" t="n">
        <f aca="false">BX241</f>
        <v>491970.260922881</v>
      </c>
      <c r="BZ237" s="64" t="n">
        <f aca="false">BY241</f>
        <v>491970.260922881</v>
      </c>
      <c r="CA237" s="64" t="n">
        <f aca="false">BZ241</f>
        <v>491970.260922881</v>
      </c>
      <c r="CB237" s="64" t="n">
        <f aca="false">CA241</f>
        <v>510419.145707489</v>
      </c>
      <c r="CC237" s="64" t="n">
        <f aca="false">CB241</f>
        <v>510419.145707489</v>
      </c>
      <c r="CD237" s="64" t="n">
        <f aca="false">CC241</f>
        <v>510419.145707489</v>
      </c>
      <c r="CE237" s="64" t="n">
        <f aca="false">CD241</f>
        <v>529559.86367152</v>
      </c>
      <c r="CF237" s="64" t="n">
        <f aca="false">CE241</f>
        <v>529559.86367152</v>
      </c>
      <c r="CG237" s="64" t="n">
        <f aca="false">CF241</f>
        <v>529559.86367152</v>
      </c>
      <c r="CH237" s="64" t="n">
        <f aca="false">CG241</f>
        <v>549418.358559202</v>
      </c>
      <c r="CI237" s="64" t="n">
        <f aca="false">CH241</f>
        <v>549418.358559202</v>
      </c>
      <c r="CJ237" s="64" t="n">
        <f aca="false">CI241</f>
        <v>549418.358559202</v>
      </c>
      <c r="CK237" s="64" t="n">
        <f aca="false">CJ241</f>
        <v>570021.547005172</v>
      </c>
      <c r="CL237" s="64" t="n">
        <f aca="false">CK241</f>
        <v>570021.547005172</v>
      </c>
      <c r="CM237" s="64" t="n">
        <f aca="false">CL241</f>
        <v>570021.547005172</v>
      </c>
      <c r="CN237" s="64" t="n">
        <f aca="false">CM241</f>
        <v>591397.355017866</v>
      </c>
      <c r="CO237" s="64" t="n">
        <f aca="false">CN241</f>
        <v>569702.675017866</v>
      </c>
      <c r="CP237" s="64" t="n">
        <f aca="false">CO241</f>
        <v>496547.675017866</v>
      </c>
      <c r="CQ237" s="64" t="n">
        <f aca="false">CP241</f>
        <v>442013.212831036</v>
      </c>
      <c r="CR237" s="64" t="n">
        <f aca="false">CQ241</f>
        <v>368858.212831036</v>
      </c>
      <c r="CS237" s="64" t="n">
        <f aca="false">CR241</f>
        <v>295703.212831036</v>
      </c>
      <c r="CT237" s="64" t="n">
        <f aca="false">CS241</f>
        <v>233637.0833122</v>
      </c>
      <c r="CU237" s="64" t="n">
        <f aca="false">CT241</f>
        <v>160482.0833122</v>
      </c>
      <c r="CV237" s="64" t="n">
        <f aca="false">CU241</f>
        <v>87327.0833121997</v>
      </c>
      <c r="CW237" s="64" t="n">
        <f aca="false">CV241</f>
        <v>17446.8489364072</v>
      </c>
      <c r="CX237" s="64" t="n">
        <f aca="false">CW241</f>
        <v>0</v>
      </c>
      <c r="CY237" s="64" t="n">
        <f aca="false">CX241</f>
        <v>0</v>
      </c>
      <c r="CZ237" s="64" t="n">
        <f aca="false">CY241</f>
        <v>0</v>
      </c>
      <c r="DA237" s="64" t="n">
        <f aca="false">CZ241</f>
        <v>0</v>
      </c>
      <c r="DB237" s="64" t="n">
        <f aca="false">DA241</f>
        <v>0</v>
      </c>
      <c r="DC237" s="64" t="n">
        <f aca="false">DB241</f>
        <v>0</v>
      </c>
      <c r="DD237" s="64" t="n">
        <f aca="false">DC241</f>
        <v>0</v>
      </c>
      <c r="DE237" s="64" t="n">
        <f aca="false">DD241</f>
        <v>0</v>
      </c>
    </row>
    <row r="238" customFormat="false" ht="15" hidden="false" customHeight="true" outlineLevel="0" collapsed="false">
      <c r="A238" s="63" t="s">
        <v>159</v>
      </c>
      <c r="B238" s="64"/>
      <c r="C238" s="64"/>
      <c r="D238" s="64"/>
      <c r="E238" s="64" t="n">
        <f aca="false">IF(AND(MOD(1,3)=0,E237&gt;0),E237*Assumptions!$B$59,0)</f>
        <v>0</v>
      </c>
      <c r="F238" s="64" t="n">
        <f aca="false">IF(AND(MOD(2,3)=0,F237&gt;0),F237*Assumptions!$B$59,0)</f>
        <v>0</v>
      </c>
      <c r="G238" s="64" t="n">
        <f aca="false">IF(AND(MOD(3,3)=0,G237&gt;0),G237*Assumptions!$B$59,0)</f>
        <v>16557.946875</v>
      </c>
      <c r="H238" s="64" t="n">
        <f aca="false">IF(AND(MOD(4,3)=0,H237&gt;0),H237*Assumptions!$B$59,0)</f>
        <v>0</v>
      </c>
      <c r="I238" s="64" t="n">
        <f aca="false">IF(AND(MOD(5,3)=0,I237&gt;0),I237*Assumptions!$B$59,0)</f>
        <v>0</v>
      </c>
      <c r="J238" s="64" t="n">
        <f aca="false">IF(AND(MOD(6,3)=0,J237&gt;0),J237*Assumptions!$B$59,0)</f>
        <v>23802.0486328125</v>
      </c>
      <c r="K238" s="64" t="n">
        <f aca="false">IF(AND(MOD(7,3)=0,K237&gt;0),K237*Assumptions!$B$59,0)</f>
        <v>0</v>
      </c>
      <c r="L238" s="64" t="n">
        <f aca="false">IF(AND(MOD(8,3)=0,L237&gt;0),L237*Assumptions!$B$59,0)</f>
        <v>0</v>
      </c>
      <c r="M238" s="64" t="n">
        <f aca="false">IF(AND(MOD(9,3)=0,M237&gt;0),M237*Assumptions!$B$59,0)</f>
        <v>24694.625456543</v>
      </c>
      <c r="N238" s="64" t="n">
        <f aca="false">IF(AND(MOD(10,3)=0,N237&gt;0),N237*Assumptions!$B$59,0)</f>
        <v>0</v>
      </c>
      <c r="O238" s="64" t="n">
        <f aca="false">IF(AND(MOD(11,3)=0,O237&gt;0),O237*Assumptions!$B$59,0)</f>
        <v>0</v>
      </c>
      <c r="P238" s="64" t="n">
        <f aca="false">IF(AND(MOD(12,3)=0,P237&gt;0),P237*Assumptions!$B$59,0)</f>
        <v>28932.2632861633</v>
      </c>
      <c r="Q238" s="64" t="n">
        <f aca="false">IF(AND(MOD(13,3)=0,Q237&gt;0),Q237*Assumptions!$B$59,0)</f>
        <v>0</v>
      </c>
      <c r="R238" s="64" t="n">
        <f aca="false">IF(AND(MOD(14,3)=0,R237&gt;0),R237*Assumptions!$B$59,0)</f>
        <v>0</v>
      </c>
      <c r="S238" s="64" t="n">
        <f aca="false">IF(AND(MOD(15,3)=0,S237&gt;0),S237*Assumptions!$B$59,0)</f>
        <v>33328.8125343945</v>
      </c>
      <c r="T238" s="64" t="n">
        <f aca="false">IF(AND(MOD(16,3)=0,T237&gt;0),T237*Assumptions!$B$59,0)</f>
        <v>0</v>
      </c>
      <c r="U238" s="64" t="n">
        <f aca="false">IF(AND(MOD(17,3)=0,U237&gt;0),U237*Assumptions!$B$59,0)</f>
        <v>0</v>
      </c>
      <c r="V238" s="64" t="n">
        <f aca="false">IF(AND(MOD(18,3)=0,V237&gt;0),V237*Assumptions!$B$59,0)</f>
        <v>34578.6430044343</v>
      </c>
      <c r="W238" s="64" t="n">
        <f aca="false">IF(AND(MOD(19,3)=0,W237&gt;0),W237*Assumptions!$B$59,0)</f>
        <v>0</v>
      </c>
      <c r="X238" s="64" t="n">
        <f aca="false">IF(AND(MOD(20,3)=0,X237&gt;0),X237*Assumptions!$B$59,0)</f>
        <v>0</v>
      </c>
      <c r="Y238" s="64" t="n">
        <f aca="false">IF(AND(MOD(21,3)=0,Y237&gt;0),Y237*Assumptions!$B$59,0)</f>
        <v>39186.9314921005</v>
      </c>
      <c r="Z238" s="64" t="n">
        <f aca="false">IF(AND(MOD(22,3)=0,Z237&gt;0),Z237*Assumptions!$B$59,0)</f>
        <v>0</v>
      </c>
      <c r="AA238" s="64" t="n">
        <f aca="false">IF(AND(MOD(23,3)=0,AA237&gt;0),AA237*Assumptions!$B$59,0)</f>
        <v>0</v>
      </c>
      <c r="AB238" s="64" t="n">
        <f aca="false">IF(AND(MOD(24,3)=0,AB237&gt;0),AB237*Assumptions!$B$59,0)</f>
        <v>40656.4414230543</v>
      </c>
      <c r="AC238" s="64" t="n">
        <f aca="false">IF(AND(MOD(25,3)=0,AC237&gt;0),AC237*Assumptions!$B$59,0)</f>
        <v>0</v>
      </c>
      <c r="AD238" s="64" t="n">
        <f aca="false">IF(AND(MOD(26,3)=0,AD237&gt;0),AD237*Assumptions!$B$59,0)</f>
        <v>0</v>
      </c>
      <c r="AE238" s="64" t="n">
        <f aca="false">IF(AND(MOD(27,3)=0,AE237&gt;0),AE237*Assumptions!$B$59,0)</f>
        <v>75296.9517264189</v>
      </c>
      <c r="AF238" s="64" t="n">
        <f aca="false">IF(AND(MOD(28,3)=0,AF237&gt;0),AF237*Assumptions!$B$59,0)</f>
        <v>0</v>
      </c>
      <c r="AG238" s="64" t="n">
        <f aca="false">IF(AND(MOD(29,3)=0,AG237&gt;0),AG237*Assumptions!$B$59,0)</f>
        <v>0</v>
      </c>
      <c r="AH238" s="64" t="n">
        <f aca="false">IF(AND(MOD(30,3)=0,AH237&gt;0),AH237*Assumptions!$B$59,0)</f>
        <v>10620.5874161596</v>
      </c>
      <c r="AI238" s="64" t="n">
        <f aca="false">IF(AND(MOD(31,3)=0,AI237&gt;0),AI237*Assumptions!$B$59,0)</f>
        <v>0</v>
      </c>
      <c r="AJ238" s="64" t="n">
        <f aca="false">IF(AND(MOD(32,3)=0,AJ237&gt;0),AJ237*Assumptions!$B$59,0)</f>
        <v>0</v>
      </c>
      <c r="AK238" s="64" t="n">
        <f aca="false">IF(AND(MOD(33,3)=0,AK237&gt;0),AK237*Assumptions!$B$59,0)</f>
        <v>11018.8594442655</v>
      </c>
      <c r="AL238" s="64" t="n">
        <f aca="false">IF(AND(MOD(34,3)=0,AL237&gt;0),AL237*Assumptions!$B$59,0)</f>
        <v>0</v>
      </c>
      <c r="AM238" s="64" t="n">
        <f aca="false">IF(AND(MOD(35,3)=0,AM237&gt;0),AM237*Assumptions!$B$59,0)</f>
        <v>0</v>
      </c>
      <c r="AN238" s="64" t="n">
        <f aca="false">IF(AND(MOD(36,3)=0,AN237&gt;0),AN237*Assumptions!$B$59,0)</f>
        <v>11432.0666734255</v>
      </c>
      <c r="AO238" s="64" t="n">
        <f aca="false">IF(AND(MOD(37,3)=0,AO237&gt;0),AO237*Assumptions!$B$59,0)</f>
        <v>0</v>
      </c>
      <c r="AP238" s="64" t="n">
        <f aca="false">IF(AND(MOD(38,3)=0,AP237&gt;0),AP237*Assumptions!$B$59,0)</f>
        <v>0</v>
      </c>
      <c r="AQ238" s="64" t="n">
        <f aca="false">IF(AND(MOD(39,3)=0,AQ237&gt;0),AQ237*Assumptions!$B$59,0)</f>
        <v>11860.769173679</v>
      </c>
      <c r="AR238" s="64" t="n">
        <f aca="false">IF(AND(MOD(40,3)=0,AR237&gt;0),AR237*Assumptions!$B$59,0)</f>
        <v>0</v>
      </c>
      <c r="AS238" s="64" t="n">
        <f aca="false">IF(AND(MOD(41,3)=0,AS237&gt;0),AS237*Assumptions!$B$59,0)</f>
        <v>0</v>
      </c>
      <c r="AT238" s="64" t="n">
        <f aca="false">IF(AND(MOD(42,3)=0,AT237&gt;0),AT237*Assumptions!$B$59,0)</f>
        <v>12305.5480176919</v>
      </c>
      <c r="AU238" s="64" t="n">
        <f aca="false">IF(AND(MOD(43,3)=0,AU237&gt;0),AU237*Assumptions!$B$59,0)</f>
        <v>0</v>
      </c>
      <c r="AV238" s="64" t="n">
        <f aca="false">IF(AND(MOD(44,3)=0,AV237&gt;0),AV237*Assumptions!$B$59,0)</f>
        <v>0</v>
      </c>
      <c r="AW238" s="64" t="n">
        <f aca="false">IF(AND(MOD(45,3)=0,AW237&gt;0),AW237*Assumptions!$B$59,0)</f>
        <v>12767.0060683554</v>
      </c>
      <c r="AX238" s="64" t="n">
        <f aca="false">IF(AND(MOD(46,3)=0,AX237&gt;0),AX237*Assumptions!$B$59,0)</f>
        <v>0</v>
      </c>
      <c r="AY238" s="64" t="n">
        <f aca="false">IF(AND(MOD(47,3)=0,AY237&gt;0),AY237*Assumptions!$B$59,0)</f>
        <v>0</v>
      </c>
      <c r="AZ238" s="64" t="n">
        <f aca="false">IF(AND(MOD(48,3)=0,AZ237&gt;0),AZ237*Assumptions!$B$59,0)</f>
        <v>13245.7687959187</v>
      </c>
      <c r="BA238" s="64" t="n">
        <f aca="false">IF(AND(MOD(49,3)=0,BA237&gt;0),BA237*Assumptions!$B$59,0)</f>
        <v>0</v>
      </c>
      <c r="BB238" s="64" t="n">
        <f aca="false">IF(AND(MOD(50,3)=0,BB237&gt;0),BB237*Assumptions!$B$59,0)</f>
        <v>0</v>
      </c>
      <c r="BC238" s="64" t="n">
        <f aca="false">IF(AND(MOD(51,3)=0,BC237&gt;0),BC237*Assumptions!$B$59,0)</f>
        <v>13742.4851257656</v>
      </c>
      <c r="BD238" s="64" t="n">
        <f aca="false">IF(AND(MOD(52,3)=0,BD237&gt;0),BD237*Assumptions!$B$59,0)</f>
        <v>0</v>
      </c>
      <c r="BE238" s="64" t="n">
        <f aca="false">IF(AND(MOD(53,3)=0,BE237&gt;0),BE237*Assumptions!$B$59,0)</f>
        <v>0</v>
      </c>
      <c r="BF238" s="64" t="n">
        <f aca="false">IF(AND(MOD(54,3)=0,BF237&gt;0),BF237*Assumptions!$B$59,0)</f>
        <v>14257.8283179818</v>
      </c>
      <c r="BG238" s="64" t="n">
        <f aca="false">IF(AND(MOD(55,3)=0,BG237&gt;0),BG237*Assumptions!$B$59,0)</f>
        <v>0</v>
      </c>
      <c r="BH238" s="64" t="n">
        <f aca="false">IF(AND(MOD(56,3)=0,BH237&gt;0),BH237*Assumptions!$B$59,0)</f>
        <v>0</v>
      </c>
      <c r="BI238" s="64" t="n">
        <f aca="false">IF(AND(MOD(57,3)=0,BI237&gt;0),BI237*Assumptions!$B$59,0)</f>
        <v>14792.4968799062</v>
      </c>
      <c r="BJ238" s="64" t="n">
        <f aca="false">IF(AND(MOD(58,3)=0,BJ237&gt;0),BJ237*Assumptions!$B$59,0)</f>
        <v>0</v>
      </c>
      <c r="BK238" s="64" t="n">
        <f aca="false">IF(AND(MOD(59,3)=0,BK237&gt;0),BK237*Assumptions!$B$59,0)</f>
        <v>0</v>
      </c>
      <c r="BL238" s="64" t="n">
        <f aca="false">IF(AND(MOD(60,3)=0,BL237&gt;0),BL237*Assumptions!$B$59,0)</f>
        <v>15347.2155129026</v>
      </c>
      <c r="BM238" s="64" t="n">
        <f aca="false">IF(AND(MOD(61,3)=0,BM237&gt;0),BM237*Assumptions!$B$59,0)</f>
        <v>0</v>
      </c>
      <c r="BN238" s="64" t="n">
        <f aca="false">IF(AND(MOD(62,3)=0,BN237&gt;0),BN237*Assumptions!$B$59,0)</f>
        <v>0</v>
      </c>
      <c r="BO238" s="64" t="n">
        <f aca="false">IF(AND(MOD(63,3)=0,BO237&gt;0),BO237*Assumptions!$B$59,0)</f>
        <v>15922.7360946365</v>
      </c>
      <c r="BP238" s="64" t="n">
        <f aca="false">IF(AND(MOD(64,3)=0,BP237&gt;0),BP237*Assumptions!$B$59,0)</f>
        <v>0</v>
      </c>
      <c r="BQ238" s="64" t="n">
        <f aca="false">IF(AND(MOD(65,3)=0,BQ237&gt;0),BQ237*Assumptions!$B$59,0)</f>
        <v>0</v>
      </c>
      <c r="BR238" s="64" t="n">
        <f aca="false">IF(AND(MOD(66,3)=0,BR237&gt;0),BR237*Assumptions!$B$59,0)</f>
        <v>16519.8386981854</v>
      </c>
      <c r="BS238" s="64" t="n">
        <f aca="false">IF(AND(MOD(67,3)=0,BS237&gt;0),BS237*Assumptions!$B$59,0)</f>
        <v>0</v>
      </c>
      <c r="BT238" s="64" t="n">
        <f aca="false">IF(AND(MOD(68,3)=0,BT237&gt;0),BT237*Assumptions!$B$59,0)</f>
        <v>0</v>
      </c>
      <c r="BU238" s="64" t="n">
        <f aca="false">IF(AND(MOD(69,3)=0,BU237&gt;0),BU237*Assumptions!$B$59,0)</f>
        <v>17139.3326493673</v>
      </c>
      <c r="BV238" s="64" t="n">
        <f aca="false">IF(AND(MOD(70,3)=0,BV237&gt;0),BV237*Assumptions!$B$59,0)</f>
        <v>0</v>
      </c>
      <c r="BW238" s="64" t="n">
        <f aca="false">IF(AND(MOD(71,3)=0,BW237&gt;0),BW237*Assumptions!$B$59,0)</f>
        <v>0</v>
      </c>
      <c r="BX238" s="64" t="n">
        <f aca="false">IF(AND(MOD(72,3)=0,BX237&gt;0),BX237*Assumptions!$B$59,0)</f>
        <v>17782.0576237186</v>
      </c>
      <c r="BY238" s="64" t="n">
        <f aca="false">IF(AND(MOD(73,3)=0,BY237&gt;0),BY237*Assumptions!$B$59,0)</f>
        <v>0</v>
      </c>
      <c r="BZ238" s="64" t="n">
        <f aca="false">IF(AND(MOD(74,3)=0,BZ237&gt;0),BZ237*Assumptions!$B$59,0)</f>
        <v>0</v>
      </c>
      <c r="CA238" s="64" t="n">
        <f aca="false">IF(AND(MOD(75,3)=0,CA237&gt;0),CA237*Assumptions!$B$59,0)</f>
        <v>18448.884784608</v>
      </c>
      <c r="CB238" s="64" t="n">
        <f aca="false">IF(AND(MOD(76,3)=0,CB237&gt;0),CB237*Assumptions!$B$59,0)</f>
        <v>0</v>
      </c>
      <c r="CC238" s="64" t="n">
        <f aca="false">IF(AND(MOD(77,3)=0,CC237&gt;0),CC237*Assumptions!$B$59,0)</f>
        <v>0</v>
      </c>
      <c r="CD238" s="64" t="n">
        <f aca="false">IF(AND(MOD(78,3)=0,CD237&gt;0),CD237*Assumptions!$B$59,0)</f>
        <v>19140.7179640308</v>
      </c>
      <c r="CE238" s="64" t="n">
        <f aca="false">IF(AND(MOD(79,3)=0,CE237&gt;0),CE237*Assumptions!$B$59,0)</f>
        <v>0</v>
      </c>
      <c r="CF238" s="64" t="n">
        <f aca="false">IF(AND(MOD(80,3)=0,CF237&gt;0),CF237*Assumptions!$B$59,0)</f>
        <v>0</v>
      </c>
      <c r="CG238" s="64" t="n">
        <f aca="false">IF(AND(MOD(81,3)=0,CG237&gt;0),CG237*Assumptions!$B$59,0)</f>
        <v>19858.494887682</v>
      </c>
      <c r="CH238" s="64" t="n">
        <f aca="false">IF(AND(MOD(82,3)=0,CH237&gt;0),CH237*Assumptions!$B$59,0)</f>
        <v>0</v>
      </c>
      <c r="CI238" s="64" t="n">
        <f aca="false">IF(AND(MOD(83,3)=0,CI237&gt;0),CI237*Assumptions!$B$59,0)</f>
        <v>0</v>
      </c>
      <c r="CJ238" s="64" t="n">
        <f aca="false">IF(AND(MOD(84,3)=0,CJ237&gt;0),CJ237*Assumptions!$B$59,0)</f>
        <v>20603.1884459701</v>
      </c>
      <c r="CK238" s="64" t="n">
        <f aca="false">IF(AND(MOD(85,3)=0,CK237&gt;0),CK237*Assumptions!$B$59,0)</f>
        <v>0</v>
      </c>
      <c r="CL238" s="64" t="n">
        <f aca="false">IF(AND(MOD(86,3)=0,CL237&gt;0),CL237*Assumptions!$B$59,0)</f>
        <v>0</v>
      </c>
      <c r="CM238" s="64" t="n">
        <f aca="false">IF(AND(MOD(87,3)=0,CM237&gt;0),CM237*Assumptions!$B$59,0)</f>
        <v>21375.8080126939</v>
      </c>
      <c r="CN238" s="64" t="n">
        <f aca="false">IF(AND(MOD(88,3)=0,CN237&gt;0),CN237*Assumptions!$B$59,0)</f>
        <v>0</v>
      </c>
      <c r="CO238" s="64" t="n">
        <f aca="false">IF(AND(MOD(89,3)=0,CO237&gt;0),CO237*Assumptions!$B$59,0)</f>
        <v>0</v>
      </c>
      <c r="CP238" s="64" t="n">
        <f aca="false">IF(AND(MOD(90,3)=0,CP237&gt;0),CP237*Assumptions!$B$59,0)</f>
        <v>18620.53781317</v>
      </c>
      <c r="CQ238" s="64" t="n">
        <f aca="false">IF(AND(MOD(91,3)=0,CQ237&gt;0),CQ237*Assumptions!$B$59,0)</f>
        <v>0</v>
      </c>
      <c r="CR238" s="64" t="n">
        <f aca="false">IF(AND(MOD(92,3)=0,CR237&gt;0),CR237*Assumptions!$B$59,0)</f>
        <v>0</v>
      </c>
      <c r="CS238" s="64" t="n">
        <f aca="false">IF(AND(MOD(93,3)=0,CS237&gt;0),CS237*Assumptions!$B$59,0)</f>
        <v>11088.8704811638</v>
      </c>
      <c r="CT238" s="64" t="n">
        <f aca="false">IF(AND(MOD(94,3)=0,CT237&gt;0),CT237*Assumptions!$B$59,0)</f>
        <v>0</v>
      </c>
      <c r="CU238" s="64" t="n">
        <f aca="false">IF(AND(MOD(95,3)=0,CU237&gt;0),CU237*Assumptions!$B$59,0)</f>
        <v>0</v>
      </c>
      <c r="CV238" s="64" t="n">
        <f aca="false">IF(AND(MOD(96,3)=0,CV237&gt;0),CV237*Assumptions!$B$59,0)</f>
        <v>3274.76562420749</v>
      </c>
      <c r="CW238" s="64" t="n">
        <f aca="false">IF(AND(MOD(97,3)=0,CW237&gt;0),CW237*Assumptions!$B$59,0)</f>
        <v>0</v>
      </c>
      <c r="CX238" s="64" t="n">
        <f aca="false">IF(AND(MOD(98,3)=0,CX237&gt;0),CX237*Assumptions!$B$59,0)</f>
        <v>0</v>
      </c>
      <c r="CY238" s="64" t="n">
        <f aca="false">IF(AND(MOD(99,3)=0,CY237&gt;0),CY237*Assumptions!$B$59,0)</f>
        <v>0</v>
      </c>
      <c r="CZ238" s="64" t="n">
        <f aca="false">IF(AND(MOD(100,3)=0,CZ237&gt;0),CZ237*Assumptions!$B$59,0)</f>
        <v>0</v>
      </c>
      <c r="DA238" s="64" t="n">
        <f aca="false">IF(AND(MOD(101,3)=0,DA237&gt;0),DA237*Assumptions!$B$59,0)</f>
        <v>0</v>
      </c>
      <c r="DB238" s="64" t="n">
        <f aca="false">IF(AND(MOD(102,3)=0,DB237&gt;0),DB237*Assumptions!$B$59,0)</f>
        <v>0</v>
      </c>
      <c r="DC238" s="64" t="n">
        <f aca="false">IF(AND(MOD(103,3)=0,DC237&gt;0),DC237*Assumptions!$B$59,0)</f>
        <v>0</v>
      </c>
      <c r="DD238" s="64" t="n">
        <f aca="false">IF(AND(MOD(104,3)=0,DD237&gt;0),DD237*Assumptions!$B$59,0)</f>
        <v>0</v>
      </c>
      <c r="DE238" s="64" t="n">
        <f aca="false">IF(AND(MOD(105,3)=0,DE237&gt;0),DE237*Assumptions!$B$59,0)</f>
        <v>0</v>
      </c>
    </row>
    <row r="239" customFormat="false" ht="15" hidden="false" customHeight="true" outlineLevel="0" collapsed="false">
      <c r="A239" s="63" t="s">
        <v>160</v>
      </c>
      <c r="B239" s="64"/>
      <c r="C239" s="64"/>
      <c r="D239" s="64"/>
      <c r="E239" s="64" t="n">
        <v>0</v>
      </c>
      <c r="F239" s="64" t="n">
        <v>0</v>
      </c>
      <c r="G239" s="64" t="n">
        <v>0</v>
      </c>
      <c r="H239" s="64" t="n">
        <v>0</v>
      </c>
      <c r="I239" s="64" t="n">
        <v>0</v>
      </c>
      <c r="J239" s="64" t="n">
        <v>0</v>
      </c>
      <c r="K239" s="64" t="n">
        <v>0</v>
      </c>
      <c r="L239" s="64" t="n">
        <v>0</v>
      </c>
      <c r="M239" s="64" t="n">
        <v>0</v>
      </c>
      <c r="N239" s="64" t="n">
        <v>0</v>
      </c>
      <c r="O239" s="64" t="n">
        <v>0</v>
      </c>
      <c r="P239" s="64" t="n">
        <v>0</v>
      </c>
      <c r="Q239" s="64" t="n">
        <v>0</v>
      </c>
      <c r="R239" s="64" t="n">
        <v>0</v>
      </c>
      <c r="S239" s="64" t="n">
        <v>0</v>
      </c>
      <c r="T239" s="64" t="n">
        <v>0</v>
      </c>
      <c r="U239" s="64" t="n">
        <v>0</v>
      </c>
      <c r="V239" s="64" t="n">
        <v>0</v>
      </c>
      <c r="W239" s="64" t="n">
        <v>0</v>
      </c>
      <c r="X239" s="64" t="n">
        <v>0</v>
      </c>
      <c r="Y239" s="64" t="n">
        <v>0</v>
      </c>
      <c r="Z239" s="64" t="n">
        <v>0</v>
      </c>
      <c r="AA239" s="64" t="n">
        <v>0</v>
      </c>
      <c r="AB239" s="64" t="n">
        <v>0</v>
      </c>
      <c r="AC239" s="64" t="n">
        <v>0</v>
      </c>
      <c r="AD239" s="64" t="n">
        <v>0</v>
      </c>
      <c r="AE239" s="64" t="n">
        <f aca="false">IF(Projects!$G$14="Yes",Assumptions!$B$77,0)</f>
        <v>-1800000</v>
      </c>
      <c r="AF239" s="64" t="n">
        <v>0</v>
      </c>
      <c r="AG239" s="64" t="n">
        <v>0</v>
      </c>
      <c r="AH239" s="64" t="n">
        <v>0</v>
      </c>
      <c r="AI239" s="64" t="n">
        <v>0</v>
      </c>
      <c r="AJ239" s="64" t="n">
        <v>0</v>
      </c>
      <c r="AK239" s="64" t="n">
        <v>0</v>
      </c>
      <c r="AL239" s="64" t="n">
        <v>0</v>
      </c>
      <c r="AM239" s="64" t="n">
        <v>0</v>
      </c>
      <c r="AN239" s="64" t="n">
        <v>0</v>
      </c>
      <c r="AO239" s="64" t="n">
        <v>0</v>
      </c>
      <c r="AP239" s="64" t="n">
        <v>0</v>
      </c>
      <c r="AQ239" s="64" t="n">
        <v>0</v>
      </c>
      <c r="AR239" s="64" t="n">
        <v>0</v>
      </c>
      <c r="AS239" s="64" t="n">
        <v>0</v>
      </c>
      <c r="AT239" s="64" t="n">
        <v>0</v>
      </c>
      <c r="AU239" s="64" t="n">
        <v>0</v>
      </c>
      <c r="AV239" s="64" t="n">
        <v>0</v>
      </c>
      <c r="AW239" s="64" t="n">
        <v>0</v>
      </c>
      <c r="AX239" s="64" t="n">
        <v>0</v>
      </c>
      <c r="AY239" s="64" t="n">
        <v>0</v>
      </c>
      <c r="AZ239" s="64" t="n">
        <v>0</v>
      </c>
      <c r="BA239" s="64" t="n">
        <v>0</v>
      </c>
      <c r="BB239" s="64" t="n">
        <v>0</v>
      </c>
      <c r="BC239" s="64" t="n">
        <v>0</v>
      </c>
      <c r="BD239" s="64" t="n">
        <v>0</v>
      </c>
      <c r="BE239" s="64" t="n">
        <v>0</v>
      </c>
      <c r="BF239" s="64" t="n">
        <v>0</v>
      </c>
      <c r="BG239" s="64" t="n">
        <v>0</v>
      </c>
      <c r="BH239" s="64" t="n">
        <v>0</v>
      </c>
      <c r="BI239" s="64" t="n">
        <v>0</v>
      </c>
      <c r="BJ239" s="64" t="n">
        <v>0</v>
      </c>
      <c r="BK239" s="64" t="n">
        <v>0</v>
      </c>
      <c r="BL239" s="64" t="n">
        <v>0</v>
      </c>
      <c r="BM239" s="64" t="n">
        <v>0</v>
      </c>
      <c r="BN239" s="64" t="n">
        <v>0</v>
      </c>
      <c r="BO239" s="64" t="n">
        <v>0</v>
      </c>
      <c r="BP239" s="64" t="n">
        <v>0</v>
      </c>
      <c r="BQ239" s="64" t="n">
        <v>0</v>
      </c>
      <c r="BR239" s="64" t="n">
        <v>0</v>
      </c>
      <c r="BS239" s="64" t="n">
        <v>0</v>
      </c>
      <c r="BT239" s="64" t="n">
        <v>0</v>
      </c>
      <c r="BU239" s="64" t="n">
        <v>0</v>
      </c>
      <c r="BV239" s="64" t="n">
        <v>0</v>
      </c>
      <c r="BW239" s="64" t="n">
        <v>0</v>
      </c>
      <c r="BX239" s="64" t="n">
        <v>0</v>
      </c>
      <c r="BY239" s="64" t="n">
        <v>0</v>
      </c>
      <c r="BZ239" s="64" t="n">
        <v>0</v>
      </c>
      <c r="CA239" s="64" t="n">
        <v>0</v>
      </c>
      <c r="CB239" s="64" t="n">
        <v>0</v>
      </c>
      <c r="CC239" s="64" t="n">
        <v>0</v>
      </c>
      <c r="CD239" s="64" t="n">
        <v>0</v>
      </c>
      <c r="CE239" s="64" t="n">
        <v>0</v>
      </c>
      <c r="CF239" s="64" t="n">
        <v>0</v>
      </c>
      <c r="CG239" s="64" t="n">
        <v>0</v>
      </c>
      <c r="CH239" s="64" t="n">
        <v>0</v>
      </c>
      <c r="CI239" s="64" t="n">
        <v>0</v>
      </c>
      <c r="CJ239" s="64" t="n">
        <v>0</v>
      </c>
      <c r="CK239" s="64" t="n">
        <v>0</v>
      </c>
      <c r="CL239" s="64" t="n">
        <v>0</v>
      </c>
      <c r="CM239" s="64" t="n">
        <v>0</v>
      </c>
      <c r="CN239" s="64" t="n">
        <v>0</v>
      </c>
      <c r="CO239" s="64" t="n">
        <v>0</v>
      </c>
      <c r="CP239" s="64" t="n">
        <v>0</v>
      </c>
      <c r="CQ239" s="64" t="n">
        <v>0</v>
      </c>
      <c r="CR239" s="64" t="n">
        <v>0</v>
      </c>
      <c r="CS239" s="64" t="n">
        <v>0</v>
      </c>
      <c r="CT239" s="64"/>
      <c r="CU239" s="64"/>
      <c r="CV239" s="64"/>
      <c r="CW239" s="64"/>
      <c r="CX239" s="64"/>
      <c r="CY239" s="64"/>
      <c r="CZ239" s="64"/>
      <c r="DA239" s="64"/>
      <c r="DB239" s="64"/>
      <c r="DC239" s="64"/>
      <c r="DD239" s="64"/>
      <c r="DE239" s="64"/>
    </row>
    <row r="240" customFormat="false" ht="15" hidden="false" customHeight="true" outlineLevel="0" collapsed="false">
      <c r="A240" s="65" t="s">
        <v>161</v>
      </c>
      <c r="B240" s="66"/>
      <c r="C240" s="66"/>
      <c r="D240" s="66"/>
      <c r="E240" s="66" t="n">
        <f aca="false">-MIN(E237+E238+E239,MAX(0,E164-Helpers!C26))</f>
        <v>-0</v>
      </c>
      <c r="F240" s="66" t="n">
        <f aca="false">-MIN(F237+F238+F239,MAX(0,F164-Helpers!D26))</f>
        <v>-0</v>
      </c>
      <c r="G240" s="66" t="n">
        <f aca="false">-MIN(G237+G238+G239,MAX(0,G164-Helpers!E26))</f>
        <v>-0</v>
      </c>
      <c r="H240" s="66" t="n">
        <f aca="false">-MIN(H237+H238+H239,MAX(0,H164-Helpers!F26))</f>
        <v>-0</v>
      </c>
      <c r="I240" s="66" t="n">
        <f aca="false">-MIN(I237+I238+I239,MAX(0,I164-Helpers!G26))</f>
        <v>-0</v>
      </c>
      <c r="J240" s="66" t="n">
        <f aca="false">-MIN(J237+J238+J239,MAX(0,J164-Helpers!H26))</f>
        <v>-0</v>
      </c>
      <c r="K240" s="66" t="n">
        <f aca="false">-MIN(K237+K238+K239,MAX(0,K164-Helpers!I26))</f>
        <v>-0</v>
      </c>
      <c r="L240" s="66" t="n">
        <f aca="false">-MIN(L237+L238+L239,MAX(0,L164-Helpers!J26))</f>
        <v>-0</v>
      </c>
      <c r="M240" s="66" t="n">
        <f aca="false">-MIN(M237+M238+M239,MAX(0,M164-Helpers!K26))</f>
        <v>-0</v>
      </c>
      <c r="N240" s="66" t="n">
        <f aca="false">-MIN(N237+N238+N239,MAX(0,N164-Helpers!L26))</f>
        <v>-0</v>
      </c>
      <c r="O240" s="66" t="n">
        <f aca="false">-MIN(O237+O238+O239,MAX(0,O164-Helpers!M26))</f>
        <v>-0</v>
      </c>
      <c r="P240" s="66" t="n">
        <f aca="false">-MIN(P237+P238+P239,MAX(0,P164-Helpers!N26))</f>
        <v>-0</v>
      </c>
      <c r="Q240" s="66" t="n">
        <f aca="false">-MIN(Q237+Q238+Q239,MAX(0,Q164-Helpers!O26))</f>
        <v>-0</v>
      </c>
      <c r="R240" s="66" t="n">
        <f aca="false">-MIN(R237+R238+R239,MAX(0,R164-Helpers!P26))</f>
        <v>-0</v>
      </c>
      <c r="S240" s="66" t="n">
        <f aca="false">-MIN(S237+S238+S239,MAX(0,S164-Helpers!Q26))</f>
        <v>-0</v>
      </c>
      <c r="T240" s="66" t="n">
        <f aca="false">-MIN(T237+T238+T239,MAX(0,T164-Helpers!R26))</f>
        <v>-0</v>
      </c>
      <c r="U240" s="66" t="n">
        <f aca="false">-MIN(U237+U238+U239,MAX(0,U164-Helpers!S26))</f>
        <v>-0</v>
      </c>
      <c r="V240" s="66" t="n">
        <f aca="false">-MIN(V237+V238+V239,MAX(0,V164-Helpers!T26))</f>
        <v>-0</v>
      </c>
      <c r="W240" s="66" t="n">
        <f aca="false">-MIN(W237+W238+W239,MAX(0,W164-Helpers!U26))</f>
        <v>-0</v>
      </c>
      <c r="X240" s="66" t="n">
        <f aca="false">-MIN(X237+X238+X239,MAX(0,X164-Helpers!V26))</f>
        <v>-0</v>
      </c>
      <c r="Y240" s="66" t="n">
        <f aca="false">-MIN(Y237+Y238+Y239,MAX(0,Y164-Helpers!W26))</f>
        <v>-0</v>
      </c>
      <c r="Z240" s="66" t="n">
        <f aca="false">-MIN(Z237+Z238+Z239,MAX(0,Z164-Helpers!X26))</f>
        <v>-0</v>
      </c>
      <c r="AA240" s="66" t="n">
        <f aca="false">-MIN(AA237+AA238+AA239,MAX(0,AA164-Helpers!Y26))</f>
        <v>-0</v>
      </c>
      <c r="AB240" s="66" t="n">
        <f aca="false">-MIN(AB237+AB238+AB239,MAX(0,AB164-Helpers!Z26))</f>
        <v>-0</v>
      </c>
      <c r="AC240" s="66" t="n">
        <f aca="false">-MIN(AC237+AC238+AC239,MAX(0,AC164-Helpers!AA26))</f>
        <v>-0</v>
      </c>
      <c r="AD240" s="66" t="n">
        <f aca="false">-MIN(AD237+AD238+AD239,MAX(0,AD164-Helpers!AB26))</f>
        <v>-0</v>
      </c>
      <c r="AE240" s="66" t="n">
        <f aca="false">-MIN(AE237+AE238+AE239,MAX(0,AE164-Helpers!AC26))</f>
        <v>-0</v>
      </c>
      <c r="AF240" s="66" t="n">
        <f aca="false">-MIN(AF237+AF238+AF239,MAX(0,AF164-Helpers!AD26))</f>
        <v>-0</v>
      </c>
      <c r="AG240" s="66" t="n">
        <f aca="false">-MIN(AG237+AG238+AG239,MAX(0,AG164-Helpers!AE26))</f>
        <v>-0</v>
      </c>
      <c r="AH240" s="66" t="n">
        <f aca="false">-MIN(AH237+AH238+AH239,MAX(0,AH164-Helpers!AF26))</f>
        <v>-0</v>
      </c>
      <c r="AI240" s="66" t="n">
        <f aca="false">-MIN(AI237+AI238+AI239,MAX(0,AI164-Helpers!AG26))</f>
        <v>-0</v>
      </c>
      <c r="AJ240" s="66" t="n">
        <f aca="false">-MIN(AJ237+AJ238+AJ239,MAX(0,AJ164-Helpers!AH26))</f>
        <v>-0</v>
      </c>
      <c r="AK240" s="66" t="n">
        <f aca="false">-MIN(AK237+AK238+AK239,MAX(0,AK164-Helpers!AI26))</f>
        <v>-0</v>
      </c>
      <c r="AL240" s="66" t="n">
        <f aca="false">-MIN(AL237+AL238+AL239,MAX(0,AL164-Helpers!AJ26))</f>
        <v>-0</v>
      </c>
      <c r="AM240" s="66" t="n">
        <f aca="false">-MIN(AM237+AM238+AM239,MAX(0,AM164-Helpers!AK26))</f>
        <v>-0</v>
      </c>
      <c r="AN240" s="66" t="n">
        <f aca="false">-MIN(AN237+AN238+AN239,MAX(0,AN164-Helpers!AL26))</f>
        <v>-0</v>
      </c>
      <c r="AO240" s="66" t="n">
        <f aca="false">-MIN(AO237+AO238+AO239,MAX(0,AO164-Helpers!AM26))</f>
        <v>-0</v>
      </c>
      <c r="AP240" s="66" t="n">
        <f aca="false">-MIN(AP237+AP238+AP239,MAX(0,AP164-Helpers!AN26))</f>
        <v>-0</v>
      </c>
      <c r="AQ240" s="66" t="n">
        <f aca="false">-MIN(AQ237+AQ238+AQ239,MAX(0,AQ164-Helpers!AO26))</f>
        <v>-0</v>
      </c>
      <c r="AR240" s="66" t="n">
        <f aca="false">-MIN(AR237+AR238+AR239,MAX(0,AR164-Helpers!AP26))</f>
        <v>-0</v>
      </c>
      <c r="AS240" s="66" t="n">
        <f aca="false">-MIN(AS237+AS238+AS239,MAX(0,AS164-Helpers!AQ26))</f>
        <v>-0</v>
      </c>
      <c r="AT240" s="66" t="n">
        <f aca="false">-MIN(AT237+AT238+AT239,MAX(0,AT164-Helpers!AR26))</f>
        <v>-0</v>
      </c>
      <c r="AU240" s="66" t="n">
        <f aca="false">-MIN(AU237+AU238+AU239,MAX(0,AU164-Helpers!AS26))</f>
        <v>-0</v>
      </c>
      <c r="AV240" s="66" t="n">
        <f aca="false">-MIN(AV237+AV238+AV239,MAX(0,AV164-Helpers!AT26))</f>
        <v>-0</v>
      </c>
      <c r="AW240" s="66" t="n">
        <f aca="false">-MIN(AW237+AW238+AW239,MAX(0,AW164-Helpers!AU26))</f>
        <v>-0</v>
      </c>
      <c r="AX240" s="66" t="n">
        <f aca="false">-MIN(AX237+AX238+AX239,MAX(0,AX164-Helpers!AV26))</f>
        <v>-0</v>
      </c>
      <c r="AY240" s="66" t="n">
        <f aca="false">-MIN(AY237+AY238+AY239,MAX(0,AY164-Helpers!AW26))</f>
        <v>-0</v>
      </c>
      <c r="AZ240" s="66" t="n">
        <f aca="false">-MIN(AZ237+AZ238+AZ239,MAX(0,AZ164-Helpers!AX26))</f>
        <v>-0</v>
      </c>
      <c r="BA240" s="66" t="n">
        <f aca="false">-MIN(BA237+BA238+BA239,MAX(0,BA164-Helpers!AY26))</f>
        <v>-0</v>
      </c>
      <c r="BB240" s="66" t="n">
        <f aca="false">-MIN(BB237+BB238+BB239,MAX(0,BB164-Helpers!AZ26))</f>
        <v>-0</v>
      </c>
      <c r="BC240" s="66" t="n">
        <f aca="false">-MIN(BC237+BC238+BC239,MAX(0,BC164-Helpers!BA26))</f>
        <v>-0</v>
      </c>
      <c r="BD240" s="66" t="n">
        <f aca="false">-MIN(BD237+BD238+BD239,MAX(0,BD164-Helpers!BB26))</f>
        <v>-0</v>
      </c>
      <c r="BE240" s="66" t="n">
        <f aca="false">-MIN(BE237+BE238+BE239,MAX(0,BE164-Helpers!BC26))</f>
        <v>-0</v>
      </c>
      <c r="BF240" s="66" t="n">
        <f aca="false">-MIN(BF237+BF238+BF239,MAX(0,BF164-Helpers!BD26))</f>
        <v>-0</v>
      </c>
      <c r="BG240" s="66" t="n">
        <f aca="false">-MIN(BG237+BG238+BG239,MAX(0,BG164-Helpers!BE26))</f>
        <v>-0</v>
      </c>
      <c r="BH240" s="66" t="n">
        <f aca="false">-MIN(BH237+BH238+BH239,MAX(0,BH164-Helpers!BF26))</f>
        <v>-0</v>
      </c>
      <c r="BI240" s="66" t="n">
        <f aca="false">-MIN(BI237+BI238+BI239,MAX(0,BI164-Helpers!BG26))</f>
        <v>-0</v>
      </c>
      <c r="BJ240" s="66" t="n">
        <f aca="false">-MIN(BJ237+BJ238+BJ239,MAX(0,BJ164-Helpers!BH26))</f>
        <v>-0</v>
      </c>
      <c r="BK240" s="66" t="n">
        <f aca="false">-MIN(BK237+BK238+BK239,MAX(0,BK164-Helpers!BI26))</f>
        <v>-0</v>
      </c>
      <c r="BL240" s="66" t="n">
        <f aca="false">-MIN(BL237+BL238+BL239,MAX(0,BL164-Helpers!BJ26))</f>
        <v>-0</v>
      </c>
      <c r="BM240" s="66" t="n">
        <f aca="false">-MIN(BM237+BM238+BM239,MAX(0,BM164-Helpers!BK26))</f>
        <v>-0</v>
      </c>
      <c r="BN240" s="66" t="n">
        <f aca="false">-MIN(BN237+BN238+BN239,MAX(0,BN164-Helpers!BL26))</f>
        <v>-0</v>
      </c>
      <c r="BO240" s="66" t="n">
        <f aca="false">-MIN(BO237+BO238+BO239,MAX(0,BO164-Helpers!BM26))</f>
        <v>-0</v>
      </c>
      <c r="BP240" s="66" t="n">
        <f aca="false">-MIN(BP237+BP238+BP239,MAX(0,BP164-Helpers!BN26))</f>
        <v>-0</v>
      </c>
      <c r="BQ240" s="66" t="n">
        <f aca="false">-MIN(BQ237+BQ238+BQ239,MAX(0,BQ164-Helpers!BO26))</f>
        <v>-0</v>
      </c>
      <c r="BR240" s="66" t="n">
        <f aca="false">-MIN(BR237+BR238+BR239,MAX(0,BR164-Helpers!BP26))</f>
        <v>-0</v>
      </c>
      <c r="BS240" s="66" t="n">
        <f aca="false">-MIN(BS237+BS238+BS239,MAX(0,BS164-Helpers!BQ26))</f>
        <v>-0</v>
      </c>
      <c r="BT240" s="66" t="n">
        <f aca="false">-MIN(BT237+BT238+BT239,MAX(0,BT164-Helpers!BR26))</f>
        <v>-0</v>
      </c>
      <c r="BU240" s="66" t="n">
        <f aca="false">-MIN(BU237+BU238+BU239,MAX(0,BU164-Helpers!BS26))</f>
        <v>-0</v>
      </c>
      <c r="BV240" s="66" t="n">
        <f aca="false">-MIN(BV237+BV238+BV239,MAX(0,BV164-Helpers!BT26))</f>
        <v>-0</v>
      </c>
      <c r="BW240" s="66" t="n">
        <f aca="false">-MIN(BW237+BW238+BW239,MAX(0,BW164-Helpers!BU26))</f>
        <v>-0</v>
      </c>
      <c r="BX240" s="66" t="n">
        <f aca="false">-MIN(BX237+BX238+BX239,MAX(0,BX164-Helpers!BV26))</f>
        <v>-0</v>
      </c>
      <c r="BY240" s="66" t="n">
        <f aca="false">-MIN(BY237+BY238+BY239,MAX(0,BY164-Helpers!BW26))</f>
        <v>-0</v>
      </c>
      <c r="BZ240" s="66" t="n">
        <f aca="false">-MIN(BZ237+BZ238+BZ239,MAX(0,BZ164-Helpers!BX26))</f>
        <v>-0</v>
      </c>
      <c r="CA240" s="66" t="n">
        <f aca="false">-MIN(CA237+CA238+CA239,MAX(0,CA164-Helpers!BY26))</f>
        <v>-0</v>
      </c>
      <c r="CB240" s="66" t="n">
        <f aca="false">-MIN(CB237+CB238+CB239,MAX(0,CB164-Helpers!BZ26))</f>
        <v>-0</v>
      </c>
      <c r="CC240" s="66" t="n">
        <f aca="false">-MIN(CC237+CC238+CC239,MAX(0,CC164-Helpers!CA26))</f>
        <v>-0</v>
      </c>
      <c r="CD240" s="66" t="n">
        <f aca="false">-MIN(CD237+CD238+CD239,MAX(0,CD164-Helpers!CB26))</f>
        <v>-0</v>
      </c>
      <c r="CE240" s="66" t="n">
        <f aca="false">-MIN(CE237+CE238+CE239,MAX(0,CE164-Helpers!CC26))</f>
        <v>-0</v>
      </c>
      <c r="CF240" s="66" t="n">
        <f aca="false">-MIN(CF237+CF238+CF239,MAX(0,CF164-Helpers!CD26))</f>
        <v>-0</v>
      </c>
      <c r="CG240" s="66" t="n">
        <f aca="false">-MIN(CG237+CG238+CG239,MAX(0,CG164-Helpers!CE26))</f>
        <v>-0</v>
      </c>
      <c r="CH240" s="66" t="n">
        <f aca="false">-MIN(CH237+CH238+CH239,MAX(0,CH164-Helpers!CF26))</f>
        <v>-0</v>
      </c>
      <c r="CI240" s="66" t="n">
        <f aca="false">-MIN(CI237+CI238+CI239,MAX(0,CI164-Helpers!CG26))</f>
        <v>-0</v>
      </c>
      <c r="CJ240" s="66" t="n">
        <f aca="false">-MIN(CJ237+CJ238+CJ239,MAX(0,CJ164-Helpers!CH26))</f>
        <v>-0</v>
      </c>
      <c r="CK240" s="66" t="n">
        <f aca="false">-MIN(CK237+CK238+CK239,MAX(0,CK164-Helpers!CI26))</f>
        <v>-0</v>
      </c>
      <c r="CL240" s="66" t="n">
        <f aca="false">-MIN(CL237+CL238+CL239,MAX(0,CL164-Helpers!CJ26))</f>
        <v>-0</v>
      </c>
      <c r="CM240" s="66" t="n">
        <f aca="false">-MIN(CM237+CM238+CM239,MAX(0,CM164-Helpers!CK26))</f>
        <v>-0</v>
      </c>
      <c r="CN240" s="66" t="n">
        <f aca="false">-MIN(CN237+CN238+CN239,MAX(0,CN164-Helpers!CL26))</f>
        <v>-21694.6799999999</v>
      </c>
      <c r="CO240" s="66" t="n">
        <f aca="false">-MIN(CO237+CO238+CO239,MAX(0,CO164-Helpers!CM26))</f>
        <v>-73155</v>
      </c>
      <c r="CP240" s="66" t="n">
        <f aca="false">-MIN(CP237+CP238+CP239,MAX(0,CP164-Helpers!CN26))</f>
        <v>-73155</v>
      </c>
      <c r="CQ240" s="66" t="n">
        <f aca="false">-MIN(CQ237+CQ238+CQ239,MAX(0,CQ164-Helpers!CO26))</f>
        <v>-73155</v>
      </c>
      <c r="CR240" s="66" t="n">
        <f aca="false">-MIN(CR237+CR238+CR239,MAX(0,CR164-Helpers!CP26))</f>
        <v>-73155</v>
      </c>
      <c r="CS240" s="66" t="n">
        <f aca="false">-MIN(CS237+CS238+CS239,MAX(0,CS164-Helpers!CQ26))</f>
        <v>-73155</v>
      </c>
      <c r="CT240" s="66" t="n">
        <f aca="false">-MIN(CT237+CT238+CT239,MAX(0,CT164-Helpers!CR26))</f>
        <v>-73155</v>
      </c>
      <c r="CU240" s="66" t="n">
        <f aca="false">-MIN(CU237+CU238+CU239,MAX(0,CU164-Helpers!CS26))</f>
        <v>-73155</v>
      </c>
      <c r="CV240" s="66" t="n">
        <f aca="false">-MIN(CV237+CV238+CV239,MAX(0,CV164-Helpers!CT26))</f>
        <v>-73155</v>
      </c>
      <c r="CW240" s="66" t="n">
        <f aca="false">-MIN(CW237+CW238+CW239,MAX(0,CW164-Helpers!CU26))</f>
        <v>-17446.8489364072</v>
      </c>
      <c r="CX240" s="66" t="n">
        <f aca="false">-MIN(CX237+CX238+CX239,MAX(0,CX164-Helpers!CV26))</f>
        <v>-0</v>
      </c>
      <c r="CY240" s="66" t="n">
        <f aca="false">-MIN(CY237+CY238+CY239,MAX(0,CY164-Helpers!CW26))</f>
        <v>-0</v>
      </c>
      <c r="CZ240" s="66" t="n">
        <f aca="false">-MIN(CZ237+CZ238+CZ239,MAX(0,CZ164-Helpers!CX26))</f>
        <v>-0</v>
      </c>
      <c r="DA240" s="66" t="n">
        <f aca="false">-MIN(DA237+DA238+DA239,MAX(0,DA164-Helpers!CY26))</f>
        <v>-0</v>
      </c>
      <c r="DB240" s="66" t="n">
        <f aca="false">-MIN(DB237+DB238+DB239,MAX(0,DB164-Helpers!CZ26))</f>
        <v>-0</v>
      </c>
      <c r="DC240" s="66" t="n">
        <f aca="false">-MIN(DC237+DC238+DC239,MAX(0,DC164-Helpers!DA26))</f>
        <v>-0</v>
      </c>
      <c r="DD240" s="66" t="n">
        <f aca="false">-MIN(DD237+DD238+DD239,MAX(0,DD164-Helpers!DB26))</f>
        <v>-0</v>
      </c>
      <c r="DE240" s="66" t="n">
        <f aca="false">-MIN(DE237+DE238+DE239,MAX(0,DE164-Helpers!DC26))</f>
        <v>-0</v>
      </c>
    </row>
    <row r="241" customFormat="false" ht="15" hidden="false" customHeight="true" outlineLevel="0" collapsed="false">
      <c r="A241" s="61" t="s">
        <v>162</v>
      </c>
      <c r="B241" s="62"/>
      <c r="C241" s="62"/>
      <c r="D241" s="62"/>
      <c r="E241" s="62" t="n">
        <f aca="false">MAX(0,E237+E238+E239+E240)</f>
        <v>264927.15</v>
      </c>
      <c r="F241" s="62" t="n">
        <f aca="false">MAX(0,F237+F238+F239+F240)</f>
        <v>264927.15</v>
      </c>
      <c r="G241" s="62" t="n">
        <f aca="false">MAX(0,G237+G238+G239+G240)</f>
        <v>458103.196875</v>
      </c>
      <c r="H241" s="62" t="n">
        <f aca="false">MAX(0,H237+H238+H239+H240)</f>
        <v>458103.196875</v>
      </c>
      <c r="I241" s="62" t="n">
        <f aca="false">MAX(0,I237+I238+I239+I240)</f>
        <v>458103.196875</v>
      </c>
      <c r="J241" s="62" t="n">
        <f aca="false">MAX(0,J237+J238+J239+J240)</f>
        <v>658523.345507813</v>
      </c>
      <c r="K241" s="62" t="n">
        <f aca="false">MAX(0,K237+K238+K239+K240)</f>
        <v>658523.345507813</v>
      </c>
      <c r="L241" s="62" t="n">
        <f aca="false">MAX(0,L237+L238+L239+L240)</f>
        <v>658523.345507813</v>
      </c>
      <c r="M241" s="62" t="n">
        <f aca="false">MAX(0,M237+M238+M239+M240)</f>
        <v>683217.970964355</v>
      </c>
      <c r="N241" s="62" t="n">
        <f aca="false">MAX(0,N237+N238+N239+N240)</f>
        <v>771527.020964355</v>
      </c>
      <c r="O241" s="62" t="n">
        <f aca="false">MAX(0,O237+O238+O239+O240)</f>
        <v>771527.020964355</v>
      </c>
      <c r="P241" s="62" t="n">
        <f aca="false">MAX(0,P237+P238+P239+P240)</f>
        <v>800459.284250519</v>
      </c>
      <c r="Q241" s="62" t="n">
        <f aca="false">MAX(0,Q237+Q238+Q239+Q240)</f>
        <v>800459.284250519</v>
      </c>
      <c r="R241" s="62" t="n">
        <f aca="false">MAX(0,R237+R238+R239+R240)</f>
        <v>800459.284250519</v>
      </c>
      <c r="S241" s="62" t="n">
        <f aca="false">MAX(0,S237+S238+S239+S240)</f>
        <v>922097.146784913</v>
      </c>
      <c r="T241" s="62" t="n">
        <f aca="false">MAX(0,T237+T238+T239+T240)</f>
        <v>922097.146784913</v>
      </c>
      <c r="U241" s="62" t="n">
        <f aca="false">MAX(0,U237+U238+U239+U240)</f>
        <v>922097.146784913</v>
      </c>
      <c r="V241" s="62" t="n">
        <f aca="false">MAX(0,V237+V238+V239+V240)</f>
        <v>956675.789789348</v>
      </c>
      <c r="W241" s="62" t="n">
        <f aca="false">MAX(0,W237+W238+W239+W240)</f>
        <v>956675.789789348</v>
      </c>
      <c r="X241" s="62" t="n">
        <f aca="false">MAX(0,X237+X238+X239+X240)</f>
        <v>956675.789789348</v>
      </c>
      <c r="Y241" s="62" t="n">
        <f aca="false">MAX(0,Y237+Y238+Y239+Y240)</f>
        <v>1084171.77128145</v>
      </c>
      <c r="Z241" s="62" t="n">
        <f aca="false">MAX(0,Z237+Z238+Z239+Z240)</f>
        <v>1084171.77128145</v>
      </c>
      <c r="AA241" s="62" t="n">
        <f aca="false">MAX(0,AA237+AA238+AA239+AA240)</f>
        <v>1084171.77128145</v>
      </c>
      <c r="AB241" s="62" t="n">
        <f aca="false">MAX(0,AB237+AB238+AB239+AB240)</f>
        <v>1124828.2127045</v>
      </c>
      <c r="AC241" s="62" t="n">
        <f aca="false">MAX(0,AC237+AC238+AC239+AC240)</f>
        <v>1124828.2127045</v>
      </c>
      <c r="AD241" s="62" t="n">
        <f aca="false">MAX(0,AD237+AD238+AD239+AD240)</f>
        <v>1124828.2127045</v>
      </c>
      <c r="AE241" s="62" t="n">
        <f aca="false">MAX(0,AE237+AE238+AE239+AE240)</f>
        <v>283215.664430921</v>
      </c>
      <c r="AF241" s="62" t="n">
        <f aca="false">MAX(0,AF237+AF238+AF239+AF240)</f>
        <v>283215.664430921</v>
      </c>
      <c r="AG241" s="62" t="n">
        <f aca="false">MAX(0,AG237+AG238+AG239+AG240)</f>
        <v>283215.664430921</v>
      </c>
      <c r="AH241" s="62" t="n">
        <f aca="false">MAX(0,AH237+AH238+AH239+AH240)</f>
        <v>293836.251847081</v>
      </c>
      <c r="AI241" s="62" t="n">
        <f aca="false">MAX(0,AI237+AI238+AI239+AI240)</f>
        <v>293836.251847081</v>
      </c>
      <c r="AJ241" s="62" t="n">
        <f aca="false">MAX(0,AJ237+AJ238+AJ239+AJ240)</f>
        <v>293836.251847081</v>
      </c>
      <c r="AK241" s="62" t="n">
        <f aca="false">MAX(0,AK237+AK238+AK239+AK240)</f>
        <v>304855.111291347</v>
      </c>
      <c r="AL241" s="62" t="n">
        <f aca="false">MAX(0,AL237+AL238+AL239+AL240)</f>
        <v>304855.111291347</v>
      </c>
      <c r="AM241" s="62" t="n">
        <f aca="false">MAX(0,AM237+AM238+AM239+AM240)</f>
        <v>304855.111291347</v>
      </c>
      <c r="AN241" s="62" t="n">
        <f aca="false">MAX(0,AN237+AN238+AN239+AN240)</f>
        <v>316287.177964772</v>
      </c>
      <c r="AO241" s="62" t="n">
        <f aca="false">MAX(0,AO237+AO238+AO239+AO240)</f>
        <v>316287.177964772</v>
      </c>
      <c r="AP241" s="62" t="n">
        <f aca="false">MAX(0,AP237+AP238+AP239+AP240)</f>
        <v>316287.177964772</v>
      </c>
      <c r="AQ241" s="62" t="n">
        <f aca="false">MAX(0,AQ237+AQ238+AQ239+AQ240)</f>
        <v>328147.947138451</v>
      </c>
      <c r="AR241" s="62" t="n">
        <f aca="false">MAX(0,AR237+AR238+AR239+AR240)</f>
        <v>328147.947138451</v>
      </c>
      <c r="AS241" s="62" t="n">
        <f aca="false">MAX(0,AS237+AS238+AS239+AS240)</f>
        <v>328147.947138451</v>
      </c>
      <c r="AT241" s="62" t="n">
        <f aca="false">MAX(0,AT237+AT238+AT239+AT240)</f>
        <v>340453.495156143</v>
      </c>
      <c r="AU241" s="62" t="n">
        <f aca="false">MAX(0,AU237+AU238+AU239+AU240)</f>
        <v>340453.495156143</v>
      </c>
      <c r="AV241" s="62" t="n">
        <f aca="false">MAX(0,AV237+AV238+AV239+AV240)</f>
        <v>340453.495156143</v>
      </c>
      <c r="AW241" s="62" t="n">
        <f aca="false">MAX(0,AW237+AW238+AW239+AW240)</f>
        <v>353220.501224498</v>
      </c>
      <c r="AX241" s="62" t="n">
        <f aca="false">MAX(0,AX237+AX238+AX239+AX240)</f>
        <v>353220.501224498</v>
      </c>
      <c r="AY241" s="62" t="n">
        <f aca="false">MAX(0,AY237+AY238+AY239+AY240)</f>
        <v>353220.501224498</v>
      </c>
      <c r="AZ241" s="62" t="n">
        <f aca="false">MAX(0,AZ237+AZ238+AZ239+AZ240)</f>
        <v>366466.270020417</v>
      </c>
      <c r="BA241" s="62" t="n">
        <f aca="false">MAX(0,BA237+BA238+BA239+BA240)</f>
        <v>366466.270020417</v>
      </c>
      <c r="BB241" s="62" t="n">
        <f aca="false">MAX(0,BB237+BB238+BB239+BB240)</f>
        <v>366466.270020417</v>
      </c>
      <c r="BC241" s="62" t="n">
        <f aca="false">MAX(0,BC237+BC238+BC239+BC240)</f>
        <v>380208.755146183</v>
      </c>
      <c r="BD241" s="62" t="n">
        <f aca="false">MAX(0,BD237+BD238+BD239+BD240)</f>
        <v>380208.755146183</v>
      </c>
      <c r="BE241" s="62" t="n">
        <f aca="false">MAX(0,BE237+BE238+BE239+BE240)</f>
        <v>380208.755146183</v>
      </c>
      <c r="BF241" s="62" t="n">
        <f aca="false">MAX(0,BF237+BF238+BF239+BF240)</f>
        <v>394466.583464164</v>
      </c>
      <c r="BG241" s="62" t="n">
        <f aca="false">MAX(0,BG237+BG238+BG239+BG240)</f>
        <v>394466.583464164</v>
      </c>
      <c r="BH241" s="62" t="n">
        <f aca="false">MAX(0,BH237+BH238+BH239+BH240)</f>
        <v>394466.583464164</v>
      </c>
      <c r="BI241" s="62" t="n">
        <f aca="false">MAX(0,BI237+BI238+BI239+BI240)</f>
        <v>409259.080344071</v>
      </c>
      <c r="BJ241" s="62" t="n">
        <f aca="false">MAX(0,BJ237+BJ238+BJ239+BJ240)</f>
        <v>409259.080344071</v>
      </c>
      <c r="BK241" s="62" t="n">
        <f aca="false">MAX(0,BK237+BK238+BK239+BK240)</f>
        <v>409259.080344071</v>
      </c>
      <c r="BL241" s="62" t="n">
        <f aca="false">MAX(0,BL237+BL238+BL239+BL240)</f>
        <v>424606.295856973</v>
      </c>
      <c r="BM241" s="62" t="n">
        <f aca="false">MAX(0,BM237+BM238+BM239+BM240)</f>
        <v>424606.295856973</v>
      </c>
      <c r="BN241" s="62" t="n">
        <f aca="false">MAX(0,BN237+BN238+BN239+BN240)</f>
        <v>424606.295856973</v>
      </c>
      <c r="BO241" s="62" t="n">
        <f aca="false">MAX(0,BO237+BO238+BO239+BO240)</f>
        <v>440529.03195161</v>
      </c>
      <c r="BP241" s="62" t="n">
        <f aca="false">MAX(0,BP237+BP238+BP239+BP240)</f>
        <v>440529.03195161</v>
      </c>
      <c r="BQ241" s="62" t="n">
        <f aca="false">MAX(0,BQ237+BQ238+BQ239+BQ240)</f>
        <v>440529.03195161</v>
      </c>
      <c r="BR241" s="62" t="n">
        <f aca="false">MAX(0,BR237+BR238+BR239+BR240)</f>
        <v>457048.870649795</v>
      </c>
      <c r="BS241" s="62" t="n">
        <f aca="false">MAX(0,BS237+BS238+BS239+BS240)</f>
        <v>457048.870649795</v>
      </c>
      <c r="BT241" s="62" t="n">
        <f aca="false">MAX(0,BT237+BT238+BT239+BT240)</f>
        <v>457048.870649795</v>
      </c>
      <c r="BU241" s="62" t="n">
        <f aca="false">MAX(0,BU237+BU238+BU239+BU240)</f>
        <v>474188.203299162</v>
      </c>
      <c r="BV241" s="62" t="n">
        <f aca="false">MAX(0,BV237+BV238+BV239+BV240)</f>
        <v>474188.203299162</v>
      </c>
      <c r="BW241" s="62" t="n">
        <f aca="false">MAX(0,BW237+BW238+BW239+BW240)</f>
        <v>474188.203299162</v>
      </c>
      <c r="BX241" s="62" t="n">
        <f aca="false">MAX(0,BX237+BX238+BX239+BX240)</f>
        <v>491970.260922881</v>
      </c>
      <c r="BY241" s="62" t="n">
        <f aca="false">MAX(0,BY237+BY238+BY239+BY240)</f>
        <v>491970.260922881</v>
      </c>
      <c r="BZ241" s="62" t="n">
        <f aca="false">MAX(0,BZ237+BZ238+BZ239+BZ240)</f>
        <v>491970.260922881</v>
      </c>
      <c r="CA241" s="62" t="n">
        <f aca="false">MAX(0,CA237+CA238+CA239+CA240)</f>
        <v>510419.145707489</v>
      </c>
      <c r="CB241" s="62" t="n">
        <f aca="false">MAX(0,CB237+CB238+CB239+CB240)</f>
        <v>510419.145707489</v>
      </c>
      <c r="CC241" s="62" t="n">
        <f aca="false">MAX(0,CC237+CC238+CC239+CC240)</f>
        <v>510419.145707489</v>
      </c>
      <c r="CD241" s="62" t="n">
        <f aca="false">MAX(0,CD237+CD238+CD239+CD240)</f>
        <v>529559.86367152</v>
      </c>
      <c r="CE241" s="62" t="n">
        <f aca="false">MAX(0,CE237+CE238+CE239+CE240)</f>
        <v>529559.86367152</v>
      </c>
      <c r="CF241" s="62" t="n">
        <f aca="false">MAX(0,CF237+CF238+CF239+CF240)</f>
        <v>529559.86367152</v>
      </c>
      <c r="CG241" s="62" t="n">
        <f aca="false">MAX(0,CG237+CG238+CG239+CG240)</f>
        <v>549418.358559202</v>
      </c>
      <c r="CH241" s="62" t="n">
        <f aca="false">MAX(0,CH237+CH238+CH239+CH240)</f>
        <v>549418.358559202</v>
      </c>
      <c r="CI241" s="62" t="n">
        <f aca="false">MAX(0,CI237+CI238+CI239+CI240)</f>
        <v>549418.358559202</v>
      </c>
      <c r="CJ241" s="62" t="n">
        <f aca="false">MAX(0,CJ237+CJ238+CJ239+CJ240)</f>
        <v>570021.547005172</v>
      </c>
      <c r="CK241" s="62" t="n">
        <f aca="false">MAX(0,CK237+CK238+CK239+CK240)</f>
        <v>570021.547005172</v>
      </c>
      <c r="CL241" s="62" t="n">
        <f aca="false">MAX(0,CL237+CL238+CL239+CL240)</f>
        <v>570021.547005172</v>
      </c>
      <c r="CM241" s="62" t="n">
        <f aca="false">MAX(0,CM237+CM238+CM239+CM240)</f>
        <v>591397.355017866</v>
      </c>
      <c r="CN241" s="62" t="n">
        <f aca="false">MAX(0,CN237+CN238+CN239+CN240)</f>
        <v>569702.675017866</v>
      </c>
      <c r="CO241" s="62" t="n">
        <f aca="false">MAX(0,CO237+CO238+CO239+CO240)</f>
        <v>496547.675017866</v>
      </c>
      <c r="CP241" s="62" t="n">
        <f aca="false">MAX(0,CP237+CP238+CP239+CP240)</f>
        <v>442013.212831036</v>
      </c>
      <c r="CQ241" s="62" t="n">
        <f aca="false">MAX(0,CQ237+CQ238+CQ239+CQ240)</f>
        <v>368858.212831036</v>
      </c>
      <c r="CR241" s="62" t="n">
        <f aca="false">MAX(0,CR237+CR238+CR239+CR240)</f>
        <v>295703.212831036</v>
      </c>
      <c r="CS241" s="62" t="n">
        <f aca="false">MAX(0,CS237+CS238+CS239+CS240)</f>
        <v>233637.0833122</v>
      </c>
      <c r="CT241" s="62" t="n">
        <f aca="false">MAX(0,CT237+CT238+CT239+CT240)</f>
        <v>160482.0833122</v>
      </c>
      <c r="CU241" s="62" t="n">
        <f aca="false">MAX(0,CU237+CU238+CU239+CU240)</f>
        <v>87327.0833121997</v>
      </c>
      <c r="CV241" s="62" t="n">
        <f aca="false">MAX(0,CV237+CV238+CV239+CV240)</f>
        <v>17446.8489364072</v>
      </c>
      <c r="CW241" s="62" t="n">
        <f aca="false">MAX(0,CW237+CW238+CW239+CW240)</f>
        <v>0</v>
      </c>
      <c r="CX241" s="62" t="n">
        <f aca="false">MAX(0,CX237+CX238+CX239+CX240)</f>
        <v>0</v>
      </c>
      <c r="CY241" s="62" t="n">
        <f aca="false">MAX(0,CY237+CY238+CY239+CY240)</f>
        <v>0</v>
      </c>
      <c r="CZ241" s="62" t="n">
        <f aca="false">MAX(0,CZ237+CZ238+CZ239+CZ240)</f>
        <v>0</v>
      </c>
      <c r="DA241" s="62" t="n">
        <f aca="false">MAX(0,DA237+DA238+DA239+DA240)</f>
        <v>0</v>
      </c>
      <c r="DB241" s="62" t="n">
        <f aca="false">MAX(0,DB237+DB238+DB239+DB240)</f>
        <v>0</v>
      </c>
      <c r="DC241" s="62" t="n">
        <f aca="false">MAX(0,DC237+DC238+DC239+DC240)</f>
        <v>0</v>
      </c>
      <c r="DD241" s="62" t="n">
        <f aca="false">MAX(0,DD237+DD238+DD239+DD240)</f>
        <v>0</v>
      </c>
      <c r="DE241" s="62" t="n">
        <f aca="false">MAX(0,DE237+DE238+DE239+DE240)</f>
        <v>0</v>
      </c>
    </row>
    <row r="242" customFormat="false" ht="15" hidden="false" customHeight="true" outlineLevel="0" collapsed="false">
      <c r="A242" s="63" t="s">
        <v>163</v>
      </c>
      <c r="B242" s="64"/>
      <c r="C242" s="64"/>
      <c r="D242" s="64"/>
      <c r="E242" s="64" t="n">
        <f aca="false">IF(Projects!$G$13="Yes",Assumptions!$B$71,0)</f>
        <v>1134000</v>
      </c>
      <c r="F242" s="64" t="n">
        <f aca="false">E246+IF(AND(Projects!$G$13="Yes",2&lt;=Assumptions!$B$73),Assumptions!$B$72,0)</f>
        <v>1184000</v>
      </c>
      <c r="G242" s="64" t="n">
        <f aca="false">F246+IF(AND(Projects!$G$13="Yes",3&lt;=Assumptions!$B$73),Assumptions!$B$72,0)</f>
        <v>1234000</v>
      </c>
      <c r="H242" s="64" t="n">
        <f aca="false">G246+IF(AND(Projects!$G$13="Yes",4&lt;=Assumptions!$B$73),Assumptions!$B$72,0)</f>
        <v>1330275</v>
      </c>
      <c r="I242" s="64" t="n">
        <f aca="false">H246+IF(AND(Projects!$G$13="Yes",5&lt;=Assumptions!$B$73),Assumptions!$B$72,0)</f>
        <v>1380275</v>
      </c>
      <c r="J242" s="64" t="n">
        <f aca="false">I246+IF(AND(Projects!$G$13="Yes",6&lt;=Assumptions!$B$73),Assumptions!$B$72,0)</f>
        <v>1430275</v>
      </c>
      <c r="K242" s="64" t="n">
        <f aca="false">J246+IF(AND(Projects!$G$13="Yes",7&lt;=Assumptions!$B$73),Assumptions!$B$72,0)</f>
        <v>1533910.3125</v>
      </c>
      <c r="L242" s="64" t="n">
        <f aca="false">K246+IF(AND(Projects!$G$13="Yes",8&lt;=Assumptions!$B$73),Assumptions!$B$72,0)</f>
        <v>1583910.3125</v>
      </c>
      <c r="M242" s="64" t="n">
        <f aca="false">L246+IF(AND(Projects!$G$13="Yes",9&lt;=Assumptions!$B$73),Assumptions!$B$72,0)</f>
        <v>1633910.3125</v>
      </c>
      <c r="N242" s="64" t="n">
        <f aca="false">M246+IF(AND(Projects!$G$13="Yes",10&lt;=Assumptions!$B$73),Assumptions!$B$72,0)</f>
        <v>1745181.94921875</v>
      </c>
      <c r="O242" s="64" t="n">
        <f aca="false">N246+IF(AND(Projects!$G$13="Yes",11&lt;=Assumptions!$B$73),Assumptions!$B$72,0)</f>
        <v>1795181.94921875</v>
      </c>
      <c r="P242" s="64" t="n">
        <f aca="false">O246+IF(AND(Projects!$G$13="Yes",12&lt;=Assumptions!$B$73),Assumptions!$B$72,0)</f>
        <v>1845181.94921875</v>
      </c>
      <c r="Q242" s="64" t="n">
        <f aca="false">P246+IF(AND(Projects!$G$13="Yes",13&lt;=Assumptions!$B$73),Assumptions!$B$72,0)</f>
        <v>1964376.27231445</v>
      </c>
      <c r="R242" s="64" t="n">
        <f aca="false">Q246+IF(AND(Projects!$G$13="Yes",14&lt;=Assumptions!$B$73),Assumptions!$B$72,0)</f>
        <v>564376.272314453</v>
      </c>
      <c r="S242" s="64" t="n">
        <f aca="false">R246+IF(AND(Projects!$G$13="Yes",15&lt;=Assumptions!$B$73),Assumptions!$B$72,0)</f>
        <v>564376.272314453</v>
      </c>
      <c r="T242" s="64" t="n">
        <f aca="false">S246+IF(AND(Projects!$G$13="Yes",16&lt;=Assumptions!$B$73),Assumptions!$B$72,0)</f>
        <v>585540.382526245</v>
      </c>
      <c r="U242" s="64" t="n">
        <f aca="false">T246+IF(AND(Projects!$G$13="Yes",17&lt;=Assumptions!$B$73),Assumptions!$B$72,0)</f>
        <v>585540.382526245</v>
      </c>
      <c r="V242" s="64" t="n">
        <f aca="false">U246+IF(AND(Projects!$G$13="Yes",18&lt;=Assumptions!$B$73),Assumptions!$B$72,0)</f>
        <v>585540.382526245</v>
      </c>
      <c r="W242" s="64" t="n">
        <f aca="false">V246+IF(AND(Projects!$G$13="Yes",19&lt;=Assumptions!$B$73),Assumptions!$B$72,0)</f>
        <v>607498.146870979</v>
      </c>
      <c r="X242" s="64" t="n">
        <f aca="false">W246+IF(AND(Projects!$G$13="Yes",20&lt;=Assumptions!$B$73),Assumptions!$B$72,0)</f>
        <v>607498.146870979</v>
      </c>
      <c r="Y242" s="64" t="n">
        <f aca="false">X246+IF(AND(Projects!$G$13="Yes",21&lt;=Assumptions!$B$73),Assumptions!$B$72,0)</f>
        <v>607498.146870979</v>
      </c>
      <c r="Z242" s="64" t="n">
        <f aca="false">Y246+IF(AND(Projects!$G$13="Yes",22&lt;=Assumptions!$B$73),Assumptions!$B$72,0)</f>
        <v>630279.327378641</v>
      </c>
      <c r="AA242" s="64" t="n">
        <f aca="false">Z246+IF(AND(Projects!$G$13="Yes",23&lt;=Assumptions!$B$73),Assumptions!$B$72,0)</f>
        <v>630279.327378641</v>
      </c>
      <c r="AB242" s="64" t="n">
        <f aca="false">AA246+IF(AND(Projects!$G$13="Yes",24&lt;=Assumptions!$B$73),Assumptions!$B$72,0)</f>
        <v>630279.327378641</v>
      </c>
      <c r="AC242" s="64" t="n">
        <f aca="false">AB246+IF(AND(Projects!$G$13="Yes",25&lt;=Assumptions!$B$73),Assumptions!$B$72,0)</f>
        <v>653914.80215534</v>
      </c>
      <c r="AD242" s="64" t="n">
        <f aca="false">AC246+IF(AND(Projects!$G$13="Yes",26&lt;=Assumptions!$B$73),Assumptions!$B$72,0)</f>
        <v>653914.80215534</v>
      </c>
      <c r="AE242" s="64" t="n">
        <f aca="false">AD246+IF(AND(Projects!$G$13="Yes",27&lt;=Assumptions!$B$73),Assumptions!$B$72,0)</f>
        <v>653914.80215534</v>
      </c>
      <c r="AF242" s="64" t="n">
        <f aca="false">AE246+IF(AND(Projects!$G$13="Yes",28&lt;=Assumptions!$B$73),Assumptions!$B$72,0)</f>
        <v>678436.607236165</v>
      </c>
      <c r="AG242" s="64" t="n">
        <f aca="false">AF246+IF(AND(Projects!$G$13="Yes",29&lt;=Assumptions!$B$73),Assumptions!$B$72,0)</f>
        <v>678436.607236165</v>
      </c>
      <c r="AH242" s="64" t="n">
        <f aca="false">AG246+IF(AND(Projects!$G$13="Yes",30&lt;=Assumptions!$B$73),Assumptions!$B$72,0)</f>
        <v>678436.607236165</v>
      </c>
      <c r="AI242" s="64" t="n">
        <f aca="false">AH246+IF(AND(Projects!$G$13="Yes",31&lt;=Assumptions!$B$73),Assumptions!$B$72,0)</f>
        <v>703877.980007521</v>
      </c>
      <c r="AJ242" s="64" t="n">
        <f aca="false">AI246+IF(AND(Projects!$G$13="Yes",32&lt;=Assumptions!$B$73),Assumptions!$B$72,0)</f>
        <v>703877.980007521</v>
      </c>
      <c r="AK242" s="64" t="n">
        <f aca="false">AJ246+IF(AND(Projects!$G$13="Yes",33&lt;=Assumptions!$B$73),Assumptions!$B$72,0)</f>
        <v>703877.980007521</v>
      </c>
      <c r="AL242" s="64" t="n">
        <f aca="false">AK246+IF(AND(Projects!$G$13="Yes",34&lt;=Assumptions!$B$73),Assumptions!$B$72,0)</f>
        <v>730273.404257803</v>
      </c>
      <c r="AM242" s="64" t="n">
        <f aca="false">AL246+IF(AND(Projects!$G$13="Yes",35&lt;=Assumptions!$B$73),Assumptions!$B$72,0)</f>
        <v>730273.404257803</v>
      </c>
      <c r="AN242" s="64" t="n">
        <f aca="false">AM246+IF(AND(Projects!$G$13="Yes",36&lt;=Assumptions!$B$73),Assumptions!$B$72,0)</f>
        <v>730273.404257803</v>
      </c>
      <c r="AO242" s="64" t="n">
        <f aca="false">AN246+IF(AND(Projects!$G$13="Yes",37&lt;=Assumptions!$B$73),Assumptions!$B$72,0)</f>
        <v>757658.656917471</v>
      </c>
      <c r="AP242" s="64" t="n">
        <f aca="false">AO246+IF(AND(Projects!$G$13="Yes",38&lt;=Assumptions!$B$73),Assumptions!$B$72,0)</f>
        <v>757658.656917471</v>
      </c>
      <c r="AQ242" s="64" t="n">
        <f aca="false">AP246+IF(AND(Projects!$G$13="Yes",39&lt;=Assumptions!$B$73),Assumptions!$B$72,0)</f>
        <v>757658.656917471</v>
      </c>
      <c r="AR242" s="64" t="n">
        <f aca="false">AQ246+IF(AND(Projects!$G$13="Yes",40&lt;=Assumptions!$B$73),Assumptions!$B$72,0)</f>
        <v>786070.856551876</v>
      </c>
      <c r="AS242" s="64" t="n">
        <f aca="false">AR246+IF(AND(Projects!$G$13="Yes",41&lt;=Assumptions!$B$73),Assumptions!$B$72,0)</f>
        <v>786070.856551876</v>
      </c>
      <c r="AT242" s="64" t="n">
        <f aca="false">AS246+IF(AND(Projects!$G$13="Yes",42&lt;=Assumptions!$B$73),Assumptions!$B$72,0)</f>
        <v>786070.856551876</v>
      </c>
      <c r="AU242" s="64" t="n">
        <f aca="false">AT246+IF(AND(Projects!$G$13="Yes",43&lt;=Assumptions!$B$73),Assumptions!$B$72,0)</f>
        <v>815548.513672571</v>
      </c>
      <c r="AV242" s="64" t="n">
        <f aca="false">AU246+IF(AND(Projects!$G$13="Yes",44&lt;=Assumptions!$B$73),Assumptions!$B$72,0)</f>
        <v>815548.513672571</v>
      </c>
      <c r="AW242" s="64" t="n">
        <f aca="false">AV246+IF(AND(Projects!$G$13="Yes",45&lt;=Assumptions!$B$73),Assumptions!$B$72,0)</f>
        <v>815548.513672571</v>
      </c>
      <c r="AX242" s="64" t="n">
        <f aca="false">AW246+IF(AND(Projects!$G$13="Yes",46&lt;=Assumptions!$B$73),Assumptions!$B$72,0)</f>
        <v>846131.582935293</v>
      </c>
      <c r="AY242" s="64" t="n">
        <f aca="false">AX246+IF(AND(Projects!$G$13="Yes",47&lt;=Assumptions!$B$73),Assumptions!$B$72,0)</f>
        <v>846131.582935293</v>
      </c>
      <c r="AZ242" s="64" t="n">
        <f aca="false">AY246+IF(AND(Projects!$G$13="Yes",48&lt;=Assumptions!$B$73),Assumptions!$B$72,0)</f>
        <v>846131.582935293</v>
      </c>
      <c r="BA242" s="64" t="n">
        <f aca="false">AZ246+IF(AND(Projects!$G$13="Yes",49&lt;=Assumptions!$B$73),Assumptions!$B$72,0)</f>
        <v>877861.517295366</v>
      </c>
      <c r="BB242" s="64" t="n">
        <f aca="false">BA246+IF(AND(Projects!$G$13="Yes",50&lt;=Assumptions!$B$73),Assumptions!$B$72,0)</f>
        <v>877861.517295366</v>
      </c>
      <c r="BC242" s="64" t="n">
        <f aca="false">BB246+IF(AND(Projects!$G$13="Yes",51&lt;=Assumptions!$B$73),Assumptions!$B$72,0)</f>
        <v>877861.517295366</v>
      </c>
      <c r="BD242" s="64" t="n">
        <f aca="false">BC246+IF(AND(Projects!$G$13="Yes",52&lt;=Assumptions!$B$73),Assumptions!$B$72,0)</f>
        <v>661610.024193943</v>
      </c>
      <c r="BE242" s="64" t="n">
        <f aca="false">BD246+IF(AND(Projects!$G$13="Yes",53&lt;=Assumptions!$B$73),Assumptions!$B$72,0)</f>
        <v>661610.024193943</v>
      </c>
      <c r="BF242" s="64" t="n">
        <f aca="false">BE246+IF(AND(Projects!$G$13="Yes",54&lt;=Assumptions!$B$73),Assumptions!$B$72,0)</f>
        <v>661610.024193943</v>
      </c>
      <c r="BG242" s="64" t="n">
        <f aca="false">BF246+IF(AND(Projects!$G$13="Yes",55&lt;=Assumptions!$B$73),Assumptions!$B$72,0)</f>
        <v>614720.400101215</v>
      </c>
      <c r="BH242" s="64" t="n">
        <f aca="false">BG246+IF(AND(Projects!$G$13="Yes",56&lt;=Assumptions!$B$73),Assumptions!$B$72,0)</f>
        <v>614720.400101215</v>
      </c>
      <c r="BI242" s="64" t="n">
        <f aca="false">BH246+IF(AND(Projects!$G$13="Yes",57&lt;=Assumptions!$B$73),Assumptions!$B$72,0)</f>
        <v>614720.400101215</v>
      </c>
      <c r="BJ242" s="64" t="n">
        <f aca="false">BI246+IF(AND(Projects!$G$13="Yes",58&lt;=Assumptions!$B$73),Assumptions!$B$72,0)</f>
        <v>566072.415105011</v>
      </c>
      <c r="BK242" s="64" t="n">
        <f aca="false">BJ246+IF(AND(Projects!$G$13="Yes",59&lt;=Assumptions!$B$73),Assumptions!$B$72,0)</f>
        <v>566072.415105011</v>
      </c>
      <c r="BL242" s="64" t="n">
        <f aca="false">BK246+IF(AND(Projects!$G$13="Yes",60&lt;=Assumptions!$B$73),Assumptions!$B$72,0)</f>
        <v>566072.415105011</v>
      </c>
      <c r="BM242" s="64" t="n">
        <f aca="false">BL246+IF(AND(Projects!$G$13="Yes",61&lt;=Assumptions!$B$73),Assumptions!$B$72,0)</f>
        <v>515600.130671449</v>
      </c>
      <c r="BN242" s="64" t="n">
        <f aca="false">BM246+IF(AND(Projects!$G$13="Yes",62&lt;=Assumptions!$B$73),Assumptions!$B$72,0)</f>
        <v>515600.130671449</v>
      </c>
      <c r="BO242" s="64" t="n">
        <f aca="false">BN246+IF(AND(Projects!$G$13="Yes",63&lt;=Assumptions!$B$73),Assumptions!$B$72,0)</f>
        <v>515600.130671449</v>
      </c>
      <c r="BP242" s="64" t="n">
        <f aca="false">BO246+IF(AND(Projects!$G$13="Yes",64&lt;=Assumptions!$B$73),Assumptions!$B$72,0)</f>
        <v>463235.135571628</v>
      </c>
      <c r="BQ242" s="64" t="n">
        <f aca="false">BP246+IF(AND(Projects!$G$13="Yes",65&lt;=Assumptions!$B$73),Assumptions!$B$72,0)</f>
        <v>463235.135571628</v>
      </c>
      <c r="BR242" s="64" t="n">
        <f aca="false">BQ246+IF(AND(Projects!$G$13="Yes",66&lt;=Assumptions!$B$73),Assumptions!$B$72,0)</f>
        <v>463235.135571628</v>
      </c>
      <c r="BS242" s="64" t="n">
        <f aca="false">BR246+IF(AND(Projects!$G$13="Yes",67&lt;=Assumptions!$B$73),Assumptions!$B$72,0)</f>
        <v>405963.453155564</v>
      </c>
      <c r="BT242" s="64" t="n">
        <f aca="false">BS246+IF(AND(Projects!$G$13="Yes",68&lt;=Assumptions!$B$73),Assumptions!$B$72,0)</f>
        <v>405963.453155564</v>
      </c>
      <c r="BU242" s="64" t="n">
        <f aca="false">BT246+IF(AND(Projects!$G$13="Yes",69&lt;=Assumptions!$B$73),Assumptions!$B$72,0)</f>
        <v>405963.453155564</v>
      </c>
      <c r="BV242" s="64" t="n">
        <f aca="false">BU246+IF(AND(Projects!$G$13="Yes",70&lt;=Assumptions!$B$73),Assumptions!$B$72,0)</f>
        <v>346547.082648898</v>
      </c>
      <c r="BW242" s="64" t="n">
        <f aca="false">BV246+IF(AND(Projects!$G$13="Yes",71&lt;=Assumptions!$B$73),Assumptions!$B$72,0)</f>
        <v>346547.082648898</v>
      </c>
      <c r="BX242" s="64" t="n">
        <f aca="false">BW246+IF(AND(Projects!$G$13="Yes",72&lt;=Assumptions!$B$73),Assumptions!$B$72,0)</f>
        <v>346547.082648898</v>
      </c>
      <c r="BY242" s="64" t="n">
        <f aca="false">BX246+IF(AND(Projects!$G$13="Yes",73&lt;=Assumptions!$B$73),Assumptions!$B$72,0)</f>
        <v>284902.598248232</v>
      </c>
      <c r="BZ242" s="64" t="n">
        <f aca="false">BY246+IF(AND(Projects!$G$13="Yes",74&lt;=Assumptions!$B$73),Assumptions!$B$72,0)</f>
        <v>284902.598248232</v>
      </c>
      <c r="CA242" s="64" t="n">
        <f aca="false">BZ246+IF(AND(Projects!$G$13="Yes",75&lt;=Assumptions!$B$73),Assumptions!$B$72,0)</f>
        <v>284902.598248232</v>
      </c>
      <c r="CB242" s="64" t="n">
        <f aca="false">CA246+IF(AND(Projects!$G$13="Yes",76&lt;=Assumptions!$B$73),Assumptions!$B$72,0)</f>
        <v>220946.44568254</v>
      </c>
      <c r="CC242" s="64" t="n">
        <f aca="false">CB246+IF(AND(Projects!$G$13="Yes",77&lt;=Assumptions!$B$73),Assumptions!$B$72,0)</f>
        <v>220946.44568254</v>
      </c>
      <c r="CD242" s="64" t="n">
        <f aca="false">CC246+IF(AND(Projects!$G$13="Yes",78&lt;=Assumptions!$B$73),Assumptions!$B$72,0)</f>
        <v>220946.44568254</v>
      </c>
      <c r="CE242" s="64" t="n">
        <f aca="false">CD246+IF(AND(Projects!$G$13="Yes",79&lt;=Assumptions!$B$73),Assumptions!$B$72,0)</f>
        <v>147868.937395636</v>
      </c>
      <c r="CF242" s="64" t="n">
        <f aca="false">CE246+IF(AND(Projects!$G$13="Yes",80&lt;=Assumptions!$B$73),Assumptions!$B$72,0)</f>
        <v>147868.937395636</v>
      </c>
      <c r="CG242" s="64" t="n">
        <f aca="false">CF246+IF(AND(Projects!$G$13="Yes",81&lt;=Assumptions!$B$73),Assumptions!$B$72,0)</f>
        <v>147868.937395636</v>
      </c>
      <c r="CH242" s="64" t="n">
        <f aca="false">CG246+IF(AND(Projects!$G$13="Yes",82&lt;=Assumptions!$B$73),Assumptions!$B$72,0)</f>
        <v>72052.0225479718</v>
      </c>
      <c r="CI242" s="64" t="n">
        <f aca="false">CH246+IF(AND(Projects!$G$13="Yes",83&lt;=Assumptions!$B$73),Assumptions!$B$72,0)</f>
        <v>72052.0225479718</v>
      </c>
      <c r="CJ242" s="64" t="n">
        <f aca="false">CI246+IF(AND(Projects!$G$13="Yes",84&lt;=Assumptions!$B$73),Assumptions!$B$72,0)</f>
        <v>72052.0225479718</v>
      </c>
      <c r="CK242" s="64" t="n">
        <f aca="false">CJ246+IF(AND(Projects!$G$13="Yes",85&lt;=Assumptions!$B$73),Assumptions!$B$72,0)</f>
        <v>0</v>
      </c>
      <c r="CL242" s="64" t="n">
        <f aca="false">CK246+IF(AND(Projects!$G$13="Yes",86&lt;=Assumptions!$B$73),Assumptions!$B$72,0)</f>
        <v>0</v>
      </c>
      <c r="CM242" s="64" t="n">
        <f aca="false">CL246+IF(AND(Projects!$G$13="Yes",87&lt;=Assumptions!$B$73),Assumptions!$B$72,0)</f>
        <v>0</v>
      </c>
      <c r="CN242" s="64" t="n">
        <f aca="false">CM246+IF(AND(Projects!$G$13="Yes",88&lt;=Assumptions!$B$73),Assumptions!$B$72,0)</f>
        <v>0</v>
      </c>
      <c r="CO242" s="64" t="n">
        <f aca="false">CN246+IF(AND(Projects!$G$13="Yes",89&lt;=Assumptions!$B$73),Assumptions!$B$72,0)</f>
        <v>0</v>
      </c>
      <c r="CP242" s="64" t="n">
        <f aca="false">CO246+IF(AND(Projects!$G$13="Yes",90&lt;=Assumptions!$B$73),Assumptions!$B$72,0)</f>
        <v>0</v>
      </c>
      <c r="CQ242" s="64" t="n">
        <f aca="false">CP246+IF(AND(Projects!$G$13="Yes",91&lt;=Assumptions!$B$73),Assumptions!$B$72,0)</f>
        <v>0</v>
      </c>
      <c r="CR242" s="64" t="n">
        <f aca="false">CQ246+IF(AND(Projects!$G$13="Yes",92&lt;=Assumptions!$B$73),Assumptions!$B$72,0)</f>
        <v>0</v>
      </c>
      <c r="CS242" s="64" t="n">
        <f aca="false">CR246+IF(AND(Projects!$G$13="Yes",93&lt;=Assumptions!$B$73),Assumptions!$B$72,0)</f>
        <v>0</v>
      </c>
      <c r="CT242" s="64" t="n">
        <f aca="false">CS246+IF(AND(Projects!$G$13="Yes",94&lt;=Assumptions!$B$73),Assumptions!$B$72,0)</f>
        <v>0</v>
      </c>
      <c r="CU242" s="64" t="n">
        <f aca="false">CT246+IF(AND(Projects!$G$13="Yes",95&lt;=Assumptions!$B$73),Assumptions!$B$72,0)</f>
        <v>0</v>
      </c>
      <c r="CV242" s="64" t="n">
        <f aca="false">CU246+IF(AND(Projects!$G$13="Yes",96&lt;=Assumptions!$B$73),Assumptions!$B$72,0)</f>
        <v>0</v>
      </c>
      <c r="CW242" s="64" t="n">
        <f aca="false">CV246+IF(AND(Projects!$G$13="Yes",97&lt;=Assumptions!$B$73),Assumptions!$B$72,0)</f>
        <v>0</v>
      </c>
      <c r="CX242" s="64" t="n">
        <f aca="false">CW246+IF(AND(Projects!$G$13="Yes",98&lt;=Assumptions!$B$73),Assumptions!$B$72,0)</f>
        <v>0</v>
      </c>
      <c r="CY242" s="64" t="n">
        <f aca="false">CX246+IF(AND(Projects!$G$13="Yes",99&lt;=Assumptions!$B$73),Assumptions!$B$72,0)</f>
        <v>0</v>
      </c>
      <c r="CZ242" s="64" t="n">
        <f aca="false">CY246+IF(AND(Projects!$G$13="Yes",100&lt;=Assumptions!$B$73),Assumptions!$B$72,0)</f>
        <v>0</v>
      </c>
      <c r="DA242" s="64" t="n">
        <f aca="false">CZ246+IF(AND(Projects!$G$13="Yes",101&lt;=Assumptions!$B$73),Assumptions!$B$72,0)</f>
        <v>0</v>
      </c>
      <c r="DB242" s="64" t="n">
        <f aca="false">DA246+IF(AND(Projects!$G$13="Yes",102&lt;=Assumptions!$B$73),Assumptions!$B$72,0)</f>
        <v>0</v>
      </c>
      <c r="DC242" s="64" t="n">
        <f aca="false">DB246+IF(AND(Projects!$G$13="Yes",103&lt;=Assumptions!$B$73),Assumptions!$B$72,0)</f>
        <v>0</v>
      </c>
      <c r="DD242" s="64" t="n">
        <f aca="false">DC246+IF(AND(Projects!$G$13="Yes",104&lt;=Assumptions!$B$73),Assumptions!$B$72,0)</f>
        <v>0</v>
      </c>
      <c r="DE242" s="64" t="n">
        <f aca="false">DD246+IF(AND(Projects!$G$13="Yes",105&lt;=Assumptions!$B$73),Assumptions!$B$72,0)</f>
        <v>0</v>
      </c>
    </row>
    <row r="243" customFormat="false" ht="15" hidden="false" customHeight="true" outlineLevel="0" collapsed="false">
      <c r="A243" s="63" t="s">
        <v>164</v>
      </c>
      <c r="B243" s="64"/>
      <c r="C243" s="64"/>
      <c r="D243" s="64"/>
      <c r="E243" s="64" t="n">
        <f aca="false">IF(AND(MOD(1,3)=0,E242&gt;0),E242*Assumptions!$B$59,0)</f>
        <v>0</v>
      </c>
      <c r="F243" s="64" t="n">
        <f aca="false">IF(AND(MOD(2,3)=0,F242&gt;0),F242*Assumptions!$B$59,0)</f>
        <v>0</v>
      </c>
      <c r="G243" s="64" t="n">
        <f aca="false">IF(AND(MOD(3,3)=0,G242&gt;0),G242*Assumptions!$B$59,0)</f>
        <v>46275</v>
      </c>
      <c r="H243" s="64" t="n">
        <f aca="false">IF(AND(MOD(4,3)=0,H242&gt;0),H242*Assumptions!$B$59,0)</f>
        <v>0</v>
      </c>
      <c r="I243" s="64" t="n">
        <f aca="false">IF(AND(MOD(5,3)=0,I242&gt;0),I242*Assumptions!$B$59,0)</f>
        <v>0</v>
      </c>
      <c r="J243" s="64" t="n">
        <f aca="false">IF(AND(MOD(6,3)=0,J242&gt;0),J242*Assumptions!$B$59,0)</f>
        <v>53635.3125</v>
      </c>
      <c r="K243" s="64" t="n">
        <f aca="false">IF(AND(MOD(7,3)=0,K242&gt;0),K242*Assumptions!$B$59,0)</f>
        <v>0</v>
      </c>
      <c r="L243" s="64" t="n">
        <f aca="false">IF(AND(MOD(8,3)=0,L242&gt;0),L242*Assumptions!$B$59,0)</f>
        <v>0</v>
      </c>
      <c r="M243" s="64" t="n">
        <f aca="false">IF(AND(MOD(9,3)=0,M242&gt;0),M242*Assumptions!$B$59,0)</f>
        <v>61271.63671875</v>
      </c>
      <c r="N243" s="64" t="n">
        <f aca="false">IF(AND(MOD(10,3)=0,N242&gt;0),N242*Assumptions!$B$59,0)</f>
        <v>0</v>
      </c>
      <c r="O243" s="64" t="n">
        <f aca="false">IF(AND(MOD(11,3)=0,O242&gt;0),O242*Assumptions!$B$59,0)</f>
        <v>0</v>
      </c>
      <c r="P243" s="64" t="n">
        <f aca="false">IF(AND(MOD(12,3)=0,P242&gt;0),P242*Assumptions!$B$59,0)</f>
        <v>69194.3230957031</v>
      </c>
      <c r="Q243" s="64" t="n">
        <f aca="false">IF(AND(MOD(13,3)=0,Q242&gt;0),Q242*Assumptions!$B$59,0)</f>
        <v>0</v>
      </c>
      <c r="R243" s="64" t="n">
        <f aca="false">IF(AND(MOD(14,3)=0,R242&gt;0),R242*Assumptions!$B$59,0)</f>
        <v>0</v>
      </c>
      <c r="S243" s="64" t="n">
        <f aca="false">IF(AND(MOD(15,3)=0,S242&gt;0),S242*Assumptions!$B$59,0)</f>
        <v>21164.110211792</v>
      </c>
      <c r="T243" s="64" t="n">
        <f aca="false">IF(AND(MOD(16,3)=0,T242&gt;0),T242*Assumptions!$B$59,0)</f>
        <v>0</v>
      </c>
      <c r="U243" s="64" t="n">
        <f aca="false">IF(AND(MOD(17,3)=0,U242&gt;0),U242*Assumptions!$B$59,0)</f>
        <v>0</v>
      </c>
      <c r="V243" s="64" t="n">
        <f aca="false">IF(AND(MOD(18,3)=0,V242&gt;0),V242*Assumptions!$B$59,0)</f>
        <v>21957.7643447342</v>
      </c>
      <c r="W243" s="64" t="n">
        <f aca="false">IF(AND(MOD(19,3)=0,W242&gt;0),W242*Assumptions!$B$59,0)</f>
        <v>0</v>
      </c>
      <c r="X243" s="64" t="n">
        <f aca="false">IF(AND(MOD(20,3)=0,X242&gt;0),X242*Assumptions!$B$59,0)</f>
        <v>0</v>
      </c>
      <c r="Y243" s="64" t="n">
        <f aca="false">IF(AND(MOD(21,3)=0,Y242&gt;0),Y242*Assumptions!$B$59,0)</f>
        <v>22781.1805076617</v>
      </c>
      <c r="Z243" s="64" t="n">
        <f aca="false">IF(AND(MOD(22,3)=0,Z242&gt;0),Z242*Assumptions!$B$59,0)</f>
        <v>0</v>
      </c>
      <c r="AA243" s="64" t="n">
        <f aca="false">IF(AND(MOD(23,3)=0,AA242&gt;0),AA242*Assumptions!$B$59,0)</f>
        <v>0</v>
      </c>
      <c r="AB243" s="64" t="n">
        <f aca="false">IF(AND(MOD(24,3)=0,AB242&gt;0),AB242*Assumptions!$B$59,0)</f>
        <v>23635.474776699</v>
      </c>
      <c r="AC243" s="64" t="n">
        <f aca="false">IF(AND(MOD(25,3)=0,AC242&gt;0),AC242*Assumptions!$B$59,0)</f>
        <v>0</v>
      </c>
      <c r="AD243" s="64" t="n">
        <f aca="false">IF(AND(MOD(26,3)=0,AD242&gt;0),AD242*Assumptions!$B$59,0)</f>
        <v>0</v>
      </c>
      <c r="AE243" s="64" t="n">
        <f aca="false">IF(AND(MOD(27,3)=0,AE242&gt;0),AE242*Assumptions!$B$59,0)</f>
        <v>24521.8050808252</v>
      </c>
      <c r="AF243" s="64" t="n">
        <f aca="false">IF(AND(MOD(28,3)=0,AF242&gt;0),AF242*Assumptions!$B$59,0)</f>
        <v>0</v>
      </c>
      <c r="AG243" s="64" t="n">
        <f aca="false">IF(AND(MOD(29,3)=0,AG242&gt;0),AG242*Assumptions!$B$59,0)</f>
        <v>0</v>
      </c>
      <c r="AH243" s="64" t="n">
        <f aca="false">IF(AND(MOD(30,3)=0,AH242&gt;0),AH242*Assumptions!$B$59,0)</f>
        <v>25441.3727713562</v>
      </c>
      <c r="AI243" s="64" t="n">
        <f aca="false">IF(AND(MOD(31,3)=0,AI242&gt;0),AI242*Assumptions!$B$59,0)</f>
        <v>0</v>
      </c>
      <c r="AJ243" s="64" t="n">
        <f aca="false">IF(AND(MOD(32,3)=0,AJ242&gt;0),AJ242*Assumptions!$B$59,0)</f>
        <v>0</v>
      </c>
      <c r="AK243" s="64" t="n">
        <f aca="false">IF(AND(MOD(33,3)=0,AK242&gt;0),AK242*Assumptions!$B$59,0)</f>
        <v>26395.424250282</v>
      </c>
      <c r="AL243" s="64" t="n">
        <f aca="false">IF(AND(MOD(34,3)=0,AL242&gt;0),AL242*Assumptions!$B$59,0)</f>
        <v>0</v>
      </c>
      <c r="AM243" s="64" t="n">
        <f aca="false">IF(AND(MOD(35,3)=0,AM242&gt;0),AM242*Assumptions!$B$59,0)</f>
        <v>0</v>
      </c>
      <c r="AN243" s="64" t="n">
        <f aca="false">IF(AND(MOD(36,3)=0,AN242&gt;0),AN242*Assumptions!$B$59,0)</f>
        <v>27385.2526596676</v>
      </c>
      <c r="AO243" s="64" t="n">
        <f aca="false">IF(AND(MOD(37,3)=0,AO242&gt;0),AO242*Assumptions!$B$59,0)</f>
        <v>0</v>
      </c>
      <c r="AP243" s="64" t="n">
        <f aca="false">IF(AND(MOD(38,3)=0,AP242&gt;0),AP242*Assumptions!$B$59,0)</f>
        <v>0</v>
      </c>
      <c r="AQ243" s="64" t="n">
        <f aca="false">IF(AND(MOD(39,3)=0,AQ242&gt;0),AQ242*Assumptions!$B$59,0)</f>
        <v>28412.1996344052</v>
      </c>
      <c r="AR243" s="64" t="n">
        <f aca="false">IF(AND(MOD(40,3)=0,AR242&gt;0),AR242*Assumptions!$B$59,0)</f>
        <v>0</v>
      </c>
      <c r="AS243" s="64" t="n">
        <f aca="false">IF(AND(MOD(41,3)=0,AS242&gt;0),AS242*Assumptions!$B$59,0)</f>
        <v>0</v>
      </c>
      <c r="AT243" s="64" t="n">
        <f aca="false">IF(AND(MOD(42,3)=0,AT242&gt;0),AT242*Assumptions!$B$59,0)</f>
        <v>29477.6571206954</v>
      </c>
      <c r="AU243" s="64" t="n">
        <f aca="false">IF(AND(MOD(43,3)=0,AU242&gt;0),AU242*Assumptions!$B$59,0)</f>
        <v>0</v>
      </c>
      <c r="AV243" s="64" t="n">
        <f aca="false">IF(AND(MOD(44,3)=0,AV242&gt;0),AV242*Assumptions!$B$59,0)</f>
        <v>0</v>
      </c>
      <c r="AW243" s="64" t="n">
        <f aca="false">IF(AND(MOD(45,3)=0,AW242&gt;0),AW242*Assumptions!$B$59,0)</f>
        <v>30583.0692627214</v>
      </c>
      <c r="AX243" s="64" t="n">
        <f aca="false">IF(AND(MOD(46,3)=0,AX242&gt;0),AX242*Assumptions!$B$59,0)</f>
        <v>0</v>
      </c>
      <c r="AY243" s="64" t="n">
        <f aca="false">IF(AND(MOD(47,3)=0,AY242&gt;0),AY242*Assumptions!$B$59,0)</f>
        <v>0</v>
      </c>
      <c r="AZ243" s="64" t="n">
        <f aca="false">IF(AND(MOD(48,3)=0,AZ242&gt;0),AZ242*Assumptions!$B$59,0)</f>
        <v>31729.9343600735</v>
      </c>
      <c r="BA243" s="64" t="n">
        <f aca="false">IF(AND(MOD(49,3)=0,BA242&gt;0),BA242*Assumptions!$B$59,0)</f>
        <v>0</v>
      </c>
      <c r="BB243" s="64" t="n">
        <f aca="false">IF(AND(MOD(50,3)=0,BB242&gt;0),BB242*Assumptions!$B$59,0)</f>
        <v>0</v>
      </c>
      <c r="BC243" s="64" t="n">
        <f aca="false">IF(AND(MOD(51,3)=0,BC242&gt;0),BC242*Assumptions!$B$59,0)</f>
        <v>32919.8068985762</v>
      </c>
      <c r="BD243" s="64" t="n">
        <f aca="false">IF(AND(MOD(52,3)=0,BD242&gt;0),BD242*Assumptions!$B$59,0)</f>
        <v>0</v>
      </c>
      <c r="BE243" s="64" t="n">
        <f aca="false">IF(AND(MOD(53,3)=0,BE242&gt;0),BE242*Assumptions!$B$59,0)</f>
        <v>0</v>
      </c>
      <c r="BF243" s="64" t="n">
        <f aca="false">IF(AND(MOD(54,3)=0,BF242&gt;0),BF242*Assumptions!$B$59,0)</f>
        <v>24810.3759072728</v>
      </c>
      <c r="BG243" s="64" t="n">
        <f aca="false">IF(AND(MOD(55,3)=0,BG242&gt;0),BG242*Assumptions!$B$59,0)</f>
        <v>0</v>
      </c>
      <c r="BH243" s="64" t="n">
        <f aca="false">IF(AND(MOD(56,3)=0,BH242&gt;0),BH242*Assumptions!$B$59,0)</f>
        <v>0</v>
      </c>
      <c r="BI243" s="64" t="n">
        <f aca="false">IF(AND(MOD(57,3)=0,BI242&gt;0),BI242*Assumptions!$B$59,0)</f>
        <v>23052.0150037956</v>
      </c>
      <c r="BJ243" s="64" t="n">
        <f aca="false">IF(AND(MOD(58,3)=0,BJ242&gt;0),BJ242*Assumptions!$B$59,0)</f>
        <v>0</v>
      </c>
      <c r="BK243" s="64" t="n">
        <f aca="false">IF(AND(MOD(59,3)=0,BK242&gt;0),BK242*Assumptions!$B$59,0)</f>
        <v>0</v>
      </c>
      <c r="BL243" s="64" t="n">
        <f aca="false">IF(AND(MOD(60,3)=0,BL242&gt;0),BL242*Assumptions!$B$59,0)</f>
        <v>21227.7155664379</v>
      </c>
      <c r="BM243" s="64" t="n">
        <f aca="false">IF(AND(MOD(61,3)=0,BM242&gt;0),BM242*Assumptions!$B$59,0)</f>
        <v>0</v>
      </c>
      <c r="BN243" s="64" t="n">
        <f aca="false">IF(AND(MOD(62,3)=0,BN242&gt;0),BN242*Assumptions!$B$59,0)</f>
        <v>0</v>
      </c>
      <c r="BO243" s="64" t="n">
        <f aca="false">IF(AND(MOD(63,3)=0,BO242&gt;0),BO242*Assumptions!$B$59,0)</f>
        <v>19335.0049001793</v>
      </c>
      <c r="BP243" s="64" t="n">
        <f aca="false">IF(AND(MOD(64,3)=0,BP242&gt;0),BP242*Assumptions!$B$59,0)</f>
        <v>0</v>
      </c>
      <c r="BQ243" s="64" t="n">
        <f aca="false">IF(AND(MOD(65,3)=0,BQ242&gt;0),BQ242*Assumptions!$B$59,0)</f>
        <v>0</v>
      </c>
      <c r="BR243" s="64" t="n">
        <f aca="false">IF(AND(MOD(66,3)=0,BR242&gt;0),BR242*Assumptions!$B$59,0)</f>
        <v>17371.3175839361</v>
      </c>
      <c r="BS243" s="64" t="n">
        <f aca="false">IF(AND(MOD(67,3)=0,BS242&gt;0),BS242*Assumptions!$B$59,0)</f>
        <v>0</v>
      </c>
      <c r="BT243" s="64" t="n">
        <f aca="false">IF(AND(MOD(68,3)=0,BT242&gt;0),BT242*Assumptions!$B$59,0)</f>
        <v>0</v>
      </c>
      <c r="BU243" s="64" t="n">
        <f aca="false">IF(AND(MOD(69,3)=0,BU242&gt;0),BU242*Assumptions!$B$59,0)</f>
        <v>15223.6294933337</v>
      </c>
      <c r="BV243" s="64" t="n">
        <f aca="false">IF(AND(MOD(70,3)=0,BV242&gt;0),BV242*Assumptions!$B$59,0)</f>
        <v>0</v>
      </c>
      <c r="BW243" s="64" t="n">
        <f aca="false">IF(AND(MOD(71,3)=0,BW242&gt;0),BW242*Assumptions!$B$59,0)</f>
        <v>0</v>
      </c>
      <c r="BX243" s="64" t="n">
        <f aca="false">IF(AND(MOD(72,3)=0,BX242&gt;0),BX242*Assumptions!$B$59,0)</f>
        <v>12995.5155993337</v>
      </c>
      <c r="BY243" s="64" t="n">
        <f aca="false">IF(AND(MOD(73,3)=0,BY242&gt;0),BY242*Assumptions!$B$59,0)</f>
        <v>0</v>
      </c>
      <c r="BZ243" s="64" t="n">
        <f aca="false">IF(AND(MOD(74,3)=0,BZ242&gt;0),BZ242*Assumptions!$B$59,0)</f>
        <v>0</v>
      </c>
      <c r="CA243" s="64" t="n">
        <f aca="false">IF(AND(MOD(75,3)=0,CA242&gt;0),CA242*Assumptions!$B$59,0)</f>
        <v>10683.8474343087</v>
      </c>
      <c r="CB243" s="64" t="n">
        <f aca="false">IF(AND(MOD(76,3)=0,CB242&gt;0),CB242*Assumptions!$B$59,0)</f>
        <v>0</v>
      </c>
      <c r="CC243" s="64" t="n">
        <f aca="false">IF(AND(MOD(77,3)=0,CC242&gt;0),CC242*Assumptions!$B$59,0)</f>
        <v>0</v>
      </c>
      <c r="CD243" s="64" t="n">
        <f aca="false">IF(AND(MOD(78,3)=0,CD242&gt;0),CD242*Assumptions!$B$59,0)</f>
        <v>8285.49171309526</v>
      </c>
      <c r="CE243" s="64" t="n">
        <f aca="false">IF(AND(MOD(79,3)=0,CE242&gt;0),CE242*Assumptions!$B$59,0)</f>
        <v>0</v>
      </c>
      <c r="CF243" s="64" t="n">
        <f aca="false">IF(AND(MOD(80,3)=0,CF242&gt;0),CF242*Assumptions!$B$59,0)</f>
        <v>0</v>
      </c>
      <c r="CG243" s="64" t="n">
        <f aca="false">IF(AND(MOD(81,3)=0,CG242&gt;0),CG242*Assumptions!$B$59,0)</f>
        <v>5545.08515233633</v>
      </c>
      <c r="CH243" s="64" t="n">
        <f aca="false">IF(AND(MOD(82,3)=0,CH242&gt;0),CH242*Assumptions!$B$59,0)</f>
        <v>0</v>
      </c>
      <c r="CI243" s="64" t="n">
        <f aca="false">IF(AND(MOD(83,3)=0,CI242&gt;0),CI242*Assumptions!$B$59,0)</f>
        <v>0</v>
      </c>
      <c r="CJ243" s="64" t="n">
        <f aca="false">IF(AND(MOD(84,3)=0,CJ242&gt;0),CJ242*Assumptions!$B$59,0)</f>
        <v>2701.95084554894</v>
      </c>
      <c r="CK243" s="64" t="n">
        <f aca="false">IF(AND(MOD(85,3)=0,CK242&gt;0),CK242*Assumptions!$B$59,0)</f>
        <v>0</v>
      </c>
      <c r="CL243" s="64" t="n">
        <f aca="false">IF(AND(MOD(86,3)=0,CL242&gt;0),CL242*Assumptions!$B$59,0)</f>
        <v>0</v>
      </c>
      <c r="CM243" s="64" t="n">
        <f aca="false">IF(AND(MOD(87,3)=0,CM242&gt;0),CM242*Assumptions!$B$59,0)</f>
        <v>0</v>
      </c>
      <c r="CN243" s="64" t="n">
        <f aca="false">IF(AND(MOD(88,3)=0,CN242&gt;0),CN242*Assumptions!$B$59,0)</f>
        <v>0</v>
      </c>
      <c r="CO243" s="64" t="n">
        <f aca="false">IF(AND(MOD(89,3)=0,CO242&gt;0),CO242*Assumptions!$B$59,0)</f>
        <v>0</v>
      </c>
      <c r="CP243" s="64" t="n">
        <f aca="false">IF(AND(MOD(90,3)=0,CP242&gt;0),CP242*Assumptions!$B$59,0)</f>
        <v>0</v>
      </c>
      <c r="CQ243" s="64" t="n">
        <f aca="false">IF(AND(MOD(91,3)=0,CQ242&gt;0),CQ242*Assumptions!$B$59,0)</f>
        <v>0</v>
      </c>
      <c r="CR243" s="64" t="n">
        <f aca="false">IF(AND(MOD(92,3)=0,CR242&gt;0),CR242*Assumptions!$B$59,0)</f>
        <v>0</v>
      </c>
      <c r="CS243" s="64" t="n">
        <f aca="false">IF(AND(MOD(93,3)=0,CS242&gt;0),CS242*Assumptions!$B$59,0)</f>
        <v>0</v>
      </c>
      <c r="CT243" s="64" t="n">
        <f aca="false">IF(AND(MOD(94,3)=0,CT242&gt;0),CT242*Assumptions!$B$59,0)</f>
        <v>0</v>
      </c>
      <c r="CU243" s="64" t="n">
        <f aca="false">IF(AND(MOD(95,3)=0,CU242&gt;0),CU242*Assumptions!$B$59,0)</f>
        <v>0</v>
      </c>
      <c r="CV243" s="64" t="n">
        <f aca="false">IF(AND(MOD(96,3)=0,CV242&gt;0),CV242*Assumptions!$B$59,0)</f>
        <v>0</v>
      </c>
      <c r="CW243" s="64" t="n">
        <f aca="false">IF(AND(MOD(97,3)=0,CW242&gt;0),CW242*Assumptions!$B$59,0)</f>
        <v>0</v>
      </c>
      <c r="CX243" s="64" t="n">
        <f aca="false">IF(AND(MOD(98,3)=0,CX242&gt;0),CX242*Assumptions!$B$59,0)</f>
        <v>0</v>
      </c>
      <c r="CY243" s="64" t="n">
        <f aca="false">IF(AND(MOD(99,3)=0,CY242&gt;0),CY242*Assumptions!$B$59,0)</f>
        <v>0</v>
      </c>
      <c r="CZ243" s="64" t="n">
        <f aca="false">IF(AND(MOD(100,3)=0,CZ242&gt;0),CZ242*Assumptions!$B$59,0)</f>
        <v>0</v>
      </c>
      <c r="DA243" s="64" t="n">
        <f aca="false">IF(AND(MOD(101,3)=0,DA242&gt;0),DA242*Assumptions!$B$59,0)</f>
        <v>0</v>
      </c>
      <c r="DB243" s="64" t="n">
        <f aca="false">IF(AND(MOD(102,3)=0,DB242&gt;0),DB242*Assumptions!$B$59,0)</f>
        <v>0</v>
      </c>
      <c r="DC243" s="64" t="n">
        <f aca="false">IF(AND(MOD(103,3)=0,DC242&gt;0),DC242*Assumptions!$B$59,0)</f>
        <v>0</v>
      </c>
      <c r="DD243" s="64" t="n">
        <f aca="false">IF(AND(MOD(104,3)=0,DD242&gt;0),DD242*Assumptions!$B$59,0)</f>
        <v>0</v>
      </c>
      <c r="DE243" s="64" t="n">
        <f aca="false">IF(AND(MOD(105,3)=0,DE242&gt;0),DE242*Assumptions!$B$59,0)</f>
        <v>0</v>
      </c>
    </row>
    <row r="244" customFormat="false" ht="15" hidden="false" customHeight="true" outlineLevel="0" collapsed="false">
      <c r="A244" s="63" t="s">
        <v>165</v>
      </c>
      <c r="B244" s="64"/>
      <c r="C244" s="64"/>
      <c r="D244" s="64"/>
      <c r="E244" s="64" t="n">
        <v>0</v>
      </c>
      <c r="F244" s="64" t="n">
        <v>0</v>
      </c>
      <c r="G244" s="64" t="n">
        <v>0</v>
      </c>
      <c r="H244" s="64" t="n">
        <v>0</v>
      </c>
      <c r="I244" s="64" t="n">
        <v>0</v>
      </c>
      <c r="J244" s="64" t="n">
        <v>0</v>
      </c>
      <c r="K244" s="64" t="n">
        <v>0</v>
      </c>
      <c r="L244" s="64" t="n">
        <v>0</v>
      </c>
      <c r="M244" s="64" t="n">
        <v>0</v>
      </c>
      <c r="N244" s="64" t="n">
        <v>0</v>
      </c>
      <c r="O244" s="64" t="n">
        <v>0</v>
      </c>
      <c r="P244" s="64" t="n">
        <v>0</v>
      </c>
      <c r="Q244" s="64" t="n">
        <f aca="false">IF(Projects!$G$13="Yes",Assumptions!$B$74,0)</f>
        <v>-1450000</v>
      </c>
      <c r="R244" s="64" t="n">
        <v>0</v>
      </c>
      <c r="S244" s="64" t="n">
        <v>0</v>
      </c>
      <c r="T244" s="64" t="n">
        <v>0</v>
      </c>
      <c r="U244" s="64" t="n">
        <v>0</v>
      </c>
      <c r="V244" s="64" t="n">
        <v>0</v>
      </c>
      <c r="W244" s="64" t="n">
        <v>0</v>
      </c>
      <c r="X244" s="64" t="n">
        <v>0</v>
      </c>
      <c r="Y244" s="64" t="n">
        <v>0</v>
      </c>
      <c r="Z244" s="64" t="n">
        <v>0</v>
      </c>
      <c r="AA244" s="64" t="n">
        <v>0</v>
      </c>
      <c r="AB244" s="64" t="n">
        <v>0</v>
      </c>
      <c r="AC244" s="64" t="n">
        <v>0</v>
      </c>
      <c r="AD244" s="64" t="n">
        <v>0</v>
      </c>
      <c r="AE244" s="64" t="n">
        <v>0</v>
      </c>
      <c r="AF244" s="64" t="n">
        <v>0</v>
      </c>
      <c r="AG244" s="64" t="n">
        <v>0</v>
      </c>
      <c r="AH244" s="64" t="n">
        <v>0</v>
      </c>
      <c r="AI244" s="64" t="n">
        <v>0</v>
      </c>
      <c r="AJ244" s="64" t="n">
        <v>0</v>
      </c>
      <c r="AK244" s="64" t="n">
        <v>0</v>
      </c>
      <c r="AL244" s="64" t="n">
        <v>0</v>
      </c>
      <c r="AM244" s="64" t="n">
        <v>0</v>
      </c>
      <c r="AN244" s="64" t="n">
        <v>0</v>
      </c>
      <c r="AO244" s="64" t="n">
        <v>0</v>
      </c>
      <c r="AP244" s="64" t="n">
        <v>0</v>
      </c>
      <c r="AQ244" s="64" t="n">
        <v>0</v>
      </c>
      <c r="AR244" s="64" t="n">
        <v>0</v>
      </c>
      <c r="AS244" s="64" t="n">
        <v>0</v>
      </c>
      <c r="AT244" s="64" t="n">
        <v>0</v>
      </c>
      <c r="AU244" s="64" t="n">
        <v>0</v>
      </c>
      <c r="AV244" s="64" t="n">
        <v>0</v>
      </c>
      <c r="AW244" s="64" t="n">
        <v>0</v>
      </c>
      <c r="AX244" s="64" t="n">
        <v>0</v>
      </c>
      <c r="AY244" s="64" t="n">
        <v>0</v>
      </c>
      <c r="AZ244" s="64" t="n">
        <v>0</v>
      </c>
      <c r="BA244" s="64" t="n">
        <v>0</v>
      </c>
      <c r="BB244" s="64" t="n">
        <v>0</v>
      </c>
      <c r="BC244" s="64" t="n">
        <v>0</v>
      </c>
      <c r="BD244" s="64" t="n">
        <v>0</v>
      </c>
      <c r="BE244" s="64" t="n">
        <v>0</v>
      </c>
      <c r="BF244" s="64" t="n">
        <v>0</v>
      </c>
      <c r="BG244" s="64" t="n">
        <v>0</v>
      </c>
      <c r="BH244" s="64" t="n">
        <v>0</v>
      </c>
      <c r="BI244" s="64" t="n">
        <v>0</v>
      </c>
      <c r="BJ244" s="64" t="n">
        <v>0</v>
      </c>
      <c r="BK244" s="64" t="n">
        <v>0</v>
      </c>
      <c r="BL244" s="64" t="n">
        <v>0</v>
      </c>
      <c r="BM244" s="64" t="n">
        <v>0</v>
      </c>
      <c r="BN244" s="64" t="n">
        <v>0</v>
      </c>
      <c r="BO244" s="64" t="n">
        <v>0</v>
      </c>
      <c r="BP244" s="64" t="n">
        <v>0</v>
      </c>
      <c r="BQ244" s="64" t="n">
        <v>0</v>
      </c>
      <c r="BR244" s="64" t="n">
        <v>0</v>
      </c>
      <c r="BS244" s="64" t="n">
        <v>0</v>
      </c>
      <c r="BT244" s="64" t="n">
        <v>0</v>
      </c>
      <c r="BU244" s="64" t="n">
        <v>0</v>
      </c>
      <c r="BV244" s="64" t="n">
        <v>0</v>
      </c>
      <c r="BW244" s="64" t="n">
        <v>0</v>
      </c>
      <c r="BX244" s="64" t="n">
        <v>0</v>
      </c>
      <c r="BY244" s="64" t="n">
        <v>0</v>
      </c>
      <c r="BZ244" s="64" t="n">
        <v>0</v>
      </c>
      <c r="CA244" s="64" t="n">
        <v>0</v>
      </c>
      <c r="CB244" s="64" t="n">
        <v>0</v>
      </c>
      <c r="CC244" s="64" t="n">
        <v>0</v>
      </c>
      <c r="CD244" s="64" t="n">
        <v>0</v>
      </c>
      <c r="CE244" s="64" t="n">
        <v>0</v>
      </c>
      <c r="CF244" s="64" t="n">
        <v>0</v>
      </c>
      <c r="CG244" s="64" t="n">
        <v>0</v>
      </c>
      <c r="CH244" s="64" t="n">
        <v>0</v>
      </c>
      <c r="CI244" s="64" t="n">
        <v>0</v>
      </c>
      <c r="CJ244" s="64" t="n">
        <v>0</v>
      </c>
      <c r="CK244" s="64" t="n">
        <v>0</v>
      </c>
      <c r="CL244" s="64" t="n">
        <v>0</v>
      </c>
      <c r="CM244" s="64" t="n">
        <v>0</v>
      </c>
      <c r="CN244" s="64" t="n">
        <v>0</v>
      </c>
      <c r="CO244" s="64" t="n">
        <v>0</v>
      </c>
      <c r="CP244" s="64" t="n">
        <v>0</v>
      </c>
      <c r="CQ244" s="64" t="n">
        <v>0</v>
      </c>
      <c r="CR244" s="64" t="n">
        <v>0</v>
      </c>
      <c r="CS244" s="64" t="n">
        <v>0</v>
      </c>
      <c r="CT244" s="64"/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4"/>
    </row>
    <row r="245" customFormat="false" ht="15" hidden="false" customHeight="true" outlineLevel="0" collapsed="false">
      <c r="A245" s="65" t="s">
        <v>166</v>
      </c>
      <c r="B245" s="66"/>
      <c r="C245" s="66"/>
      <c r="D245" s="66"/>
      <c r="E245" s="66" t="n">
        <f aca="false">-MIN(E242+E243+E244,MAX(0,E163-Helpers!C23))</f>
        <v>-0</v>
      </c>
      <c r="F245" s="66" t="n">
        <f aca="false">-MIN(F242+F243+F244,MAX(0,F163-Helpers!D23))</f>
        <v>-0</v>
      </c>
      <c r="G245" s="66" t="n">
        <f aca="false">-MIN(G242+G243+G244,MAX(0,G163-Helpers!E23))</f>
        <v>-0</v>
      </c>
      <c r="H245" s="66" t="n">
        <f aca="false">-MIN(H242+H243+H244,MAX(0,H163-Helpers!F23))</f>
        <v>-0</v>
      </c>
      <c r="I245" s="66" t="n">
        <f aca="false">-MIN(I242+I243+I244,MAX(0,I163-Helpers!G23))</f>
        <v>-0</v>
      </c>
      <c r="J245" s="66" t="n">
        <f aca="false">-MIN(J242+J243+J244,MAX(0,J163-Helpers!H23))</f>
        <v>-0</v>
      </c>
      <c r="K245" s="66" t="n">
        <f aca="false">-MIN(K242+K243+K244,MAX(0,K163-Helpers!I23))</f>
        <v>-0</v>
      </c>
      <c r="L245" s="66" t="n">
        <f aca="false">-MIN(L242+L243+L244,MAX(0,L163-Helpers!J23))</f>
        <v>-0</v>
      </c>
      <c r="M245" s="66" t="n">
        <f aca="false">-MIN(M242+M243+M244,MAX(0,M163-Helpers!K23))</f>
        <v>-0</v>
      </c>
      <c r="N245" s="66" t="n">
        <f aca="false">-MIN(N242+N243+N244,MAX(0,N163-Helpers!L23))</f>
        <v>-0</v>
      </c>
      <c r="O245" s="66" t="n">
        <f aca="false">-MIN(O242+O243+O244,MAX(0,O163-Helpers!M23))</f>
        <v>-0</v>
      </c>
      <c r="P245" s="66" t="n">
        <f aca="false">-MIN(P242+P243+P244,MAX(0,P163-Helpers!N23))</f>
        <v>-0</v>
      </c>
      <c r="Q245" s="66" t="n">
        <f aca="false">-MIN(Q242+Q243+Q244,MAX(0,Q163-Helpers!O23))</f>
        <v>-0</v>
      </c>
      <c r="R245" s="66" t="n">
        <f aca="false">-MIN(R242+R243+R244,MAX(0,R163-Helpers!P23))</f>
        <v>-0</v>
      </c>
      <c r="S245" s="66" t="n">
        <f aca="false">-MIN(S242+S243+S244,MAX(0,S163-Helpers!Q23))</f>
        <v>-0</v>
      </c>
      <c r="T245" s="66" t="n">
        <f aca="false">-MIN(T242+T243+T244,MAX(0,T163-Helpers!R23))</f>
        <v>-0</v>
      </c>
      <c r="U245" s="66" t="n">
        <f aca="false">-MIN(U242+U243+U244,MAX(0,U163-Helpers!S23))</f>
        <v>-0</v>
      </c>
      <c r="V245" s="66" t="n">
        <f aca="false">-MIN(V242+V243+V244,MAX(0,V163-Helpers!T23))</f>
        <v>-0</v>
      </c>
      <c r="W245" s="66" t="n">
        <f aca="false">-MIN(W242+W243+W244,MAX(0,W163-Helpers!U23))</f>
        <v>-0</v>
      </c>
      <c r="X245" s="66" t="n">
        <f aca="false">-MIN(X242+X243+X244,MAX(0,X163-Helpers!V23))</f>
        <v>-0</v>
      </c>
      <c r="Y245" s="66" t="n">
        <f aca="false">-MIN(Y242+Y243+Y244,MAX(0,Y163-Helpers!W23))</f>
        <v>-0</v>
      </c>
      <c r="Z245" s="66" t="n">
        <f aca="false">-MIN(Z242+Z243+Z244,MAX(0,Z163-Helpers!X23))</f>
        <v>-0</v>
      </c>
      <c r="AA245" s="66" t="n">
        <f aca="false">-MIN(AA242+AA243+AA244,MAX(0,AA163-Helpers!Y23))</f>
        <v>-0</v>
      </c>
      <c r="AB245" s="66" t="n">
        <f aca="false">-MIN(AB242+AB243+AB244,MAX(0,AB163-Helpers!Z23))</f>
        <v>-0</v>
      </c>
      <c r="AC245" s="66" t="n">
        <f aca="false">-MIN(AC242+AC243+AC244,MAX(0,AC163-Helpers!AA23))</f>
        <v>-0</v>
      </c>
      <c r="AD245" s="66" t="n">
        <f aca="false">-MIN(AD242+AD243+AD244,MAX(0,AD163-Helpers!AB23))</f>
        <v>-0</v>
      </c>
      <c r="AE245" s="66" t="n">
        <f aca="false">-MIN(AE242+AE243+AE244,MAX(0,AE163-Helpers!AC23))</f>
        <v>-0</v>
      </c>
      <c r="AF245" s="66" t="n">
        <f aca="false">-MIN(AF242+AF243+AF244,MAX(0,AF163-Helpers!AD23))</f>
        <v>-0</v>
      </c>
      <c r="AG245" s="66" t="n">
        <f aca="false">-MIN(AG242+AG243+AG244,MAX(0,AG163-Helpers!AE23))</f>
        <v>-0</v>
      </c>
      <c r="AH245" s="66" t="n">
        <f aca="false">-MIN(AH242+AH243+AH244,MAX(0,AH163-Helpers!AF23))</f>
        <v>-0</v>
      </c>
      <c r="AI245" s="66" t="n">
        <f aca="false">-MIN(AI242+AI243+AI244,MAX(0,AI163-Helpers!AG23))</f>
        <v>-0</v>
      </c>
      <c r="AJ245" s="66" t="n">
        <f aca="false">-MIN(AJ242+AJ243+AJ244,MAX(0,AJ163-Helpers!AH23))</f>
        <v>-0</v>
      </c>
      <c r="AK245" s="66" t="n">
        <f aca="false">-MIN(AK242+AK243+AK244,MAX(0,AK163-Helpers!AI23))</f>
        <v>-0</v>
      </c>
      <c r="AL245" s="66" t="n">
        <f aca="false">-MIN(AL242+AL243+AL244,MAX(0,AL163-Helpers!AJ23))</f>
        <v>-0</v>
      </c>
      <c r="AM245" s="66" t="n">
        <f aca="false">-MIN(AM242+AM243+AM244,MAX(0,AM163-Helpers!AK23))</f>
        <v>-0</v>
      </c>
      <c r="AN245" s="66" t="n">
        <f aca="false">-MIN(AN242+AN243+AN244,MAX(0,AN163-Helpers!AL23))</f>
        <v>-0</v>
      </c>
      <c r="AO245" s="66" t="n">
        <f aca="false">-MIN(AO242+AO243+AO244,MAX(0,AO163-Helpers!AM23))</f>
        <v>-0</v>
      </c>
      <c r="AP245" s="66" t="n">
        <f aca="false">-MIN(AP242+AP243+AP244,MAX(0,AP163-Helpers!AN23))</f>
        <v>-0</v>
      </c>
      <c r="AQ245" s="66" t="n">
        <f aca="false">-MIN(AQ242+AQ243+AQ244,MAX(0,AQ163-Helpers!AO23))</f>
        <v>-0</v>
      </c>
      <c r="AR245" s="66" t="n">
        <f aca="false">-MIN(AR242+AR243+AR244,MAX(0,AR163-Helpers!AP23))</f>
        <v>-0</v>
      </c>
      <c r="AS245" s="66" t="n">
        <f aca="false">-MIN(AS242+AS243+AS244,MAX(0,AS163-Helpers!AQ23))</f>
        <v>-0</v>
      </c>
      <c r="AT245" s="66" t="n">
        <f aca="false">-MIN(AT242+AT243+AT244,MAX(0,AT163-Helpers!AR23))</f>
        <v>-0</v>
      </c>
      <c r="AU245" s="66" t="n">
        <f aca="false">-MIN(AU242+AU243+AU244,MAX(0,AU163-Helpers!AS23))</f>
        <v>-0</v>
      </c>
      <c r="AV245" s="66" t="n">
        <f aca="false">-MIN(AV242+AV243+AV244,MAX(0,AV163-Helpers!AT23))</f>
        <v>-0</v>
      </c>
      <c r="AW245" s="66" t="n">
        <f aca="false">-MIN(AW242+AW243+AW244,MAX(0,AW163-Helpers!AU23))</f>
        <v>-0</v>
      </c>
      <c r="AX245" s="66" t="n">
        <f aca="false">-MIN(AX242+AX243+AX244,MAX(0,AX163-Helpers!AV23))</f>
        <v>-0</v>
      </c>
      <c r="AY245" s="66" t="n">
        <f aca="false">-MIN(AY242+AY243+AY244,MAX(0,AY163-Helpers!AW23))</f>
        <v>-0</v>
      </c>
      <c r="AZ245" s="66" t="n">
        <f aca="false">-MIN(AZ242+AZ243+AZ244,MAX(0,AZ163-Helpers!AX23))</f>
        <v>-0</v>
      </c>
      <c r="BA245" s="66" t="n">
        <f aca="false">-MIN(BA242+BA243+BA244,MAX(0,BA163-Helpers!AY23))</f>
        <v>-0</v>
      </c>
      <c r="BB245" s="66" t="n">
        <f aca="false">-MIN(BB242+BB243+BB244,MAX(0,BB163-Helpers!AZ23))</f>
        <v>-0</v>
      </c>
      <c r="BC245" s="66" t="n">
        <f aca="false">-MIN(BC242+BC243+BC244,MAX(0,BC163-Helpers!BA23))</f>
        <v>-249171.3</v>
      </c>
      <c r="BD245" s="66" t="n">
        <f aca="false">-MIN(BD242+BD243+BD244,MAX(0,BD163-Helpers!BB23))</f>
        <v>-0</v>
      </c>
      <c r="BE245" s="66" t="n">
        <f aca="false">-MIN(BE242+BE243+BE244,MAX(0,BE163-Helpers!BC23))</f>
        <v>-0</v>
      </c>
      <c r="BF245" s="66" t="n">
        <f aca="false">-MIN(BF242+BF243+BF244,MAX(0,BF163-Helpers!BD23))</f>
        <v>-71700</v>
      </c>
      <c r="BG245" s="66" t="n">
        <f aca="false">-MIN(BG242+BG243+BG244,MAX(0,BG163-Helpers!BE23))</f>
        <v>-0</v>
      </c>
      <c r="BH245" s="66" t="n">
        <f aca="false">-MIN(BH242+BH243+BH244,MAX(0,BH163-Helpers!BF23))</f>
        <v>-0</v>
      </c>
      <c r="BI245" s="66" t="n">
        <f aca="false">-MIN(BI242+BI243+BI244,MAX(0,BI163-Helpers!BG23))</f>
        <v>-71700</v>
      </c>
      <c r="BJ245" s="66" t="n">
        <f aca="false">-MIN(BJ242+BJ243+BJ244,MAX(0,BJ163-Helpers!BH23))</f>
        <v>-0</v>
      </c>
      <c r="BK245" s="66" t="n">
        <f aca="false">-MIN(BK242+BK243+BK244,MAX(0,BK163-Helpers!BI23))</f>
        <v>-0</v>
      </c>
      <c r="BL245" s="66" t="n">
        <f aca="false">-MIN(BL242+BL243+BL244,MAX(0,BL163-Helpers!BJ23))</f>
        <v>-71700</v>
      </c>
      <c r="BM245" s="66" t="n">
        <f aca="false">-MIN(BM242+BM243+BM244,MAX(0,BM163-Helpers!BK23))</f>
        <v>-0</v>
      </c>
      <c r="BN245" s="66" t="n">
        <f aca="false">-MIN(BN242+BN243+BN244,MAX(0,BN163-Helpers!BL23))</f>
        <v>-0</v>
      </c>
      <c r="BO245" s="66" t="n">
        <f aca="false">-MIN(BO242+BO243+BO244,MAX(0,BO163-Helpers!BM23))</f>
        <v>-71700</v>
      </c>
      <c r="BP245" s="66" t="n">
        <f aca="false">-MIN(BP242+BP243+BP244,MAX(0,BP163-Helpers!BN23))</f>
        <v>-0</v>
      </c>
      <c r="BQ245" s="66" t="n">
        <f aca="false">-MIN(BQ242+BQ243+BQ244,MAX(0,BQ163-Helpers!BO23))</f>
        <v>-0</v>
      </c>
      <c r="BR245" s="66" t="n">
        <f aca="false">-MIN(BR242+BR243+BR244,MAX(0,BR163-Helpers!BP23))</f>
        <v>-74643</v>
      </c>
      <c r="BS245" s="66" t="n">
        <f aca="false">-MIN(BS242+BS243+BS244,MAX(0,BS163-Helpers!BQ23))</f>
        <v>-0</v>
      </c>
      <c r="BT245" s="66" t="n">
        <f aca="false">-MIN(BT242+BT243+BT244,MAX(0,BT163-Helpers!BR23))</f>
        <v>-0</v>
      </c>
      <c r="BU245" s="66" t="n">
        <f aca="false">-MIN(BU242+BU243+BU244,MAX(0,BU163-Helpers!BS23))</f>
        <v>-74640</v>
      </c>
      <c r="BV245" s="66" t="n">
        <f aca="false">-MIN(BV242+BV243+BV244,MAX(0,BV163-Helpers!BT23))</f>
        <v>-0</v>
      </c>
      <c r="BW245" s="66" t="n">
        <f aca="false">-MIN(BW242+BW243+BW244,MAX(0,BW163-Helpers!BU23))</f>
        <v>-0</v>
      </c>
      <c r="BX245" s="66" t="n">
        <f aca="false">-MIN(BX242+BX243+BX244,MAX(0,BX163-Helpers!BV23))</f>
        <v>-74640</v>
      </c>
      <c r="BY245" s="66" t="n">
        <f aca="false">-MIN(BY242+BY243+BY244,MAX(0,BY163-Helpers!BW23))</f>
        <v>-0</v>
      </c>
      <c r="BZ245" s="66" t="n">
        <f aca="false">-MIN(BZ242+BZ243+BZ244,MAX(0,BZ163-Helpers!BX23))</f>
        <v>-0</v>
      </c>
      <c r="CA245" s="66" t="n">
        <f aca="false">-MIN(CA242+CA243+CA244,MAX(0,CA163-Helpers!BY23))</f>
        <v>-74640</v>
      </c>
      <c r="CB245" s="66" t="n">
        <f aca="false">-MIN(CB242+CB243+CB244,MAX(0,CB163-Helpers!BZ23))</f>
        <v>-0</v>
      </c>
      <c r="CC245" s="66" t="n">
        <f aca="false">-MIN(CC242+CC243+CC244,MAX(0,CC163-Helpers!CA23))</f>
        <v>-0</v>
      </c>
      <c r="CD245" s="66" t="n">
        <f aca="false">-MIN(CD242+CD243+CD244,MAX(0,CD163-Helpers!CB23))</f>
        <v>-81363</v>
      </c>
      <c r="CE245" s="66" t="n">
        <f aca="false">-MIN(CE242+CE243+CE244,MAX(0,CE163-Helpers!CC23))</f>
        <v>-0</v>
      </c>
      <c r="CF245" s="66" t="n">
        <f aca="false">-MIN(CF242+CF243+CF244,MAX(0,CF163-Helpers!CD23))</f>
        <v>-0</v>
      </c>
      <c r="CG245" s="66" t="n">
        <f aca="false">-MIN(CG242+CG243+CG244,MAX(0,CG163-Helpers!CE23))</f>
        <v>-81362</v>
      </c>
      <c r="CH245" s="66" t="n">
        <f aca="false">-MIN(CH242+CH243+CH244,MAX(0,CH163-Helpers!CF23))</f>
        <v>-0</v>
      </c>
      <c r="CI245" s="66" t="n">
        <f aca="false">-MIN(CI242+CI243+CI244,MAX(0,CI163-Helpers!CG23))</f>
        <v>-0</v>
      </c>
      <c r="CJ245" s="66" t="n">
        <f aca="false">-MIN(CJ242+CJ243+CJ244,MAX(0,CJ163-Helpers!CH23))</f>
        <v>-74753.9733935208</v>
      </c>
      <c r="CK245" s="66" t="n">
        <f aca="false">-MIN(CK242+CK243+CK244,MAX(0,CK163-Helpers!CI23))</f>
        <v>-0</v>
      </c>
      <c r="CL245" s="66" t="n">
        <f aca="false">-MIN(CL242+CL243+CL244,MAX(0,CL163-Helpers!CJ23))</f>
        <v>-0</v>
      </c>
      <c r="CM245" s="66" t="n">
        <f aca="false">-MIN(CM242+CM243+CM244,MAX(0,CM163-Helpers!CK23))</f>
        <v>-0</v>
      </c>
      <c r="CN245" s="66" t="n">
        <f aca="false">-MIN(CN242+CN243+CN244,MAX(0,CN163-Helpers!CL23))</f>
        <v>-0</v>
      </c>
      <c r="CO245" s="66" t="n">
        <f aca="false">-MIN(CO242+CO243+CO244,MAX(0,CO163-Helpers!CM23))</f>
        <v>-0</v>
      </c>
      <c r="CP245" s="66" t="n">
        <f aca="false">-MIN(CP242+CP243+CP244,MAX(0,CP163-Helpers!CN23))</f>
        <v>-0</v>
      </c>
      <c r="CQ245" s="66" t="n">
        <f aca="false">-MIN(CQ242+CQ243+CQ244,MAX(0,CQ163-Helpers!CO23))</f>
        <v>-0</v>
      </c>
      <c r="CR245" s="66" t="n">
        <f aca="false">-MIN(CR242+CR243+CR244,MAX(0,CR163-Helpers!CP23))</f>
        <v>-0</v>
      </c>
      <c r="CS245" s="66" t="n">
        <f aca="false">-MIN(CS242+CS243+CS244,MAX(0,CS163-Helpers!CQ23))</f>
        <v>-0</v>
      </c>
      <c r="CT245" s="66" t="n">
        <f aca="false">-MIN(CT242+CT243+CT244,MAX(0,CT163-Helpers!CR23))</f>
        <v>-0</v>
      </c>
      <c r="CU245" s="66" t="n">
        <f aca="false">-MIN(CU242+CU243+CU244,MAX(0,CU163-Helpers!CS23))</f>
        <v>-0</v>
      </c>
      <c r="CV245" s="66" t="n">
        <f aca="false">-MIN(CV242+CV243+CV244,MAX(0,CV163-Helpers!CT23))</f>
        <v>-0</v>
      </c>
      <c r="CW245" s="66" t="n">
        <f aca="false">-MIN(CW242+CW243+CW244,MAX(0,CW163-Helpers!CU23))</f>
        <v>-0</v>
      </c>
      <c r="CX245" s="66" t="n">
        <f aca="false">-MIN(CX242+CX243+CX244,MAX(0,CX163-Helpers!CV23))</f>
        <v>-0</v>
      </c>
      <c r="CY245" s="66" t="n">
        <f aca="false">-MIN(CY242+CY243+CY244,MAX(0,CY163-Helpers!CW23))</f>
        <v>-0</v>
      </c>
      <c r="CZ245" s="66" t="n">
        <f aca="false">-MIN(CZ242+CZ243+CZ244,MAX(0,CZ163-Helpers!CX23))</f>
        <v>-0</v>
      </c>
      <c r="DA245" s="66" t="n">
        <f aca="false">-MIN(DA242+DA243+DA244,MAX(0,DA163-Helpers!CY23))</f>
        <v>-0</v>
      </c>
      <c r="DB245" s="66" t="n">
        <f aca="false">-MIN(DB242+DB243+DB244,MAX(0,DB163-Helpers!CZ23))</f>
        <v>-0</v>
      </c>
      <c r="DC245" s="66" t="n">
        <f aca="false">-MIN(DC242+DC243+DC244,MAX(0,DC163-Helpers!DA23))</f>
        <v>-0</v>
      </c>
      <c r="DD245" s="66" t="n">
        <f aca="false">-MIN(DD242+DD243+DD244,MAX(0,DD163-Helpers!DB23))</f>
        <v>-0</v>
      </c>
      <c r="DE245" s="66" t="n">
        <f aca="false">-MIN(DE242+DE243+DE244,MAX(0,DE163-Helpers!DC23))</f>
        <v>-0</v>
      </c>
    </row>
    <row r="246" customFormat="false" ht="15" hidden="false" customHeight="true" outlineLevel="0" collapsed="false">
      <c r="A246" s="67" t="s">
        <v>167</v>
      </c>
      <c r="B246" s="68"/>
      <c r="C246" s="68"/>
      <c r="D246" s="68"/>
      <c r="E246" s="68" t="n">
        <f aca="false">MAX(0,E242+E243+E244+E245)</f>
        <v>1134000</v>
      </c>
      <c r="F246" s="68" t="n">
        <f aca="false">MAX(0,F242+F243+F244+F245)</f>
        <v>1184000</v>
      </c>
      <c r="G246" s="68" t="n">
        <f aca="false">MAX(0,G242+G243+G244+G245)</f>
        <v>1280275</v>
      </c>
      <c r="H246" s="68" t="n">
        <f aca="false">MAX(0,H242+H243+H244+H245)</f>
        <v>1330275</v>
      </c>
      <c r="I246" s="68" t="n">
        <f aca="false">MAX(0,I242+I243+I244+I245)</f>
        <v>1380275</v>
      </c>
      <c r="J246" s="68" t="n">
        <f aca="false">MAX(0,J242+J243+J244+J245)</f>
        <v>1483910.3125</v>
      </c>
      <c r="K246" s="68" t="n">
        <f aca="false">MAX(0,K242+K243+K244+K245)</f>
        <v>1533910.3125</v>
      </c>
      <c r="L246" s="68" t="n">
        <f aca="false">MAX(0,L242+L243+L244+L245)</f>
        <v>1583910.3125</v>
      </c>
      <c r="M246" s="68" t="n">
        <f aca="false">MAX(0,M242+M243+M244+M245)</f>
        <v>1695181.94921875</v>
      </c>
      <c r="N246" s="68" t="n">
        <f aca="false">MAX(0,N242+N243+N244+N245)</f>
        <v>1745181.94921875</v>
      </c>
      <c r="O246" s="68" t="n">
        <f aca="false">MAX(0,O242+O243+O244+O245)</f>
        <v>1795181.94921875</v>
      </c>
      <c r="P246" s="68" t="n">
        <f aca="false">MAX(0,P242+P243+P244+P245)</f>
        <v>1914376.27231445</v>
      </c>
      <c r="Q246" s="68" t="n">
        <f aca="false">MAX(0,Q242+Q243+Q244+Q245)</f>
        <v>514376.272314453</v>
      </c>
      <c r="R246" s="68" t="n">
        <f aca="false">MAX(0,R242+R243+R244+R245)</f>
        <v>564376.272314453</v>
      </c>
      <c r="S246" s="68" t="n">
        <f aca="false">MAX(0,S242+S243+S244+S245)</f>
        <v>585540.382526245</v>
      </c>
      <c r="T246" s="68" t="n">
        <f aca="false">MAX(0,T242+T243+T244+T245)</f>
        <v>585540.382526245</v>
      </c>
      <c r="U246" s="68" t="n">
        <f aca="false">MAX(0,U242+U243+U244+U245)</f>
        <v>585540.382526245</v>
      </c>
      <c r="V246" s="68" t="n">
        <f aca="false">MAX(0,V242+V243+V244+V245)</f>
        <v>607498.146870979</v>
      </c>
      <c r="W246" s="68" t="n">
        <f aca="false">MAX(0,W242+W243+W244+W245)</f>
        <v>607498.146870979</v>
      </c>
      <c r="X246" s="68" t="n">
        <f aca="false">MAX(0,X242+X243+X244+X245)</f>
        <v>607498.146870979</v>
      </c>
      <c r="Y246" s="68" t="n">
        <f aca="false">MAX(0,Y242+Y243+Y244+Y245)</f>
        <v>630279.327378641</v>
      </c>
      <c r="Z246" s="68" t="n">
        <f aca="false">MAX(0,Z242+Z243+Z244+Z245)</f>
        <v>630279.327378641</v>
      </c>
      <c r="AA246" s="68" t="n">
        <f aca="false">MAX(0,AA242+AA243+AA244+AA245)</f>
        <v>630279.327378641</v>
      </c>
      <c r="AB246" s="68" t="n">
        <f aca="false">MAX(0,AB242+AB243+AB244+AB245)</f>
        <v>653914.80215534</v>
      </c>
      <c r="AC246" s="68" t="n">
        <f aca="false">MAX(0,AC242+AC243+AC244+AC245)</f>
        <v>653914.80215534</v>
      </c>
      <c r="AD246" s="68" t="n">
        <f aca="false">MAX(0,AD242+AD243+AD244+AD245)</f>
        <v>653914.80215534</v>
      </c>
      <c r="AE246" s="68" t="n">
        <f aca="false">MAX(0,AE242+AE243+AE244+AE245)</f>
        <v>678436.607236165</v>
      </c>
      <c r="AF246" s="68" t="n">
        <f aca="false">MAX(0,AF242+AF243+AF244+AF245)</f>
        <v>678436.607236165</v>
      </c>
      <c r="AG246" s="68" t="n">
        <f aca="false">MAX(0,AG242+AG243+AG244+AG245)</f>
        <v>678436.607236165</v>
      </c>
      <c r="AH246" s="68" t="n">
        <f aca="false">MAX(0,AH242+AH243+AH244+AH245)</f>
        <v>703877.980007521</v>
      </c>
      <c r="AI246" s="68" t="n">
        <f aca="false">MAX(0,AI242+AI243+AI244+AI245)</f>
        <v>703877.980007521</v>
      </c>
      <c r="AJ246" s="68" t="n">
        <f aca="false">MAX(0,AJ242+AJ243+AJ244+AJ245)</f>
        <v>703877.980007521</v>
      </c>
      <c r="AK246" s="68" t="n">
        <f aca="false">MAX(0,AK242+AK243+AK244+AK245)</f>
        <v>730273.404257803</v>
      </c>
      <c r="AL246" s="68" t="n">
        <f aca="false">MAX(0,AL242+AL243+AL244+AL245)</f>
        <v>730273.404257803</v>
      </c>
      <c r="AM246" s="68" t="n">
        <f aca="false">MAX(0,AM242+AM243+AM244+AM245)</f>
        <v>730273.404257803</v>
      </c>
      <c r="AN246" s="68" t="n">
        <f aca="false">MAX(0,AN242+AN243+AN244+AN245)</f>
        <v>757658.656917471</v>
      </c>
      <c r="AO246" s="68" t="n">
        <f aca="false">MAX(0,AO242+AO243+AO244+AO245)</f>
        <v>757658.656917471</v>
      </c>
      <c r="AP246" s="68" t="n">
        <f aca="false">MAX(0,AP242+AP243+AP244+AP245)</f>
        <v>757658.656917471</v>
      </c>
      <c r="AQ246" s="68" t="n">
        <f aca="false">MAX(0,AQ242+AQ243+AQ244+AQ245)</f>
        <v>786070.856551876</v>
      </c>
      <c r="AR246" s="68" t="n">
        <f aca="false">MAX(0,AR242+AR243+AR244+AR245)</f>
        <v>786070.856551876</v>
      </c>
      <c r="AS246" s="68" t="n">
        <f aca="false">MAX(0,AS242+AS243+AS244+AS245)</f>
        <v>786070.856551876</v>
      </c>
      <c r="AT246" s="68" t="n">
        <f aca="false">MAX(0,AT242+AT243+AT244+AT245)</f>
        <v>815548.513672571</v>
      </c>
      <c r="AU246" s="68" t="n">
        <f aca="false">MAX(0,AU242+AU243+AU244+AU245)</f>
        <v>815548.513672571</v>
      </c>
      <c r="AV246" s="68" t="n">
        <f aca="false">MAX(0,AV242+AV243+AV244+AV245)</f>
        <v>815548.513672571</v>
      </c>
      <c r="AW246" s="68" t="n">
        <f aca="false">MAX(0,AW242+AW243+AW244+AW245)</f>
        <v>846131.582935293</v>
      </c>
      <c r="AX246" s="68" t="n">
        <f aca="false">MAX(0,AX242+AX243+AX244+AX245)</f>
        <v>846131.582935293</v>
      </c>
      <c r="AY246" s="68" t="n">
        <f aca="false">MAX(0,AY242+AY243+AY244+AY245)</f>
        <v>846131.582935293</v>
      </c>
      <c r="AZ246" s="68" t="n">
        <f aca="false">MAX(0,AZ242+AZ243+AZ244+AZ245)</f>
        <v>877861.517295366</v>
      </c>
      <c r="BA246" s="68" t="n">
        <f aca="false">MAX(0,BA242+BA243+BA244+BA245)</f>
        <v>877861.517295366</v>
      </c>
      <c r="BB246" s="68" t="n">
        <f aca="false">MAX(0,BB242+BB243+BB244+BB245)</f>
        <v>877861.517295366</v>
      </c>
      <c r="BC246" s="68" t="n">
        <f aca="false">MAX(0,BC242+BC243+BC244+BC245)</f>
        <v>661610.024193943</v>
      </c>
      <c r="BD246" s="68" t="n">
        <f aca="false">MAX(0,BD242+BD243+BD244+BD245)</f>
        <v>661610.024193943</v>
      </c>
      <c r="BE246" s="68" t="n">
        <f aca="false">MAX(0,BE242+BE243+BE244+BE245)</f>
        <v>661610.024193943</v>
      </c>
      <c r="BF246" s="68" t="n">
        <f aca="false">MAX(0,BF242+BF243+BF244+BF245)</f>
        <v>614720.400101215</v>
      </c>
      <c r="BG246" s="68" t="n">
        <f aca="false">MAX(0,BG242+BG243+BG244+BG245)</f>
        <v>614720.400101215</v>
      </c>
      <c r="BH246" s="68" t="n">
        <f aca="false">MAX(0,BH242+BH243+BH244+BH245)</f>
        <v>614720.400101215</v>
      </c>
      <c r="BI246" s="68" t="n">
        <f aca="false">MAX(0,BI242+BI243+BI244+BI245)</f>
        <v>566072.415105011</v>
      </c>
      <c r="BJ246" s="68" t="n">
        <f aca="false">MAX(0,BJ242+BJ243+BJ244+BJ245)</f>
        <v>566072.415105011</v>
      </c>
      <c r="BK246" s="68" t="n">
        <f aca="false">MAX(0,BK242+BK243+BK244+BK245)</f>
        <v>566072.415105011</v>
      </c>
      <c r="BL246" s="68" t="n">
        <f aca="false">MAX(0,BL242+BL243+BL244+BL245)</f>
        <v>515600.130671449</v>
      </c>
      <c r="BM246" s="68" t="n">
        <f aca="false">MAX(0,BM242+BM243+BM244+BM245)</f>
        <v>515600.130671449</v>
      </c>
      <c r="BN246" s="68" t="n">
        <f aca="false">MAX(0,BN242+BN243+BN244+BN245)</f>
        <v>515600.130671449</v>
      </c>
      <c r="BO246" s="68" t="n">
        <f aca="false">MAX(0,BO242+BO243+BO244+BO245)</f>
        <v>463235.135571628</v>
      </c>
      <c r="BP246" s="68" t="n">
        <f aca="false">MAX(0,BP242+BP243+BP244+BP245)</f>
        <v>463235.135571628</v>
      </c>
      <c r="BQ246" s="68" t="n">
        <f aca="false">MAX(0,BQ242+BQ243+BQ244+BQ245)</f>
        <v>463235.135571628</v>
      </c>
      <c r="BR246" s="68" t="n">
        <f aca="false">MAX(0,BR242+BR243+BR244+BR245)</f>
        <v>405963.453155564</v>
      </c>
      <c r="BS246" s="68" t="n">
        <f aca="false">MAX(0,BS242+BS243+BS244+BS245)</f>
        <v>405963.453155564</v>
      </c>
      <c r="BT246" s="68" t="n">
        <f aca="false">MAX(0,BT242+BT243+BT244+BT245)</f>
        <v>405963.453155564</v>
      </c>
      <c r="BU246" s="68" t="n">
        <f aca="false">MAX(0,BU242+BU243+BU244+BU245)</f>
        <v>346547.082648898</v>
      </c>
      <c r="BV246" s="68" t="n">
        <f aca="false">MAX(0,BV242+BV243+BV244+BV245)</f>
        <v>346547.082648898</v>
      </c>
      <c r="BW246" s="68" t="n">
        <f aca="false">MAX(0,BW242+BW243+BW244+BW245)</f>
        <v>346547.082648898</v>
      </c>
      <c r="BX246" s="68" t="n">
        <f aca="false">MAX(0,BX242+BX243+BX244+BX245)</f>
        <v>284902.598248232</v>
      </c>
      <c r="BY246" s="68" t="n">
        <f aca="false">MAX(0,BY242+BY243+BY244+BY245)</f>
        <v>284902.598248232</v>
      </c>
      <c r="BZ246" s="68" t="n">
        <f aca="false">MAX(0,BZ242+BZ243+BZ244+BZ245)</f>
        <v>284902.598248232</v>
      </c>
      <c r="CA246" s="68" t="n">
        <f aca="false">MAX(0,CA242+CA243+CA244+CA245)</f>
        <v>220946.44568254</v>
      </c>
      <c r="CB246" s="68" t="n">
        <f aca="false">MAX(0,CB242+CB243+CB244+CB245)</f>
        <v>220946.44568254</v>
      </c>
      <c r="CC246" s="68" t="n">
        <f aca="false">MAX(0,CC242+CC243+CC244+CC245)</f>
        <v>220946.44568254</v>
      </c>
      <c r="CD246" s="68" t="n">
        <f aca="false">MAX(0,CD242+CD243+CD244+CD245)</f>
        <v>147868.937395636</v>
      </c>
      <c r="CE246" s="68" t="n">
        <f aca="false">MAX(0,CE242+CE243+CE244+CE245)</f>
        <v>147868.937395636</v>
      </c>
      <c r="CF246" s="68" t="n">
        <f aca="false">MAX(0,CF242+CF243+CF244+CF245)</f>
        <v>147868.937395636</v>
      </c>
      <c r="CG246" s="68" t="n">
        <f aca="false">MAX(0,CG242+CG243+CG244+CG245)</f>
        <v>72052.0225479718</v>
      </c>
      <c r="CH246" s="68" t="n">
        <f aca="false">MAX(0,CH242+CH243+CH244+CH245)</f>
        <v>72052.0225479718</v>
      </c>
      <c r="CI246" s="68" t="n">
        <f aca="false">MAX(0,CI242+CI243+CI244+CI245)</f>
        <v>72052.0225479718</v>
      </c>
      <c r="CJ246" s="68" t="n">
        <f aca="false">MAX(0,CJ242+CJ243+CJ244+CJ245)</f>
        <v>0</v>
      </c>
      <c r="CK246" s="68" t="n">
        <f aca="false">MAX(0,CK242+CK243+CK244+CK245)</f>
        <v>0</v>
      </c>
      <c r="CL246" s="68" t="n">
        <f aca="false">MAX(0,CL242+CL243+CL244+CL245)</f>
        <v>0</v>
      </c>
      <c r="CM246" s="68" t="n">
        <f aca="false">MAX(0,CM242+CM243+CM244+CM245)</f>
        <v>0</v>
      </c>
      <c r="CN246" s="68" t="n">
        <f aca="false">MAX(0,CN242+CN243+CN244+CN245)</f>
        <v>0</v>
      </c>
      <c r="CO246" s="68" t="n">
        <f aca="false">MAX(0,CO242+CO243+CO244+CO245)</f>
        <v>0</v>
      </c>
      <c r="CP246" s="68" t="n">
        <f aca="false">MAX(0,CP242+CP243+CP244+CP245)</f>
        <v>0</v>
      </c>
      <c r="CQ246" s="68" t="n">
        <f aca="false">MAX(0,CQ242+CQ243+CQ244+CQ245)</f>
        <v>0</v>
      </c>
      <c r="CR246" s="68" t="n">
        <f aca="false">MAX(0,CR242+CR243+CR244+CR245)</f>
        <v>0</v>
      </c>
      <c r="CS246" s="68" t="n">
        <f aca="false">MAX(0,CS242+CS243+CS244+CS245)</f>
        <v>0</v>
      </c>
      <c r="CT246" s="68" t="n">
        <f aca="false">MAX(0,CT242+CT243+CT244+CT245)</f>
        <v>0</v>
      </c>
      <c r="CU246" s="68" t="n">
        <f aca="false">MAX(0,CU242+CU243+CU244+CU245)</f>
        <v>0</v>
      </c>
      <c r="CV246" s="68" t="n">
        <f aca="false">MAX(0,CV242+CV243+CV244+CV245)</f>
        <v>0</v>
      </c>
      <c r="CW246" s="68" t="n">
        <f aca="false">MAX(0,CW242+CW243+CW244+CW245)</f>
        <v>0</v>
      </c>
      <c r="CX246" s="68" t="n">
        <f aca="false">MAX(0,CX242+CX243+CX244+CX245)</f>
        <v>0</v>
      </c>
      <c r="CY246" s="68" t="n">
        <f aca="false">MAX(0,CY242+CY243+CY244+CY245)</f>
        <v>0</v>
      </c>
      <c r="CZ246" s="68" t="n">
        <f aca="false">MAX(0,CZ242+CZ243+CZ244+CZ245)</f>
        <v>0</v>
      </c>
      <c r="DA246" s="68" t="n">
        <f aca="false">MAX(0,DA242+DA243+DA244+DA245)</f>
        <v>0</v>
      </c>
      <c r="DB246" s="68" t="n">
        <f aca="false">MAX(0,DB242+DB243+DB244+DB245)</f>
        <v>0</v>
      </c>
      <c r="DC246" s="68" t="n">
        <f aca="false">MAX(0,DC242+DC243+DC244+DC245)</f>
        <v>0</v>
      </c>
      <c r="DD246" s="68" t="n">
        <f aca="false">MAX(0,DD242+DD243+DD244+DD245)</f>
        <v>0</v>
      </c>
      <c r="DE246" s="68" t="n">
        <f aca="false">MAX(0,DE242+DE243+DE244+DE245)</f>
        <v>0</v>
      </c>
    </row>
    <row r="247" customFormat="false" ht="15" hidden="false" customHeight="true" outlineLevel="0" collapsed="false">
      <c r="A247" s="69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  <c r="CV247" s="70"/>
      <c r="CW247" s="70"/>
      <c r="CX247" s="70"/>
      <c r="CY247" s="70"/>
      <c r="CZ247" s="70"/>
      <c r="DA247" s="70"/>
      <c r="DB247" s="70"/>
      <c r="DC247" s="70"/>
      <c r="DD247" s="70"/>
      <c r="DE247" s="70"/>
    </row>
    <row r="248" customFormat="false" ht="15" hidden="false" customHeight="true" outlineLevel="0" collapsed="false">
      <c r="A248" s="71" t="s">
        <v>168</v>
      </c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72"/>
      <c r="CJ248" s="72"/>
      <c r="CK248" s="72"/>
      <c r="CL248" s="72"/>
      <c r="CM248" s="72"/>
      <c r="CN248" s="72"/>
      <c r="CO248" s="72"/>
      <c r="CP248" s="72"/>
      <c r="CQ248" s="72"/>
      <c r="CR248" s="72"/>
      <c r="CS248" s="72"/>
      <c r="CT248" s="72"/>
      <c r="CU248" s="72"/>
      <c r="CV248" s="72"/>
      <c r="CW248" s="72"/>
      <c r="CX248" s="72"/>
      <c r="CY248" s="72"/>
      <c r="CZ248" s="72"/>
      <c r="DA248" s="72"/>
      <c r="DB248" s="72"/>
      <c r="DC248" s="72"/>
      <c r="DD248" s="72"/>
      <c r="DE248" s="72"/>
    </row>
    <row r="249" customFormat="false" ht="15" hidden="false" customHeight="true" outlineLevel="0" collapsed="false">
      <c r="A249" s="29" t="s">
        <v>9</v>
      </c>
      <c r="B249" s="14"/>
      <c r="C249" s="14"/>
      <c r="D249" s="14"/>
      <c r="E249" s="14" t="n">
        <f aca="false">Helpers!C8</f>
        <v>11187175.7906854</v>
      </c>
      <c r="F249" s="14" t="n">
        <f aca="false">Helpers!D8</f>
        <v>10356493.6916432</v>
      </c>
      <c r="G249" s="14" t="n">
        <f aca="false">Helpers!E8</f>
        <v>9450240.4833253</v>
      </c>
      <c r="H249" s="14" t="n">
        <f aca="false">Helpers!F8</f>
        <v>8485833.108368</v>
      </c>
      <c r="I249" s="14" t="n">
        <f aca="false">Helpers!G8</f>
        <v>7484749.67151286</v>
      </c>
      <c r="J249" s="14" t="n">
        <f aca="false">Helpers!H8</f>
        <v>6471133.85125429</v>
      </c>
      <c r="K249" s="14" t="n">
        <f aca="false">Helpers!I8</f>
        <v>5470050.41439915</v>
      </c>
      <c r="L249" s="14" t="n">
        <f aca="false">Helpers!J8</f>
        <v>4505643.03944185</v>
      </c>
      <c r="M249" s="14" t="n">
        <f aca="false">Helpers!K8</f>
        <v>3599389.83112392</v>
      </c>
      <c r="N249" s="14" t="n">
        <f aca="false">Helpers!L8</f>
        <v>2768707.73208177</v>
      </c>
      <c r="O249" s="14" t="n">
        <f aca="false">Helpers!M8</f>
        <v>2026003.52276715</v>
      </c>
      <c r="P249" s="14" t="n">
        <f aca="false">Helpers!N8</f>
        <v>1378283.05670848</v>
      </c>
      <c r="Q249" s="14" t="n">
        <f aca="false">Helpers!O8</f>
        <v>827276.86346259</v>
      </c>
      <c r="R249" s="14" t="n">
        <f aca="false">Helpers!P8</f>
        <v>370068.163373215</v>
      </c>
      <c r="S249" s="14" t="n">
        <f aca="false">Helpers!Q8</f>
        <v>0</v>
      </c>
      <c r="T249" s="14" t="n">
        <f aca="false">Helpers!R8</f>
        <v>0</v>
      </c>
      <c r="U249" s="14" t="n">
        <f aca="false">Helpers!S8</f>
        <v>0</v>
      </c>
      <c r="V249" s="14" t="n">
        <f aca="false">Helpers!T8</f>
        <v>0</v>
      </c>
      <c r="W249" s="14" t="n">
        <f aca="false">Helpers!U8</f>
        <v>0</v>
      </c>
      <c r="X249" s="14" t="n">
        <f aca="false">Helpers!V8</f>
        <v>0</v>
      </c>
      <c r="Y249" s="14" t="n">
        <f aca="false">Helpers!W8</f>
        <v>0</v>
      </c>
      <c r="Z249" s="14" t="n">
        <f aca="false">Helpers!X8</f>
        <v>0</v>
      </c>
      <c r="AA249" s="14" t="n">
        <f aca="false">Helpers!Y8</f>
        <v>0</v>
      </c>
      <c r="AB249" s="14" t="n">
        <f aca="false">Helpers!Z8</f>
        <v>0</v>
      </c>
      <c r="AC249" s="14" t="n">
        <f aca="false">Helpers!AA8</f>
        <v>0</v>
      </c>
      <c r="AD249" s="14" t="n">
        <f aca="false">Helpers!AB8</f>
        <v>0</v>
      </c>
      <c r="AE249" s="14" t="n">
        <f aca="false">Helpers!AC8</f>
        <v>0</v>
      </c>
      <c r="AF249" s="14" t="n">
        <f aca="false">Helpers!AD8</f>
        <v>0</v>
      </c>
      <c r="AG249" s="14" t="n">
        <f aca="false">Helpers!AE8</f>
        <v>0</v>
      </c>
      <c r="AH249" s="14" t="n">
        <f aca="false">Helpers!AF8</f>
        <v>0</v>
      </c>
      <c r="AI249" s="14" t="n">
        <f aca="false">Helpers!AG8</f>
        <v>0</v>
      </c>
      <c r="AJ249" s="14" t="n">
        <f aca="false">Helpers!AH8</f>
        <v>0</v>
      </c>
      <c r="AK249" s="14" t="n">
        <f aca="false">Helpers!AI8</f>
        <v>0</v>
      </c>
      <c r="AL249" s="14" t="n">
        <f aca="false">Helpers!AJ8</f>
        <v>0</v>
      </c>
      <c r="AM249" s="14" t="n">
        <f aca="false">Helpers!AK8</f>
        <v>0</v>
      </c>
      <c r="AN249" s="14" t="n">
        <f aca="false">Helpers!AL8</f>
        <v>0</v>
      </c>
      <c r="AO249" s="14" t="n">
        <f aca="false">Helpers!AM8</f>
        <v>0</v>
      </c>
      <c r="AP249" s="14" t="n">
        <f aca="false">Helpers!AN8</f>
        <v>0</v>
      </c>
      <c r="AQ249" s="14" t="n">
        <f aca="false">Helpers!AO8</f>
        <v>0</v>
      </c>
      <c r="AR249" s="14" t="n">
        <f aca="false">Helpers!AP8</f>
        <v>0</v>
      </c>
      <c r="AS249" s="14" t="n">
        <f aca="false">Helpers!AQ8</f>
        <v>0</v>
      </c>
      <c r="AT249" s="14" t="n">
        <f aca="false">Helpers!AR8</f>
        <v>0</v>
      </c>
      <c r="AU249" s="14" t="n">
        <f aca="false">Helpers!AS8</f>
        <v>0</v>
      </c>
      <c r="AV249" s="14" t="n">
        <f aca="false">Helpers!AT8</f>
        <v>0</v>
      </c>
      <c r="AW249" s="14" t="n">
        <f aca="false">Helpers!AU8</f>
        <v>0</v>
      </c>
      <c r="AX249" s="14" t="n">
        <f aca="false">Helpers!AV8</f>
        <v>0</v>
      </c>
      <c r="AY249" s="14" t="n">
        <f aca="false">Helpers!AW8</f>
        <v>0</v>
      </c>
      <c r="AZ249" s="14" t="n">
        <f aca="false">Helpers!AX8</f>
        <v>0</v>
      </c>
      <c r="BA249" s="14" t="n">
        <f aca="false">Helpers!AY8</f>
        <v>0</v>
      </c>
      <c r="BB249" s="14" t="n">
        <f aca="false">Helpers!AZ8</f>
        <v>0</v>
      </c>
      <c r="BC249" s="14" t="n">
        <f aca="false">Helpers!BA8</f>
        <v>0</v>
      </c>
      <c r="BD249" s="14" t="n">
        <f aca="false">Helpers!BB8</f>
        <v>0</v>
      </c>
      <c r="BE249" s="14" t="n">
        <f aca="false">Helpers!BC8</f>
        <v>0</v>
      </c>
      <c r="BF249" s="14" t="n">
        <f aca="false">Helpers!BD8</f>
        <v>0</v>
      </c>
      <c r="BG249" s="14" t="n">
        <f aca="false">Helpers!BE8</f>
        <v>0</v>
      </c>
      <c r="BH249" s="14" t="n">
        <f aca="false">Helpers!BF8</f>
        <v>0</v>
      </c>
      <c r="BI249" s="14" t="n">
        <f aca="false">Helpers!BG8</f>
        <v>0</v>
      </c>
      <c r="BJ249" s="14" t="n">
        <f aca="false">Helpers!BH8</f>
        <v>0</v>
      </c>
      <c r="BK249" s="14" t="n">
        <f aca="false">Helpers!BI8</f>
        <v>0</v>
      </c>
      <c r="BL249" s="14" t="n">
        <f aca="false">Helpers!BJ8</f>
        <v>0</v>
      </c>
      <c r="BM249" s="14" t="n">
        <f aca="false">Helpers!BK8</f>
        <v>0</v>
      </c>
      <c r="BN249" s="14" t="n">
        <f aca="false">Helpers!BL8</f>
        <v>0</v>
      </c>
      <c r="BO249" s="14" t="n">
        <f aca="false">Helpers!BM8</f>
        <v>0</v>
      </c>
      <c r="BP249" s="14" t="n">
        <f aca="false">Helpers!BN8</f>
        <v>0</v>
      </c>
      <c r="BQ249" s="14" t="n">
        <f aca="false">Helpers!BO8</f>
        <v>0</v>
      </c>
      <c r="BR249" s="14" t="n">
        <f aca="false">Helpers!BP8</f>
        <v>0</v>
      </c>
      <c r="BS249" s="14" t="n">
        <f aca="false">Helpers!BQ8</f>
        <v>0</v>
      </c>
      <c r="BT249" s="14" t="n">
        <f aca="false">Helpers!BR8</f>
        <v>0</v>
      </c>
      <c r="BU249" s="14" t="n">
        <f aca="false">Helpers!BS8</f>
        <v>0</v>
      </c>
      <c r="BV249" s="14" t="n">
        <f aca="false">Helpers!BT8</f>
        <v>0</v>
      </c>
      <c r="BW249" s="14" t="n">
        <f aca="false">Helpers!BU8</f>
        <v>0</v>
      </c>
      <c r="BX249" s="14" t="n">
        <f aca="false">Helpers!BV8</f>
        <v>0</v>
      </c>
      <c r="BY249" s="14" t="n">
        <f aca="false">Helpers!BW8</f>
        <v>0</v>
      </c>
      <c r="BZ249" s="14" t="n">
        <f aca="false">Helpers!BX8</f>
        <v>0</v>
      </c>
      <c r="CA249" s="14" t="n">
        <f aca="false">Helpers!BY8</f>
        <v>0</v>
      </c>
      <c r="CB249" s="14" t="n">
        <f aca="false">Helpers!BZ8</f>
        <v>0</v>
      </c>
      <c r="CC249" s="14" t="n">
        <f aca="false">Helpers!CA8</f>
        <v>0</v>
      </c>
      <c r="CD249" s="14" t="n">
        <f aca="false">Helpers!CB8</f>
        <v>0</v>
      </c>
      <c r="CE249" s="14" t="n">
        <f aca="false">Helpers!CC8</f>
        <v>0</v>
      </c>
      <c r="CF249" s="14" t="n">
        <f aca="false">Helpers!CD8</f>
        <v>0</v>
      </c>
      <c r="CG249" s="14" t="n">
        <f aca="false">Helpers!CE8</f>
        <v>0</v>
      </c>
      <c r="CH249" s="14" t="n">
        <f aca="false">Helpers!CF8</f>
        <v>0</v>
      </c>
      <c r="CI249" s="14" t="n">
        <f aca="false">Helpers!CG8</f>
        <v>0</v>
      </c>
      <c r="CJ249" s="14" t="n">
        <f aca="false">Helpers!CH8</f>
        <v>0</v>
      </c>
      <c r="CK249" s="14" t="n">
        <f aca="false">Helpers!CI8</f>
        <v>0</v>
      </c>
      <c r="CL249" s="14" t="n">
        <f aca="false">Helpers!CJ8</f>
        <v>0</v>
      </c>
      <c r="CM249" s="14" t="n">
        <f aca="false">Helpers!CK8</f>
        <v>0</v>
      </c>
      <c r="CN249" s="14" t="n">
        <f aca="false">Helpers!CL8</f>
        <v>0</v>
      </c>
      <c r="CO249" s="14" t="n">
        <f aca="false">Helpers!CM8</f>
        <v>0</v>
      </c>
      <c r="CP249" s="14" t="n">
        <f aca="false">Helpers!CN8</f>
        <v>0</v>
      </c>
      <c r="CQ249" s="14" t="n">
        <f aca="false">Helpers!CO8</f>
        <v>0</v>
      </c>
      <c r="CR249" s="14" t="n">
        <f aca="false">Helpers!CP8</f>
        <v>0</v>
      </c>
      <c r="CS249" s="14" t="n">
        <f aca="false">Helpers!CQ8</f>
        <v>0</v>
      </c>
      <c r="CT249" s="14" t="n">
        <f aca="false">Helpers!CR8</f>
        <v>0</v>
      </c>
      <c r="CU249" s="14" t="n">
        <f aca="false">Helpers!CS8</f>
        <v>0</v>
      </c>
      <c r="CV249" s="14" t="n">
        <f aca="false">Helpers!CT8</f>
        <v>0</v>
      </c>
      <c r="CW249" s="14" t="n">
        <f aca="false">Helpers!CU8</f>
        <v>0</v>
      </c>
      <c r="CX249" s="14" t="n">
        <f aca="false">Helpers!CV8</f>
        <v>0</v>
      </c>
      <c r="CY249" s="14" t="n">
        <f aca="false">Helpers!CW8</f>
        <v>0</v>
      </c>
      <c r="CZ249" s="14" t="n">
        <f aca="false">Helpers!CX8</f>
        <v>0</v>
      </c>
      <c r="DA249" s="14" t="n">
        <f aca="false">Helpers!CY8</f>
        <v>0</v>
      </c>
      <c r="DB249" s="14" t="n">
        <f aca="false">Helpers!CZ8</f>
        <v>0</v>
      </c>
      <c r="DC249" s="14" t="n">
        <f aca="false">Helpers!DA8</f>
        <v>0</v>
      </c>
      <c r="DD249" s="14" t="n">
        <f aca="false">Helpers!DB8</f>
        <v>0</v>
      </c>
      <c r="DE249" s="14" t="n">
        <f aca="false">Helpers!DC8</f>
        <v>0</v>
      </c>
    </row>
    <row r="250" customFormat="false" ht="15" hidden="false" customHeight="true" outlineLevel="0" collapsed="false">
      <c r="A250" s="29" t="s">
        <v>10</v>
      </c>
      <c r="B250" s="14"/>
      <c r="C250" s="14"/>
      <c r="D250" s="14"/>
      <c r="E250" s="14" t="n">
        <f aca="false">Helpers!C9</f>
        <v>13529664.5561914</v>
      </c>
      <c r="F250" s="14" t="n">
        <f aca="false">Helpers!D9</f>
        <v>12525045.4849303</v>
      </c>
      <c r="G250" s="14" t="n">
        <f aca="false">Helpers!E9</f>
        <v>11429031.4291109</v>
      </c>
      <c r="H250" s="14" t="n">
        <f aca="false">Helpers!F9</f>
        <v>10262686.274371</v>
      </c>
      <c r="I250" s="14" t="n">
        <f aca="false">Helpers!G9</f>
        <v>9051985.43737453</v>
      </c>
      <c r="J250" s="14" t="n">
        <f aca="false">Helpers!H9</f>
        <v>7826128.05446242</v>
      </c>
      <c r="K250" s="14" t="n">
        <f aca="false">Helpers!I9</f>
        <v>6615427.21746597</v>
      </c>
      <c r="L250" s="14" t="n">
        <f aca="false">Helpers!J9</f>
        <v>5449082.06272607</v>
      </c>
      <c r="M250" s="14" t="n">
        <f aca="false">Helpers!K9</f>
        <v>4353068.00690665</v>
      </c>
      <c r="N250" s="14" t="n">
        <f aca="false">Helpers!L9</f>
        <v>3348448.93564553</v>
      </c>
      <c r="O250" s="14" t="n">
        <f aca="false">Helpers!M9</f>
        <v>2450229.49183695</v>
      </c>
      <c r="P250" s="14" t="n">
        <f aca="false">Helpers!N9</f>
        <v>1666882.48845382</v>
      </c>
      <c r="Q250" s="14" t="n">
        <f aca="false">Helpers!O9</f>
        <v>1000500.81156911</v>
      </c>
      <c r="R250" s="14" t="n">
        <f aca="false">Helpers!P9</f>
        <v>447556.935463038</v>
      </c>
      <c r="S250" s="14" t="n">
        <f aca="false">Helpers!Q9</f>
        <v>0</v>
      </c>
      <c r="T250" s="14" t="n">
        <f aca="false">Helpers!R9</f>
        <v>0</v>
      </c>
      <c r="U250" s="14" t="n">
        <f aca="false">Helpers!S9</f>
        <v>0</v>
      </c>
      <c r="V250" s="14" t="n">
        <f aca="false">Helpers!T9</f>
        <v>0</v>
      </c>
      <c r="W250" s="14" t="n">
        <f aca="false">Helpers!U9</f>
        <v>0</v>
      </c>
      <c r="X250" s="14" t="n">
        <f aca="false">Helpers!V9</f>
        <v>0</v>
      </c>
      <c r="Y250" s="14" t="n">
        <f aca="false">Helpers!W9</f>
        <v>0</v>
      </c>
      <c r="Z250" s="14" t="n">
        <f aca="false">Helpers!X9</f>
        <v>0</v>
      </c>
      <c r="AA250" s="14" t="n">
        <f aca="false">Helpers!Y9</f>
        <v>0</v>
      </c>
      <c r="AB250" s="14" t="n">
        <f aca="false">Helpers!Z9</f>
        <v>0</v>
      </c>
      <c r="AC250" s="14" t="n">
        <f aca="false">Helpers!AA9</f>
        <v>0</v>
      </c>
      <c r="AD250" s="14" t="n">
        <f aca="false">Helpers!AB9</f>
        <v>0</v>
      </c>
      <c r="AE250" s="14" t="n">
        <f aca="false">Helpers!AC9</f>
        <v>0</v>
      </c>
      <c r="AF250" s="14" t="n">
        <f aca="false">Helpers!AD9</f>
        <v>0</v>
      </c>
      <c r="AG250" s="14" t="n">
        <f aca="false">Helpers!AE9</f>
        <v>0</v>
      </c>
      <c r="AH250" s="14" t="n">
        <f aca="false">Helpers!AF9</f>
        <v>0</v>
      </c>
      <c r="AI250" s="14" t="n">
        <f aca="false">Helpers!AG9</f>
        <v>0</v>
      </c>
      <c r="AJ250" s="14" t="n">
        <f aca="false">Helpers!AH9</f>
        <v>0</v>
      </c>
      <c r="AK250" s="14" t="n">
        <f aca="false">Helpers!AI9</f>
        <v>0</v>
      </c>
      <c r="AL250" s="14" t="n">
        <f aca="false">Helpers!AJ9</f>
        <v>0</v>
      </c>
      <c r="AM250" s="14" t="n">
        <f aca="false">Helpers!AK9</f>
        <v>0</v>
      </c>
      <c r="AN250" s="14" t="n">
        <f aca="false">Helpers!AL9</f>
        <v>0</v>
      </c>
      <c r="AO250" s="14" t="n">
        <f aca="false">Helpers!AM9</f>
        <v>0</v>
      </c>
      <c r="AP250" s="14" t="n">
        <f aca="false">Helpers!AN9</f>
        <v>0</v>
      </c>
      <c r="AQ250" s="14" t="n">
        <f aca="false">Helpers!AO9</f>
        <v>0</v>
      </c>
      <c r="AR250" s="14" t="n">
        <f aca="false">Helpers!AP9</f>
        <v>0</v>
      </c>
      <c r="AS250" s="14" t="n">
        <f aca="false">Helpers!AQ9</f>
        <v>0</v>
      </c>
      <c r="AT250" s="14" t="n">
        <f aca="false">Helpers!AR9</f>
        <v>0</v>
      </c>
      <c r="AU250" s="14" t="n">
        <f aca="false">Helpers!AS9</f>
        <v>0</v>
      </c>
      <c r="AV250" s="14" t="n">
        <f aca="false">Helpers!AT9</f>
        <v>0</v>
      </c>
      <c r="AW250" s="14" t="n">
        <f aca="false">Helpers!AU9</f>
        <v>0</v>
      </c>
      <c r="AX250" s="14" t="n">
        <f aca="false">Helpers!AV9</f>
        <v>0</v>
      </c>
      <c r="AY250" s="14" t="n">
        <f aca="false">Helpers!AW9</f>
        <v>0</v>
      </c>
      <c r="AZ250" s="14" t="n">
        <f aca="false">Helpers!AX9</f>
        <v>0</v>
      </c>
      <c r="BA250" s="14" t="n">
        <f aca="false">Helpers!AY9</f>
        <v>0</v>
      </c>
      <c r="BB250" s="14" t="n">
        <f aca="false">Helpers!AZ9</f>
        <v>0</v>
      </c>
      <c r="BC250" s="14" t="n">
        <f aca="false">Helpers!BA9</f>
        <v>0</v>
      </c>
      <c r="BD250" s="14" t="n">
        <f aca="false">Helpers!BB9</f>
        <v>0</v>
      </c>
      <c r="BE250" s="14" t="n">
        <f aca="false">Helpers!BC9</f>
        <v>0</v>
      </c>
      <c r="BF250" s="14" t="n">
        <f aca="false">Helpers!BD9</f>
        <v>0</v>
      </c>
      <c r="BG250" s="14" t="n">
        <f aca="false">Helpers!BE9</f>
        <v>0</v>
      </c>
      <c r="BH250" s="14" t="n">
        <f aca="false">Helpers!BF9</f>
        <v>0</v>
      </c>
      <c r="BI250" s="14" t="n">
        <f aca="false">Helpers!BG9</f>
        <v>0</v>
      </c>
      <c r="BJ250" s="14" t="n">
        <f aca="false">Helpers!BH9</f>
        <v>0</v>
      </c>
      <c r="BK250" s="14" t="n">
        <f aca="false">Helpers!BI9</f>
        <v>0</v>
      </c>
      <c r="BL250" s="14" t="n">
        <f aca="false">Helpers!BJ9</f>
        <v>0</v>
      </c>
      <c r="BM250" s="14" t="n">
        <f aca="false">Helpers!BK9</f>
        <v>0</v>
      </c>
      <c r="BN250" s="14" t="n">
        <f aca="false">Helpers!BL9</f>
        <v>0</v>
      </c>
      <c r="BO250" s="14" t="n">
        <f aca="false">Helpers!BM9</f>
        <v>0</v>
      </c>
      <c r="BP250" s="14" t="n">
        <f aca="false">Helpers!BN9</f>
        <v>0</v>
      </c>
      <c r="BQ250" s="14" t="n">
        <f aca="false">Helpers!BO9</f>
        <v>0</v>
      </c>
      <c r="BR250" s="14" t="n">
        <f aca="false">Helpers!BP9</f>
        <v>0</v>
      </c>
      <c r="BS250" s="14" t="n">
        <f aca="false">Helpers!BQ9</f>
        <v>0</v>
      </c>
      <c r="BT250" s="14" t="n">
        <f aca="false">Helpers!BR9</f>
        <v>0</v>
      </c>
      <c r="BU250" s="14" t="n">
        <f aca="false">Helpers!BS9</f>
        <v>0</v>
      </c>
      <c r="BV250" s="14" t="n">
        <f aca="false">Helpers!BT9</f>
        <v>0</v>
      </c>
      <c r="BW250" s="14" t="n">
        <f aca="false">Helpers!BU9</f>
        <v>0</v>
      </c>
      <c r="BX250" s="14" t="n">
        <f aca="false">Helpers!BV9</f>
        <v>0</v>
      </c>
      <c r="BY250" s="14" t="n">
        <f aca="false">Helpers!BW9</f>
        <v>0</v>
      </c>
      <c r="BZ250" s="14" t="n">
        <f aca="false">Helpers!BX9</f>
        <v>0</v>
      </c>
      <c r="CA250" s="14" t="n">
        <f aca="false">Helpers!BY9</f>
        <v>0</v>
      </c>
      <c r="CB250" s="14" t="n">
        <f aca="false">Helpers!BZ9</f>
        <v>0</v>
      </c>
      <c r="CC250" s="14" t="n">
        <f aca="false">Helpers!CA9</f>
        <v>0</v>
      </c>
      <c r="CD250" s="14" t="n">
        <f aca="false">Helpers!CB9</f>
        <v>0</v>
      </c>
      <c r="CE250" s="14" t="n">
        <f aca="false">Helpers!CC9</f>
        <v>0</v>
      </c>
      <c r="CF250" s="14" t="n">
        <f aca="false">Helpers!CD9</f>
        <v>0</v>
      </c>
      <c r="CG250" s="14" t="n">
        <f aca="false">Helpers!CE9</f>
        <v>0</v>
      </c>
      <c r="CH250" s="14" t="n">
        <f aca="false">Helpers!CF9</f>
        <v>0</v>
      </c>
      <c r="CI250" s="14" t="n">
        <f aca="false">Helpers!CG9</f>
        <v>0</v>
      </c>
      <c r="CJ250" s="14" t="n">
        <f aca="false">Helpers!CH9</f>
        <v>0</v>
      </c>
      <c r="CK250" s="14" t="n">
        <f aca="false">Helpers!CI9</f>
        <v>0</v>
      </c>
      <c r="CL250" s="14" t="n">
        <f aca="false">Helpers!CJ9</f>
        <v>0</v>
      </c>
      <c r="CM250" s="14" t="n">
        <f aca="false">Helpers!CK9</f>
        <v>0</v>
      </c>
      <c r="CN250" s="14" t="n">
        <f aca="false">Helpers!CL9</f>
        <v>0</v>
      </c>
      <c r="CO250" s="14" t="n">
        <f aca="false">Helpers!CM9</f>
        <v>0</v>
      </c>
      <c r="CP250" s="14" t="n">
        <f aca="false">Helpers!CN9</f>
        <v>0</v>
      </c>
      <c r="CQ250" s="14" t="n">
        <f aca="false">Helpers!CO9</f>
        <v>0</v>
      </c>
      <c r="CR250" s="14" t="n">
        <f aca="false">Helpers!CP9</f>
        <v>0</v>
      </c>
      <c r="CS250" s="14" t="n">
        <f aca="false">Helpers!CQ9</f>
        <v>0</v>
      </c>
      <c r="CT250" s="14" t="n">
        <f aca="false">Helpers!CR9</f>
        <v>0</v>
      </c>
      <c r="CU250" s="14" t="n">
        <f aca="false">Helpers!CS9</f>
        <v>0</v>
      </c>
      <c r="CV250" s="14" t="n">
        <f aca="false">Helpers!CT9</f>
        <v>0</v>
      </c>
      <c r="CW250" s="14" t="n">
        <f aca="false">Helpers!CU9</f>
        <v>0</v>
      </c>
      <c r="CX250" s="14" t="n">
        <f aca="false">Helpers!CV9</f>
        <v>0</v>
      </c>
      <c r="CY250" s="14" t="n">
        <f aca="false">Helpers!CW9</f>
        <v>0</v>
      </c>
      <c r="CZ250" s="14" t="n">
        <f aca="false">Helpers!CX9</f>
        <v>0</v>
      </c>
      <c r="DA250" s="14" t="n">
        <f aca="false">Helpers!CY9</f>
        <v>0</v>
      </c>
      <c r="DB250" s="14" t="n">
        <f aca="false">Helpers!CZ9</f>
        <v>0</v>
      </c>
      <c r="DC250" s="14" t="n">
        <f aca="false">Helpers!DA9</f>
        <v>0</v>
      </c>
      <c r="DD250" s="14" t="n">
        <f aca="false">Helpers!DB9</f>
        <v>0</v>
      </c>
      <c r="DE250" s="14" t="n">
        <f aca="false">Helpers!DC9</f>
        <v>0</v>
      </c>
    </row>
    <row r="251" customFormat="false" ht="15" hidden="false" customHeight="true" outlineLevel="0" collapsed="false">
      <c r="A251" s="29" t="s">
        <v>12</v>
      </c>
      <c r="B251" s="14"/>
      <c r="C251" s="14"/>
      <c r="D251" s="14"/>
      <c r="E251" s="14" t="n">
        <f aca="false">Helpers!C10</f>
        <v>0</v>
      </c>
      <c r="F251" s="14" t="n">
        <f aca="false">Helpers!D10</f>
        <v>0</v>
      </c>
      <c r="G251" s="14" t="n">
        <f aca="false">Helpers!E10</f>
        <v>0</v>
      </c>
      <c r="H251" s="14" t="n">
        <f aca="false">Helpers!F10</f>
        <v>0</v>
      </c>
      <c r="I251" s="14" t="n">
        <f aca="false">Helpers!G10</f>
        <v>41917600.701795</v>
      </c>
      <c r="J251" s="14" t="n">
        <f aca="false">Helpers!H10</f>
        <v>40876147.300755</v>
      </c>
      <c r="K251" s="14" t="n">
        <f aca="false">Helpers!I10</f>
        <v>39658850.21033</v>
      </c>
      <c r="L251" s="14" t="n">
        <f aca="false">Helpers!J10</f>
        <v>38257963.578055</v>
      </c>
      <c r="M251" s="14" t="n">
        <f aca="false">Helpers!K10</f>
        <v>36670834.1285</v>
      </c>
      <c r="N251" s="14" t="n">
        <f aca="false">Helpers!L10</f>
        <v>34900500.28998</v>
      </c>
      <c r="O251" s="14" t="n">
        <f aca="false">Helpers!M10</f>
        <v>32956419.70556</v>
      </c>
      <c r="P251" s="14" t="n">
        <f aca="false">Helpers!N10</f>
        <v>30854597.61735</v>
      </c>
      <c r="Q251" s="14" t="n">
        <f aca="false">Helpers!O10</f>
        <v>28617372.89268</v>
      </c>
      <c r="R251" s="14" t="n">
        <f aca="false">Helpers!P10</f>
        <v>26272947.281685</v>
      </c>
      <c r="S251" s="14" t="n">
        <f aca="false">Helpers!Q10</f>
        <v>23854187.163885</v>
      </c>
      <c r="T251" s="14" t="n">
        <f aca="false">Helpers!R10</f>
        <v>21397382.5</v>
      </c>
      <c r="U251" s="14" t="n">
        <f aca="false">Helpers!S10</f>
        <v>18940577.836115</v>
      </c>
      <c r="V251" s="14" t="n">
        <f aca="false">Helpers!T10</f>
        <v>16521817.718315</v>
      </c>
      <c r="W251" s="14" t="n">
        <f aca="false">Helpers!U10</f>
        <v>14177392.10732</v>
      </c>
      <c r="X251" s="14" t="n">
        <f aca="false">Helpers!V10</f>
        <v>11940167.38265</v>
      </c>
      <c r="Y251" s="14" t="n">
        <f aca="false">Helpers!W10</f>
        <v>9838345.29444</v>
      </c>
      <c r="Z251" s="14" t="n">
        <f aca="false">Helpers!X10</f>
        <v>7894264.71002</v>
      </c>
      <c r="AA251" s="14" t="n">
        <f aca="false">Helpers!Y10</f>
        <v>6123930.8715</v>
      </c>
      <c r="AB251" s="14" t="n">
        <f aca="false">Helpers!Z10</f>
        <v>4536801.421945</v>
      </c>
      <c r="AC251" s="14" t="n">
        <f aca="false">Helpers!AA10</f>
        <v>3135914.78967</v>
      </c>
      <c r="AD251" s="14" t="n">
        <f aca="false">Helpers!AB10</f>
        <v>1918617.699245</v>
      </c>
      <c r="AE251" s="14" t="n">
        <f aca="false">Helpers!AC10</f>
        <v>877164.298204999</v>
      </c>
      <c r="AF251" s="14" t="n">
        <f aca="false">Helpers!AD10</f>
        <v>0</v>
      </c>
      <c r="AG251" s="14" t="n">
        <f aca="false">Helpers!AE10</f>
        <v>0</v>
      </c>
      <c r="AH251" s="14" t="n">
        <f aca="false">Helpers!AF10</f>
        <v>0</v>
      </c>
      <c r="AI251" s="14" t="n">
        <f aca="false">Helpers!AG10</f>
        <v>0</v>
      </c>
      <c r="AJ251" s="14" t="n">
        <f aca="false">Helpers!AH10</f>
        <v>0</v>
      </c>
      <c r="AK251" s="14" t="n">
        <f aca="false">Helpers!AI10</f>
        <v>0</v>
      </c>
      <c r="AL251" s="14" t="n">
        <f aca="false">Helpers!AJ10</f>
        <v>0</v>
      </c>
      <c r="AM251" s="14" t="n">
        <f aca="false">Helpers!AK10</f>
        <v>0</v>
      </c>
      <c r="AN251" s="14" t="n">
        <f aca="false">Helpers!AL10</f>
        <v>0</v>
      </c>
      <c r="AO251" s="14" t="n">
        <f aca="false">Helpers!AM10</f>
        <v>0</v>
      </c>
      <c r="AP251" s="14" t="n">
        <f aca="false">Helpers!AN10</f>
        <v>0</v>
      </c>
      <c r="AQ251" s="14" t="n">
        <f aca="false">Helpers!AO10</f>
        <v>0</v>
      </c>
      <c r="AR251" s="14" t="n">
        <f aca="false">Helpers!AP10</f>
        <v>0</v>
      </c>
      <c r="AS251" s="14" t="n">
        <f aca="false">Helpers!AQ10</f>
        <v>0</v>
      </c>
      <c r="AT251" s="14" t="n">
        <f aca="false">Helpers!AR10</f>
        <v>0</v>
      </c>
      <c r="AU251" s="14" t="n">
        <f aca="false">Helpers!AS10</f>
        <v>0</v>
      </c>
      <c r="AV251" s="14" t="n">
        <f aca="false">Helpers!AT10</f>
        <v>0</v>
      </c>
      <c r="AW251" s="14" t="n">
        <f aca="false">Helpers!AU10</f>
        <v>0</v>
      </c>
      <c r="AX251" s="14" t="n">
        <f aca="false">Helpers!AV10</f>
        <v>0</v>
      </c>
      <c r="AY251" s="14" t="n">
        <f aca="false">Helpers!AW10</f>
        <v>0</v>
      </c>
      <c r="AZ251" s="14" t="n">
        <f aca="false">Helpers!AX10</f>
        <v>0</v>
      </c>
      <c r="BA251" s="14" t="n">
        <f aca="false">Helpers!AY10</f>
        <v>0</v>
      </c>
      <c r="BB251" s="14" t="n">
        <f aca="false">Helpers!AZ10</f>
        <v>0</v>
      </c>
      <c r="BC251" s="14" t="n">
        <f aca="false">Helpers!BA10</f>
        <v>0</v>
      </c>
      <c r="BD251" s="14" t="n">
        <f aca="false">Helpers!BB10</f>
        <v>0</v>
      </c>
      <c r="BE251" s="14" t="n">
        <f aca="false">Helpers!BC10</f>
        <v>0</v>
      </c>
      <c r="BF251" s="14" t="n">
        <f aca="false">Helpers!BD10</f>
        <v>0</v>
      </c>
      <c r="BG251" s="14" t="n">
        <f aca="false">Helpers!BE10</f>
        <v>0</v>
      </c>
      <c r="BH251" s="14" t="n">
        <f aca="false">Helpers!BF10</f>
        <v>0</v>
      </c>
      <c r="BI251" s="14" t="n">
        <f aca="false">Helpers!BG10</f>
        <v>0</v>
      </c>
      <c r="BJ251" s="14" t="n">
        <f aca="false">Helpers!BH10</f>
        <v>0</v>
      </c>
      <c r="BK251" s="14" t="n">
        <f aca="false">Helpers!BI10</f>
        <v>0</v>
      </c>
      <c r="BL251" s="14" t="n">
        <f aca="false">Helpers!BJ10</f>
        <v>0</v>
      </c>
      <c r="BM251" s="14" t="n">
        <f aca="false">Helpers!BK10</f>
        <v>0</v>
      </c>
      <c r="BN251" s="14" t="n">
        <f aca="false">Helpers!BL10</f>
        <v>0</v>
      </c>
      <c r="BO251" s="14" t="n">
        <f aca="false">Helpers!BM10</f>
        <v>0</v>
      </c>
      <c r="BP251" s="14" t="n">
        <f aca="false">Helpers!BN10</f>
        <v>0</v>
      </c>
      <c r="BQ251" s="14" t="n">
        <f aca="false">Helpers!BO10</f>
        <v>0</v>
      </c>
      <c r="BR251" s="14" t="n">
        <f aca="false">Helpers!BP10</f>
        <v>0</v>
      </c>
      <c r="BS251" s="14" t="n">
        <f aca="false">Helpers!BQ10</f>
        <v>0</v>
      </c>
      <c r="BT251" s="14" t="n">
        <f aca="false">Helpers!BR10</f>
        <v>0</v>
      </c>
      <c r="BU251" s="14" t="n">
        <f aca="false">Helpers!BS10</f>
        <v>0</v>
      </c>
      <c r="BV251" s="14" t="n">
        <f aca="false">Helpers!BT10</f>
        <v>0</v>
      </c>
      <c r="BW251" s="14" t="n">
        <f aca="false">Helpers!BU10</f>
        <v>0</v>
      </c>
      <c r="BX251" s="14" t="n">
        <f aca="false">Helpers!BV10</f>
        <v>0</v>
      </c>
      <c r="BY251" s="14" t="n">
        <f aca="false">Helpers!BW10</f>
        <v>0</v>
      </c>
      <c r="BZ251" s="14" t="n">
        <f aca="false">Helpers!BX10</f>
        <v>0</v>
      </c>
      <c r="CA251" s="14" t="n">
        <f aca="false">Helpers!BY10</f>
        <v>0</v>
      </c>
      <c r="CB251" s="14" t="n">
        <f aca="false">Helpers!BZ10</f>
        <v>0</v>
      </c>
      <c r="CC251" s="14" t="n">
        <f aca="false">Helpers!CA10</f>
        <v>0</v>
      </c>
      <c r="CD251" s="14" t="n">
        <f aca="false">Helpers!CB10</f>
        <v>0</v>
      </c>
      <c r="CE251" s="14" t="n">
        <f aca="false">Helpers!CC10</f>
        <v>0</v>
      </c>
      <c r="CF251" s="14" t="n">
        <f aca="false">Helpers!CD10</f>
        <v>0</v>
      </c>
      <c r="CG251" s="14" t="n">
        <f aca="false">Helpers!CE10</f>
        <v>0</v>
      </c>
      <c r="CH251" s="14" t="n">
        <f aca="false">Helpers!CF10</f>
        <v>0</v>
      </c>
      <c r="CI251" s="14" t="n">
        <f aca="false">Helpers!CG10</f>
        <v>0</v>
      </c>
      <c r="CJ251" s="14" t="n">
        <f aca="false">Helpers!CH10</f>
        <v>0</v>
      </c>
      <c r="CK251" s="14" t="n">
        <f aca="false">Helpers!CI10</f>
        <v>0</v>
      </c>
      <c r="CL251" s="14" t="n">
        <f aca="false">Helpers!CJ10</f>
        <v>0</v>
      </c>
      <c r="CM251" s="14" t="n">
        <f aca="false">Helpers!CK10</f>
        <v>0</v>
      </c>
      <c r="CN251" s="14" t="n">
        <f aca="false">Helpers!CL10</f>
        <v>0</v>
      </c>
      <c r="CO251" s="14" t="n">
        <f aca="false">Helpers!CM10</f>
        <v>0</v>
      </c>
      <c r="CP251" s="14" t="n">
        <f aca="false">Helpers!CN10</f>
        <v>0</v>
      </c>
      <c r="CQ251" s="14" t="n">
        <f aca="false">Helpers!CO10</f>
        <v>0</v>
      </c>
      <c r="CR251" s="14" t="n">
        <f aca="false">Helpers!CP10</f>
        <v>0</v>
      </c>
      <c r="CS251" s="14" t="n">
        <f aca="false">Helpers!CQ10</f>
        <v>0</v>
      </c>
      <c r="CT251" s="14" t="n">
        <f aca="false">Helpers!CR10</f>
        <v>0</v>
      </c>
      <c r="CU251" s="14" t="n">
        <f aca="false">Helpers!CS10</f>
        <v>0</v>
      </c>
      <c r="CV251" s="14" t="n">
        <f aca="false">Helpers!CT10</f>
        <v>0</v>
      </c>
      <c r="CW251" s="14" t="n">
        <f aca="false">Helpers!CU10</f>
        <v>0</v>
      </c>
      <c r="CX251" s="14" t="n">
        <f aca="false">Helpers!CV10</f>
        <v>0</v>
      </c>
      <c r="CY251" s="14" t="n">
        <f aca="false">Helpers!CW10</f>
        <v>0</v>
      </c>
      <c r="CZ251" s="14" t="n">
        <f aca="false">Helpers!CX10</f>
        <v>0</v>
      </c>
      <c r="DA251" s="14" t="n">
        <f aca="false">Helpers!CY10</f>
        <v>0</v>
      </c>
      <c r="DB251" s="14" t="n">
        <f aca="false">Helpers!CZ10</f>
        <v>0</v>
      </c>
      <c r="DC251" s="14" t="n">
        <f aca="false">Helpers!DA10</f>
        <v>0</v>
      </c>
      <c r="DD251" s="14" t="n">
        <f aca="false">Helpers!DB10</f>
        <v>0</v>
      </c>
      <c r="DE251" s="14" t="n">
        <f aca="false">Helpers!DC10</f>
        <v>0</v>
      </c>
    </row>
    <row r="252" customFormat="false" ht="15" hidden="false" customHeight="true" outlineLevel="0" collapsed="false">
      <c r="A252" s="29" t="s">
        <v>13</v>
      </c>
      <c r="B252" s="14"/>
      <c r="C252" s="14"/>
      <c r="D252" s="14"/>
      <c r="E252" s="14" t="n">
        <f aca="false">Helpers!C11</f>
        <v>0</v>
      </c>
      <c r="F252" s="14" t="n">
        <f aca="false">Helpers!D11</f>
        <v>0</v>
      </c>
      <c r="G252" s="14" t="n">
        <f aca="false">Helpers!E11</f>
        <v>0</v>
      </c>
      <c r="H252" s="14" t="n">
        <f aca="false">Helpers!F11</f>
        <v>0</v>
      </c>
      <c r="I252" s="14" t="n">
        <f aca="false">Helpers!G11</f>
        <v>12649220.0904822</v>
      </c>
      <c r="J252" s="14" t="n">
        <f aca="false">Helpers!H11</f>
        <v>12223530.9933081</v>
      </c>
      <c r="K252" s="14" t="n">
        <f aca="false">Helpers!I11</f>
        <v>11710510.727302</v>
      </c>
      <c r="L252" s="14" t="n">
        <f aca="false">Helpers!J11</f>
        <v>11107443.5932694</v>
      </c>
      <c r="M252" s="14" t="n">
        <f aca="false">Helpers!K11</f>
        <v>10415940.8194405</v>
      </c>
      <c r="N252" s="14" t="n">
        <f aca="false">Helpers!L11</f>
        <v>9642525.2813924</v>
      </c>
      <c r="O252" s="14" t="n">
        <f aca="false">Helpers!M11</f>
        <v>8798748.44603355</v>
      </c>
      <c r="P252" s="14" t="n">
        <f aca="false">Helpers!N11</f>
        <v>7900826.54587435</v>
      </c>
      <c r="Q252" s="14" t="n">
        <f aca="false">Helpers!O11</f>
        <v>6968757.00225575</v>
      </c>
      <c r="R252" s="14" t="n">
        <f aca="false">Helpers!P11</f>
        <v>6025019.04774425</v>
      </c>
      <c r="S252" s="14" t="n">
        <f aca="false">Helpers!Q11</f>
        <v>5092949.50412565</v>
      </c>
      <c r="T252" s="14" t="n">
        <f aca="false">Helpers!R11</f>
        <v>4195027.60396645</v>
      </c>
      <c r="U252" s="14" t="n">
        <f aca="false">Helpers!S11</f>
        <v>3351250.7686076</v>
      </c>
      <c r="V252" s="14" t="n">
        <f aca="false">Helpers!T11</f>
        <v>2577835.2305595</v>
      </c>
      <c r="W252" s="14" t="n">
        <f aca="false">Helpers!U11</f>
        <v>1886332.4567306</v>
      </c>
      <c r="X252" s="14" t="n">
        <f aca="false">Helpers!V11</f>
        <v>1283265.322698</v>
      </c>
      <c r="Y252" s="14" t="n">
        <f aca="false">Helpers!W11</f>
        <v>770245.056691899</v>
      </c>
      <c r="Z252" s="14" t="n">
        <f aca="false">Helpers!X11</f>
        <v>344555.95951785</v>
      </c>
      <c r="AA252" s="14" t="n">
        <f aca="false">Helpers!Y11</f>
        <v>0</v>
      </c>
      <c r="AB252" s="14" t="n">
        <f aca="false">Helpers!Z11</f>
        <v>0</v>
      </c>
      <c r="AC252" s="14" t="n">
        <f aca="false">Helpers!AA11</f>
        <v>0</v>
      </c>
      <c r="AD252" s="14" t="n">
        <f aca="false">Helpers!AB11</f>
        <v>0</v>
      </c>
      <c r="AE252" s="14" t="n">
        <f aca="false">Helpers!AC11</f>
        <v>0</v>
      </c>
      <c r="AF252" s="14" t="n">
        <f aca="false">Helpers!AD11</f>
        <v>0</v>
      </c>
      <c r="AG252" s="14" t="n">
        <f aca="false">Helpers!AE11</f>
        <v>0</v>
      </c>
      <c r="AH252" s="14" t="n">
        <f aca="false">Helpers!AF11</f>
        <v>0</v>
      </c>
      <c r="AI252" s="14" t="n">
        <f aca="false">Helpers!AG11</f>
        <v>0</v>
      </c>
      <c r="AJ252" s="14" t="n">
        <f aca="false">Helpers!AH11</f>
        <v>0</v>
      </c>
      <c r="AK252" s="14" t="n">
        <f aca="false">Helpers!AI11</f>
        <v>0</v>
      </c>
      <c r="AL252" s="14" t="n">
        <f aca="false">Helpers!AJ11</f>
        <v>0</v>
      </c>
      <c r="AM252" s="14" t="n">
        <f aca="false">Helpers!AK11</f>
        <v>0</v>
      </c>
      <c r="AN252" s="14" t="n">
        <f aca="false">Helpers!AL11</f>
        <v>0</v>
      </c>
      <c r="AO252" s="14" t="n">
        <f aca="false">Helpers!AM11</f>
        <v>0</v>
      </c>
      <c r="AP252" s="14" t="n">
        <f aca="false">Helpers!AN11</f>
        <v>0</v>
      </c>
      <c r="AQ252" s="14" t="n">
        <f aca="false">Helpers!AO11</f>
        <v>0</v>
      </c>
      <c r="AR252" s="14" t="n">
        <f aca="false">Helpers!AP11</f>
        <v>0</v>
      </c>
      <c r="AS252" s="14" t="n">
        <f aca="false">Helpers!AQ11</f>
        <v>0</v>
      </c>
      <c r="AT252" s="14" t="n">
        <f aca="false">Helpers!AR11</f>
        <v>0</v>
      </c>
      <c r="AU252" s="14" t="n">
        <f aca="false">Helpers!AS11</f>
        <v>0</v>
      </c>
      <c r="AV252" s="14" t="n">
        <f aca="false">Helpers!AT11</f>
        <v>0</v>
      </c>
      <c r="AW252" s="14" t="n">
        <f aca="false">Helpers!AU11</f>
        <v>0</v>
      </c>
      <c r="AX252" s="14" t="n">
        <f aca="false">Helpers!AV11</f>
        <v>0</v>
      </c>
      <c r="AY252" s="14" t="n">
        <f aca="false">Helpers!AW11</f>
        <v>0</v>
      </c>
      <c r="AZ252" s="14" t="n">
        <f aca="false">Helpers!AX11</f>
        <v>0</v>
      </c>
      <c r="BA252" s="14" t="n">
        <f aca="false">Helpers!AY11</f>
        <v>0</v>
      </c>
      <c r="BB252" s="14" t="n">
        <f aca="false">Helpers!AZ11</f>
        <v>0</v>
      </c>
      <c r="BC252" s="14" t="n">
        <f aca="false">Helpers!BA11</f>
        <v>0</v>
      </c>
      <c r="BD252" s="14" t="n">
        <f aca="false">Helpers!BB11</f>
        <v>0</v>
      </c>
      <c r="BE252" s="14" t="n">
        <f aca="false">Helpers!BC11</f>
        <v>0</v>
      </c>
      <c r="BF252" s="14" t="n">
        <f aca="false">Helpers!BD11</f>
        <v>0</v>
      </c>
      <c r="BG252" s="14" t="n">
        <f aca="false">Helpers!BE11</f>
        <v>0</v>
      </c>
      <c r="BH252" s="14" t="n">
        <f aca="false">Helpers!BF11</f>
        <v>0</v>
      </c>
      <c r="BI252" s="14" t="n">
        <f aca="false">Helpers!BG11</f>
        <v>0</v>
      </c>
      <c r="BJ252" s="14" t="n">
        <f aca="false">Helpers!BH11</f>
        <v>0</v>
      </c>
      <c r="BK252" s="14" t="n">
        <f aca="false">Helpers!BI11</f>
        <v>0</v>
      </c>
      <c r="BL252" s="14" t="n">
        <f aca="false">Helpers!BJ11</f>
        <v>0</v>
      </c>
      <c r="BM252" s="14" t="n">
        <f aca="false">Helpers!BK11</f>
        <v>0</v>
      </c>
      <c r="BN252" s="14" t="n">
        <f aca="false">Helpers!BL11</f>
        <v>0</v>
      </c>
      <c r="BO252" s="14" t="n">
        <f aca="false">Helpers!BM11</f>
        <v>0</v>
      </c>
      <c r="BP252" s="14" t="n">
        <f aca="false">Helpers!BN11</f>
        <v>0</v>
      </c>
      <c r="BQ252" s="14" t="n">
        <f aca="false">Helpers!BO11</f>
        <v>0</v>
      </c>
      <c r="BR252" s="14" t="n">
        <f aca="false">Helpers!BP11</f>
        <v>0</v>
      </c>
      <c r="BS252" s="14" t="n">
        <f aca="false">Helpers!BQ11</f>
        <v>0</v>
      </c>
      <c r="BT252" s="14" t="n">
        <f aca="false">Helpers!BR11</f>
        <v>0</v>
      </c>
      <c r="BU252" s="14" t="n">
        <f aca="false">Helpers!BS11</f>
        <v>0</v>
      </c>
      <c r="BV252" s="14" t="n">
        <f aca="false">Helpers!BT11</f>
        <v>0</v>
      </c>
      <c r="BW252" s="14" t="n">
        <f aca="false">Helpers!BU11</f>
        <v>0</v>
      </c>
      <c r="BX252" s="14" t="n">
        <f aca="false">Helpers!BV11</f>
        <v>0</v>
      </c>
      <c r="BY252" s="14" t="n">
        <f aca="false">Helpers!BW11</f>
        <v>0</v>
      </c>
      <c r="BZ252" s="14" t="n">
        <f aca="false">Helpers!BX11</f>
        <v>0</v>
      </c>
      <c r="CA252" s="14" t="n">
        <f aca="false">Helpers!BY11</f>
        <v>0</v>
      </c>
      <c r="CB252" s="14" t="n">
        <f aca="false">Helpers!BZ11</f>
        <v>0</v>
      </c>
      <c r="CC252" s="14" t="n">
        <f aca="false">Helpers!CA11</f>
        <v>0</v>
      </c>
      <c r="CD252" s="14" t="n">
        <f aca="false">Helpers!CB11</f>
        <v>0</v>
      </c>
      <c r="CE252" s="14" t="n">
        <f aca="false">Helpers!CC11</f>
        <v>0</v>
      </c>
      <c r="CF252" s="14" t="n">
        <f aca="false">Helpers!CD11</f>
        <v>0</v>
      </c>
      <c r="CG252" s="14" t="n">
        <f aca="false">Helpers!CE11</f>
        <v>0</v>
      </c>
      <c r="CH252" s="14" t="n">
        <f aca="false">Helpers!CF11</f>
        <v>0</v>
      </c>
      <c r="CI252" s="14" t="n">
        <f aca="false">Helpers!CG11</f>
        <v>0</v>
      </c>
      <c r="CJ252" s="14" t="n">
        <f aca="false">Helpers!CH11</f>
        <v>0</v>
      </c>
      <c r="CK252" s="14" t="n">
        <f aca="false">Helpers!CI11</f>
        <v>0</v>
      </c>
      <c r="CL252" s="14" t="n">
        <f aca="false">Helpers!CJ11</f>
        <v>0</v>
      </c>
      <c r="CM252" s="14" t="n">
        <f aca="false">Helpers!CK11</f>
        <v>0</v>
      </c>
      <c r="CN252" s="14" t="n">
        <f aca="false">Helpers!CL11</f>
        <v>0</v>
      </c>
      <c r="CO252" s="14" t="n">
        <f aca="false">Helpers!CM11</f>
        <v>0</v>
      </c>
      <c r="CP252" s="14" t="n">
        <f aca="false">Helpers!CN11</f>
        <v>0</v>
      </c>
      <c r="CQ252" s="14" t="n">
        <f aca="false">Helpers!CO11</f>
        <v>0</v>
      </c>
      <c r="CR252" s="14" t="n">
        <f aca="false">Helpers!CP11</f>
        <v>0</v>
      </c>
      <c r="CS252" s="14" t="n">
        <f aca="false">Helpers!CQ11</f>
        <v>0</v>
      </c>
      <c r="CT252" s="14" t="n">
        <f aca="false">Helpers!CR11</f>
        <v>0</v>
      </c>
      <c r="CU252" s="14" t="n">
        <f aca="false">Helpers!CS11</f>
        <v>0</v>
      </c>
      <c r="CV252" s="14" t="n">
        <f aca="false">Helpers!CT11</f>
        <v>0</v>
      </c>
      <c r="CW252" s="14" t="n">
        <f aca="false">Helpers!CU11</f>
        <v>0</v>
      </c>
      <c r="CX252" s="14" t="n">
        <f aca="false">Helpers!CV11</f>
        <v>0</v>
      </c>
      <c r="CY252" s="14" t="n">
        <f aca="false">Helpers!CW11</f>
        <v>0</v>
      </c>
      <c r="CZ252" s="14" t="n">
        <f aca="false">Helpers!CX11</f>
        <v>0</v>
      </c>
      <c r="DA252" s="14" t="n">
        <f aca="false">Helpers!CY11</f>
        <v>0</v>
      </c>
      <c r="DB252" s="14" t="n">
        <f aca="false">Helpers!CZ11</f>
        <v>0</v>
      </c>
      <c r="DC252" s="14" t="n">
        <f aca="false">Helpers!DA11</f>
        <v>0</v>
      </c>
      <c r="DD252" s="14" t="n">
        <f aca="false">Helpers!DB11</f>
        <v>0</v>
      </c>
      <c r="DE252" s="14" t="n">
        <f aca="false">Helpers!DC11</f>
        <v>0</v>
      </c>
    </row>
    <row r="253" customFormat="false" ht="15" hidden="false" customHeight="true" outlineLevel="0" collapsed="false">
      <c r="A253" s="29" t="s">
        <v>14</v>
      </c>
      <c r="B253" s="14"/>
      <c r="C253" s="14"/>
      <c r="D253" s="14"/>
      <c r="E253" s="14" t="n">
        <f aca="false">Helpers!C12</f>
        <v>0</v>
      </c>
      <c r="F253" s="14" t="n">
        <f aca="false">Helpers!D12</f>
        <v>0</v>
      </c>
      <c r="G253" s="14" t="n">
        <f aca="false">Helpers!E12</f>
        <v>0</v>
      </c>
      <c r="H253" s="14" t="n">
        <f aca="false">Helpers!F12</f>
        <v>0</v>
      </c>
      <c r="I253" s="14" t="n">
        <f aca="false">Helpers!G12</f>
        <v>14106170.5891092</v>
      </c>
      <c r="J253" s="14" t="n">
        <f aca="false">Helpers!H12</f>
        <v>13840677.8231148</v>
      </c>
      <c r="K253" s="14" t="n">
        <f aca="false">Helpers!I12</f>
        <v>13538353.2763752</v>
      </c>
      <c r="L253" s="14" t="n">
        <f aca="false">Helpers!J12</f>
        <v>13197519.5186268</v>
      </c>
      <c r="M253" s="14" t="n">
        <f aca="false">Helpers!K12</f>
        <v>12817086.9370488</v>
      </c>
      <c r="N253" s="14" t="n">
        <f aca="false">Helpers!L12</f>
        <v>12396682.7693604</v>
      </c>
      <c r="O253" s="14" t="n">
        <f aca="false">Helpers!M12</f>
        <v>11936722.7888748</v>
      </c>
      <c r="P253" s="14" t="n">
        <f aca="false">Helpers!N12</f>
        <v>11438482.9895532</v>
      </c>
      <c r="Q253" s="14" t="n">
        <f aca="false">Helpers!O12</f>
        <v>10904156.934048</v>
      </c>
      <c r="R253" s="14" t="n">
        <f aca="false">Helpers!P12</f>
        <v>10336812.7426704</v>
      </c>
      <c r="S253" s="14" t="n">
        <f aca="false">Helpers!Q12</f>
        <v>9740407.4304012</v>
      </c>
      <c r="T253" s="14" t="n">
        <f aca="false">Helpers!R12</f>
        <v>9119686.5478152</v>
      </c>
      <c r="U253" s="14" t="n">
        <f aca="false">Helpers!S12</f>
        <v>8480069.4849948</v>
      </c>
      <c r="V253" s="14" t="n">
        <f aca="false">Helpers!T12</f>
        <v>7827549.1124544</v>
      </c>
      <c r="W253" s="14" t="n">
        <f aca="false">Helpers!U12</f>
        <v>7168476.7259784</v>
      </c>
      <c r="X253" s="14" t="n">
        <f aca="false">Helpers!V12</f>
        <v>6509404.3395024</v>
      </c>
      <c r="Y253" s="14" t="n">
        <f aca="false">Helpers!W12</f>
        <v>5856883.966962</v>
      </c>
      <c r="Z253" s="14" t="n">
        <f aca="false">Helpers!X12</f>
        <v>5217266.9041416</v>
      </c>
      <c r="AA253" s="14" t="n">
        <f aca="false">Helpers!Y12</f>
        <v>4596546.0215556</v>
      </c>
      <c r="AB253" s="14" t="n">
        <f aca="false">Helpers!Z12</f>
        <v>4000140.7092864</v>
      </c>
      <c r="AC253" s="14" t="n">
        <f aca="false">Helpers!AA12</f>
        <v>3432796.5179088</v>
      </c>
      <c r="AD253" s="14" t="n">
        <f aca="false">Helpers!AB12</f>
        <v>2898470.4624036</v>
      </c>
      <c r="AE253" s="14" t="n">
        <f aca="false">Helpers!AC12</f>
        <v>2400230.663082</v>
      </c>
      <c r="AF253" s="14" t="n">
        <f aca="false">Helpers!AD12</f>
        <v>1940270.6825964</v>
      </c>
      <c r="AG253" s="14" t="n">
        <f aca="false">Helpers!AE12</f>
        <v>1519866.514908</v>
      </c>
      <c r="AH253" s="14" t="n">
        <f aca="false">Helpers!AF12</f>
        <v>1139433.93333</v>
      </c>
      <c r="AI253" s="14" t="n">
        <f aca="false">Helpers!AG12</f>
        <v>798600.175581601</v>
      </c>
      <c r="AJ253" s="14" t="n">
        <f aca="false">Helpers!AH12</f>
        <v>496275.628842001</v>
      </c>
      <c r="AK253" s="14" t="n">
        <f aca="false">Helpers!AI12</f>
        <v>230782.8628476</v>
      </c>
      <c r="AL253" s="14" t="n">
        <f aca="false">Helpers!AJ12</f>
        <v>-57.3480431984656</v>
      </c>
      <c r="AM253" s="14" t="n">
        <f aca="false">Helpers!AK12</f>
        <v>0</v>
      </c>
      <c r="AN253" s="14" t="n">
        <f aca="false">Helpers!AL12</f>
        <v>0</v>
      </c>
      <c r="AO253" s="14" t="n">
        <f aca="false">Helpers!AM12</f>
        <v>0</v>
      </c>
      <c r="AP253" s="14" t="n">
        <f aca="false">Helpers!AN12</f>
        <v>0</v>
      </c>
      <c r="AQ253" s="14" t="n">
        <f aca="false">Helpers!AO12</f>
        <v>0</v>
      </c>
      <c r="AR253" s="14" t="n">
        <f aca="false">Helpers!AP12</f>
        <v>0</v>
      </c>
      <c r="AS253" s="14" t="n">
        <f aca="false">Helpers!AQ12</f>
        <v>0</v>
      </c>
      <c r="AT253" s="14" t="n">
        <f aca="false">Helpers!AR12</f>
        <v>0</v>
      </c>
      <c r="AU253" s="14" t="n">
        <f aca="false">Helpers!AS12</f>
        <v>0</v>
      </c>
      <c r="AV253" s="14" t="n">
        <f aca="false">Helpers!AT12</f>
        <v>0</v>
      </c>
      <c r="AW253" s="14" t="n">
        <f aca="false">Helpers!AU12</f>
        <v>0</v>
      </c>
      <c r="AX253" s="14" t="n">
        <f aca="false">Helpers!AV12</f>
        <v>0</v>
      </c>
      <c r="AY253" s="14" t="n">
        <f aca="false">Helpers!AW12</f>
        <v>0</v>
      </c>
      <c r="AZ253" s="14" t="n">
        <f aca="false">Helpers!AX12</f>
        <v>0</v>
      </c>
      <c r="BA253" s="14" t="n">
        <f aca="false">Helpers!AY12</f>
        <v>0</v>
      </c>
      <c r="BB253" s="14" t="n">
        <f aca="false">Helpers!AZ12</f>
        <v>0</v>
      </c>
      <c r="BC253" s="14" t="n">
        <f aca="false">Helpers!BA12</f>
        <v>0</v>
      </c>
      <c r="BD253" s="14" t="n">
        <f aca="false">Helpers!BB12</f>
        <v>0</v>
      </c>
      <c r="BE253" s="14" t="n">
        <f aca="false">Helpers!BC12</f>
        <v>0</v>
      </c>
      <c r="BF253" s="14" t="n">
        <f aca="false">Helpers!BD12</f>
        <v>0</v>
      </c>
      <c r="BG253" s="14" t="n">
        <f aca="false">Helpers!BE12</f>
        <v>0</v>
      </c>
      <c r="BH253" s="14" t="n">
        <f aca="false">Helpers!BF12</f>
        <v>0</v>
      </c>
      <c r="BI253" s="14" t="n">
        <f aca="false">Helpers!BG12</f>
        <v>0</v>
      </c>
      <c r="BJ253" s="14" t="n">
        <f aca="false">Helpers!BH12</f>
        <v>0</v>
      </c>
      <c r="BK253" s="14" t="n">
        <f aca="false">Helpers!BI12</f>
        <v>0</v>
      </c>
      <c r="BL253" s="14" t="n">
        <f aca="false">Helpers!BJ12</f>
        <v>0</v>
      </c>
      <c r="BM253" s="14" t="n">
        <f aca="false">Helpers!BK12</f>
        <v>0</v>
      </c>
      <c r="BN253" s="14" t="n">
        <f aca="false">Helpers!BL12</f>
        <v>0</v>
      </c>
      <c r="BO253" s="14" t="n">
        <f aca="false">Helpers!BM12</f>
        <v>0</v>
      </c>
      <c r="BP253" s="14" t="n">
        <f aca="false">Helpers!BN12</f>
        <v>0</v>
      </c>
      <c r="BQ253" s="14" t="n">
        <f aca="false">Helpers!BO12</f>
        <v>0</v>
      </c>
      <c r="BR253" s="14" t="n">
        <f aca="false">Helpers!BP12</f>
        <v>0</v>
      </c>
      <c r="BS253" s="14" t="n">
        <f aca="false">Helpers!BQ12</f>
        <v>0</v>
      </c>
      <c r="BT253" s="14" t="n">
        <f aca="false">Helpers!BR12</f>
        <v>0</v>
      </c>
      <c r="BU253" s="14" t="n">
        <f aca="false">Helpers!BS12</f>
        <v>0</v>
      </c>
      <c r="BV253" s="14" t="n">
        <f aca="false">Helpers!BT12</f>
        <v>0</v>
      </c>
      <c r="BW253" s="14" t="n">
        <f aca="false">Helpers!BU12</f>
        <v>0</v>
      </c>
      <c r="BX253" s="14" t="n">
        <f aca="false">Helpers!BV12</f>
        <v>0</v>
      </c>
      <c r="BY253" s="14" t="n">
        <f aca="false">Helpers!BW12</f>
        <v>0</v>
      </c>
      <c r="BZ253" s="14" t="n">
        <f aca="false">Helpers!BX12</f>
        <v>0</v>
      </c>
      <c r="CA253" s="14" t="n">
        <f aca="false">Helpers!BY12</f>
        <v>0</v>
      </c>
      <c r="CB253" s="14" t="n">
        <f aca="false">Helpers!BZ12</f>
        <v>0</v>
      </c>
      <c r="CC253" s="14" t="n">
        <f aca="false">Helpers!CA12</f>
        <v>0</v>
      </c>
      <c r="CD253" s="14" t="n">
        <f aca="false">Helpers!CB12</f>
        <v>0</v>
      </c>
      <c r="CE253" s="14" t="n">
        <f aca="false">Helpers!CC12</f>
        <v>0</v>
      </c>
      <c r="CF253" s="14" t="n">
        <f aca="false">Helpers!CD12</f>
        <v>0</v>
      </c>
      <c r="CG253" s="14" t="n">
        <f aca="false">Helpers!CE12</f>
        <v>0</v>
      </c>
      <c r="CH253" s="14" t="n">
        <f aca="false">Helpers!CF12</f>
        <v>0</v>
      </c>
      <c r="CI253" s="14" t="n">
        <f aca="false">Helpers!CG12</f>
        <v>0</v>
      </c>
      <c r="CJ253" s="14" t="n">
        <f aca="false">Helpers!CH12</f>
        <v>0</v>
      </c>
      <c r="CK253" s="14" t="n">
        <f aca="false">Helpers!CI12</f>
        <v>0</v>
      </c>
      <c r="CL253" s="14" t="n">
        <f aca="false">Helpers!CJ12</f>
        <v>0</v>
      </c>
      <c r="CM253" s="14" t="n">
        <f aca="false">Helpers!CK12</f>
        <v>0</v>
      </c>
      <c r="CN253" s="14" t="n">
        <f aca="false">Helpers!CL12</f>
        <v>0</v>
      </c>
      <c r="CO253" s="14" t="n">
        <f aca="false">Helpers!CM12</f>
        <v>0</v>
      </c>
      <c r="CP253" s="14" t="n">
        <f aca="false">Helpers!CN12</f>
        <v>0</v>
      </c>
      <c r="CQ253" s="14" t="n">
        <f aca="false">Helpers!CO12</f>
        <v>0</v>
      </c>
      <c r="CR253" s="14" t="n">
        <f aca="false">Helpers!CP12</f>
        <v>0</v>
      </c>
      <c r="CS253" s="14" t="n">
        <f aca="false">Helpers!CQ12</f>
        <v>0</v>
      </c>
      <c r="CT253" s="14" t="n">
        <f aca="false">Helpers!CR12</f>
        <v>0</v>
      </c>
      <c r="CU253" s="14" t="n">
        <f aca="false">Helpers!CS12</f>
        <v>0</v>
      </c>
      <c r="CV253" s="14" t="n">
        <f aca="false">Helpers!CT12</f>
        <v>0</v>
      </c>
      <c r="CW253" s="14" t="n">
        <f aca="false">Helpers!CU12</f>
        <v>0</v>
      </c>
      <c r="CX253" s="14" t="n">
        <f aca="false">Helpers!CV12</f>
        <v>0</v>
      </c>
      <c r="CY253" s="14" t="n">
        <f aca="false">Helpers!CW12</f>
        <v>0</v>
      </c>
      <c r="CZ253" s="14" t="n">
        <f aca="false">Helpers!CX12</f>
        <v>0</v>
      </c>
      <c r="DA253" s="14" t="n">
        <f aca="false">Helpers!CY12</f>
        <v>0</v>
      </c>
      <c r="DB253" s="14" t="n">
        <f aca="false">Helpers!CZ12</f>
        <v>0</v>
      </c>
      <c r="DC253" s="14" t="n">
        <f aca="false">Helpers!DA12</f>
        <v>0</v>
      </c>
      <c r="DD253" s="14" t="n">
        <f aca="false">Helpers!DB12</f>
        <v>0</v>
      </c>
      <c r="DE253" s="14" t="n">
        <f aca="false">Helpers!DC12</f>
        <v>0</v>
      </c>
    </row>
    <row r="254" customFormat="false" ht="15" hidden="false" customHeight="true" outlineLevel="0" collapsed="false">
      <c r="A254" s="29" t="s">
        <v>15</v>
      </c>
      <c r="B254" s="14"/>
      <c r="C254" s="14"/>
      <c r="D254" s="14"/>
      <c r="E254" s="14" t="n">
        <f aca="false">Helpers!C13</f>
        <v>0</v>
      </c>
      <c r="F254" s="14" t="n">
        <f aca="false">Helpers!D13</f>
        <v>0</v>
      </c>
      <c r="G254" s="14" t="n">
        <f aca="false">Helpers!E13</f>
        <v>0</v>
      </c>
      <c r="H254" s="14" t="n">
        <f aca="false">Helpers!F13</f>
        <v>0</v>
      </c>
      <c r="I254" s="14" t="n">
        <f aca="false">Helpers!G13</f>
        <v>0</v>
      </c>
      <c r="J254" s="14" t="n">
        <f aca="false">Helpers!H13</f>
        <v>20699563.289615</v>
      </c>
      <c r="K254" s="14" t="n">
        <f aca="false">Helpers!I13</f>
        <v>20002952.87841</v>
      </c>
      <c r="L254" s="14" t="n">
        <f aca="false">Helpers!J13</f>
        <v>19163431.1222</v>
      </c>
      <c r="M254" s="14" t="n">
        <f aca="false">Helpers!K13</f>
        <v>18176553.96934</v>
      </c>
      <c r="N254" s="14" t="n">
        <f aca="false">Helpers!L13</f>
        <v>17044958.08205</v>
      </c>
      <c r="O254" s="14" t="n">
        <f aca="false">Helpers!M13</f>
        <v>15779317.68964</v>
      </c>
      <c r="P254" s="14" t="n">
        <f aca="false">Helpers!N13</f>
        <v>14398535.959155</v>
      </c>
      <c r="Q254" s="14" t="n">
        <f aca="false">Helpers!O13</f>
        <v>12929149.620035</v>
      </c>
      <c r="R254" s="14" t="n">
        <f aca="false">Helpers!P13</f>
        <v>11403883.052575</v>
      </c>
      <c r="S254" s="14" t="n">
        <f aca="false">Helpers!Q13</f>
        <v>9859521.947425</v>
      </c>
      <c r="T254" s="14" t="n">
        <f aca="false">Helpers!R13</f>
        <v>8334255.379965</v>
      </c>
      <c r="U254" s="14" t="n">
        <f aca="false">Helpers!S13</f>
        <v>6864869.040845</v>
      </c>
      <c r="V254" s="14" t="n">
        <f aca="false">Helpers!T13</f>
        <v>5484087.31036</v>
      </c>
      <c r="W254" s="14" t="n">
        <f aca="false">Helpers!U13</f>
        <v>4218446.91795</v>
      </c>
      <c r="X254" s="14" t="n">
        <f aca="false">Helpers!V13</f>
        <v>3086851.03066</v>
      </c>
      <c r="Y254" s="14" t="n">
        <f aca="false">Helpers!W13</f>
        <v>2099973.8778</v>
      </c>
      <c r="Z254" s="14" t="n">
        <f aca="false">Helpers!X13</f>
        <v>1260452.12159</v>
      </c>
      <c r="AA254" s="14" t="n">
        <f aca="false">Helpers!Y13</f>
        <v>563841.710385</v>
      </c>
      <c r="AB254" s="14" t="n">
        <f aca="false">Helpers!Z13</f>
        <v>0</v>
      </c>
      <c r="AC254" s="14" t="n">
        <f aca="false">Helpers!AA13</f>
        <v>0</v>
      </c>
      <c r="AD254" s="14" t="n">
        <f aca="false">Helpers!AB13</f>
        <v>0</v>
      </c>
      <c r="AE254" s="14" t="n">
        <f aca="false">Helpers!AC13</f>
        <v>0</v>
      </c>
      <c r="AF254" s="14" t="n">
        <f aca="false">Helpers!AD13</f>
        <v>0</v>
      </c>
      <c r="AG254" s="14" t="n">
        <f aca="false">Helpers!AE13</f>
        <v>0</v>
      </c>
      <c r="AH254" s="14" t="n">
        <f aca="false">Helpers!AF13</f>
        <v>0</v>
      </c>
      <c r="AI254" s="14" t="n">
        <f aca="false">Helpers!AG13</f>
        <v>0</v>
      </c>
      <c r="AJ254" s="14" t="n">
        <f aca="false">Helpers!AH13</f>
        <v>0</v>
      </c>
      <c r="AK254" s="14" t="n">
        <f aca="false">Helpers!AI13</f>
        <v>0</v>
      </c>
      <c r="AL254" s="14" t="n">
        <f aca="false">Helpers!AJ13</f>
        <v>0</v>
      </c>
      <c r="AM254" s="14" t="n">
        <f aca="false">Helpers!AK13</f>
        <v>0</v>
      </c>
      <c r="AN254" s="14" t="n">
        <f aca="false">Helpers!AL13</f>
        <v>0</v>
      </c>
      <c r="AO254" s="14" t="n">
        <f aca="false">Helpers!AM13</f>
        <v>0</v>
      </c>
      <c r="AP254" s="14" t="n">
        <f aca="false">Helpers!AN13</f>
        <v>0</v>
      </c>
      <c r="AQ254" s="14" t="n">
        <f aca="false">Helpers!AO13</f>
        <v>0</v>
      </c>
      <c r="AR254" s="14" t="n">
        <f aca="false">Helpers!AP13</f>
        <v>0</v>
      </c>
      <c r="AS254" s="14" t="n">
        <f aca="false">Helpers!AQ13</f>
        <v>0</v>
      </c>
      <c r="AT254" s="14" t="n">
        <f aca="false">Helpers!AR13</f>
        <v>0</v>
      </c>
      <c r="AU254" s="14" t="n">
        <f aca="false">Helpers!AS13</f>
        <v>0</v>
      </c>
      <c r="AV254" s="14" t="n">
        <f aca="false">Helpers!AT13</f>
        <v>0</v>
      </c>
      <c r="AW254" s="14" t="n">
        <f aca="false">Helpers!AU13</f>
        <v>0</v>
      </c>
      <c r="AX254" s="14" t="n">
        <f aca="false">Helpers!AV13</f>
        <v>0</v>
      </c>
      <c r="AY254" s="14" t="n">
        <f aca="false">Helpers!AW13</f>
        <v>0</v>
      </c>
      <c r="AZ254" s="14" t="n">
        <f aca="false">Helpers!AX13</f>
        <v>0</v>
      </c>
      <c r="BA254" s="14" t="n">
        <f aca="false">Helpers!AY13</f>
        <v>0</v>
      </c>
      <c r="BB254" s="14" t="n">
        <f aca="false">Helpers!AZ13</f>
        <v>0</v>
      </c>
      <c r="BC254" s="14" t="n">
        <f aca="false">Helpers!BA13</f>
        <v>0</v>
      </c>
      <c r="BD254" s="14" t="n">
        <f aca="false">Helpers!BB13</f>
        <v>0</v>
      </c>
      <c r="BE254" s="14" t="n">
        <f aca="false">Helpers!BC13</f>
        <v>0</v>
      </c>
      <c r="BF254" s="14" t="n">
        <f aca="false">Helpers!BD13</f>
        <v>0</v>
      </c>
      <c r="BG254" s="14" t="n">
        <f aca="false">Helpers!BE13</f>
        <v>0</v>
      </c>
      <c r="BH254" s="14" t="n">
        <f aca="false">Helpers!BF13</f>
        <v>0</v>
      </c>
      <c r="BI254" s="14" t="n">
        <f aca="false">Helpers!BG13</f>
        <v>0</v>
      </c>
      <c r="BJ254" s="14" t="n">
        <f aca="false">Helpers!BH13</f>
        <v>0</v>
      </c>
      <c r="BK254" s="14" t="n">
        <f aca="false">Helpers!BI13</f>
        <v>0</v>
      </c>
      <c r="BL254" s="14" t="n">
        <f aca="false">Helpers!BJ13</f>
        <v>0</v>
      </c>
      <c r="BM254" s="14" t="n">
        <f aca="false">Helpers!BK13</f>
        <v>0</v>
      </c>
      <c r="BN254" s="14" t="n">
        <f aca="false">Helpers!BL13</f>
        <v>0</v>
      </c>
      <c r="BO254" s="14" t="n">
        <f aca="false">Helpers!BM13</f>
        <v>0</v>
      </c>
      <c r="BP254" s="14" t="n">
        <f aca="false">Helpers!BN13</f>
        <v>0</v>
      </c>
      <c r="BQ254" s="14" t="n">
        <f aca="false">Helpers!BO13</f>
        <v>0</v>
      </c>
      <c r="BR254" s="14" t="n">
        <f aca="false">Helpers!BP13</f>
        <v>0</v>
      </c>
      <c r="BS254" s="14" t="n">
        <f aca="false">Helpers!BQ13</f>
        <v>0</v>
      </c>
      <c r="BT254" s="14" t="n">
        <f aca="false">Helpers!BR13</f>
        <v>0</v>
      </c>
      <c r="BU254" s="14" t="n">
        <f aca="false">Helpers!BS13</f>
        <v>0</v>
      </c>
      <c r="BV254" s="14" t="n">
        <f aca="false">Helpers!BT13</f>
        <v>0</v>
      </c>
      <c r="BW254" s="14" t="n">
        <f aca="false">Helpers!BU13</f>
        <v>0</v>
      </c>
      <c r="BX254" s="14" t="n">
        <f aca="false">Helpers!BV13</f>
        <v>0</v>
      </c>
      <c r="BY254" s="14" t="n">
        <f aca="false">Helpers!BW13</f>
        <v>0</v>
      </c>
      <c r="BZ254" s="14" t="n">
        <f aca="false">Helpers!BX13</f>
        <v>0</v>
      </c>
      <c r="CA254" s="14" t="n">
        <f aca="false">Helpers!BY13</f>
        <v>0</v>
      </c>
      <c r="CB254" s="14" t="n">
        <f aca="false">Helpers!BZ13</f>
        <v>0</v>
      </c>
      <c r="CC254" s="14" t="n">
        <f aca="false">Helpers!CA13</f>
        <v>0</v>
      </c>
      <c r="CD254" s="14" t="n">
        <f aca="false">Helpers!CB13</f>
        <v>0</v>
      </c>
      <c r="CE254" s="14" t="n">
        <f aca="false">Helpers!CC13</f>
        <v>0</v>
      </c>
      <c r="CF254" s="14" t="n">
        <f aca="false">Helpers!CD13</f>
        <v>0</v>
      </c>
      <c r="CG254" s="14" t="n">
        <f aca="false">Helpers!CE13</f>
        <v>0</v>
      </c>
      <c r="CH254" s="14" t="n">
        <f aca="false">Helpers!CF13</f>
        <v>0</v>
      </c>
      <c r="CI254" s="14" t="n">
        <f aca="false">Helpers!CG13</f>
        <v>0</v>
      </c>
      <c r="CJ254" s="14" t="n">
        <f aca="false">Helpers!CH13</f>
        <v>0</v>
      </c>
      <c r="CK254" s="14" t="n">
        <f aca="false">Helpers!CI13</f>
        <v>0</v>
      </c>
      <c r="CL254" s="14" t="n">
        <f aca="false">Helpers!CJ13</f>
        <v>0</v>
      </c>
      <c r="CM254" s="14" t="n">
        <f aca="false">Helpers!CK13</f>
        <v>0</v>
      </c>
      <c r="CN254" s="14" t="n">
        <f aca="false">Helpers!CL13</f>
        <v>0</v>
      </c>
      <c r="CO254" s="14" t="n">
        <f aca="false">Helpers!CM13</f>
        <v>0</v>
      </c>
      <c r="CP254" s="14" t="n">
        <f aca="false">Helpers!CN13</f>
        <v>0</v>
      </c>
      <c r="CQ254" s="14" t="n">
        <f aca="false">Helpers!CO13</f>
        <v>0</v>
      </c>
      <c r="CR254" s="14" t="n">
        <f aca="false">Helpers!CP13</f>
        <v>0</v>
      </c>
      <c r="CS254" s="14" t="n">
        <f aca="false">Helpers!CQ13</f>
        <v>0</v>
      </c>
      <c r="CT254" s="14" t="n">
        <f aca="false">Helpers!CR13</f>
        <v>0</v>
      </c>
      <c r="CU254" s="14" t="n">
        <f aca="false">Helpers!CS13</f>
        <v>0</v>
      </c>
      <c r="CV254" s="14" t="n">
        <f aca="false">Helpers!CT13</f>
        <v>0</v>
      </c>
      <c r="CW254" s="14" t="n">
        <f aca="false">Helpers!CU13</f>
        <v>0</v>
      </c>
      <c r="CX254" s="14" t="n">
        <f aca="false">Helpers!CV13</f>
        <v>0</v>
      </c>
      <c r="CY254" s="14" t="n">
        <f aca="false">Helpers!CW13</f>
        <v>0</v>
      </c>
      <c r="CZ254" s="14" t="n">
        <f aca="false">Helpers!CX13</f>
        <v>0</v>
      </c>
      <c r="DA254" s="14" t="n">
        <f aca="false">Helpers!CY13</f>
        <v>0</v>
      </c>
      <c r="DB254" s="14" t="n">
        <f aca="false">Helpers!CZ13</f>
        <v>0</v>
      </c>
      <c r="DC254" s="14" t="n">
        <f aca="false">Helpers!DA13</f>
        <v>0</v>
      </c>
      <c r="DD254" s="14" t="n">
        <f aca="false">Helpers!DB13</f>
        <v>0</v>
      </c>
      <c r="DE254" s="14" t="n">
        <f aca="false">Helpers!DC13</f>
        <v>0</v>
      </c>
    </row>
    <row r="255" customFormat="false" ht="15" hidden="false" customHeight="true" outlineLevel="0" collapsed="false">
      <c r="A255" s="29" t="s">
        <v>18</v>
      </c>
      <c r="B255" s="14"/>
      <c r="C255" s="14"/>
      <c r="D255" s="14"/>
      <c r="E255" s="14" t="n">
        <f aca="false">Helpers!C14</f>
        <v>0</v>
      </c>
      <c r="F255" s="14" t="n">
        <f aca="false">Helpers!D14</f>
        <v>0</v>
      </c>
      <c r="G255" s="14" t="n">
        <f aca="false">Helpers!E14</f>
        <v>0</v>
      </c>
      <c r="H255" s="14" t="n">
        <f aca="false">Helpers!F14</f>
        <v>0</v>
      </c>
      <c r="I255" s="14" t="n">
        <f aca="false">Helpers!G14</f>
        <v>0</v>
      </c>
      <c r="J255" s="14" t="n">
        <f aca="false">Helpers!H14</f>
        <v>0</v>
      </c>
      <c r="K255" s="14" t="n">
        <f aca="false">Helpers!I14</f>
        <v>0</v>
      </c>
      <c r="L255" s="14" t="n">
        <f aca="false">Helpers!J14</f>
        <v>0</v>
      </c>
      <c r="M255" s="14" t="n">
        <f aca="false">Helpers!K14</f>
        <v>0</v>
      </c>
      <c r="N255" s="14" t="n">
        <f aca="false">Helpers!L14</f>
        <v>0</v>
      </c>
      <c r="O255" s="14" t="n">
        <f aca="false">Helpers!M14</f>
        <v>0</v>
      </c>
      <c r="P255" s="14" t="n">
        <f aca="false">Helpers!N14</f>
        <v>0</v>
      </c>
      <c r="Q255" s="14" t="n">
        <f aca="false">Helpers!O14</f>
        <v>44537929.73623</v>
      </c>
      <c r="R255" s="14" t="n">
        <f aca="false">Helpers!P14</f>
        <v>43699679.68937</v>
      </c>
      <c r="S255" s="14" t="n">
        <f aca="false">Helpers!Q14</f>
        <v>42745139.31038</v>
      </c>
      <c r="T255" s="14" t="n">
        <f aca="false">Helpers!R14</f>
        <v>41669012.38717</v>
      </c>
      <c r="U255" s="14" t="n">
        <f aca="false">Helpers!S14</f>
        <v>40467858.64522</v>
      </c>
      <c r="V255" s="14" t="n">
        <f aca="false">Helpers!T14</f>
        <v>39140501.14851</v>
      </c>
      <c r="W255" s="14" t="n">
        <f aca="false">Helpers!U14</f>
        <v>37688252.63337</v>
      </c>
      <c r="X255" s="14" t="n">
        <f aca="false">Helpers!V14</f>
        <v>36115141.84233</v>
      </c>
      <c r="Y255" s="14" t="n">
        <f aca="false">Helpers!W14</f>
        <v>34428094.5912</v>
      </c>
      <c r="Z255" s="14" t="n">
        <f aca="false">Helpers!X14</f>
        <v>32636797.96876</v>
      </c>
      <c r="AA255" s="14" t="n">
        <f aca="false">Helpers!Y14</f>
        <v>30753745.60353</v>
      </c>
      <c r="AB255" s="14" t="n">
        <f aca="false">Helpers!Z14</f>
        <v>28793920.79638</v>
      </c>
      <c r="AC255" s="14" t="n">
        <f aca="false">Helpers!AA14</f>
        <v>26774434.38637</v>
      </c>
      <c r="AD255" s="14" t="n">
        <f aca="false">Helpers!AB14</f>
        <v>24714207.88336</v>
      </c>
      <c r="AE255" s="14" t="n">
        <f aca="false">Helpers!AC14</f>
        <v>22633294.46646</v>
      </c>
      <c r="AF255" s="14" t="n">
        <f aca="false">Helpers!AD14</f>
        <v>20552381.04956</v>
      </c>
      <c r="AG255" s="14" t="n">
        <f aca="false">Helpers!AE14</f>
        <v>18492154.54655</v>
      </c>
      <c r="AH255" s="14" t="n">
        <f aca="false">Helpers!AF14</f>
        <v>16472668.13654</v>
      </c>
      <c r="AI255" s="14" t="n">
        <f aca="false">Helpers!AG14</f>
        <v>14512843.32939</v>
      </c>
      <c r="AJ255" s="14" t="n">
        <f aca="false">Helpers!AH14</f>
        <v>12629790.96416</v>
      </c>
      <c r="AK255" s="14" t="n">
        <f aca="false">Helpers!AI14</f>
        <v>10838494.34172</v>
      </c>
      <c r="AL255" s="14" t="n">
        <f aca="false">Helpers!AJ14</f>
        <v>9151447.09059</v>
      </c>
      <c r="AM255" s="14" t="n">
        <f aca="false">Helpers!AK14</f>
        <v>7578336.29955</v>
      </c>
      <c r="AN255" s="14" t="n">
        <f aca="false">Helpers!AL14</f>
        <v>6126087.78441</v>
      </c>
      <c r="AO255" s="14" t="n">
        <f aca="false">Helpers!AM14</f>
        <v>4798730.2877</v>
      </c>
      <c r="AP255" s="14" t="n">
        <f aca="false">Helpers!AN14</f>
        <v>3597576.54575</v>
      </c>
      <c r="AQ255" s="14" t="n">
        <f aca="false">Helpers!AO14</f>
        <v>2521449.62254</v>
      </c>
      <c r="AR255" s="14" t="n">
        <f aca="false">Helpers!AP14</f>
        <v>1566909.24355</v>
      </c>
      <c r="AS255" s="14" t="n">
        <f aca="false">Helpers!AQ14</f>
        <v>728659.196690001</v>
      </c>
      <c r="AT255" s="14" t="n">
        <f aca="false">Helpers!AR14</f>
        <v>-181.067079995155</v>
      </c>
      <c r="AU255" s="14" t="n">
        <f aca="false">Helpers!AS14</f>
        <v>0</v>
      </c>
      <c r="AV255" s="14" t="n">
        <f aca="false">Helpers!AT14</f>
        <v>0</v>
      </c>
      <c r="AW255" s="14" t="n">
        <f aca="false">Helpers!AU14</f>
        <v>0</v>
      </c>
      <c r="AX255" s="14" t="n">
        <f aca="false">Helpers!AV14</f>
        <v>0</v>
      </c>
      <c r="AY255" s="14" t="n">
        <f aca="false">Helpers!AW14</f>
        <v>0</v>
      </c>
      <c r="AZ255" s="14" t="n">
        <f aca="false">Helpers!AX14</f>
        <v>0</v>
      </c>
      <c r="BA255" s="14" t="n">
        <f aca="false">Helpers!AY14</f>
        <v>0</v>
      </c>
      <c r="BB255" s="14" t="n">
        <f aca="false">Helpers!AZ14</f>
        <v>0</v>
      </c>
      <c r="BC255" s="14" t="n">
        <f aca="false">Helpers!BA14</f>
        <v>0</v>
      </c>
      <c r="BD255" s="14" t="n">
        <f aca="false">Helpers!BB14</f>
        <v>0</v>
      </c>
      <c r="BE255" s="14" t="n">
        <f aca="false">Helpers!BC14</f>
        <v>0</v>
      </c>
      <c r="BF255" s="14" t="n">
        <f aca="false">Helpers!BD14</f>
        <v>0</v>
      </c>
      <c r="BG255" s="14" t="n">
        <f aca="false">Helpers!BE14</f>
        <v>0</v>
      </c>
      <c r="BH255" s="14" t="n">
        <f aca="false">Helpers!BF14</f>
        <v>0</v>
      </c>
      <c r="BI255" s="14" t="n">
        <f aca="false">Helpers!BG14</f>
        <v>0</v>
      </c>
      <c r="BJ255" s="14" t="n">
        <f aca="false">Helpers!BH14</f>
        <v>0</v>
      </c>
      <c r="BK255" s="14" t="n">
        <f aca="false">Helpers!BI14</f>
        <v>0</v>
      </c>
      <c r="BL255" s="14" t="n">
        <f aca="false">Helpers!BJ14</f>
        <v>0</v>
      </c>
      <c r="BM255" s="14" t="n">
        <f aca="false">Helpers!BK14</f>
        <v>0</v>
      </c>
      <c r="BN255" s="14" t="n">
        <f aca="false">Helpers!BL14</f>
        <v>0</v>
      </c>
      <c r="BO255" s="14" t="n">
        <f aca="false">Helpers!BM14</f>
        <v>0</v>
      </c>
      <c r="BP255" s="14" t="n">
        <f aca="false">Helpers!BN14</f>
        <v>0</v>
      </c>
      <c r="BQ255" s="14" t="n">
        <f aca="false">Helpers!BO14</f>
        <v>0</v>
      </c>
      <c r="BR255" s="14" t="n">
        <f aca="false">Helpers!BP14</f>
        <v>0</v>
      </c>
      <c r="BS255" s="14" t="n">
        <f aca="false">Helpers!BQ14</f>
        <v>0</v>
      </c>
      <c r="BT255" s="14" t="n">
        <f aca="false">Helpers!BR14</f>
        <v>0</v>
      </c>
      <c r="BU255" s="14" t="n">
        <f aca="false">Helpers!BS14</f>
        <v>0</v>
      </c>
      <c r="BV255" s="14" t="n">
        <f aca="false">Helpers!BT14</f>
        <v>0</v>
      </c>
      <c r="BW255" s="14" t="n">
        <f aca="false">Helpers!BU14</f>
        <v>0</v>
      </c>
      <c r="BX255" s="14" t="n">
        <f aca="false">Helpers!BV14</f>
        <v>0</v>
      </c>
      <c r="BY255" s="14" t="n">
        <f aca="false">Helpers!BW14</f>
        <v>0</v>
      </c>
      <c r="BZ255" s="14" t="n">
        <f aca="false">Helpers!BX14</f>
        <v>0</v>
      </c>
      <c r="CA255" s="14" t="n">
        <f aca="false">Helpers!BY14</f>
        <v>0</v>
      </c>
      <c r="CB255" s="14" t="n">
        <f aca="false">Helpers!BZ14</f>
        <v>0</v>
      </c>
      <c r="CC255" s="14" t="n">
        <f aca="false">Helpers!CA14</f>
        <v>0</v>
      </c>
      <c r="CD255" s="14" t="n">
        <f aca="false">Helpers!CB14</f>
        <v>0</v>
      </c>
      <c r="CE255" s="14" t="n">
        <f aca="false">Helpers!CC14</f>
        <v>0</v>
      </c>
      <c r="CF255" s="14" t="n">
        <f aca="false">Helpers!CD14</f>
        <v>0</v>
      </c>
      <c r="CG255" s="14" t="n">
        <f aca="false">Helpers!CE14</f>
        <v>0</v>
      </c>
      <c r="CH255" s="14" t="n">
        <f aca="false">Helpers!CF14</f>
        <v>0</v>
      </c>
      <c r="CI255" s="14" t="n">
        <f aca="false">Helpers!CG14</f>
        <v>0</v>
      </c>
      <c r="CJ255" s="14" t="n">
        <f aca="false">Helpers!CH14</f>
        <v>0</v>
      </c>
      <c r="CK255" s="14" t="n">
        <f aca="false">Helpers!CI14</f>
        <v>0</v>
      </c>
      <c r="CL255" s="14" t="n">
        <f aca="false">Helpers!CJ14</f>
        <v>0</v>
      </c>
      <c r="CM255" s="14" t="n">
        <f aca="false">Helpers!CK14</f>
        <v>0</v>
      </c>
      <c r="CN255" s="14" t="n">
        <f aca="false">Helpers!CL14</f>
        <v>0</v>
      </c>
      <c r="CO255" s="14" t="n">
        <f aca="false">Helpers!CM14</f>
        <v>0</v>
      </c>
      <c r="CP255" s="14" t="n">
        <f aca="false">Helpers!CN14</f>
        <v>0</v>
      </c>
      <c r="CQ255" s="14" t="n">
        <f aca="false">Helpers!CO14</f>
        <v>0</v>
      </c>
      <c r="CR255" s="14" t="n">
        <f aca="false">Helpers!CP14</f>
        <v>0</v>
      </c>
      <c r="CS255" s="14" t="n">
        <f aca="false">Helpers!CQ14</f>
        <v>0</v>
      </c>
      <c r="CT255" s="14" t="n">
        <f aca="false">Helpers!CR14</f>
        <v>0</v>
      </c>
      <c r="CU255" s="14" t="n">
        <f aca="false">Helpers!CS14</f>
        <v>0</v>
      </c>
      <c r="CV255" s="14" t="n">
        <f aca="false">Helpers!CT14</f>
        <v>0</v>
      </c>
      <c r="CW255" s="14" t="n">
        <f aca="false">Helpers!CU14</f>
        <v>0</v>
      </c>
      <c r="CX255" s="14" t="n">
        <f aca="false">Helpers!CV14</f>
        <v>0</v>
      </c>
      <c r="CY255" s="14" t="n">
        <f aca="false">Helpers!CW14</f>
        <v>0</v>
      </c>
      <c r="CZ255" s="14" t="n">
        <f aca="false">Helpers!CX14</f>
        <v>0</v>
      </c>
      <c r="DA255" s="14" t="n">
        <f aca="false">Helpers!CY14</f>
        <v>0</v>
      </c>
      <c r="DB255" s="14" t="n">
        <f aca="false">Helpers!CZ14</f>
        <v>0</v>
      </c>
      <c r="DC255" s="14" t="n">
        <f aca="false">Helpers!DA14</f>
        <v>0</v>
      </c>
      <c r="DD255" s="14" t="n">
        <f aca="false">Helpers!DB14</f>
        <v>0</v>
      </c>
      <c r="DE255" s="14" t="n">
        <f aca="false">Helpers!DC14</f>
        <v>0</v>
      </c>
    </row>
    <row r="256" customFormat="false" ht="15" hidden="false" customHeight="true" outlineLevel="0" collapsed="false">
      <c r="A256" s="29" t="s">
        <v>19</v>
      </c>
      <c r="B256" s="14"/>
      <c r="C256" s="14"/>
      <c r="D256" s="14"/>
      <c r="E256" s="14" t="n">
        <f aca="false">Helpers!C15</f>
        <v>0</v>
      </c>
      <c r="F256" s="14" t="n">
        <f aca="false">Helpers!D15</f>
        <v>0</v>
      </c>
      <c r="G256" s="14" t="n">
        <f aca="false">Helpers!E15</f>
        <v>0</v>
      </c>
      <c r="H256" s="14" t="n">
        <f aca="false">Helpers!F15</f>
        <v>0</v>
      </c>
      <c r="I256" s="14" t="n">
        <f aca="false">Helpers!G15</f>
        <v>0</v>
      </c>
      <c r="J256" s="14" t="n">
        <f aca="false">Helpers!H15</f>
        <v>0</v>
      </c>
      <c r="K256" s="14" t="n">
        <f aca="false">Helpers!I15</f>
        <v>0</v>
      </c>
      <c r="L256" s="14" t="n">
        <f aca="false">Helpers!J15</f>
        <v>0</v>
      </c>
      <c r="M256" s="14" t="n">
        <f aca="false">Helpers!K15</f>
        <v>0</v>
      </c>
      <c r="N256" s="14" t="n">
        <f aca="false">Helpers!L15</f>
        <v>0</v>
      </c>
      <c r="O256" s="14" t="n">
        <f aca="false">Helpers!M15</f>
        <v>0</v>
      </c>
      <c r="P256" s="14" t="n">
        <f aca="false">Helpers!N15</f>
        <v>0</v>
      </c>
      <c r="Q256" s="14" t="n">
        <f aca="false">Helpers!O15</f>
        <v>0</v>
      </c>
      <c r="R256" s="14" t="n">
        <f aca="false">Helpers!P15</f>
        <v>0</v>
      </c>
      <c r="S256" s="14" t="n">
        <f aca="false">Helpers!Q15</f>
        <v>0</v>
      </c>
      <c r="T256" s="14" t="n">
        <f aca="false">Helpers!R15</f>
        <v>0</v>
      </c>
      <c r="U256" s="14" t="n">
        <f aca="false">Helpers!S15</f>
        <v>0</v>
      </c>
      <c r="V256" s="14" t="n">
        <f aca="false">Helpers!T15</f>
        <v>0</v>
      </c>
      <c r="W256" s="14" t="n">
        <f aca="false">Helpers!U15</f>
        <v>0</v>
      </c>
      <c r="X256" s="14" t="n">
        <f aca="false">Helpers!V15</f>
        <v>0</v>
      </c>
      <c r="Y256" s="14" t="n">
        <f aca="false">Helpers!W15</f>
        <v>0</v>
      </c>
      <c r="Z256" s="14" t="n">
        <f aca="false">Helpers!X15</f>
        <v>0</v>
      </c>
      <c r="AA256" s="14" t="n">
        <f aca="false">Helpers!Y15</f>
        <v>0</v>
      </c>
      <c r="AB256" s="14" t="n">
        <f aca="false">Helpers!Z15</f>
        <v>0</v>
      </c>
      <c r="AC256" s="14" t="n">
        <f aca="false">Helpers!AA15</f>
        <v>0</v>
      </c>
      <c r="AD256" s="14" t="n">
        <f aca="false">Helpers!AB15</f>
        <v>0</v>
      </c>
      <c r="AE256" s="14" t="n">
        <f aca="false">Helpers!AC15</f>
        <v>40688781.070168</v>
      </c>
      <c r="AF256" s="14" t="n">
        <f aca="false">Helpers!AD15</f>
        <v>39922975.994792</v>
      </c>
      <c r="AG256" s="14" t="n">
        <f aca="false">Helpers!AE15</f>
        <v>39050930.869808</v>
      </c>
      <c r="AH256" s="14" t="n">
        <f aca="false">Helpers!AF15</f>
        <v>38067807.203272</v>
      </c>
      <c r="AI256" s="14" t="n">
        <f aca="false">Helpers!AG15</f>
        <v>36970462.043152</v>
      </c>
      <c r="AJ256" s="14" t="n">
        <f aca="false">Helpers!AH15</f>
        <v>35757820.169016</v>
      </c>
      <c r="AK256" s="14" t="n">
        <f aca="false">Helpers!AI15</f>
        <v>34431080.865192</v>
      </c>
      <c r="AL256" s="14" t="n">
        <f aca="false">Helpers!AJ15</f>
        <v>32993924.693928</v>
      </c>
      <c r="AM256" s="14" t="n">
        <f aca="false">Helpers!AK15</f>
        <v>31452678.91392</v>
      </c>
      <c r="AN256" s="14" t="n">
        <f aca="false">Helpers!AL15</f>
        <v>29816193.416416</v>
      </c>
      <c r="AO256" s="14" t="n">
        <f aca="false">Helpers!AM15</f>
        <v>28095882.079848</v>
      </c>
      <c r="AP256" s="14" t="n">
        <f aca="false">Helpers!AN15</f>
        <v>26305433.287408</v>
      </c>
      <c r="AQ256" s="14" t="n">
        <f aca="false">Helpers!AO15</f>
        <v>24460479.089992</v>
      </c>
      <c r="AR256" s="14" t="n">
        <f aca="false">Helpers!AP15</f>
        <v>22578305.723776</v>
      </c>
      <c r="AS256" s="14" t="n">
        <f aca="false">Helpers!AQ15</f>
        <v>20677233.290736</v>
      </c>
      <c r="AT256" s="14" t="n">
        <f aca="false">Helpers!AR15</f>
        <v>18776160.857696</v>
      </c>
      <c r="AU256" s="14" t="n">
        <f aca="false">Helpers!AS15</f>
        <v>16893987.49148</v>
      </c>
      <c r="AV256" s="14" t="n">
        <f aca="false">Helpers!AT15</f>
        <v>15049033.294064</v>
      </c>
      <c r="AW256" s="14" t="n">
        <f aca="false">Helpers!AU15</f>
        <v>13258584.501624</v>
      </c>
      <c r="AX256" s="14" t="n">
        <f aca="false">Helpers!AV15</f>
        <v>11538273.165056</v>
      </c>
      <c r="AY256" s="14" t="n">
        <f aca="false">Helpers!AW15</f>
        <v>9901787.667552</v>
      </c>
      <c r="AZ256" s="14" t="n">
        <f aca="false">Helpers!AX15</f>
        <v>8360541.887544</v>
      </c>
      <c r="BA256" s="14" t="n">
        <f aca="false">Helpers!AY15</f>
        <v>6923385.71628</v>
      </c>
      <c r="BB256" s="14" t="n">
        <f aca="false">Helpers!AZ15</f>
        <v>5596646.412456</v>
      </c>
      <c r="BC256" s="14" t="n">
        <f aca="false">Helpers!BA15</f>
        <v>4384004.53832</v>
      </c>
      <c r="BD256" s="14" t="n">
        <f aca="false">Helpers!BB15</f>
        <v>3286659.3782</v>
      </c>
      <c r="BE256" s="14" t="n">
        <f aca="false">Helpers!BC15</f>
        <v>2303535.711664</v>
      </c>
      <c r="BF256" s="14" t="n">
        <f aca="false">Helpers!BD15</f>
        <v>1431490.58668</v>
      </c>
      <c r="BG256" s="14" t="n">
        <f aca="false">Helpers!BE15</f>
        <v>665685.511304001</v>
      </c>
      <c r="BH256" s="14" t="n">
        <f aca="false">Helpers!BF15</f>
        <v>-165.418527995574</v>
      </c>
      <c r="BI256" s="14" t="n">
        <f aca="false">Helpers!BG15</f>
        <v>0</v>
      </c>
      <c r="BJ256" s="14" t="n">
        <f aca="false">Helpers!BH15</f>
        <v>0</v>
      </c>
      <c r="BK256" s="14" t="n">
        <f aca="false">Helpers!BI15</f>
        <v>0</v>
      </c>
      <c r="BL256" s="14" t="n">
        <f aca="false">Helpers!BJ15</f>
        <v>0</v>
      </c>
      <c r="BM256" s="14" t="n">
        <f aca="false">Helpers!BK15</f>
        <v>0</v>
      </c>
      <c r="BN256" s="14" t="n">
        <f aca="false">Helpers!BL15</f>
        <v>0</v>
      </c>
      <c r="BO256" s="14" t="n">
        <f aca="false">Helpers!BM15</f>
        <v>0</v>
      </c>
      <c r="BP256" s="14" t="n">
        <f aca="false">Helpers!BN15</f>
        <v>0</v>
      </c>
      <c r="BQ256" s="14" t="n">
        <f aca="false">Helpers!BO15</f>
        <v>0</v>
      </c>
      <c r="BR256" s="14" t="n">
        <f aca="false">Helpers!BP15</f>
        <v>0</v>
      </c>
      <c r="BS256" s="14" t="n">
        <f aca="false">Helpers!BQ15</f>
        <v>0</v>
      </c>
      <c r="BT256" s="14" t="n">
        <f aca="false">Helpers!BR15</f>
        <v>0</v>
      </c>
      <c r="BU256" s="14" t="n">
        <f aca="false">Helpers!BS15</f>
        <v>0</v>
      </c>
      <c r="BV256" s="14" t="n">
        <f aca="false">Helpers!BT15</f>
        <v>0</v>
      </c>
      <c r="BW256" s="14" t="n">
        <f aca="false">Helpers!BU15</f>
        <v>0</v>
      </c>
      <c r="BX256" s="14" t="n">
        <f aca="false">Helpers!BV15</f>
        <v>0</v>
      </c>
      <c r="BY256" s="14" t="n">
        <f aca="false">Helpers!BW15</f>
        <v>0</v>
      </c>
      <c r="BZ256" s="14" t="n">
        <f aca="false">Helpers!BX15</f>
        <v>0</v>
      </c>
      <c r="CA256" s="14" t="n">
        <f aca="false">Helpers!BY15</f>
        <v>0</v>
      </c>
      <c r="CB256" s="14" t="n">
        <f aca="false">Helpers!BZ15</f>
        <v>0</v>
      </c>
      <c r="CC256" s="14" t="n">
        <f aca="false">Helpers!CA15</f>
        <v>0</v>
      </c>
      <c r="CD256" s="14" t="n">
        <f aca="false">Helpers!CB15</f>
        <v>0</v>
      </c>
      <c r="CE256" s="14" t="n">
        <f aca="false">Helpers!CC15</f>
        <v>0</v>
      </c>
      <c r="CF256" s="14" t="n">
        <f aca="false">Helpers!CD15</f>
        <v>0</v>
      </c>
      <c r="CG256" s="14" t="n">
        <f aca="false">Helpers!CE15</f>
        <v>0</v>
      </c>
      <c r="CH256" s="14" t="n">
        <f aca="false">Helpers!CF15</f>
        <v>0</v>
      </c>
      <c r="CI256" s="14" t="n">
        <f aca="false">Helpers!CG15</f>
        <v>0</v>
      </c>
      <c r="CJ256" s="14" t="n">
        <f aca="false">Helpers!CH15</f>
        <v>0</v>
      </c>
      <c r="CK256" s="14" t="n">
        <f aca="false">Helpers!CI15</f>
        <v>0</v>
      </c>
      <c r="CL256" s="14" t="n">
        <f aca="false">Helpers!CJ15</f>
        <v>0</v>
      </c>
      <c r="CM256" s="14" t="n">
        <f aca="false">Helpers!CK15</f>
        <v>0</v>
      </c>
      <c r="CN256" s="14" t="n">
        <f aca="false">Helpers!CL15</f>
        <v>0</v>
      </c>
      <c r="CO256" s="14" t="n">
        <f aca="false">Helpers!CM15</f>
        <v>0</v>
      </c>
      <c r="CP256" s="14" t="n">
        <f aca="false">Helpers!CN15</f>
        <v>0</v>
      </c>
      <c r="CQ256" s="14" t="n">
        <f aca="false">Helpers!CO15</f>
        <v>0</v>
      </c>
      <c r="CR256" s="14" t="n">
        <f aca="false">Helpers!CP15</f>
        <v>0</v>
      </c>
      <c r="CS256" s="14" t="n">
        <f aca="false">Helpers!CQ15</f>
        <v>0</v>
      </c>
      <c r="CT256" s="14" t="n">
        <f aca="false">Helpers!CR15</f>
        <v>0</v>
      </c>
      <c r="CU256" s="14" t="n">
        <f aca="false">Helpers!CS15</f>
        <v>0</v>
      </c>
      <c r="CV256" s="14" t="n">
        <f aca="false">Helpers!CT15</f>
        <v>0</v>
      </c>
      <c r="CW256" s="14" t="n">
        <f aca="false">Helpers!CU15</f>
        <v>0</v>
      </c>
      <c r="CX256" s="14" t="n">
        <f aca="false">Helpers!CV15</f>
        <v>0</v>
      </c>
      <c r="CY256" s="14" t="n">
        <f aca="false">Helpers!CW15</f>
        <v>0</v>
      </c>
      <c r="CZ256" s="14" t="n">
        <f aca="false">Helpers!CX15</f>
        <v>0</v>
      </c>
      <c r="DA256" s="14" t="n">
        <f aca="false">Helpers!CY15</f>
        <v>0</v>
      </c>
      <c r="DB256" s="14" t="n">
        <f aca="false">Helpers!CZ15</f>
        <v>0</v>
      </c>
      <c r="DC256" s="14" t="n">
        <f aca="false">Helpers!DA15</f>
        <v>0</v>
      </c>
      <c r="DD256" s="14" t="n">
        <f aca="false">Helpers!DB15</f>
        <v>0</v>
      </c>
      <c r="DE256" s="14" t="n">
        <f aca="false">Helpers!DC15</f>
        <v>0</v>
      </c>
    </row>
    <row r="257" customFormat="false" ht="15" hidden="false" customHeight="true" outlineLevel="0" collapsed="false">
      <c r="A257" s="33" t="s">
        <v>169</v>
      </c>
      <c r="B257" s="34"/>
      <c r="C257" s="34"/>
      <c r="D257" s="34"/>
      <c r="E257" s="34" t="n">
        <f aca="false">SUM(E249:E256)</f>
        <v>24716840.3468768</v>
      </c>
      <c r="F257" s="34" t="n">
        <f aca="false">SUM(F249:F256)</f>
        <v>22881539.1765735</v>
      </c>
      <c r="G257" s="34" t="n">
        <f aca="false">SUM(G249:G256)</f>
        <v>20879271.9124362</v>
      </c>
      <c r="H257" s="34" t="n">
        <f aca="false">SUM(H249:H256)</f>
        <v>18748519.382739</v>
      </c>
      <c r="I257" s="34" t="n">
        <f aca="false">SUM(I249:I256)</f>
        <v>85209726.4902737</v>
      </c>
      <c r="J257" s="34" t="n">
        <f aca="false">SUM(J249:J256)</f>
        <v>101937181.31251</v>
      </c>
      <c r="K257" s="34" t="n">
        <f aca="false">SUM(K249:K256)</f>
        <v>96996144.7242823</v>
      </c>
      <c r="L257" s="34" t="n">
        <f aca="false">SUM(L249:L256)</f>
        <v>91681082.9143191</v>
      </c>
      <c r="M257" s="34" t="n">
        <f aca="false">SUM(M249:M256)</f>
        <v>86032873.6923599</v>
      </c>
      <c r="N257" s="34" t="n">
        <f aca="false">SUM(N249:N256)</f>
        <v>80101823.0905101</v>
      </c>
      <c r="O257" s="34" t="n">
        <f aca="false">SUM(O249:O256)</f>
        <v>73947441.6447125</v>
      </c>
      <c r="P257" s="34" t="n">
        <f aca="false">SUM(P249:P256)</f>
        <v>67637608.6570949</v>
      </c>
      <c r="Q257" s="34" t="n">
        <f aca="false">SUM(Q249:Q256)</f>
        <v>105785143.86028</v>
      </c>
      <c r="R257" s="34" t="n">
        <f aca="false">SUM(R249:R256)</f>
        <v>98555966.9128809</v>
      </c>
      <c r="S257" s="34" t="n">
        <f aca="false">SUM(S249:S256)</f>
        <v>91292205.3562169</v>
      </c>
      <c r="T257" s="34" t="n">
        <f aca="false">SUM(T249:T256)</f>
        <v>84715364.4189166</v>
      </c>
      <c r="U257" s="34" t="n">
        <f aca="false">SUM(U249:U256)</f>
        <v>78104625.7757824</v>
      </c>
      <c r="V257" s="34" t="n">
        <f aca="false">SUM(V249:V256)</f>
        <v>71551790.5201989</v>
      </c>
      <c r="W257" s="34" t="n">
        <f aca="false">SUM(W249:W256)</f>
        <v>65138900.841349</v>
      </c>
      <c r="X257" s="34" t="n">
        <f aca="false">SUM(X249:X256)</f>
        <v>58934829.9178404</v>
      </c>
      <c r="Y257" s="34" t="n">
        <f aca="false">SUM(Y249:Y256)</f>
        <v>52993542.7870939</v>
      </c>
      <c r="Z257" s="34" t="n">
        <f aca="false">SUM(Z249:Z256)</f>
        <v>47353337.6640295</v>
      </c>
      <c r="AA257" s="34" t="n">
        <f aca="false">SUM(AA249:AA256)</f>
        <v>42038064.2069706</v>
      </c>
      <c r="AB257" s="34" t="n">
        <f aca="false">SUM(AB249:AB256)</f>
        <v>37330862.9276114</v>
      </c>
      <c r="AC257" s="34" t="n">
        <f aca="false">SUM(AC249:AC256)</f>
        <v>33343145.6939488</v>
      </c>
      <c r="AD257" s="34" t="n">
        <f aca="false">SUM(AD249:AD256)</f>
        <v>29531296.0450086</v>
      </c>
      <c r="AE257" s="34" t="n">
        <f aca="false">SUM(AE249:AE256)</f>
        <v>66599470.497915</v>
      </c>
      <c r="AF257" s="34" t="n">
        <f aca="false">SUM(AF249:AF256)</f>
        <v>62415627.7269484</v>
      </c>
      <c r="AG257" s="34" t="n">
        <f aca="false">SUM(AG249:AG256)</f>
        <v>59062951.931266</v>
      </c>
      <c r="AH257" s="34" t="n">
        <f aca="false">SUM(AH249:AH256)</f>
        <v>55679909.273142</v>
      </c>
      <c r="AI257" s="34" t="n">
        <f aca="false">SUM(AI249:AI256)</f>
        <v>52281905.5481236</v>
      </c>
      <c r="AJ257" s="34" t="n">
        <f aca="false">SUM(AJ249:AJ256)</f>
        <v>48883886.762018</v>
      </c>
      <c r="AK257" s="34" t="n">
        <f aca="false">SUM(AK249:AK256)</f>
        <v>45500358.0697596</v>
      </c>
      <c r="AL257" s="34" t="n">
        <f aca="false">SUM(AL249:AL256)</f>
        <v>42145314.4364748</v>
      </c>
      <c r="AM257" s="34" t="n">
        <f aca="false">SUM(AM249:AM256)</f>
        <v>39031015.21347</v>
      </c>
      <c r="AN257" s="34" t="n">
        <f aca="false">SUM(AN249:AN256)</f>
        <v>35942281.200826</v>
      </c>
      <c r="AO257" s="34" t="n">
        <f aca="false">SUM(AO249:AO256)</f>
        <v>32894612.367548</v>
      </c>
      <c r="AP257" s="34" t="n">
        <f aca="false">SUM(AP249:AP256)</f>
        <v>29903009.833158</v>
      </c>
      <c r="AQ257" s="34" t="n">
        <f aca="false">SUM(AQ249:AQ256)</f>
        <v>26981928.712532</v>
      </c>
      <c r="AR257" s="34" t="n">
        <f aca="false">SUM(AR249:AR256)</f>
        <v>24145214.967326</v>
      </c>
      <c r="AS257" s="34" t="n">
        <f aca="false">SUM(AS249:AS256)</f>
        <v>21405892.487426</v>
      </c>
      <c r="AT257" s="34" t="n">
        <f aca="false">SUM(AT249:AT256)</f>
        <v>18775979.790616</v>
      </c>
      <c r="AU257" s="34" t="n">
        <f aca="false">SUM(AU249:AU256)</f>
        <v>16893987.49148</v>
      </c>
      <c r="AV257" s="34" t="n">
        <f aca="false">SUM(AV249:AV256)</f>
        <v>15049033.294064</v>
      </c>
      <c r="AW257" s="34" t="n">
        <f aca="false">SUM(AW249:AW256)</f>
        <v>13258584.501624</v>
      </c>
      <c r="AX257" s="34" t="n">
        <f aca="false">SUM(AX249:AX256)</f>
        <v>11538273.165056</v>
      </c>
      <c r="AY257" s="34" t="n">
        <f aca="false">SUM(AY249:AY256)</f>
        <v>9901787.667552</v>
      </c>
      <c r="AZ257" s="34" t="n">
        <f aca="false">SUM(AZ249:AZ256)</f>
        <v>8360541.887544</v>
      </c>
      <c r="BA257" s="34" t="n">
        <f aca="false">SUM(BA249:BA256)</f>
        <v>6923385.71628</v>
      </c>
      <c r="BB257" s="34" t="n">
        <f aca="false">SUM(BB249:BB256)</f>
        <v>5596646.412456</v>
      </c>
      <c r="BC257" s="34" t="n">
        <f aca="false">SUM(BC249:BC256)</f>
        <v>4384004.53832</v>
      </c>
      <c r="BD257" s="34" t="n">
        <f aca="false">SUM(BD249:BD256)</f>
        <v>3286659.3782</v>
      </c>
      <c r="BE257" s="34" t="n">
        <f aca="false">SUM(BE249:BE256)</f>
        <v>2303535.711664</v>
      </c>
      <c r="BF257" s="34" t="n">
        <f aca="false">SUM(BF249:BF256)</f>
        <v>1431490.58668</v>
      </c>
      <c r="BG257" s="34" t="n">
        <f aca="false">SUM(BG249:BG256)</f>
        <v>665685.511304001</v>
      </c>
      <c r="BH257" s="34" t="n">
        <f aca="false">SUM(BH249:BH256)</f>
        <v>-165.418527995574</v>
      </c>
      <c r="BI257" s="34" t="n">
        <f aca="false">SUM(BI249:BI256)</f>
        <v>0</v>
      </c>
      <c r="BJ257" s="34" t="n">
        <f aca="false">SUM(BJ249:BJ256)</f>
        <v>0</v>
      </c>
      <c r="BK257" s="34" t="n">
        <f aca="false">SUM(BK249:BK256)</f>
        <v>0</v>
      </c>
      <c r="BL257" s="34" t="n">
        <f aca="false">SUM(BL249:BL256)</f>
        <v>0</v>
      </c>
      <c r="BM257" s="34" t="n">
        <f aca="false">SUM(BM249:BM256)</f>
        <v>0</v>
      </c>
      <c r="BN257" s="34" t="n">
        <f aca="false">SUM(BN249:BN256)</f>
        <v>0</v>
      </c>
      <c r="BO257" s="34" t="n">
        <f aca="false">SUM(BO249:BO256)</f>
        <v>0</v>
      </c>
      <c r="BP257" s="34" t="n">
        <f aca="false">SUM(BP249:BP256)</f>
        <v>0</v>
      </c>
      <c r="BQ257" s="34" t="n">
        <f aca="false">SUM(BQ249:BQ256)</f>
        <v>0</v>
      </c>
      <c r="BR257" s="34" t="n">
        <f aca="false">SUM(BR249:BR256)</f>
        <v>0</v>
      </c>
      <c r="BS257" s="34" t="n">
        <f aca="false">SUM(BS249:BS256)</f>
        <v>0</v>
      </c>
      <c r="BT257" s="34" t="n">
        <f aca="false">SUM(BT249:BT256)</f>
        <v>0</v>
      </c>
      <c r="BU257" s="34" t="n">
        <f aca="false">SUM(BU249:BU256)</f>
        <v>0</v>
      </c>
      <c r="BV257" s="34" t="n">
        <f aca="false">SUM(BV249:BV256)</f>
        <v>0</v>
      </c>
      <c r="BW257" s="34" t="n">
        <f aca="false">SUM(BW249:BW256)</f>
        <v>0</v>
      </c>
      <c r="BX257" s="34" t="n">
        <f aca="false">SUM(BX249:BX256)</f>
        <v>0</v>
      </c>
      <c r="BY257" s="34" t="n">
        <f aca="false">SUM(BY249:BY256)</f>
        <v>0</v>
      </c>
      <c r="BZ257" s="34" t="n">
        <f aca="false">SUM(BZ249:BZ256)</f>
        <v>0</v>
      </c>
      <c r="CA257" s="34" t="n">
        <f aca="false">SUM(CA249:CA256)</f>
        <v>0</v>
      </c>
      <c r="CB257" s="34" t="n">
        <f aca="false">SUM(CB249:CB256)</f>
        <v>0</v>
      </c>
      <c r="CC257" s="34" t="n">
        <f aca="false">SUM(CC249:CC256)</f>
        <v>0</v>
      </c>
      <c r="CD257" s="34" t="n">
        <f aca="false">SUM(CD249:CD256)</f>
        <v>0</v>
      </c>
      <c r="CE257" s="34" t="n">
        <f aca="false">SUM(CE249:CE256)</f>
        <v>0</v>
      </c>
      <c r="CF257" s="34" t="n">
        <f aca="false">SUM(CF249:CF256)</f>
        <v>0</v>
      </c>
      <c r="CG257" s="34" t="n">
        <f aca="false">SUM(CG249:CG256)</f>
        <v>0</v>
      </c>
      <c r="CH257" s="34" t="n">
        <f aca="false">SUM(CH249:CH256)</f>
        <v>0</v>
      </c>
      <c r="CI257" s="34" t="n">
        <f aca="false">SUM(CI249:CI256)</f>
        <v>0</v>
      </c>
      <c r="CJ257" s="34" t="n">
        <f aca="false">SUM(CJ249:CJ256)</f>
        <v>0</v>
      </c>
      <c r="CK257" s="34" t="n">
        <f aca="false">SUM(CK249:CK256)</f>
        <v>0</v>
      </c>
      <c r="CL257" s="34" t="n">
        <f aca="false">SUM(CL249:CL256)</f>
        <v>0</v>
      </c>
      <c r="CM257" s="34" t="n">
        <f aca="false">SUM(CM249:CM256)</f>
        <v>0</v>
      </c>
      <c r="CN257" s="34" t="n">
        <f aca="false">SUM(CN249:CN256)</f>
        <v>0</v>
      </c>
      <c r="CO257" s="34" t="n">
        <f aca="false">SUM(CO249:CO256)</f>
        <v>0</v>
      </c>
      <c r="CP257" s="34" t="n">
        <f aca="false">SUM(CP249:CP256)</f>
        <v>0</v>
      </c>
      <c r="CQ257" s="34" t="n">
        <f aca="false">SUM(CQ249:CQ256)</f>
        <v>0</v>
      </c>
      <c r="CR257" s="34" t="n">
        <f aca="false">SUM(CR249:CR256)</f>
        <v>0</v>
      </c>
      <c r="CS257" s="34" t="n">
        <f aca="false">SUM(CS249:CS256)</f>
        <v>0</v>
      </c>
      <c r="CT257" s="34" t="n">
        <f aca="false">SUM(CT249:CT256)</f>
        <v>0</v>
      </c>
      <c r="CU257" s="34" t="n">
        <f aca="false">SUM(CU249:CU256)</f>
        <v>0</v>
      </c>
      <c r="CV257" s="34" t="n">
        <f aca="false">SUM(CV249:CV256)</f>
        <v>0</v>
      </c>
      <c r="CW257" s="34" t="n">
        <f aca="false">SUM(CW249:CW256)</f>
        <v>0</v>
      </c>
      <c r="CX257" s="34" t="n">
        <f aca="false">SUM(CX249:CX256)</f>
        <v>0</v>
      </c>
      <c r="CY257" s="34" t="n">
        <f aca="false">SUM(CY249:CY256)</f>
        <v>0</v>
      </c>
      <c r="CZ257" s="34" t="n">
        <f aca="false">SUM(CZ249:CZ256)</f>
        <v>0</v>
      </c>
      <c r="DA257" s="34" t="n">
        <f aca="false">SUM(DA249:DA256)</f>
        <v>0</v>
      </c>
      <c r="DB257" s="34" t="n">
        <f aca="false">SUM(DB249:DB256)</f>
        <v>0</v>
      </c>
      <c r="DC257" s="34" t="n">
        <f aca="false">SUM(DC249:DC256)</f>
        <v>0</v>
      </c>
      <c r="DD257" s="34" t="n">
        <f aca="false">SUM(DD249:DD256)</f>
        <v>0</v>
      </c>
      <c r="DE257" s="34" t="n">
        <f aca="false">SUM(DE249:DE256)</f>
        <v>0</v>
      </c>
    </row>
    <row r="258" customFormat="false" ht="15" hidden="false" customHeight="true" outlineLevel="0" collapsed="false">
      <c r="A258" s="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</row>
    <row r="259" customFormat="false" ht="15" hidden="false" customHeight="true" outlineLevel="0" collapsed="false">
      <c r="A259" s="52" t="s">
        <v>170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</row>
    <row r="260" customFormat="false" ht="15" hidden="false" customHeight="true" outlineLevel="0" collapsed="false">
      <c r="A260" s="73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</row>
    <row r="261" customFormat="false" ht="15" hidden="false" customHeight="true" outlineLevel="0" collapsed="false">
      <c r="A261" s="38" t="s">
        <v>171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</row>
    <row r="262" customFormat="false" ht="15" hidden="false" customHeight="true" outlineLevel="0" collapsed="false">
      <c r="A262" s="29" t="s">
        <v>172</v>
      </c>
      <c r="B262" s="14"/>
      <c r="C262" s="14"/>
      <c r="D262" s="14"/>
      <c r="E262" s="14"/>
      <c r="F262" s="14"/>
      <c r="G262" s="14"/>
      <c r="H262" s="14" t="n">
        <f aca="false">Assumptions!B29</f>
        <v>306139</v>
      </c>
      <c r="I262" s="14" t="n">
        <f aca="false">H270</f>
        <v>778701.069849618</v>
      </c>
      <c r="J262" s="14" t="n">
        <f aca="false">I270</f>
        <v>705531.282208546</v>
      </c>
      <c r="K262" s="14" t="n">
        <f aca="false">J270</f>
        <v>916023.41011685</v>
      </c>
      <c r="L262" s="14" t="n">
        <f aca="false">K270</f>
        <v>825896.06176479</v>
      </c>
      <c r="M262" s="14" t="n">
        <f aca="false">L270</f>
        <v>1271170.87565309</v>
      </c>
      <c r="N262" s="14" t="n">
        <f aca="false">M270</f>
        <v>1588066.22189651</v>
      </c>
      <c r="O262" s="14" t="n">
        <f aca="false">N270</f>
        <v>1860163.72916826</v>
      </c>
      <c r="P262" s="14" t="n">
        <f aca="false">O270</f>
        <v>2112017.94475668</v>
      </c>
      <c r="Q262" s="14" t="n">
        <f aca="false">P270</f>
        <v>2340131.0091624</v>
      </c>
      <c r="R262" s="14" t="n">
        <f aca="false">Q270</f>
        <v>2486315.94524811</v>
      </c>
      <c r="S262" s="14" t="n">
        <f aca="false">R270</f>
        <v>2009871.47023323</v>
      </c>
      <c r="T262" s="14" t="n">
        <f aca="false">S270</f>
        <v>2514912.49539589</v>
      </c>
      <c r="U262" s="14" t="n">
        <f aca="false">T270</f>
        <v>2919026.79192944</v>
      </c>
      <c r="V262" s="14" t="n">
        <f aca="false">U270</f>
        <v>3113596.45116694</v>
      </c>
      <c r="W262" s="14" t="n">
        <f aca="false">V270</f>
        <v>3255748.21779821</v>
      </c>
      <c r="X262" s="14" t="n">
        <f aca="false">W270</f>
        <v>3425349.51232165</v>
      </c>
      <c r="Y262" s="14" t="n">
        <f aca="false">X270</f>
        <v>3562817.56058891</v>
      </c>
      <c r="Z262" s="14" t="n">
        <f aca="false">Y270</f>
        <v>3689305.96643115</v>
      </c>
      <c r="AA262" s="14" t="n">
        <f aca="false">Z270</f>
        <v>3815794.37227339</v>
      </c>
      <c r="AB262" s="14" t="n">
        <f aca="false">AA270</f>
        <v>4016588.62850632</v>
      </c>
      <c r="AC262" s="14" t="n">
        <f aca="false">AB270</f>
        <v>4225204.55320142</v>
      </c>
      <c r="AD262" s="14" t="n">
        <f aca="false">AC270</f>
        <v>4367121.7657666</v>
      </c>
      <c r="AE262" s="14" t="n">
        <f aca="false">AD270</f>
        <v>4519345.83965172</v>
      </c>
      <c r="AF262" s="14" t="n">
        <f aca="false">AE270</f>
        <v>4457549.70509423</v>
      </c>
      <c r="AG262" s="14" t="n">
        <f aca="false">AF270</f>
        <v>3829707.15140528</v>
      </c>
      <c r="AH262" s="14" t="n">
        <f aca="false">AG270</f>
        <v>4047166.98080569</v>
      </c>
      <c r="AI262" s="14" t="n">
        <f aca="false">AH270</f>
        <v>4276093.13014654</v>
      </c>
      <c r="AJ262" s="14" t="n">
        <f aca="false">AI270</f>
        <v>4275692.88067851</v>
      </c>
      <c r="AK262" s="14" t="n">
        <f aca="false">AJ270</f>
        <v>4275292.63121048</v>
      </c>
      <c r="AL262" s="14" t="n">
        <f aca="false">AK270</f>
        <v>4274892.38174245</v>
      </c>
      <c r="AM262" s="14" t="n">
        <f aca="false">AL270</f>
        <v>4601204.33424047</v>
      </c>
      <c r="AN262" s="14" t="n">
        <f aca="false">AM270</f>
        <v>4955602.07252153</v>
      </c>
      <c r="AO262" s="14" t="n">
        <f aca="false">AN270</f>
        <v>4748284.09514168</v>
      </c>
      <c r="AP262" s="14" t="n">
        <f aca="false">AO270</f>
        <v>4532621.9818273</v>
      </c>
      <c r="AQ262" s="14" t="n">
        <f aca="false">AP270</f>
        <v>4316959.86851292</v>
      </c>
      <c r="AR262" s="14" t="n">
        <f aca="false">AQ270</f>
        <v>4101297.75519854</v>
      </c>
      <c r="AS262" s="14" t="n">
        <f aca="false">AR270</f>
        <v>3885635.64188416</v>
      </c>
      <c r="AT262" s="14" t="n">
        <f aca="false">AS270</f>
        <v>3669973.52856978</v>
      </c>
      <c r="AU262" s="14" t="n">
        <f aca="false">AT270</f>
        <v>3713172.72134123</v>
      </c>
      <c r="AV262" s="14" t="n">
        <f aca="false">AU270</f>
        <v>3778624.90358321</v>
      </c>
      <c r="AW262" s="14" t="n">
        <f aca="false">AV270</f>
        <v>3399017.29641448</v>
      </c>
      <c r="AX262" s="14" t="n">
        <f aca="false">AW270</f>
        <v>3019409.68924575</v>
      </c>
      <c r="AY262" s="14" t="n">
        <f aca="false">AX270</f>
        <v>2639802.08207701</v>
      </c>
      <c r="AZ262" s="14" t="n">
        <f aca="false">AY270</f>
        <v>2260194.47490828</v>
      </c>
      <c r="BA262" s="14" t="n">
        <f aca="false">AZ270</f>
        <v>1880586.86773954</v>
      </c>
      <c r="BB262" s="14" t="n">
        <f aca="false">BA270</f>
        <v>1492468.2419176</v>
      </c>
      <c r="BC262" s="14" t="n">
        <f aca="false">BB270</f>
        <v>1104349.61609565</v>
      </c>
      <c r="BD262" s="14" t="n">
        <f aca="false">BC270</f>
        <v>716230.99027371</v>
      </c>
      <c r="BE262" s="14" t="n">
        <f aca="false">BD270</f>
        <v>328112.364451766</v>
      </c>
      <c r="BF262" s="14" t="n">
        <f aca="false">BE270</f>
        <v>-60006.2613701789</v>
      </c>
      <c r="BG262" s="14" t="n">
        <f aca="false">BF270</f>
        <v>-448124.887192123</v>
      </c>
      <c r="BH262" s="14" t="n">
        <f aca="false">BG270</f>
        <v>-836243.513014068</v>
      </c>
      <c r="BI262" s="14" t="n">
        <f aca="false">BH270</f>
        <v>-987872.677533192</v>
      </c>
      <c r="BJ262" s="14" t="n">
        <f aca="false">BI270</f>
        <v>-1119172.04625611</v>
      </c>
      <c r="BK262" s="14" t="n">
        <f aca="false">BJ270</f>
        <v>-1657067.33090317</v>
      </c>
      <c r="BL262" s="14" t="n">
        <f aca="false">BK270</f>
        <v>-2194962.61555024</v>
      </c>
      <c r="BM262" s="14" t="n">
        <f aca="false">BL270</f>
        <v>-2732857.9001973</v>
      </c>
      <c r="BN262" s="14" t="n">
        <f aca="false">BM270</f>
        <v>-3279434.42387064</v>
      </c>
      <c r="BO262" s="14" t="n">
        <f aca="false">BN270</f>
        <v>-3826010.94754398</v>
      </c>
      <c r="BP262" s="14" t="n">
        <f aca="false">BO270</f>
        <v>-4372587.47121732</v>
      </c>
      <c r="BQ262" s="14" t="n">
        <f aca="false">BP270</f>
        <v>-4919163.99489065</v>
      </c>
      <c r="BR262" s="14" t="n">
        <f aca="false">BQ270</f>
        <v>-5465740.51856399</v>
      </c>
      <c r="BS262" s="14" t="n">
        <f aca="false">BR270</f>
        <v>-6012317.04223733</v>
      </c>
      <c r="BT262" s="14" t="n">
        <f aca="false">BS270</f>
        <v>-6558893.56591067</v>
      </c>
      <c r="BU262" s="14" t="n">
        <f aca="false">BT270</f>
        <v>-7105470.08958401</v>
      </c>
      <c r="BV262" s="14" t="n">
        <f aca="false">BU270</f>
        <v>-7652046.61325735</v>
      </c>
      <c r="BW262" s="14" t="n">
        <f aca="false">BV270</f>
        <v>-8198623.13693069</v>
      </c>
      <c r="BX262" s="14" t="n">
        <f aca="false">BW270</f>
        <v>-8745199.66060403</v>
      </c>
      <c r="BY262" s="14" t="n">
        <f aca="false">BX270</f>
        <v>-9291776.18427737</v>
      </c>
      <c r="BZ262" s="14" t="n">
        <f aca="false">BY270</f>
        <v>-9847207.5717575</v>
      </c>
      <c r="CA262" s="14" t="n">
        <f aca="false">BZ270</f>
        <v>-10402638.9592376</v>
      </c>
      <c r="CB262" s="14" t="n">
        <f aca="false">CA270</f>
        <v>-10958070.3467178</v>
      </c>
      <c r="CC262" s="14" t="n">
        <f aca="false">CB270</f>
        <v>-11513501.7341979</v>
      </c>
      <c r="CD262" s="14" t="n">
        <f aca="false">CC270</f>
        <v>-12068933.1216781</v>
      </c>
      <c r="CE262" s="14" t="n">
        <f aca="false">CD270</f>
        <v>-12624364.5091582</v>
      </c>
      <c r="CF262" s="14" t="n">
        <f aca="false">CE270</f>
        <v>-13179795.8966383</v>
      </c>
      <c r="CG262" s="14" t="n">
        <f aca="false">CF270</f>
        <v>-13735227.2841185</v>
      </c>
      <c r="CH262" s="14" t="n">
        <f aca="false">CG270</f>
        <v>-14290658.6715986</v>
      </c>
      <c r="CI262" s="14" t="n">
        <f aca="false">CH270</f>
        <v>-14846090.0590787</v>
      </c>
      <c r="CJ262" s="14" t="n">
        <f aca="false">CI270</f>
        <v>-15401521.4465589</v>
      </c>
      <c r="CK262" s="14" t="n">
        <f aca="false">CJ270</f>
        <v>-15956952.834039</v>
      </c>
      <c r="CL262" s="14" t="n">
        <f aca="false">CK270</f>
        <v>-16521416.1826021</v>
      </c>
      <c r="CM262" s="14" t="n">
        <f aca="false">CL270</f>
        <v>-17085879.5311652</v>
      </c>
      <c r="CN262" s="14" t="n">
        <f aca="false">CM270</f>
        <v>-17650342.8797282</v>
      </c>
      <c r="CO262" s="14" t="n">
        <f aca="false">CN270</f>
        <v>-18214806.2282913</v>
      </c>
      <c r="CP262" s="14" t="n">
        <f aca="false">CO270</f>
        <v>-18779269.5768544</v>
      </c>
      <c r="CQ262" s="14" t="n">
        <f aca="false">CP270</f>
        <v>-19343732.9254175</v>
      </c>
      <c r="CR262" s="14" t="n">
        <f aca="false">CQ270</f>
        <v>-19908196.2739805</v>
      </c>
      <c r="CS262" s="14" t="n">
        <f aca="false">CR270</f>
        <v>-20472659.6225436</v>
      </c>
      <c r="CT262" s="14" t="n">
        <f aca="false">CS270</f>
        <v>-21037122.9711067</v>
      </c>
      <c r="CU262" s="14" t="n">
        <f aca="false">CT270</f>
        <v>-21547142.2086659</v>
      </c>
      <c r="CV262" s="14" t="n">
        <f aca="false">CU270</f>
        <v>-22057161.4462251</v>
      </c>
      <c r="CW262" s="14" t="n">
        <f aca="false">CV270</f>
        <v>-22567180.6837843</v>
      </c>
      <c r="CX262" s="14" t="n">
        <f aca="false">CW270</f>
        <v>-23085323.6394281</v>
      </c>
      <c r="CY262" s="14" t="n">
        <f aca="false">CX270</f>
        <v>-23603466.5950718</v>
      </c>
      <c r="CZ262" s="14" t="n">
        <f aca="false">CY270</f>
        <v>-24121609.5507155</v>
      </c>
      <c r="DA262" s="14" t="n">
        <f aca="false">CZ270</f>
        <v>-24639752.5063592</v>
      </c>
      <c r="DB262" s="14" t="n">
        <f aca="false">DA270</f>
        <v>-25157895.462003</v>
      </c>
      <c r="DC262" s="14" t="n">
        <f aca="false">DB270</f>
        <v>-25676038.4176467</v>
      </c>
      <c r="DD262" s="14" t="n">
        <f aca="false">DC270</f>
        <v>-26194181.3732904</v>
      </c>
      <c r="DE262" s="14" t="n">
        <f aca="false">DD270</f>
        <v>-26712324.3289342</v>
      </c>
    </row>
    <row r="263" customFormat="false" ht="15" hidden="false" customHeight="true" outlineLevel="0" collapsed="false">
      <c r="A263" s="29" t="s">
        <v>173</v>
      </c>
      <c r="B263" s="14"/>
      <c r="C263" s="14"/>
      <c r="D263" s="14"/>
      <c r="E263" s="14"/>
      <c r="F263" s="14"/>
      <c r="G263" s="14"/>
      <c r="H263" s="14" t="n">
        <f aca="false">H145</f>
        <v>-76035.185416696</v>
      </c>
      <c r="I263" s="14" t="n">
        <f aca="false">I145</f>
        <v>296394.633165302</v>
      </c>
      <c r="J263" s="14" t="n">
        <f aca="false">J145</f>
        <v>-63323.2319474525</v>
      </c>
      <c r="K263" s="14" t="n">
        <f aca="false">K145</f>
        <v>417513.614526244</v>
      </c>
      <c r="L263" s="14" t="n">
        <f aca="false">L145</f>
        <v>393607.260726189</v>
      </c>
      <c r="M263" s="14" t="n">
        <f aca="false">M145</f>
        <v>273593.5875938</v>
      </c>
      <c r="N263" s="14" t="n">
        <f aca="false">N145</f>
        <v>293487.26515205</v>
      </c>
      <c r="O263" s="14" t="n">
        <f aca="false">O145</f>
        <v>267890.590634305</v>
      </c>
      <c r="P263" s="14" t="n">
        <f aca="false">P145</f>
        <v>239963.965992099</v>
      </c>
      <c r="Q263" s="14" t="n">
        <f aca="false">Q145</f>
        <v>-455842.922775748</v>
      </c>
      <c r="R263" s="14" t="n">
        <f aca="false">R145</f>
        <v>331617.059109317</v>
      </c>
      <c r="S263" s="14" t="n">
        <f aca="false">S145</f>
        <v>304179.711590462</v>
      </c>
      <c r="T263" s="14" t="n">
        <f aca="false">T145</f>
        <v>229044.573090154</v>
      </c>
      <c r="U263" s="14" t="n">
        <f aca="false">U145</f>
        <v>176486.238009593</v>
      </c>
      <c r="V263" s="14" t="n">
        <f aca="false">V145</f>
        <v>173703.337351954</v>
      </c>
      <c r="W263" s="14" t="n">
        <f aca="false">W145</f>
        <v>171117.943555453</v>
      </c>
      <c r="X263" s="14" t="n">
        <f aca="false">X145</f>
        <v>160138.301130427</v>
      </c>
      <c r="Y263" s="14" t="n">
        <f aca="false">Y145</f>
        <v>160138.301130427</v>
      </c>
      <c r="Z263" s="14" t="n">
        <f aca="false">Z145</f>
        <v>160138.301130427</v>
      </c>
      <c r="AA263" s="14" t="n">
        <f aca="false">AA145</f>
        <v>238354.985752204</v>
      </c>
      <c r="AB263" s="14" t="n">
        <f aca="false">AB145</f>
        <v>81921.6165086495</v>
      </c>
      <c r="AC263" s="14" t="n">
        <f aca="false">AC145</f>
        <v>176809.704282249</v>
      </c>
      <c r="AD263" s="14" t="n">
        <f aca="false">AD145</f>
        <v>-29327.5221169515</v>
      </c>
      <c r="AE263" s="14" t="n">
        <f aca="false">AE145</f>
        <v>-595373.941248404</v>
      </c>
      <c r="AF263" s="14" t="n">
        <f aca="false">AF145</f>
        <v>128332.118751596</v>
      </c>
      <c r="AG263" s="14" t="n">
        <f aca="false">AG145</f>
        <v>256328.248319346</v>
      </c>
      <c r="AH263" s="14" t="n">
        <f aca="false">AH145</f>
        <v>27001.8495104608</v>
      </c>
      <c r="AI263" s="14" t="n">
        <f aca="false">AI145</f>
        <v>27001.8495104603</v>
      </c>
      <c r="AJ263" s="14" t="n">
        <f aca="false">AJ145</f>
        <v>27001.8495104603</v>
      </c>
      <c r="AK263" s="14" t="n">
        <f aca="false">AK145</f>
        <v>27001.8495104603</v>
      </c>
      <c r="AL263" s="14" t="n">
        <f aca="false">AL145</f>
        <v>370909.430527351</v>
      </c>
      <c r="AM263" s="14" t="n">
        <f aca="false">AM145</f>
        <v>-190806.28513357</v>
      </c>
      <c r="AN263" s="14" t="n">
        <f aca="false">AN145</f>
        <v>-190806.28513357</v>
      </c>
      <c r="AO263" s="14" t="n">
        <f aca="false">AO145</f>
        <v>-199150.42106809</v>
      </c>
      <c r="AP263" s="14" t="n">
        <f aca="false">AP145</f>
        <v>-199150.42106809</v>
      </c>
      <c r="AQ263" s="14" t="n">
        <f aca="false">AQ145</f>
        <v>-199150.42106809</v>
      </c>
      <c r="AR263" s="14" t="n">
        <f aca="false">AR145</f>
        <v>-199150.42106809</v>
      </c>
      <c r="AS263" s="14" t="n">
        <f aca="false">AS145</f>
        <v>-199150.42106809</v>
      </c>
      <c r="AT263" s="14" t="n">
        <f aca="false">AT145</f>
        <v>73335.1642854096</v>
      </c>
      <c r="AU263" s="14" t="n">
        <f aca="false">AU145</f>
        <v>-371724.625125307</v>
      </c>
      <c r="AV263" s="14" t="n">
        <f aca="false">AV145</f>
        <v>-371724.625125307</v>
      </c>
      <c r="AW263" s="14" t="n">
        <f aca="false">AW145</f>
        <v>-371724.625125307</v>
      </c>
      <c r="AX263" s="14" t="n">
        <f aca="false">AX145</f>
        <v>-371724.625125307</v>
      </c>
      <c r="AY263" s="14" t="n">
        <f aca="false">AY145</f>
        <v>-371724.625125307</v>
      </c>
      <c r="AZ263" s="14" t="n">
        <f aca="false">AZ145</f>
        <v>-371724.625125307</v>
      </c>
      <c r="BA263" s="14" t="n">
        <f aca="false">BA145</f>
        <v>-380235.643778517</v>
      </c>
      <c r="BB263" s="14" t="n">
        <f aca="false">BB145</f>
        <v>-380235.643778517</v>
      </c>
      <c r="BC263" s="14" t="n">
        <f aca="false">BC145</f>
        <v>-380235.643778517</v>
      </c>
      <c r="BD263" s="14" t="n">
        <f aca="false">BD145</f>
        <v>-380235.643778517</v>
      </c>
      <c r="BE263" s="14" t="n">
        <f aca="false">BE145</f>
        <v>-380235.643778517</v>
      </c>
      <c r="BF263" s="14" t="n">
        <f aca="false">BF145</f>
        <v>-380235.643778517</v>
      </c>
      <c r="BG263" s="14" t="n">
        <f aca="false">BG145</f>
        <v>-380235.643778517</v>
      </c>
      <c r="BH263" s="14" t="n">
        <f aca="false">BH145</f>
        <v>-131299.368722917</v>
      </c>
      <c r="BI263" s="14" t="n">
        <f aca="false">BI145</f>
        <v>-537895.284647064</v>
      </c>
      <c r="BJ263" s="14" t="n">
        <f aca="false">BJ145</f>
        <v>-537895.284647064</v>
      </c>
      <c r="BK263" s="14" t="n">
        <f aca="false">BK145</f>
        <v>-537895.284647064</v>
      </c>
      <c r="BL263" s="14" t="n">
        <f aca="false">BL145</f>
        <v>-537895.284647064</v>
      </c>
      <c r="BM263" s="14" t="n">
        <f aca="false">BM145</f>
        <v>-546576.523673338</v>
      </c>
      <c r="BN263" s="14" t="n">
        <f aca="false">BN145</f>
        <v>-546576.523673338</v>
      </c>
      <c r="BO263" s="14" t="n">
        <f aca="false">BO145</f>
        <v>-546576.523673338</v>
      </c>
      <c r="BP263" s="14" t="n">
        <f aca="false">BP145</f>
        <v>-546576.523673338</v>
      </c>
      <c r="BQ263" s="14" t="n">
        <f aca="false">BQ145</f>
        <v>-546576.523673338</v>
      </c>
      <c r="BR263" s="14" t="n">
        <f aca="false">BR145</f>
        <v>-546576.523673338</v>
      </c>
      <c r="BS263" s="14" t="n">
        <f aca="false">BS145</f>
        <v>-546576.523673338</v>
      </c>
      <c r="BT263" s="14" t="n">
        <f aca="false">BT145</f>
        <v>-546576.523673338</v>
      </c>
      <c r="BU263" s="14" t="n">
        <f aca="false">BU145</f>
        <v>-546576.523673338</v>
      </c>
      <c r="BV263" s="14" t="n">
        <f aca="false">BV145</f>
        <v>-546576.523673338</v>
      </c>
      <c r="BW263" s="14" t="n">
        <f aca="false">BW145</f>
        <v>-546576.523673338</v>
      </c>
      <c r="BX263" s="14" t="n">
        <f aca="false">BX145</f>
        <v>-546576.523673338</v>
      </c>
      <c r="BY263" s="14" t="n">
        <f aca="false">BY145</f>
        <v>-555431.387480139</v>
      </c>
      <c r="BZ263" s="14" t="n">
        <f aca="false">BZ145</f>
        <v>-555431.387480139</v>
      </c>
      <c r="CA263" s="14" t="n">
        <f aca="false">CA145</f>
        <v>-555431.387480139</v>
      </c>
      <c r="CB263" s="14" t="n">
        <f aca="false">CB145</f>
        <v>-555431.387480139</v>
      </c>
      <c r="CC263" s="14" t="n">
        <f aca="false">CC145</f>
        <v>-555431.387480139</v>
      </c>
      <c r="CD263" s="14" t="n">
        <f aca="false">CD145</f>
        <v>-555431.387480139</v>
      </c>
      <c r="CE263" s="14" t="n">
        <f aca="false">CE145</f>
        <v>-555431.387480139</v>
      </c>
      <c r="CF263" s="14" t="n">
        <f aca="false">CF145</f>
        <v>-555431.387480139</v>
      </c>
      <c r="CG263" s="14" t="n">
        <f aca="false">CG145</f>
        <v>-555431.387480139</v>
      </c>
      <c r="CH263" s="14" t="n">
        <f aca="false">CH145</f>
        <v>-555431.387480139</v>
      </c>
      <c r="CI263" s="14" t="n">
        <f aca="false">CI145</f>
        <v>-555431.387480139</v>
      </c>
      <c r="CJ263" s="14" t="n">
        <f aca="false">CJ145</f>
        <v>-555431.387480139</v>
      </c>
      <c r="CK263" s="14" t="n">
        <f aca="false">CK145</f>
        <v>-564463.348563075</v>
      </c>
      <c r="CL263" s="14" t="n">
        <f aca="false">CL145</f>
        <v>-564463.348563075</v>
      </c>
      <c r="CM263" s="14" t="n">
        <f aca="false">CM145</f>
        <v>-564463.348563075</v>
      </c>
      <c r="CN263" s="14" t="n">
        <f aca="false">CN145</f>
        <v>-564463.348563075</v>
      </c>
      <c r="CO263" s="14" t="n">
        <f aca="false">CO145</f>
        <v>-564463.348563075</v>
      </c>
      <c r="CP263" s="14" t="n">
        <f aca="false">CP145</f>
        <v>-564463.348563075</v>
      </c>
      <c r="CQ263" s="14" t="n">
        <f aca="false">CQ145</f>
        <v>-564463.348563075</v>
      </c>
      <c r="CR263" s="14" t="n">
        <f aca="false">CR145</f>
        <v>-564463.348563075</v>
      </c>
      <c r="CS263" s="14" t="n">
        <f aca="false">CS145</f>
        <v>-564463.348563075</v>
      </c>
      <c r="CT263" s="14" t="n">
        <f aca="false">CT145</f>
        <v>-510019.23755921</v>
      </c>
      <c r="CU263" s="14" t="n">
        <f aca="false">CU145</f>
        <v>-510019.23755921</v>
      </c>
      <c r="CV263" s="14" t="n">
        <f aca="false">CV145</f>
        <v>-510019.23755921</v>
      </c>
      <c r="CW263" s="14" t="n">
        <f aca="false">CW145</f>
        <v>-518142.955643728</v>
      </c>
      <c r="CX263" s="14" t="n">
        <f aca="false">CX145</f>
        <v>-518142.955643728</v>
      </c>
      <c r="CY263" s="14" t="n">
        <f aca="false">CY145</f>
        <v>-518142.955643728</v>
      </c>
      <c r="CZ263" s="14" t="n">
        <f aca="false">CZ145</f>
        <v>-518142.955643728</v>
      </c>
      <c r="DA263" s="14" t="n">
        <f aca="false">DA145</f>
        <v>-518142.955643728</v>
      </c>
      <c r="DB263" s="14" t="n">
        <f aca="false">DB145</f>
        <v>-518142.955643728</v>
      </c>
      <c r="DC263" s="14" t="n">
        <f aca="false">DC145</f>
        <v>-518142.955643728</v>
      </c>
      <c r="DD263" s="14" t="n">
        <f aca="false">DD145</f>
        <v>-518142.955643728</v>
      </c>
      <c r="DE263" s="14" t="n">
        <f aca="false">DE145</f>
        <v>-518142.955643728</v>
      </c>
    </row>
    <row r="264" customFormat="false" ht="15" hidden="false" customHeight="true" outlineLevel="0" collapsed="false">
      <c r="A264" s="29" t="s">
        <v>174</v>
      </c>
      <c r="B264" s="14"/>
      <c r="C264" s="14"/>
      <c r="D264" s="14"/>
      <c r="E264" s="14"/>
      <c r="F264" s="14"/>
      <c r="G264" s="14"/>
      <c r="H264" s="14" t="n">
        <v>8605828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customFormat="false" ht="15" hidden="false" customHeight="true" outlineLevel="0" collapsed="false">
      <c r="A265" s="29" t="s">
        <v>175</v>
      </c>
      <c r="B265" s="14"/>
      <c r="C265" s="14"/>
      <c r="D265" s="14"/>
      <c r="E265" s="14"/>
      <c r="F265" s="14"/>
      <c r="G265" s="14"/>
      <c r="H265" s="14" t="n">
        <v>-8892451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</row>
    <row r="266" customFormat="false" ht="15" hidden="false" customHeight="true" outlineLevel="0" collapsed="false">
      <c r="A266" s="29" t="s">
        <v>176</v>
      </c>
      <c r="B266" s="14"/>
      <c r="C266" s="14"/>
      <c r="D266" s="14"/>
      <c r="E266" s="14"/>
      <c r="F266" s="14"/>
      <c r="G266" s="14"/>
      <c r="H266" s="14" t="n">
        <f aca="false">G107-H107</f>
        <v>198434.590416696</v>
      </c>
      <c r="I266" s="14" t="n">
        <f aca="false">H107-I107</f>
        <v>-327429.818581998</v>
      </c>
      <c r="J266" s="14" t="n">
        <f aca="false">I107-J107</f>
        <v>320451.198446088</v>
      </c>
      <c r="K266" s="14" t="n">
        <f aca="false">J107-K107</f>
        <v>-456836.846473696</v>
      </c>
      <c r="L266" s="14" t="n">
        <f aca="false">K107-L107</f>
        <v>23906.3538000546</v>
      </c>
      <c r="M266" s="14" t="n">
        <f aca="false">L107-M107</f>
        <v>88109.5064657228</v>
      </c>
      <c r="N266" s="14" t="n">
        <f aca="false">M107-N107</f>
        <v>21950.0657750834</v>
      </c>
      <c r="O266" s="14" t="n">
        <f aca="false">N107-O107</f>
        <v>25596.6745177442</v>
      </c>
      <c r="P266" s="14" t="n">
        <f aca="false">O107-P107</f>
        <v>27926.6246422064</v>
      </c>
      <c r="Q266" s="14" t="n">
        <f aca="false">P107-Q107</f>
        <v>648520.099134514</v>
      </c>
      <c r="R266" s="14" t="n">
        <f aca="false">Q107-R107</f>
        <v>-763459.981885065</v>
      </c>
      <c r="S266" s="14" t="n">
        <f aca="false">R107-S107</f>
        <v>27437.3475188548</v>
      </c>
      <c r="T266" s="14" t="n">
        <f aca="false">S107-T107</f>
        <v>75135.1385003086</v>
      </c>
      <c r="U266" s="14" t="n">
        <f aca="false">T107-U107</f>
        <v>52558.3350805603</v>
      </c>
      <c r="V266" s="14" t="n">
        <f aca="false">U107-V107</f>
        <v>2782.90065763891</v>
      </c>
      <c r="W266" s="14" t="n">
        <f aca="false">V107-W107</f>
        <v>2585.39379650168</v>
      </c>
      <c r="X266" s="14" t="n">
        <f aca="false">W107-X107</f>
        <v>10979.6424250258</v>
      </c>
      <c r="Y266" s="14" t="n">
        <f aca="false">X107-Y107</f>
        <v>0</v>
      </c>
      <c r="Z266" s="14" t="n">
        <f aca="false">Y107-Z107</f>
        <v>0</v>
      </c>
      <c r="AA266" s="14" t="n">
        <f aca="false">Z107-AA107</f>
        <v>-78216.6846217774</v>
      </c>
      <c r="AB266" s="14" t="n">
        <f aca="false">AA107-AB107</f>
        <v>156433.369243555</v>
      </c>
      <c r="AC266" s="14" t="n">
        <f aca="false">AB107-AC107</f>
        <v>-103068.613199599</v>
      </c>
      <c r="AD266" s="14" t="n">
        <f aca="false">AC107-AD107</f>
        <v>206137.2263992</v>
      </c>
      <c r="AE266" s="14" t="n">
        <f aca="false">AD107-AE107</f>
        <v>566046.419131453</v>
      </c>
      <c r="AF266" s="14" t="n">
        <f aca="false">AE107-AF107</f>
        <v>-723706.06</v>
      </c>
      <c r="AG266" s="14" t="n">
        <f aca="false">AF107-AG107</f>
        <v>-127996.12956775</v>
      </c>
      <c r="AH266" s="14" t="n">
        <f aca="false">AG107-AH107</f>
        <v>229326.398808885</v>
      </c>
      <c r="AI266" s="14" t="n">
        <f aca="false">AH107-AI107</f>
        <v>0</v>
      </c>
      <c r="AJ266" s="14" t="n">
        <f aca="false">AI107-AJ107</f>
        <v>0</v>
      </c>
      <c r="AK266" s="14" t="n">
        <f aca="false">AJ107-AK107</f>
        <v>0</v>
      </c>
      <c r="AL266" s="14" t="n">
        <f aca="false">AK107-AL107</f>
        <v>-343907.58101689</v>
      </c>
      <c r="AM266" s="14" t="n">
        <f aca="false">AL107-AM107</f>
        <v>561715.71566092</v>
      </c>
      <c r="AN266" s="14" t="n">
        <f aca="false">AM107-AN107</f>
        <v>0</v>
      </c>
      <c r="AO266" s="14" t="n">
        <f aca="false">AN107-AO107</f>
        <v>0</v>
      </c>
      <c r="AP266" s="14" t="n">
        <f aca="false">AO107-AP107</f>
        <v>0</v>
      </c>
      <c r="AQ266" s="14" t="n">
        <f aca="false">AP107-AQ107</f>
        <v>0</v>
      </c>
      <c r="AR266" s="14" t="n">
        <f aca="false">AQ107-AR107</f>
        <v>0</v>
      </c>
      <c r="AS266" s="14" t="n">
        <f aca="false">AR107-AS107</f>
        <v>0</v>
      </c>
      <c r="AT266" s="14" t="n">
        <f aca="false">AS107-AT107</f>
        <v>-272485.5853535</v>
      </c>
      <c r="AU266" s="14" t="n">
        <f aca="false">AT107-AU107</f>
        <v>445059.789410716</v>
      </c>
      <c r="AV266" s="14" t="n">
        <f aca="false">AU107-AV107</f>
        <v>0</v>
      </c>
      <c r="AW266" s="14" t="n">
        <f aca="false">AV107-AW107</f>
        <v>0</v>
      </c>
      <c r="AX266" s="14" t="n">
        <f aca="false">AW107-AX107</f>
        <v>0</v>
      </c>
      <c r="AY266" s="14" t="n">
        <f aca="false">AX107-AY107</f>
        <v>0</v>
      </c>
      <c r="AZ266" s="14" t="n">
        <f aca="false">AY107-AZ107</f>
        <v>0</v>
      </c>
      <c r="BA266" s="14" t="n">
        <f aca="false">AZ107-BA107</f>
        <v>0</v>
      </c>
      <c r="BB266" s="14" t="n">
        <f aca="false">BA107-BB107</f>
        <v>0</v>
      </c>
      <c r="BC266" s="14" t="n">
        <f aca="false">BB107-BC107</f>
        <v>0</v>
      </c>
      <c r="BD266" s="14" t="n">
        <f aca="false">BC107-BD107</f>
        <v>0</v>
      </c>
      <c r="BE266" s="14" t="n">
        <f aca="false">BD107-BE107</f>
        <v>0</v>
      </c>
      <c r="BF266" s="14" t="n">
        <f aca="false">BE107-BF107</f>
        <v>0</v>
      </c>
      <c r="BG266" s="14" t="n">
        <f aca="false">BF107-BG107</f>
        <v>0</v>
      </c>
      <c r="BH266" s="14" t="n">
        <f aca="false">BG107-BH107</f>
        <v>-248936.2750556</v>
      </c>
      <c r="BI266" s="14" t="n">
        <f aca="false">BH107-BI107</f>
        <v>406595.915924147</v>
      </c>
      <c r="BJ266" s="14" t="n">
        <f aca="false">BI107-BJ107</f>
        <v>0</v>
      </c>
      <c r="BK266" s="14" t="n">
        <f aca="false">BJ107-BK107</f>
        <v>0</v>
      </c>
      <c r="BL266" s="14" t="n">
        <f aca="false">BK107-BL107</f>
        <v>0</v>
      </c>
      <c r="BM266" s="14" t="n">
        <f aca="false">BL107-BM107</f>
        <v>0</v>
      </c>
      <c r="BN266" s="14" t="n">
        <f aca="false">BM107-BN107</f>
        <v>0</v>
      </c>
      <c r="BO266" s="14" t="n">
        <f aca="false">BN107-BO107</f>
        <v>0</v>
      </c>
      <c r="BP266" s="14" t="n">
        <f aca="false">BO107-BP107</f>
        <v>0</v>
      </c>
      <c r="BQ266" s="14" t="n">
        <f aca="false">BP107-BQ107</f>
        <v>0</v>
      </c>
      <c r="BR266" s="14" t="n">
        <f aca="false">BQ107-BR107</f>
        <v>0</v>
      </c>
      <c r="BS266" s="14" t="n">
        <f aca="false">BR107-BS107</f>
        <v>0</v>
      </c>
      <c r="BT266" s="14" t="n">
        <f aca="false">BS107-BT107</f>
        <v>0</v>
      </c>
      <c r="BU266" s="14" t="n">
        <f aca="false">BT107-BU107</f>
        <v>0</v>
      </c>
      <c r="BV266" s="14" t="n">
        <f aca="false">BU107-BV107</f>
        <v>0</v>
      </c>
      <c r="BW266" s="14" t="n">
        <f aca="false">BV107-BW107</f>
        <v>0</v>
      </c>
      <c r="BX266" s="14" t="n">
        <f aca="false">BW107-BX107</f>
        <v>0</v>
      </c>
      <c r="BY266" s="14" t="n">
        <f aca="false">BX107-BY107</f>
        <v>0</v>
      </c>
      <c r="BZ266" s="14" t="n">
        <f aca="false">BY107-BZ107</f>
        <v>0</v>
      </c>
      <c r="CA266" s="14" t="n">
        <f aca="false">BZ107-CA107</f>
        <v>0</v>
      </c>
      <c r="CB266" s="14" t="n">
        <f aca="false">CA107-CB107</f>
        <v>0</v>
      </c>
      <c r="CC266" s="14" t="n">
        <f aca="false">CB107-CC107</f>
        <v>0</v>
      </c>
      <c r="CD266" s="14" t="n">
        <f aca="false">CC107-CD107</f>
        <v>0</v>
      </c>
      <c r="CE266" s="14" t="n">
        <f aca="false">CD107-CE107</f>
        <v>0</v>
      </c>
      <c r="CF266" s="14" t="n">
        <f aca="false">CE107-CF107</f>
        <v>0</v>
      </c>
      <c r="CG266" s="14" t="n">
        <f aca="false">CF107-CG107</f>
        <v>0</v>
      </c>
      <c r="CH266" s="14" t="n">
        <f aca="false">CG107-CH107</f>
        <v>0</v>
      </c>
      <c r="CI266" s="14" t="n">
        <f aca="false">CH107-CI107</f>
        <v>0</v>
      </c>
      <c r="CJ266" s="14" t="n">
        <f aca="false">CI107-CJ107</f>
        <v>0</v>
      </c>
      <c r="CK266" s="14" t="n">
        <f aca="false">CJ107-CK107</f>
        <v>0</v>
      </c>
      <c r="CL266" s="14" t="n">
        <f aca="false">CK107-CL107</f>
        <v>0</v>
      </c>
      <c r="CM266" s="14" t="n">
        <f aca="false">CL107-CM107</f>
        <v>0</v>
      </c>
      <c r="CN266" s="14" t="n">
        <f aca="false">CM107-CN107</f>
        <v>0</v>
      </c>
      <c r="CO266" s="14" t="n">
        <f aca="false">CN107-CO107</f>
        <v>0</v>
      </c>
      <c r="CP266" s="14" t="n">
        <f aca="false">CO107-CP107</f>
        <v>0</v>
      </c>
      <c r="CQ266" s="14" t="n">
        <f aca="false">CP107-CQ107</f>
        <v>0</v>
      </c>
      <c r="CR266" s="14" t="n">
        <f aca="false">CQ107-CR107</f>
        <v>0</v>
      </c>
      <c r="CS266" s="14" t="n">
        <f aca="false">CR107-CS107</f>
        <v>0</v>
      </c>
      <c r="CT266" s="14" t="n">
        <f aca="false">CS107-CT107</f>
        <v>0</v>
      </c>
      <c r="CU266" s="14" t="n">
        <f aca="false">CT107-CU107</f>
        <v>0</v>
      </c>
      <c r="CV266" s="14" t="n">
        <f aca="false">CU107-CV107</f>
        <v>0</v>
      </c>
      <c r="CW266" s="14" t="n">
        <f aca="false">CV107-CW107</f>
        <v>0</v>
      </c>
      <c r="CX266" s="14" t="n">
        <f aca="false">CW107-CX107</f>
        <v>0</v>
      </c>
      <c r="CY266" s="14" t="n">
        <f aca="false">CX107-CY107</f>
        <v>0</v>
      </c>
      <c r="CZ266" s="14" t="n">
        <f aca="false">CY107-CZ107</f>
        <v>0</v>
      </c>
      <c r="DA266" s="14" t="n">
        <f aca="false">CZ107-DA107</f>
        <v>0</v>
      </c>
      <c r="DB266" s="14" t="n">
        <f aca="false">DA107-DB107</f>
        <v>0</v>
      </c>
      <c r="DC266" s="14" t="n">
        <f aca="false">DB107-DC107</f>
        <v>0</v>
      </c>
      <c r="DD266" s="14" t="n">
        <f aca="false">DC107-DD107</f>
        <v>0</v>
      </c>
      <c r="DE266" s="14" t="n">
        <f aca="false">DD107-DE107</f>
        <v>0</v>
      </c>
    </row>
    <row r="267" customFormat="false" ht="15" hidden="false" customHeight="true" outlineLevel="0" collapsed="false">
      <c r="A267" s="29" t="s">
        <v>177</v>
      </c>
      <c r="B267" s="14"/>
      <c r="C267" s="14"/>
      <c r="D267" s="14"/>
      <c r="E267" s="14"/>
      <c r="F267" s="14"/>
      <c r="G267" s="14"/>
      <c r="H267" s="14" t="n">
        <v>664258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</row>
    <row r="268" customFormat="false" ht="15" hidden="false" customHeight="true" outlineLevel="0" collapsed="false">
      <c r="A268" s="29" t="s">
        <v>178</v>
      </c>
      <c r="B268" s="14"/>
      <c r="C268" s="14"/>
      <c r="D268" s="14"/>
      <c r="E268" s="14"/>
      <c r="F268" s="14"/>
      <c r="G268" s="14"/>
      <c r="H268" s="14" t="n">
        <f aca="false">-0.05*(H10+H11)</f>
        <v>-27472.335150382</v>
      </c>
      <c r="I268" s="14" t="n">
        <f aca="false">-0.05*(I10+I11)</f>
        <v>-42134.6022243756</v>
      </c>
      <c r="J268" s="14" t="n">
        <f aca="false">-0.05*(J10+J11)</f>
        <v>-46635.838590332</v>
      </c>
      <c r="K268" s="14" t="n">
        <f aca="false">-0.05*(K10+K11)</f>
        <v>-50804.1164046071</v>
      </c>
      <c r="L268" s="14" t="n">
        <f aca="false">-0.05*(L10+L11)</f>
        <v>-49429.3581379419</v>
      </c>
      <c r="M268" s="14" t="n">
        <f aca="false">-0.05*(M10+M11)</f>
        <v>-44807.7478161098</v>
      </c>
      <c r="N268" s="14" t="n">
        <f aca="false">-0.05*(N10+N11)</f>
        <v>-43339.8236553812</v>
      </c>
      <c r="O268" s="14" t="n">
        <f aca="false">-0.05*(O10+O11)</f>
        <v>-41633.04956363</v>
      </c>
      <c r="P268" s="14" t="n">
        <f aca="false">-0.05*(P10+P11)</f>
        <v>-39777.5262285846</v>
      </c>
      <c r="Q268" s="14" t="n">
        <f aca="false">-0.05*(Q10+Q11)</f>
        <v>-46492.2402730505</v>
      </c>
      <c r="R268" s="14" t="n">
        <f aca="false">-0.05*(R10+R11)</f>
        <v>-44601.552239133</v>
      </c>
      <c r="S268" s="14" t="n">
        <f aca="false">-0.05*(S10+S11)</f>
        <v>-42803.9924466586</v>
      </c>
      <c r="T268" s="14" t="n">
        <f aca="false">-0.05*(T10+T11)</f>
        <v>-37518.1980569097</v>
      </c>
      <c r="U268" s="14" t="n">
        <f aca="false">-0.05*(U10+U11)</f>
        <v>-34474.9138526603</v>
      </c>
      <c r="V268" s="14" t="n">
        <f aca="false">-0.05*(V10+V11)</f>
        <v>-34334.4713783221</v>
      </c>
      <c r="W268" s="14" t="n">
        <f aca="false">-0.05*(W10+W11)</f>
        <v>-34203.996328513</v>
      </c>
      <c r="X268" s="14" t="n">
        <f aca="false">-0.05*(X10+X11)</f>
        <v>-33649.895288188</v>
      </c>
      <c r="Y268" s="14" t="n">
        <f aca="false">-0.05*(Y10+Y11)</f>
        <v>-33649.895288188</v>
      </c>
      <c r="Z268" s="14" t="n">
        <f aca="false">-0.05*(Z10+Z11)</f>
        <v>-33649.895288188</v>
      </c>
      <c r="AA268" s="14" t="n">
        <f aca="false">-0.05*(AA10+AA11)</f>
        <v>-37560.7295192769</v>
      </c>
      <c r="AB268" s="14" t="n">
        <f aca="false">-0.05*(AB10+AB11)</f>
        <v>-29739.0610570991</v>
      </c>
      <c r="AC268" s="14" t="n">
        <f aca="false">-0.05*(AC10+AC11)</f>
        <v>-34892.4917170791</v>
      </c>
      <c r="AD268" s="14" t="n">
        <f aca="false">-0.05*(AD10+AD11)</f>
        <v>-24585.6303971191</v>
      </c>
      <c r="AE268" s="14" t="n">
        <f aca="false">-0.05*(AE10+AE11)</f>
        <v>-32468.6124405465</v>
      </c>
      <c r="AF268" s="14" t="n">
        <f aca="false">-0.05*(AF10+AF11)</f>
        <v>-32468.6124405465</v>
      </c>
      <c r="AG268" s="14" t="n">
        <f aca="false">-0.05*(AG10+AG11)</f>
        <v>-38868.418918934</v>
      </c>
      <c r="AH268" s="14" t="n">
        <f aca="false">-0.05*(AH10+AH11)</f>
        <v>-27402.0989784897</v>
      </c>
      <c r="AI268" s="14" t="n">
        <f aca="false">-0.05*(AI10+AI11)</f>
        <v>-27402.0989784897</v>
      </c>
      <c r="AJ268" s="14" t="n">
        <f aca="false">-0.05*(AJ10+AJ11)</f>
        <v>-27402.0989784897</v>
      </c>
      <c r="AK268" s="14" t="n">
        <f aca="false">-0.05*(AK10+AK11)</f>
        <v>-27402.0989784897</v>
      </c>
      <c r="AL268" s="14" t="n">
        <f aca="false">-0.05*(AL10+AL11)</f>
        <v>-44597.4780293342</v>
      </c>
      <c r="AM268" s="14" t="n">
        <f aca="false">-0.05*(AM10+AM11)</f>
        <v>-16511.6922462882</v>
      </c>
      <c r="AN268" s="14" t="n">
        <f aca="false">-0.05*(AN10+AN11)</f>
        <v>-16511.6922462882</v>
      </c>
      <c r="AO268" s="14" t="n">
        <f aca="false">-0.05*(AO10+AO11)</f>
        <v>-16511.6922462882</v>
      </c>
      <c r="AP268" s="14" t="n">
        <f aca="false">-0.05*(AP10+AP11)</f>
        <v>-16511.6922462882</v>
      </c>
      <c r="AQ268" s="14" t="n">
        <f aca="false">-0.05*(AQ10+AQ11)</f>
        <v>-16511.6922462882</v>
      </c>
      <c r="AR268" s="14" t="n">
        <f aca="false">-0.05*(AR10+AR11)</f>
        <v>-16511.6922462882</v>
      </c>
      <c r="AS268" s="14" t="n">
        <f aca="false">-0.05*(AS10+AS11)</f>
        <v>-16511.6922462882</v>
      </c>
      <c r="AT268" s="14" t="n">
        <f aca="false">-0.05*(AT10+AT11)</f>
        <v>-30135.9715139632</v>
      </c>
      <c r="AU268" s="14" t="n">
        <f aca="false">-0.05*(AU10+AU11)</f>
        <v>-7882.98204342733</v>
      </c>
      <c r="AV268" s="14" t="n">
        <f aca="false">-0.05*(AV10+AV11)</f>
        <v>-7882.98204342733</v>
      </c>
      <c r="AW268" s="14" t="n">
        <f aca="false">-0.05*(AW10+AW11)</f>
        <v>-7882.98204342733</v>
      </c>
      <c r="AX268" s="14" t="n">
        <f aca="false">-0.05*(AX10+AX11)</f>
        <v>-7882.98204342733</v>
      </c>
      <c r="AY268" s="14" t="n">
        <f aca="false">-0.05*(AY10+AY11)</f>
        <v>-7882.98204342733</v>
      </c>
      <c r="AZ268" s="14" t="n">
        <f aca="false">-0.05*(AZ10+AZ11)</f>
        <v>-7882.98204342733</v>
      </c>
      <c r="BA268" s="14" t="n">
        <f aca="false">-0.05*(BA10+BA11)</f>
        <v>-7882.98204342733</v>
      </c>
      <c r="BB268" s="14" t="n">
        <f aca="false">-0.05*(BB10+BB11)</f>
        <v>-7882.98204342733</v>
      </c>
      <c r="BC268" s="14" t="n">
        <f aca="false">-0.05*(BC10+BC11)</f>
        <v>-7882.98204342733</v>
      </c>
      <c r="BD268" s="14" t="n">
        <f aca="false">-0.05*(BD10+BD11)</f>
        <v>-7882.98204342733</v>
      </c>
      <c r="BE268" s="14" t="n">
        <f aca="false">-0.05*(BE10+BE11)</f>
        <v>-7882.98204342733</v>
      </c>
      <c r="BF268" s="14" t="n">
        <f aca="false">-0.05*(BF10+BF11)</f>
        <v>-7882.98204342733</v>
      </c>
      <c r="BG268" s="14" t="n">
        <f aca="false">-0.05*(BG10+BG11)</f>
        <v>-7882.98204342733</v>
      </c>
      <c r="BH268" s="14" t="n">
        <f aca="false">-0.05*(BH10+BH11)</f>
        <v>-20329.7957962073</v>
      </c>
      <c r="BI268" s="14" t="n">
        <f aca="false">-0.05*(BI10+BI11)</f>
        <v>-0</v>
      </c>
      <c r="BJ268" s="14" t="n">
        <f aca="false">-0.05*(BJ10+BJ11)</f>
        <v>-0</v>
      </c>
      <c r="BK268" s="14" t="n">
        <f aca="false">-0.05*(BK10+BK11)</f>
        <v>-0</v>
      </c>
      <c r="BL268" s="14" t="n">
        <f aca="false">-0.05*(BL10+BL11)</f>
        <v>-0</v>
      </c>
      <c r="BM268" s="14" t="n">
        <f aca="false">-0.05*(BM10+BM11)</f>
        <v>-0</v>
      </c>
      <c r="BN268" s="14" t="n">
        <f aca="false">-0.05*(BN10+BN11)</f>
        <v>-0</v>
      </c>
      <c r="BO268" s="14" t="n">
        <f aca="false">-0.05*(BO10+BO11)</f>
        <v>-0</v>
      </c>
      <c r="BP268" s="14" t="n">
        <f aca="false">-0.05*(BP10+BP11)</f>
        <v>-0</v>
      </c>
      <c r="BQ268" s="14" t="n">
        <f aca="false">-0.05*(BQ10+BQ11)</f>
        <v>-0</v>
      </c>
      <c r="BR268" s="14" t="n">
        <f aca="false">-0.05*(BR10+BR11)</f>
        <v>-0</v>
      </c>
      <c r="BS268" s="14" t="n">
        <f aca="false">-0.05*(BS10+BS11)</f>
        <v>-0</v>
      </c>
      <c r="BT268" s="14" t="n">
        <f aca="false">-0.05*(BT10+BT11)</f>
        <v>-0</v>
      </c>
      <c r="BU268" s="14" t="n">
        <f aca="false">-0.05*(BU10+BU11)</f>
        <v>-0</v>
      </c>
      <c r="BV268" s="14" t="n">
        <f aca="false">-0.05*(BV10+BV11)</f>
        <v>-0</v>
      </c>
      <c r="BW268" s="14" t="n">
        <f aca="false">-0.05*(BW10+BW11)</f>
        <v>-0</v>
      </c>
      <c r="BX268" s="14" t="n">
        <f aca="false">-0.05*(BX10+BX11)</f>
        <v>-0</v>
      </c>
      <c r="BY268" s="14" t="n">
        <f aca="false">-0.05*(BY10+BY11)</f>
        <v>-0</v>
      </c>
      <c r="BZ268" s="14" t="n">
        <f aca="false">-0.05*(BZ10+BZ11)</f>
        <v>-0</v>
      </c>
      <c r="CA268" s="14" t="n">
        <f aca="false">-0.05*(CA10+CA11)</f>
        <v>-0</v>
      </c>
      <c r="CB268" s="14" t="n">
        <f aca="false">-0.05*(CB10+CB11)</f>
        <v>-0</v>
      </c>
      <c r="CC268" s="14" t="n">
        <f aca="false">-0.05*(CC10+CC11)</f>
        <v>-0</v>
      </c>
      <c r="CD268" s="14" t="n">
        <f aca="false">-0.05*(CD10+CD11)</f>
        <v>-0</v>
      </c>
      <c r="CE268" s="14" t="n">
        <f aca="false">-0.05*(CE10+CE11)</f>
        <v>-0</v>
      </c>
      <c r="CF268" s="14" t="n">
        <f aca="false">-0.05*(CF10+CF11)</f>
        <v>-0</v>
      </c>
      <c r="CG268" s="14" t="n">
        <f aca="false">-0.05*(CG10+CG11)</f>
        <v>-0</v>
      </c>
      <c r="CH268" s="14" t="n">
        <f aca="false">-0.05*(CH10+CH11)</f>
        <v>-0</v>
      </c>
      <c r="CI268" s="14" t="n">
        <f aca="false">-0.05*(CI10+CI11)</f>
        <v>-0</v>
      </c>
      <c r="CJ268" s="14" t="n">
        <f aca="false">-0.05*(CJ10+CJ11)</f>
        <v>-0</v>
      </c>
      <c r="CK268" s="14" t="n">
        <f aca="false">-0.05*(CK10+CK11)</f>
        <v>-0</v>
      </c>
      <c r="CL268" s="14" t="n">
        <f aca="false">-0.05*(CL10+CL11)</f>
        <v>-0</v>
      </c>
      <c r="CM268" s="14" t="n">
        <f aca="false">-0.05*(CM10+CM11)</f>
        <v>-0</v>
      </c>
      <c r="CN268" s="14" t="n">
        <f aca="false">-0.05*(CN10+CN11)</f>
        <v>-0</v>
      </c>
      <c r="CO268" s="14" t="n">
        <f aca="false">-0.05*(CO10+CO11)</f>
        <v>-0</v>
      </c>
      <c r="CP268" s="14" t="n">
        <f aca="false">-0.05*(CP10+CP11)</f>
        <v>-0</v>
      </c>
      <c r="CQ268" s="14" t="n">
        <f aca="false">-0.05*(CQ10+CQ11)</f>
        <v>-0</v>
      </c>
      <c r="CR268" s="14" t="n">
        <f aca="false">-0.05*(CR10+CR11)</f>
        <v>-0</v>
      </c>
      <c r="CS268" s="14" t="n">
        <f aca="false">-0.05*(CS10+CS11)</f>
        <v>-0</v>
      </c>
      <c r="CT268" s="14" t="n">
        <f aca="false">-0.05*(CT10+CT11)</f>
        <v>-0</v>
      </c>
      <c r="CU268" s="14" t="n">
        <f aca="false">-0.05*(CU10+CU11)</f>
        <v>-0</v>
      </c>
      <c r="CV268" s="14" t="n">
        <f aca="false">-0.05*(CV10+CV11)</f>
        <v>-0</v>
      </c>
      <c r="CW268" s="14" t="n">
        <f aca="false">-0.05*(CW10+CW11)</f>
        <v>-0</v>
      </c>
      <c r="CX268" s="14" t="n">
        <f aca="false">-0.05*(CX10+CX11)</f>
        <v>-0</v>
      </c>
      <c r="CY268" s="14" t="n">
        <f aca="false">-0.05*(CY10+CY11)</f>
        <v>-0</v>
      </c>
      <c r="CZ268" s="14" t="n">
        <f aca="false">-0.05*(CZ10+CZ11)</f>
        <v>-0</v>
      </c>
      <c r="DA268" s="14" t="n">
        <f aca="false">-0.05*(DA10+DA11)</f>
        <v>-0</v>
      </c>
      <c r="DB268" s="14" t="n">
        <f aca="false">-0.05*(DB10+DB11)</f>
        <v>-0</v>
      </c>
      <c r="DC268" s="14" t="n">
        <f aca="false">-0.05*(DC10+DC11)</f>
        <v>-0</v>
      </c>
      <c r="DD268" s="14" t="n">
        <f aca="false">-0.05*(DD10+DD11)</f>
        <v>-0</v>
      </c>
      <c r="DE268" s="14" t="n">
        <f aca="false">-0.05*(DE10+DE11)</f>
        <v>-0</v>
      </c>
    </row>
    <row r="269" customFormat="false" ht="15" hidden="false" customHeight="true" outlineLevel="0" collapsed="false">
      <c r="A269" s="29" t="s">
        <v>179</v>
      </c>
      <c r="B269" s="14"/>
      <c r="C269" s="14"/>
      <c r="D269" s="14"/>
      <c r="E269" s="14"/>
      <c r="F269" s="14"/>
      <c r="G269" s="14"/>
      <c r="H269" s="14" t="n">
        <f aca="false">SUMIFS(Retention!$E$2:$E$44,Retention!$F$2:$F$44,H$3)</f>
        <v>0</v>
      </c>
      <c r="I269" s="14" t="n">
        <f aca="false">SUMIFS(Retention!$E$2:$E$44,Retention!$F$2:$F$44,I$3)</f>
        <v>0</v>
      </c>
      <c r="J269" s="14" t="n">
        <f aca="false">SUMIFS(Retention!$E$2:$E$44,Retention!$F$2:$F$44,J$3)</f>
        <v>0</v>
      </c>
      <c r="K269" s="14" t="n">
        <f aca="false">SUMIFS(Retention!$E$2:$E$44,Retention!$F$2:$F$44,K$3)</f>
        <v>0</v>
      </c>
      <c r="L269" s="14" t="n">
        <f aca="false">SUMIFS(Retention!$E$2:$E$44,Retention!$F$2:$F$44,L$3)</f>
        <v>77190.5575</v>
      </c>
      <c r="M269" s="14" t="n">
        <f aca="false">SUMIFS(Retention!$E$2:$E$44,Retention!$F$2:$F$44,M$3)</f>
        <v>0</v>
      </c>
      <c r="N269" s="14" t="n">
        <f aca="false">SUMIFS(Retention!$E$2:$E$44,Retention!$F$2:$F$44,N$3)</f>
        <v>0</v>
      </c>
      <c r="O269" s="14" t="n">
        <f aca="false">SUMIFS(Retention!$E$2:$E$44,Retention!$F$2:$F$44,O$3)</f>
        <v>0</v>
      </c>
      <c r="P269" s="14" t="n">
        <f aca="false">SUMIFS(Retention!$E$2:$E$44,Retention!$F$2:$F$44,P$3)</f>
        <v>0</v>
      </c>
      <c r="Q269" s="14" t="n">
        <f aca="false">SUMIFS(Retention!$E$2:$E$44,Retention!$F$2:$F$44,Q$3)</f>
        <v>0</v>
      </c>
      <c r="R269" s="14" t="n">
        <f aca="false">SUMIFS(Retention!$E$2:$E$44,Retention!$F$2:$F$44,R$3)</f>
        <v>0</v>
      </c>
      <c r="S269" s="14" t="n">
        <f aca="false">SUMIFS(Retention!$E$2:$E$44,Retention!$F$2:$F$44,S$3)</f>
        <v>216227.9585</v>
      </c>
      <c r="T269" s="14" t="n">
        <f aca="false">SUMIFS(Retention!$E$2:$E$44,Retention!$F$2:$F$44,T$3)</f>
        <v>137452.783</v>
      </c>
      <c r="U269" s="14" t="n">
        <f aca="false">SUMIFS(Retention!$E$2:$E$44,Retention!$F$2:$F$44,U$3)</f>
        <v>0</v>
      </c>
      <c r="V269" s="14" t="n">
        <f aca="false">SUMIFS(Retention!$E$2:$E$44,Retention!$F$2:$F$44,V$3)</f>
        <v>0</v>
      </c>
      <c r="W269" s="14" t="n">
        <f aca="false">SUMIFS(Retention!$E$2:$E$44,Retention!$F$2:$F$44,W$3)</f>
        <v>30101.9535</v>
      </c>
      <c r="X269" s="14" t="n">
        <f aca="false">SUMIFS(Retention!$E$2:$E$44,Retention!$F$2:$F$44,X$3)</f>
        <v>0</v>
      </c>
      <c r="Y269" s="14" t="n">
        <f aca="false">SUMIFS(Retention!$E$2:$E$44,Retention!$F$2:$F$44,Y$3)</f>
        <v>0</v>
      </c>
      <c r="Z269" s="14" t="n">
        <f aca="false">SUMIFS(Retention!$E$2:$E$44,Retention!$F$2:$F$44,Z$3)</f>
        <v>0</v>
      </c>
      <c r="AA269" s="14" t="n">
        <f aca="false">SUMIFS(Retention!$E$2:$E$44,Retention!$F$2:$F$44,AA$3)</f>
        <v>78216.6846217775</v>
      </c>
      <c r="AB269" s="14" t="n">
        <f aca="false">SUMIFS(Retention!$E$2:$E$44,Retention!$F$2:$F$44,AB$3)</f>
        <v>0</v>
      </c>
      <c r="AC269" s="14" t="n">
        <f aca="false">SUMIFS(Retention!$E$2:$E$44,Retention!$F$2:$F$44,AC$3)</f>
        <v>103068.6131996</v>
      </c>
      <c r="AD269" s="14" t="n">
        <f aca="false">SUMIFS(Retention!$E$2:$E$44,Retention!$F$2:$F$44,AD$3)</f>
        <v>0</v>
      </c>
      <c r="AE269" s="14" t="n">
        <f aca="false">SUMIFS(Retention!$E$2:$E$44,Retention!$F$2:$F$44,AE$3)</f>
        <v>0</v>
      </c>
      <c r="AF269" s="14" t="n">
        <f aca="false">SUMIFS(Retention!$E$2:$E$44,Retention!$F$2:$F$44,AF$3)</f>
        <v>0</v>
      </c>
      <c r="AG269" s="14" t="n">
        <f aca="false">SUMIFS(Retention!$E$2:$E$44,Retention!$F$2:$F$44,AG$3)</f>
        <v>127996.12956775</v>
      </c>
      <c r="AH269" s="14" t="n">
        <f aca="false">SUMIFS(Retention!$E$2:$E$44,Retention!$F$2:$F$44,AH$3)</f>
        <v>0</v>
      </c>
      <c r="AI269" s="14" t="n">
        <f aca="false">SUMIFS(Retention!$E$2:$E$44,Retention!$F$2:$F$44,AI$3)</f>
        <v>0</v>
      </c>
      <c r="AJ269" s="14" t="n">
        <f aca="false">SUMIFS(Retention!$E$2:$E$44,Retention!$F$2:$F$44,AJ$3)</f>
        <v>0</v>
      </c>
      <c r="AK269" s="14" t="n">
        <f aca="false">SUMIFS(Retention!$E$2:$E$44,Retention!$F$2:$F$44,AK$3)</f>
        <v>0</v>
      </c>
      <c r="AL269" s="14" t="n">
        <f aca="false">SUMIFS(Retention!$E$2:$E$44,Retention!$F$2:$F$44,AL$3)</f>
        <v>343907.58101689</v>
      </c>
      <c r="AM269" s="14" t="n">
        <f aca="false">SUMIFS(Retention!$E$2:$E$44,Retention!$F$2:$F$44,AM$3)</f>
        <v>0</v>
      </c>
      <c r="AN269" s="14" t="n">
        <f aca="false">SUMIFS(Retention!$E$2:$E$44,Retention!$F$2:$F$44,AN$3)</f>
        <v>0</v>
      </c>
      <c r="AO269" s="14" t="n">
        <f aca="false">SUMIFS(Retention!$E$2:$E$44,Retention!$F$2:$F$44,AO$3)</f>
        <v>0</v>
      </c>
      <c r="AP269" s="14" t="n">
        <f aca="false">SUMIFS(Retention!$E$2:$E$44,Retention!$F$2:$F$44,AP$3)</f>
        <v>0</v>
      </c>
      <c r="AQ269" s="14" t="n">
        <f aca="false">SUMIFS(Retention!$E$2:$E$44,Retention!$F$2:$F$44,AQ$3)</f>
        <v>0</v>
      </c>
      <c r="AR269" s="14" t="n">
        <f aca="false">SUMIFS(Retention!$E$2:$E$44,Retention!$F$2:$F$44,AR$3)</f>
        <v>0</v>
      </c>
      <c r="AS269" s="14" t="n">
        <f aca="false">SUMIFS(Retention!$E$2:$E$44,Retention!$F$2:$F$44,AS$3)</f>
        <v>0</v>
      </c>
      <c r="AT269" s="14" t="n">
        <f aca="false">SUMIFS(Retention!$E$2:$E$44,Retention!$F$2:$F$44,AT$3)</f>
        <v>272485.5853535</v>
      </c>
      <c r="AU269" s="14" t="n">
        <f aca="false">SUMIFS(Retention!$E$2:$E$44,Retention!$F$2:$F$44,AU$3)</f>
        <v>0</v>
      </c>
      <c r="AV269" s="14" t="n">
        <f aca="false">SUMIFS(Retention!$E$2:$E$44,Retention!$F$2:$F$44,AV$3)</f>
        <v>0</v>
      </c>
      <c r="AW269" s="14" t="n">
        <f aca="false">SUMIFS(Retention!$E$2:$E$44,Retention!$F$2:$F$44,AW$3)</f>
        <v>0</v>
      </c>
      <c r="AX269" s="14" t="n">
        <f aca="false">SUMIFS(Retention!$E$2:$E$44,Retention!$F$2:$F$44,AX$3)</f>
        <v>0</v>
      </c>
      <c r="AY269" s="14" t="n">
        <f aca="false">SUMIFS(Retention!$E$2:$E$44,Retention!$F$2:$F$44,AY$3)</f>
        <v>0</v>
      </c>
      <c r="AZ269" s="14" t="n">
        <f aca="false">SUMIFS(Retention!$E$2:$E$44,Retention!$F$2:$F$44,AZ$3)</f>
        <v>0</v>
      </c>
      <c r="BA269" s="14" t="n">
        <f aca="false">SUMIFS(Retention!$E$2:$E$44,Retention!$F$2:$F$44,BA$3)</f>
        <v>0</v>
      </c>
      <c r="BB269" s="14" t="n">
        <f aca="false">SUMIFS(Retention!$E$2:$E$44,Retention!$F$2:$F$44,BB$3)</f>
        <v>0</v>
      </c>
      <c r="BC269" s="14" t="n">
        <f aca="false">SUMIFS(Retention!$E$2:$E$44,Retention!$F$2:$F$44,BC$3)</f>
        <v>0</v>
      </c>
      <c r="BD269" s="14" t="n">
        <f aca="false">SUMIFS(Retention!$E$2:$E$44,Retention!$F$2:$F$44,BD$3)</f>
        <v>0</v>
      </c>
      <c r="BE269" s="14" t="n">
        <f aca="false">SUMIFS(Retention!$E$2:$E$44,Retention!$F$2:$F$44,BE$3)</f>
        <v>0</v>
      </c>
      <c r="BF269" s="14" t="n">
        <f aca="false">SUMIFS(Retention!$E$2:$E$44,Retention!$F$2:$F$44,BF$3)</f>
        <v>0</v>
      </c>
      <c r="BG269" s="14" t="n">
        <f aca="false">SUMIFS(Retention!$E$2:$E$44,Retention!$F$2:$F$44,BG$3)</f>
        <v>0</v>
      </c>
      <c r="BH269" s="14" t="n">
        <f aca="false">SUMIFS(Retention!$E$2:$E$44,Retention!$F$2:$F$44,BH$3)</f>
        <v>248936.2750556</v>
      </c>
      <c r="BI269" s="14" t="n">
        <f aca="false">SUMIFS(Retention!$E$2:$E$44,Retention!$F$2:$F$44,BI$3)</f>
        <v>0</v>
      </c>
      <c r="BJ269" s="14" t="n">
        <f aca="false">SUMIFS(Retention!$E$2:$E$44,Retention!$F$2:$F$44,BJ$3)</f>
        <v>0</v>
      </c>
      <c r="BK269" s="14" t="n">
        <f aca="false">SUMIFS(Retention!$E$2:$E$44,Retention!$F$2:$F$44,BK$3)</f>
        <v>0</v>
      </c>
      <c r="BL269" s="14" t="n">
        <f aca="false">SUMIFS(Retention!$E$2:$E$44,Retention!$F$2:$F$44,BL$3)</f>
        <v>0</v>
      </c>
      <c r="BM269" s="14" t="n">
        <f aca="false">SUMIFS(Retention!$E$2:$E$44,Retention!$F$2:$F$44,BM$3)</f>
        <v>0</v>
      </c>
      <c r="BN269" s="14" t="n">
        <f aca="false">SUMIFS(Retention!$E$2:$E$44,Retention!$F$2:$F$44,BN$3)</f>
        <v>0</v>
      </c>
      <c r="BO269" s="14" t="n">
        <f aca="false">SUMIFS(Retention!$E$2:$E$44,Retention!$F$2:$F$44,BO$3)</f>
        <v>0</v>
      </c>
      <c r="BP269" s="14" t="n">
        <f aca="false">SUMIFS(Retention!$E$2:$E$44,Retention!$F$2:$F$44,BP$3)</f>
        <v>0</v>
      </c>
      <c r="BQ269" s="14" t="n">
        <f aca="false">SUMIFS(Retention!$E$2:$E$44,Retention!$F$2:$F$44,BQ$3)</f>
        <v>0</v>
      </c>
      <c r="BR269" s="14" t="n">
        <f aca="false">SUMIFS(Retention!$E$2:$E$44,Retention!$F$2:$F$44,BR$3)</f>
        <v>0</v>
      </c>
      <c r="BS269" s="14" t="n">
        <f aca="false">SUMIFS(Retention!$E$2:$E$44,Retention!$F$2:$F$44,BS$3)</f>
        <v>0</v>
      </c>
      <c r="BT269" s="14" t="n">
        <f aca="false">SUMIFS(Retention!$E$2:$E$44,Retention!$F$2:$F$44,BT$3)</f>
        <v>0</v>
      </c>
      <c r="BU269" s="14" t="n">
        <f aca="false">SUMIFS(Retention!$E$2:$E$44,Retention!$F$2:$F$44,BU$3)</f>
        <v>0</v>
      </c>
      <c r="BV269" s="14" t="n">
        <f aca="false">SUMIFS(Retention!$E$2:$E$44,Retention!$F$2:$F$44,BV$3)</f>
        <v>0</v>
      </c>
      <c r="BW269" s="14" t="n">
        <f aca="false">SUMIFS(Retention!$E$2:$E$44,Retention!$F$2:$F$44,BW$3)</f>
        <v>0</v>
      </c>
      <c r="BX269" s="14" t="n">
        <f aca="false">SUMIFS(Retention!$E$2:$E$44,Retention!$F$2:$F$44,BX$3)</f>
        <v>0</v>
      </c>
      <c r="BY269" s="14" t="n">
        <f aca="false">SUMIFS(Retention!$E$2:$E$44,Retention!$F$2:$F$44,BY$3)</f>
        <v>0</v>
      </c>
      <c r="BZ269" s="14" t="n">
        <f aca="false">SUMIFS(Retention!$E$2:$E$44,Retention!$F$2:$F$44,BZ$3)</f>
        <v>0</v>
      </c>
      <c r="CA269" s="14" t="n">
        <f aca="false">SUMIFS(Retention!$E$2:$E$44,Retention!$F$2:$F$44,CA$3)</f>
        <v>0</v>
      </c>
      <c r="CB269" s="14" t="n">
        <f aca="false">SUMIFS(Retention!$E$2:$E$44,Retention!$F$2:$F$44,CB$3)</f>
        <v>0</v>
      </c>
      <c r="CC269" s="14" t="n">
        <f aca="false">SUMIFS(Retention!$E$2:$E$44,Retention!$F$2:$F$44,CC$3)</f>
        <v>0</v>
      </c>
      <c r="CD269" s="14" t="n">
        <f aca="false">SUMIFS(Retention!$E$2:$E$44,Retention!$F$2:$F$44,CD$3)</f>
        <v>0</v>
      </c>
      <c r="CE269" s="14" t="n">
        <f aca="false">SUMIFS(Retention!$E$2:$E$44,Retention!$F$2:$F$44,CE$3)</f>
        <v>0</v>
      </c>
      <c r="CF269" s="14" t="n">
        <f aca="false">SUMIFS(Retention!$E$2:$E$44,Retention!$F$2:$F$44,CF$3)</f>
        <v>0</v>
      </c>
      <c r="CG269" s="14" t="n">
        <f aca="false">SUMIFS(Retention!$E$2:$E$44,Retention!$F$2:$F$44,CG$3)</f>
        <v>0</v>
      </c>
      <c r="CH269" s="14" t="n">
        <f aca="false">SUMIFS(Retention!$E$2:$E$44,Retention!$F$2:$F$44,CH$3)</f>
        <v>0</v>
      </c>
      <c r="CI269" s="14" t="n">
        <f aca="false">SUMIFS(Retention!$E$2:$E$44,Retention!$F$2:$F$44,CI$3)</f>
        <v>0</v>
      </c>
      <c r="CJ269" s="14" t="n">
        <f aca="false">SUMIFS(Retention!$E$2:$E$44,Retention!$F$2:$F$44,CJ$3)</f>
        <v>0</v>
      </c>
      <c r="CK269" s="14" t="n">
        <f aca="false">SUMIFS(Retention!$E$2:$E$44,Retention!$F$2:$F$44,CK$3)</f>
        <v>0</v>
      </c>
      <c r="CL269" s="14" t="n">
        <f aca="false">SUMIFS(Retention!$E$2:$E$44,Retention!$F$2:$F$44,CL$3)</f>
        <v>0</v>
      </c>
      <c r="CM269" s="14" t="n">
        <f aca="false">SUMIFS(Retention!$E$2:$E$44,Retention!$F$2:$F$44,CM$3)</f>
        <v>0</v>
      </c>
      <c r="CN269" s="14" t="n">
        <f aca="false">SUMIFS(Retention!$E$2:$E$44,Retention!$F$2:$F$44,CN$3)</f>
        <v>0</v>
      </c>
      <c r="CO269" s="14" t="n">
        <f aca="false">SUMIFS(Retention!$E$2:$E$44,Retention!$F$2:$F$44,CO$3)</f>
        <v>0</v>
      </c>
      <c r="CP269" s="14" t="n">
        <f aca="false">SUMIFS(Retention!$E$2:$E$44,Retention!$F$2:$F$44,CP$3)</f>
        <v>0</v>
      </c>
      <c r="CQ269" s="14" t="n">
        <f aca="false">SUMIFS(Retention!$E$2:$E$44,Retention!$F$2:$F$44,CQ$3)</f>
        <v>0</v>
      </c>
      <c r="CR269" s="14" t="n">
        <f aca="false">SUMIFS(Retention!$E$2:$E$44,Retention!$F$2:$F$44,CR$3)</f>
        <v>0</v>
      </c>
      <c r="CS269" s="14" t="n">
        <f aca="false">SUMIFS(Retention!$E$2:$E$44,Retention!$F$2:$F$44,CS$3)</f>
        <v>0</v>
      </c>
      <c r="CT269" s="14" t="n">
        <f aca="false">SUMIFS(Retention!$E$2:$E$44,Retention!$F$2:$F$44,CT$3)</f>
        <v>0</v>
      </c>
      <c r="CU269" s="14" t="n">
        <f aca="false">SUMIFS(Retention!$E$2:$E$44,Retention!$F$2:$F$44,CU$3)</f>
        <v>0</v>
      </c>
      <c r="CV269" s="14" t="n">
        <f aca="false">SUMIFS(Retention!$E$2:$E$44,Retention!$F$2:$F$44,CV$3)</f>
        <v>0</v>
      </c>
      <c r="CW269" s="14" t="n">
        <f aca="false">SUMIFS(Retention!$E$2:$E$44,Retention!$F$2:$F$44,CW$3)</f>
        <v>0</v>
      </c>
      <c r="CX269" s="14" t="n">
        <f aca="false">SUMIFS(Retention!$E$2:$E$44,Retention!$F$2:$F$44,CX$3)</f>
        <v>0</v>
      </c>
      <c r="CY269" s="14" t="n">
        <f aca="false">SUMIFS(Retention!$E$2:$E$44,Retention!$F$2:$F$44,CY$3)</f>
        <v>0</v>
      </c>
      <c r="CZ269" s="14" t="n">
        <f aca="false">SUMIFS(Retention!$E$2:$E$44,Retention!$F$2:$F$44,CZ$3)</f>
        <v>0</v>
      </c>
      <c r="DA269" s="14" t="n">
        <f aca="false">SUMIFS(Retention!$E$2:$E$44,Retention!$F$2:$F$44,DA$3)</f>
        <v>0</v>
      </c>
      <c r="DB269" s="14" t="n">
        <f aca="false">SUMIFS(Retention!$E$2:$E$44,Retention!$F$2:$F$44,DB$3)</f>
        <v>0</v>
      </c>
      <c r="DC269" s="14" t="n">
        <f aca="false">SUMIFS(Retention!$E$2:$E$44,Retention!$F$2:$F$44,DC$3)</f>
        <v>0</v>
      </c>
      <c r="DD269" s="14" t="n">
        <f aca="false">SUMIFS(Retention!$E$2:$E$44,Retention!$F$2:$F$44,DD$3)</f>
        <v>0</v>
      </c>
      <c r="DE269" s="14" t="n">
        <f aca="false">SUMIFS(Retention!$E$2:$E$44,Retention!$F$2:$F$44,DE$3)</f>
        <v>0</v>
      </c>
    </row>
    <row r="270" customFormat="false" ht="15" hidden="false" customHeight="true" outlineLevel="0" collapsed="false">
      <c r="A270" s="75" t="s">
        <v>180</v>
      </c>
      <c r="B270" s="76"/>
      <c r="C270" s="76"/>
      <c r="D270" s="76"/>
      <c r="E270" s="76"/>
      <c r="F270" s="76"/>
      <c r="G270" s="76"/>
      <c r="H270" s="76" t="n">
        <f aca="false">SUM(H262:H269)</f>
        <v>778701.069849618</v>
      </c>
      <c r="I270" s="76" t="n">
        <f aca="false">SUM(I262:I269)</f>
        <v>705531.282208546</v>
      </c>
      <c r="J270" s="76" t="n">
        <f aca="false">SUM(J262:J269)</f>
        <v>916023.41011685</v>
      </c>
      <c r="K270" s="76" t="n">
        <f aca="false">SUM(K262:K269)</f>
        <v>825896.06176479</v>
      </c>
      <c r="L270" s="76" t="n">
        <f aca="false">SUM(L262:L269)</f>
        <v>1271170.87565309</v>
      </c>
      <c r="M270" s="76" t="n">
        <f aca="false">SUM(M262:M269)</f>
        <v>1588066.22189651</v>
      </c>
      <c r="N270" s="76" t="n">
        <f aca="false">SUM(N262:N269)</f>
        <v>1860163.72916826</v>
      </c>
      <c r="O270" s="76" t="n">
        <f aca="false">SUM(O262:O269)</f>
        <v>2112017.94475668</v>
      </c>
      <c r="P270" s="76" t="n">
        <f aca="false">SUM(P262:P269)</f>
        <v>2340131.0091624</v>
      </c>
      <c r="Q270" s="76" t="n">
        <f aca="false">SUM(Q262:Q269)</f>
        <v>2486315.94524811</v>
      </c>
      <c r="R270" s="76" t="n">
        <f aca="false">SUM(R262:R269)</f>
        <v>2009871.47023323</v>
      </c>
      <c r="S270" s="76" t="n">
        <f aca="false">SUM(S262:S269)</f>
        <v>2514912.49539589</v>
      </c>
      <c r="T270" s="76" t="n">
        <f aca="false">SUM(T262:T269)</f>
        <v>2919026.79192944</v>
      </c>
      <c r="U270" s="76" t="n">
        <f aca="false">SUM(U262:U269)</f>
        <v>3113596.45116694</v>
      </c>
      <c r="V270" s="76" t="n">
        <f aca="false">SUM(V262:V269)</f>
        <v>3255748.21779821</v>
      </c>
      <c r="W270" s="76" t="n">
        <f aca="false">SUM(W262:W269)</f>
        <v>3425349.51232165</v>
      </c>
      <c r="X270" s="76" t="n">
        <f aca="false">SUM(X262:X269)</f>
        <v>3562817.56058891</v>
      </c>
      <c r="Y270" s="76" t="n">
        <f aca="false">SUM(Y262:Y269)</f>
        <v>3689305.96643115</v>
      </c>
      <c r="Z270" s="76" t="n">
        <f aca="false">SUM(Z262:Z269)</f>
        <v>3815794.37227339</v>
      </c>
      <c r="AA270" s="76" t="n">
        <f aca="false">SUM(AA262:AA269)</f>
        <v>4016588.62850632</v>
      </c>
      <c r="AB270" s="76" t="n">
        <f aca="false">SUM(AB262:AB269)</f>
        <v>4225204.55320142</v>
      </c>
      <c r="AC270" s="76" t="n">
        <f aca="false">SUM(AC262:AC269)</f>
        <v>4367121.7657666</v>
      </c>
      <c r="AD270" s="76" t="n">
        <f aca="false">SUM(AD262:AD269)</f>
        <v>4519345.83965172</v>
      </c>
      <c r="AE270" s="76" t="n">
        <f aca="false">SUM(AE262:AE269)</f>
        <v>4457549.70509423</v>
      </c>
      <c r="AF270" s="76" t="n">
        <f aca="false">SUM(AF262:AF269)</f>
        <v>3829707.15140528</v>
      </c>
      <c r="AG270" s="76" t="n">
        <f aca="false">SUM(AG262:AG269)</f>
        <v>4047166.98080569</v>
      </c>
      <c r="AH270" s="76" t="n">
        <f aca="false">SUM(AH262:AH269)</f>
        <v>4276093.13014654</v>
      </c>
      <c r="AI270" s="76" t="n">
        <f aca="false">SUM(AI262:AI269)</f>
        <v>4275692.88067851</v>
      </c>
      <c r="AJ270" s="76" t="n">
        <f aca="false">SUM(AJ262:AJ269)</f>
        <v>4275292.63121048</v>
      </c>
      <c r="AK270" s="76" t="n">
        <f aca="false">SUM(AK262:AK269)</f>
        <v>4274892.38174245</v>
      </c>
      <c r="AL270" s="76" t="n">
        <f aca="false">SUM(AL262:AL269)</f>
        <v>4601204.33424047</v>
      </c>
      <c r="AM270" s="76" t="n">
        <f aca="false">SUM(AM262:AM269)</f>
        <v>4955602.07252153</v>
      </c>
      <c r="AN270" s="76" t="n">
        <f aca="false">SUM(AN262:AN269)</f>
        <v>4748284.09514168</v>
      </c>
      <c r="AO270" s="76" t="n">
        <f aca="false">SUM(AO262:AO269)</f>
        <v>4532621.9818273</v>
      </c>
      <c r="AP270" s="76" t="n">
        <f aca="false">SUM(AP262:AP269)</f>
        <v>4316959.86851292</v>
      </c>
      <c r="AQ270" s="76" t="n">
        <f aca="false">SUM(AQ262:AQ269)</f>
        <v>4101297.75519854</v>
      </c>
      <c r="AR270" s="76" t="n">
        <f aca="false">SUM(AR262:AR269)</f>
        <v>3885635.64188416</v>
      </c>
      <c r="AS270" s="76" t="n">
        <f aca="false">SUM(AS262:AS269)</f>
        <v>3669973.52856978</v>
      </c>
      <c r="AT270" s="76" t="n">
        <f aca="false">SUM(AT262:AT269)</f>
        <v>3713172.72134123</v>
      </c>
      <c r="AU270" s="76" t="n">
        <f aca="false">SUM(AU262:AU269)</f>
        <v>3778624.90358321</v>
      </c>
      <c r="AV270" s="76" t="n">
        <f aca="false">SUM(AV262:AV269)</f>
        <v>3399017.29641448</v>
      </c>
      <c r="AW270" s="76" t="n">
        <f aca="false">SUM(AW262:AW269)</f>
        <v>3019409.68924575</v>
      </c>
      <c r="AX270" s="76" t="n">
        <f aca="false">SUM(AX262:AX269)</f>
        <v>2639802.08207701</v>
      </c>
      <c r="AY270" s="76" t="n">
        <f aca="false">SUM(AY262:AY269)</f>
        <v>2260194.47490828</v>
      </c>
      <c r="AZ270" s="76" t="n">
        <f aca="false">SUM(AZ262:AZ269)</f>
        <v>1880586.86773954</v>
      </c>
      <c r="BA270" s="76" t="n">
        <f aca="false">SUM(BA262:BA269)</f>
        <v>1492468.2419176</v>
      </c>
      <c r="BB270" s="76" t="n">
        <f aca="false">SUM(BB262:BB269)</f>
        <v>1104349.61609565</v>
      </c>
      <c r="BC270" s="76" t="n">
        <f aca="false">SUM(BC262:BC269)</f>
        <v>716230.99027371</v>
      </c>
      <c r="BD270" s="76" t="n">
        <f aca="false">SUM(BD262:BD269)</f>
        <v>328112.364451766</v>
      </c>
      <c r="BE270" s="76" t="n">
        <f aca="false">SUM(BE262:BE269)</f>
        <v>-60006.2613701789</v>
      </c>
      <c r="BF270" s="76" t="n">
        <f aca="false">SUM(BF262:BF269)</f>
        <v>-448124.887192123</v>
      </c>
      <c r="BG270" s="76" t="n">
        <f aca="false">SUM(BG262:BG269)</f>
        <v>-836243.513014068</v>
      </c>
      <c r="BH270" s="76" t="n">
        <f aca="false">SUM(BH262:BH269)</f>
        <v>-987872.677533192</v>
      </c>
      <c r="BI270" s="76" t="n">
        <f aca="false">SUM(BI262:BI269)</f>
        <v>-1119172.04625611</v>
      </c>
      <c r="BJ270" s="76" t="n">
        <f aca="false">SUM(BJ262:BJ269)</f>
        <v>-1657067.33090317</v>
      </c>
      <c r="BK270" s="76" t="n">
        <f aca="false">SUM(BK262:BK269)</f>
        <v>-2194962.61555024</v>
      </c>
      <c r="BL270" s="76" t="n">
        <f aca="false">SUM(BL262:BL269)</f>
        <v>-2732857.9001973</v>
      </c>
      <c r="BM270" s="76" t="n">
        <f aca="false">SUM(BM262:BM269)</f>
        <v>-3279434.42387064</v>
      </c>
      <c r="BN270" s="76" t="n">
        <f aca="false">SUM(BN262:BN269)</f>
        <v>-3826010.94754398</v>
      </c>
      <c r="BO270" s="76" t="n">
        <f aca="false">SUM(BO262:BO269)</f>
        <v>-4372587.47121732</v>
      </c>
      <c r="BP270" s="76" t="n">
        <f aca="false">SUM(BP262:BP269)</f>
        <v>-4919163.99489065</v>
      </c>
      <c r="BQ270" s="76" t="n">
        <f aca="false">SUM(BQ262:BQ269)</f>
        <v>-5465740.51856399</v>
      </c>
      <c r="BR270" s="76" t="n">
        <f aca="false">SUM(BR262:BR269)</f>
        <v>-6012317.04223733</v>
      </c>
      <c r="BS270" s="76" t="n">
        <f aca="false">SUM(BS262:BS269)</f>
        <v>-6558893.56591067</v>
      </c>
      <c r="BT270" s="76" t="n">
        <f aca="false">SUM(BT262:BT269)</f>
        <v>-7105470.08958401</v>
      </c>
      <c r="BU270" s="76" t="n">
        <f aca="false">SUM(BU262:BU269)</f>
        <v>-7652046.61325735</v>
      </c>
      <c r="BV270" s="76" t="n">
        <f aca="false">SUM(BV262:BV269)</f>
        <v>-8198623.13693069</v>
      </c>
      <c r="BW270" s="76" t="n">
        <f aca="false">SUM(BW262:BW269)</f>
        <v>-8745199.66060403</v>
      </c>
      <c r="BX270" s="76" t="n">
        <f aca="false">SUM(BX262:BX269)</f>
        <v>-9291776.18427737</v>
      </c>
      <c r="BY270" s="76" t="n">
        <f aca="false">SUM(BY262:BY269)</f>
        <v>-9847207.5717575</v>
      </c>
      <c r="BZ270" s="76" t="n">
        <f aca="false">SUM(BZ262:BZ269)</f>
        <v>-10402638.9592376</v>
      </c>
      <c r="CA270" s="76" t="n">
        <f aca="false">SUM(CA262:CA269)</f>
        <v>-10958070.3467178</v>
      </c>
      <c r="CB270" s="76" t="n">
        <f aca="false">SUM(CB262:CB269)</f>
        <v>-11513501.7341979</v>
      </c>
      <c r="CC270" s="76" t="n">
        <f aca="false">SUM(CC262:CC269)</f>
        <v>-12068933.1216781</v>
      </c>
      <c r="CD270" s="76" t="n">
        <f aca="false">SUM(CD262:CD269)</f>
        <v>-12624364.5091582</v>
      </c>
      <c r="CE270" s="76" t="n">
        <f aca="false">SUM(CE262:CE269)</f>
        <v>-13179795.8966383</v>
      </c>
      <c r="CF270" s="76" t="n">
        <f aca="false">SUM(CF262:CF269)</f>
        <v>-13735227.2841185</v>
      </c>
      <c r="CG270" s="76" t="n">
        <f aca="false">SUM(CG262:CG269)</f>
        <v>-14290658.6715986</v>
      </c>
      <c r="CH270" s="76" t="n">
        <f aca="false">SUM(CH262:CH269)</f>
        <v>-14846090.0590787</v>
      </c>
      <c r="CI270" s="76" t="n">
        <f aca="false">SUM(CI262:CI269)</f>
        <v>-15401521.4465589</v>
      </c>
      <c r="CJ270" s="76" t="n">
        <f aca="false">SUM(CJ262:CJ269)</f>
        <v>-15956952.834039</v>
      </c>
      <c r="CK270" s="76" t="n">
        <f aca="false">SUM(CK262:CK269)</f>
        <v>-16521416.1826021</v>
      </c>
      <c r="CL270" s="76" t="n">
        <f aca="false">SUM(CL262:CL269)</f>
        <v>-17085879.5311652</v>
      </c>
      <c r="CM270" s="76" t="n">
        <f aca="false">SUM(CM262:CM269)</f>
        <v>-17650342.8797282</v>
      </c>
      <c r="CN270" s="76" t="n">
        <f aca="false">SUM(CN262:CN269)</f>
        <v>-18214806.2282913</v>
      </c>
      <c r="CO270" s="76" t="n">
        <f aca="false">SUM(CO262:CO269)</f>
        <v>-18779269.5768544</v>
      </c>
      <c r="CP270" s="76" t="n">
        <f aca="false">SUM(CP262:CP269)</f>
        <v>-19343732.9254175</v>
      </c>
      <c r="CQ270" s="76" t="n">
        <f aca="false">SUM(CQ262:CQ269)</f>
        <v>-19908196.2739805</v>
      </c>
      <c r="CR270" s="76" t="n">
        <f aca="false">SUM(CR262:CR269)</f>
        <v>-20472659.6225436</v>
      </c>
      <c r="CS270" s="76" t="n">
        <f aca="false">SUM(CS262:CS269)</f>
        <v>-21037122.9711067</v>
      </c>
      <c r="CT270" s="76" t="n">
        <f aca="false">SUM(CT262:CT269)</f>
        <v>-21547142.2086659</v>
      </c>
      <c r="CU270" s="76" t="n">
        <f aca="false">SUM(CU262:CU269)</f>
        <v>-22057161.4462251</v>
      </c>
      <c r="CV270" s="76" t="n">
        <f aca="false">SUM(CV262:CV269)</f>
        <v>-22567180.6837843</v>
      </c>
      <c r="CW270" s="76" t="n">
        <f aca="false">SUM(CW262:CW269)</f>
        <v>-23085323.6394281</v>
      </c>
      <c r="CX270" s="76" t="n">
        <f aca="false">SUM(CX262:CX269)</f>
        <v>-23603466.5950718</v>
      </c>
      <c r="CY270" s="76" t="n">
        <f aca="false">SUM(CY262:CY269)</f>
        <v>-24121609.5507155</v>
      </c>
      <c r="CZ270" s="76" t="n">
        <f aca="false">SUM(CZ262:CZ269)</f>
        <v>-24639752.5063592</v>
      </c>
      <c r="DA270" s="76" t="n">
        <f aca="false">SUM(DA262:DA269)</f>
        <v>-25157895.462003</v>
      </c>
      <c r="DB270" s="76" t="n">
        <f aca="false">SUM(DB262:DB269)</f>
        <v>-25676038.4176467</v>
      </c>
      <c r="DC270" s="76" t="n">
        <f aca="false">SUM(DC262:DC269)</f>
        <v>-26194181.3732904</v>
      </c>
      <c r="DD270" s="76" t="n">
        <f aca="false">SUM(DD262:DD269)</f>
        <v>-26712324.3289342</v>
      </c>
      <c r="DE270" s="76" t="n">
        <f aca="false">SUM(DE262:DE269)</f>
        <v>-27230467.2845779</v>
      </c>
    </row>
    <row r="271" customFormat="false" ht="15" hidden="false" customHeight="true" outlineLevel="0" collapsed="false">
      <c r="A271" s="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</row>
    <row r="272" customFormat="false" ht="15" hidden="false" customHeight="true" outlineLevel="0" collapsed="false">
      <c r="A272" s="38" t="s">
        <v>181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</row>
    <row r="273" customFormat="false" ht="15" hidden="false" customHeight="true" outlineLevel="0" collapsed="false">
      <c r="A273" s="29" t="s">
        <v>182</v>
      </c>
      <c r="B273" s="14"/>
      <c r="C273" s="14"/>
      <c r="D273" s="14"/>
      <c r="E273" s="14"/>
      <c r="F273" s="14"/>
      <c r="G273" s="14"/>
      <c r="H273" s="14" t="n">
        <f aca="false">Assumptions!B30</f>
        <v>165368</v>
      </c>
      <c r="I273" s="14" t="n">
        <f aca="false">H278</f>
        <v>133317.131190476</v>
      </c>
      <c r="J273" s="14" t="n">
        <f aca="false">I278</f>
        <v>361843.262380952</v>
      </c>
      <c r="K273" s="14" t="n">
        <f aca="false">J278</f>
        <v>339306.063571429</v>
      </c>
      <c r="L273" s="14" t="n">
        <f aca="false">K278</f>
        <v>230974.954761905</v>
      </c>
      <c r="M273" s="14" t="n">
        <f aca="false">L278</f>
        <v>222746.965952381</v>
      </c>
      <c r="N273" s="14" t="n">
        <f aca="false">M278</f>
        <v>211768.977142857</v>
      </c>
      <c r="O273" s="14" t="n">
        <f aca="false">N278</f>
        <v>109665.988333333</v>
      </c>
      <c r="P273" s="14" t="n">
        <f aca="false">O278</f>
        <v>-255294.143333333</v>
      </c>
      <c r="Q273" s="14" t="n">
        <f aca="false">P278</f>
        <v>-369004.275</v>
      </c>
      <c r="R273" s="14" t="n">
        <f aca="false">Q278</f>
        <v>-484276.2085</v>
      </c>
      <c r="S273" s="14" t="n">
        <f aca="false">R278</f>
        <v>-599548.142</v>
      </c>
      <c r="T273" s="14" t="n">
        <f aca="false">S278</f>
        <v>-714820.0755</v>
      </c>
      <c r="U273" s="14" t="n">
        <f aca="false">T278</f>
        <v>-857998.259</v>
      </c>
      <c r="V273" s="14" t="n">
        <f aca="false">U278</f>
        <v>-997176.4425</v>
      </c>
      <c r="W273" s="14" t="n">
        <f aca="false">V278</f>
        <v>-1136354.626</v>
      </c>
      <c r="X273" s="14" t="n">
        <f aca="false">W278</f>
        <v>-1275532.8095</v>
      </c>
      <c r="Y273" s="14" t="n">
        <f aca="false">X278</f>
        <v>-1416057.993</v>
      </c>
      <c r="Z273" s="14" t="n">
        <f aca="false">Y278</f>
        <v>-1441833.1765</v>
      </c>
      <c r="AA273" s="14" t="n">
        <f aca="false">Z278</f>
        <v>-1607358.36</v>
      </c>
      <c r="AB273" s="14" t="n">
        <f aca="false">AA278</f>
        <v>-2022883.5435</v>
      </c>
      <c r="AC273" s="14" t="n">
        <f aca="false">AB278</f>
        <v>-2131033.727</v>
      </c>
      <c r="AD273" s="14" t="n">
        <f aca="false">AC278</f>
        <v>-2296901.94837</v>
      </c>
      <c r="AE273" s="14" t="n">
        <f aca="false">AD278</f>
        <v>-2486454.37974</v>
      </c>
      <c r="AF273" s="14" t="n">
        <f aca="false">AE278</f>
        <v>-2598613.2413886</v>
      </c>
      <c r="AG273" s="14" t="n">
        <f aca="false">AF278</f>
        <v>-2680165.6727586</v>
      </c>
      <c r="AH273" s="14" t="n">
        <f aca="false">AG278</f>
        <v>-2757718.1041286</v>
      </c>
      <c r="AI273" s="14" t="n">
        <f aca="false">AH278</f>
        <v>-2835270.5354986</v>
      </c>
      <c r="AJ273" s="14" t="n">
        <f aca="false">AI278</f>
        <v>-2922322.9668686</v>
      </c>
      <c r="AK273" s="14" t="n">
        <f aca="false">AJ278</f>
        <v>-3009375.3982386</v>
      </c>
      <c r="AL273" s="14" t="n">
        <f aca="false">AK278</f>
        <v>-3096427.8296086</v>
      </c>
      <c r="AM273" s="14" t="n">
        <f aca="false">AL278</f>
        <v>-3183480.2609786</v>
      </c>
      <c r="AN273" s="14" t="n">
        <f aca="false">AM278</f>
        <v>-3271782.6923486</v>
      </c>
      <c r="AO273" s="14" t="n">
        <f aca="false">AN278</f>
        <v>-3360085.1237186</v>
      </c>
      <c r="AP273" s="14" t="n">
        <f aca="false">AO278</f>
        <v>-3450012.453716</v>
      </c>
      <c r="AQ273" s="14" t="n">
        <f aca="false">AP278</f>
        <v>-3539939.7837134</v>
      </c>
      <c r="AR273" s="14" t="n">
        <f aca="false">AQ278</f>
        <v>-3629867.1137108</v>
      </c>
      <c r="AS273" s="14" t="n">
        <f aca="false">AR278</f>
        <v>-3723794.4437082</v>
      </c>
      <c r="AT273" s="14" t="n">
        <f aca="false">AS278</f>
        <v>-3813721.7737056</v>
      </c>
      <c r="AU273" s="14" t="n">
        <f aca="false">AT278</f>
        <v>-3896591.603703</v>
      </c>
      <c r="AV273" s="14" t="n">
        <f aca="false">AU278</f>
        <v>-3979461.4337004</v>
      </c>
      <c r="AW273" s="14" t="n">
        <f aca="false">AV278</f>
        <v>-4062331.2636978</v>
      </c>
      <c r="AX273" s="14" t="n">
        <f aca="false">AW278</f>
        <v>-4145201.0936952</v>
      </c>
      <c r="AY273" s="14" t="n">
        <f aca="false">AX278</f>
        <v>-4228070.9236926</v>
      </c>
      <c r="AZ273" s="14" t="n">
        <f aca="false">AY278</f>
        <v>-4310940.75369</v>
      </c>
      <c r="BA273" s="14" t="n">
        <f aca="false">AZ278</f>
        <v>-4393810.5836874</v>
      </c>
      <c r="BB273" s="14" t="n">
        <f aca="false">BA278</f>
        <v>-4478337.81028474</v>
      </c>
      <c r="BC273" s="14" t="n">
        <f aca="false">BB278</f>
        <v>-4562865.03688209</v>
      </c>
      <c r="BD273" s="14" t="n">
        <f aca="false">BC278</f>
        <v>-4647392.26347944</v>
      </c>
      <c r="BE273" s="14" t="n">
        <f aca="false">BD278</f>
        <v>-4731919.49007679</v>
      </c>
      <c r="BF273" s="14" t="n">
        <f aca="false">BE278</f>
        <v>-4816446.71667414</v>
      </c>
      <c r="BG273" s="14" t="n">
        <f aca="false">BF278</f>
        <v>-4900973.94327148</v>
      </c>
      <c r="BH273" s="14" t="n">
        <f aca="false">BG278</f>
        <v>-4985501.16986883</v>
      </c>
      <c r="BI273" s="14" t="n">
        <f aca="false">BH278</f>
        <v>-5070028.39646618</v>
      </c>
      <c r="BJ273" s="14" t="n">
        <f aca="false">BI278</f>
        <v>-5154555.62306353</v>
      </c>
      <c r="BK273" s="14" t="n">
        <f aca="false">BJ278</f>
        <v>-5239082.84966088</v>
      </c>
      <c r="BL273" s="14" t="n">
        <f aca="false">BK278</f>
        <v>-5323610.07625823</v>
      </c>
      <c r="BM273" s="14" t="n">
        <f aca="false">BL278</f>
        <v>-5408137.30285557</v>
      </c>
      <c r="BN273" s="14" t="n">
        <f aca="false">BM278</f>
        <v>-5494355.07398487</v>
      </c>
      <c r="BO273" s="14" t="n">
        <f aca="false">BN278</f>
        <v>-5580572.84511416</v>
      </c>
      <c r="BP273" s="14" t="n">
        <f aca="false">BO278</f>
        <v>-5666790.61624346</v>
      </c>
      <c r="BQ273" s="14" t="n">
        <f aca="false">BP278</f>
        <v>-5753008.38737275</v>
      </c>
      <c r="BR273" s="14" t="n">
        <f aca="false">BQ278</f>
        <v>-5839226.15850205</v>
      </c>
      <c r="BS273" s="14" t="n">
        <f aca="false">BR278</f>
        <v>-5872193.57963134</v>
      </c>
      <c r="BT273" s="14" t="n">
        <f aca="false">BS278</f>
        <v>-5958411.35076064</v>
      </c>
      <c r="BU273" s="14" t="n">
        <f aca="false">BT278</f>
        <v>-6044629.12188994</v>
      </c>
      <c r="BV273" s="14" t="n">
        <f aca="false">BU278</f>
        <v>-6063084.89301923</v>
      </c>
      <c r="BW273" s="14" t="n">
        <f aca="false">BV278</f>
        <v>-6149302.66414853</v>
      </c>
      <c r="BX273" s="14" t="n">
        <f aca="false">BW278</f>
        <v>-6235520.43527782</v>
      </c>
      <c r="BY273" s="14" t="n">
        <f aca="false">BX278</f>
        <v>-6253976.20640712</v>
      </c>
      <c r="BZ273" s="14" t="n">
        <f aca="false">BY278</f>
        <v>-6341918.332959</v>
      </c>
      <c r="CA273" s="14" t="n">
        <f aca="false">BZ278</f>
        <v>-6429860.45951088</v>
      </c>
      <c r="CB273" s="14" t="n">
        <f aca="false">CA278</f>
        <v>-6450040.58606276</v>
      </c>
      <c r="CC273" s="14" t="n">
        <f aca="false">CB278</f>
        <v>-6537982.71261464</v>
      </c>
      <c r="CD273" s="14" t="n">
        <f aca="false">CC278</f>
        <v>-6625924.83916652</v>
      </c>
      <c r="CE273" s="14" t="n">
        <f aca="false">CD278</f>
        <v>-6637367.9657184</v>
      </c>
      <c r="CF273" s="14" t="n">
        <f aca="false">CE278</f>
        <v>-6725310.09227028</v>
      </c>
      <c r="CG273" s="14" t="n">
        <f aca="false">CF278</f>
        <v>-6813252.21882216</v>
      </c>
      <c r="CH273" s="14" t="n">
        <f aca="false">CG278</f>
        <v>-6824695.34537404</v>
      </c>
      <c r="CI273" s="14" t="n">
        <f aca="false">CH278</f>
        <v>-6912637.47192592</v>
      </c>
      <c r="CJ273" s="14" t="n">
        <f aca="false">CI278</f>
        <v>-7000579.5984778</v>
      </c>
      <c r="CK273" s="14" t="n">
        <f aca="false">CJ278</f>
        <v>-7005414.6984232</v>
      </c>
      <c r="CL273" s="14" t="n">
        <f aca="false">CK278</f>
        <v>-6937254.66750612</v>
      </c>
      <c r="CM273" s="14" t="n">
        <f aca="false">CL278</f>
        <v>-6869094.63658904</v>
      </c>
      <c r="CN273" s="14" t="n">
        <f aca="false">CM278</f>
        <v>-6800934.60567196</v>
      </c>
      <c r="CO273" s="14" t="n">
        <f aca="false">CN278</f>
        <v>-6732774.57475488</v>
      </c>
      <c r="CP273" s="14" t="n">
        <f aca="false">CO278</f>
        <v>-6664614.54383779</v>
      </c>
      <c r="CQ273" s="14" t="n">
        <f aca="false">CP278</f>
        <v>-6596454.51292071</v>
      </c>
      <c r="CR273" s="14" t="n">
        <f aca="false">CQ278</f>
        <v>-6528294.48200363</v>
      </c>
      <c r="CS273" s="14" t="n">
        <f aca="false">CR278</f>
        <v>-6460134.45108655</v>
      </c>
      <c r="CT273" s="14" t="n">
        <f aca="false">CS278</f>
        <v>-6391974.42016947</v>
      </c>
      <c r="CU273" s="14" t="n">
        <f aca="false">CT278</f>
        <v>-6321905.89587749</v>
      </c>
      <c r="CV273" s="14" t="n">
        <f aca="false">CU278</f>
        <v>-6251837.37158551</v>
      </c>
      <c r="CW273" s="14" t="n">
        <f aca="false">CV278</f>
        <v>-6181768.84729353</v>
      </c>
      <c r="CX273" s="14" t="n">
        <f aca="false">CW278</f>
        <v>-6057748.02145212</v>
      </c>
      <c r="CY273" s="14" t="n">
        <f aca="false">CX278</f>
        <v>-5916280.3466743</v>
      </c>
      <c r="CZ273" s="14" t="n">
        <f aca="false">CY278</f>
        <v>-5774812.67189649</v>
      </c>
      <c r="DA273" s="14" t="n">
        <f aca="false">CZ278</f>
        <v>-5633344.99711867</v>
      </c>
      <c r="DB273" s="14" t="n">
        <f aca="false">DA278</f>
        <v>-5491877.32234085</v>
      </c>
      <c r="DC273" s="14" t="n">
        <f aca="false">DB278</f>
        <v>-5350409.64756303</v>
      </c>
      <c r="DD273" s="14" t="n">
        <f aca="false">DC278</f>
        <v>-5208941.97278521</v>
      </c>
      <c r="DE273" s="14" t="n">
        <f aca="false">DD278</f>
        <v>-5067474.2980074</v>
      </c>
    </row>
    <row r="274" customFormat="false" ht="15" hidden="false" customHeight="true" outlineLevel="0" collapsed="false">
      <c r="A274" s="29" t="s">
        <v>183</v>
      </c>
      <c r="B274" s="14"/>
      <c r="C274" s="14"/>
      <c r="D274" s="14"/>
      <c r="E274" s="14"/>
      <c r="F274" s="14"/>
      <c r="G274" s="14"/>
      <c r="H274" s="14" t="n">
        <f aca="false">H200</f>
        <v>-32050.8688095238</v>
      </c>
      <c r="I274" s="14" t="n">
        <f aca="false">I200</f>
        <v>228526.131190476</v>
      </c>
      <c r="J274" s="14" t="n">
        <f aca="false">J200</f>
        <v>-22537.1988095238</v>
      </c>
      <c r="K274" s="14" t="n">
        <f aca="false">K200</f>
        <v>-108331.108809524</v>
      </c>
      <c r="L274" s="14" t="n">
        <f aca="false">L200</f>
        <v>-8227.98880952381</v>
      </c>
      <c r="M274" s="14" t="n">
        <f aca="false">M200</f>
        <v>-10977.9888095238</v>
      </c>
      <c r="N274" s="14" t="n">
        <f aca="false">N200</f>
        <v>9897.01119047619</v>
      </c>
      <c r="O274" s="14" t="n">
        <f aca="false">O200</f>
        <v>-2960.13166666668</v>
      </c>
      <c r="P274" s="14" t="n">
        <f aca="false">P200</f>
        <v>-1710.13166666668</v>
      </c>
      <c r="Q274" s="14" t="n">
        <f aca="false">Q200</f>
        <v>-3271.93350000001</v>
      </c>
      <c r="R274" s="14" t="n">
        <f aca="false">R200</f>
        <v>-3271.93350000001</v>
      </c>
      <c r="S274" s="14" t="n">
        <f aca="false">S200</f>
        <v>-3271.93350000001</v>
      </c>
      <c r="T274" s="14" t="n">
        <f aca="false">T200</f>
        <v>-31178.1835</v>
      </c>
      <c r="U274" s="14" t="n">
        <f aca="false">U200</f>
        <v>-27178.1835</v>
      </c>
      <c r="V274" s="14" t="n">
        <f aca="false">V200</f>
        <v>-27178.1835</v>
      </c>
      <c r="W274" s="14" t="n">
        <f aca="false">W200</f>
        <v>-27178.1835</v>
      </c>
      <c r="X274" s="14" t="n">
        <f aca="false">X200</f>
        <v>-28525.1835</v>
      </c>
      <c r="Y274" s="14" t="n">
        <f aca="false">Y200</f>
        <v>86224.8165</v>
      </c>
      <c r="Z274" s="14" t="n">
        <f aca="false">Z200</f>
        <v>-53525.1835</v>
      </c>
      <c r="AA274" s="14" t="n">
        <f aca="false">AA200</f>
        <v>-53525.1835</v>
      </c>
      <c r="AB274" s="14" t="n">
        <f aca="false">AB200</f>
        <v>3849.8165</v>
      </c>
      <c r="AC274" s="14" t="n">
        <f aca="false">AC200</f>
        <v>-53868.22137</v>
      </c>
      <c r="AD274" s="14" t="n">
        <f aca="false">AD200</f>
        <v>-77552.43137</v>
      </c>
      <c r="AE274" s="14" t="n">
        <f aca="false">AE200</f>
        <v>-20177.43137</v>
      </c>
      <c r="AF274" s="14" t="n">
        <f aca="false">AF200</f>
        <v>-81552.43137</v>
      </c>
      <c r="AG274" s="14" t="n">
        <f aca="false">AG200</f>
        <v>-77552.43137</v>
      </c>
      <c r="AH274" s="14" t="n">
        <f aca="false">AH200</f>
        <v>-77552.43137</v>
      </c>
      <c r="AI274" s="14" t="n">
        <f aca="false">AI200</f>
        <v>-87052.43137</v>
      </c>
      <c r="AJ274" s="14" t="n">
        <f aca="false">AJ200</f>
        <v>-87052.43137</v>
      </c>
      <c r="AK274" s="14" t="n">
        <f aca="false">AK200</f>
        <v>-87052.43137</v>
      </c>
      <c r="AL274" s="14" t="n">
        <f aca="false">AL200</f>
        <v>-87052.43137</v>
      </c>
      <c r="AM274" s="14" t="n">
        <f aca="false">AM200</f>
        <v>-88302.43137</v>
      </c>
      <c r="AN274" s="14" t="n">
        <f aca="false">AN200</f>
        <v>-88302.43137</v>
      </c>
      <c r="AO274" s="14" t="n">
        <f aca="false">AO200</f>
        <v>-89927.3299974</v>
      </c>
      <c r="AP274" s="14" t="n">
        <f aca="false">AP200</f>
        <v>-89927.3299974</v>
      </c>
      <c r="AQ274" s="14" t="n">
        <f aca="false">AQ200</f>
        <v>-89927.3299974</v>
      </c>
      <c r="AR274" s="14" t="n">
        <f aca="false">AR200</f>
        <v>-93927.3299974</v>
      </c>
      <c r="AS274" s="14" t="n">
        <f aca="false">AS200</f>
        <v>-89927.3299974</v>
      </c>
      <c r="AT274" s="14" t="n">
        <f aca="false">AT200</f>
        <v>-82869.8299974</v>
      </c>
      <c r="AU274" s="14" t="n">
        <f aca="false">AU200</f>
        <v>-82869.8299974</v>
      </c>
      <c r="AV274" s="14" t="n">
        <f aca="false">AV200</f>
        <v>-82869.8299974</v>
      </c>
      <c r="AW274" s="14" t="n">
        <f aca="false">AW200</f>
        <v>-82869.8299974</v>
      </c>
      <c r="AX274" s="14" t="n">
        <f aca="false">AX200</f>
        <v>-82869.8299974</v>
      </c>
      <c r="AY274" s="14" t="n">
        <f aca="false">AY200</f>
        <v>-82869.8299974</v>
      </c>
      <c r="AZ274" s="14" t="n">
        <f aca="false">AZ200</f>
        <v>-82869.8299974</v>
      </c>
      <c r="BA274" s="14" t="n">
        <f aca="false">BA200</f>
        <v>-84527.226597348</v>
      </c>
      <c r="BB274" s="14" t="n">
        <f aca="false">BB200</f>
        <v>-84527.226597348</v>
      </c>
      <c r="BC274" s="14" t="n">
        <f aca="false">BC200</f>
        <v>-84527.226597348</v>
      </c>
      <c r="BD274" s="14" t="n">
        <f aca="false">BD200</f>
        <v>-84527.226597348</v>
      </c>
      <c r="BE274" s="14" t="n">
        <f aca="false">BE200</f>
        <v>-84527.226597348</v>
      </c>
      <c r="BF274" s="14" t="n">
        <f aca="false">BF200</f>
        <v>-84527.226597348</v>
      </c>
      <c r="BG274" s="14" t="n">
        <f aca="false">BG200</f>
        <v>-84527.226597348</v>
      </c>
      <c r="BH274" s="14" t="n">
        <f aca="false">BH200</f>
        <v>-84527.226597348</v>
      </c>
      <c r="BI274" s="14" t="n">
        <f aca="false">BI200</f>
        <v>-84527.226597348</v>
      </c>
      <c r="BJ274" s="14" t="n">
        <f aca="false">BJ200</f>
        <v>-84527.226597348</v>
      </c>
      <c r="BK274" s="14" t="n">
        <f aca="false">BK200</f>
        <v>-84527.226597348</v>
      </c>
      <c r="BL274" s="14" t="n">
        <f aca="false">BL200</f>
        <v>-84527.226597348</v>
      </c>
      <c r="BM274" s="14" t="n">
        <f aca="false">BM200</f>
        <v>-86217.771129295</v>
      </c>
      <c r="BN274" s="14" t="n">
        <f aca="false">BN200</f>
        <v>-86217.771129295</v>
      </c>
      <c r="BO274" s="14" t="n">
        <f aca="false">BO200</f>
        <v>-86217.771129295</v>
      </c>
      <c r="BP274" s="14" t="n">
        <f aca="false">BP200</f>
        <v>-86217.771129295</v>
      </c>
      <c r="BQ274" s="14" t="n">
        <f aca="false">BQ200</f>
        <v>-86217.771129295</v>
      </c>
      <c r="BR274" s="14" t="n">
        <f aca="false">BR200</f>
        <v>-32967.421129295</v>
      </c>
      <c r="BS274" s="14" t="n">
        <f aca="false">BS200</f>
        <v>-86217.771129295</v>
      </c>
      <c r="BT274" s="14" t="n">
        <f aca="false">BT200</f>
        <v>-86217.771129295</v>
      </c>
      <c r="BU274" s="14" t="n">
        <f aca="false">BU200</f>
        <v>-18455.771129295</v>
      </c>
      <c r="BV274" s="14" t="n">
        <f aca="false">BV200</f>
        <v>-86217.771129295</v>
      </c>
      <c r="BW274" s="14" t="n">
        <f aca="false">BW200</f>
        <v>-86217.771129295</v>
      </c>
      <c r="BX274" s="14" t="n">
        <f aca="false">BX200</f>
        <v>-18455.771129295</v>
      </c>
      <c r="BY274" s="14" t="n">
        <f aca="false">BY200</f>
        <v>-87942.1265518809</v>
      </c>
      <c r="BZ274" s="14" t="n">
        <f aca="false">BZ200</f>
        <v>-87942.1265518809</v>
      </c>
      <c r="CA274" s="14" t="n">
        <f aca="false">CA200</f>
        <v>-20180.1265518809</v>
      </c>
      <c r="CB274" s="14" t="n">
        <f aca="false">CB200</f>
        <v>-87942.1265518809</v>
      </c>
      <c r="CC274" s="14" t="n">
        <f aca="false">CC200</f>
        <v>-87942.1265518809</v>
      </c>
      <c r="CD274" s="14" t="n">
        <f aca="false">CD200</f>
        <v>-11443.1265518809</v>
      </c>
      <c r="CE274" s="14" t="n">
        <f aca="false">CE200</f>
        <v>-87942.1265518809</v>
      </c>
      <c r="CF274" s="14" t="n">
        <f aca="false">CF200</f>
        <v>-87942.1265518809</v>
      </c>
      <c r="CG274" s="14" t="n">
        <f aca="false">CG200</f>
        <v>-11443.1265518809</v>
      </c>
      <c r="CH274" s="14" t="n">
        <f aca="false">CH200</f>
        <v>-87942.1265518809</v>
      </c>
      <c r="CI274" s="14" t="n">
        <f aca="false">CI200</f>
        <v>-87942.1265518809</v>
      </c>
      <c r="CJ274" s="14" t="n">
        <f aca="false">CJ200</f>
        <v>-4835.09994540163</v>
      </c>
      <c r="CK274" s="14" t="n">
        <f aca="false">CK200</f>
        <v>68160.0309170815</v>
      </c>
      <c r="CL274" s="14" t="n">
        <f aca="false">CL200</f>
        <v>68160.0309170815</v>
      </c>
      <c r="CM274" s="14" t="n">
        <f aca="false">CM200</f>
        <v>68160.0309170815</v>
      </c>
      <c r="CN274" s="14" t="n">
        <f aca="false">CN200</f>
        <v>68160.0309170815</v>
      </c>
      <c r="CO274" s="14" t="n">
        <f aca="false">CO200</f>
        <v>68160.0309170815</v>
      </c>
      <c r="CP274" s="14" t="n">
        <f aca="false">CP200</f>
        <v>68160.0309170815</v>
      </c>
      <c r="CQ274" s="14" t="n">
        <f aca="false">CQ200</f>
        <v>68160.0309170815</v>
      </c>
      <c r="CR274" s="14" t="n">
        <f aca="false">CR200</f>
        <v>68160.0309170815</v>
      </c>
      <c r="CS274" s="14" t="n">
        <f aca="false">CS200</f>
        <v>68160.0309170815</v>
      </c>
      <c r="CT274" s="14" t="n">
        <f aca="false">CT200</f>
        <v>70068.524291978</v>
      </c>
      <c r="CU274" s="14" t="n">
        <f aca="false">CU200</f>
        <v>70068.524291978</v>
      </c>
      <c r="CV274" s="14" t="n">
        <f aca="false">CV200</f>
        <v>70068.524291978</v>
      </c>
      <c r="CW274" s="14" t="n">
        <f aca="false">CW200</f>
        <v>124020.82584141</v>
      </c>
      <c r="CX274" s="14" t="n">
        <f aca="false">CX200</f>
        <v>141467.674777818</v>
      </c>
      <c r="CY274" s="14" t="n">
        <f aca="false">CY200</f>
        <v>141467.674777818</v>
      </c>
      <c r="CZ274" s="14" t="n">
        <f aca="false">CZ200</f>
        <v>141467.674777818</v>
      </c>
      <c r="DA274" s="14" t="n">
        <f aca="false">DA200</f>
        <v>141467.674777818</v>
      </c>
      <c r="DB274" s="14" t="n">
        <f aca="false">DB200</f>
        <v>141467.674777818</v>
      </c>
      <c r="DC274" s="14" t="n">
        <f aca="false">DC200</f>
        <v>141467.674777818</v>
      </c>
      <c r="DD274" s="14" t="n">
        <f aca="false">DD200</f>
        <v>141467.674777818</v>
      </c>
      <c r="DE274" s="14" t="n">
        <f aca="false">DE200</f>
        <v>141467.674777818</v>
      </c>
    </row>
    <row r="275" customFormat="false" ht="15" hidden="false" customHeight="true" outlineLevel="0" collapsed="false">
      <c r="A275" s="29" t="s">
        <v>184</v>
      </c>
      <c r="B275" s="14"/>
      <c r="C275" s="14"/>
      <c r="D275" s="14"/>
      <c r="E275" s="14"/>
      <c r="F275" s="14"/>
      <c r="G275" s="14"/>
      <c r="H275" s="14" t="n">
        <f aca="false">H217</f>
        <v>0</v>
      </c>
      <c r="I275" s="14" t="n">
        <f aca="false">I217</f>
        <v>0</v>
      </c>
      <c r="J275" s="14" t="n">
        <f aca="false">J217</f>
        <v>0</v>
      </c>
      <c r="K275" s="14" t="n">
        <f aca="false">K217</f>
        <v>0</v>
      </c>
      <c r="L275" s="14" t="n">
        <f aca="false">L217</f>
        <v>0</v>
      </c>
      <c r="M275" s="14" t="n">
        <f aca="false">M217</f>
        <v>0</v>
      </c>
      <c r="N275" s="14" t="n">
        <f aca="false">N217</f>
        <v>-112000</v>
      </c>
      <c r="O275" s="14" t="n">
        <f aca="false">O217</f>
        <v>-112000</v>
      </c>
      <c r="P275" s="14" t="n">
        <f aca="false">P217</f>
        <v>-112000</v>
      </c>
      <c r="Q275" s="14" t="n">
        <f aca="false">Q217</f>
        <v>-112000</v>
      </c>
      <c r="R275" s="14" t="n">
        <f aca="false">R217</f>
        <v>-112000</v>
      </c>
      <c r="S275" s="14" t="n">
        <f aca="false">S217</f>
        <v>-112000</v>
      </c>
      <c r="T275" s="14" t="n">
        <f aca="false">T217</f>
        <v>-112000</v>
      </c>
      <c r="U275" s="14" t="n">
        <f aca="false">U217</f>
        <v>-112000</v>
      </c>
      <c r="V275" s="14" t="n">
        <f aca="false">V217</f>
        <v>-112000</v>
      </c>
      <c r="W275" s="14" t="n">
        <f aca="false">W217</f>
        <v>-112000</v>
      </c>
      <c r="X275" s="14" t="n">
        <f aca="false">X217</f>
        <v>-112000</v>
      </c>
      <c r="Y275" s="14" t="n">
        <f aca="false">Y217</f>
        <v>-112000</v>
      </c>
      <c r="Z275" s="14" t="n">
        <f aca="false">Z217</f>
        <v>-112000</v>
      </c>
      <c r="AA275" s="14" t="n">
        <f aca="false">AA217</f>
        <v>-112000</v>
      </c>
      <c r="AB275" s="14" t="n">
        <f aca="false">AB217</f>
        <v>-112000</v>
      </c>
      <c r="AC275" s="14" t="n">
        <f aca="false">AC217</f>
        <v>-112000</v>
      </c>
      <c r="AD275" s="14" t="n">
        <f aca="false">AD217</f>
        <v>-112000</v>
      </c>
      <c r="AE275" s="14" t="n">
        <f aca="false">AE217</f>
        <v>-91981.4302785977</v>
      </c>
      <c r="AF275" s="14" t="n">
        <f aca="false">AF217</f>
        <v>0</v>
      </c>
      <c r="AG275" s="14" t="n">
        <f aca="false">AG217</f>
        <v>0</v>
      </c>
      <c r="AH275" s="14" t="n">
        <f aca="false">AH217</f>
        <v>0</v>
      </c>
      <c r="AI275" s="14" t="n">
        <f aca="false">AI217</f>
        <v>0</v>
      </c>
      <c r="AJ275" s="14" t="n">
        <f aca="false">AJ217</f>
        <v>0</v>
      </c>
      <c r="AK275" s="14" t="n">
        <f aca="false">AK217</f>
        <v>0</v>
      </c>
      <c r="AL275" s="14" t="n">
        <f aca="false">AL217</f>
        <v>0</v>
      </c>
      <c r="AM275" s="14" t="n">
        <f aca="false">AM217</f>
        <v>0</v>
      </c>
      <c r="AN275" s="14" t="n">
        <f aca="false">AN217</f>
        <v>0</v>
      </c>
      <c r="AO275" s="14" t="n">
        <f aca="false">AO217</f>
        <v>0</v>
      </c>
      <c r="AP275" s="14" t="n">
        <f aca="false">AP217</f>
        <v>0</v>
      </c>
      <c r="AQ275" s="14" t="n">
        <f aca="false">AQ217</f>
        <v>0</v>
      </c>
      <c r="AR275" s="14" t="n">
        <f aca="false">AR217</f>
        <v>0</v>
      </c>
      <c r="AS275" s="14" t="n">
        <f aca="false">AS217</f>
        <v>0</v>
      </c>
      <c r="AT275" s="14" t="n">
        <f aca="false">AT217</f>
        <v>0</v>
      </c>
      <c r="AU275" s="14" t="n">
        <f aca="false">AU217</f>
        <v>0</v>
      </c>
      <c r="AV275" s="14" t="n">
        <f aca="false">AV217</f>
        <v>0</v>
      </c>
      <c r="AW275" s="14" t="n">
        <f aca="false">AW217</f>
        <v>0</v>
      </c>
      <c r="AX275" s="14" t="n">
        <f aca="false">AX217</f>
        <v>0</v>
      </c>
      <c r="AY275" s="14" t="n">
        <f aca="false">AY217</f>
        <v>0</v>
      </c>
      <c r="AZ275" s="14" t="n">
        <f aca="false">AZ217</f>
        <v>0</v>
      </c>
      <c r="BA275" s="14" t="n">
        <f aca="false">BA217</f>
        <v>0</v>
      </c>
      <c r="BB275" s="14" t="n">
        <f aca="false">BB217</f>
        <v>0</v>
      </c>
      <c r="BC275" s="14" t="n">
        <f aca="false">BC217</f>
        <v>0</v>
      </c>
      <c r="BD275" s="14" t="n">
        <f aca="false">BD217</f>
        <v>0</v>
      </c>
      <c r="BE275" s="14" t="n">
        <f aca="false">BE217</f>
        <v>0</v>
      </c>
      <c r="BF275" s="14" t="n">
        <f aca="false">BF217</f>
        <v>0</v>
      </c>
      <c r="BG275" s="14" t="n">
        <f aca="false">BG217</f>
        <v>0</v>
      </c>
      <c r="BH275" s="14" t="n">
        <f aca="false">BH217</f>
        <v>0</v>
      </c>
      <c r="BI275" s="14" t="n">
        <f aca="false">BI217</f>
        <v>0</v>
      </c>
      <c r="BJ275" s="14" t="n">
        <f aca="false">BJ217</f>
        <v>0</v>
      </c>
      <c r="BK275" s="14" t="n">
        <f aca="false">BK217</f>
        <v>0</v>
      </c>
      <c r="BL275" s="14" t="n">
        <f aca="false">BL217</f>
        <v>0</v>
      </c>
      <c r="BM275" s="14" t="n">
        <f aca="false">BM217</f>
        <v>0</v>
      </c>
      <c r="BN275" s="14" t="n">
        <f aca="false">BN217</f>
        <v>0</v>
      </c>
      <c r="BO275" s="14" t="n">
        <f aca="false">BO217</f>
        <v>0</v>
      </c>
      <c r="BP275" s="14" t="n">
        <f aca="false">BP217</f>
        <v>0</v>
      </c>
      <c r="BQ275" s="14" t="n">
        <f aca="false">BQ217</f>
        <v>0</v>
      </c>
      <c r="BR275" s="14" t="n">
        <f aca="false">BR217</f>
        <v>0</v>
      </c>
      <c r="BS275" s="14" t="n">
        <f aca="false">BS217</f>
        <v>0</v>
      </c>
      <c r="BT275" s="14" t="n">
        <f aca="false">BT217</f>
        <v>0</v>
      </c>
      <c r="BU275" s="14" t="n">
        <f aca="false">BU217</f>
        <v>0</v>
      </c>
      <c r="BV275" s="14" t="n">
        <f aca="false">BV217</f>
        <v>0</v>
      </c>
      <c r="BW275" s="14" t="n">
        <f aca="false">BW217</f>
        <v>0</v>
      </c>
      <c r="BX275" s="14" t="n">
        <f aca="false">BX217</f>
        <v>0</v>
      </c>
      <c r="BY275" s="14" t="n">
        <f aca="false">BY217</f>
        <v>0</v>
      </c>
      <c r="BZ275" s="14" t="n">
        <f aca="false">BZ217</f>
        <v>0</v>
      </c>
      <c r="CA275" s="14" t="n">
        <f aca="false">CA217</f>
        <v>0</v>
      </c>
      <c r="CB275" s="14" t="n">
        <f aca="false">CB217</f>
        <v>0</v>
      </c>
      <c r="CC275" s="14" t="n">
        <f aca="false">CC217</f>
        <v>0</v>
      </c>
      <c r="CD275" s="14" t="n">
        <f aca="false">CD217</f>
        <v>0</v>
      </c>
      <c r="CE275" s="14" t="n">
        <f aca="false">CE217</f>
        <v>0</v>
      </c>
      <c r="CF275" s="14" t="n">
        <f aca="false">CF217</f>
        <v>0</v>
      </c>
      <c r="CG275" s="14" t="n">
        <f aca="false">CG217</f>
        <v>0</v>
      </c>
      <c r="CH275" s="14" t="n">
        <f aca="false">CH217</f>
        <v>0</v>
      </c>
      <c r="CI275" s="14" t="n">
        <f aca="false">CI217</f>
        <v>0</v>
      </c>
      <c r="CJ275" s="14" t="n">
        <f aca="false">CJ217</f>
        <v>0</v>
      </c>
      <c r="CK275" s="14" t="n">
        <f aca="false">CK217</f>
        <v>0</v>
      </c>
      <c r="CL275" s="14" t="n">
        <f aca="false">CL217</f>
        <v>0</v>
      </c>
      <c r="CM275" s="14" t="n">
        <f aca="false">CM217</f>
        <v>0</v>
      </c>
      <c r="CN275" s="14" t="n">
        <f aca="false">CN217</f>
        <v>0</v>
      </c>
      <c r="CO275" s="14" t="n">
        <f aca="false">CO217</f>
        <v>0</v>
      </c>
      <c r="CP275" s="14" t="n">
        <f aca="false">CP217</f>
        <v>0</v>
      </c>
      <c r="CQ275" s="14" t="n">
        <f aca="false">CQ217</f>
        <v>0</v>
      </c>
      <c r="CR275" s="14" t="n">
        <f aca="false">CR217</f>
        <v>0</v>
      </c>
      <c r="CS275" s="14" t="n">
        <f aca="false">CS217</f>
        <v>0</v>
      </c>
      <c r="CT275" s="14" t="n">
        <f aca="false">CT217</f>
        <v>0</v>
      </c>
      <c r="CU275" s="14" t="n">
        <f aca="false">CU217</f>
        <v>0</v>
      </c>
      <c r="CV275" s="14" t="n">
        <f aca="false">CV217</f>
        <v>0</v>
      </c>
      <c r="CW275" s="14" t="n">
        <f aca="false">CW217</f>
        <v>0</v>
      </c>
      <c r="CX275" s="14" t="n">
        <f aca="false">CX217</f>
        <v>0</v>
      </c>
      <c r="CY275" s="14" t="n">
        <f aca="false">CY217</f>
        <v>0</v>
      </c>
      <c r="CZ275" s="14" t="n">
        <f aca="false">CZ217</f>
        <v>0</v>
      </c>
      <c r="DA275" s="14" t="n">
        <f aca="false">DA217</f>
        <v>0</v>
      </c>
      <c r="DB275" s="14" t="n">
        <f aca="false">DB217</f>
        <v>0</v>
      </c>
      <c r="DC275" s="14" t="n">
        <f aca="false">DC217</f>
        <v>0</v>
      </c>
      <c r="DD275" s="14" t="n">
        <f aca="false">DD217</f>
        <v>0</v>
      </c>
      <c r="DE275" s="14" t="n">
        <f aca="false">DE217</f>
        <v>0</v>
      </c>
    </row>
    <row r="276" customFormat="false" ht="15" hidden="false" customHeight="true" outlineLevel="0" collapsed="false">
      <c r="A276" s="29" t="s">
        <v>185</v>
      </c>
      <c r="B276" s="14"/>
      <c r="C276" s="14"/>
      <c r="D276" s="14"/>
      <c r="E276" s="14"/>
      <c r="F276" s="14"/>
      <c r="G276" s="14"/>
      <c r="H276" s="14" t="n">
        <f aca="false">H223</f>
        <v>0</v>
      </c>
      <c r="I276" s="14" t="n">
        <f aca="false">I223</f>
        <v>0</v>
      </c>
      <c r="J276" s="14" t="n">
        <f aca="false">J223</f>
        <v>0</v>
      </c>
      <c r="K276" s="14" t="n">
        <f aca="false">K223</f>
        <v>0</v>
      </c>
      <c r="L276" s="14" t="n">
        <f aca="false">L223</f>
        <v>0</v>
      </c>
      <c r="M276" s="14" t="n">
        <f aca="false">M223</f>
        <v>0</v>
      </c>
      <c r="N276" s="14" t="n">
        <f aca="false">N223</f>
        <v>0</v>
      </c>
      <c r="O276" s="14" t="n">
        <f aca="false">O223</f>
        <v>-250000</v>
      </c>
      <c r="P276" s="14" t="n">
        <f aca="false">P223</f>
        <v>0</v>
      </c>
      <c r="Q276" s="14" t="n">
        <f aca="false">Q223</f>
        <v>0</v>
      </c>
      <c r="R276" s="14" t="n">
        <f aca="false">R223</f>
        <v>0</v>
      </c>
      <c r="S276" s="14" t="n">
        <f aca="false">S223</f>
        <v>0</v>
      </c>
      <c r="T276" s="14" t="n">
        <f aca="false">T223</f>
        <v>0</v>
      </c>
      <c r="U276" s="14" t="n">
        <f aca="false">U223</f>
        <v>0</v>
      </c>
      <c r="V276" s="14" t="n">
        <f aca="false">V223</f>
        <v>0</v>
      </c>
      <c r="W276" s="14" t="n">
        <f aca="false">W223</f>
        <v>0</v>
      </c>
      <c r="X276" s="14" t="n">
        <f aca="false">X223</f>
        <v>0</v>
      </c>
      <c r="Y276" s="14" t="n">
        <f aca="false">Y223</f>
        <v>0</v>
      </c>
      <c r="Z276" s="14" t="n">
        <f aca="false">Z223</f>
        <v>0</v>
      </c>
      <c r="AA276" s="14" t="n">
        <f aca="false">AA223</f>
        <v>-250000</v>
      </c>
      <c r="AB276" s="14" t="n">
        <f aca="false">AB223</f>
        <v>0</v>
      </c>
      <c r="AC276" s="14" t="n">
        <f aca="false">AC223</f>
        <v>0</v>
      </c>
      <c r="AD276" s="14" t="n">
        <f aca="false">AD223</f>
        <v>0</v>
      </c>
      <c r="AE276" s="14" t="n">
        <f aca="false">AE223</f>
        <v>0</v>
      </c>
      <c r="AF276" s="14" t="n">
        <f aca="false">AF223</f>
        <v>0</v>
      </c>
      <c r="AG276" s="14" t="n">
        <f aca="false">AG223</f>
        <v>0</v>
      </c>
      <c r="AH276" s="14" t="n">
        <f aca="false">AH223</f>
        <v>0</v>
      </c>
      <c r="AI276" s="14" t="n">
        <f aca="false">AI223</f>
        <v>0</v>
      </c>
      <c r="AJ276" s="14" t="n">
        <f aca="false">AJ223</f>
        <v>0</v>
      </c>
      <c r="AK276" s="14" t="n">
        <f aca="false">AK223</f>
        <v>0</v>
      </c>
      <c r="AL276" s="14" t="n">
        <f aca="false">AL223</f>
        <v>0</v>
      </c>
      <c r="AM276" s="14" t="n">
        <f aca="false">AM223</f>
        <v>0</v>
      </c>
      <c r="AN276" s="14" t="n">
        <f aca="false">AN223</f>
        <v>0</v>
      </c>
      <c r="AO276" s="14" t="n">
        <f aca="false">AO223</f>
        <v>0</v>
      </c>
      <c r="AP276" s="14" t="n">
        <f aca="false">AP223</f>
        <v>0</v>
      </c>
      <c r="AQ276" s="14" t="n">
        <f aca="false">AQ223</f>
        <v>0</v>
      </c>
      <c r="AR276" s="14" t="n">
        <f aca="false">AR223</f>
        <v>0</v>
      </c>
      <c r="AS276" s="14" t="n">
        <f aca="false">AS223</f>
        <v>0</v>
      </c>
      <c r="AT276" s="14" t="n">
        <f aca="false">AT223</f>
        <v>0</v>
      </c>
      <c r="AU276" s="14" t="n">
        <f aca="false">AU223</f>
        <v>0</v>
      </c>
      <c r="AV276" s="14" t="n">
        <f aca="false">AV223</f>
        <v>0</v>
      </c>
      <c r="AW276" s="14" t="n">
        <f aca="false">AW223</f>
        <v>0</v>
      </c>
      <c r="AX276" s="14" t="n">
        <f aca="false">AX223</f>
        <v>0</v>
      </c>
      <c r="AY276" s="14" t="n">
        <f aca="false">AY223</f>
        <v>0</v>
      </c>
      <c r="AZ276" s="14" t="n">
        <f aca="false">AZ223</f>
        <v>0</v>
      </c>
      <c r="BA276" s="14" t="n">
        <f aca="false">BA223</f>
        <v>0</v>
      </c>
      <c r="BB276" s="14" t="n">
        <f aca="false">BB223</f>
        <v>0</v>
      </c>
      <c r="BC276" s="14" t="n">
        <f aca="false">BC223</f>
        <v>0</v>
      </c>
      <c r="BD276" s="14" t="n">
        <f aca="false">BD223</f>
        <v>0</v>
      </c>
      <c r="BE276" s="14" t="n">
        <f aca="false">BE223</f>
        <v>0</v>
      </c>
      <c r="BF276" s="14" t="n">
        <f aca="false">BF223</f>
        <v>0</v>
      </c>
      <c r="BG276" s="14" t="n">
        <f aca="false">BG223</f>
        <v>0</v>
      </c>
      <c r="BH276" s="14" t="n">
        <f aca="false">BH223</f>
        <v>0</v>
      </c>
      <c r="BI276" s="14" t="n">
        <f aca="false">BI223</f>
        <v>0</v>
      </c>
      <c r="BJ276" s="14" t="n">
        <f aca="false">BJ223</f>
        <v>0</v>
      </c>
      <c r="BK276" s="14" t="n">
        <f aca="false">BK223</f>
        <v>0</v>
      </c>
      <c r="BL276" s="14" t="n">
        <f aca="false">BL223</f>
        <v>0</v>
      </c>
      <c r="BM276" s="14" t="n">
        <f aca="false">BM223</f>
        <v>0</v>
      </c>
      <c r="BN276" s="14" t="n">
        <f aca="false">BN223</f>
        <v>0</v>
      </c>
      <c r="BO276" s="14" t="n">
        <f aca="false">BO223</f>
        <v>0</v>
      </c>
      <c r="BP276" s="14" t="n">
        <f aca="false">BP223</f>
        <v>0</v>
      </c>
      <c r="BQ276" s="14" t="n">
        <f aca="false">BQ223</f>
        <v>0</v>
      </c>
      <c r="BR276" s="14" t="n">
        <f aca="false">BR223</f>
        <v>0</v>
      </c>
      <c r="BS276" s="14" t="n">
        <f aca="false">BS223</f>
        <v>0</v>
      </c>
      <c r="BT276" s="14" t="n">
        <f aca="false">BT223</f>
        <v>0</v>
      </c>
      <c r="BU276" s="14" t="n">
        <f aca="false">BU223</f>
        <v>0</v>
      </c>
      <c r="BV276" s="14" t="n">
        <f aca="false">BV223</f>
        <v>0</v>
      </c>
      <c r="BW276" s="14" t="n">
        <f aca="false">BW223</f>
        <v>0</v>
      </c>
      <c r="BX276" s="14" t="n">
        <f aca="false">BX223</f>
        <v>0</v>
      </c>
      <c r="BY276" s="14" t="n">
        <f aca="false">BY223</f>
        <v>0</v>
      </c>
      <c r="BZ276" s="14" t="n">
        <f aca="false">BZ223</f>
        <v>0</v>
      </c>
      <c r="CA276" s="14" t="n">
        <f aca="false">CA223</f>
        <v>0</v>
      </c>
      <c r="CB276" s="14" t="n">
        <f aca="false">CB223</f>
        <v>0</v>
      </c>
      <c r="CC276" s="14" t="n">
        <f aca="false">CC223</f>
        <v>0</v>
      </c>
      <c r="CD276" s="14" t="n">
        <f aca="false">CD223</f>
        <v>0</v>
      </c>
      <c r="CE276" s="14" t="n">
        <f aca="false">CE223</f>
        <v>0</v>
      </c>
      <c r="CF276" s="14" t="n">
        <f aca="false">CF223</f>
        <v>0</v>
      </c>
      <c r="CG276" s="14" t="n">
        <f aca="false">CG223</f>
        <v>0</v>
      </c>
      <c r="CH276" s="14" t="n">
        <f aca="false">CH223</f>
        <v>0</v>
      </c>
      <c r="CI276" s="14" t="n">
        <f aca="false">CI223</f>
        <v>0</v>
      </c>
      <c r="CJ276" s="14" t="n">
        <f aca="false">CJ223</f>
        <v>0</v>
      </c>
      <c r="CK276" s="14" t="n">
        <f aca="false">CK223</f>
        <v>0</v>
      </c>
      <c r="CL276" s="14" t="n">
        <f aca="false">CL223</f>
        <v>0</v>
      </c>
      <c r="CM276" s="14" t="n">
        <f aca="false">CM223</f>
        <v>0</v>
      </c>
      <c r="CN276" s="14" t="n">
        <f aca="false">CN223</f>
        <v>0</v>
      </c>
      <c r="CO276" s="14" t="n">
        <f aca="false">CO223</f>
        <v>0</v>
      </c>
      <c r="CP276" s="14" t="n">
        <f aca="false">CP223</f>
        <v>0</v>
      </c>
      <c r="CQ276" s="14" t="n">
        <f aca="false">CQ223</f>
        <v>0</v>
      </c>
      <c r="CR276" s="14" t="n">
        <f aca="false">CR223</f>
        <v>0</v>
      </c>
      <c r="CS276" s="14" t="n">
        <f aca="false">CS223</f>
        <v>0</v>
      </c>
      <c r="CT276" s="14" t="n">
        <f aca="false">CT223</f>
        <v>0</v>
      </c>
      <c r="CU276" s="14" t="n">
        <f aca="false">CU223</f>
        <v>0</v>
      </c>
      <c r="CV276" s="14" t="n">
        <f aca="false">CV223</f>
        <v>0</v>
      </c>
      <c r="CW276" s="14" t="n">
        <f aca="false">CW223</f>
        <v>0</v>
      </c>
      <c r="CX276" s="14" t="n">
        <f aca="false">CX223</f>
        <v>0</v>
      </c>
      <c r="CY276" s="14" t="n">
        <f aca="false">CY223</f>
        <v>0</v>
      </c>
      <c r="CZ276" s="14" t="n">
        <f aca="false">CZ223</f>
        <v>0</v>
      </c>
      <c r="DA276" s="14" t="n">
        <f aca="false">DA223</f>
        <v>0</v>
      </c>
      <c r="DB276" s="14" t="n">
        <f aca="false">DB223</f>
        <v>0</v>
      </c>
      <c r="DC276" s="14" t="n">
        <f aca="false">DC223</f>
        <v>0</v>
      </c>
      <c r="DD276" s="14" t="n">
        <f aca="false">DD223</f>
        <v>0</v>
      </c>
      <c r="DE276" s="14" t="n">
        <f aca="false">DE223</f>
        <v>0</v>
      </c>
    </row>
    <row r="277" customFormat="false" ht="15" hidden="false" customHeight="true" outlineLevel="0" collapsed="false">
      <c r="A277" s="29" t="s">
        <v>186</v>
      </c>
      <c r="B277" s="14"/>
      <c r="C277" s="14"/>
      <c r="D277" s="14"/>
      <c r="E277" s="14"/>
      <c r="F277" s="14"/>
      <c r="G277" s="14"/>
      <c r="H277" s="14" t="n">
        <v>0</v>
      </c>
      <c r="I277" s="14" t="n">
        <v>0</v>
      </c>
      <c r="J277" s="14" t="n">
        <v>0</v>
      </c>
      <c r="K277" s="14" t="n">
        <v>0</v>
      </c>
      <c r="L277" s="14" t="n">
        <v>0</v>
      </c>
      <c r="M277" s="14" t="n">
        <v>0</v>
      </c>
      <c r="N277" s="14" t="n">
        <v>0</v>
      </c>
      <c r="O277" s="14" t="n">
        <v>0</v>
      </c>
      <c r="P277" s="14" t="n">
        <v>0</v>
      </c>
      <c r="Q277" s="14" t="n">
        <v>0</v>
      </c>
      <c r="R277" s="14" t="n">
        <v>0</v>
      </c>
      <c r="S277" s="14" t="n">
        <v>0</v>
      </c>
      <c r="T277" s="14" t="n">
        <v>0</v>
      </c>
      <c r="U277" s="14" t="n">
        <v>0</v>
      </c>
      <c r="V277" s="14" t="n">
        <v>0</v>
      </c>
      <c r="W277" s="14" t="n">
        <v>0</v>
      </c>
      <c r="X277" s="14" t="n">
        <v>0</v>
      </c>
      <c r="Y277" s="14" t="n">
        <v>0</v>
      </c>
      <c r="Z277" s="14" t="n">
        <v>0</v>
      </c>
      <c r="AA277" s="14" t="n">
        <v>0</v>
      </c>
      <c r="AB277" s="14" t="n">
        <v>0</v>
      </c>
      <c r="AC277" s="14" t="n">
        <v>0</v>
      </c>
      <c r="AD277" s="14" t="n">
        <v>0</v>
      </c>
      <c r="AE277" s="14" t="n">
        <v>0</v>
      </c>
      <c r="AF277" s="14" t="n">
        <v>0</v>
      </c>
      <c r="AG277" s="14" t="n">
        <v>0</v>
      </c>
      <c r="AH277" s="14" t="n">
        <v>0</v>
      </c>
      <c r="AI277" s="14" t="n">
        <v>0</v>
      </c>
      <c r="AJ277" s="14" t="n">
        <v>0</v>
      </c>
      <c r="AK277" s="14" t="n">
        <v>0</v>
      </c>
      <c r="AL277" s="14" t="n">
        <v>0</v>
      </c>
      <c r="AM277" s="14" t="n">
        <v>0</v>
      </c>
      <c r="AN277" s="14" t="n">
        <v>0</v>
      </c>
      <c r="AO277" s="14" t="n">
        <v>0</v>
      </c>
      <c r="AP277" s="14" t="n">
        <v>0</v>
      </c>
      <c r="AQ277" s="14" t="n">
        <v>0</v>
      </c>
      <c r="AR277" s="14" t="n">
        <v>0</v>
      </c>
      <c r="AS277" s="14" t="n">
        <v>0</v>
      </c>
      <c r="AT277" s="14" t="n">
        <v>0</v>
      </c>
      <c r="AU277" s="14" t="n">
        <v>0</v>
      </c>
      <c r="AV277" s="14" t="n">
        <v>0</v>
      </c>
      <c r="AW277" s="14" t="n">
        <v>0</v>
      </c>
      <c r="AX277" s="14" t="n">
        <v>0</v>
      </c>
      <c r="AY277" s="14" t="n">
        <v>0</v>
      </c>
      <c r="AZ277" s="14" t="n">
        <v>0</v>
      </c>
      <c r="BA277" s="14" t="n">
        <v>0</v>
      </c>
      <c r="BB277" s="14" t="n">
        <v>0</v>
      </c>
      <c r="BC277" s="14" t="n">
        <v>0</v>
      </c>
      <c r="BD277" s="14" t="n">
        <v>0</v>
      </c>
      <c r="BE277" s="14" t="n">
        <v>0</v>
      </c>
      <c r="BF277" s="14" t="n">
        <v>0</v>
      </c>
      <c r="BG277" s="14" t="n">
        <v>0</v>
      </c>
      <c r="BH277" s="14" t="n">
        <v>0</v>
      </c>
      <c r="BI277" s="14" t="n">
        <v>0</v>
      </c>
      <c r="BJ277" s="14" t="n">
        <v>0</v>
      </c>
      <c r="BK277" s="14" t="n">
        <v>0</v>
      </c>
      <c r="BL277" s="14" t="n">
        <v>0</v>
      </c>
      <c r="BM277" s="14" t="n">
        <v>0</v>
      </c>
      <c r="BN277" s="14" t="n">
        <v>0</v>
      </c>
      <c r="BO277" s="14" t="n">
        <v>0</v>
      </c>
      <c r="BP277" s="14" t="n">
        <v>0</v>
      </c>
      <c r="BQ277" s="14" t="n">
        <v>0</v>
      </c>
      <c r="BR277" s="14" t="n">
        <v>0</v>
      </c>
      <c r="BS277" s="14" t="n">
        <v>0</v>
      </c>
      <c r="BT277" s="14" t="n">
        <v>0</v>
      </c>
      <c r="BU277" s="14" t="n">
        <v>0</v>
      </c>
      <c r="BV277" s="14" t="n">
        <v>0</v>
      </c>
      <c r="BW277" s="14" t="n">
        <v>0</v>
      </c>
      <c r="BX277" s="14" t="n">
        <v>0</v>
      </c>
      <c r="BY277" s="14" t="n">
        <v>0</v>
      </c>
      <c r="BZ277" s="14" t="n">
        <v>0</v>
      </c>
      <c r="CA277" s="14" t="n">
        <v>0</v>
      </c>
      <c r="CB277" s="14" t="n">
        <v>0</v>
      </c>
      <c r="CC277" s="14" t="n">
        <v>0</v>
      </c>
      <c r="CD277" s="14" t="n">
        <v>0</v>
      </c>
      <c r="CE277" s="14" t="n">
        <v>0</v>
      </c>
      <c r="CF277" s="14" t="n">
        <v>0</v>
      </c>
      <c r="CG277" s="14" t="n">
        <v>0</v>
      </c>
      <c r="CH277" s="14" t="n">
        <v>0</v>
      </c>
      <c r="CI277" s="14" t="n">
        <v>0</v>
      </c>
      <c r="CJ277" s="14" t="n">
        <v>0</v>
      </c>
      <c r="CK277" s="14" t="n">
        <v>0</v>
      </c>
      <c r="CL277" s="14" t="n">
        <v>0</v>
      </c>
      <c r="CM277" s="14" t="n">
        <v>0</v>
      </c>
      <c r="CN277" s="14" t="n">
        <v>0</v>
      </c>
      <c r="CO277" s="14" t="n">
        <v>0</v>
      </c>
      <c r="CP277" s="14" t="n">
        <v>0</v>
      </c>
      <c r="CQ277" s="14" t="n">
        <v>0</v>
      </c>
      <c r="CR277" s="14" t="n">
        <v>0</v>
      </c>
      <c r="CS277" s="14" t="n">
        <v>0</v>
      </c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</row>
    <row r="278" customFormat="false" ht="15" hidden="false" customHeight="true" outlineLevel="0" collapsed="false">
      <c r="A278" s="75" t="s">
        <v>187</v>
      </c>
      <c r="B278" s="76"/>
      <c r="C278" s="76"/>
      <c r="D278" s="76"/>
      <c r="E278" s="76"/>
      <c r="F278" s="76"/>
      <c r="G278" s="76"/>
      <c r="H278" s="76" t="n">
        <f aca="false">H273+H274+H275+H276+H277</f>
        <v>133317.131190476</v>
      </c>
      <c r="I278" s="76" t="n">
        <f aca="false">I273+I274+I275+I276+I277</f>
        <v>361843.262380952</v>
      </c>
      <c r="J278" s="76" t="n">
        <f aca="false">J273+J274+J275+J276+J277</f>
        <v>339306.063571429</v>
      </c>
      <c r="K278" s="76" t="n">
        <f aca="false">K273+K274+K275+K276+K277</f>
        <v>230974.954761905</v>
      </c>
      <c r="L278" s="76" t="n">
        <f aca="false">L273+L274+L275+L276+L277</f>
        <v>222746.965952381</v>
      </c>
      <c r="M278" s="76" t="n">
        <f aca="false">M273+M274+M275+M276+M277</f>
        <v>211768.977142857</v>
      </c>
      <c r="N278" s="76" t="n">
        <f aca="false">N273+N274+N275+N276+N277</f>
        <v>109665.988333333</v>
      </c>
      <c r="O278" s="76" t="n">
        <f aca="false">O273+O274+O275+O276+O277</f>
        <v>-255294.143333333</v>
      </c>
      <c r="P278" s="76" t="n">
        <f aca="false">P273+P274+P275+P276+P277</f>
        <v>-369004.275</v>
      </c>
      <c r="Q278" s="76" t="n">
        <f aca="false">Q273+Q274+Q275+Q276+Q277</f>
        <v>-484276.2085</v>
      </c>
      <c r="R278" s="76" t="n">
        <f aca="false">R273+R274+R275+R276+R277</f>
        <v>-599548.142</v>
      </c>
      <c r="S278" s="76" t="n">
        <f aca="false">S273+S274+S275+S276+S277</f>
        <v>-714820.0755</v>
      </c>
      <c r="T278" s="76" t="n">
        <f aca="false">T273+T274+T275+T276+T277</f>
        <v>-857998.259</v>
      </c>
      <c r="U278" s="76" t="n">
        <f aca="false">U273+U274+U275+U276+U277</f>
        <v>-997176.4425</v>
      </c>
      <c r="V278" s="76" t="n">
        <f aca="false">V273+V274+V275+V276+V277</f>
        <v>-1136354.626</v>
      </c>
      <c r="W278" s="76" t="n">
        <f aca="false">W273+W274+W275+W276+W277</f>
        <v>-1275532.8095</v>
      </c>
      <c r="X278" s="76" t="n">
        <f aca="false">X273+X274+X275+X276+X277</f>
        <v>-1416057.993</v>
      </c>
      <c r="Y278" s="76" t="n">
        <f aca="false">Y273+Y274+Y275+Y276+Y277</f>
        <v>-1441833.1765</v>
      </c>
      <c r="Z278" s="76" t="n">
        <f aca="false">Z273+Z274+Z275+Z276+Z277</f>
        <v>-1607358.36</v>
      </c>
      <c r="AA278" s="76" t="n">
        <f aca="false">AA273+AA274+AA275+AA276+AA277</f>
        <v>-2022883.5435</v>
      </c>
      <c r="AB278" s="76" t="n">
        <f aca="false">AB273+AB274+AB275+AB276+AB277</f>
        <v>-2131033.727</v>
      </c>
      <c r="AC278" s="76" t="n">
        <f aca="false">AC273+AC274+AC275+AC276+AC277</f>
        <v>-2296901.94837</v>
      </c>
      <c r="AD278" s="76" t="n">
        <f aca="false">AD273+AD274+AD275+AD276+AD277</f>
        <v>-2486454.37974</v>
      </c>
      <c r="AE278" s="76" t="n">
        <f aca="false">AE273+AE274+AE275+AE276+AE277</f>
        <v>-2598613.2413886</v>
      </c>
      <c r="AF278" s="76" t="n">
        <f aca="false">AF273+AF274+AF275+AF276+AF277</f>
        <v>-2680165.6727586</v>
      </c>
      <c r="AG278" s="76" t="n">
        <f aca="false">AG273+AG274+AG275+AG276+AG277</f>
        <v>-2757718.1041286</v>
      </c>
      <c r="AH278" s="76" t="n">
        <f aca="false">AH273+AH274+AH275+AH276+AH277</f>
        <v>-2835270.5354986</v>
      </c>
      <c r="AI278" s="76" t="n">
        <f aca="false">AI273+AI274+AI275+AI276+AI277</f>
        <v>-2922322.9668686</v>
      </c>
      <c r="AJ278" s="76" t="n">
        <f aca="false">AJ273+AJ274+AJ275+AJ276+AJ277</f>
        <v>-3009375.3982386</v>
      </c>
      <c r="AK278" s="76" t="n">
        <f aca="false">AK273+AK274+AK275+AK276+AK277</f>
        <v>-3096427.8296086</v>
      </c>
      <c r="AL278" s="76" t="n">
        <f aca="false">AL273+AL274+AL275+AL276+AL277</f>
        <v>-3183480.2609786</v>
      </c>
      <c r="AM278" s="76" t="n">
        <f aca="false">AM273+AM274+AM275+AM276+AM277</f>
        <v>-3271782.6923486</v>
      </c>
      <c r="AN278" s="76" t="n">
        <f aca="false">AN273+AN274+AN275+AN276+AN277</f>
        <v>-3360085.1237186</v>
      </c>
      <c r="AO278" s="76" t="n">
        <f aca="false">AO273+AO274+AO275+AO276+AO277</f>
        <v>-3450012.453716</v>
      </c>
      <c r="AP278" s="76" t="n">
        <f aca="false">AP273+AP274+AP275+AP276+AP277</f>
        <v>-3539939.7837134</v>
      </c>
      <c r="AQ278" s="76" t="n">
        <f aca="false">AQ273+AQ274+AQ275+AQ276+AQ277</f>
        <v>-3629867.1137108</v>
      </c>
      <c r="AR278" s="76" t="n">
        <f aca="false">AR273+AR274+AR275+AR276+AR277</f>
        <v>-3723794.4437082</v>
      </c>
      <c r="AS278" s="76" t="n">
        <f aca="false">AS273+AS274+AS275+AS276+AS277</f>
        <v>-3813721.7737056</v>
      </c>
      <c r="AT278" s="76" t="n">
        <f aca="false">AT273+AT274+AT275+AT276+AT277</f>
        <v>-3896591.603703</v>
      </c>
      <c r="AU278" s="76" t="n">
        <f aca="false">AU273+AU274+AU275+AU276+AU277</f>
        <v>-3979461.4337004</v>
      </c>
      <c r="AV278" s="76" t="n">
        <f aca="false">AV273+AV274+AV275+AV276+AV277</f>
        <v>-4062331.2636978</v>
      </c>
      <c r="AW278" s="76" t="n">
        <f aca="false">AW273+AW274+AW275+AW276+AW277</f>
        <v>-4145201.0936952</v>
      </c>
      <c r="AX278" s="76" t="n">
        <f aca="false">AX273+AX274+AX275+AX276+AX277</f>
        <v>-4228070.9236926</v>
      </c>
      <c r="AY278" s="76" t="n">
        <f aca="false">AY273+AY274+AY275+AY276+AY277</f>
        <v>-4310940.75369</v>
      </c>
      <c r="AZ278" s="76" t="n">
        <f aca="false">AZ273+AZ274+AZ275+AZ276+AZ277</f>
        <v>-4393810.5836874</v>
      </c>
      <c r="BA278" s="76" t="n">
        <f aca="false">BA273+BA274+BA275+BA276+BA277</f>
        <v>-4478337.81028474</v>
      </c>
      <c r="BB278" s="76" t="n">
        <f aca="false">BB273+BB274+BB275+BB276+BB277</f>
        <v>-4562865.03688209</v>
      </c>
      <c r="BC278" s="76" t="n">
        <f aca="false">BC273+BC274+BC275+BC276+BC277</f>
        <v>-4647392.26347944</v>
      </c>
      <c r="BD278" s="76" t="n">
        <f aca="false">BD273+BD274+BD275+BD276+BD277</f>
        <v>-4731919.49007679</v>
      </c>
      <c r="BE278" s="76" t="n">
        <f aca="false">BE273+BE274+BE275+BE276+BE277</f>
        <v>-4816446.71667414</v>
      </c>
      <c r="BF278" s="76" t="n">
        <f aca="false">BF273+BF274+BF275+BF276+BF277</f>
        <v>-4900973.94327148</v>
      </c>
      <c r="BG278" s="76" t="n">
        <f aca="false">BG273+BG274+BG275+BG276+BG277</f>
        <v>-4985501.16986883</v>
      </c>
      <c r="BH278" s="76" t="n">
        <f aca="false">BH273+BH274+BH275+BH276+BH277</f>
        <v>-5070028.39646618</v>
      </c>
      <c r="BI278" s="76" t="n">
        <f aca="false">BI273+BI274+BI275+BI276+BI277</f>
        <v>-5154555.62306353</v>
      </c>
      <c r="BJ278" s="76" t="n">
        <f aca="false">BJ273+BJ274+BJ275+BJ276+BJ277</f>
        <v>-5239082.84966088</v>
      </c>
      <c r="BK278" s="76" t="n">
        <f aca="false">BK273+BK274+BK275+BK276+BK277</f>
        <v>-5323610.07625823</v>
      </c>
      <c r="BL278" s="76" t="n">
        <f aca="false">BL273+BL274+BL275+BL276+BL277</f>
        <v>-5408137.30285557</v>
      </c>
      <c r="BM278" s="76" t="n">
        <f aca="false">BM273+BM274+BM275+BM276+BM277</f>
        <v>-5494355.07398487</v>
      </c>
      <c r="BN278" s="76" t="n">
        <f aca="false">BN273+BN274+BN275+BN276+BN277</f>
        <v>-5580572.84511416</v>
      </c>
      <c r="BO278" s="76" t="n">
        <f aca="false">BO273+BO274+BO275+BO276+BO277</f>
        <v>-5666790.61624346</v>
      </c>
      <c r="BP278" s="76" t="n">
        <f aca="false">BP273+BP274+BP275+BP276+BP277</f>
        <v>-5753008.38737275</v>
      </c>
      <c r="BQ278" s="76" t="n">
        <f aca="false">BQ273+BQ274+BQ275+BQ276+BQ277</f>
        <v>-5839226.15850205</v>
      </c>
      <c r="BR278" s="76" t="n">
        <f aca="false">BR273+BR274+BR275+BR276+BR277</f>
        <v>-5872193.57963134</v>
      </c>
      <c r="BS278" s="76" t="n">
        <f aca="false">BS273+BS274+BS275+BS276+BS277</f>
        <v>-5958411.35076064</v>
      </c>
      <c r="BT278" s="76" t="n">
        <f aca="false">BT273+BT274+BT275+BT276+BT277</f>
        <v>-6044629.12188994</v>
      </c>
      <c r="BU278" s="76" t="n">
        <f aca="false">BU273+BU274+BU275+BU276+BU277</f>
        <v>-6063084.89301923</v>
      </c>
      <c r="BV278" s="76" t="n">
        <f aca="false">BV273+BV274+BV275+BV276+BV277</f>
        <v>-6149302.66414853</v>
      </c>
      <c r="BW278" s="76" t="n">
        <f aca="false">BW273+BW274+BW275+BW276+BW277</f>
        <v>-6235520.43527782</v>
      </c>
      <c r="BX278" s="76" t="n">
        <f aca="false">BX273+BX274+BX275+BX276+BX277</f>
        <v>-6253976.20640712</v>
      </c>
      <c r="BY278" s="76" t="n">
        <f aca="false">BY273+BY274+BY275+BY276+BY277</f>
        <v>-6341918.332959</v>
      </c>
      <c r="BZ278" s="76" t="n">
        <f aca="false">BZ273+BZ274+BZ275+BZ276+BZ277</f>
        <v>-6429860.45951088</v>
      </c>
      <c r="CA278" s="76" t="n">
        <f aca="false">CA273+CA274+CA275+CA276+CA277</f>
        <v>-6450040.58606276</v>
      </c>
      <c r="CB278" s="76" t="n">
        <f aca="false">CB273+CB274+CB275+CB276+CB277</f>
        <v>-6537982.71261464</v>
      </c>
      <c r="CC278" s="76" t="n">
        <f aca="false">CC273+CC274+CC275+CC276+CC277</f>
        <v>-6625924.83916652</v>
      </c>
      <c r="CD278" s="76" t="n">
        <f aca="false">CD273+CD274+CD275+CD276+CD277</f>
        <v>-6637367.9657184</v>
      </c>
      <c r="CE278" s="76" t="n">
        <f aca="false">CE273+CE274+CE275+CE276+CE277</f>
        <v>-6725310.09227028</v>
      </c>
      <c r="CF278" s="76" t="n">
        <f aca="false">CF273+CF274+CF275+CF276+CF277</f>
        <v>-6813252.21882216</v>
      </c>
      <c r="CG278" s="76" t="n">
        <f aca="false">CG273+CG274+CG275+CG276+CG277</f>
        <v>-6824695.34537404</v>
      </c>
      <c r="CH278" s="76" t="n">
        <f aca="false">CH273+CH274+CH275+CH276+CH277</f>
        <v>-6912637.47192592</v>
      </c>
      <c r="CI278" s="76" t="n">
        <f aca="false">CI273+CI274+CI275+CI276+CI277</f>
        <v>-7000579.5984778</v>
      </c>
      <c r="CJ278" s="76" t="n">
        <f aca="false">CJ273+CJ274+CJ275+CJ276+CJ277</f>
        <v>-7005414.6984232</v>
      </c>
      <c r="CK278" s="76" t="n">
        <f aca="false">CK273+CK274+CK275+CK276+CK277</f>
        <v>-6937254.66750612</v>
      </c>
      <c r="CL278" s="76" t="n">
        <f aca="false">CL273+CL274+CL275+CL276+CL277</f>
        <v>-6869094.63658904</v>
      </c>
      <c r="CM278" s="76" t="n">
        <f aca="false">CM273+CM274+CM275+CM276+CM277</f>
        <v>-6800934.60567196</v>
      </c>
      <c r="CN278" s="76" t="n">
        <f aca="false">CN273+CN274+CN275+CN276+CN277</f>
        <v>-6732774.57475488</v>
      </c>
      <c r="CO278" s="76" t="n">
        <f aca="false">CO273+CO274+CO275+CO276+CO277</f>
        <v>-6664614.54383779</v>
      </c>
      <c r="CP278" s="76" t="n">
        <f aca="false">CP273+CP274+CP275+CP276+CP277</f>
        <v>-6596454.51292071</v>
      </c>
      <c r="CQ278" s="76" t="n">
        <f aca="false">CQ273+CQ274+CQ275+CQ276+CQ277</f>
        <v>-6528294.48200363</v>
      </c>
      <c r="CR278" s="76" t="n">
        <f aca="false">CR273+CR274+CR275+CR276+CR277</f>
        <v>-6460134.45108655</v>
      </c>
      <c r="CS278" s="76" t="n">
        <f aca="false">CS273+CS274+CS275+CS276+CS277</f>
        <v>-6391974.42016947</v>
      </c>
      <c r="CT278" s="76" t="n">
        <f aca="false">CT273+CT274+CT275+CT276+CT277</f>
        <v>-6321905.89587749</v>
      </c>
      <c r="CU278" s="76" t="n">
        <f aca="false">CU273+CU274+CU275+CU276+CU277</f>
        <v>-6251837.37158551</v>
      </c>
      <c r="CV278" s="76" t="n">
        <f aca="false">CV273+CV274+CV275+CV276+CV277</f>
        <v>-6181768.84729353</v>
      </c>
      <c r="CW278" s="76" t="n">
        <f aca="false">CW273+CW274+CW275+CW276+CW277</f>
        <v>-6057748.02145212</v>
      </c>
      <c r="CX278" s="76" t="n">
        <f aca="false">CX273+CX274+CX275+CX276+CX277</f>
        <v>-5916280.3466743</v>
      </c>
      <c r="CY278" s="76" t="n">
        <f aca="false">CY273+CY274+CY275+CY276+CY277</f>
        <v>-5774812.67189649</v>
      </c>
      <c r="CZ278" s="76" t="n">
        <f aca="false">CZ273+CZ274+CZ275+CZ276+CZ277</f>
        <v>-5633344.99711867</v>
      </c>
      <c r="DA278" s="76" t="n">
        <f aca="false">DA273+DA274+DA275+DA276+DA277</f>
        <v>-5491877.32234085</v>
      </c>
      <c r="DB278" s="76" t="n">
        <f aca="false">DB273+DB274+DB275+DB276+DB277</f>
        <v>-5350409.64756303</v>
      </c>
      <c r="DC278" s="76" t="n">
        <f aca="false">DC273+DC274+DC275+DC276+DC277</f>
        <v>-5208941.97278521</v>
      </c>
      <c r="DD278" s="76" t="n">
        <f aca="false">DD273+DD274+DD275+DD276+DD277</f>
        <v>-5067474.2980074</v>
      </c>
      <c r="DE278" s="76" t="n">
        <f aca="false">DE273+DE274+DE275+DE276+DE277</f>
        <v>-4926006.62322958</v>
      </c>
    </row>
    <row r="279" customFormat="false" ht="15" hidden="false" customHeight="true" outlineLevel="0" collapsed="false">
      <c r="A279" s="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</row>
    <row r="280" customFormat="false" ht="15" hidden="false" customHeight="true" outlineLevel="0" collapsed="false">
      <c r="A280" s="38" t="s">
        <v>188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</row>
    <row r="281" customFormat="false" ht="15" hidden="false" customHeight="true" outlineLevel="0" collapsed="false">
      <c r="A281" s="29" t="s">
        <v>189</v>
      </c>
      <c r="B281" s="14"/>
      <c r="C281" s="14"/>
      <c r="D281" s="14"/>
      <c r="E281" s="14"/>
      <c r="F281" s="14"/>
      <c r="G281" s="14"/>
      <c r="H281" s="14" t="n">
        <f aca="false">H262+H273</f>
        <v>471507</v>
      </c>
      <c r="I281" s="14" t="n">
        <f aca="false">I262+I273</f>
        <v>912018.201040094</v>
      </c>
      <c r="J281" s="14" t="n">
        <f aca="false">J262+J273</f>
        <v>1067374.5445895</v>
      </c>
      <c r="K281" s="14" t="n">
        <f aca="false">K262+K273</f>
        <v>1255329.47368828</v>
      </c>
      <c r="L281" s="14" t="n">
        <f aca="false">L262+L273</f>
        <v>1056871.0165267</v>
      </c>
      <c r="M281" s="14" t="n">
        <f aca="false">M262+M273</f>
        <v>1493917.84160547</v>
      </c>
      <c r="N281" s="14" t="n">
        <f aca="false">N262+N273</f>
        <v>1799835.19903936</v>
      </c>
      <c r="O281" s="14" t="n">
        <f aca="false">O262+O273</f>
        <v>1969829.71750159</v>
      </c>
      <c r="P281" s="14" t="n">
        <f aca="false">P262+P273</f>
        <v>1856723.80142334</v>
      </c>
      <c r="Q281" s="14" t="n">
        <f aca="false">Q262+Q273</f>
        <v>1971126.7341624</v>
      </c>
      <c r="R281" s="14" t="n">
        <f aca="false">R262+R273</f>
        <v>2002039.73674811</v>
      </c>
      <c r="S281" s="14" t="n">
        <f aca="false">S262+S273</f>
        <v>1410323.32823323</v>
      </c>
      <c r="T281" s="14" t="n">
        <f aca="false">T262+T273</f>
        <v>1800092.41989589</v>
      </c>
      <c r="U281" s="14" t="n">
        <f aca="false">U262+U273</f>
        <v>2061028.53292944</v>
      </c>
      <c r="V281" s="14" t="n">
        <f aca="false">V262+V273</f>
        <v>2116420.00866694</v>
      </c>
      <c r="W281" s="14" t="n">
        <f aca="false">W262+W273</f>
        <v>2119393.59179821</v>
      </c>
      <c r="X281" s="14" t="n">
        <f aca="false">X262+X273</f>
        <v>2149816.70282165</v>
      </c>
      <c r="Y281" s="14" t="n">
        <f aca="false">Y262+Y273</f>
        <v>2146759.56758891</v>
      </c>
      <c r="Z281" s="14" t="n">
        <f aca="false">Z262+Z273</f>
        <v>2247472.78993115</v>
      </c>
      <c r="AA281" s="14" t="n">
        <f aca="false">AA262+AA273</f>
        <v>2208436.01227339</v>
      </c>
      <c r="AB281" s="14" t="n">
        <f aca="false">AB262+AB273</f>
        <v>1993705.08500632</v>
      </c>
      <c r="AC281" s="14" t="n">
        <f aca="false">AC262+AC273</f>
        <v>2094170.82620142</v>
      </c>
      <c r="AD281" s="14" t="n">
        <f aca="false">AD262+AD273</f>
        <v>2070219.81739659</v>
      </c>
      <c r="AE281" s="14" t="n">
        <f aca="false">AE262+AE273</f>
        <v>2032891.45991172</v>
      </c>
      <c r="AF281" s="14" t="n">
        <f aca="false">AF262+AF273</f>
        <v>1858936.46370563</v>
      </c>
      <c r="AG281" s="14" t="n">
        <f aca="false">AG262+AG273</f>
        <v>1149541.47864668</v>
      </c>
      <c r="AH281" s="14" t="n">
        <f aca="false">AH262+AH273</f>
        <v>1289448.87667709</v>
      </c>
      <c r="AI281" s="14" t="n">
        <f aca="false">AI262+AI273</f>
        <v>1440822.59464795</v>
      </c>
      <c r="AJ281" s="14" t="n">
        <f aca="false">AJ262+AJ273</f>
        <v>1353369.91380992</v>
      </c>
      <c r="AK281" s="14" t="n">
        <f aca="false">AK262+AK273</f>
        <v>1265917.23297189</v>
      </c>
      <c r="AL281" s="14" t="n">
        <f aca="false">AL262+AL273</f>
        <v>1178464.55213386</v>
      </c>
      <c r="AM281" s="14" t="n">
        <f aca="false">AM262+AM273</f>
        <v>1417724.07326187</v>
      </c>
      <c r="AN281" s="14" t="n">
        <f aca="false">AN262+AN273</f>
        <v>1683819.38017294</v>
      </c>
      <c r="AO281" s="14" t="n">
        <f aca="false">AO262+AO273</f>
        <v>1388198.97142308</v>
      </c>
      <c r="AP281" s="14" t="n">
        <f aca="false">AP262+AP273</f>
        <v>1082609.5281113</v>
      </c>
      <c r="AQ281" s="14" t="n">
        <f aca="false">AQ262+AQ273</f>
        <v>777020.084799523</v>
      </c>
      <c r="AR281" s="14" t="n">
        <f aca="false">AR262+AR273</f>
        <v>471430.641487744</v>
      </c>
      <c r="AS281" s="14" t="n">
        <f aca="false">AS262+AS273</f>
        <v>161841.198175966</v>
      </c>
      <c r="AT281" s="14" t="n">
        <f aca="false">AT262+AT273</f>
        <v>-143748.245135812</v>
      </c>
      <c r="AU281" s="14" t="n">
        <f aca="false">AU262+AU273</f>
        <v>-183418.882361765</v>
      </c>
      <c r="AV281" s="14" t="n">
        <f aca="false">AV262+AV273</f>
        <v>-200836.530117183</v>
      </c>
      <c r="AW281" s="14" t="n">
        <f aca="false">AW262+AW273</f>
        <v>-663313.967283316</v>
      </c>
      <c r="AX281" s="14" t="n">
        <f aca="false">AX262+AX273</f>
        <v>-1125791.40444945</v>
      </c>
      <c r="AY281" s="14" t="n">
        <f aca="false">AY262+AY273</f>
        <v>-1588268.84161558</v>
      </c>
      <c r="AZ281" s="14" t="n">
        <f aca="false">AZ262+AZ273</f>
        <v>-2050746.27878172</v>
      </c>
      <c r="BA281" s="14" t="n">
        <f aca="false">BA262+BA273</f>
        <v>-2513223.71594785</v>
      </c>
      <c r="BB281" s="14" t="n">
        <f aca="false">BB262+BB273</f>
        <v>-2985869.56836714</v>
      </c>
      <c r="BC281" s="14" t="n">
        <f aca="false">BC262+BC273</f>
        <v>-3458515.42078644</v>
      </c>
      <c r="BD281" s="14" t="n">
        <f aca="false">BD262+BD273</f>
        <v>-3931161.27320573</v>
      </c>
      <c r="BE281" s="14" t="n">
        <f aca="false">BE262+BE273</f>
        <v>-4403807.12562502</v>
      </c>
      <c r="BF281" s="14" t="n">
        <f aca="false">BF262+BF273</f>
        <v>-4876452.97804432</v>
      </c>
      <c r="BG281" s="14" t="n">
        <f aca="false">BG262+BG273</f>
        <v>-5349098.83046361</v>
      </c>
      <c r="BH281" s="14" t="n">
        <f aca="false">BH262+BH273</f>
        <v>-5821744.6828829</v>
      </c>
      <c r="BI281" s="14" t="n">
        <f aca="false">BI262+BI273</f>
        <v>-6057901.07399937</v>
      </c>
      <c r="BJ281" s="14" t="n">
        <f aca="false">BJ262+BJ273</f>
        <v>-6273727.66931964</v>
      </c>
      <c r="BK281" s="14" t="n">
        <f aca="false">BK262+BK273</f>
        <v>-6896150.18056405</v>
      </c>
      <c r="BL281" s="14" t="n">
        <f aca="false">BL262+BL273</f>
        <v>-7518572.69180846</v>
      </c>
      <c r="BM281" s="14" t="n">
        <f aca="false">BM262+BM273</f>
        <v>-8140995.20305288</v>
      </c>
      <c r="BN281" s="14" t="n">
        <f aca="false">BN262+BN273</f>
        <v>-8773789.49785551</v>
      </c>
      <c r="BO281" s="14" t="n">
        <f aca="false">BO262+BO273</f>
        <v>-9406583.79265814</v>
      </c>
      <c r="BP281" s="14" t="n">
        <f aca="false">BP262+BP273</f>
        <v>-10039378.0874608</v>
      </c>
      <c r="BQ281" s="14" t="n">
        <f aca="false">BQ262+BQ273</f>
        <v>-10672172.3822634</v>
      </c>
      <c r="BR281" s="14" t="n">
        <f aca="false">BR262+BR273</f>
        <v>-11304966.677066</v>
      </c>
      <c r="BS281" s="14" t="n">
        <f aca="false">BS262+BS273</f>
        <v>-11884510.6218687</v>
      </c>
      <c r="BT281" s="14" t="n">
        <f aca="false">BT262+BT273</f>
        <v>-12517304.9166713</v>
      </c>
      <c r="BU281" s="14" t="n">
        <f aca="false">BU262+BU273</f>
        <v>-13150099.2114739</v>
      </c>
      <c r="BV281" s="14" t="n">
        <f aca="false">BV262+BV273</f>
        <v>-13715131.5062766</v>
      </c>
      <c r="BW281" s="14" t="n">
        <f aca="false">BW262+BW273</f>
        <v>-14347925.8010792</v>
      </c>
      <c r="BX281" s="14" t="n">
        <f aca="false">BX262+BX273</f>
        <v>-14980720.0958818</v>
      </c>
      <c r="BY281" s="14" t="n">
        <f aca="false">BY262+BY273</f>
        <v>-15545752.3906845</v>
      </c>
      <c r="BZ281" s="14" t="n">
        <f aca="false">BZ262+BZ273</f>
        <v>-16189125.9047165</v>
      </c>
      <c r="CA281" s="14" t="n">
        <f aca="false">CA262+CA273</f>
        <v>-16832499.4187485</v>
      </c>
      <c r="CB281" s="14" t="n">
        <f aca="false">CB262+CB273</f>
        <v>-17408110.9327805</v>
      </c>
      <c r="CC281" s="14" t="n">
        <f aca="false">CC262+CC273</f>
        <v>-18051484.4468126</v>
      </c>
      <c r="CD281" s="14" t="n">
        <f aca="false">CD262+CD273</f>
        <v>-18694857.9608446</v>
      </c>
      <c r="CE281" s="14" t="n">
        <f aca="false">CE262+CE273</f>
        <v>-19261732.4748766</v>
      </c>
      <c r="CF281" s="14" t="n">
        <f aca="false">CF262+CF273</f>
        <v>-19905105.9889086</v>
      </c>
      <c r="CG281" s="14" t="n">
        <f aca="false">CG262+CG273</f>
        <v>-20548479.5029406</v>
      </c>
      <c r="CH281" s="14" t="n">
        <f aca="false">CH262+CH273</f>
        <v>-21115354.0169726</v>
      </c>
      <c r="CI281" s="14" t="n">
        <f aca="false">CI262+CI273</f>
        <v>-21758727.5310047</v>
      </c>
      <c r="CJ281" s="14" t="n">
        <f aca="false">CJ262+CJ273</f>
        <v>-22402101.0450367</v>
      </c>
      <c r="CK281" s="14" t="n">
        <f aca="false">CK262+CK273</f>
        <v>-22962367.5324622</v>
      </c>
      <c r="CL281" s="14" t="n">
        <f aca="false">CL262+CL273</f>
        <v>-23458670.8501082</v>
      </c>
      <c r="CM281" s="14" t="n">
        <f aca="false">CM262+CM273</f>
        <v>-23954974.1677542</v>
      </c>
      <c r="CN281" s="14" t="n">
        <f aca="false">CN262+CN273</f>
        <v>-24451277.4854002</v>
      </c>
      <c r="CO281" s="14" t="n">
        <f aca="false">CO262+CO273</f>
        <v>-24947580.8030462</v>
      </c>
      <c r="CP281" s="14" t="n">
        <f aca="false">CP262+CP273</f>
        <v>-25443884.1206922</v>
      </c>
      <c r="CQ281" s="14" t="n">
        <f aca="false">CQ262+CQ273</f>
        <v>-25940187.4383382</v>
      </c>
      <c r="CR281" s="14" t="n">
        <f aca="false">CR262+CR273</f>
        <v>-26436490.7559842</v>
      </c>
      <c r="CS281" s="14" t="n">
        <f aca="false">CS262+CS273</f>
        <v>-26932794.0736302</v>
      </c>
      <c r="CT281" s="14" t="n">
        <f aca="false">CT262+CT273</f>
        <v>-27429097.3912762</v>
      </c>
      <c r="CU281" s="14" t="n">
        <f aca="false">CU262+CU273</f>
        <v>-27869048.1045434</v>
      </c>
      <c r="CV281" s="14" t="n">
        <f aca="false">CV262+CV273</f>
        <v>-28308998.8178106</v>
      </c>
      <c r="CW281" s="14" t="n">
        <f aca="false">CW262+CW273</f>
        <v>-28748949.5310779</v>
      </c>
      <c r="CX281" s="14" t="n">
        <f aca="false">CX262+CX273</f>
        <v>-29143071.6608802</v>
      </c>
      <c r="CY281" s="14" t="n">
        <f aca="false">CY262+CY273</f>
        <v>-29519746.9417461</v>
      </c>
      <c r="CZ281" s="14" t="n">
        <f aca="false">CZ262+CZ273</f>
        <v>-29896422.222612</v>
      </c>
      <c r="DA281" s="14" t="n">
        <f aca="false">DA262+DA273</f>
        <v>-30273097.5034779</v>
      </c>
      <c r="DB281" s="14" t="n">
        <f aca="false">DB262+DB273</f>
        <v>-30649772.7843438</v>
      </c>
      <c r="DC281" s="14" t="n">
        <f aca="false">DC262+DC273</f>
        <v>-31026448.0652097</v>
      </c>
      <c r="DD281" s="14" t="n">
        <f aca="false">DD262+DD273</f>
        <v>-31403123.3460756</v>
      </c>
      <c r="DE281" s="14" t="n">
        <f aca="false">DE262+DE273</f>
        <v>-31779798.6269415</v>
      </c>
    </row>
    <row r="282" customFormat="false" ht="15" hidden="false" customHeight="true" outlineLevel="0" collapsed="false">
      <c r="A282" s="29" t="s">
        <v>190</v>
      </c>
      <c r="B282" s="14"/>
      <c r="C282" s="14"/>
      <c r="D282" s="14"/>
      <c r="E282" s="14"/>
      <c r="F282" s="14"/>
      <c r="G282" s="14"/>
      <c r="H282" s="14" t="n">
        <v>0</v>
      </c>
      <c r="I282" s="14" t="n">
        <v>0</v>
      </c>
      <c r="J282" s="14" t="n">
        <v>0</v>
      </c>
      <c r="K282" s="14" t="n">
        <v>0</v>
      </c>
      <c r="L282" s="14" t="n">
        <v>0</v>
      </c>
      <c r="M282" s="14" t="n">
        <v>0</v>
      </c>
      <c r="N282" s="14" t="n">
        <v>0</v>
      </c>
      <c r="O282" s="14" t="n">
        <v>0</v>
      </c>
      <c r="P282" s="14" t="n">
        <f aca="false">IF((B209+C209+D209+E209+F209+G209+H209+I209+J209+K209+L209+M209)&gt;0,-(B209+C209+D209+E209+F209+G209+H209+I209+J209+K209+L209+M209)*0.3,0)</f>
        <v>-315099.168737073</v>
      </c>
      <c r="Q282" s="14" t="n">
        <v>0</v>
      </c>
      <c r="R282" s="14" t="n">
        <v>0</v>
      </c>
      <c r="S282" s="14" t="n">
        <v>0</v>
      </c>
      <c r="T282" s="14" t="n">
        <v>0</v>
      </c>
      <c r="U282" s="14" t="n">
        <v>0</v>
      </c>
      <c r="V282" s="14" t="n">
        <v>0</v>
      </c>
      <c r="W282" s="14" t="n">
        <v>0</v>
      </c>
      <c r="X282" s="14" t="n">
        <v>0</v>
      </c>
      <c r="Y282" s="14" t="n">
        <v>0</v>
      </c>
      <c r="Z282" s="14" t="n">
        <v>0</v>
      </c>
      <c r="AA282" s="14" t="n">
        <v>0</v>
      </c>
      <c r="AB282" s="14" t="n">
        <f aca="false">IF((N209+O209+P209+Q209+R209+S209+T209+U209+V209+W209+X209+Y209)&gt;0,-(N209+O209+P209+Q209+R209+S209+T209+U209+V209+W209+X209+Y209)*0.3,0)</f>
        <v>-597696.66309829</v>
      </c>
      <c r="AC282" s="14" t="n">
        <v>0</v>
      </c>
      <c r="AD282" s="14" t="n">
        <v>0</v>
      </c>
      <c r="AE282" s="14" t="n">
        <v>0</v>
      </c>
      <c r="AF282" s="14" t="n">
        <v>0</v>
      </c>
      <c r="AG282" s="14" t="n">
        <v>0</v>
      </c>
      <c r="AH282" s="14" t="n">
        <v>0</v>
      </c>
      <c r="AI282" s="14" t="n">
        <v>0</v>
      </c>
      <c r="AJ282" s="14" t="n">
        <v>0</v>
      </c>
      <c r="AK282" s="14" t="n">
        <v>0</v>
      </c>
      <c r="AL282" s="14" t="n">
        <v>0</v>
      </c>
      <c r="AM282" s="14" t="n">
        <v>0</v>
      </c>
      <c r="AN282" s="14" t="n">
        <f aca="false">IF((Z209+AA209+AB209+AC209+AD209+AE209+AF209+AG209+AH209+AI209+AJ209+AK209)&gt;0,-(Z209+AA209+AB209+AC209+AD209+AE209+AF209+AG209+AH209+AI209+AJ209+AK209)*0.3,0)</f>
        <v>0</v>
      </c>
      <c r="AO282" s="14" t="n">
        <v>0</v>
      </c>
      <c r="AP282" s="14" t="n">
        <v>0</v>
      </c>
      <c r="AQ282" s="14" t="n">
        <v>0</v>
      </c>
      <c r="AR282" s="14" t="n">
        <v>0</v>
      </c>
      <c r="AS282" s="14" t="n">
        <v>0</v>
      </c>
      <c r="AT282" s="14" t="n">
        <v>0</v>
      </c>
      <c r="AU282" s="14" t="n">
        <v>0</v>
      </c>
      <c r="AV282" s="14" t="n">
        <v>0</v>
      </c>
      <c r="AW282" s="14" t="n">
        <v>0</v>
      </c>
      <c r="AX282" s="14" t="n">
        <v>0</v>
      </c>
      <c r="AY282" s="14" t="n">
        <v>0</v>
      </c>
      <c r="AZ282" s="14" t="n">
        <f aca="false">IF((AL209+AM209+AN209+AO209+AP209+AQ209+AR209+AS209+AT209+AU209+AV209+AW209)&gt;0,-(AL209+AM209+AN209+AO209+AP209+AQ209+AR209+AS209+AT209+AU209+AV209+AW209)*0.3,0)</f>
        <v>0</v>
      </c>
      <c r="BA282" s="14" t="n">
        <v>0</v>
      </c>
      <c r="BB282" s="14" t="n">
        <v>0</v>
      </c>
      <c r="BC282" s="14" t="n">
        <v>0</v>
      </c>
      <c r="BD282" s="14" t="n">
        <v>0</v>
      </c>
      <c r="BE282" s="14" t="n">
        <v>0</v>
      </c>
      <c r="BF282" s="14" t="n">
        <v>0</v>
      </c>
      <c r="BG282" s="14" t="n">
        <v>0</v>
      </c>
      <c r="BH282" s="14" t="n">
        <v>0</v>
      </c>
      <c r="BI282" s="14" t="n">
        <v>0</v>
      </c>
      <c r="BJ282" s="14" t="n">
        <v>0</v>
      </c>
      <c r="BK282" s="14" t="n">
        <v>0</v>
      </c>
      <c r="BL282" s="14" t="n">
        <f aca="false">IF((AX209+AY209+AZ209+BA209+BB209+BC209+BD209+BE209+BF209+BG209+BH209+BI209)&gt;0,-(AX209+AY209+AZ209+BA209+BB209+BC209+BD209+BE209+BF209+BG209+BH209+BI209)*0.3,0)</f>
        <v>0</v>
      </c>
      <c r="BM282" s="14" t="n">
        <v>0</v>
      </c>
      <c r="BN282" s="14" t="n">
        <v>0</v>
      </c>
      <c r="BO282" s="14" t="n">
        <v>0</v>
      </c>
      <c r="BP282" s="14" t="n">
        <v>0</v>
      </c>
      <c r="BQ282" s="14" t="n">
        <v>0</v>
      </c>
      <c r="BR282" s="14" t="n">
        <v>0</v>
      </c>
      <c r="BS282" s="14" t="n">
        <v>0</v>
      </c>
      <c r="BT282" s="14" t="n">
        <v>0</v>
      </c>
      <c r="BU282" s="14" t="n">
        <v>0</v>
      </c>
      <c r="BV282" s="14" t="n">
        <v>0</v>
      </c>
      <c r="BW282" s="14" t="n">
        <v>0</v>
      </c>
      <c r="BX282" s="14" t="n">
        <f aca="false">IF((BJ209+BK209+BL209+BM209+BN209+BO209+BP209+BQ209+BR209+BS209+BT209+BU209)&gt;0,-(BJ209+BK209+BL209+BM209+BN209+BO209+BP209+BQ209+BR209+BS209+BT209+BU209)*0.3,0)</f>
        <v>0</v>
      </c>
      <c r="BY282" s="14" t="n">
        <v>0</v>
      </c>
      <c r="BZ282" s="14" t="n">
        <v>0</v>
      </c>
      <c r="CA282" s="14" t="n">
        <v>0</v>
      </c>
      <c r="CB282" s="14" t="n">
        <v>0</v>
      </c>
      <c r="CC282" s="14" t="n">
        <v>0</v>
      </c>
      <c r="CD282" s="14" t="n">
        <v>0</v>
      </c>
      <c r="CE282" s="14" t="n">
        <v>0</v>
      </c>
      <c r="CF282" s="14" t="n">
        <v>0</v>
      </c>
      <c r="CG282" s="14" t="n">
        <v>0</v>
      </c>
      <c r="CH282" s="14" t="n">
        <v>0</v>
      </c>
      <c r="CI282" s="14" t="n">
        <v>0</v>
      </c>
      <c r="CJ282" s="14" t="n">
        <f aca="false">IF((BV209+BW209+BX209+BY209+BZ209+CA209+CB209+CC209+CD209+CE209+CF209+CG209)&gt;0,-(BV209+BW209+BX209+BY209+BZ209+CA209+CB209+CC209+CD209+CE209+CF209+CG209)*0.3,0)</f>
        <v>0</v>
      </c>
      <c r="CK282" s="14" t="n">
        <f aca="false">IF((BW209+BX209+BY209+BZ209+CA209+CB209+CC209+CD209+CE209+CF209+CG209+CH209)&gt;0,-(BW209+BX209+BY209+BZ209+CA209+CB209+CC209+CD209+CE209+CF209+CG209+CH209)*0.3,0)</f>
        <v>0</v>
      </c>
      <c r="CL282" s="14" t="n">
        <f aca="false">IF((BX209+BY209+BZ209+CA209+CB209+CC209+CD209+CE209+CF209+CG209+CH209+CI209)&gt;0,-(BX209+BY209+BZ209+CA209+CB209+CC209+CD209+CE209+CF209+CG209+CH209+CI209)*0.3,0)</f>
        <v>0</v>
      </c>
      <c r="CM282" s="14" t="n">
        <f aca="false">IF((BY209+BZ209+CA209+CB209+CC209+CD209+CE209+CF209+CG209+CH209+CI209+CJ209)&gt;0,-(BY209+BZ209+CA209+CB209+CC209+CD209+CE209+CF209+CG209+CH209+CI209+CJ209)*0.3,0)</f>
        <v>0</v>
      </c>
      <c r="CN282" s="14" t="n">
        <f aca="false">IF((BZ209+CA209+CB209+CC209+CD209+CE209+CF209+CG209+CH209+CI209+CJ209+CK209)&gt;0,-(BZ209+CA209+CB209+CC209+CD209+CE209+CF209+CG209+CH209+CI209+CJ209+CK209)*0.3,0)</f>
        <v>0</v>
      </c>
      <c r="CO282" s="14" t="n">
        <f aca="false">IF((CA209+CB209+CC209+CD209+CE209+CF209+CG209+CH209+CI209+CJ209+CK209+CL209)&gt;0,-(CA209+CB209+CC209+CD209+CE209+CF209+CG209+CH209+CI209+CJ209+CK209+CL209)*0.3,0)</f>
        <v>0</v>
      </c>
      <c r="CP282" s="14" t="n">
        <f aca="false">IF((CB209+CC209+CD209+CE209+CF209+CG209+CH209+CI209+CJ209+CK209+CL209+CM209)&gt;0,-(CB209+CC209+CD209+CE209+CF209+CG209+CH209+CI209+CJ209+CK209+CL209+CM209)*0.3,0)</f>
        <v>0</v>
      </c>
      <c r="CQ282" s="14" t="n">
        <f aca="false">IF((CC209+CD209+CE209+CF209+CG209+CH209+CI209+CJ209+CK209+CL209+CM209+CN209)&gt;0,-(CC209+CD209+CE209+CF209+CG209+CH209+CI209+CJ209+CK209+CL209+CM209+CN209)*0.3,0)</f>
        <v>0</v>
      </c>
      <c r="CR282" s="14" t="n">
        <f aca="false">IF((CD209+CE209+CF209+CG209+CH209+CI209+CJ209+CK209+CL209+CM209+CN209+CO209)&gt;0,-(CD209+CE209+CF209+CG209+CH209+CI209+CJ209+CK209+CL209+CM209+CN209+CO209)*0.3,0)</f>
        <v>0</v>
      </c>
      <c r="CS282" s="14" t="n">
        <f aca="false">IF((CE209+CF209+CG209+CH209+CI209+CJ209+CK209+CL209+CM209+CN209+CO209+CP209)&gt;0,-(CE209+CF209+CG209+CH209+CI209+CJ209+CK209+CL209+CM209+CN209+CO209+CP209)*0.3,0)</f>
        <v>0</v>
      </c>
      <c r="CT282" s="14" t="n">
        <f aca="false">IF((CF209+CG209+CH209+CI209+CJ209+CK209+CL209+CM209+CN209+CO209+CP209+CQ209)&gt;0,-(CF209+CG209+CH209+CI209+CJ209+CK209+CL209+CM209+CN209+CO209+CP209+CQ209)*0.3,0)</f>
        <v>0</v>
      </c>
      <c r="CU282" s="14" t="n">
        <f aca="false">IF((CG209+CH209+CI209+CJ209+CK209+CL209+CM209+CN209+CO209+CP209+CQ209+CR209)&gt;0,-(CG209+CH209+CI209+CJ209+CK209+CL209+CM209+CN209+CO209+CP209+CQ209+CR209)*0.3,0)</f>
        <v>0</v>
      </c>
      <c r="CV282" s="14" t="n">
        <f aca="false">IF((CH209+CI209+CJ209+CK209+CL209+CM209+CN209+CO209+CP209+CQ209+CR209+CS209)&gt;0,-(CH209+CI209+CJ209+CK209+CL209+CM209+CN209+CO209+CP209+CQ209+CR209+CS209)*0.3,0)</f>
        <v>0</v>
      </c>
      <c r="CW282" s="14" t="n">
        <f aca="false">IF((CI209+CJ209+CK209+CL209+CM209+CN209+CO209+CP209+CQ209+CR209+CS209+CT209)&gt;0,-(CI209+CJ209+CK209+CL209+CM209+CN209+CO209+CP209+CQ209+CR209+CS209+CT209)*0.3,0)</f>
        <v>0</v>
      </c>
      <c r="CX282" s="14" t="n">
        <f aca="false">IF((CJ209+CK209+CL209+CM209+CN209+CO209+CP209+CQ209+CR209+CS209+CT209+CU209)&gt;0,-(CJ209+CK209+CL209+CM209+CN209+CO209+CP209+CQ209+CR209+CS209+CT209+CU209)*0.3,0)</f>
        <v>0</v>
      </c>
      <c r="CY282" s="14" t="n">
        <f aca="false">IF((CK209+CL209+CM209+CN209+CO209+CP209+CQ209+CR209+CS209+CT209+CU209+CV209)&gt;0,-(CK209+CL209+CM209+CN209+CO209+CP209+CQ209+CR209+CS209+CT209+CU209+CV209)*0.3,0)</f>
        <v>0</v>
      </c>
      <c r="CZ282" s="14" t="n">
        <f aca="false">IF((CL209+CM209+CN209+CO209+CP209+CQ209+CR209+CS209+CT209+CU209+CV209+CW209)&gt;0,-(CL209+CM209+CN209+CO209+CP209+CQ209+CR209+CS209+CT209+CU209+CV209+CW209)*0.3,0)</f>
        <v>0</v>
      </c>
      <c r="DA282" s="14" t="n">
        <f aca="false">IF((CM209+CN209+CO209+CP209+CQ209+CR209+CS209+CT209+CU209+CV209+CW209+CX209)&gt;0,-(CM209+CN209+CO209+CP209+CQ209+CR209+CS209+CT209+CU209+CV209+CW209+CX209)*0.3,0)</f>
        <v>0</v>
      </c>
      <c r="DB282" s="14" t="n">
        <f aca="false">IF((CN209+CO209+CP209+CQ209+CR209+CS209+CT209+CU209+CV209+CW209+CX209+CY209)&gt;0,-(CN209+CO209+CP209+CQ209+CR209+CS209+CT209+CU209+CV209+CW209+CX209+CY209)*0.3,0)</f>
        <v>0</v>
      </c>
      <c r="DC282" s="14" t="n">
        <f aca="false">IF((CO209+CP209+CQ209+CR209+CS209+CT209+CU209+CV209+CW209+CX209+CY209+CZ209)&gt;0,-(CO209+CP209+CQ209+CR209+CS209+CT209+CU209+CV209+CW209+CX209+CY209+CZ209)*0.3,0)</f>
        <v>0</v>
      </c>
      <c r="DD282" s="14" t="n">
        <f aca="false">IF((CP209+CQ209+CR209+CS209+CT209+CU209+CV209+CW209+CX209+CY209+CZ209+DA209)&gt;0,-(CP209+CQ209+CR209+CS209+CT209+CU209+CV209+CW209+CX209+CY209+CZ209+DA209)*0.3,0)</f>
        <v>0</v>
      </c>
      <c r="DE282" s="14" t="n">
        <f aca="false">IF((CQ209+CR209+CS209+CT209+CU209+CV209+CW209+CX209+CY209+CZ209+DA209+DB209)&gt;0,-(CQ209+CR209+CS209+CT209+CU209+CV209+CW209+CX209+CY209+CZ209+DA209+DB209)*0.3,0)</f>
        <v>0</v>
      </c>
    </row>
    <row r="283" customFormat="false" ht="15" hidden="false" customHeight="true" outlineLevel="0" collapsed="false">
      <c r="A283" s="75" t="s">
        <v>191</v>
      </c>
      <c r="B283" s="76"/>
      <c r="C283" s="76"/>
      <c r="D283" s="76"/>
      <c r="E283" s="76"/>
      <c r="F283" s="76"/>
      <c r="G283" s="76"/>
      <c r="H283" s="76" t="n">
        <f aca="false">H281+H266+H274+H275+H276+H277+H282</f>
        <v>637890.721607172</v>
      </c>
      <c r="I283" s="76" t="n">
        <f aca="false">I281+I266+I274+I275+I276+I277+I282</f>
        <v>813114.513648572</v>
      </c>
      <c r="J283" s="76" t="n">
        <f aca="false">J281+J266+J274+J275+J276+J277+J282</f>
        <v>1365288.54422606</v>
      </c>
      <c r="K283" s="76" t="n">
        <f aca="false">K281+K266+K274+K275+K276+K277+K282</f>
        <v>690161.518405058</v>
      </c>
      <c r="L283" s="76" t="n">
        <f aca="false">L281+L266+L274+L275+L276+L277+L282</f>
        <v>1072549.38151723</v>
      </c>
      <c r="M283" s="76" t="n">
        <f aca="false">M281+M266+M274+M275+M276+M277+M282</f>
        <v>1571049.35926167</v>
      </c>
      <c r="N283" s="76" t="n">
        <f aca="false">N281+N266+N274+N275+N276+N277+N282</f>
        <v>1719682.27600492</v>
      </c>
      <c r="O283" s="76" t="n">
        <f aca="false">O281+O266+O274+O275+O276+O277+O282</f>
        <v>1630466.26035267</v>
      </c>
      <c r="P283" s="76" t="n">
        <f aca="false">P281+P266+P274+P275+P276+P277+P282</f>
        <v>1455841.12566181</v>
      </c>
      <c r="Q283" s="76" t="n">
        <f aca="false">Q281+Q266+Q274+Q275+Q276+Q277+Q282</f>
        <v>2504374.89979691</v>
      </c>
      <c r="R283" s="76" t="n">
        <f aca="false">R281+R266+R274+R275+R276+R277+R282</f>
        <v>1123307.82136305</v>
      </c>
      <c r="S283" s="76" t="n">
        <f aca="false">S281+S266+S274+S275+S276+S277+S282</f>
        <v>1322488.74225209</v>
      </c>
      <c r="T283" s="76" t="n">
        <f aca="false">T281+T266+T274+T275+T276+T277+T282</f>
        <v>1732049.3748962</v>
      </c>
      <c r="U283" s="76" t="n">
        <f aca="false">U281+U266+U274+U275+U276+U277+U282</f>
        <v>1974408.68451</v>
      </c>
      <c r="V283" s="76" t="n">
        <f aca="false">V281+V266+V274+V275+V276+V277+V282</f>
        <v>1980024.72582457</v>
      </c>
      <c r="W283" s="76" t="n">
        <f aca="false">W281+W266+W274+W275+W276+W277+W282</f>
        <v>1982800.80209471</v>
      </c>
      <c r="X283" s="76" t="n">
        <f aca="false">X281+X266+X274+X275+X276+X277+X282</f>
        <v>2020271.16174667</v>
      </c>
      <c r="Y283" s="76" t="n">
        <f aca="false">Y281+Y266+Y274+Y275+Y276+Y277+Y282</f>
        <v>2120984.38408891</v>
      </c>
      <c r="Z283" s="76" t="n">
        <f aca="false">Z281+Z266+Z274+Z275+Z276+Z277+Z282</f>
        <v>2081947.60643115</v>
      </c>
      <c r="AA283" s="76" t="n">
        <f aca="false">AA281+AA266+AA274+AA275+AA276+AA277+AA282</f>
        <v>1714694.14415161</v>
      </c>
      <c r="AB283" s="76" t="n">
        <f aca="false">AB281+AB266+AB274+AB275+AB276+AB277+AB282</f>
        <v>1444291.60765158</v>
      </c>
      <c r="AC283" s="76" t="n">
        <f aca="false">AC281+AC266+AC274+AC275+AC276+AC277+AC282</f>
        <v>1825233.99163182</v>
      </c>
      <c r="AD283" s="76" t="n">
        <f aca="false">AD281+AD266+AD274+AD275+AD276+AD277+AD282</f>
        <v>2086804.61242579</v>
      </c>
      <c r="AE283" s="76" t="n">
        <f aca="false">AE281+AE266+AE274+AE275+AE276+AE277+AE282</f>
        <v>2486779.01739458</v>
      </c>
      <c r="AF283" s="76" t="n">
        <f aca="false">AF281+AF266+AF274+AF275+AF276+AF277+AF282</f>
        <v>1053677.97233563</v>
      </c>
      <c r="AG283" s="76" t="n">
        <f aca="false">AG281+AG266+AG274+AG275+AG276+AG277+AG282</f>
        <v>943992.917708927</v>
      </c>
      <c r="AH283" s="76" t="n">
        <f aca="false">AH281+AH266+AH274+AH275+AH276+AH277+AH282</f>
        <v>1441222.84411597</v>
      </c>
      <c r="AI283" s="76" t="n">
        <f aca="false">AI281+AI266+AI274+AI275+AI276+AI277+AI282</f>
        <v>1353770.16327795</v>
      </c>
      <c r="AJ283" s="76" t="n">
        <f aca="false">AJ281+AJ266+AJ274+AJ275+AJ276+AJ277+AJ282</f>
        <v>1266317.48243992</v>
      </c>
      <c r="AK283" s="76" t="n">
        <f aca="false">AK281+AK266+AK274+AK275+AK276+AK277+AK282</f>
        <v>1178864.80160189</v>
      </c>
      <c r="AL283" s="76" t="n">
        <f aca="false">AL281+AL266+AL274+AL275+AL276+AL277+AL282</f>
        <v>747504.539746967</v>
      </c>
      <c r="AM283" s="76" t="n">
        <f aca="false">AM281+AM266+AM274+AM275+AM276+AM277+AM282</f>
        <v>1891137.35755279</v>
      </c>
      <c r="AN283" s="76" t="n">
        <f aca="false">AN281+AN266+AN274+AN275+AN276+AN277+AN282</f>
        <v>1595516.94880294</v>
      </c>
      <c r="AO283" s="76" t="n">
        <f aca="false">AO281+AO266+AO274+AO275+AO276+AO277+AO282</f>
        <v>1298271.64142568</v>
      </c>
      <c r="AP283" s="76" t="n">
        <f aca="false">AP281+AP266+AP274+AP275+AP276+AP277+AP282</f>
        <v>992682.1981139</v>
      </c>
      <c r="AQ283" s="76" t="n">
        <f aca="false">AQ281+AQ266+AQ274+AQ275+AQ276+AQ277+AQ282</f>
        <v>687092.754802123</v>
      </c>
      <c r="AR283" s="76" t="n">
        <f aca="false">AR281+AR266+AR274+AR275+AR276+AR277+AR282</f>
        <v>377503.311490344</v>
      </c>
      <c r="AS283" s="76" t="n">
        <f aca="false">AS281+AS266+AS274+AS275+AS276+AS277+AS282</f>
        <v>71913.8681785663</v>
      </c>
      <c r="AT283" s="76" t="n">
        <f aca="false">AT281+AT266+AT274+AT275+AT276+AT277+AT282</f>
        <v>-499103.660486712</v>
      </c>
      <c r="AU283" s="76" t="n">
        <f aca="false">AU281+AU266+AU274+AU275+AU276+AU277+AU282</f>
        <v>178771.077051551</v>
      </c>
      <c r="AV283" s="76" t="n">
        <f aca="false">AV281+AV266+AV274+AV275+AV276+AV277+AV282</f>
        <v>-283706.360114583</v>
      </c>
      <c r="AW283" s="76" t="n">
        <f aca="false">AW281+AW266+AW274+AW275+AW276+AW277+AW282</f>
        <v>-746183.797280717</v>
      </c>
      <c r="AX283" s="76" t="n">
        <f aca="false">AX281+AX266+AX274+AX275+AX276+AX277+AX282</f>
        <v>-1208661.23444685</v>
      </c>
      <c r="AY283" s="76" t="n">
        <f aca="false">AY281+AY266+AY274+AY275+AY276+AY277+AY282</f>
        <v>-1671138.67161298</v>
      </c>
      <c r="AZ283" s="76" t="n">
        <f aca="false">AZ281+AZ266+AZ274+AZ275+AZ276+AZ277+AZ282</f>
        <v>-2133616.10877912</v>
      </c>
      <c r="BA283" s="76" t="n">
        <f aca="false">BA281+BA266+BA274+BA275+BA276+BA277+BA282</f>
        <v>-2597750.9425452</v>
      </c>
      <c r="BB283" s="76" t="n">
        <f aca="false">BB281+BB266+BB274+BB275+BB276+BB277+BB282</f>
        <v>-3070396.79496449</v>
      </c>
      <c r="BC283" s="76" t="n">
        <f aca="false">BC281+BC266+BC274+BC275+BC276+BC277+BC282</f>
        <v>-3543042.64738379</v>
      </c>
      <c r="BD283" s="76" t="n">
        <f aca="false">BD281+BD266+BD274+BD275+BD276+BD277+BD282</f>
        <v>-4015688.49980308</v>
      </c>
      <c r="BE283" s="76" t="n">
        <f aca="false">BE281+BE266+BE274+BE275+BE276+BE277+BE282</f>
        <v>-4488334.35222237</v>
      </c>
      <c r="BF283" s="76" t="n">
        <f aca="false">BF281+BF266+BF274+BF275+BF276+BF277+BF282</f>
        <v>-4960980.20464166</v>
      </c>
      <c r="BG283" s="76" t="n">
        <f aca="false">BG281+BG266+BG274+BG275+BG276+BG277+BG282</f>
        <v>-5433626.05706096</v>
      </c>
      <c r="BH283" s="76" t="n">
        <f aca="false">BH281+BH266+BH274+BH275+BH276+BH277+BH282</f>
        <v>-6155208.18453585</v>
      </c>
      <c r="BI283" s="76" t="n">
        <f aca="false">BI281+BI266+BI274+BI275+BI276+BI277+BI282</f>
        <v>-5735832.38467257</v>
      </c>
      <c r="BJ283" s="76" t="n">
        <f aca="false">BJ281+BJ266+BJ274+BJ275+BJ276+BJ277+BJ282</f>
        <v>-6358254.89591699</v>
      </c>
      <c r="BK283" s="76" t="n">
        <f aca="false">BK281+BK266+BK274+BK275+BK276+BK277+BK282</f>
        <v>-6980677.4071614</v>
      </c>
      <c r="BL283" s="76" t="n">
        <f aca="false">BL281+BL266+BL274+BL275+BL276+BL277+BL282</f>
        <v>-7603099.91840581</v>
      </c>
      <c r="BM283" s="76" t="n">
        <f aca="false">BM281+BM266+BM274+BM275+BM276+BM277+BM282</f>
        <v>-8227212.97418217</v>
      </c>
      <c r="BN283" s="76" t="n">
        <f aca="false">BN281+BN266+BN274+BN275+BN276+BN277+BN282</f>
        <v>-8860007.2689848</v>
      </c>
      <c r="BO283" s="76" t="n">
        <f aca="false">BO281+BO266+BO274+BO275+BO276+BO277+BO282</f>
        <v>-9492801.56378744</v>
      </c>
      <c r="BP283" s="76" t="n">
        <f aca="false">BP281+BP266+BP274+BP275+BP276+BP277+BP282</f>
        <v>-10125595.8585901</v>
      </c>
      <c r="BQ283" s="76" t="n">
        <f aca="false">BQ281+BQ266+BQ274+BQ275+BQ276+BQ277+BQ282</f>
        <v>-10758390.1533927</v>
      </c>
      <c r="BR283" s="76" t="n">
        <f aca="false">BR281+BR266+BR274+BR275+BR276+BR277+BR282</f>
        <v>-11337934.0981953</v>
      </c>
      <c r="BS283" s="76" t="n">
        <f aca="false">BS281+BS266+BS274+BS275+BS276+BS277+BS282</f>
        <v>-11970728.392998</v>
      </c>
      <c r="BT283" s="76" t="n">
        <f aca="false">BT281+BT266+BT274+BT275+BT276+BT277+BT282</f>
        <v>-12603522.6878006</v>
      </c>
      <c r="BU283" s="76" t="n">
        <f aca="false">BU281+BU266+BU274+BU275+BU276+BU277+BU282</f>
        <v>-13168554.9826032</v>
      </c>
      <c r="BV283" s="76" t="n">
        <f aca="false">BV281+BV266+BV274+BV275+BV276+BV277+BV282</f>
        <v>-13801349.2774059</v>
      </c>
      <c r="BW283" s="76" t="n">
        <f aca="false">BW281+BW266+BW274+BW275+BW276+BW277+BW282</f>
        <v>-14434143.5722085</v>
      </c>
      <c r="BX283" s="76" t="n">
        <f aca="false">BX281+BX266+BX274+BX275+BX276+BX277+BX282</f>
        <v>-14999175.8670111</v>
      </c>
      <c r="BY283" s="76" t="n">
        <f aca="false">BY281+BY266+BY274+BY275+BY276+BY277+BY282</f>
        <v>-15633694.5172364</v>
      </c>
      <c r="BZ283" s="76" t="n">
        <f aca="false">BZ281+BZ266+BZ274+BZ275+BZ276+BZ277+BZ282</f>
        <v>-16277068.0312684</v>
      </c>
      <c r="CA283" s="76" t="n">
        <f aca="false">CA281+CA266+CA274+CA275+CA276+CA277+CA282</f>
        <v>-16852679.5453004</v>
      </c>
      <c r="CB283" s="76" t="n">
        <f aca="false">CB281+CB266+CB274+CB275+CB276+CB277+CB282</f>
        <v>-17496053.0593324</v>
      </c>
      <c r="CC283" s="76" t="n">
        <f aca="false">CC281+CC266+CC274+CC275+CC276+CC277+CC282</f>
        <v>-18139426.5733644</v>
      </c>
      <c r="CD283" s="76" t="n">
        <f aca="false">CD281+CD266+CD274+CD275+CD276+CD277+CD282</f>
        <v>-18706301.0873965</v>
      </c>
      <c r="CE283" s="76" t="n">
        <f aca="false">CE281+CE266+CE274+CE275+CE276+CE277+CE282</f>
        <v>-19349674.6014285</v>
      </c>
      <c r="CF283" s="76" t="n">
        <f aca="false">CF281+CF266+CF274+CF275+CF276+CF277+CF282</f>
        <v>-19993048.1154605</v>
      </c>
      <c r="CG283" s="76" t="n">
        <f aca="false">CG281+CG266+CG274+CG275+CG276+CG277+CG282</f>
        <v>-20559922.6294925</v>
      </c>
      <c r="CH283" s="76" t="n">
        <f aca="false">CH281+CH266+CH274+CH275+CH276+CH277+CH282</f>
        <v>-21203296.1435245</v>
      </c>
      <c r="CI283" s="76" t="n">
        <f aca="false">CI281+CI266+CI274+CI275+CI276+CI277+CI282</f>
        <v>-21846669.6575565</v>
      </c>
      <c r="CJ283" s="76" t="n">
        <f aca="false">CJ281+CJ266+CJ274+CJ275+CJ276+CJ277+CJ282</f>
        <v>-22406936.1449821</v>
      </c>
      <c r="CK283" s="76" t="n">
        <f aca="false">CK281+CK266+CK274+CK275+CK276+CK277+CK282</f>
        <v>-22894207.5015451</v>
      </c>
      <c r="CL283" s="76" t="n">
        <f aca="false">CL281+CL266+CL274+CL275+CL276+CL277+CL282</f>
        <v>-23390510.8191911</v>
      </c>
      <c r="CM283" s="76" t="n">
        <f aca="false">CM281+CM266+CM274+CM275+CM276+CM277+CM282</f>
        <v>-23886814.1368371</v>
      </c>
      <c r="CN283" s="76" t="n">
        <f aca="false">CN281+CN266+CN274+CN275+CN276+CN277+CN282</f>
        <v>-24383117.4544831</v>
      </c>
      <c r="CO283" s="76" t="n">
        <f aca="false">CO281+CO266+CO274+CO275+CO276+CO277+CO282</f>
        <v>-24879420.7721291</v>
      </c>
      <c r="CP283" s="76" t="n">
        <f aca="false">CP281+CP266+CP274+CP275+CP276+CP277+CP282</f>
        <v>-25375724.0897751</v>
      </c>
      <c r="CQ283" s="76" t="n">
        <f aca="false">CQ281+CQ266+CQ274+CQ275+CQ276+CQ277+CQ282</f>
        <v>-25872027.4074211</v>
      </c>
      <c r="CR283" s="76" t="n">
        <f aca="false">CR281+CR266+CR274+CR275+CR276+CR277+CR282</f>
        <v>-26368330.7250671</v>
      </c>
      <c r="CS283" s="76" t="n">
        <f aca="false">CS281+CS266+CS274+CS275+CS276+CS277+CS282</f>
        <v>-26864634.0427131</v>
      </c>
      <c r="CT283" s="76" t="n">
        <f aca="false">CT281+CT266+CT274+CT275+CT276+CT277+CT282</f>
        <v>-27359028.8669842</v>
      </c>
      <c r="CU283" s="76" t="n">
        <f aca="false">CU281+CU266+CU274+CU275+CU276+CU277+CU282</f>
        <v>-27798979.5802514</v>
      </c>
      <c r="CV283" s="76" t="n">
        <f aca="false">CV281+CV266+CV274+CV275+CV276+CV277+CV282</f>
        <v>-28238930.2935186</v>
      </c>
      <c r="CW283" s="76" t="n">
        <f aca="false">CW281+CW266+CW274+CW275+CW276+CW277+CW282</f>
        <v>-28624928.7052364</v>
      </c>
      <c r="CX283" s="76" t="n">
        <f aca="false">CX281+CX266+CX274+CX275+CX276+CX277+CX282</f>
        <v>-29001603.9861024</v>
      </c>
      <c r="CY283" s="76" t="n">
        <f aca="false">CY281+CY266+CY274+CY275+CY276+CY277+CY282</f>
        <v>-29378279.2669683</v>
      </c>
      <c r="CZ283" s="76" t="n">
        <f aca="false">CZ281+CZ266+CZ274+CZ275+CZ276+CZ277+CZ282</f>
        <v>-29754954.5478342</v>
      </c>
      <c r="DA283" s="76" t="n">
        <f aca="false">DA281+DA266+DA274+DA275+DA276+DA277+DA282</f>
        <v>-30131629.8287001</v>
      </c>
      <c r="DB283" s="76" t="n">
        <f aca="false">DB281+DB266+DB274+DB275+DB276+DB277+DB282</f>
        <v>-30508305.109566</v>
      </c>
      <c r="DC283" s="76" t="n">
        <f aca="false">DC281+DC266+DC274+DC275+DC276+DC277+DC282</f>
        <v>-30884980.3904319</v>
      </c>
      <c r="DD283" s="76" t="n">
        <f aca="false">DD281+DD266+DD274+DD275+DD276+DD277+DD282</f>
        <v>-31261655.6712978</v>
      </c>
      <c r="DE283" s="76" t="n">
        <f aca="false">DE281+DE266+DE274+DE275+DE276+DE277+DE282</f>
        <v>-31638330.9521637</v>
      </c>
    </row>
    <row r="284" customFormat="false" ht="15" hidden="false" customHeight="true" outlineLevel="0" collapsed="false">
      <c r="A284" s="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</row>
    <row r="285" customFormat="false" ht="15" hidden="false" customHeight="true" outlineLevel="0" collapsed="false">
      <c r="A285" s="77" t="s">
        <v>192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</row>
    <row r="286" customFormat="false" ht="15" hidden="false" customHeight="true" outlineLevel="0" collapsed="false">
      <c r="A286" s="78" t="s">
        <v>193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</row>
    <row r="287" customFormat="false" ht="15" hidden="false" customHeight="true" outlineLevel="0" collapsed="false">
      <c r="A287" s="79" t="s">
        <v>194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</row>
    <row r="288" customFormat="false" ht="15" hidden="false" customHeight="true" outlineLevel="0" collapsed="false">
      <c r="A288" s="79" t="s">
        <v>195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</row>
    <row r="289" customFormat="false" ht="15" hidden="false" customHeight="true" outlineLevel="0" collapsed="false">
      <c r="A289" s="79" t="s">
        <v>196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</row>
    <row r="290" customFormat="false" ht="15" hidden="false" customHeight="true" outlineLevel="0" collapsed="false">
      <c r="A290" s="3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80"/>
      <c r="BL290" s="80"/>
      <c r="BM290" s="80"/>
      <c r="BN290" s="80"/>
      <c r="BO290" s="80"/>
      <c r="BP290" s="80"/>
      <c r="BQ290" s="80"/>
      <c r="BR290" s="80"/>
      <c r="BS290" s="80"/>
      <c r="BT290" s="80"/>
      <c r="BU290" s="80"/>
      <c r="BV290" s="80"/>
      <c r="BW290" s="80"/>
      <c r="BX290" s="80"/>
      <c r="BY290" s="80"/>
      <c r="BZ290" s="80"/>
      <c r="CA290" s="80"/>
      <c r="CB290" s="80"/>
      <c r="CC290" s="80"/>
      <c r="CD290" s="80"/>
      <c r="CE290" s="80"/>
      <c r="CF290" s="80"/>
      <c r="CG290" s="80"/>
      <c r="CH290" s="80"/>
      <c r="CI290" s="80"/>
      <c r="CJ290" s="80"/>
      <c r="CK290" s="80"/>
      <c r="CL290" s="80"/>
      <c r="CM290" s="80"/>
      <c r="CN290" s="80"/>
      <c r="CO290" s="80"/>
      <c r="CP290" s="80"/>
      <c r="CQ290" s="80"/>
      <c r="CR290" s="80"/>
      <c r="CS290" s="80"/>
      <c r="CT290" s="80"/>
      <c r="CU290" s="80"/>
      <c r="CV290" s="80"/>
      <c r="CW290" s="80"/>
      <c r="CX290" s="80"/>
      <c r="CY290" s="80"/>
      <c r="CZ290" s="80"/>
      <c r="DA290" s="80"/>
      <c r="DB290" s="80"/>
      <c r="DC290" s="80"/>
      <c r="DD290" s="80"/>
      <c r="DE290" s="80"/>
    </row>
    <row r="291" customFormat="false" ht="15" hidden="false" customHeight="true" outlineLevel="0" collapsed="false">
      <c r="A291" s="3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80"/>
      <c r="BR291" s="80"/>
      <c r="BS291" s="80"/>
      <c r="BT291" s="80"/>
      <c r="BU291" s="80"/>
      <c r="BV291" s="80"/>
      <c r="BW291" s="80"/>
      <c r="BX291" s="80"/>
      <c r="BY291" s="80"/>
      <c r="BZ291" s="80"/>
      <c r="CA291" s="80"/>
      <c r="CB291" s="80"/>
      <c r="CC291" s="80"/>
      <c r="CD291" s="80"/>
      <c r="CE291" s="80"/>
      <c r="CF291" s="80"/>
      <c r="CG291" s="80"/>
      <c r="CH291" s="80"/>
      <c r="CI291" s="80"/>
      <c r="CJ291" s="80"/>
      <c r="CK291" s="80"/>
      <c r="CL291" s="80"/>
      <c r="CM291" s="80"/>
      <c r="CN291" s="80"/>
      <c r="CO291" s="80"/>
      <c r="CP291" s="80"/>
      <c r="CQ291" s="80"/>
      <c r="CR291" s="80"/>
      <c r="CS291" s="80"/>
      <c r="CT291" s="80"/>
      <c r="CU291" s="80"/>
      <c r="CV291" s="80"/>
      <c r="CW291" s="80"/>
      <c r="CX291" s="80"/>
      <c r="CY291" s="80"/>
      <c r="CZ291" s="80"/>
      <c r="DA291" s="80"/>
      <c r="DB291" s="80"/>
      <c r="DC291" s="80"/>
      <c r="DD291" s="80"/>
      <c r="DE291" s="80"/>
    </row>
    <row r="292" customFormat="false" ht="15" hidden="false" customHeight="true" outlineLevel="0" collapsed="false">
      <c r="A292" s="81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80"/>
      <c r="CB292" s="80"/>
      <c r="CC292" s="80"/>
      <c r="CD292" s="80"/>
      <c r="CE292" s="80"/>
      <c r="CF292" s="80"/>
      <c r="CG292" s="80"/>
      <c r="CH292" s="80"/>
      <c r="CI292" s="80"/>
      <c r="CJ292" s="80"/>
      <c r="CK292" s="80"/>
      <c r="CL292" s="80"/>
      <c r="CM292" s="80"/>
      <c r="CN292" s="80"/>
      <c r="CO292" s="80"/>
      <c r="CP292" s="80"/>
      <c r="CQ292" s="80"/>
      <c r="CR292" s="80"/>
      <c r="CS292" s="80"/>
      <c r="CT292" s="80"/>
      <c r="CU292" s="80"/>
      <c r="CV292" s="80"/>
      <c r="CW292" s="80"/>
      <c r="CX292" s="80"/>
      <c r="CY292" s="80"/>
      <c r="CZ292" s="80"/>
      <c r="DA292" s="80"/>
      <c r="DB292" s="80"/>
      <c r="DC292" s="80"/>
      <c r="DD292" s="80"/>
      <c r="DE292" s="80"/>
    </row>
    <row r="293" customFormat="false" ht="15" hidden="false" customHeight="true" outlineLevel="0" collapsed="false">
      <c r="A293" s="3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80"/>
      <c r="CB293" s="80"/>
      <c r="CC293" s="80"/>
      <c r="CD293" s="80"/>
      <c r="CE293" s="80"/>
      <c r="CF293" s="80"/>
      <c r="CG293" s="80"/>
      <c r="CH293" s="80"/>
      <c r="CI293" s="80"/>
      <c r="CJ293" s="80"/>
      <c r="CK293" s="80"/>
      <c r="CL293" s="80"/>
      <c r="CM293" s="80"/>
      <c r="CN293" s="80"/>
      <c r="CO293" s="80"/>
      <c r="CP293" s="80"/>
      <c r="CQ293" s="80"/>
      <c r="CR293" s="80"/>
      <c r="CS293" s="80"/>
      <c r="CT293" s="80"/>
      <c r="CU293" s="80"/>
      <c r="CV293" s="80"/>
      <c r="CW293" s="80"/>
      <c r="CX293" s="80"/>
      <c r="CY293" s="80"/>
      <c r="CZ293" s="80"/>
      <c r="DA293" s="80"/>
      <c r="DB293" s="80"/>
      <c r="DC293" s="80"/>
      <c r="DD293" s="80"/>
      <c r="DE293" s="80"/>
    </row>
    <row r="294" customFormat="false" ht="15" hidden="false" customHeight="true" outlineLevel="0" collapsed="false">
      <c r="A294" s="82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80"/>
      <c r="CB294" s="80"/>
      <c r="CC294" s="80"/>
      <c r="CD294" s="80"/>
      <c r="CE294" s="80"/>
      <c r="CF294" s="80"/>
      <c r="CG294" s="80"/>
      <c r="CH294" s="80"/>
      <c r="CI294" s="80"/>
      <c r="CJ294" s="80"/>
      <c r="CK294" s="80"/>
      <c r="CL294" s="80"/>
      <c r="CM294" s="80"/>
      <c r="CN294" s="80"/>
      <c r="CO294" s="80"/>
      <c r="CP294" s="80"/>
      <c r="CQ294" s="80"/>
      <c r="CR294" s="80"/>
      <c r="CS294" s="80"/>
      <c r="CT294" s="80"/>
      <c r="CU294" s="80"/>
      <c r="CV294" s="80"/>
      <c r="CW294" s="80"/>
      <c r="CX294" s="80"/>
      <c r="CY294" s="80"/>
      <c r="CZ294" s="80"/>
      <c r="DA294" s="80"/>
      <c r="DB294" s="80"/>
      <c r="DC294" s="80"/>
      <c r="DD294" s="80"/>
      <c r="DE294" s="80"/>
    </row>
    <row r="295" customFormat="false" ht="15" hidden="false" customHeight="true" outlineLevel="0" collapsed="false">
      <c r="A295" s="82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80"/>
      <c r="CB295" s="80"/>
      <c r="CC295" s="80"/>
      <c r="CD295" s="80"/>
      <c r="CE295" s="80"/>
      <c r="CF295" s="80"/>
      <c r="CG295" s="80"/>
      <c r="CH295" s="80"/>
      <c r="CI295" s="80"/>
      <c r="CJ295" s="80"/>
      <c r="CK295" s="80"/>
      <c r="CL295" s="80"/>
      <c r="CM295" s="80"/>
      <c r="CN295" s="80"/>
      <c r="CO295" s="80"/>
      <c r="CP295" s="80"/>
      <c r="CQ295" s="80"/>
      <c r="CR295" s="80"/>
      <c r="CS295" s="80"/>
      <c r="CT295" s="80"/>
      <c r="CU295" s="80"/>
      <c r="CV295" s="80"/>
      <c r="CW295" s="80"/>
      <c r="CX295" s="80"/>
      <c r="CY295" s="80"/>
      <c r="CZ295" s="80"/>
      <c r="DA295" s="80"/>
      <c r="DB295" s="80"/>
      <c r="DC295" s="80"/>
      <c r="DD295" s="80"/>
      <c r="DE295" s="80"/>
    </row>
    <row r="296" customFormat="false" ht="15" hidden="false" customHeight="true" outlineLevel="0" collapsed="false">
      <c r="A296" s="82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80"/>
      <c r="CB296" s="80"/>
      <c r="CC296" s="80"/>
      <c r="CD296" s="80"/>
      <c r="CE296" s="80"/>
      <c r="CF296" s="80"/>
      <c r="CG296" s="80"/>
      <c r="CH296" s="80"/>
      <c r="CI296" s="80"/>
      <c r="CJ296" s="80"/>
      <c r="CK296" s="80"/>
      <c r="CL296" s="80"/>
      <c r="CM296" s="80"/>
      <c r="CN296" s="80"/>
      <c r="CO296" s="80"/>
      <c r="CP296" s="80"/>
      <c r="CQ296" s="80"/>
      <c r="CR296" s="80"/>
      <c r="CS296" s="80"/>
      <c r="CT296" s="80"/>
      <c r="CU296" s="80"/>
      <c r="CV296" s="80"/>
      <c r="CW296" s="80"/>
      <c r="CX296" s="80"/>
      <c r="CY296" s="80"/>
      <c r="CZ296" s="80"/>
      <c r="DA296" s="80"/>
      <c r="DB296" s="80"/>
      <c r="DC296" s="80"/>
      <c r="DD296" s="80"/>
      <c r="DE296" s="80"/>
    </row>
    <row r="297" customFormat="false" ht="15" hidden="false" customHeight="true" outlineLevel="0" collapsed="false">
      <c r="A297" s="81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80"/>
      <c r="CB297" s="80"/>
      <c r="CC297" s="80"/>
      <c r="CD297" s="80"/>
      <c r="CE297" s="80"/>
      <c r="CF297" s="80"/>
      <c r="CG297" s="80"/>
      <c r="CH297" s="80"/>
      <c r="CI297" s="80"/>
      <c r="CJ297" s="80"/>
      <c r="CK297" s="80"/>
      <c r="CL297" s="80"/>
      <c r="CM297" s="80"/>
      <c r="CN297" s="80"/>
      <c r="CO297" s="80"/>
      <c r="CP297" s="80"/>
      <c r="CQ297" s="80"/>
      <c r="CR297" s="80"/>
      <c r="CS297" s="80"/>
      <c r="CT297" s="80"/>
      <c r="CU297" s="80"/>
      <c r="CV297" s="80"/>
      <c r="CW297" s="80"/>
      <c r="CX297" s="80"/>
      <c r="CY297" s="80"/>
      <c r="CZ297" s="80"/>
      <c r="DA297" s="80"/>
      <c r="DB297" s="80"/>
      <c r="DC297" s="80"/>
      <c r="DD297" s="80"/>
      <c r="DE297" s="80"/>
    </row>
    <row r="298" customFormat="false" ht="15" hidden="false" customHeight="true" outlineLevel="0" collapsed="false">
      <c r="A298" s="82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80"/>
      <c r="CB298" s="80"/>
      <c r="CC298" s="80"/>
      <c r="CD298" s="80"/>
      <c r="CE298" s="80"/>
      <c r="CF298" s="80"/>
      <c r="CG298" s="80"/>
      <c r="CH298" s="80"/>
      <c r="CI298" s="80"/>
      <c r="CJ298" s="80"/>
      <c r="CK298" s="80"/>
      <c r="CL298" s="80"/>
      <c r="CM298" s="80"/>
      <c r="CN298" s="80"/>
      <c r="CO298" s="80"/>
      <c r="CP298" s="80"/>
      <c r="CQ298" s="80"/>
      <c r="CR298" s="80"/>
      <c r="CS298" s="80"/>
      <c r="CT298" s="80"/>
      <c r="CU298" s="80"/>
      <c r="CV298" s="80"/>
      <c r="CW298" s="80"/>
      <c r="CX298" s="80"/>
      <c r="CY298" s="80"/>
      <c r="CZ298" s="80"/>
      <c r="DA298" s="80"/>
      <c r="DB298" s="80"/>
      <c r="DC298" s="80"/>
      <c r="DD298" s="80"/>
      <c r="DE298" s="80"/>
    </row>
    <row r="299" customFormat="false" ht="15" hidden="false" customHeight="true" outlineLevel="0" collapsed="false">
      <c r="A299" s="82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/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  <c r="BY299" s="83"/>
      <c r="BZ299" s="83"/>
      <c r="CA299" s="83"/>
      <c r="CB299" s="83"/>
      <c r="CC299" s="83"/>
      <c r="CD299" s="83"/>
      <c r="CE299" s="83"/>
      <c r="CF299" s="83"/>
      <c r="CG299" s="83"/>
      <c r="CH299" s="83"/>
      <c r="CI299" s="83"/>
      <c r="CJ299" s="83"/>
      <c r="CK299" s="83"/>
      <c r="CL299" s="83"/>
      <c r="CM299" s="83"/>
      <c r="CN299" s="83"/>
      <c r="CO299" s="83"/>
      <c r="CP299" s="83"/>
      <c r="CQ299" s="83"/>
      <c r="CR299" s="83"/>
      <c r="CS299" s="83"/>
      <c r="CT299" s="83"/>
      <c r="CU299" s="83"/>
      <c r="CV299" s="83"/>
      <c r="CW299" s="83"/>
      <c r="CX299" s="83"/>
      <c r="CY299" s="83"/>
      <c r="CZ299" s="83"/>
      <c r="DA299" s="83"/>
      <c r="DB299" s="83"/>
      <c r="DC299" s="83"/>
      <c r="DD299" s="83"/>
      <c r="DE299" s="83"/>
    </row>
    <row r="300" customFormat="false" ht="15" hidden="false" customHeight="true" outlineLevel="0" collapsed="false">
      <c r="A300" s="82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  <c r="BY300" s="83"/>
      <c r="BZ300" s="83"/>
      <c r="CA300" s="83"/>
      <c r="CB300" s="83"/>
      <c r="CC300" s="83"/>
      <c r="CD300" s="83"/>
      <c r="CE300" s="83"/>
      <c r="CF300" s="83"/>
      <c r="CG300" s="83"/>
      <c r="CH300" s="83"/>
      <c r="CI300" s="83"/>
      <c r="CJ300" s="83"/>
      <c r="CK300" s="83"/>
      <c r="CL300" s="83"/>
      <c r="CM300" s="83"/>
      <c r="CN300" s="83"/>
      <c r="CO300" s="83"/>
      <c r="CP300" s="83"/>
      <c r="CQ300" s="83"/>
      <c r="CR300" s="83"/>
      <c r="CS300" s="83"/>
      <c r="CT300" s="83"/>
      <c r="CU300" s="83"/>
      <c r="CV300" s="83"/>
      <c r="CW300" s="83"/>
      <c r="CX300" s="83"/>
      <c r="CY300" s="83"/>
      <c r="CZ300" s="83"/>
      <c r="DA300" s="83"/>
      <c r="DB300" s="83"/>
      <c r="DC300" s="83"/>
      <c r="DD300" s="83"/>
      <c r="DE300" s="83"/>
    </row>
    <row r="301" customFormat="false" ht="15" hidden="false" customHeight="true" outlineLevel="0" collapsed="false">
      <c r="A301" s="82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4"/>
    </row>
    <row r="302" customFormat="false" ht="15" hidden="false" customHeight="true" outlineLevel="0" collapsed="false">
      <c r="A302" s="82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/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3"/>
      <c r="BY302" s="83"/>
      <c r="BZ302" s="83"/>
      <c r="CA302" s="83"/>
      <c r="CB302" s="83"/>
      <c r="CC302" s="83"/>
      <c r="CD302" s="83"/>
      <c r="CE302" s="83"/>
      <c r="CF302" s="83"/>
      <c r="CG302" s="83"/>
      <c r="CH302" s="83"/>
      <c r="CI302" s="83"/>
      <c r="CJ302" s="83"/>
      <c r="CK302" s="83"/>
      <c r="CL302" s="83"/>
      <c r="CM302" s="83"/>
      <c r="CN302" s="83"/>
      <c r="CO302" s="83"/>
      <c r="CP302" s="83"/>
      <c r="CQ302" s="83"/>
      <c r="CR302" s="83"/>
      <c r="CS302" s="83"/>
      <c r="CT302" s="83"/>
      <c r="CU302" s="83"/>
      <c r="CV302" s="83"/>
      <c r="CW302" s="83"/>
      <c r="CX302" s="83"/>
      <c r="CY302" s="83"/>
      <c r="CZ302" s="83"/>
      <c r="DA302" s="83"/>
      <c r="DB302" s="83"/>
      <c r="DC302" s="83"/>
      <c r="DD302" s="83"/>
      <c r="DE302" s="83"/>
    </row>
    <row r="303" customFormat="false" ht="15" hidden="false" customHeight="true" outlineLevel="0" collapsed="false">
      <c r="A303" s="82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</row>
    <row r="304" customFormat="false" ht="15" hidden="false" customHeight="true" outlineLevel="0" collapsed="false">
      <c r="A304" s="82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80"/>
      <c r="CB304" s="80"/>
      <c r="CC304" s="80"/>
      <c r="CD304" s="80"/>
      <c r="CE304" s="80"/>
      <c r="CF304" s="80"/>
      <c r="CG304" s="80"/>
      <c r="CH304" s="80"/>
      <c r="CI304" s="80"/>
      <c r="CJ304" s="80"/>
      <c r="CK304" s="80"/>
      <c r="CL304" s="80"/>
      <c r="CM304" s="80"/>
      <c r="CN304" s="80"/>
      <c r="CO304" s="80"/>
      <c r="CP304" s="80"/>
      <c r="CQ304" s="80"/>
      <c r="CR304" s="80"/>
      <c r="CS304" s="80"/>
      <c r="CT304" s="80"/>
      <c r="CU304" s="80"/>
      <c r="CV304" s="80"/>
      <c r="CW304" s="80"/>
      <c r="CX304" s="80"/>
      <c r="CY304" s="80"/>
      <c r="CZ304" s="80"/>
      <c r="DA304" s="80"/>
      <c r="DB304" s="80"/>
      <c r="DC304" s="80"/>
      <c r="DD304" s="80"/>
      <c r="DE304" s="80"/>
    </row>
    <row r="305" customFormat="false" ht="15" hidden="false" customHeight="true" outlineLevel="0" collapsed="false">
      <c r="A305" s="82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80"/>
      <c r="CB305" s="80"/>
      <c r="CC305" s="80"/>
      <c r="CD305" s="80"/>
      <c r="CE305" s="80"/>
      <c r="CF305" s="80"/>
      <c r="CG305" s="80"/>
      <c r="CH305" s="80"/>
      <c r="CI305" s="80"/>
      <c r="CJ305" s="80"/>
      <c r="CK305" s="80"/>
      <c r="CL305" s="80"/>
      <c r="CM305" s="80"/>
      <c r="CN305" s="80"/>
      <c r="CO305" s="80"/>
      <c r="CP305" s="80"/>
      <c r="CQ305" s="80"/>
      <c r="CR305" s="80"/>
      <c r="CS305" s="80"/>
      <c r="CT305" s="80"/>
      <c r="CU305" s="80"/>
      <c r="CV305" s="80"/>
      <c r="CW305" s="80"/>
      <c r="CX305" s="80"/>
      <c r="CY305" s="80"/>
      <c r="CZ305" s="80"/>
      <c r="DA305" s="80"/>
      <c r="DB305" s="80"/>
      <c r="DC305" s="80"/>
      <c r="DD305" s="80"/>
      <c r="DE305" s="80"/>
    </row>
    <row r="306" customFormat="false" ht="15" hidden="false" customHeight="true" outlineLevel="0" collapsed="false">
      <c r="A306" s="82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80"/>
      <c r="CB306" s="80"/>
      <c r="CC306" s="80"/>
      <c r="CD306" s="80"/>
      <c r="CE306" s="80"/>
      <c r="CF306" s="80"/>
      <c r="CG306" s="80"/>
      <c r="CH306" s="80"/>
      <c r="CI306" s="80"/>
      <c r="CJ306" s="80"/>
      <c r="CK306" s="80"/>
      <c r="CL306" s="80"/>
      <c r="CM306" s="80"/>
      <c r="CN306" s="80"/>
      <c r="CO306" s="80"/>
      <c r="CP306" s="80"/>
      <c r="CQ306" s="80"/>
      <c r="CR306" s="80"/>
      <c r="CS306" s="80"/>
      <c r="CT306" s="80"/>
      <c r="CU306" s="80"/>
      <c r="CV306" s="80"/>
      <c r="CW306" s="80"/>
      <c r="CX306" s="80"/>
      <c r="CY306" s="80"/>
      <c r="CZ306" s="80"/>
      <c r="DA306" s="80"/>
      <c r="DB306" s="80"/>
      <c r="DC306" s="80"/>
      <c r="DD306" s="80"/>
      <c r="DE306" s="80"/>
    </row>
    <row r="307" customFormat="false" ht="15" hidden="false" customHeight="true" outlineLevel="0" collapsed="false">
      <c r="A307" s="82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0"/>
      <c r="DB307" s="80"/>
      <c r="DC307" s="80"/>
      <c r="DD307" s="80"/>
      <c r="DE307" s="80"/>
    </row>
    <row r="308" customFormat="false" ht="15" hidden="false" customHeight="true" outlineLevel="0" collapsed="false">
      <c r="A308" s="82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  <c r="CD308" s="80"/>
      <c r="CE308" s="80"/>
      <c r="CF308" s="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0"/>
      <c r="CY308" s="80"/>
      <c r="CZ308" s="80"/>
      <c r="DA308" s="80"/>
      <c r="DB308" s="80"/>
      <c r="DC308" s="80"/>
      <c r="DD308" s="80"/>
      <c r="DE308" s="80"/>
    </row>
    <row r="309" customFormat="false" ht="15" hidden="false" customHeight="true" outlineLevel="0" collapsed="false">
      <c r="A309" s="82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  <c r="CD309" s="80"/>
      <c r="CE309" s="80"/>
      <c r="CF309" s="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0"/>
      <c r="CY309" s="80"/>
      <c r="CZ309" s="80"/>
      <c r="DA309" s="80"/>
      <c r="DB309" s="80"/>
      <c r="DC309" s="80"/>
      <c r="DD309" s="80"/>
      <c r="DE309" s="80"/>
    </row>
    <row r="310" customFormat="false" ht="15" hidden="false" customHeight="true" outlineLevel="0" collapsed="false">
      <c r="A310" s="86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  <c r="AK310" s="87"/>
      <c r="AL310" s="87"/>
      <c r="AM310" s="87"/>
      <c r="AN310" s="87"/>
      <c r="AO310" s="87"/>
      <c r="AP310" s="87"/>
      <c r="AQ310" s="87"/>
      <c r="AR310" s="87"/>
      <c r="AS310" s="87"/>
      <c r="AT310" s="87"/>
      <c r="AU310" s="87"/>
      <c r="AV310" s="87"/>
      <c r="AW310" s="87"/>
      <c r="AX310" s="87"/>
      <c r="AY310" s="87"/>
      <c r="AZ310" s="87"/>
      <c r="BA310" s="87"/>
      <c r="BB310" s="87"/>
      <c r="BC310" s="87"/>
      <c r="BD310" s="87"/>
      <c r="BE310" s="87"/>
      <c r="BF310" s="87"/>
      <c r="BG310" s="87"/>
      <c r="BH310" s="87"/>
      <c r="BI310" s="87"/>
      <c r="BJ310" s="87"/>
      <c r="BK310" s="87"/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7"/>
      <c r="DB310" s="87"/>
      <c r="DC310" s="87"/>
      <c r="DD310" s="87"/>
      <c r="DE310" s="87"/>
    </row>
    <row r="311" customFormat="false" ht="15" hidden="false" customHeight="true" outlineLevel="0" collapsed="false">
      <c r="A311" s="86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  <c r="AL311" s="87"/>
      <c r="AM311" s="87"/>
      <c r="AN311" s="87"/>
      <c r="AO311" s="87"/>
      <c r="AP311" s="87"/>
      <c r="AQ311" s="87"/>
      <c r="AR311" s="87"/>
      <c r="AS311" s="87"/>
      <c r="AT311" s="87"/>
      <c r="AU311" s="87"/>
      <c r="AV311" s="87"/>
      <c r="AW311" s="87"/>
      <c r="AX311" s="87"/>
      <c r="AY311" s="87"/>
      <c r="AZ311" s="87"/>
      <c r="BA311" s="87"/>
      <c r="BB311" s="87"/>
      <c r="BC311" s="87"/>
      <c r="BD311" s="87"/>
      <c r="BE311" s="87"/>
      <c r="BF311" s="87"/>
      <c r="BG311" s="87"/>
      <c r="BH311" s="87"/>
      <c r="BI311" s="87"/>
      <c r="BJ311" s="87"/>
      <c r="BK311" s="87"/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7"/>
      <c r="CF311" s="87"/>
      <c r="CG311" s="87"/>
      <c r="CH311" s="87"/>
      <c r="CI311" s="87"/>
      <c r="CJ311" s="87"/>
      <c r="CK311" s="87"/>
      <c r="CL311" s="87"/>
      <c r="CM311" s="87"/>
      <c r="CN311" s="87"/>
      <c r="CO311" s="87"/>
      <c r="CP311" s="87"/>
      <c r="CQ311" s="87"/>
      <c r="CR311" s="87"/>
      <c r="CS311" s="87"/>
      <c r="CT311" s="87"/>
      <c r="CU311" s="87"/>
      <c r="CV311" s="87"/>
      <c r="CW311" s="87"/>
      <c r="CX311" s="87"/>
      <c r="CY311" s="87"/>
      <c r="CZ311" s="87"/>
      <c r="DA311" s="87"/>
      <c r="DB311" s="87"/>
      <c r="DC311" s="87"/>
      <c r="DD311" s="87"/>
      <c r="DE311" s="8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H10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86" min="2" style="1" width="27"/>
  </cols>
  <sheetData>
    <row r="1" customFormat="false" ht="15" hidden="false" customHeight="true" outlineLevel="0" collapsed="false">
      <c r="A1" s="205" t="s">
        <v>430</v>
      </c>
    </row>
    <row r="2" customFormat="false" ht="15" hidden="false" customHeight="true" outlineLevel="0" collapsed="false">
      <c r="A2" s="140" t="s">
        <v>343</v>
      </c>
      <c r="B2" s="118" t="s">
        <v>356</v>
      </c>
    </row>
    <row r="4" customFormat="false" ht="15" hidden="false" customHeight="true" outlineLevel="0" collapsed="false">
      <c r="A4" s="206" t="s">
        <v>431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</row>
    <row r="5" customFormat="false" ht="15" hidden="false" customHeight="true" outlineLevel="0" collapsed="false">
      <c r="A5" s="140" t="s">
        <v>432</v>
      </c>
      <c r="B5" s="140" t="s">
        <v>430</v>
      </c>
    </row>
    <row r="6" customFormat="false" ht="15" hidden="false" customHeight="true" outlineLevel="0" collapsed="false">
      <c r="A6" s="140" t="s">
        <v>433</v>
      </c>
      <c r="B6" s="140" t="s">
        <v>434</v>
      </c>
    </row>
    <row r="7" customFormat="false" ht="15" hidden="false" customHeight="true" outlineLevel="0" collapsed="false">
      <c r="A7" s="140" t="s">
        <v>435</v>
      </c>
      <c r="B7" s="207" t="n">
        <v>60</v>
      </c>
    </row>
    <row r="8" customFormat="false" ht="15" hidden="false" customHeight="true" outlineLevel="0" collapsed="false">
      <c r="A8" s="140" t="s">
        <v>436</v>
      </c>
      <c r="B8" s="140" t="s">
        <v>437</v>
      </c>
    </row>
    <row r="9" customFormat="false" ht="15" hidden="false" customHeight="true" outlineLevel="0" collapsed="false">
      <c r="A9" s="140" t="s">
        <v>438</v>
      </c>
      <c r="B9" s="208" t="n">
        <v>1400000</v>
      </c>
    </row>
    <row r="10" customFormat="false" ht="15" hidden="false" customHeight="true" outlineLevel="0" collapsed="false">
      <c r="A10" s="140" t="s">
        <v>439</v>
      </c>
      <c r="B10" s="208" t="n">
        <v>1609391</v>
      </c>
    </row>
    <row r="11" customFormat="false" ht="15" hidden="false" customHeight="true" outlineLevel="0" collapsed="false">
      <c r="A11" s="140" t="s">
        <v>440</v>
      </c>
      <c r="B11" s="208" t="n">
        <v>3419763</v>
      </c>
    </row>
    <row r="12" customFormat="false" ht="15" hidden="false" customHeight="true" outlineLevel="0" collapsed="false">
      <c r="A12" s="140" t="s">
        <v>352</v>
      </c>
      <c r="B12" s="209" t="n">
        <f aca="false">B16</f>
        <v>9009665</v>
      </c>
    </row>
    <row r="14" customFormat="false" ht="15" hidden="false" customHeight="true" outlineLevel="0" collapsed="false">
      <c r="A14" s="210" t="s">
        <v>441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</row>
    <row r="15" customFormat="false" ht="15" hidden="false" customHeight="true" outlineLevel="0" collapsed="false">
      <c r="B15" s="211" t="s">
        <v>442</v>
      </c>
      <c r="C15" s="211" t="s">
        <v>199</v>
      </c>
      <c r="D15" s="211" t="s">
        <v>200</v>
      </c>
      <c r="E15" s="211" t="s">
        <v>201</v>
      </c>
      <c r="F15" s="211" t="s">
        <v>202</v>
      </c>
      <c r="G15" s="211" t="s">
        <v>203</v>
      </c>
      <c r="H15" s="211" t="s">
        <v>204</v>
      </c>
      <c r="I15" s="211" t="s">
        <v>205</v>
      </c>
      <c r="J15" s="211" t="s">
        <v>206</v>
      </c>
    </row>
    <row r="16" customFormat="false" ht="15" hidden="false" customHeight="true" outlineLevel="0" collapsed="false">
      <c r="A16" s="140" t="s">
        <v>352</v>
      </c>
      <c r="B16" s="209" t="n">
        <f aca="false">C16+D16+E16+F16+G16+H16+I16+J16</f>
        <v>9009665</v>
      </c>
      <c r="C16" s="208" t="n">
        <f aca="false">SUM(C99:K99)</f>
        <v>0</v>
      </c>
      <c r="D16" s="208" t="n">
        <f aca="false">SUM(L99:W99)</f>
        <v>1084381.66</v>
      </c>
      <c r="E16" s="208" t="n">
        <f aca="false">SUM(X99:AI99)</f>
        <v>3698017.39</v>
      </c>
      <c r="F16" s="208" t="n">
        <f aca="false">SUM(AJ99:AU99)</f>
        <v>2427299.01</v>
      </c>
      <c r="G16" s="208" t="n">
        <f aca="false">SUM(AV99:BG99)</f>
        <v>1369332.42</v>
      </c>
      <c r="H16" s="208" t="n">
        <f aca="false">SUM(BH99:BS99)</f>
        <v>430634.52</v>
      </c>
      <c r="I16" s="208" t="n">
        <f aca="false">SUM(BT99:CE99)</f>
        <v>0</v>
      </c>
      <c r="J16" s="208" t="n">
        <f aca="false">SUM(CF99:CH99)</f>
        <v>0</v>
      </c>
    </row>
    <row r="17" customFormat="false" ht="15" hidden="false" customHeight="true" outlineLevel="0" collapsed="false">
      <c r="A17" s="140" t="s">
        <v>443</v>
      </c>
      <c r="B17" s="209" t="n">
        <f aca="false">C17+D17+E17+F17+G17+H17+I17+J17</f>
        <v>-1500039</v>
      </c>
      <c r="C17" s="208" t="n">
        <f aca="false">SUM(C100:K100)</f>
        <v>0</v>
      </c>
      <c r="D17" s="208" t="n">
        <f aca="false">SUM(L100:W100)</f>
        <v>-202088</v>
      </c>
      <c r="E17" s="208" t="n">
        <f aca="false">SUM(X100:AI100)</f>
        <v>-397927</v>
      </c>
      <c r="F17" s="208" t="n">
        <f aca="false">SUM(AJ100:AU100)</f>
        <v>-450012</v>
      </c>
      <c r="G17" s="208" t="n">
        <f aca="false">SUM(AV100:BG100)</f>
        <v>-450012</v>
      </c>
      <c r="H17" s="208" t="n">
        <f aca="false">SUM(BH100:BS100)</f>
        <v>0</v>
      </c>
      <c r="I17" s="208" t="n">
        <f aca="false">SUM(BT100:CE100)</f>
        <v>0</v>
      </c>
      <c r="J17" s="208" t="n">
        <f aca="false">SUM(CF100:CH100)</f>
        <v>0</v>
      </c>
    </row>
    <row r="18" customFormat="false" ht="15" hidden="false" customHeight="true" outlineLevel="0" collapsed="false">
      <c r="A18" s="140" t="s">
        <v>444</v>
      </c>
      <c r="B18" s="209" t="n">
        <f aca="false">C18+D18+E18+F18+G18+H18+I18+J18</f>
        <v>-456000</v>
      </c>
      <c r="C18" s="208" t="n">
        <f aca="false">SUM(C101:K101)</f>
        <v>0</v>
      </c>
      <c r="D18" s="208" t="n">
        <f aca="false">SUM(L101:W101)</f>
        <v>-114000</v>
      </c>
      <c r="E18" s="208" t="n">
        <f aca="false">SUM(X101:AI101)</f>
        <v>-114000</v>
      </c>
      <c r="F18" s="208" t="n">
        <f aca="false">SUM(AJ101:AU101)</f>
        <v>-114000</v>
      </c>
      <c r="G18" s="208" t="n">
        <f aca="false">SUM(AV101:BG101)</f>
        <v>-114000</v>
      </c>
      <c r="H18" s="208" t="n">
        <f aca="false">SUM(BH101:BS101)</f>
        <v>0</v>
      </c>
      <c r="I18" s="208" t="n">
        <f aca="false">SUM(BT101:CE101)</f>
        <v>0</v>
      </c>
      <c r="J18" s="208" t="n">
        <f aca="false">SUM(CF101:CH101)</f>
        <v>0</v>
      </c>
    </row>
    <row r="19" customFormat="false" ht="15" hidden="false" customHeight="true" outlineLevel="0" collapsed="false">
      <c r="A19" s="212" t="s">
        <v>445</v>
      </c>
      <c r="B19" s="213" t="n">
        <f aca="false">C19+D19+E19+F19+G19+H19+I19+J19</f>
        <v>7053626</v>
      </c>
      <c r="C19" s="213" t="n">
        <f aca="false">SUM(C102:K102)</f>
        <v>0</v>
      </c>
      <c r="D19" s="213" t="n">
        <f aca="false">SUM(L102:W102)</f>
        <v>768293.66</v>
      </c>
      <c r="E19" s="213" t="n">
        <f aca="false">SUM(X102:AI102)</f>
        <v>3186090.39</v>
      </c>
      <c r="F19" s="213" t="n">
        <f aca="false">SUM(AJ102:AU102)</f>
        <v>1863287.01</v>
      </c>
      <c r="G19" s="213" t="n">
        <f aca="false">SUM(AV102:BG102)</f>
        <v>805320.42</v>
      </c>
      <c r="H19" s="213" t="n">
        <f aca="false">SUM(BH102:BS102)</f>
        <v>430634.52</v>
      </c>
      <c r="I19" s="213" t="n">
        <f aca="false">SUM(BT102:CE102)</f>
        <v>0</v>
      </c>
      <c r="J19" s="213" t="n">
        <f aca="false">SUM(CF102:CH102)</f>
        <v>0</v>
      </c>
    </row>
    <row r="20" customFormat="false" ht="15" hidden="false" customHeight="true" outlineLevel="0" collapsed="false">
      <c r="A20" s="140" t="s">
        <v>446</v>
      </c>
      <c r="B20" s="209" t="n">
        <f aca="false">C20+D20+E20+F20+G20+H20+I20+J20</f>
        <v>563192.617</v>
      </c>
      <c r="C20" s="208" t="n">
        <f aca="false">SUM(C103:K103)</f>
        <v>0</v>
      </c>
      <c r="D20" s="208" t="n">
        <f aca="false">SUM(L103:W103)</f>
        <v>93581.82</v>
      </c>
      <c r="E20" s="208" t="n">
        <f aca="false">SUM(X103:AI103)</f>
        <v>150000</v>
      </c>
      <c r="F20" s="208" t="n">
        <f aca="false">SUM(AJ103:AU103)</f>
        <v>148450.302</v>
      </c>
      <c r="G20" s="208" t="n">
        <f aca="false">SUM(AV103:BG103)</f>
        <v>136933.242</v>
      </c>
      <c r="H20" s="208" t="n">
        <f aca="false">SUM(BH103:BS103)</f>
        <v>34227.253</v>
      </c>
      <c r="I20" s="208" t="n">
        <f aca="false">SUM(BT103:CE103)</f>
        <v>0</v>
      </c>
      <c r="J20" s="208" t="n">
        <f aca="false">SUM(CF103:CH103)</f>
        <v>0</v>
      </c>
    </row>
    <row r="21" customFormat="false" ht="15" hidden="false" customHeight="true" outlineLevel="0" collapsed="false">
      <c r="A21" s="212" t="s">
        <v>447</v>
      </c>
      <c r="B21" s="213" t="n">
        <f aca="false">C21+D21+E21+F21+G21+H21+I21+J21</f>
        <v>6490433.383</v>
      </c>
      <c r="C21" s="213" t="n">
        <f aca="false">SUM(C104:K104)</f>
        <v>0</v>
      </c>
      <c r="D21" s="213" t="n">
        <f aca="false">SUM(L104:W104)</f>
        <v>674711.84</v>
      </c>
      <c r="E21" s="213" t="n">
        <f aca="false">SUM(X104:AI104)</f>
        <v>3036090.39</v>
      </c>
      <c r="F21" s="213" t="n">
        <f aca="false">SUM(AJ104:AU104)</f>
        <v>1714836.708</v>
      </c>
      <c r="G21" s="213" t="n">
        <f aca="false">SUM(AV104:BG104)</f>
        <v>668387.178</v>
      </c>
      <c r="H21" s="213" t="n">
        <f aca="false">SUM(BH104:BS104)</f>
        <v>396407.267</v>
      </c>
      <c r="I21" s="213" t="n">
        <f aca="false">SUM(BT104:CE104)</f>
        <v>0</v>
      </c>
      <c r="J21" s="213" t="n">
        <f aca="false">SUM(CF104:CH104)</f>
        <v>0</v>
      </c>
    </row>
    <row r="22" customFormat="false" ht="15" hidden="false" customHeight="true" outlineLevel="0" collapsed="false">
      <c r="A22" s="140" t="s">
        <v>448</v>
      </c>
      <c r="B22" s="209" t="n">
        <f aca="false">C22+D22+E22+F22+G22+H22+I22+J22</f>
        <v>2951665.926</v>
      </c>
      <c r="C22" s="208" t="n">
        <f aca="false">SUM(C105:K105)</f>
        <v>0</v>
      </c>
      <c r="D22" s="208" t="n">
        <f aca="false">SUM(L105:W105)</f>
        <v>269884.736</v>
      </c>
      <c r="E22" s="208" t="n">
        <f aca="false">SUM(X105:AI105)</f>
        <v>1335772.732</v>
      </c>
      <c r="F22" s="208" t="n">
        <f aca="false">SUM(AJ105:AU105)</f>
        <v>813611.2355</v>
      </c>
      <c r="G22" s="208" t="n">
        <f aca="false">SUM(AV105:BG105)</f>
        <v>334193.589</v>
      </c>
      <c r="H22" s="208" t="n">
        <f aca="false">SUM(BH105:BS105)</f>
        <v>198203.6335</v>
      </c>
      <c r="I22" s="208" t="n">
        <f aca="false">SUM(BT105:CE105)</f>
        <v>0</v>
      </c>
      <c r="J22" s="208" t="n">
        <f aca="false">SUM(CF105:CH105)</f>
        <v>0</v>
      </c>
    </row>
    <row r="23" customFormat="false" ht="15" hidden="false" customHeight="true" outlineLevel="0" collapsed="false">
      <c r="A23" s="140" t="s">
        <v>449</v>
      </c>
      <c r="B23" s="209" t="n">
        <f aca="false">C23+D23+E23+F23+G23+H23+I23+J23</f>
        <v>3538767.457</v>
      </c>
      <c r="C23" s="208" t="n">
        <f aca="false">SUM(C106:K106)</f>
        <v>0</v>
      </c>
      <c r="D23" s="208" t="n">
        <f aca="false">SUM(L106:W106)</f>
        <v>404827.104</v>
      </c>
      <c r="E23" s="208" t="n">
        <f aca="false">SUM(X106:AI106)</f>
        <v>1700317.658</v>
      </c>
      <c r="F23" s="208" t="n">
        <f aca="false">SUM(AJ106:AU106)</f>
        <v>901225.4725</v>
      </c>
      <c r="G23" s="208" t="n">
        <f aca="false">SUM(AV106:BG106)</f>
        <v>334193.589</v>
      </c>
      <c r="H23" s="208" t="n">
        <f aca="false">SUM(BH106:BS106)</f>
        <v>198203.6335</v>
      </c>
      <c r="I23" s="208" t="n">
        <f aca="false">SUM(BT106:CE106)</f>
        <v>0</v>
      </c>
      <c r="J23" s="208" t="n">
        <f aca="false">SUM(CF106:CH106)</f>
        <v>0</v>
      </c>
    </row>
    <row r="24" customFormat="false" ht="15" hidden="false" customHeight="true" outlineLevel="0" collapsed="false">
      <c r="A24" s="214" t="s">
        <v>450</v>
      </c>
      <c r="B24" s="215" t="n">
        <f aca="false">C24+D24+E24+F24+G24+H24+I24+J24</f>
        <v>4101960.074</v>
      </c>
      <c r="C24" s="215" t="n">
        <f aca="false">SUM(C107:K107)</f>
        <v>0</v>
      </c>
      <c r="D24" s="215" t="n">
        <f aca="false">SUM(L107:W107)</f>
        <v>498408.924</v>
      </c>
      <c r="E24" s="215" t="n">
        <f aca="false">SUM(X107:AI107)</f>
        <v>1850317.658</v>
      </c>
      <c r="F24" s="215" t="n">
        <f aca="false">SUM(AJ107:AU107)</f>
        <v>1049675.7745</v>
      </c>
      <c r="G24" s="215" t="n">
        <f aca="false">SUM(AV107:BG107)</f>
        <v>471126.831</v>
      </c>
      <c r="H24" s="215" t="n">
        <f aca="false">SUM(BH107:BS107)</f>
        <v>232430.8865</v>
      </c>
      <c r="I24" s="215" t="n">
        <f aca="false">SUM(BT107:CE107)</f>
        <v>0</v>
      </c>
      <c r="J24" s="215" t="n">
        <f aca="false">SUM(CF107:CH107)</f>
        <v>0</v>
      </c>
    </row>
    <row r="26" customFormat="false" ht="15" hidden="false" customHeight="true" outlineLevel="0" collapsed="false">
      <c r="A26" s="216" t="s">
        <v>451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</row>
    <row r="27" customFormat="false" ht="15" hidden="false" customHeight="true" outlineLevel="0" collapsed="false">
      <c r="A27" s="217" t="s">
        <v>452</v>
      </c>
      <c r="B27" s="217" t="s">
        <v>453</v>
      </c>
      <c r="C27" s="217" t="s">
        <v>454</v>
      </c>
      <c r="D27" s="217" t="s">
        <v>438</v>
      </c>
      <c r="E27" s="217" t="s">
        <v>455</v>
      </c>
    </row>
    <row r="28" customFormat="false" ht="15" hidden="false" customHeight="true" outlineLevel="0" collapsed="false">
      <c r="A28" s="140" t="s">
        <v>456</v>
      </c>
      <c r="B28" s="207" t="n">
        <v>6</v>
      </c>
      <c r="C28" s="140" t="s">
        <v>457</v>
      </c>
      <c r="D28" s="208" t="n">
        <v>1400000</v>
      </c>
      <c r="E28" s="218" t="s">
        <v>458</v>
      </c>
    </row>
    <row r="29" customFormat="false" ht="15" hidden="false" customHeight="true" outlineLevel="0" collapsed="false">
      <c r="A29" s="140" t="s">
        <v>459</v>
      </c>
      <c r="B29" s="207" t="n">
        <v>18</v>
      </c>
      <c r="C29" s="140" t="s">
        <v>460</v>
      </c>
      <c r="D29" s="208" t="n">
        <v>1400000</v>
      </c>
      <c r="E29" s="218" t="s">
        <v>461</v>
      </c>
    </row>
    <row r="30" customFormat="false" ht="15" hidden="false" customHeight="true" outlineLevel="0" collapsed="false">
      <c r="A30" s="140" t="s">
        <v>462</v>
      </c>
      <c r="B30" s="207" t="n">
        <v>18</v>
      </c>
      <c r="C30" s="140" t="s">
        <v>463</v>
      </c>
      <c r="D30" s="208" t="n">
        <v>1400000</v>
      </c>
      <c r="E30" s="218" t="s">
        <v>464</v>
      </c>
    </row>
    <row r="31" customFormat="false" ht="15" hidden="false" customHeight="true" outlineLevel="0" collapsed="false">
      <c r="A31" s="140" t="s">
        <v>465</v>
      </c>
      <c r="B31" s="207" t="n">
        <v>18</v>
      </c>
      <c r="C31" s="140" t="s">
        <v>466</v>
      </c>
      <c r="D31" s="208" t="n">
        <v>1400000</v>
      </c>
      <c r="E31" s="218" t="s">
        <v>467</v>
      </c>
    </row>
    <row r="32" customFormat="false" ht="15" hidden="false" customHeight="true" outlineLevel="0" collapsed="false">
      <c r="A32" s="217" t="s">
        <v>442</v>
      </c>
      <c r="B32" s="219" t="n">
        <v>60</v>
      </c>
      <c r="C32" s="217" t="s">
        <v>468</v>
      </c>
      <c r="D32" s="220" t="n">
        <v>1400000</v>
      </c>
    </row>
    <row r="34" customFormat="false" ht="15" hidden="false" customHeight="true" outlineLevel="0" collapsed="false">
      <c r="A34" s="221" t="s">
        <v>469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</row>
    <row r="35" customFormat="false" ht="15" hidden="false" customHeight="true" outlineLevel="0" collapsed="false">
      <c r="A35" s="222" t="s">
        <v>470</v>
      </c>
      <c r="B35" s="222" t="s">
        <v>471</v>
      </c>
      <c r="C35" s="222" t="s">
        <v>472</v>
      </c>
      <c r="D35" s="222" t="s">
        <v>473</v>
      </c>
      <c r="E35" s="222" t="s">
        <v>474</v>
      </c>
      <c r="F35" s="222" t="s">
        <v>475</v>
      </c>
    </row>
    <row r="36" customFormat="false" ht="15" hidden="false" customHeight="true" outlineLevel="0" collapsed="false">
      <c r="A36" s="140" t="s">
        <v>476</v>
      </c>
      <c r="B36" s="140" t="s">
        <v>477</v>
      </c>
      <c r="C36" s="140" t="s">
        <v>478</v>
      </c>
      <c r="D36" s="208" t="n">
        <v>14000</v>
      </c>
      <c r="E36" s="208" t="n">
        <v>840000</v>
      </c>
      <c r="F36" s="223" t="s">
        <v>479</v>
      </c>
    </row>
    <row r="37" customFormat="false" ht="15" hidden="false" customHeight="true" outlineLevel="0" collapsed="false">
      <c r="A37" s="140" t="s">
        <v>480</v>
      </c>
      <c r="B37" s="140" t="s">
        <v>481</v>
      </c>
      <c r="C37" s="140" t="s">
        <v>482</v>
      </c>
      <c r="D37" s="208" t="n">
        <v>96563</v>
      </c>
      <c r="E37" s="208" t="n">
        <v>5793808</v>
      </c>
      <c r="F37" s="223" t="s">
        <v>483</v>
      </c>
    </row>
    <row r="38" customFormat="false" ht="15" hidden="false" customHeight="true" outlineLevel="0" collapsed="false">
      <c r="A38" s="140" t="s">
        <v>484</v>
      </c>
      <c r="B38" s="140" t="s">
        <v>485</v>
      </c>
      <c r="C38" s="140" t="s">
        <v>486</v>
      </c>
      <c r="D38" s="208" t="n">
        <v>5400</v>
      </c>
      <c r="E38" s="208" t="n">
        <v>324000</v>
      </c>
      <c r="F38" s="223" t="s">
        <v>487</v>
      </c>
    </row>
    <row r="39" customFormat="false" ht="15" hidden="false" customHeight="true" outlineLevel="0" collapsed="false">
      <c r="A39" s="140" t="s">
        <v>488</v>
      </c>
      <c r="B39" s="140" t="s">
        <v>477</v>
      </c>
      <c r="C39" s="140" t="s">
        <v>489</v>
      </c>
      <c r="D39" s="208" t="n">
        <v>34198</v>
      </c>
      <c r="E39" s="208" t="n">
        <v>2051858</v>
      </c>
      <c r="F39" s="223" t="s">
        <v>490</v>
      </c>
    </row>
    <row r="40" customFormat="false" ht="15" hidden="false" customHeight="true" outlineLevel="0" collapsed="false">
      <c r="A40" s="222" t="s">
        <v>352</v>
      </c>
      <c r="D40" s="224" t="n">
        <v>150161</v>
      </c>
      <c r="E40" s="224" t="n">
        <v>9009665</v>
      </c>
    </row>
    <row r="42" customFormat="false" ht="15" hidden="false" customHeight="true" outlineLevel="0" collapsed="false">
      <c r="A42" s="225" t="s">
        <v>491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</row>
    <row r="43" customFormat="false" ht="15" hidden="false" customHeight="true" outlineLevel="0" collapsed="false">
      <c r="A43" s="226" t="s">
        <v>362</v>
      </c>
      <c r="B43" s="226" t="s">
        <v>492</v>
      </c>
      <c r="C43" s="226" t="s">
        <v>493</v>
      </c>
      <c r="D43" s="226" t="s">
        <v>494</v>
      </c>
      <c r="E43" s="226" t="s">
        <v>495</v>
      </c>
      <c r="F43" s="226" t="s">
        <v>496</v>
      </c>
      <c r="G43" s="226" t="s">
        <v>497</v>
      </c>
    </row>
    <row r="44" customFormat="false" ht="15" hidden="false" customHeight="true" outlineLevel="0" collapsed="false">
      <c r="A44" s="140" t="s">
        <v>498</v>
      </c>
      <c r="B44" s="208" t="n">
        <v>125000</v>
      </c>
      <c r="C44" s="208" t="n">
        <v>10417</v>
      </c>
      <c r="D44" s="140" t="s">
        <v>499</v>
      </c>
      <c r="E44" s="140" t="s">
        <v>500</v>
      </c>
      <c r="F44" s="140" t="n">
        <v>47</v>
      </c>
      <c r="G44" s="208" t="n">
        <f aca="false">C44*F44</f>
        <v>489599</v>
      </c>
    </row>
    <row r="45" customFormat="false" ht="15" hidden="false" customHeight="true" outlineLevel="0" collapsed="false">
      <c r="A45" s="140" t="s">
        <v>391</v>
      </c>
      <c r="B45" s="208" t="n">
        <v>90000</v>
      </c>
      <c r="C45" s="208" t="n">
        <v>7500</v>
      </c>
      <c r="D45" s="140" t="s">
        <v>501</v>
      </c>
      <c r="E45" s="140" t="s">
        <v>500</v>
      </c>
      <c r="F45" s="140" t="n">
        <v>44</v>
      </c>
      <c r="G45" s="208" t="n">
        <f aca="false">C45*F45</f>
        <v>330000</v>
      </c>
    </row>
    <row r="46" customFormat="false" ht="15" hidden="false" customHeight="true" outlineLevel="0" collapsed="false">
      <c r="A46" s="140" t="s">
        <v>502</v>
      </c>
      <c r="B46" s="208" t="n">
        <v>110000</v>
      </c>
      <c r="C46" s="208" t="n">
        <v>9167</v>
      </c>
      <c r="D46" s="140" t="s">
        <v>503</v>
      </c>
      <c r="E46" s="140" t="s">
        <v>500</v>
      </c>
      <c r="F46" s="140" t="n">
        <v>39</v>
      </c>
      <c r="G46" s="208" t="n">
        <f aca="false">C46*F46</f>
        <v>357513</v>
      </c>
    </row>
    <row r="47" customFormat="false" ht="15" hidden="false" customHeight="true" outlineLevel="0" collapsed="false">
      <c r="A47" s="140" t="s">
        <v>504</v>
      </c>
      <c r="B47" s="208" t="n">
        <v>125000</v>
      </c>
      <c r="C47" s="208" t="n">
        <v>10417</v>
      </c>
      <c r="D47" s="140" t="s">
        <v>505</v>
      </c>
      <c r="E47" s="140" t="s">
        <v>500</v>
      </c>
      <c r="F47" s="140" t="n">
        <v>31</v>
      </c>
      <c r="G47" s="208" t="n">
        <f aca="false">C47*F47</f>
        <v>322927</v>
      </c>
    </row>
    <row r="48" customFormat="false" ht="15" hidden="false" customHeight="true" outlineLevel="0" collapsed="false">
      <c r="A48" s="226" t="s">
        <v>506</v>
      </c>
      <c r="G48" s="227" t="n">
        <f aca="false">SUM(G44:G47)</f>
        <v>1500039</v>
      </c>
    </row>
    <row r="50" customFormat="false" ht="15" hidden="false" customHeight="true" outlineLevel="0" collapsed="false">
      <c r="A50" s="228" t="s">
        <v>507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</row>
    <row r="51" customFormat="false" ht="15" hidden="false" customHeight="true" outlineLevel="0" collapsed="false">
      <c r="A51" s="229" t="s">
        <v>508</v>
      </c>
      <c r="B51" s="229" t="s">
        <v>509</v>
      </c>
      <c r="C51" s="229" t="s">
        <v>493</v>
      </c>
      <c r="D51" s="229" t="s">
        <v>510</v>
      </c>
      <c r="E51" s="229" t="s">
        <v>442</v>
      </c>
    </row>
    <row r="52" customFormat="false" ht="15" hidden="false" customHeight="true" outlineLevel="0" collapsed="false">
      <c r="A52" s="140" t="s">
        <v>511</v>
      </c>
      <c r="B52" s="208" t="n">
        <v>40000</v>
      </c>
      <c r="C52" s="208" t="n">
        <v>3333</v>
      </c>
      <c r="D52" s="140" t="n">
        <v>4</v>
      </c>
      <c r="E52" s="208" t="n">
        <v>160000</v>
      </c>
    </row>
    <row r="53" customFormat="false" ht="15" hidden="false" customHeight="true" outlineLevel="0" collapsed="false">
      <c r="A53" s="140" t="s">
        <v>512</v>
      </c>
      <c r="B53" s="208" t="n">
        <v>20000</v>
      </c>
      <c r="C53" s="208" t="n">
        <v>1667</v>
      </c>
      <c r="D53" s="140" t="n">
        <v>4</v>
      </c>
      <c r="E53" s="208" t="n">
        <v>80000</v>
      </c>
    </row>
    <row r="54" customFormat="false" ht="15" hidden="false" customHeight="true" outlineLevel="0" collapsed="false">
      <c r="A54" s="140" t="s">
        <v>513</v>
      </c>
      <c r="B54" s="208" t="n">
        <v>30000</v>
      </c>
      <c r="C54" s="208" t="n">
        <v>2500</v>
      </c>
      <c r="D54" s="140" t="n">
        <v>4</v>
      </c>
      <c r="E54" s="208" t="n">
        <v>120000</v>
      </c>
    </row>
    <row r="55" customFormat="false" ht="15" hidden="false" customHeight="true" outlineLevel="0" collapsed="false">
      <c r="A55" s="140" t="s">
        <v>514</v>
      </c>
      <c r="B55" s="208" t="n">
        <v>24000</v>
      </c>
      <c r="C55" s="208" t="n">
        <v>2000</v>
      </c>
      <c r="D55" s="140" t="n">
        <v>4</v>
      </c>
      <c r="E55" s="208" t="n">
        <v>96000</v>
      </c>
    </row>
    <row r="56" customFormat="false" ht="15" hidden="false" customHeight="true" outlineLevel="0" collapsed="false">
      <c r="A56" s="229" t="s">
        <v>515</v>
      </c>
      <c r="E56" s="230" t="n">
        <v>456000</v>
      </c>
    </row>
    <row r="57" customFormat="false" ht="15" hidden="false" customHeight="true" outlineLevel="0" collapsed="false">
      <c r="A57" s="231" t="s">
        <v>516</v>
      </c>
    </row>
    <row r="59" customFormat="false" ht="15" hidden="false" customHeight="true" outlineLevel="0" collapsed="false">
      <c r="A59" s="232" t="s">
        <v>517</v>
      </c>
      <c r="B59" s="232"/>
      <c r="C59" s="232"/>
      <c r="D59" s="232"/>
      <c r="E59" s="232"/>
      <c r="F59" s="232"/>
      <c r="G59" s="232"/>
      <c r="H59" s="232"/>
      <c r="I59" s="232"/>
      <c r="J59" s="232"/>
      <c r="K59" s="232"/>
    </row>
    <row r="60" customFormat="false" ht="15" hidden="false" customHeight="true" outlineLevel="0" collapsed="false">
      <c r="A60" s="140" t="s">
        <v>518</v>
      </c>
      <c r="B60" s="208" t="n">
        <f aca="false">B16</f>
        <v>9009665</v>
      </c>
    </row>
    <row r="61" customFormat="false" ht="15" hidden="false" customHeight="true" outlineLevel="0" collapsed="false">
      <c r="A61" s="140" t="s">
        <v>443</v>
      </c>
      <c r="B61" s="208" t="n">
        <f aca="false">B17</f>
        <v>-1500039</v>
      </c>
    </row>
    <row r="62" customFormat="false" ht="15" hidden="false" customHeight="true" outlineLevel="0" collapsed="false">
      <c r="A62" s="140" t="s">
        <v>444</v>
      </c>
      <c r="B62" s="208" t="n">
        <f aca="false">B18</f>
        <v>-456000</v>
      </c>
    </row>
    <row r="63" customFormat="false" ht="15" hidden="false" customHeight="true" outlineLevel="0" collapsed="false">
      <c r="A63" s="217" t="s">
        <v>445</v>
      </c>
      <c r="B63" s="220" t="n">
        <f aca="false">B60+B61+B62</f>
        <v>7053626</v>
      </c>
    </row>
    <row r="64" customFormat="false" ht="15" hidden="false" customHeight="true" outlineLevel="0" collapsed="false">
      <c r="A64" s="140" t="s">
        <v>519</v>
      </c>
      <c r="B64" s="208" t="n">
        <f aca="false">-B20</f>
        <v>-563192.617</v>
      </c>
    </row>
    <row r="65" customFormat="false" ht="15" hidden="false" customHeight="true" outlineLevel="0" collapsed="false">
      <c r="A65" s="217" t="s">
        <v>447</v>
      </c>
      <c r="B65" s="220" t="n">
        <f aca="false">B63+B64</f>
        <v>6490433.383</v>
      </c>
    </row>
    <row r="66" customFormat="false" ht="15" hidden="false" customHeight="true" outlineLevel="0" collapsed="false">
      <c r="A66" s="140" t="s">
        <v>520</v>
      </c>
      <c r="B66" s="208" t="n">
        <f aca="false">-B22</f>
        <v>-2951665.926</v>
      </c>
    </row>
    <row r="67" customFormat="false" ht="15" hidden="false" customHeight="true" outlineLevel="0" collapsed="false">
      <c r="A67" s="217" t="s">
        <v>449</v>
      </c>
      <c r="B67" s="220" t="n">
        <f aca="false">B65+B66</f>
        <v>3538767.457</v>
      </c>
    </row>
    <row r="68" customFormat="false" ht="15" hidden="false" customHeight="true" outlineLevel="0" collapsed="false">
      <c r="A68" s="140" t="s">
        <v>446</v>
      </c>
      <c r="B68" s="208" t="n">
        <f aca="false">B20</f>
        <v>563192.617</v>
      </c>
    </row>
    <row r="69" customFormat="false" ht="15" hidden="false" customHeight="true" outlineLevel="0" collapsed="false">
      <c r="A69" s="217" t="s">
        <v>450</v>
      </c>
      <c r="B69" s="220" t="n">
        <f aca="false">B67+B68</f>
        <v>4101960.074</v>
      </c>
    </row>
    <row r="71" customFormat="false" ht="15" hidden="false" customHeight="true" outlineLevel="0" collapsed="false">
      <c r="A71" s="221" t="s">
        <v>521</v>
      </c>
      <c r="B71" s="221"/>
      <c r="C71" s="221"/>
      <c r="D71" s="221"/>
      <c r="E71" s="221"/>
      <c r="F71" s="221"/>
      <c r="G71" s="221"/>
      <c r="H71" s="221"/>
      <c r="I71" s="221"/>
      <c r="J71" s="221"/>
      <c r="K71" s="221"/>
    </row>
    <row r="72" customFormat="false" ht="15" hidden="false" customHeight="true" outlineLevel="0" collapsed="false">
      <c r="A72" s="222" t="s">
        <v>361</v>
      </c>
      <c r="B72" s="222" t="s">
        <v>362</v>
      </c>
      <c r="C72" s="222" t="s">
        <v>522</v>
      </c>
    </row>
    <row r="73" customFormat="false" ht="31.5" hidden="false" customHeight="true" outlineLevel="0" collapsed="false">
      <c r="A73" s="118" t="s">
        <v>422</v>
      </c>
      <c r="B73" s="140" t="s">
        <v>523</v>
      </c>
      <c r="C73" s="233" t="s">
        <v>524</v>
      </c>
      <c r="D73" s="233"/>
      <c r="E73" s="233"/>
      <c r="F73" s="233"/>
      <c r="G73" s="233"/>
    </row>
    <row r="74" customFormat="false" ht="31.5" hidden="false" customHeight="true" outlineLevel="0" collapsed="false">
      <c r="A74" s="118" t="s">
        <v>415</v>
      </c>
      <c r="B74" s="140" t="s">
        <v>525</v>
      </c>
      <c r="C74" s="233" t="s">
        <v>526</v>
      </c>
      <c r="D74" s="233"/>
      <c r="E74" s="233"/>
      <c r="F74" s="233"/>
      <c r="G74" s="233"/>
    </row>
    <row r="75" customFormat="false" ht="31.5" hidden="false" customHeight="true" outlineLevel="0" collapsed="false">
      <c r="A75" s="118" t="s">
        <v>424</v>
      </c>
      <c r="B75" s="140" t="s">
        <v>527</v>
      </c>
      <c r="C75" s="233" t="s">
        <v>528</v>
      </c>
      <c r="D75" s="233"/>
      <c r="E75" s="233"/>
      <c r="F75" s="233"/>
      <c r="G75" s="233"/>
    </row>
    <row r="76" customFormat="false" ht="31.5" hidden="false" customHeight="true" outlineLevel="0" collapsed="false">
      <c r="A76" s="118" t="s">
        <v>428</v>
      </c>
      <c r="B76" s="140" t="s">
        <v>529</v>
      </c>
      <c r="C76" s="233" t="s">
        <v>530</v>
      </c>
      <c r="D76" s="233"/>
      <c r="E76" s="233"/>
      <c r="F76" s="233"/>
      <c r="G76" s="233"/>
    </row>
    <row r="77" customFormat="false" ht="31.5" hidden="false" customHeight="true" outlineLevel="0" collapsed="false">
      <c r="A77" s="118" t="s">
        <v>426</v>
      </c>
      <c r="B77" s="140" t="s">
        <v>529</v>
      </c>
      <c r="C77" s="233" t="s">
        <v>531</v>
      </c>
      <c r="D77" s="233"/>
      <c r="E77" s="233"/>
      <c r="F77" s="233"/>
      <c r="G77" s="233"/>
    </row>
    <row r="78" customFormat="false" ht="31.5" hidden="false" customHeight="true" outlineLevel="0" collapsed="false">
      <c r="A78" s="118" t="s">
        <v>420</v>
      </c>
      <c r="B78" s="140" t="s">
        <v>532</v>
      </c>
      <c r="C78" s="233" t="s">
        <v>533</v>
      </c>
      <c r="D78" s="233"/>
      <c r="E78" s="233"/>
      <c r="F78" s="233"/>
      <c r="G78" s="233"/>
    </row>
    <row r="80" customFormat="false" ht="15" hidden="false" customHeight="true" outlineLevel="0" collapsed="false">
      <c r="A80" s="234" t="s">
        <v>534</v>
      </c>
      <c r="B80" s="234"/>
      <c r="C80" s="234"/>
      <c r="D80" s="234"/>
      <c r="E80" s="234"/>
      <c r="F80" s="234"/>
      <c r="G80" s="234"/>
      <c r="H80" s="234"/>
      <c r="I80" s="234"/>
      <c r="J80" s="234"/>
      <c r="K80" s="234"/>
    </row>
    <row r="81" customFormat="false" ht="27.75" hidden="false" customHeight="true" outlineLevel="0" collapsed="false">
      <c r="A81" s="118" t="s">
        <v>535</v>
      </c>
      <c r="B81" s="233" t="s">
        <v>536</v>
      </c>
      <c r="C81" s="233"/>
      <c r="D81" s="233"/>
      <c r="E81" s="233"/>
      <c r="F81" s="233"/>
      <c r="G81" s="233"/>
    </row>
    <row r="82" customFormat="false" ht="27.75" hidden="false" customHeight="true" outlineLevel="0" collapsed="false">
      <c r="A82" s="118" t="s">
        <v>537</v>
      </c>
      <c r="B82" s="233" t="s">
        <v>538</v>
      </c>
      <c r="C82" s="233"/>
      <c r="D82" s="233"/>
      <c r="E82" s="233"/>
      <c r="F82" s="233"/>
      <c r="G82" s="233"/>
    </row>
    <row r="83" customFormat="false" ht="27.75" hidden="false" customHeight="true" outlineLevel="0" collapsed="false">
      <c r="A83" s="118" t="s">
        <v>539</v>
      </c>
      <c r="B83" s="233" t="s">
        <v>540</v>
      </c>
      <c r="C83" s="233"/>
      <c r="D83" s="233"/>
      <c r="E83" s="233"/>
      <c r="F83" s="233"/>
      <c r="G83" s="233"/>
    </row>
    <row r="84" customFormat="false" ht="27.75" hidden="false" customHeight="true" outlineLevel="0" collapsed="false">
      <c r="A84" s="118" t="s">
        <v>541</v>
      </c>
      <c r="B84" s="233" t="s">
        <v>542</v>
      </c>
      <c r="C84" s="233"/>
      <c r="D84" s="233"/>
      <c r="E84" s="233"/>
      <c r="F84" s="233"/>
      <c r="G84" s="233"/>
    </row>
    <row r="85" customFormat="false" ht="27.75" hidden="false" customHeight="true" outlineLevel="0" collapsed="false">
      <c r="A85" s="118" t="s">
        <v>543</v>
      </c>
      <c r="B85" s="233" t="s">
        <v>544</v>
      </c>
      <c r="C85" s="233"/>
      <c r="D85" s="233"/>
      <c r="E85" s="233"/>
      <c r="F85" s="233"/>
      <c r="G85" s="233"/>
    </row>
    <row r="86" customFormat="false" ht="27.75" hidden="false" customHeight="true" outlineLevel="0" collapsed="false">
      <c r="A86" s="118" t="s">
        <v>545</v>
      </c>
      <c r="B86" s="233" t="s">
        <v>546</v>
      </c>
      <c r="C86" s="233"/>
      <c r="D86" s="233"/>
      <c r="E86" s="233"/>
      <c r="F86" s="233"/>
      <c r="G86" s="233"/>
    </row>
    <row r="87" customFormat="false" ht="27.75" hidden="false" customHeight="true" outlineLevel="0" collapsed="false">
      <c r="A87" s="118" t="s">
        <v>547</v>
      </c>
      <c r="B87" s="233" t="s">
        <v>548</v>
      </c>
      <c r="C87" s="233"/>
      <c r="D87" s="233"/>
      <c r="E87" s="233"/>
      <c r="F87" s="233"/>
      <c r="G87" s="233"/>
    </row>
    <row r="88" customFormat="false" ht="27.75" hidden="false" customHeight="true" outlineLevel="0" collapsed="false">
      <c r="A88" s="118" t="s">
        <v>549</v>
      </c>
      <c r="B88" s="233" t="s">
        <v>550</v>
      </c>
      <c r="C88" s="233"/>
      <c r="D88" s="233"/>
      <c r="E88" s="233"/>
      <c r="F88" s="233"/>
      <c r="G88" s="233"/>
    </row>
    <row r="89" customFormat="false" ht="27.75" hidden="false" customHeight="true" outlineLevel="0" collapsed="false">
      <c r="A89" s="118" t="s">
        <v>551</v>
      </c>
      <c r="B89" s="233" t="s">
        <v>552</v>
      </c>
      <c r="C89" s="233"/>
      <c r="D89" s="233"/>
      <c r="E89" s="233"/>
      <c r="F89" s="233"/>
      <c r="G89" s="233"/>
    </row>
    <row r="90" customFormat="false" ht="27.75" hidden="false" customHeight="true" outlineLevel="0" collapsed="false">
      <c r="A90" s="118" t="s">
        <v>553</v>
      </c>
      <c r="B90" s="233" t="s">
        <v>554</v>
      </c>
      <c r="C90" s="233"/>
      <c r="D90" s="233"/>
      <c r="E90" s="233"/>
      <c r="F90" s="233"/>
      <c r="G90" s="233"/>
    </row>
    <row r="91" customFormat="false" ht="15" hidden="false" customHeight="true" outlineLevel="0" collapsed="false">
      <c r="A91" s="3" t="s">
        <v>555</v>
      </c>
      <c r="B91" s="3" t="s">
        <v>556</v>
      </c>
    </row>
    <row r="93" customFormat="false" ht="15" hidden="false" customHeight="true" outlineLevel="0" collapsed="false">
      <c r="A93" s="216" t="s">
        <v>557</v>
      </c>
      <c r="B93" s="216"/>
      <c r="C93" s="216"/>
      <c r="D93" s="216"/>
      <c r="E93" s="216"/>
      <c r="F93" s="216"/>
      <c r="G93" s="216"/>
      <c r="H93" s="216"/>
      <c r="I93" s="216"/>
      <c r="J93" s="216"/>
      <c r="K93" s="216"/>
    </row>
    <row r="94" customFormat="false" ht="15" hidden="false" customHeight="true" outlineLevel="0" collapsed="false">
      <c r="A94" s="140" t="s">
        <v>558</v>
      </c>
      <c r="B94" s="235" t="n">
        <v>0.1</v>
      </c>
    </row>
    <row r="95" customFormat="false" ht="15" hidden="false" customHeight="true" outlineLevel="0" collapsed="false">
      <c r="A95" s="140" t="s">
        <v>559</v>
      </c>
      <c r="B95" s="235" t="n">
        <v>150000</v>
      </c>
    </row>
    <row r="96" customFormat="false" ht="15" hidden="false" customHeight="true" outlineLevel="0" collapsed="false">
      <c r="A96" s="3" t="s">
        <v>560</v>
      </c>
      <c r="B96" s="3" t="s">
        <v>561</v>
      </c>
    </row>
    <row r="97" customFormat="false" ht="15" hidden="false" customHeight="true" outlineLevel="0" collapsed="false">
      <c r="A97" s="232" t="s">
        <v>562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customFormat="false" ht="15" hidden="false" customHeight="true" outlineLevel="0" collapsed="false">
      <c r="A98" s="3"/>
      <c r="C98" s="120" t="n">
        <v>1</v>
      </c>
      <c r="D98" s="120" t="n">
        <v>2</v>
      </c>
      <c r="E98" s="120" t="n">
        <v>3</v>
      </c>
      <c r="F98" s="120" t="n">
        <v>4</v>
      </c>
      <c r="G98" s="120" t="n">
        <v>5</v>
      </c>
      <c r="H98" s="120" t="n">
        <v>6</v>
      </c>
      <c r="I98" s="120" t="n">
        <v>7</v>
      </c>
      <c r="J98" s="120" t="n">
        <v>8</v>
      </c>
      <c r="K98" s="120" t="n">
        <v>9</v>
      </c>
      <c r="L98" s="120" t="n">
        <v>10</v>
      </c>
      <c r="M98" s="120" t="n">
        <v>11</v>
      </c>
      <c r="N98" s="120" t="n">
        <v>12</v>
      </c>
      <c r="O98" s="120" t="n">
        <v>13</v>
      </c>
      <c r="P98" s="120" t="n">
        <v>14</v>
      </c>
      <c r="Q98" s="120" t="n">
        <v>15</v>
      </c>
      <c r="R98" s="120" t="n">
        <v>16</v>
      </c>
      <c r="S98" s="120" t="n">
        <v>17</v>
      </c>
      <c r="T98" s="120" t="n">
        <v>18</v>
      </c>
      <c r="U98" s="120" t="n">
        <v>19</v>
      </c>
      <c r="V98" s="120" t="n">
        <v>20</v>
      </c>
      <c r="W98" s="120" t="n">
        <v>21</v>
      </c>
      <c r="X98" s="120" t="n">
        <v>22</v>
      </c>
      <c r="Y98" s="120" t="n">
        <v>23</v>
      </c>
      <c r="Z98" s="120" t="n">
        <v>24</v>
      </c>
      <c r="AA98" s="120" t="n">
        <v>25</v>
      </c>
      <c r="AB98" s="120" t="n">
        <v>26</v>
      </c>
      <c r="AC98" s="120" t="n">
        <v>27</v>
      </c>
      <c r="AD98" s="120" t="n">
        <v>28</v>
      </c>
      <c r="AE98" s="120" t="n">
        <v>29</v>
      </c>
      <c r="AF98" s="120" t="n">
        <v>30</v>
      </c>
      <c r="AG98" s="120" t="n">
        <v>31</v>
      </c>
      <c r="AH98" s="120" t="n">
        <v>32</v>
      </c>
      <c r="AI98" s="120" t="n">
        <v>33</v>
      </c>
      <c r="AJ98" s="120" t="n">
        <v>34</v>
      </c>
      <c r="AK98" s="120" t="n">
        <v>35</v>
      </c>
      <c r="AL98" s="120" t="n">
        <v>36</v>
      </c>
      <c r="AM98" s="120" t="n">
        <v>37</v>
      </c>
      <c r="AN98" s="120" t="n">
        <v>38</v>
      </c>
      <c r="AO98" s="120" t="n">
        <v>39</v>
      </c>
      <c r="AP98" s="120" t="n">
        <v>40</v>
      </c>
      <c r="AQ98" s="120" t="n">
        <v>41</v>
      </c>
      <c r="AR98" s="120" t="n">
        <v>42</v>
      </c>
      <c r="AS98" s="120" t="n">
        <v>43</v>
      </c>
      <c r="AT98" s="120" t="n">
        <v>44</v>
      </c>
      <c r="AU98" s="120" t="n">
        <v>45</v>
      </c>
      <c r="AV98" s="120" t="n">
        <v>46</v>
      </c>
      <c r="AW98" s="120" t="n">
        <v>47</v>
      </c>
      <c r="AX98" s="120" t="n">
        <v>48</v>
      </c>
      <c r="AY98" s="120" t="n">
        <v>49</v>
      </c>
      <c r="AZ98" s="120" t="n">
        <v>50</v>
      </c>
      <c r="BA98" s="120" t="n">
        <v>51</v>
      </c>
      <c r="BB98" s="120" t="n">
        <v>52</v>
      </c>
      <c r="BC98" s="120" t="n">
        <v>53</v>
      </c>
      <c r="BD98" s="120" t="n">
        <v>54</v>
      </c>
      <c r="BE98" s="120" t="n">
        <v>55</v>
      </c>
      <c r="BF98" s="120" t="n">
        <v>56</v>
      </c>
      <c r="BG98" s="120" t="n">
        <v>57</v>
      </c>
      <c r="BH98" s="120" t="n">
        <v>58</v>
      </c>
      <c r="BI98" s="120" t="n">
        <v>59</v>
      </c>
      <c r="BJ98" s="120" t="n">
        <v>60</v>
      </c>
      <c r="BK98" s="120" t="n">
        <v>61</v>
      </c>
      <c r="BL98" s="120" t="n">
        <v>62</v>
      </c>
      <c r="BM98" s="120" t="n">
        <v>63</v>
      </c>
      <c r="BN98" s="120" t="n">
        <v>64</v>
      </c>
      <c r="BO98" s="120" t="n">
        <v>65</v>
      </c>
      <c r="BP98" s="120" t="n">
        <v>66</v>
      </c>
      <c r="BQ98" s="120" t="n">
        <v>67</v>
      </c>
      <c r="BR98" s="120" t="n">
        <v>68</v>
      </c>
      <c r="BS98" s="120" t="n">
        <v>69</v>
      </c>
      <c r="BT98" s="120" t="n">
        <v>70</v>
      </c>
      <c r="BU98" s="120" t="n">
        <v>71</v>
      </c>
      <c r="BV98" s="120" t="n">
        <v>72</v>
      </c>
      <c r="BW98" s="120" t="n">
        <v>73</v>
      </c>
      <c r="BX98" s="120" t="n">
        <v>74</v>
      </c>
      <c r="BY98" s="120" t="n">
        <v>75</v>
      </c>
      <c r="BZ98" s="120" t="n">
        <v>76</v>
      </c>
      <c r="CA98" s="120" t="n">
        <v>77</v>
      </c>
      <c r="CB98" s="120" t="n">
        <v>78</v>
      </c>
      <c r="CC98" s="120" t="n">
        <v>79</v>
      </c>
      <c r="CD98" s="120" t="n">
        <v>80</v>
      </c>
      <c r="CE98" s="120" t="n">
        <v>81</v>
      </c>
      <c r="CF98" s="120" t="n">
        <v>82</v>
      </c>
      <c r="CG98" s="120" t="n">
        <v>83</v>
      </c>
      <c r="CH98" s="120" t="n">
        <v>84</v>
      </c>
    </row>
    <row r="99" customFormat="false" ht="15" hidden="false" customHeight="true" outlineLevel="0" collapsed="false">
      <c r="A99" s="120" t="s">
        <v>352</v>
      </c>
      <c r="B99" s="236" t="n">
        <f aca="false">SUM(C99:CH99)</f>
        <v>9009665</v>
      </c>
      <c r="C99" s="3"/>
      <c r="D99" s="3"/>
      <c r="E99" s="3"/>
      <c r="F99" s="3"/>
      <c r="G99" s="3"/>
      <c r="H99" s="3"/>
      <c r="I99" s="3"/>
      <c r="J99" s="3"/>
      <c r="K99" s="3"/>
      <c r="L99" s="237" t="n">
        <v>45050.36</v>
      </c>
      <c r="M99" s="237" t="n">
        <v>45050.36</v>
      </c>
      <c r="N99" s="237" t="n">
        <v>45050.36</v>
      </c>
      <c r="O99" s="237" t="n">
        <v>45050.36</v>
      </c>
      <c r="P99" s="237" t="n">
        <v>45050.36</v>
      </c>
      <c r="Q99" s="237" t="n">
        <v>45050.36</v>
      </c>
      <c r="R99" s="237" t="n">
        <v>70944.52</v>
      </c>
      <c r="S99" s="237" t="n">
        <v>96838.68</v>
      </c>
      <c r="T99" s="237" t="n">
        <v>122732.84</v>
      </c>
      <c r="U99" s="237" t="n">
        <v>148626.99</v>
      </c>
      <c r="V99" s="237" t="n">
        <v>174521.16</v>
      </c>
      <c r="W99" s="237" t="n">
        <v>200415.31</v>
      </c>
      <c r="X99" s="237" t="n">
        <v>226309.46</v>
      </c>
      <c r="Y99" s="237" t="n">
        <v>252203.62</v>
      </c>
      <c r="Z99" s="237" t="n">
        <v>278097.79</v>
      </c>
      <c r="AA99" s="237" t="n">
        <v>303991.94</v>
      </c>
      <c r="AB99" s="237" t="n">
        <v>329886.11</v>
      </c>
      <c r="AC99" s="237" t="n">
        <v>400830.61</v>
      </c>
      <c r="AD99" s="237" t="n">
        <v>311512.01</v>
      </c>
      <c r="AE99" s="237" t="n">
        <v>312294.13</v>
      </c>
      <c r="AF99" s="237" t="n">
        <v>313076.23</v>
      </c>
      <c r="AG99" s="237" t="n">
        <v>313858.34</v>
      </c>
      <c r="AH99" s="237" t="n">
        <v>314640.44</v>
      </c>
      <c r="AI99" s="237" t="n">
        <v>341316.71</v>
      </c>
      <c r="AJ99" s="237" t="n">
        <v>316204.67</v>
      </c>
      <c r="AK99" s="237" t="n">
        <v>291092.62</v>
      </c>
      <c r="AL99" s="237" t="n">
        <v>265980.57</v>
      </c>
      <c r="AM99" s="237" t="n">
        <v>240868.51</v>
      </c>
      <c r="AN99" s="237" t="n">
        <v>215756.47</v>
      </c>
      <c r="AO99" s="237" t="n">
        <v>190644.42</v>
      </c>
      <c r="AP99" s="237" t="n">
        <v>165532.36</v>
      </c>
      <c r="AQ99" s="237" t="n">
        <v>140420.32</v>
      </c>
      <c r="AR99" s="237" t="n">
        <v>115308.27</v>
      </c>
      <c r="AS99" s="237" t="n">
        <v>196095.1</v>
      </c>
      <c r="AT99" s="237" t="n">
        <v>170200.95</v>
      </c>
      <c r="AU99" s="237" t="n">
        <v>119194.75</v>
      </c>
      <c r="AV99" s="237" t="n">
        <v>118412.64</v>
      </c>
      <c r="AW99" s="237" t="n">
        <v>117630.52</v>
      </c>
      <c r="AX99" s="237" t="n">
        <v>116848.42</v>
      </c>
      <c r="AY99" s="237" t="n">
        <v>116066.31</v>
      </c>
      <c r="AZ99" s="237" t="n">
        <v>115284.2</v>
      </c>
      <c r="BA99" s="237" t="n">
        <v>114502.09</v>
      </c>
      <c r="BB99" s="237" t="n">
        <v>113719.98</v>
      </c>
      <c r="BC99" s="237" t="n">
        <v>112937.87</v>
      </c>
      <c r="BD99" s="237" t="n">
        <v>112155.76</v>
      </c>
      <c r="BE99" s="237" t="n">
        <v>111373.65</v>
      </c>
      <c r="BF99" s="237" t="n">
        <v>110591.54</v>
      </c>
      <c r="BG99" s="237" t="n">
        <v>109809.44</v>
      </c>
      <c r="BH99" s="237" t="n">
        <v>109027.32</v>
      </c>
      <c r="BI99" s="237" t="n">
        <v>108245.21</v>
      </c>
      <c r="BJ99" s="237" t="n">
        <v>213361.99</v>
      </c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customFormat="false" ht="15" hidden="false" customHeight="true" outlineLevel="0" collapsed="false">
      <c r="A100" s="120" t="s">
        <v>443</v>
      </c>
      <c r="B100" s="236" t="n">
        <f aca="false">SUM(C100:CH100)</f>
        <v>-1500039</v>
      </c>
      <c r="C100" s="3" t="n">
        <v>0</v>
      </c>
      <c r="D100" s="3" t="n">
        <v>0</v>
      </c>
      <c r="E100" s="3" t="n">
        <v>0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237" t="n">
        <v>0</v>
      </c>
      <c r="M100" s="237" t="n">
        <v>-10417</v>
      </c>
      <c r="N100" s="237" t="n">
        <v>-10417</v>
      </c>
      <c r="O100" s="237" t="n">
        <v>-10417</v>
      </c>
      <c r="P100" s="237" t="n">
        <v>-17917</v>
      </c>
      <c r="Q100" s="237" t="n">
        <v>-17917</v>
      </c>
      <c r="R100" s="237" t="n">
        <v>-17917</v>
      </c>
      <c r="S100" s="237" t="n">
        <v>-17917</v>
      </c>
      <c r="T100" s="237" t="n">
        <v>-17917</v>
      </c>
      <c r="U100" s="237" t="n">
        <v>-27084</v>
      </c>
      <c r="V100" s="237" t="n">
        <v>-27084</v>
      </c>
      <c r="W100" s="237" t="n">
        <v>-27084</v>
      </c>
      <c r="X100" s="237" t="n">
        <v>-27084</v>
      </c>
      <c r="Y100" s="237" t="n">
        <v>-27084</v>
      </c>
      <c r="Z100" s="237" t="n">
        <v>-27084</v>
      </c>
      <c r="AA100" s="237" t="n">
        <v>-27084</v>
      </c>
      <c r="AB100" s="237" t="n">
        <v>-27084</v>
      </c>
      <c r="AC100" s="237" t="n">
        <v>-37501</v>
      </c>
      <c r="AD100" s="237" t="n">
        <v>-37501</v>
      </c>
      <c r="AE100" s="237" t="n">
        <v>-37501</v>
      </c>
      <c r="AF100" s="237" t="n">
        <v>-37501</v>
      </c>
      <c r="AG100" s="237" t="n">
        <v>-37501</v>
      </c>
      <c r="AH100" s="237" t="n">
        <v>-37501</v>
      </c>
      <c r="AI100" s="237" t="n">
        <v>-37501</v>
      </c>
      <c r="AJ100" s="237" t="n">
        <v>-37501</v>
      </c>
      <c r="AK100" s="237" t="n">
        <v>-37501</v>
      </c>
      <c r="AL100" s="237" t="n">
        <v>-37501</v>
      </c>
      <c r="AM100" s="237" t="n">
        <v>-37501</v>
      </c>
      <c r="AN100" s="237" t="n">
        <v>-37501</v>
      </c>
      <c r="AO100" s="237" t="n">
        <v>-37501</v>
      </c>
      <c r="AP100" s="237" t="n">
        <v>-37501</v>
      </c>
      <c r="AQ100" s="237" t="n">
        <v>-37501</v>
      </c>
      <c r="AR100" s="237" t="n">
        <v>-37501</v>
      </c>
      <c r="AS100" s="237" t="n">
        <v>-37501</v>
      </c>
      <c r="AT100" s="237" t="n">
        <v>-37501</v>
      </c>
      <c r="AU100" s="237" t="n">
        <v>-37501</v>
      </c>
      <c r="AV100" s="237" t="n">
        <v>-37501</v>
      </c>
      <c r="AW100" s="237" t="n">
        <v>-37501</v>
      </c>
      <c r="AX100" s="237" t="n">
        <v>-37501</v>
      </c>
      <c r="AY100" s="237" t="n">
        <v>-37501</v>
      </c>
      <c r="AZ100" s="237" t="n">
        <v>-37501</v>
      </c>
      <c r="BA100" s="237" t="n">
        <v>-37501</v>
      </c>
      <c r="BB100" s="237" t="n">
        <v>-37501</v>
      </c>
      <c r="BC100" s="237" t="n">
        <v>-37501</v>
      </c>
      <c r="BD100" s="237" t="n">
        <v>-37501</v>
      </c>
      <c r="BE100" s="237" t="n">
        <v>-37501</v>
      </c>
      <c r="BF100" s="237" t="n">
        <v>-37501</v>
      </c>
      <c r="BG100" s="237" t="n">
        <v>-37501</v>
      </c>
      <c r="BH100" s="3" t="n">
        <v>0</v>
      </c>
      <c r="BI100" s="3" t="n">
        <v>0</v>
      </c>
      <c r="BJ100" s="3" t="n">
        <v>0</v>
      </c>
      <c r="BK100" s="3" t="n">
        <v>0</v>
      </c>
      <c r="BL100" s="3" t="n">
        <v>0</v>
      </c>
      <c r="BM100" s="3" t="n">
        <v>0</v>
      </c>
      <c r="BN100" s="3" t="n">
        <v>0</v>
      </c>
      <c r="BO100" s="3" t="n">
        <v>0</v>
      </c>
      <c r="BP100" s="3" t="n">
        <v>0</v>
      </c>
      <c r="BQ100" s="3" t="n">
        <v>0</v>
      </c>
      <c r="BR100" s="3" t="n">
        <v>0</v>
      </c>
      <c r="BS100" s="3" t="n">
        <v>0</v>
      </c>
      <c r="BT100" s="3" t="n">
        <v>0</v>
      </c>
      <c r="BU100" s="3" t="n">
        <v>0</v>
      </c>
      <c r="BV100" s="3" t="n">
        <v>0</v>
      </c>
      <c r="BW100" s="3" t="n">
        <v>0</v>
      </c>
      <c r="BX100" s="3" t="n">
        <v>0</v>
      </c>
      <c r="BY100" s="3" t="n">
        <v>0</v>
      </c>
      <c r="BZ100" s="3" t="n">
        <v>0</v>
      </c>
      <c r="CA100" s="3" t="n">
        <v>0</v>
      </c>
      <c r="CB100" s="3" t="n">
        <v>0</v>
      </c>
      <c r="CC100" s="3" t="n">
        <v>0</v>
      </c>
      <c r="CD100" s="3" t="n">
        <v>0</v>
      </c>
      <c r="CE100" s="3" t="n">
        <v>0</v>
      </c>
      <c r="CF100" s="3" t="n">
        <v>0</v>
      </c>
      <c r="CG100" s="3" t="n">
        <v>0</v>
      </c>
      <c r="CH100" s="3"/>
    </row>
    <row r="101" customFormat="false" ht="15" hidden="false" customHeight="true" outlineLevel="0" collapsed="false">
      <c r="A101" s="120" t="s">
        <v>444</v>
      </c>
      <c r="B101" s="236" t="n">
        <f aca="false">SUM(C101:CH101)</f>
        <v>-456000</v>
      </c>
      <c r="C101" s="3"/>
      <c r="D101" s="3"/>
      <c r="E101" s="3"/>
      <c r="F101" s="3"/>
      <c r="G101" s="3"/>
      <c r="H101" s="3"/>
      <c r="I101" s="3"/>
      <c r="J101" s="3"/>
      <c r="K101" s="3"/>
      <c r="L101" s="237" t="n">
        <v>-9500</v>
      </c>
      <c r="M101" s="237" t="n">
        <v>-9500</v>
      </c>
      <c r="N101" s="237" t="n">
        <v>-9500</v>
      </c>
      <c r="O101" s="237" t="n">
        <v>-9500</v>
      </c>
      <c r="P101" s="237" t="n">
        <v>-9500</v>
      </c>
      <c r="Q101" s="237" t="n">
        <v>-9500</v>
      </c>
      <c r="R101" s="237" t="n">
        <v>-9500</v>
      </c>
      <c r="S101" s="237" t="n">
        <v>-9500</v>
      </c>
      <c r="T101" s="237" t="n">
        <v>-9500</v>
      </c>
      <c r="U101" s="237" t="n">
        <v>-9500</v>
      </c>
      <c r="V101" s="237" t="n">
        <v>-9500</v>
      </c>
      <c r="W101" s="237" t="n">
        <v>-9500</v>
      </c>
      <c r="X101" s="237" t="n">
        <v>-9500</v>
      </c>
      <c r="Y101" s="237" t="n">
        <v>-9500</v>
      </c>
      <c r="Z101" s="237" t="n">
        <v>-9500</v>
      </c>
      <c r="AA101" s="237" t="n">
        <v>-9500</v>
      </c>
      <c r="AB101" s="237" t="n">
        <v>-9500</v>
      </c>
      <c r="AC101" s="237" t="n">
        <v>-9500</v>
      </c>
      <c r="AD101" s="237" t="n">
        <v>-9500</v>
      </c>
      <c r="AE101" s="237" t="n">
        <v>-9500</v>
      </c>
      <c r="AF101" s="237" t="n">
        <v>-9500</v>
      </c>
      <c r="AG101" s="237" t="n">
        <v>-9500</v>
      </c>
      <c r="AH101" s="237" t="n">
        <v>-9500</v>
      </c>
      <c r="AI101" s="237" t="n">
        <v>-9500</v>
      </c>
      <c r="AJ101" s="237" t="n">
        <v>-9500</v>
      </c>
      <c r="AK101" s="237" t="n">
        <v>-9500</v>
      </c>
      <c r="AL101" s="237" t="n">
        <v>-9500</v>
      </c>
      <c r="AM101" s="237" t="n">
        <v>-9500</v>
      </c>
      <c r="AN101" s="237" t="n">
        <v>-9500</v>
      </c>
      <c r="AO101" s="237" t="n">
        <v>-9500</v>
      </c>
      <c r="AP101" s="237" t="n">
        <v>-9500</v>
      </c>
      <c r="AQ101" s="237" t="n">
        <v>-9500</v>
      </c>
      <c r="AR101" s="237" t="n">
        <v>-9500</v>
      </c>
      <c r="AS101" s="237" t="n">
        <v>-9500</v>
      </c>
      <c r="AT101" s="237" t="n">
        <v>-9500</v>
      </c>
      <c r="AU101" s="237" t="n">
        <v>-9500</v>
      </c>
      <c r="AV101" s="237" t="n">
        <v>-9500</v>
      </c>
      <c r="AW101" s="237" t="n">
        <v>-9500</v>
      </c>
      <c r="AX101" s="237" t="n">
        <v>-9500</v>
      </c>
      <c r="AY101" s="237" t="n">
        <v>-9500</v>
      </c>
      <c r="AZ101" s="237" t="n">
        <v>-9500</v>
      </c>
      <c r="BA101" s="237" t="n">
        <v>-9500</v>
      </c>
      <c r="BB101" s="237" t="n">
        <v>-9500</v>
      </c>
      <c r="BC101" s="237" t="n">
        <v>-9500</v>
      </c>
      <c r="BD101" s="237" t="n">
        <v>-9500</v>
      </c>
      <c r="BE101" s="237" t="n">
        <v>-9500</v>
      </c>
      <c r="BF101" s="237" t="n">
        <v>-9500</v>
      </c>
      <c r="BG101" s="237" t="n">
        <v>-9500</v>
      </c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customFormat="false" ht="15" hidden="false" customHeight="true" outlineLevel="0" collapsed="false">
      <c r="A102" s="120" t="s">
        <v>445</v>
      </c>
      <c r="B102" s="236" t="n">
        <f aca="false">SUM(C102:CH102)</f>
        <v>7053626</v>
      </c>
      <c r="C102" s="238" t="n">
        <f aca="false">C99+C100+C101</f>
        <v>0</v>
      </c>
      <c r="D102" s="238" t="n">
        <f aca="false">D99+D100+D101</f>
        <v>0</v>
      </c>
      <c r="E102" s="238" t="n">
        <f aca="false">E99+E100+E101</f>
        <v>0</v>
      </c>
      <c r="F102" s="238" t="n">
        <f aca="false">F99+F100+F101</f>
        <v>0</v>
      </c>
      <c r="G102" s="238" t="n">
        <f aca="false">G99+G100+G101</f>
        <v>0</v>
      </c>
      <c r="H102" s="238" t="n">
        <f aca="false">H99+H100+H101</f>
        <v>0</v>
      </c>
      <c r="I102" s="238" t="n">
        <f aca="false">I99+I100+I101</f>
        <v>0</v>
      </c>
      <c r="J102" s="238" t="n">
        <f aca="false">J99+J100+J101</f>
        <v>0</v>
      </c>
      <c r="K102" s="238" t="n">
        <f aca="false">K99+K100+K101</f>
        <v>0</v>
      </c>
      <c r="L102" s="238" t="n">
        <f aca="false">L99+L100+L101</f>
        <v>35550.36</v>
      </c>
      <c r="M102" s="238" t="n">
        <f aca="false">M99+M100+M101</f>
        <v>25133.36</v>
      </c>
      <c r="N102" s="238" t="n">
        <f aca="false">N99+N100+N101</f>
        <v>25133.36</v>
      </c>
      <c r="O102" s="238" t="n">
        <f aca="false">O99+O100+O101</f>
        <v>25133.36</v>
      </c>
      <c r="P102" s="238" t="n">
        <f aca="false">P99+P100+P101</f>
        <v>17633.36</v>
      </c>
      <c r="Q102" s="238" t="n">
        <f aca="false">Q99+Q100+Q101</f>
        <v>17633.36</v>
      </c>
      <c r="R102" s="238" t="n">
        <f aca="false">R99+R100+R101</f>
        <v>43527.52</v>
      </c>
      <c r="S102" s="238" t="n">
        <f aca="false">S99+S100+S101</f>
        <v>69421.68</v>
      </c>
      <c r="T102" s="238" t="n">
        <f aca="false">T99+T100+T101</f>
        <v>95315.84</v>
      </c>
      <c r="U102" s="238" t="n">
        <f aca="false">U99+U100+U101</f>
        <v>112042.99</v>
      </c>
      <c r="V102" s="238" t="n">
        <f aca="false">V99+V100+V101</f>
        <v>137937.16</v>
      </c>
      <c r="W102" s="238" t="n">
        <f aca="false">W99+W100+W101</f>
        <v>163831.31</v>
      </c>
      <c r="X102" s="238" t="n">
        <f aca="false">X99+X100+X101</f>
        <v>189725.46</v>
      </c>
      <c r="Y102" s="238" t="n">
        <f aca="false">Y99+Y100+Y101</f>
        <v>215619.62</v>
      </c>
      <c r="Z102" s="238" t="n">
        <f aca="false">Z99+Z100+Z101</f>
        <v>241513.79</v>
      </c>
      <c r="AA102" s="238" t="n">
        <f aca="false">AA99+AA100+AA101</f>
        <v>267407.94</v>
      </c>
      <c r="AB102" s="238" t="n">
        <f aca="false">AB99+AB100+AB101</f>
        <v>293302.11</v>
      </c>
      <c r="AC102" s="238" t="n">
        <f aca="false">AC99+AC100+AC101</f>
        <v>353829.61</v>
      </c>
      <c r="AD102" s="238" t="n">
        <f aca="false">AD99+AD100+AD101</f>
        <v>264511.01</v>
      </c>
      <c r="AE102" s="238" t="n">
        <f aca="false">AE99+AE100+AE101</f>
        <v>265293.13</v>
      </c>
      <c r="AF102" s="238" t="n">
        <f aca="false">AF99+AF100+AF101</f>
        <v>266075.23</v>
      </c>
      <c r="AG102" s="238" t="n">
        <f aca="false">AG99+AG100+AG101</f>
        <v>266857.34</v>
      </c>
      <c r="AH102" s="238" t="n">
        <f aca="false">AH99+AH100+AH101</f>
        <v>267639.44</v>
      </c>
      <c r="AI102" s="238" t="n">
        <f aca="false">AI99+AI100+AI101</f>
        <v>294315.71</v>
      </c>
      <c r="AJ102" s="238" t="n">
        <f aca="false">AJ99+AJ100+AJ101</f>
        <v>269203.67</v>
      </c>
      <c r="AK102" s="238" t="n">
        <f aca="false">AK99+AK100+AK101</f>
        <v>244091.62</v>
      </c>
      <c r="AL102" s="238" t="n">
        <f aca="false">AL99+AL100+AL101</f>
        <v>218979.57</v>
      </c>
      <c r="AM102" s="238" t="n">
        <f aca="false">AM99+AM100+AM101</f>
        <v>193867.51</v>
      </c>
      <c r="AN102" s="238" t="n">
        <f aca="false">AN99+AN100+AN101</f>
        <v>168755.47</v>
      </c>
      <c r="AO102" s="238" t="n">
        <f aca="false">AO99+AO100+AO101</f>
        <v>143643.42</v>
      </c>
      <c r="AP102" s="238" t="n">
        <f aca="false">AP99+AP100+AP101</f>
        <v>118531.36</v>
      </c>
      <c r="AQ102" s="238" t="n">
        <f aca="false">AQ99+AQ100+AQ101</f>
        <v>93419.32</v>
      </c>
      <c r="AR102" s="238" t="n">
        <f aca="false">AR99+AR100+AR101</f>
        <v>68307.27</v>
      </c>
      <c r="AS102" s="238" t="n">
        <f aca="false">AS99+AS100+AS101</f>
        <v>149094.1</v>
      </c>
      <c r="AT102" s="238" t="n">
        <f aca="false">AT99+AT100+AT101</f>
        <v>123199.95</v>
      </c>
      <c r="AU102" s="238" t="n">
        <f aca="false">AU99+AU100+AU101</f>
        <v>72193.75</v>
      </c>
      <c r="AV102" s="238" t="n">
        <f aca="false">AV99+AV100+AV101</f>
        <v>71411.64</v>
      </c>
      <c r="AW102" s="238" t="n">
        <f aca="false">AW99+AW100+AW101</f>
        <v>70629.52</v>
      </c>
      <c r="AX102" s="238" t="n">
        <f aca="false">AX99+AX100+AX101</f>
        <v>69847.42</v>
      </c>
      <c r="AY102" s="238" t="n">
        <f aca="false">AY99+AY100+AY101</f>
        <v>69065.31</v>
      </c>
      <c r="AZ102" s="238" t="n">
        <f aca="false">AZ99+AZ100+AZ101</f>
        <v>68283.2</v>
      </c>
      <c r="BA102" s="238" t="n">
        <f aca="false">BA99+BA100+BA101</f>
        <v>67501.09</v>
      </c>
      <c r="BB102" s="238" t="n">
        <f aca="false">BB99+BB100+BB101</f>
        <v>66718.98</v>
      </c>
      <c r="BC102" s="238" t="n">
        <f aca="false">BC99+BC100+BC101</f>
        <v>65936.87</v>
      </c>
      <c r="BD102" s="238" t="n">
        <f aca="false">BD99+BD100+BD101</f>
        <v>65154.76</v>
      </c>
      <c r="BE102" s="238" t="n">
        <f aca="false">BE99+BE100+BE101</f>
        <v>64372.65</v>
      </c>
      <c r="BF102" s="238" t="n">
        <f aca="false">BF99+BF100+BF101</f>
        <v>63590.54</v>
      </c>
      <c r="BG102" s="238" t="n">
        <f aca="false">BG99+BG100+BG101</f>
        <v>62808.44</v>
      </c>
      <c r="BH102" s="238" t="n">
        <f aca="false">BH99+BH100+BH101</f>
        <v>109027.32</v>
      </c>
      <c r="BI102" s="238" t="n">
        <f aca="false">BI99+BI100+BI101</f>
        <v>108245.21</v>
      </c>
      <c r="BJ102" s="238" t="n">
        <f aca="false">BJ99+BJ100+BJ101</f>
        <v>213361.99</v>
      </c>
      <c r="BK102" s="238" t="n">
        <f aca="false">BK99+BK100+BK101</f>
        <v>0</v>
      </c>
      <c r="BL102" s="238" t="n">
        <f aca="false">BL99+BL100+BL101</f>
        <v>0</v>
      </c>
      <c r="BM102" s="238" t="n">
        <f aca="false">BM99+BM100+BM101</f>
        <v>0</v>
      </c>
      <c r="BN102" s="238" t="n">
        <f aca="false">BN99+BN100+BN101</f>
        <v>0</v>
      </c>
      <c r="BO102" s="238" t="n">
        <f aca="false">BO99+BO100+BO101</f>
        <v>0</v>
      </c>
      <c r="BP102" s="238" t="n">
        <f aca="false">BP99+BP100+BP101</f>
        <v>0</v>
      </c>
      <c r="BQ102" s="238" t="n">
        <f aca="false">BQ99+BQ100+BQ101</f>
        <v>0</v>
      </c>
      <c r="BR102" s="238" t="n">
        <f aca="false">BR99+BR100+BR101</f>
        <v>0</v>
      </c>
      <c r="BS102" s="238" t="n">
        <f aca="false">BS99+BS100+BS101</f>
        <v>0</v>
      </c>
      <c r="BT102" s="238" t="n">
        <f aca="false">BT99+BT100+BT101</f>
        <v>0</v>
      </c>
      <c r="BU102" s="238" t="n">
        <f aca="false">BU99+BU100+BU101</f>
        <v>0</v>
      </c>
      <c r="BV102" s="238" t="n">
        <f aca="false">BV99+BV100+BV101</f>
        <v>0</v>
      </c>
      <c r="BW102" s="238" t="n">
        <f aca="false">BW99+BW100+BW101</f>
        <v>0</v>
      </c>
      <c r="BX102" s="238" t="n">
        <f aca="false">BX99+BX100+BX101</f>
        <v>0</v>
      </c>
      <c r="BY102" s="238" t="n">
        <f aca="false">BY99+BY100+BY101</f>
        <v>0</v>
      </c>
      <c r="BZ102" s="238" t="n">
        <f aca="false">BZ99+BZ100+BZ101</f>
        <v>0</v>
      </c>
      <c r="CA102" s="238" t="n">
        <f aca="false">CA99+CA100+CA101</f>
        <v>0</v>
      </c>
      <c r="CB102" s="238" t="n">
        <f aca="false">CB99+CB100+CB101</f>
        <v>0</v>
      </c>
      <c r="CC102" s="238" t="n">
        <f aca="false">CC99+CC100+CC101</f>
        <v>0</v>
      </c>
      <c r="CD102" s="238" t="n">
        <f aca="false">CD99+CD100+CD101</f>
        <v>0</v>
      </c>
      <c r="CE102" s="238" t="n">
        <f aca="false">CE99+CE100+CE101</f>
        <v>0</v>
      </c>
      <c r="CF102" s="238" t="n">
        <f aca="false">CF99+CF100+CF101</f>
        <v>0</v>
      </c>
      <c r="CG102" s="238" t="n">
        <f aca="false">CG99+CG100+CG101</f>
        <v>0</v>
      </c>
      <c r="CH102" s="238" t="n">
        <f aca="false">CH99+CH100+CH101</f>
        <v>0</v>
      </c>
    </row>
    <row r="103" customFormat="false" ht="15" hidden="false" customHeight="true" outlineLevel="0" collapsed="false">
      <c r="A103" s="120" t="s">
        <v>446</v>
      </c>
      <c r="B103" s="236" t="n">
        <f aca="false">SUM(C103:CH103)</f>
        <v>563192.617</v>
      </c>
      <c r="C103" s="238" t="n">
        <f aca="false">C99*$B$94</f>
        <v>0</v>
      </c>
      <c r="D103" s="238" t="n">
        <f aca="false">D99*$B$94</f>
        <v>0</v>
      </c>
      <c r="E103" s="238" t="n">
        <f aca="false">E99*$B$94</f>
        <v>0</v>
      </c>
      <c r="F103" s="238" t="n">
        <f aca="false">F99*$B$94</f>
        <v>0</v>
      </c>
      <c r="G103" s="238" t="n">
        <f aca="false">G99*$B$94</f>
        <v>0</v>
      </c>
      <c r="H103" s="238" t="n">
        <f aca="false">H99*$B$94</f>
        <v>0</v>
      </c>
      <c r="I103" s="238" t="n">
        <f aca="false">I99*$B$94</f>
        <v>0</v>
      </c>
      <c r="J103" s="238" t="n">
        <f aca="false">J99*$B$94</f>
        <v>0</v>
      </c>
      <c r="K103" s="238" t="n">
        <f aca="false">K99*$B$94</f>
        <v>0</v>
      </c>
      <c r="L103" s="238" t="n">
        <f aca="false">MIN(L99*$B$94,12500)</f>
        <v>4505.036</v>
      </c>
      <c r="M103" s="238" t="n">
        <f aca="false">MIN(M99*$B$94,12500)</f>
        <v>4505.036</v>
      </c>
      <c r="N103" s="238" t="n">
        <f aca="false">MIN(N99*$B$94,12500)</f>
        <v>4505.036</v>
      </c>
      <c r="O103" s="238" t="n">
        <f aca="false">MIN(O99*$B$94,12500)</f>
        <v>4505.036</v>
      </c>
      <c r="P103" s="238" t="n">
        <f aca="false">MIN(P99*$B$94,12500)</f>
        <v>4505.036</v>
      </c>
      <c r="Q103" s="238" t="n">
        <f aca="false">MIN(Q99*$B$94,12500)</f>
        <v>4505.036</v>
      </c>
      <c r="R103" s="238" t="n">
        <f aca="false">MIN(R99*$B$94,12500)</f>
        <v>7094.452</v>
      </c>
      <c r="S103" s="238" t="n">
        <f aca="false">MIN(S99*$B$94,12500)</f>
        <v>9683.868</v>
      </c>
      <c r="T103" s="238" t="n">
        <f aca="false">MIN(T99*$B$94,12500)</f>
        <v>12273.284</v>
      </c>
      <c r="U103" s="238" t="n">
        <f aca="false">MIN(U99*$B$94,12500)</f>
        <v>12500</v>
      </c>
      <c r="V103" s="238" t="n">
        <f aca="false">MIN(V99*$B$94,12500)</f>
        <v>12500</v>
      </c>
      <c r="W103" s="238" t="n">
        <f aca="false">MIN(W99*$B$94,12500)</f>
        <v>12500</v>
      </c>
      <c r="X103" s="238" t="n">
        <f aca="false">MIN(X99*$B$94,12500)</f>
        <v>12500</v>
      </c>
      <c r="Y103" s="238" t="n">
        <f aca="false">MIN(Y99*$B$94,12500)</f>
        <v>12500</v>
      </c>
      <c r="Z103" s="238" t="n">
        <f aca="false">MIN(Z99*$B$94,12500)</f>
        <v>12500</v>
      </c>
      <c r="AA103" s="238" t="n">
        <f aca="false">MIN(AA99*$B$94,12500)</f>
        <v>12500</v>
      </c>
      <c r="AB103" s="238" t="n">
        <f aca="false">MIN(AB99*$B$94,12500)</f>
        <v>12500</v>
      </c>
      <c r="AC103" s="238" t="n">
        <f aca="false">MIN(AC99*$B$94,12500)</f>
        <v>12500</v>
      </c>
      <c r="AD103" s="238" t="n">
        <f aca="false">MIN(AD99*$B$94,12500)</f>
        <v>12500</v>
      </c>
      <c r="AE103" s="238" t="n">
        <f aca="false">MIN(AE99*$B$94,12500)</f>
        <v>12500</v>
      </c>
      <c r="AF103" s="238" t="n">
        <f aca="false">MIN(AF99*$B$94,12500)</f>
        <v>12500</v>
      </c>
      <c r="AG103" s="238" t="n">
        <f aca="false">MIN(AG99*$B$94,12500)</f>
        <v>12500</v>
      </c>
      <c r="AH103" s="238" t="n">
        <f aca="false">MIN(AH99*$B$94,12500)</f>
        <v>12500</v>
      </c>
      <c r="AI103" s="238" t="n">
        <f aca="false">MIN(AI99*$B$94,12500)</f>
        <v>12500</v>
      </c>
      <c r="AJ103" s="238" t="n">
        <f aca="false">MIN(AJ99*$B$94,12500)</f>
        <v>12500</v>
      </c>
      <c r="AK103" s="238" t="n">
        <f aca="false">MIN(AK99*$B$94,12500)</f>
        <v>12500</v>
      </c>
      <c r="AL103" s="238" t="n">
        <f aca="false">MIN(AL99*$B$94,12500)</f>
        <v>12500</v>
      </c>
      <c r="AM103" s="238" t="n">
        <f aca="false">MIN(AM99*$B$94,12500)</f>
        <v>12500</v>
      </c>
      <c r="AN103" s="238" t="n">
        <f aca="false">MIN(AN99*$B$94,12500)</f>
        <v>12500</v>
      </c>
      <c r="AO103" s="238" t="n">
        <f aca="false">MIN(AO99*$B$94,12500)</f>
        <v>12500</v>
      </c>
      <c r="AP103" s="238" t="n">
        <f aca="false">MIN(AP99*$B$94,12500)</f>
        <v>12500</v>
      </c>
      <c r="AQ103" s="238" t="n">
        <f aca="false">MIN(AQ99*$B$94,12500)</f>
        <v>12500</v>
      </c>
      <c r="AR103" s="238" t="n">
        <f aca="false">MIN(AR99*$B$94,12500)</f>
        <v>11530.827</v>
      </c>
      <c r="AS103" s="238" t="n">
        <f aca="false">MIN(AS99*$B$94,12500)</f>
        <v>12500</v>
      </c>
      <c r="AT103" s="238" t="n">
        <f aca="false">MIN(AT99*$B$94,12500)</f>
        <v>12500</v>
      </c>
      <c r="AU103" s="238" t="n">
        <f aca="false">MIN(AU99*$B$94,12500)</f>
        <v>11919.475</v>
      </c>
      <c r="AV103" s="238" t="n">
        <f aca="false">MIN(AV99*$B$94,12500)</f>
        <v>11841.264</v>
      </c>
      <c r="AW103" s="238" t="n">
        <f aca="false">MIN(AW99*$B$94,12500)</f>
        <v>11763.052</v>
      </c>
      <c r="AX103" s="238" t="n">
        <f aca="false">MIN(AX99*$B$94,12500)</f>
        <v>11684.842</v>
      </c>
      <c r="AY103" s="238" t="n">
        <f aca="false">MIN(AY99*$B$94,12500)</f>
        <v>11606.631</v>
      </c>
      <c r="AZ103" s="238" t="n">
        <f aca="false">MIN(AZ99*$B$94,12500)</f>
        <v>11528.42</v>
      </c>
      <c r="BA103" s="238" t="n">
        <f aca="false">MIN(BA99*$B$94,12500)</f>
        <v>11450.209</v>
      </c>
      <c r="BB103" s="238" t="n">
        <f aca="false">MIN(BB99*$B$94,12500)</f>
        <v>11371.998</v>
      </c>
      <c r="BC103" s="238" t="n">
        <f aca="false">MIN(BC99*$B$94,12500)</f>
        <v>11293.787</v>
      </c>
      <c r="BD103" s="238" t="n">
        <f aca="false">MIN(BD99*$B$94,12500)</f>
        <v>11215.576</v>
      </c>
      <c r="BE103" s="238" t="n">
        <f aca="false">MIN(BE99*$B$94,12500)</f>
        <v>11137.365</v>
      </c>
      <c r="BF103" s="238" t="n">
        <f aca="false">MIN(BF99*$B$94,12500)</f>
        <v>11059.154</v>
      </c>
      <c r="BG103" s="238" t="n">
        <f aca="false">MIN(BG99*$B$94,12500)</f>
        <v>10980.944</v>
      </c>
      <c r="BH103" s="238" t="n">
        <f aca="false">MIN(BH99*$B$94,12500)</f>
        <v>10902.732</v>
      </c>
      <c r="BI103" s="238" t="n">
        <f aca="false">MIN(BI99*$B$94,12500)</f>
        <v>10824.521</v>
      </c>
      <c r="BJ103" s="238" t="n">
        <f aca="false">MIN(BJ99*$B$94,12500)</f>
        <v>12500</v>
      </c>
      <c r="BK103" s="238" t="n">
        <f aca="false">MIN(BK99*$B$94,12500)</f>
        <v>0</v>
      </c>
      <c r="BL103" s="238" t="n">
        <f aca="false">MIN(BL99*$B$94,12500)</f>
        <v>0</v>
      </c>
      <c r="BM103" s="238" t="n">
        <f aca="false">MIN(BM99*$B$94,12500)</f>
        <v>0</v>
      </c>
      <c r="BN103" s="238" t="n">
        <f aca="false">MIN(BN99*$B$94,12500)</f>
        <v>0</v>
      </c>
      <c r="BO103" s="238" t="n">
        <f aca="false">MIN(BO99*$B$94,12500)</f>
        <v>0</v>
      </c>
      <c r="BP103" s="238" t="n">
        <f aca="false">MIN(BP99*$B$94,12500)</f>
        <v>0</v>
      </c>
      <c r="BQ103" s="238" t="n">
        <f aca="false">MIN(BQ99*$B$94,12500)</f>
        <v>0</v>
      </c>
      <c r="BR103" s="238" t="n">
        <f aca="false">MIN(BR99*$B$94,12500)</f>
        <v>0</v>
      </c>
      <c r="BS103" s="238" t="n">
        <f aca="false">MIN(BS99*$B$94,12500)</f>
        <v>0</v>
      </c>
      <c r="BT103" s="238" t="n">
        <f aca="false">MIN(BT99*$B$94,12500)</f>
        <v>0</v>
      </c>
      <c r="BU103" s="238" t="n">
        <f aca="false">MIN(BU99*$B$94,12500)</f>
        <v>0</v>
      </c>
      <c r="BV103" s="238" t="n">
        <f aca="false">MIN(BV99*$B$94,12500)</f>
        <v>0</v>
      </c>
      <c r="BW103" s="238" t="n">
        <f aca="false">MIN(BW99*$B$94,12500)</f>
        <v>0</v>
      </c>
      <c r="BX103" s="238" t="n">
        <f aca="false">MIN(BX99*$B$94,12500)</f>
        <v>0</v>
      </c>
      <c r="BY103" s="238" t="n">
        <f aca="false">MIN(BY99*$B$94,12500)</f>
        <v>0</v>
      </c>
      <c r="BZ103" s="238" t="n">
        <f aca="false">MIN(BZ99*$B$94,12500)</f>
        <v>0</v>
      </c>
      <c r="CA103" s="238" t="n">
        <f aca="false">MIN(CA99*$B$94,12500)</f>
        <v>0</v>
      </c>
      <c r="CB103" s="238" t="n">
        <f aca="false">MIN(CB99*$B$94,12500)</f>
        <v>0</v>
      </c>
      <c r="CC103" s="238" t="n">
        <f aca="false">MIN(CC99*$B$94,12500)</f>
        <v>0</v>
      </c>
      <c r="CD103" s="238" t="n">
        <f aca="false">MIN(CD99*$B$94,12500)</f>
        <v>0</v>
      </c>
      <c r="CE103" s="238" t="n">
        <f aca="false">MIN(CE99*$B$94,12500)</f>
        <v>0</v>
      </c>
      <c r="CF103" s="238" t="n">
        <f aca="false">MIN(CF99*$B$94,12500)</f>
        <v>0</v>
      </c>
      <c r="CG103" s="238" t="n">
        <f aca="false">MIN(CG99*$B$94,12500)</f>
        <v>0</v>
      </c>
      <c r="CH103" s="238" t="n">
        <f aca="false">CH99*$B$94</f>
        <v>0</v>
      </c>
    </row>
    <row r="104" customFormat="false" ht="15" hidden="false" customHeight="true" outlineLevel="0" collapsed="false">
      <c r="A104" s="120" t="s">
        <v>447</v>
      </c>
      <c r="B104" s="236" t="n">
        <f aca="false">SUM(C104:CH104)</f>
        <v>6490433.383</v>
      </c>
      <c r="C104" s="238" t="n">
        <f aca="false">C102-C103</f>
        <v>0</v>
      </c>
      <c r="D104" s="238" t="n">
        <f aca="false">D102-D103</f>
        <v>0</v>
      </c>
      <c r="E104" s="238" t="n">
        <f aca="false">E102-E103</f>
        <v>0</v>
      </c>
      <c r="F104" s="238" t="n">
        <f aca="false">F102-F103</f>
        <v>0</v>
      </c>
      <c r="G104" s="238" t="n">
        <f aca="false">G102-G103</f>
        <v>0</v>
      </c>
      <c r="H104" s="238" t="n">
        <f aca="false">H102-H103</f>
        <v>0</v>
      </c>
      <c r="I104" s="238" t="n">
        <f aca="false">I102-I103</f>
        <v>0</v>
      </c>
      <c r="J104" s="238" t="n">
        <f aca="false">J102-J103</f>
        <v>0</v>
      </c>
      <c r="K104" s="238" t="n">
        <f aca="false">K102-K103</f>
        <v>0</v>
      </c>
      <c r="L104" s="238" t="n">
        <f aca="false">L102-L103</f>
        <v>31045.324</v>
      </c>
      <c r="M104" s="238" t="n">
        <f aca="false">M102-M103</f>
        <v>20628.324</v>
      </c>
      <c r="N104" s="238" t="n">
        <f aca="false">N102-N103</f>
        <v>20628.324</v>
      </c>
      <c r="O104" s="238" t="n">
        <f aca="false">O102-O103</f>
        <v>20628.324</v>
      </c>
      <c r="P104" s="238" t="n">
        <f aca="false">P102-P103</f>
        <v>13128.324</v>
      </c>
      <c r="Q104" s="238" t="n">
        <f aca="false">Q102-Q103</f>
        <v>13128.324</v>
      </c>
      <c r="R104" s="238" t="n">
        <f aca="false">R102-R103</f>
        <v>36433.068</v>
      </c>
      <c r="S104" s="238" t="n">
        <f aca="false">S102-S103</f>
        <v>59737.812</v>
      </c>
      <c r="T104" s="238" t="n">
        <f aca="false">T102-T103</f>
        <v>83042.556</v>
      </c>
      <c r="U104" s="238" t="n">
        <f aca="false">U102-U103</f>
        <v>99542.99</v>
      </c>
      <c r="V104" s="238" t="n">
        <f aca="false">V102-V103</f>
        <v>125437.16</v>
      </c>
      <c r="W104" s="238" t="n">
        <f aca="false">W102-W103</f>
        <v>151331.31</v>
      </c>
      <c r="X104" s="238" t="n">
        <f aca="false">X102-X103</f>
        <v>177225.46</v>
      </c>
      <c r="Y104" s="238" t="n">
        <f aca="false">Y102-Y103</f>
        <v>203119.62</v>
      </c>
      <c r="Z104" s="238" t="n">
        <f aca="false">Z102-Z103</f>
        <v>229013.79</v>
      </c>
      <c r="AA104" s="238" t="n">
        <f aca="false">AA102-AA103</f>
        <v>254907.94</v>
      </c>
      <c r="AB104" s="238" t="n">
        <f aca="false">AB102-AB103</f>
        <v>280802.11</v>
      </c>
      <c r="AC104" s="238" t="n">
        <f aca="false">AC102-AC103</f>
        <v>341329.61</v>
      </c>
      <c r="AD104" s="238" t="n">
        <f aca="false">AD102-AD103</f>
        <v>252011.01</v>
      </c>
      <c r="AE104" s="238" t="n">
        <f aca="false">AE102-AE103</f>
        <v>252793.13</v>
      </c>
      <c r="AF104" s="238" t="n">
        <f aca="false">AF102-AF103</f>
        <v>253575.23</v>
      </c>
      <c r="AG104" s="238" t="n">
        <f aca="false">AG102-AG103</f>
        <v>254357.34</v>
      </c>
      <c r="AH104" s="238" t="n">
        <f aca="false">AH102-AH103</f>
        <v>255139.44</v>
      </c>
      <c r="AI104" s="238" t="n">
        <f aca="false">AI102-AI103</f>
        <v>281815.71</v>
      </c>
      <c r="AJ104" s="238" t="n">
        <f aca="false">AJ102-AJ103</f>
        <v>256703.67</v>
      </c>
      <c r="AK104" s="238" t="n">
        <f aca="false">AK102-AK103</f>
        <v>231591.62</v>
      </c>
      <c r="AL104" s="238" t="n">
        <f aca="false">AL102-AL103</f>
        <v>206479.57</v>
      </c>
      <c r="AM104" s="238" t="n">
        <f aca="false">AM102-AM103</f>
        <v>181367.51</v>
      </c>
      <c r="AN104" s="238" t="n">
        <f aca="false">AN102-AN103</f>
        <v>156255.47</v>
      </c>
      <c r="AO104" s="238" t="n">
        <f aca="false">AO102-AO103</f>
        <v>131143.42</v>
      </c>
      <c r="AP104" s="238" t="n">
        <f aca="false">AP102-AP103</f>
        <v>106031.36</v>
      </c>
      <c r="AQ104" s="238" t="n">
        <f aca="false">AQ102-AQ103</f>
        <v>80919.32</v>
      </c>
      <c r="AR104" s="238" t="n">
        <f aca="false">AR102-AR103</f>
        <v>56776.443</v>
      </c>
      <c r="AS104" s="238" t="n">
        <f aca="false">AS102-AS103</f>
        <v>136594.1</v>
      </c>
      <c r="AT104" s="238" t="n">
        <f aca="false">AT102-AT103</f>
        <v>110699.95</v>
      </c>
      <c r="AU104" s="238" t="n">
        <f aca="false">AU102-AU103</f>
        <v>60274.275</v>
      </c>
      <c r="AV104" s="238" t="n">
        <f aca="false">AV102-AV103</f>
        <v>59570.376</v>
      </c>
      <c r="AW104" s="238" t="n">
        <f aca="false">AW102-AW103</f>
        <v>58866.468</v>
      </c>
      <c r="AX104" s="238" t="n">
        <f aca="false">AX102-AX103</f>
        <v>58162.578</v>
      </c>
      <c r="AY104" s="238" t="n">
        <f aca="false">AY102-AY103</f>
        <v>57458.679</v>
      </c>
      <c r="AZ104" s="238" t="n">
        <f aca="false">AZ102-AZ103</f>
        <v>56754.78</v>
      </c>
      <c r="BA104" s="238" t="n">
        <f aca="false">BA102-BA103</f>
        <v>56050.881</v>
      </c>
      <c r="BB104" s="238" t="n">
        <f aca="false">BB102-BB103</f>
        <v>55346.982</v>
      </c>
      <c r="BC104" s="238" t="n">
        <f aca="false">BC102-BC103</f>
        <v>54643.083</v>
      </c>
      <c r="BD104" s="238" t="n">
        <f aca="false">BD102-BD103</f>
        <v>53939.184</v>
      </c>
      <c r="BE104" s="238" t="n">
        <f aca="false">BE102-BE103</f>
        <v>53235.285</v>
      </c>
      <c r="BF104" s="238" t="n">
        <f aca="false">BF102-BF103</f>
        <v>52531.386</v>
      </c>
      <c r="BG104" s="238" t="n">
        <f aca="false">BG102-BG103</f>
        <v>51827.496</v>
      </c>
      <c r="BH104" s="238" t="n">
        <f aca="false">BH102-BH103</f>
        <v>98124.588</v>
      </c>
      <c r="BI104" s="238" t="n">
        <f aca="false">BI102-BI103</f>
        <v>97420.689</v>
      </c>
      <c r="BJ104" s="238" t="n">
        <f aca="false">BJ102-BJ103</f>
        <v>200861.99</v>
      </c>
      <c r="BK104" s="238" t="n">
        <f aca="false">BK102-BK103</f>
        <v>0</v>
      </c>
      <c r="BL104" s="238" t="n">
        <f aca="false">BL102-BL103</f>
        <v>0</v>
      </c>
      <c r="BM104" s="238" t="n">
        <f aca="false">BM102-BM103</f>
        <v>0</v>
      </c>
      <c r="BN104" s="238" t="n">
        <f aca="false">BN102-BN103</f>
        <v>0</v>
      </c>
      <c r="BO104" s="238" t="n">
        <f aca="false">BO102-BO103</f>
        <v>0</v>
      </c>
      <c r="BP104" s="238" t="n">
        <f aca="false">BP102-BP103</f>
        <v>0</v>
      </c>
      <c r="BQ104" s="238" t="n">
        <f aca="false">BQ102-BQ103</f>
        <v>0</v>
      </c>
      <c r="BR104" s="238" t="n">
        <f aca="false">BR102-BR103</f>
        <v>0</v>
      </c>
      <c r="BS104" s="238" t="n">
        <f aca="false">BS102-BS103</f>
        <v>0</v>
      </c>
      <c r="BT104" s="238" t="n">
        <f aca="false">BT102-BT103</f>
        <v>0</v>
      </c>
      <c r="BU104" s="238" t="n">
        <f aca="false">BU102-BU103</f>
        <v>0</v>
      </c>
      <c r="BV104" s="238" t="n">
        <f aca="false">BV102-BV103</f>
        <v>0</v>
      </c>
      <c r="BW104" s="238" t="n">
        <f aca="false">BW102-BW103</f>
        <v>0</v>
      </c>
      <c r="BX104" s="238" t="n">
        <f aca="false">BX102-BX103</f>
        <v>0</v>
      </c>
      <c r="BY104" s="238" t="n">
        <f aca="false">BY102-BY103</f>
        <v>0</v>
      </c>
      <c r="BZ104" s="238" t="n">
        <f aca="false">BZ102-BZ103</f>
        <v>0</v>
      </c>
      <c r="CA104" s="238" t="n">
        <f aca="false">CA102-CA103</f>
        <v>0</v>
      </c>
      <c r="CB104" s="238" t="n">
        <f aca="false">CB102-CB103</f>
        <v>0</v>
      </c>
      <c r="CC104" s="238" t="n">
        <f aca="false">CC102-CC103</f>
        <v>0</v>
      </c>
      <c r="CD104" s="238" t="n">
        <f aca="false">CD102-CD103</f>
        <v>0</v>
      </c>
      <c r="CE104" s="238" t="n">
        <f aca="false">CE102-CE103</f>
        <v>0</v>
      </c>
      <c r="CF104" s="238" t="n">
        <f aca="false">CF102-CF103</f>
        <v>0</v>
      </c>
      <c r="CG104" s="238" t="n">
        <f aca="false">CG102-CG103</f>
        <v>0</v>
      </c>
      <c r="CH104" s="238" t="n">
        <f aca="false">CH102-CH103</f>
        <v>0</v>
      </c>
    </row>
    <row r="105" customFormat="false" ht="15" hidden="false" customHeight="true" outlineLevel="0" collapsed="false">
      <c r="A105" s="120" t="s">
        <v>448</v>
      </c>
      <c r="B105" s="236" t="n">
        <f aca="false">SUM(C105:CH105)</f>
        <v>2951665.926</v>
      </c>
      <c r="C105" s="238" t="n">
        <v>0</v>
      </c>
      <c r="D105" s="238" t="n">
        <v>0</v>
      </c>
      <c r="E105" s="238" t="n">
        <v>0</v>
      </c>
      <c r="F105" s="238" t="n">
        <v>0</v>
      </c>
      <c r="G105" s="238" t="n">
        <v>0</v>
      </c>
      <c r="H105" s="238" t="n">
        <v>0</v>
      </c>
      <c r="I105" s="238" t="n">
        <v>0</v>
      </c>
      <c r="J105" s="238" t="n">
        <v>0</v>
      </c>
      <c r="K105" s="238" t="n">
        <v>0</v>
      </c>
      <c r="L105" s="238" t="n">
        <f aca="false">MAX(0,L104)*0.4</f>
        <v>12418.1296</v>
      </c>
      <c r="M105" s="238" t="n">
        <f aca="false">MAX(0,M104)*0.4</f>
        <v>8251.3296</v>
      </c>
      <c r="N105" s="238" t="n">
        <f aca="false">MAX(0,N104)*0.4</f>
        <v>8251.3296</v>
      </c>
      <c r="O105" s="238" t="n">
        <f aca="false">MAX(0,O104)*0.4</f>
        <v>8251.3296</v>
      </c>
      <c r="P105" s="238" t="n">
        <f aca="false">MAX(0,P104)*0.4</f>
        <v>5251.3296</v>
      </c>
      <c r="Q105" s="238" t="n">
        <f aca="false">MAX(0,Q104)*0.4</f>
        <v>5251.3296</v>
      </c>
      <c r="R105" s="238" t="n">
        <f aca="false">MAX(0,R104)*0.4</f>
        <v>14573.2272</v>
      </c>
      <c r="S105" s="238" t="n">
        <f aca="false">MAX(0,S104)*0.4</f>
        <v>23895.1248</v>
      </c>
      <c r="T105" s="238" t="n">
        <f aca="false">MAX(0,T104)*0.4</f>
        <v>33217.0224</v>
      </c>
      <c r="U105" s="238" t="n">
        <f aca="false">MAX(0,U104)*0.4</f>
        <v>39817.196</v>
      </c>
      <c r="V105" s="238" t="n">
        <f aca="false">MAX(0,V104)*0.4</f>
        <v>50174.864</v>
      </c>
      <c r="W105" s="238" t="n">
        <f aca="false">MAX(0,W104)*0.4</f>
        <v>60532.524</v>
      </c>
      <c r="X105" s="238" t="n">
        <f aca="false">MAX(0,X104)*0.4</f>
        <v>70890.184</v>
      </c>
      <c r="Y105" s="238" t="n">
        <f aca="false">MAX(0,Y104)*0.4</f>
        <v>81247.848</v>
      </c>
      <c r="Z105" s="238" t="n">
        <f aca="false">MAX(0,Z104)*0.4</f>
        <v>91605.516</v>
      </c>
      <c r="AA105" s="238" t="n">
        <f aca="false">MAX(0,AA104)*0.45</f>
        <v>114708.573</v>
      </c>
      <c r="AB105" s="238" t="n">
        <f aca="false">MAX(0,AB104)*0.45</f>
        <v>126360.9495</v>
      </c>
      <c r="AC105" s="238" t="n">
        <f aca="false">MAX(0,AC104)*0.45</f>
        <v>153598.3245</v>
      </c>
      <c r="AD105" s="238" t="n">
        <f aca="false">MAX(0,AD104)*0.45</f>
        <v>113404.9545</v>
      </c>
      <c r="AE105" s="238" t="n">
        <f aca="false">MAX(0,AE104)*0.45</f>
        <v>113756.9085</v>
      </c>
      <c r="AF105" s="238" t="n">
        <f aca="false">MAX(0,AF104)*0.45</f>
        <v>114108.8535</v>
      </c>
      <c r="AG105" s="238" t="n">
        <f aca="false">MAX(0,AG104)*0.45</f>
        <v>114460.803</v>
      </c>
      <c r="AH105" s="238" t="n">
        <f aca="false">MAX(0,AH104)*0.45</f>
        <v>114812.748</v>
      </c>
      <c r="AI105" s="238" t="n">
        <f aca="false">MAX(0,AI104)*0.45</f>
        <v>126817.0695</v>
      </c>
      <c r="AJ105" s="238" t="n">
        <f aca="false">MAX(0,AJ104)*0.45</f>
        <v>115516.6515</v>
      </c>
      <c r="AK105" s="238" t="n">
        <f aca="false">MAX(0,AK104)*0.45</f>
        <v>104216.229</v>
      </c>
      <c r="AL105" s="238" t="n">
        <f aca="false">MAX(0,AL104)*0.45</f>
        <v>92915.8065</v>
      </c>
      <c r="AM105" s="238" t="n">
        <f aca="false">MAX(0,AM104)*0.45</f>
        <v>81615.3795</v>
      </c>
      <c r="AN105" s="238" t="n">
        <f aca="false">MAX(0,AN104)*0.5</f>
        <v>78127.735</v>
      </c>
      <c r="AO105" s="238" t="n">
        <f aca="false">MAX(0,AO104)*0.5</f>
        <v>65571.71</v>
      </c>
      <c r="AP105" s="238" t="n">
        <f aca="false">MAX(0,AP104)*0.5</f>
        <v>53015.68</v>
      </c>
      <c r="AQ105" s="238" t="n">
        <f aca="false">MAX(0,AQ104)*0.5</f>
        <v>40459.66</v>
      </c>
      <c r="AR105" s="238" t="n">
        <f aca="false">MAX(0,AR104)*0.5</f>
        <v>28388.2215</v>
      </c>
      <c r="AS105" s="238" t="n">
        <f aca="false">MAX(0,AS104)*0.5</f>
        <v>68297.05</v>
      </c>
      <c r="AT105" s="238" t="n">
        <f aca="false">MAX(0,AT104)*0.5</f>
        <v>55349.975</v>
      </c>
      <c r="AU105" s="238" t="n">
        <f aca="false">MAX(0,AU104)*0.5</f>
        <v>30137.1375</v>
      </c>
      <c r="AV105" s="238" t="n">
        <f aca="false">MAX(0,AV104)*0.5</f>
        <v>29785.188</v>
      </c>
      <c r="AW105" s="238" t="n">
        <f aca="false">MAX(0,AW104)*0.5</f>
        <v>29433.234</v>
      </c>
      <c r="AX105" s="238" t="n">
        <f aca="false">MAX(0,AX104)*0.5</f>
        <v>29081.289</v>
      </c>
      <c r="AY105" s="238" t="n">
        <f aca="false">MAX(0,AY104)*0.5</f>
        <v>28729.3395</v>
      </c>
      <c r="AZ105" s="238" t="n">
        <f aca="false">MAX(0,AZ104)*0.5</f>
        <v>28377.39</v>
      </c>
      <c r="BA105" s="238" t="n">
        <f aca="false">MAX(0,BA104)*0.5</f>
        <v>28025.4405</v>
      </c>
      <c r="BB105" s="238" t="n">
        <f aca="false">MAX(0,BB104)*0.5</f>
        <v>27673.491</v>
      </c>
      <c r="BC105" s="238" t="n">
        <f aca="false">MAX(0,BC104)*0.5</f>
        <v>27321.5415</v>
      </c>
      <c r="BD105" s="238" t="n">
        <f aca="false">MAX(0,BD104)*0.5</f>
        <v>26969.592</v>
      </c>
      <c r="BE105" s="238" t="n">
        <f aca="false">MAX(0,BE104)*0.5</f>
        <v>26617.6425</v>
      </c>
      <c r="BF105" s="238" t="n">
        <f aca="false">MAX(0,BF104)*0.5</f>
        <v>26265.693</v>
      </c>
      <c r="BG105" s="238" t="n">
        <f aca="false">MAX(0,BG104)*0.5</f>
        <v>25913.748</v>
      </c>
      <c r="BH105" s="238" t="n">
        <f aca="false">MAX(0,BH104)*0.5</f>
        <v>49062.294</v>
      </c>
      <c r="BI105" s="238" t="n">
        <f aca="false">MAX(0,BI104)*0.5</f>
        <v>48710.3445</v>
      </c>
      <c r="BJ105" s="238" t="n">
        <f aca="false">MAX(0,BJ104)*0.5</f>
        <v>100430.995</v>
      </c>
      <c r="BK105" s="238" t="n">
        <f aca="false">MAX(0,BK104)*0.5</f>
        <v>0</v>
      </c>
      <c r="BL105" s="238" t="n">
        <f aca="false">MAX(0,BL104)*0.5</f>
        <v>0</v>
      </c>
      <c r="BM105" s="238" t="n">
        <f aca="false">MAX(0,BM104)*0.5</f>
        <v>0</v>
      </c>
      <c r="BN105" s="238" t="n">
        <f aca="false">MAX(0,BN104)*0.5</f>
        <v>0</v>
      </c>
      <c r="BO105" s="238" t="n">
        <f aca="false">MAX(0,BO104)*0.5</f>
        <v>0</v>
      </c>
      <c r="BP105" s="238" t="n">
        <f aca="false">MAX(0,BP104)*0.5</f>
        <v>0</v>
      </c>
      <c r="BQ105" s="238" t="n">
        <f aca="false">MAX(0,BQ104)*0.5</f>
        <v>0</v>
      </c>
      <c r="BR105" s="238" t="n">
        <f aca="false">MAX(0,BR104)*0.5</f>
        <v>0</v>
      </c>
      <c r="BS105" s="238" t="n">
        <f aca="false">MAX(0,BS104)*0.5</f>
        <v>0</v>
      </c>
      <c r="BT105" s="238" t="n">
        <f aca="false">MAX(0,BT104)*0.5</f>
        <v>0</v>
      </c>
      <c r="BU105" s="238" t="n">
        <f aca="false">MAX(0,BU104)*0.5</f>
        <v>0</v>
      </c>
      <c r="BV105" s="238" t="n">
        <f aca="false">MAX(0,BV104)*0.5</f>
        <v>0</v>
      </c>
      <c r="BW105" s="238" t="n">
        <f aca="false">MAX(0,BW104)*0.5</f>
        <v>0</v>
      </c>
      <c r="BX105" s="238" t="n">
        <f aca="false">MAX(0,BX104)*0.5</f>
        <v>0</v>
      </c>
      <c r="BY105" s="238" t="n">
        <f aca="false">MAX(0,BY104)*0.5</f>
        <v>0</v>
      </c>
      <c r="BZ105" s="238" t="n">
        <f aca="false">MAX(0,BZ104)*0.5</f>
        <v>0</v>
      </c>
      <c r="CA105" s="238" t="n">
        <f aca="false">MAX(0,CA104)*0.5</f>
        <v>0</v>
      </c>
      <c r="CB105" s="238" t="n">
        <f aca="false">MAX(0,CB104)*0.5</f>
        <v>0</v>
      </c>
      <c r="CC105" s="238" t="n">
        <f aca="false">MAX(0,CC104)*0.5</f>
        <v>0</v>
      </c>
      <c r="CD105" s="238" t="n">
        <f aca="false">MAX(0,CD104)*0.5</f>
        <v>0</v>
      </c>
      <c r="CE105" s="238" t="n">
        <f aca="false">MAX(0,CE104)*0.5</f>
        <v>0</v>
      </c>
      <c r="CF105" s="238" t="n">
        <f aca="false">MAX(0,CF104)*0.5</f>
        <v>0</v>
      </c>
      <c r="CG105" s="238" t="n">
        <f aca="false">MAX(0,CG104)*0.5</f>
        <v>0</v>
      </c>
      <c r="CH105" s="238" t="n">
        <f aca="false">MAX(0,CH104)*$B$95</f>
        <v>0</v>
      </c>
    </row>
    <row r="106" customFormat="false" ht="15" hidden="false" customHeight="true" outlineLevel="0" collapsed="false">
      <c r="A106" s="120" t="s">
        <v>449</v>
      </c>
      <c r="B106" s="236" t="n">
        <f aca="false">B104-B105</f>
        <v>3538767.457</v>
      </c>
      <c r="C106" s="238" t="n">
        <f aca="false">C104-C105</f>
        <v>0</v>
      </c>
      <c r="D106" s="238" t="n">
        <f aca="false">D104-D105</f>
        <v>0</v>
      </c>
      <c r="E106" s="238" t="n">
        <f aca="false">E104-E105</f>
        <v>0</v>
      </c>
      <c r="F106" s="238" t="n">
        <f aca="false">F104-F105</f>
        <v>0</v>
      </c>
      <c r="G106" s="238" t="n">
        <f aca="false">G104-G105</f>
        <v>0</v>
      </c>
      <c r="H106" s="238" t="n">
        <f aca="false">H104-H105</f>
        <v>0</v>
      </c>
      <c r="I106" s="238" t="n">
        <f aca="false">I104-I105</f>
        <v>0</v>
      </c>
      <c r="J106" s="238" t="n">
        <f aca="false">J104-J105</f>
        <v>0</v>
      </c>
      <c r="K106" s="238" t="n">
        <f aca="false">K104-K105</f>
        <v>0</v>
      </c>
      <c r="L106" s="238" t="n">
        <f aca="false">L104-L105</f>
        <v>18627.1944</v>
      </c>
      <c r="M106" s="238" t="n">
        <f aca="false">M104-M105</f>
        <v>12376.9944</v>
      </c>
      <c r="N106" s="238" t="n">
        <f aca="false">N104-N105</f>
        <v>12376.9944</v>
      </c>
      <c r="O106" s="238" t="n">
        <f aca="false">O104-O105</f>
        <v>12376.9944</v>
      </c>
      <c r="P106" s="238" t="n">
        <f aca="false">P104-P105</f>
        <v>7876.9944</v>
      </c>
      <c r="Q106" s="238" t="n">
        <f aca="false">Q104-Q105</f>
        <v>7876.9944</v>
      </c>
      <c r="R106" s="238" t="n">
        <f aca="false">R104-R105</f>
        <v>21859.8408</v>
      </c>
      <c r="S106" s="238" t="n">
        <f aca="false">S104-S105</f>
        <v>35842.6872</v>
      </c>
      <c r="T106" s="238" t="n">
        <f aca="false">T104-T105</f>
        <v>49825.5336</v>
      </c>
      <c r="U106" s="238" t="n">
        <f aca="false">U104-U105</f>
        <v>59725.794</v>
      </c>
      <c r="V106" s="238" t="n">
        <f aca="false">V104-V105</f>
        <v>75262.296</v>
      </c>
      <c r="W106" s="238" t="n">
        <f aca="false">W104-W105</f>
        <v>90798.786</v>
      </c>
      <c r="X106" s="238" t="n">
        <f aca="false">X104-X105</f>
        <v>106335.276</v>
      </c>
      <c r="Y106" s="238" t="n">
        <f aca="false">Y104-Y105</f>
        <v>121871.772</v>
      </c>
      <c r="Z106" s="238" t="n">
        <f aca="false">Z104-Z105</f>
        <v>137408.274</v>
      </c>
      <c r="AA106" s="238" t="n">
        <f aca="false">AA104-AA105</f>
        <v>140199.367</v>
      </c>
      <c r="AB106" s="238" t="n">
        <f aca="false">AB104-AB105</f>
        <v>154441.1605</v>
      </c>
      <c r="AC106" s="238" t="n">
        <f aca="false">AC104-AC105</f>
        <v>187731.2855</v>
      </c>
      <c r="AD106" s="238" t="n">
        <f aca="false">AD104-AD105</f>
        <v>138606.0555</v>
      </c>
      <c r="AE106" s="238" t="n">
        <f aca="false">AE104-AE105</f>
        <v>139036.2215</v>
      </c>
      <c r="AF106" s="238" t="n">
        <f aca="false">AF104-AF105</f>
        <v>139466.3765</v>
      </c>
      <c r="AG106" s="238" t="n">
        <f aca="false">AG104-AG105</f>
        <v>139896.537</v>
      </c>
      <c r="AH106" s="238" t="n">
        <f aca="false">AH104-AH105</f>
        <v>140326.692</v>
      </c>
      <c r="AI106" s="238" t="n">
        <f aca="false">AI104-AI105</f>
        <v>154998.6405</v>
      </c>
      <c r="AJ106" s="238" t="n">
        <f aca="false">AJ104-AJ105</f>
        <v>141187.0185</v>
      </c>
      <c r="AK106" s="238" t="n">
        <f aca="false">AK104-AK105</f>
        <v>127375.391</v>
      </c>
      <c r="AL106" s="238" t="n">
        <f aca="false">AL104-AL105</f>
        <v>113563.7635</v>
      </c>
      <c r="AM106" s="238" t="n">
        <f aca="false">AM104-AM105</f>
        <v>99752.1305</v>
      </c>
      <c r="AN106" s="238" t="n">
        <f aca="false">AN104-AN105</f>
        <v>78127.735</v>
      </c>
      <c r="AO106" s="238" t="n">
        <f aca="false">AO104-AO105</f>
        <v>65571.71</v>
      </c>
      <c r="AP106" s="238" t="n">
        <f aca="false">AP104-AP105</f>
        <v>53015.68</v>
      </c>
      <c r="AQ106" s="238" t="n">
        <f aca="false">AQ104-AQ105</f>
        <v>40459.66</v>
      </c>
      <c r="AR106" s="238" t="n">
        <f aca="false">AR104-AR105</f>
        <v>28388.2215</v>
      </c>
      <c r="AS106" s="238" t="n">
        <f aca="false">AS104-AS105</f>
        <v>68297.05</v>
      </c>
      <c r="AT106" s="238" t="n">
        <f aca="false">AT104-AT105</f>
        <v>55349.975</v>
      </c>
      <c r="AU106" s="238" t="n">
        <f aca="false">AU104-AU105</f>
        <v>30137.1375</v>
      </c>
      <c r="AV106" s="238" t="n">
        <f aca="false">AV104-AV105</f>
        <v>29785.188</v>
      </c>
      <c r="AW106" s="238" t="n">
        <f aca="false">AW104-AW105</f>
        <v>29433.234</v>
      </c>
      <c r="AX106" s="238" t="n">
        <f aca="false">AX104-AX105</f>
        <v>29081.289</v>
      </c>
      <c r="AY106" s="238" t="n">
        <f aca="false">AY104-AY105</f>
        <v>28729.3395</v>
      </c>
      <c r="AZ106" s="238" t="n">
        <f aca="false">AZ104-AZ105</f>
        <v>28377.39</v>
      </c>
      <c r="BA106" s="238" t="n">
        <f aca="false">BA104-BA105</f>
        <v>28025.4405</v>
      </c>
      <c r="BB106" s="238" t="n">
        <f aca="false">BB104-BB105</f>
        <v>27673.491</v>
      </c>
      <c r="BC106" s="238" t="n">
        <f aca="false">BC104-BC105</f>
        <v>27321.5415</v>
      </c>
      <c r="BD106" s="238" t="n">
        <f aca="false">BD104-BD105</f>
        <v>26969.592</v>
      </c>
      <c r="BE106" s="238" t="n">
        <f aca="false">BE104-BE105</f>
        <v>26617.6425</v>
      </c>
      <c r="BF106" s="238" t="n">
        <f aca="false">BF104-BF105</f>
        <v>26265.693</v>
      </c>
      <c r="BG106" s="238" t="n">
        <f aca="false">BG104-BG105</f>
        <v>25913.748</v>
      </c>
      <c r="BH106" s="238" t="n">
        <f aca="false">BH104-BH105</f>
        <v>49062.294</v>
      </c>
      <c r="BI106" s="238" t="n">
        <f aca="false">BI104-BI105</f>
        <v>48710.3445</v>
      </c>
      <c r="BJ106" s="238" t="n">
        <f aca="false">BJ104-BJ105</f>
        <v>100430.995</v>
      </c>
      <c r="BK106" s="238" t="n">
        <f aca="false">BK104-BK105</f>
        <v>0</v>
      </c>
      <c r="BL106" s="238" t="n">
        <f aca="false">BL104-BL105</f>
        <v>0</v>
      </c>
      <c r="BM106" s="238" t="n">
        <f aca="false">BM104-BM105</f>
        <v>0</v>
      </c>
      <c r="BN106" s="238" t="n">
        <f aca="false">BN104-BN105</f>
        <v>0</v>
      </c>
      <c r="BO106" s="238" t="n">
        <f aca="false">BO104-BO105</f>
        <v>0</v>
      </c>
      <c r="BP106" s="238" t="n">
        <f aca="false">BP104-BP105</f>
        <v>0</v>
      </c>
      <c r="BQ106" s="238" t="n">
        <f aca="false">BQ104-BQ105</f>
        <v>0</v>
      </c>
      <c r="BR106" s="238" t="n">
        <f aca="false">BR104-BR105</f>
        <v>0</v>
      </c>
      <c r="BS106" s="238" t="n">
        <f aca="false">BS104-BS105</f>
        <v>0</v>
      </c>
      <c r="BT106" s="238" t="n">
        <f aca="false">BT104-BT105</f>
        <v>0</v>
      </c>
      <c r="BU106" s="238" t="n">
        <f aca="false">BU104-BU105</f>
        <v>0</v>
      </c>
      <c r="BV106" s="238" t="n">
        <f aca="false">BV104-BV105</f>
        <v>0</v>
      </c>
      <c r="BW106" s="238" t="n">
        <f aca="false">BW104-BW105</f>
        <v>0</v>
      </c>
      <c r="BX106" s="238" t="n">
        <f aca="false">BX104-BX105</f>
        <v>0</v>
      </c>
      <c r="BY106" s="238" t="n">
        <f aca="false">BY104-BY105</f>
        <v>0</v>
      </c>
      <c r="BZ106" s="238" t="n">
        <f aca="false">BZ104-BZ105</f>
        <v>0</v>
      </c>
      <c r="CA106" s="238" t="n">
        <f aca="false">CA104-CA105</f>
        <v>0</v>
      </c>
      <c r="CB106" s="238" t="n">
        <f aca="false">CB104-CB105</f>
        <v>0</v>
      </c>
      <c r="CC106" s="238" t="n">
        <f aca="false">CC104-CC105</f>
        <v>0</v>
      </c>
      <c r="CD106" s="238" t="n">
        <f aca="false">CD104-CD105</f>
        <v>0</v>
      </c>
      <c r="CE106" s="238" t="n">
        <f aca="false">CE104-CE105</f>
        <v>0</v>
      </c>
      <c r="CF106" s="238" t="n">
        <f aca="false">CF104-CF105</f>
        <v>0</v>
      </c>
      <c r="CG106" s="238" t="n">
        <f aca="false">CG104-CG105</f>
        <v>0</v>
      </c>
      <c r="CH106" s="238" t="n">
        <f aca="false">CH104-CH105</f>
        <v>0</v>
      </c>
    </row>
    <row r="107" customFormat="false" ht="15" hidden="false" customHeight="true" outlineLevel="0" collapsed="false">
      <c r="A107" s="120" t="s">
        <v>450</v>
      </c>
      <c r="B107" s="236" t="n">
        <f aca="false">B103+B106</f>
        <v>4101960.074</v>
      </c>
      <c r="C107" s="238" t="n">
        <f aca="false">C103+C106</f>
        <v>0</v>
      </c>
      <c r="D107" s="238" t="n">
        <f aca="false">D103+D106</f>
        <v>0</v>
      </c>
      <c r="E107" s="238" t="n">
        <f aca="false">E103+E106</f>
        <v>0</v>
      </c>
      <c r="F107" s="238" t="n">
        <f aca="false">F103+F106</f>
        <v>0</v>
      </c>
      <c r="G107" s="238" t="n">
        <f aca="false">G103+G106</f>
        <v>0</v>
      </c>
      <c r="H107" s="238" t="n">
        <f aca="false">H103+H106</f>
        <v>0</v>
      </c>
      <c r="I107" s="238" t="n">
        <f aca="false">I103+I106</f>
        <v>0</v>
      </c>
      <c r="J107" s="238" t="n">
        <f aca="false">J103+J106</f>
        <v>0</v>
      </c>
      <c r="K107" s="238" t="n">
        <f aca="false">K103+K106</f>
        <v>0</v>
      </c>
      <c r="L107" s="238" t="n">
        <f aca="false">L103+L106</f>
        <v>23132.2304</v>
      </c>
      <c r="M107" s="238" t="n">
        <f aca="false">M103+M106</f>
        <v>16882.0304</v>
      </c>
      <c r="N107" s="238" t="n">
        <f aca="false">N103+N106</f>
        <v>16882.0304</v>
      </c>
      <c r="O107" s="238" t="n">
        <f aca="false">O103+O106</f>
        <v>16882.0304</v>
      </c>
      <c r="P107" s="238" t="n">
        <f aca="false">P103+P106</f>
        <v>12382.0304</v>
      </c>
      <c r="Q107" s="238" t="n">
        <f aca="false">Q103+Q106</f>
        <v>12382.0304</v>
      </c>
      <c r="R107" s="238" t="n">
        <f aca="false">R103+R106</f>
        <v>28954.2928</v>
      </c>
      <c r="S107" s="238" t="n">
        <f aca="false">S103+S106</f>
        <v>45526.5552</v>
      </c>
      <c r="T107" s="238" t="n">
        <f aca="false">T103+T106</f>
        <v>62098.8176</v>
      </c>
      <c r="U107" s="238" t="n">
        <f aca="false">U103+U106</f>
        <v>72225.794</v>
      </c>
      <c r="V107" s="238" t="n">
        <f aca="false">V103+V106</f>
        <v>87762.296</v>
      </c>
      <c r="W107" s="238" t="n">
        <f aca="false">W103+W106</f>
        <v>103298.786</v>
      </c>
      <c r="X107" s="238" t="n">
        <f aca="false">X103+X106</f>
        <v>118835.276</v>
      </c>
      <c r="Y107" s="238" t="n">
        <f aca="false">Y103+Y106</f>
        <v>134371.772</v>
      </c>
      <c r="Z107" s="238" t="n">
        <f aca="false">Z103+Z106</f>
        <v>149908.274</v>
      </c>
      <c r="AA107" s="238" t="n">
        <f aca="false">AA103+AA106</f>
        <v>152699.367</v>
      </c>
      <c r="AB107" s="238" t="n">
        <f aca="false">AB103+AB106</f>
        <v>166941.1605</v>
      </c>
      <c r="AC107" s="238" t="n">
        <f aca="false">AC103+AC106</f>
        <v>200231.2855</v>
      </c>
      <c r="AD107" s="238" t="n">
        <f aca="false">AD103+AD106</f>
        <v>151106.0555</v>
      </c>
      <c r="AE107" s="238" t="n">
        <f aca="false">AE103+AE106</f>
        <v>151536.2215</v>
      </c>
      <c r="AF107" s="238" t="n">
        <f aca="false">AF103+AF106</f>
        <v>151966.3765</v>
      </c>
      <c r="AG107" s="238" t="n">
        <f aca="false">AG103+AG106</f>
        <v>152396.537</v>
      </c>
      <c r="AH107" s="238" t="n">
        <f aca="false">AH103+AH106</f>
        <v>152826.692</v>
      </c>
      <c r="AI107" s="238" t="n">
        <f aca="false">AI103+AI106</f>
        <v>167498.6405</v>
      </c>
      <c r="AJ107" s="238" t="n">
        <f aca="false">AJ103+AJ106</f>
        <v>153687.0185</v>
      </c>
      <c r="AK107" s="238" t="n">
        <f aca="false">AK103+AK106</f>
        <v>139875.391</v>
      </c>
      <c r="AL107" s="238" t="n">
        <f aca="false">AL103+AL106</f>
        <v>126063.7635</v>
      </c>
      <c r="AM107" s="238" t="n">
        <f aca="false">AM103+AM106</f>
        <v>112252.1305</v>
      </c>
      <c r="AN107" s="238" t="n">
        <f aca="false">AN103+AN106</f>
        <v>90627.735</v>
      </c>
      <c r="AO107" s="238" t="n">
        <f aca="false">AO103+AO106</f>
        <v>78071.71</v>
      </c>
      <c r="AP107" s="238" t="n">
        <f aca="false">AP103+AP106</f>
        <v>65515.68</v>
      </c>
      <c r="AQ107" s="238" t="n">
        <f aca="false">AQ103+AQ106</f>
        <v>52959.66</v>
      </c>
      <c r="AR107" s="238" t="n">
        <f aca="false">AR103+AR106</f>
        <v>39919.0485</v>
      </c>
      <c r="AS107" s="238" t="n">
        <f aca="false">AS103+AS106</f>
        <v>80797.05</v>
      </c>
      <c r="AT107" s="238" t="n">
        <f aca="false">AT103+AT106</f>
        <v>67849.975</v>
      </c>
      <c r="AU107" s="238" t="n">
        <f aca="false">AU103+AU106</f>
        <v>42056.6125</v>
      </c>
      <c r="AV107" s="238" t="n">
        <f aca="false">AV103+AV106</f>
        <v>41626.452</v>
      </c>
      <c r="AW107" s="238" t="n">
        <f aca="false">AW103+AW106</f>
        <v>41196.286</v>
      </c>
      <c r="AX107" s="238" t="n">
        <f aca="false">AX103+AX106</f>
        <v>40766.131</v>
      </c>
      <c r="AY107" s="238" t="n">
        <f aca="false">AY103+AY106</f>
        <v>40335.9705</v>
      </c>
      <c r="AZ107" s="238" t="n">
        <f aca="false">AZ103+AZ106</f>
        <v>39905.81</v>
      </c>
      <c r="BA107" s="238" t="n">
        <f aca="false">BA103+BA106</f>
        <v>39475.6495</v>
      </c>
      <c r="BB107" s="238" t="n">
        <f aca="false">BB103+BB106</f>
        <v>39045.489</v>
      </c>
      <c r="BC107" s="238" t="n">
        <f aca="false">BC103+BC106</f>
        <v>38615.3285</v>
      </c>
      <c r="BD107" s="238" t="n">
        <f aca="false">BD103+BD106</f>
        <v>38185.168</v>
      </c>
      <c r="BE107" s="238" t="n">
        <f aca="false">BE103+BE106</f>
        <v>37755.0075</v>
      </c>
      <c r="BF107" s="238" t="n">
        <f aca="false">BF103+BF106</f>
        <v>37324.847</v>
      </c>
      <c r="BG107" s="238" t="n">
        <f aca="false">BG103+BG106</f>
        <v>36894.692</v>
      </c>
      <c r="BH107" s="238" t="n">
        <f aca="false">BH103+BH106</f>
        <v>59965.026</v>
      </c>
      <c r="BI107" s="238" t="n">
        <f aca="false">BI103+BI106</f>
        <v>59534.8655</v>
      </c>
      <c r="BJ107" s="238" t="n">
        <f aca="false">BJ103+BJ106</f>
        <v>112930.995</v>
      </c>
      <c r="BK107" s="238" t="n">
        <f aca="false">BK103+BK106</f>
        <v>0</v>
      </c>
      <c r="BL107" s="238" t="n">
        <f aca="false">BL103+BL106</f>
        <v>0</v>
      </c>
      <c r="BM107" s="238" t="n">
        <f aca="false">BM103+BM106</f>
        <v>0</v>
      </c>
      <c r="BN107" s="238" t="n">
        <f aca="false">BN103+BN106</f>
        <v>0</v>
      </c>
      <c r="BO107" s="238" t="n">
        <f aca="false">BO103+BO106</f>
        <v>0</v>
      </c>
      <c r="BP107" s="238" t="n">
        <f aca="false">BP103+BP106</f>
        <v>0</v>
      </c>
      <c r="BQ107" s="238" t="n">
        <f aca="false">BQ103+BQ106</f>
        <v>0</v>
      </c>
      <c r="BR107" s="238" t="n">
        <f aca="false">BR103+BR106</f>
        <v>0</v>
      </c>
      <c r="BS107" s="238" t="n">
        <f aca="false">BS103+BS106</f>
        <v>0</v>
      </c>
      <c r="BT107" s="238" t="n">
        <f aca="false">BT103+BT106</f>
        <v>0</v>
      </c>
      <c r="BU107" s="238" t="n">
        <f aca="false">BU103+BU106</f>
        <v>0</v>
      </c>
      <c r="BV107" s="238" t="n">
        <f aca="false">BV103+BV106</f>
        <v>0</v>
      </c>
      <c r="BW107" s="238" t="n">
        <f aca="false">BW103+BW106</f>
        <v>0</v>
      </c>
      <c r="BX107" s="238" t="n">
        <f aca="false">BX103+BX106</f>
        <v>0</v>
      </c>
      <c r="BY107" s="238" t="n">
        <f aca="false">BY103+BY106</f>
        <v>0</v>
      </c>
      <c r="BZ107" s="238" t="n">
        <f aca="false">BZ103+BZ106</f>
        <v>0</v>
      </c>
      <c r="CA107" s="238" t="n">
        <f aca="false">CA103+CA106</f>
        <v>0</v>
      </c>
      <c r="CB107" s="238" t="n">
        <f aca="false">CB103+CB106</f>
        <v>0</v>
      </c>
      <c r="CC107" s="238" t="n">
        <f aca="false">CC103+CC106</f>
        <v>0</v>
      </c>
      <c r="CD107" s="238" t="n">
        <f aca="false">CD103+CD106</f>
        <v>0</v>
      </c>
      <c r="CE107" s="238" t="n">
        <f aca="false">CE103+CE106</f>
        <v>0</v>
      </c>
      <c r="CF107" s="238" t="n">
        <f aca="false">CF103+CF106</f>
        <v>0</v>
      </c>
      <c r="CG107" s="238" t="n">
        <f aca="false">CG103+CG106</f>
        <v>0</v>
      </c>
      <c r="CH107" s="238" t="n">
        <f aca="false">CH103+CH106</f>
        <v>0</v>
      </c>
    </row>
  </sheetData>
  <mergeCells count="16">
    <mergeCell ref="C73:G73"/>
    <mergeCell ref="C74:G74"/>
    <mergeCell ref="C75:G75"/>
    <mergeCell ref="C76:G76"/>
    <mergeCell ref="C77:G77"/>
    <mergeCell ref="C78:G7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86" min="2" style="1" width="14"/>
  </cols>
  <sheetData>
    <row r="1" customFormat="false" ht="17.25" hidden="false" customHeight="true" outlineLevel="0" collapsed="false">
      <c r="A1" s="88" t="s">
        <v>563</v>
      </c>
      <c r="B1" s="88"/>
      <c r="C1" s="88"/>
      <c r="D1" s="88"/>
      <c r="E1" s="88"/>
      <c r="F1" s="8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</row>
    <row r="3" customFormat="false" ht="15" hidden="false" customHeight="true" outlineLevel="0" collapsed="false">
      <c r="A3" s="38" t="s">
        <v>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</row>
    <row r="4" customFormat="false" ht="15" hidden="false" customHeight="true" outlineLevel="0" collapsed="false">
      <c r="A4" s="95" t="s">
        <v>564</v>
      </c>
      <c r="B4" s="4"/>
      <c r="C4" s="239" t="n">
        <f aca="false">Model!E154</f>
        <v>9375</v>
      </c>
      <c r="D4" s="239" t="n">
        <f aca="false">Model!F154</f>
        <v>9375</v>
      </c>
      <c r="E4" s="239" t="n">
        <f aca="false">Model!G154</f>
        <v>9375</v>
      </c>
      <c r="F4" s="239" t="n">
        <f aca="false">Model!H154</f>
        <v>9375</v>
      </c>
      <c r="G4" s="239" t="n">
        <f aca="false">Model!I154</f>
        <v>9375</v>
      </c>
      <c r="H4" s="239" t="n">
        <f aca="false">Model!J154</f>
        <v>9375</v>
      </c>
      <c r="I4" s="239" t="n">
        <f aca="false">Model!K154</f>
        <v>9375</v>
      </c>
      <c r="J4" s="239" t="n">
        <f aca="false">Model!L154</f>
        <v>0</v>
      </c>
      <c r="K4" s="239" t="n">
        <f aca="false">Model!M154</f>
        <v>0</v>
      </c>
      <c r="L4" s="239" t="n">
        <f aca="false">Model!N154</f>
        <v>0</v>
      </c>
      <c r="M4" s="239" t="n">
        <f aca="false">Model!O154</f>
        <v>0</v>
      </c>
      <c r="N4" s="239" t="n">
        <f aca="false">Model!P154</f>
        <v>0</v>
      </c>
      <c r="O4" s="239" t="n">
        <f aca="false">Model!Q154</f>
        <v>0</v>
      </c>
      <c r="P4" s="239" t="n">
        <f aca="false">Model!R154</f>
        <v>0</v>
      </c>
      <c r="Q4" s="239" t="n">
        <f aca="false">Model!S154</f>
        <v>0</v>
      </c>
      <c r="R4" s="239" t="n">
        <f aca="false">Model!T154</f>
        <v>0</v>
      </c>
      <c r="S4" s="239" t="n">
        <f aca="false">Model!U154</f>
        <v>0</v>
      </c>
      <c r="T4" s="239" t="n">
        <f aca="false">Model!V154</f>
        <v>0</v>
      </c>
      <c r="U4" s="239" t="n">
        <f aca="false">Model!W154</f>
        <v>0</v>
      </c>
      <c r="V4" s="239" t="n">
        <f aca="false">Model!X154</f>
        <v>0</v>
      </c>
      <c r="W4" s="239" t="n">
        <f aca="false">Model!Y154</f>
        <v>0</v>
      </c>
      <c r="X4" s="239" t="n">
        <f aca="false">Model!Z154</f>
        <v>0</v>
      </c>
      <c r="Y4" s="239" t="n">
        <f aca="false">Model!AA154</f>
        <v>0</v>
      </c>
      <c r="Z4" s="239" t="n">
        <f aca="false">Model!AB154</f>
        <v>0</v>
      </c>
      <c r="AA4" s="239" t="n">
        <f aca="false">Model!AC154</f>
        <v>0</v>
      </c>
      <c r="AB4" s="239" t="n">
        <f aca="false">Model!AD154</f>
        <v>0</v>
      </c>
      <c r="AC4" s="239" t="n">
        <f aca="false">Model!AE154</f>
        <v>0</v>
      </c>
      <c r="AD4" s="239" t="n">
        <f aca="false">Model!AF154</f>
        <v>0</v>
      </c>
      <c r="AE4" s="239" t="n">
        <f aca="false">Model!AG154</f>
        <v>0</v>
      </c>
      <c r="AF4" s="239" t="n">
        <f aca="false">Model!AH154</f>
        <v>0</v>
      </c>
      <c r="AG4" s="239" t="n">
        <f aca="false">Model!AI154</f>
        <v>0</v>
      </c>
      <c r="AH4" s="239" t="n">
        <f aca="false">Model!AJ154</f>
        <v>0</v>
      </c>
      <c r="AI4" s="239" t="n">
        <f aca="false">Model!AK154</f>
        <v>0</v>
      </c>
      <c r="AJ4" s="239" t="n">
        <f aca="false">Model!AL154</f>
        <v>0</v>
      </c>
      <c r="AK4" s="239" t="n">
        <f aca="false">Model!AM154</f>
        <v>0</v>
      </c>
      <c r="AL4" s="239" t="n">
        <f aca="false">Model!AN154</f>
        <v>0</v>
      </c>
      <c r="AM4" s="239" t="n">
        <f aca="false">Model!AO154</f>
        <v>0</v>
      </c>
      <c r="AN4" s="239" t="n">
        <f aca="false">Model!AP154</f>
        <v>0</v>
      </c>
      <c r="AO4" s="239" t="n">
        <f aca="false">Model!AQ154</f>
        <v>0</v>
      </c>
      <c r="AP4" s="239" t="n">
        <f aca="false">Model!AR154</f>
        <v>0</v>
      </c>
      <c r="AQ4" s="239" t="n">
        <f aca="false">Model!AS154</f>
        <v>0</v>
      </c>
      <c r="AR4" s="239" t="n">
        <f aca="false">Model!AT154</f>
        <v>0</v>
      </c>
      <c r="AS4" s="239" t="n">
        <f aca="false">Model!AU154</f>
        <v>0</v>
      </c>
      <c r="AT4" s="239" t="n">
        <f aca="false">Model!AV154</f>
        <v>0</v>
      </c>
      <c r="AU4" s="239" t="n">
        <f aca="false">Model!AW154</f>
        <v>0</v>
      </c>
      <c r="AV4" s="239" t="n">
        <f aca="false">Model!AX154</f>
        <v>0</v>
      </c>
      <c r="AW4" s="239" t="n">
        <f aca="false">Model!AY154</f>
        <v>0</v>
      </c>
      <c r="AX4" s="239" t="n">
        <f aca="false">Model!AZ154</f>
        <v>0</v>
      </c>
      <c r="AY4" s="239" t="n">
        <f aca="false">Model!BA154</f>
        <v>0</v>
      </c>
      <c r="AZ4" s="239" t="n">
        <f aca="false">Model!BB154</f>
        <v>0</v>
      </c>
      <c r="BA4" s="239" t="n">
        <f aca="false">Model!BC154</f>
        <v>0</v>
      </c>
      <c r="BB4" s="239" t="n">
        <f aca="false">Model!BD154</f>
        <v>0</v>
      </c>
      <c r="BC4" s="239" t="n">
        <f aca="false">Model!BE154</f>
        <v>0</v>
      </c>
      <c r="BD4" s="239" t="n">
        <f aca="false">Model!BF154</f>
        <v>0</v>
      </c>
      <c r="BE4" s="239" t="n">
        <f aca="false">Model!BG154</f>
        <v>0</v>
      </c>
      <c r="BF4" s="239" t="n">
        <f aca="false">Model!BH154</f>
        <v>0</v>
      </c>
      <c r="BG4" s="239" t="n">
        <f aca="false">Model!BI154</f>
        <v>0</v>
      </c>
      <c r="BH4" s="239" t="n">
        <f aca="false">Model!BJ154</f>
        <v>0</v>
      </c>
      <c r="BI4" s="239" t="n">
        <f aca="false">Model!BK154</f>
        <v>0</v>
      </c>
      <c r="BJ4" s="239" t="n">
        <f aca="false">Model!BL154</f>
        <v>0</v>
      </c>
      <c r="BK4" s="239" t="n">
        <f aca="false">Model!BM154</f>
        <v>0</v>
      </c>
      <c r="BL4" s="239" t="n">
        <f aca="false">Model!BN154</f>
        <v>0</v>
      </c>
      <c r="BM4" s="239" t="n">
        <f aca="false">Model!BO154</f>
        <v>0</v>
      </c>
      <c r="BN4" s="239" t="n">
        <f aca="false">Model!BP154</f>
        <v>0</v>
      </c>
      <c r="BO4" s="239" t="n">
        <f aca="false">Model!BQ154</f>
        <v>0</v>
      </c>
      <c r="BP4" s="239" t="n">
        <f aca="false">Model!BR154</f>
        <v>0</v>
      </c>
      <c r="BQ4" s="239" t="n">
        <f aca="false">Model!BS154</f>
        <v>0</v>
      </c>
      <c r="BR4" s="239" t="n">
        <f aca="false">Model!BT154</f>
        <v>0</v>
      </c>
      <c r="BS4" s="239" t="n">
        <f aca="false">Model!BU154</f>
        <v>0</v>
      </c>
      <c r="BT4" s="239" t="n">
        <f aca="false">Model!BV154</f>
        <v>0</v>
      </c>
      <c r="BU4" s="239" t="n">
        <f aca="false">Model!BW154</f>
        <v>0</v>
      </c>
      <c r="BV4" s="239" t="n">
        <f aca="false">Model!BX154</f>
        <v>0</v>
      </c>
      <c r="BW4" s="239" t="n">
        <f aca="false">Model!BY154</f>
        <v>0</v>
      </c>
      <c r="BX4" s="239" t="n">
        <f aca="false">Model!BZ154</f>
        <v>0</v>
      </c>
      <c r="BY4" s="239" t="n">
        <f aca="false">Model!CA154</f>
        <v>0</v>
      </c>
      <c r="BZ4" s="239" t="n">
        <f aca="false">Model!CB154</f>
        <v>0</v>
      </c>
      <c r="CA4" s="239" t="n">
        <f aca="false">Model!CC154</f>
        <v>0</v>
      </c>
      <c r="CB4" s="239" t="n">
        <f aca="false">Model!CD154</f>
        <v>0</v>
      </c>
      <c r="CC4" s="239" t="n">
        <f aca="false">Model!CE154</f>
        <v>0</v>
      </c>
      <c r="CD4" s="239" t="n">
        <f aca="false">Model!CF154</f>
        <v>0</v>
      </c>
      <c r="CE4" s="239" t="n">
        <f aca="false">Model!CG154</f>
        <v>0</v>
      </c>
      <c r="CF4" s="239" t="n">
        <f aca="false">Model!CH154</f>
        <v>0</v>
      </c>
      <c r="CG4" s="239" t="n">
        <f aca="false">Model!CI154</f>
        <v>0</v>
      </c>
      <c r="CH4" s="239" t="n">
        <f aca="false">Model!CJ154</f>
        <v>0</v>
      </c>
    </row>
    <row r="5" customFormat="false" ht="15" hidden="false" customHeight="true" outlineLevel="0" collapsed="false">
      <c r="A5" s="240" t="s">
        <v>565</v>
      </c>
      <c r="B5" s="240"/>
      <c r="C5" s="241" t="n">
        <f aca="false">C4</f>
        <v>9375</v>
      </c>
      <c r="D5" s="241" t="n">
        <f aca="false">D4</f>
        <v>9375</v>
      </c>
      <c r="E5" s="241" t="n">
        <f aca="false">E4</f>
        <v>9375</v>
      </c>
      <c r="F5" s="241" t="n">
        <f aca="false">F4</f>
        <v>9375</v>
      </c>
      <c r="G5" s="241" t="n">
        <f aca="false">G4</f>
        <v>9375</v>
      </c>
      <c r="H5" s="241" t="n">
        <f aca="false">H4</f>
        <v>9375</v>
      </c>
      <c r="I5" s="241" t="n">
        <f aca="false">I4</f>
        <v>9375</v>
      </c>
      <c r="J5" s="241" t="n">
        <f aca="false">J4</f>
        <v>0</v>
      </c>
      <c r="K5" s="241" t="n">
        <f aca="false">K4</f>
        <v>0</v>
      </c>
      <c r="L5" s="241" t="n">
        <f aca="false">L4</f>
        <v>0</v>
      </c>
      <c r="M5" s="241" t="n">
        <f aca="false">M4</f>
        <v>0</v>
      </c>
      <c r="N5" s="241" t="n">
        <f aca="false">N4</f>
        <v>0</v>
      </c>
      <c r="O5" s="241" t="n">
        <f aca="false">O4</f>
        <v>0</v>
      </c>
      <c r="P5" s="241" t="n">
        <f aca="false">P4</f>
        <v>0</v>
      </c>
      <c r="Q5" s="241" t="n">
        <f aca="false">Q4</f>
        <v>0</v>
      </c>
      <c r="R5" s="241" t="n">
        <f aca="false">R4</f>
        <v>0</v>
      </c>
      <c r="S5" s="241" t="n">
        <f aca="false">S4</f>
        <v>0</v>
      </c>
      <c r="T5" s="241" t="n">
        <f aca="false">T4</f>
        <v>0</v>
      </c>
      <c r="U5" s="241" t="n">
        <f aca="false">U4</f>
        <v>0</v>
      </c>
      <c r="V5" s="241" t="n">
        <f aca="false">V4</f>
        <v>0</v>
      </c>
      <c r="W5" s="241" t="n">
        <f aca="false">W4</f>
        <v>0</v>
      </c>
      <c r="X5" s="241" t="n">
        <f aca="false">X4</f>
        <v>0</v>
      </c>
      <c r="Y5" s="241" t="n">
        <f aca="false">Y4</f>
        <v>0</v>
      </c>
      <c r="Z5" s="241" t="n">
        <f aca="false">Z4</f>
        <v>0</v>
      </c>
      <c r="AA5" s="241" t="n">
        <f aca="false">AA4</f>
        <v>0</v>
      </c>
      <c r="AB5" s="241" t="n">
        <f aca="false">AB4</f>
        <v>0</v>
      </c>
      <c r="AC5" s="241" t="n">
        <f aca="false">AC4</f>
        <v>0</v>
      </c>
      <c r="AD5" s="241" t="n">
        <f aca="false">AD4</f>
        <v>0</v>
      </c>
      <c r="AE5" s="241" t="n">
        <f aca="false">AE4</f>
        <v>0</v>
      </c>
      <c r="AF5" s="241" t="n">
        <f aca="false">AF4</f>
        <v>0</v>
      </c>
      <c r="AG5" s="241" t="n">
        <f aca="false">AG4</f>
        <v>0</v>
      </c>
      <c r="AH5" s="241" t="n">
        <f aca="false">AH4</f>
        <v>0</v>
      </c>
      <c r="AI5" s="241" t="n">
        <f aca="false">AI4</f>
        <v>0</v>
      </c>
      <c r="AJ5" s="241" t="n">
        <f aca="false">AJ4</f>
        <v>0</v>
      </c>
      <c r="AK5" s="241" t="n">
        <f aca="false">AK4</f>
        <v>0</v>
      </c>
      <c r="AL5" s="241" t="n">
        <f aca="false">AL4</f>
        <v>0</v>
      </c>
      <c r="AM5" s="241" t="n">
        <f aca="false">AM4</f>
        <v>0</v>
      </c>
      <c r="AN5" s="241" t="n">
        <f aca="false">AN4</f>
        <v>0</v>
      </c>
      <c r="AO5" s="241" t="n">
        <f aca="false">AO4</f>
        <v>0</v>
      </c>
      <c r="AP5" s="241" t="n">
        <f aca="false">AP4</f>
        <v>0</v>
      </c>
      <c r="AQ5" s="241" t="n">
        <f aca="false">AQ4</f>
        <v>0</v>
      </c>
      <c r="AR5" s="241" t="n">
        <f aca="false">AR4</f>
        <v>0</v>
      </c>
      <c r="AS5" s="241" t="n">
        <f aca="false">AS4</f>
        <v>0</v>
      </c>
      <c r="AT5" s="241" t="n">
        <f aca="false">AT4</f>
        <v>0</v>
      </c>
      <c r="AU5" s="241" t="n">
        <f aca="false">AU4</f>
        <v>0</v>
      </c>
      <c r="AV5" s="241" t="n">
        <f aca="false">AV4</f>
        <v>0</v>
      </c>
      <c r="AW5" s="241" t="n">
        <f aca="false">AW4</f>
        <v>0</v>
      </c>
      <c r="AX5" s="241" t="n">
        <f aca="false">AX4</f>
        <v>0</v>
      </c>
      <c r="AY5" s="241" t="n">
        <f aca="false">AY4</f>
        <v>0</v>
      </c>
      <c r="AZ5" s="241" t="n">
        <f aca="false">AZ4</f>
        <v>0</v>
      </c>
      <c r="BA5" s="241" t="n">
        <f aca="false">BA4</f>
        <v>0</v>
      </c>
      <c r="BB5" s="241" t="n">
        <f aca="false">BB4</f>
        <v>0</v>
      </c>
      <c r="BC5" s="241" t="n">
        <f aca="false">BC4</f>
        <v>0</v>
      </c>
      <c r="BD5" s="241" t="n">
        <f aca="false">BD4</f>
        <v>0</v>
      </c>
      <c r="BE5" s="241" t="n">
        <f aca="false">BE4</f>
        <v>0</v>
      </c>
      <c r="BF5" s="241" t="n">
        <f aca="false">BF4</f>
        <v>0</v>
      </c>
      <c r="BG5" s="241" t="n">
        <f aca="false">BG4</f>
        <v>0</v>
      </c>
      <c r="BH5" s="241" t="n">
        <f aca="false">BH4</f>
        <v>0</v>
      </c>
      <c r="BI5" s="241" t="n">
        <f aca="false">BI4</f>
        <v>0</v>
      </c>
      <c r="BJ5" s="241" t="n">
        <f aca="false">BJ4</f>
        <v>0</v>
      </c>
      <c r="BK5" s="241" t="n">
        <f aca="false">BK4</f>
        <v>0</v>
      </c>
      <c r="BL5" s="241" t="n">
        <f aca="false">BL4</f>
        <v>0</v>
      </c>
      <c r="BM5" s="241" t="n">
        <f aca="false">BM4</f>
        <v>0</v>
      </c>
      <c r="BN5" s="241" t="n">
        <f aca="false">BN4</f>
        <v>0</v>
      </c>
      <c r="BO5" s="241" t="n">
        <f aca="false">BO4</f>
        <v>0</v>
      </c>
      <c r="BP5" s="241" t="n">
        <f aca="false">BP4</f>
        <v>0</v>
      </c>
      <c r="BQ5" s="241" t="n">
        <f aca="false">BQ4</f>
        <v>0</v>
      </c>
      <c r="BR5" s="241" t="n">
        <f aca="false">BR4</f>
        <v>0</v>
      </c>
      <c r="BS5" s="241" t="n">
        <f aca="false">BS4</f>
        <v>0</v>
      </c>
      <c r="BT5" s="241" t="n">
        <f aca="false">BT4</f>
        <v>0</v>
      </c>
      <c r="BU5" s="241" t="n">
        <f aca="false">BU4</f>
        <v>0</v>
      </c>
      <c r="BV5" s="241" t="n">
        <f aca="false">BV4</f>
        <v>0</v>
      </c>
      <c r="BW5" s="241" t="n">
        <f aca="false">BW4</f>
        <v>0</v>
      </c>
      <c r="BX5" s="241" t="n">
        <f aca="false">BX4</f>
        <v>0</v>
      </c>
      <c r="BY5" s="241" t="n">
        <f aca="false">BY4</f>
        <v>0</v>
      </c>
      <c r="BZ5" s="241" t="n">
        <f aca="false">BZ4</f>
        <v>0</v>
      </c>
      <c r="CA5" s="241" t="n">
        <f aca="false">CA4</f>
        <v>0</v>
      </c>
      <c r="CB5" s="241" t="n">
        <f aca="false">CB4</f>
        <v>0</v>
      </c>
      <c r="CC5" s="241" t="n">
        <f aca="false">CC4</f>
        <v>0</v>
      </c>
      <c r="CD5" s="241" t="n">
        <f aca="false">CD4</f>
        <v>0</v>
      </c>
      <c r="CE5" s="241" t="n">
        <f aca="false">CE4</f>
        <v>0</v>
      </c>
      <c r="CF5" s="241" t="n">
        <f aca="false">CF4</f>
        <v>0</v>
      </c>
      <c r="CG5" s="241" t="n">
        <f aca="false">CG4</f>
        <v>0</v>
      </c>
      <c r="CH5" s="241" t="n">
        <f aca="false">CH4</f>
        <v>0</v>
      </c>
    </row>
    <row r="6" customFormat="false" ht="15" hidden="false" customHeight="true" outlineLevel="0" collapsed="false">
      <c r="A6" s="77" t="s">
        <v>566</v>
      </c>
      <c r="B6" s="4"/>
      <c r="C6" s="242" t="n">
        <f aca="false">C5</f>
        <v>9375</v>
      </c>
      <c r="D6" s="242" t="n">
        <f aca="false">C6+D5</f>
        <v>18750</v>
      </c>
      <c r="E6" s="242" t="n">
        <f aca="false">D6+E5</f>
        <v>28125</v>
      </c>
      <c r="F6" s="242" t="n">
        <f aca="false">E6+F5</f>
        <v>37500</v>
      </c>
      <c r="G6" s="242" t="n">
        <f aca="false">F6+G5</f>
        <v>46875</v>
      </c>
      <c r="H6" s="242" t="n">
        <f aca="false">G6+H5</f>
        <v>56250</v>
      </c>
      <c r="I6" s="242" t="n">
        <f aca="false">H6+I5</f>
        <v>65625</v>
      </c>
      <c r="J6" s="242" t="n">
        <f aca="false">I6+J5</f>
        <v>65625</v>
      </c>
      <c r="K6" s="242" t="n">
        <f aca="false">J6+K5</f>
        <v>65625</v>
      </c>
      <c r="L6" s="242" t="n">
        <f aca="false">K6+L5</f>
        <v>65625</v>
      </c>
      <c r="M6" s="242" t="n">
        <f aca="false">L6+M5</f>
        <v>65625</v>
      </c>
      <c r="N6" s="242" t="n">
        <f aca="false">M6+N5</f>
        <v>65625</v>
      </c>
      <c r="O6" s="242" t="n">
        <f aca="false">N6+O5</f>
        <v>65625</v>
      </c>
      <c r="P6" s="242" t="n">
        <f aca="false">O6+P5</f>
        <v>65625</v>
      </c>
      <c r="Q6" s="242" t="n">
        <f aca="false">P6+Q5</f>
        <v>65625</v>
      </c>
      <c r="R6" s="242" t="n">
        <f aca="false">Q6+R5</f>
        <v>65625</v>
      </c>
      <c r="S6" s="242" t="n">
        <f aca="false">R6+S5</f>
        <v>65625</v>
      </c>
      <c r="T6" s="242" t="n">
        <f aca="false">S6+T5</f>
        <v>65625</v>
      </c>
      <c r="U6" s="242" t="n">
        <f aca="false">T6+U5</f>
        <v>65625</v>
      </c>
      <c r="V6" s="242" t="n">
        <f aca="false">U6+V5</f>
        <v>65625</v>
      </c>
      <c r="W6" s="242" t="n">
        <f aca="false">V6+W5</f>
        <v>65625</v>
      </c>
      <c r="X6" s="242" t="n">
        <f aca="false">W6+X5</f>
        <v>65625</v>
      </c>
      <c r="Y6" s="242" t="n">
        <f aca="false">X6+Y5</f>
        <v>65625</v>
      </c>
      <c r="Z6" s="242" t="n">
        <f aca="false">Y6+Z5</f>
        <v>65625</v>
      </c>
      <c r="AA6" s="242" t="n">
        <f aca="false">Z6+AA5</f>
        <v>65625</v>
      </c>
      <c r="AB6" s="242" t="n">
        <f aca="false">AA6+AB5</f>
        <v>65625</v>
      </c>
      <c r="AC6" s="242" t="n">
        <f aca="false">AB6+AC5</f>
        <v>65625</v>
      </c>
      <c r="AD6" s="242" t="n">
        <f aca="false">AC6+AD5</f>
        <v>65625</v>
      </c>
      <c r="AE6" s="242" t="n">
        <f aca="false">AD6+AE5</f>
        <v>65625</v>
      </c>
      <c r="AF6" s="242" t="n">
        <f aca="false">AE6+AF5</f>
        <v>65625</v>
      </c>
      <c r="AG6" s="242" t="n">
        <f aca="false">AF6+AG5</f>
        <v>65625</v>
      </c>
      <c r="AH6" s="242" t="n">
        <f aca="false">AG6+AH5</f>
        <v>65625</v>
      </c>
      <c r="AI6" s="242" t="n">
        <f aca="false">AH6+AI5</f>
        <v>65625</v>
      </c>
      <c r="AJ6" s="242" t="n">
        <f aca="false">AI6+AJ5</f>
        <v>65625</v>
      </c>
      <c r="AK6" s="242" t="n">
        <f aca="false">AJ6+AK5</f>
        <v>65625</v>
      </c>
      <c r="AL6" s="242" t="n">
        <f aca="false">AK6+AL5</f>
        <v>65625</v>
      </c>
      <c r="AM6" s="242" t="n">
        <f aca="false">AL6+AM5</f>
        <v>65625</v>
      </c>
      <c r="AN6" s="242" t="n">
        <f aca="false">AM6+AN5</f>
        <v>65625</v>
      </c>
      <c r="AO6" s="242" t="n">
        <f aca="false">AN6+AO5</f>
        <v>65625</v>
      </c>
      <c r="AP6" s="242" t="n">
        <f aca="false">AO6+AP5</f>
        <v>65625</v>
      </c>
      <c r="AQ6" s="242" t="n">
        <f aca="false">AP6+AQ5</f>
        <v>65625</v>
      </c>
      <c r="AR6" s="242" t="n">
        <f aca="false">AQ6+AR5</f>
        <v>65625</v>
      </c>
      <c r="AS6" s="242" t="n">
        <f aca="false">AR6+AS5</f>
        <v>65625</v>
      </c>
      <c r="AT6" s="242" t="n">
        <f aca="false">AS6+AT5</f>
        <v>65625</v>
      </c>
      <c r="AU6" s="242" t="n">
        <f aca="false">AT6+AU5</f>
        <v>65625</v>
      </c>
      <c r="AV6" s="242" t="n">
        <f aca="false">AU6+AV5</f>
        <v>65625</v>
      </c>
      <c r="AW6" s="242" t="n">
        <f aca="false">AV6+AW5</f>
        <v>65625</v>
      </c>
      <c r="AX6" s="242" t="n">
        <f aca="false">AW6+AX5</f>
        <v>65625</v>
      </c>
      <c r="AY6" s="242" t="n">
        <f aca="false">AX6+AY5</f>
        <v>65625</v>
      </c>
      <c r="AZ6" s="242" t="n">
        <f aca="false">AY6+AZ5</f>
        <v>65625</v>
      </c>
      <c r="BA6" s="242" t="n">
        <f aca="false">AZ6+BA5</f>
        <v>65625</v>
      </c>
      <c r="BB6" s="242" t="n">
        <f aca="false">BA6+BB5</f>
        <v>65625</v>
      </c>
      <c r="BC6" s="242" t="n">
        <f aca="false">BB6+BC5</f>
        <v>65625</v>
      </c>
      <c r="BD6" s="242" t="n">
        <f aca="false">BC6+BD5</f>
        <v>65625</v>
      </c>
      <c r="BE6" s="242" t="n">
        <f aca="false">BD6+BE5</f>
        <v>65625</v>
      </c>
      <c r="BF6" s="242" t="n">
        <f aca="false">BE6+BF5</f>
        <v>65625</v>
      </c>
      <c r="BG6" s="242" t="n">
        <f aca="false">BF6+BG5</f>
        <v>65625</v>
      </c>
      <c r="BH6" s="242" t="n">
        <f aca="false">BG6+BH5</f>
        <v>65625</v>
      </c>
      <c r="BI6" s="242" t="n">
        <f aca="false">BH6+BI5</f>
        <v>65625</v>
      </c>
      <c r="BJ6" s="242" t="n">
        <f aca="false">BI6+BJ5</f>
        <v>65625</v>
      </c>
      <c r="BK6" s="242" t="n">
        <f aca="false">BJ6+BK5</f>
        <v>65625</v>
      </c>
      <c r="BL6" s="242" t="n">
        <f aca="false">BK6+BL5</f>
        <v>65625</v>
      </c>
      <c r="BM6" s="242" t="n">
        <f aca="false">BL6+BM5</f>
        <v>65625</v>
      </c>
      <c r="BN6" s="242" t="n">
        <f aca="false">BM6+BN5</f>
        <v>65625</v>
      </c>
      <c r="BO6" s="242" t="n">
        <f aca="false">BN6+BO5</f>
        <v>65625</v>
      </c>
      <c r="BP6" s="242" t="n">
        <f aca="false">BO6+BP5</f>
        <v>65625</v>
      </c>
      <c r="BQ6" s="242" t="n">
        <f aca="false">BP6+BQ5</f>
        <v>65625</v>
      </c>
      <c r="BR6" s="242" t="n">
        <f aca="false">BQ6+BR5</f>
        <v>65625</v>
      </c>
      <c r="BS6" s="242" t="n">
        <f aca="false">BR6+BS5</f>
        <v>65625</v>
      </c>
      <c r="BT6" s="242" t="n">
        <f aca="false">BS6+BT5</f>
        <v>65625</v>
      </c>
      <c r="BU6" s="242" t="n">
        <f aca="false">BT6+BU5</f>
        <v>65625</v>
      </c>
      <c r="BV6" s="242" t="n">
        <f aca="false">BU6+BV5</f>
        <v>65625</v>
      </c>
      <c r="BW6" s="242" t="n">
        <f aca="false">BV6+BW5</f>
        <v>65625</v>
      </c>
      <c r="BX6" s="242" t="n">
        <f aca="false">BW6+BX5</f>
        <v>65625</v>
      </c>
      <c r="BY6" s="242" t="n">
        <f aca="false">BX6+BY5</f>
        <v>65625</v>
      </c>
      <c r="BZ6" s="242" t="n">
        <f aca="false">BY6+BZ5</f>
        <v>65625</v>
      </c>
      <c r="CA6" s="242" t="n">
        <f aca="false">BZ6+CA5</f>
        <v>65625</v>
      </c>
      <c r="CB6" s="242" t="n">
        <f aca="false">CA6+CB5</f>
        <v>65625</v>
      </c>
      <c r="CC6" s="242" t="n">
        <f aca="false">CB6+CC5</f>
        <v>65625</v>
      </c>
      <c r="CD6" s="242" t="n">
        <f aca="false">CC6+CD5</f>
        <v>65625</v>
      </c>
      <c r="CE6" s="242" t="n">
        <f aca="false">CD6+CE5</f>
        <v>65625</v>
      </c>
      <c r="CF6" s="242" t="n">
        <f aca="false">CE6+CF5</f>
        <v>65625</v>
      </c>
      <c r="CG6" s="242" t="n">
        <f aca="false">CF6+CG5</f>
        <v>65625</v>
      </c>
      <c r="CH6" s="242" t="n">
        <f aca="false">CG6+CH5</f>
        <v>65625</v>
      </c>
    </row>
    <row r="7" customFormat="false" ht="1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customFormat="false" ht="15" hidden="false" customHeight="true" outlineLevel="0" collapsed="false">
      <c r="A8" s="38" t="s">
        <v>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</row>
    <row r="9" customFormat="false" ht="15" hidden="false" customHeight="true" outlineLevel="0" collapsed="false">
      <c r="A9" s="95" t="s">
        <v>564</v>
      </c>
      <c r="B9" s="4"/>
      <c r="C9" s="239" t="n">
        <f aca="false">Model!E150+Model!E151+Model!E152+Model!E153</f>
        <v>23906.25</v>
      </c>
      <c r="D9" s="239" t="n">
        <f aca="false">Model!F150+Model!F151+Model!F152+Model!F153</f>
        <v>23906.25</v>
      </c>
      <c r="E9" s="239" t="n">
        <f aca="false">Model!G150+Model!G151+Model!G152+Model!G153</f>
        <v>23906.25</v>
      </c>
      <c r="F9" s="239" t="n">
        <f aca="false">Model!H150+Model!H151+Model!H152+Model!H153</f>
        <v>23906.25</v>
      </c>
      <c r="G9" s="239" t="n">
        <f aca="false">Model!I150+Model!I151+Model!I152+Model!I153</f>
        <v>23906.25</v>
      </c>
      <c r="H9" s="239" t="n">
        <f aca="false">Model!J150+Model!J151+Model!J152+Model!J153</f>
        <v>23906.25</v>
      </c>
      <c r="I9" s="239" t="n">
        <f aca="false">Model!K150+Model!K151+Model!K152+Model!K153</f>
        <v>23906.25</v>
      </c>
      <c r="J9" s="239" t="n">
        <f aca="false">Model!L150+Model!L151+Model!L152+Model!L153</f>
        <v>23906.25</v>
      </c>
      <c r="K9" s="239" t="n">
        <f aca="false">Model!M150+Model!M151+Model!M152+Model!M153</f>
        <v>23906.25</v>
      </c>
      <c r="L9" s="239" t="n">
        <f aca="false">Model!N150+Model!N151+Model!N152+Model!N153</f>
        <v>23906.25</v>
      </c>
      <c r="M9" s="239" t="n">
        <f aca="false">Model!O150+Model!O151+Model!O152+Model!O153</f>
        <v>23906.25</v>
      </c>
      <c r="N9" s="239" t="n">
        <f aca="false">Model!P150+Model!P151+Model!P152+Model!P153</f>
        <v>23906.25</v>
      </c>
      <c r="O9" s="239" t="n">
        <f aca="false">Model!Q150+Model!Q151+Model!Q152+Model!Q153</f>
        <v>23906.25</v>
      </c>
      <c r="P9" s="239" t="n">
        <f aca="false">Model!R150+Model!R151+Model!R152+Model!R153</f>
        <v>23906.25</v>
      </c>
      <c r="Q9" s="239" t="n">
        <f aca="false">Model!S150+Model!S151+Model!S152+Model!S153</f>
        <v>23906.25</v>
      </c>
      <c r="R9" s="239" t="n">
        <f aca="false">Model!T150+Model!T151+Model!T152+Model!T153</f>
        <v>0</v>
      </c>
      <c r="S9" s="239" t="n">
        <f aca="false">Model!U150+Model!U151+Model!U152+Model!U153</f>
        <v>0</v>
      </c>
      <c r="T9" s="239" t="n">
        <f aca="false">Model!V150+Model!V151+Model!V152+Model!V153</f>
        <v>0</v>
      </c>
      <c r="U9" s="239" t="n">
        <f aca="false">Model!W150+Model!W151+Model!W152+Model!W153</f>
        <v>0</v>
      </c>
      <c r="V9" s="239" t="n">
        <f aca="false">Model!X150+Model!X151+Model!X152+Model!X153</f>
        <v>0</v>
      </c>
      <c r="W9" s="239" t="n">
        <f aca="false">Model!Y150+Model!Y151+Model!Y152+Model!Y153</f>
        <v>57375</v>
      </c>
      <c r="X9" s="239" t="n">
        <f aca="false">Model!Z150+Model!Z151+Model!Z152+Model!Z153</f>
        <v>0</v>
      </c>
      <c r="Y9" s="239" t="n">
        <f aca="false">Model!AA150+Model!AA151+Model!AA152+Model!AA153</f>
        <v>0</v>
      </c>
      <c r="Z9" s="239" t="n">
        <f aca="false">Model!AB150+Model!AB151+Model!AB152+Model!AB153</f>
        <v>57375</v>
      </c>
      <c r="AA9" s="239" t="n">
        <f aca="false">Model!AC150+Model!AC151+Model!AC152+Model!AC153</f>
        <v>0</v>
      </c>
      <c r="AB9" s="239" t="n">
        <f aca="false">Model!AD150+Model!AD151+Model!AD152+Model!AD153</f>
        <v>0</v>
      </c>
      <c r="AC9" s="239" t="n">
        <f aca="false">Model!AE150+Model!AE151+Model!AE152+Model!AE153</f>
        <v>57375</v>
      </c>
      <c r="AD9" s="239" t="n">
        <f aca="false">Model!AF150+Model!AF151+Model!AF152+Model!AF153</f>
        <v>0</v>
      </c>
      <c r="AE9" s="239" t="n">
        <f aca="false">Model!AG150+Model!AG151+Model!AG152+Model!AG153</f>
        <v>0</v>
      </c>
      <c r="AF9" s="239" t="n">
        <f aca="false">Model!AH150+Model!AH151+Model!AH152+Model!AH153</f>
        <v>0</v>
      </c>
      <c r="AG9" s="239" t="n">
        <f aca="false">Model!AI150+Model!AI151+Model!AI152+Model!AI153</f>
        <v>0</v>
      </c>
      <c r="AH9" s="239" t="n">
        <f aca="false">Model!AJ150+Model!AJ151+Model!AJ152+Model!AJ153</f>
        <v>0</v>
      </c>
      <c r="AI9" s="239" t="n">
        <f aca="false">Model!AK150+Model!AK151+Model!AK152+Model!AK153</f>
        <v>0</v>
      </c>
      <c r="AJ9" s="239" t="n">
        <f aca="false">Model!AL150+Model!AL151+Model!AL152+Model!AL153</f>
        <v>0</v>
      </c>
      <c r="AK9" s="239" t="n">
        <f aca="false">Model!AM150+Model!AM151+Model!AM152+Model!AM153</f>
        <v>0</v>
      </c>
      <c r="AL9" s="239" t="n">
        <f aca="false">Model!AN150+Model!AN151+Model!AN152+Model!AN153</f>
        <v>0</v>
      </c>
      <c r="AM9" s="239" t="n">
        <f aca="false">Model!AO150+Model!AO151+Model!AO152+Model!AO153</f>
        <v>0</v>
      </c>
      <c r="AN9" s="239" t="n">
        <f aca="false">Model!AP150+Model!AP151+Model!AP152+Model!AP153</f>
        <v>0</v>
      </c>
      <c r="AO9" s="239" t="n">
        <f aca="false">Model!AQ150+Model!AQ151+Model!AQ152+Model!AQ153</f>
        <v>0</v>
      </c>
      <c r="AP9" s="239" t="n">
        <f aca="false">Model!AR150+Model!AR151+Model!AR152+Model!AR153</f>
        <v>0</v>
      </c>
      <c r="AQ9" s="239" t="n">
        <f aca="false">Model!AS150+Model!AS151+Model!AS152+Model!AS153</f>
        <v>0</v>
      </c>
      <c r="AR9" s="239" t="n">
        <f aca="false">Model!AT150+Model!AT151+Model!AT152+Model!AT153</f>
        <v>0</v>
      </c>
      <c r="AS9" s="239" t="n">
        <f aca="false">Model!AU150+Model!AU151+Model!AU152+Model!AU153</f>
        <v>0</v>
      </c>
      <c r="AT9" s="239" t="n">
        <f aca="false">Model!AV150+Model!AV151+Model!AV152+Model!AV153</f>
        <v>0</v>
      </c>
      <c r="AU9" s="239" t="n">
        <f aca="false">Model!AW150+Model!AW151+Model!AW152+Model!AW153</f>
        <v>0</v>
      </c>
      <c r="AV9" s="239" t="n">
        <f aca="false">Model!AX150+Model!AX151+Model!AX152+Model!AX153</f>
        <v>0</v>
      </c>
      <c r="AW9" s="239" t="n">
        <f aca="false">Model!AY150+Model!AY151+Model!AY152+Model!AY153</f>
        <v>0</v>
      </c>
      <c r="AX9" s="239" t="n">
        <f aca="false">Model!AZ150+Model!AZ151+Model!AZ152+Model!AZ153</f>
        <v>0</v>
      </c>
      <c r="AY9" s="239" t="n">
        <f aca="false">Model!BA150+Model!BA151+Model!BA152+Model!BA153</f>
        <v>0</v>
      </c>
      <c r="AZ9" s="239" t="n">
        <f aca="false">Model!BB150+Model!BB151+Model!BB152+Model!BB153</f>
        <v>0</v>
      </c>
      <c r="BA9" s="239" t="n">
        <f aca="false">Model!BC150+Model!BC151+Model!BC152+Model!BC153</f>
        <v>0</v>
      </c>
      <c r="BB9" s="239" t="n">
        <f aca="false">Model!BD150+Model!BD151+Model!BD152+Model!BD153</f>
        <v>0</v>
      </c>
      <c r="BC9" s="239" t="n">
        <f aca="false">Model!BE150+Model!BE151+Model!BE152+Model!BE153</f>
        <v>0</v>
      </c>
      <c r="BD9" s="239" t="n">
        <f aca="false">Model!BF150+Model!BF151+Model!BF152+Model!BF153</f>
        <v>0</v>
      </c>
      <c r="BE9" s="239" t="n">
        <f aca="false">Model!BG150+Model!BG151+Model!BG152+Model!BG153</f>
        <v>0</v>
      </c>
      <c r="BF9" s="239" t="n">
        <f aca="false">Model!BH150+Model!BH151+Model!BH152+Model!BH153</f>
        <v>0</v>
      </c>
      <c r="BG9" s="239" t="n">
        <f aca="false">Model!BI150+Model!BI151+Model!BI152+Model!BI153</f>
        <v>0</v>
      </c>
      <c r="BH9" s="239" t="n">
        <f aca="false">Model!BJ150+Model!BJ151+Model!BJ152+Model!BJ153</f>
        <v>0</v>
      </c>
      <c r="BI9" s="239" t="n">
        <f aca="false">Model!BK150+Model!BK151+Model!BK152+Model!BK153</f>
        <v>0</v>
      </c>
      <c r="BJ9" s="239" t="n">
        <f aca="false">Model!BL150+Model!BL151+Model!BL152+Model!BL153</f>
        <v>0</v>
      </c>
      <c r="BK9" s="239" t="n">
        <f aca="false">Model!BM150+Model!BM151+Model!BM152+Model!BM153</f>
        <v>0</v>
      </c>
      <c r="BL9" s="239" t="n">
        <f aca="false">Model!BN150+Model!BN151+Model!BN152+Model!BN153</f>
        <v>0</v>
      </c>
      <c r="BM9" s="239" t="n">
        <f aca="false">Model!BO150+Model!BO151+Model!BO152+Model!BO153</f>
        <v>0</v>
      </c>
      <c r="BN9" s="239" t="n">
        <f aca="false">Model!BP150+Model!BP151+Model!BP152+Model!BP153</f>
        <v>0</v>
      </c>
      <c r="BO9" s="239" t="n">
        <f aca="false">Model!BQ150+Model!BQ151+Model!BQ152+Model!BQ153</f>
        <v>0</v>
      </c>
      <c r="BP9" s="239" t="n">
        <f aca="false">Model!BR150+Model!BR151+Model!BR152+Model!BR153</f>
        <v>0</v>
      </c>
      <c r="BQ9" s="239" t="n">
        <f aca="false">Model!BS150+Model!BS151+Model!BS152+Model!BS153</f>
        <v>0</v>
      </c>
      <c r="BR9" s="239" t="n">
        <f aca="false">Model!BT150+Model!BT151+Model!BT152+Model!BT153</f>
        <v>0</v>
      </c>
      <c r="BS9" s="239" t="n">
        <f aca="false">Model!BU150+Model!BU151+Model!BU152+Model!BU153</f>
        <v>0</v>
      </c>
      <c r="BT9" s="239" t="n">
        <f aca="false">Model!BV150+Model!BV151+Model!BV152+Model!BV153</f>
        <v>0</v>
      </c>
      <c r="BU9" s="239" t="n">
        <f aca="false">Model!BW150+Model!BW151+Model!BW152+Model!BW153</f>
        <v>0</v>
      </c>
      <c r="BV9" s="239" t="n">
        <f aca="false">Model!BX150+Model!BX151+Model!BX152+Model!BX153</f>
        <v>0</v>
      </c>
      <c r="BW9" s="239" t="n">
        <f aca="false">Model!BY150+Model!BY151+Model!BY152+Model!BY153</f>
        <v>0</v>
      </c>
      <c r="BX9" s="239" t="n">
        <f aca="false">Model!BZ150+Model!BZ151+Model!BZ152+Model!BZ153</f>
        <v>0</v>
      </c>
      <c r="BY9" s="239" t="n">
        <f aca="false">Model!CA150+Model!CA151+Model!CA152+Model!CA153</f>
        <v>0</v>
      </c>
      <c r="BZ9" s="239" t="n">
        <f aca="false">Model!CB150+Model!CB151+Model!CB152+Model!CB153</f>
        <v>0</v>
      </c>
      <c r="CA9" s="239" t="n">
        <f aca="false">Model!CC150+Model!CC151+Model!CC152+Model!CC153</f>
        <v>0</v>
      </c>
      <c r="CB9" s="239" t="n">
        <f aca="false">Model!CD150+Model!CD151+Model!CD152+Model!CD153</f>
        <v>0</v>
      </c>
      <c r="CC9" s="239" t="n">
        <f aca="false">Model!CE150+Model!CE151+Model!CE152+Model!CE153</f>
        <v>0</v>
      </c>
      <c r="CD9" s="239" t="n">
        <f aca="false">Model!CF150+Model!CF151+Model!CF152+Model!CF153</f>
        <v>0</v>
      </c>
      <c r="CE9" s="239" t="n">
        <f aca="false">Model!CG150+Model!CG151+Model!CG152+Model!CG153</f>
        <v>0</v>
      </c>
      <c r="CF9" s="239" t="n">
        <f aca="false">Model!CH150+Model!CH151+Model!CH152+Model!CH153</f>
        <v>0</v>
      </c>
      <c r="CG9" s="239" t="n">
        <f aca="false">Model!CI150+Model!CI151+Model!CI152+Model!CI153</f>
        <v>0</v>
      </c>
      <c r="CH9" s="239" t="n">
        <f aca="false">Model!CJ150+Model!CJ151+Model!CJ152+Model!CJ153</f>
        <v>0</v>
      </c>
    </row>
    <row r="10" customFormat="false" ht="15" hidden="false" customHeight="true" outlineLevel="0" collapsed="false">
      <c r="A10" s="240" t="s">
        <v>565</v>
      </c>
      <c r="B10" s="240"/>
      <c r="C10" s="241" t="n">
        <f aca="false">C9</f>
        <v>23906.25</v>
      </c>
      <c r="D10" s="241" t="n">
        <f aca="false">D9</f>
        <v>23906.25</v>
      </c>
      <c r="E10" s="241" t="n">
        <f aca="false">E9</f>
        <v>23906.25</v>
      </c>
      <c r="F10" s="241" t="n">
        <f aca="false">F9</f>
        <v>23906.25</v>
      </c>
      <c r="G10" s="241" t="n">
        <f aca="false">G9</f>
        <v>23906.25</v>
      </c>
      <c r="H10" s="241" t="n">
        <f aca="false">H9</f>
        <v>23906.25</v>
      </c>
      <c r="I10" s="241" t="n">
        <f aca="false">I9</f>
        <v>23906.25</v>
      </c>
      <c r="J10" s="241" t="n">
        <f aca="false">J9</f>
        <v>23906.25</v>
      </c>
      <c r="K10" s="241" t="n">
        <f aca="false">K9</f>
        <v>23906.25</v>
      </c>
      <c r="L10" s="241" t="n">
        <f aca="false">L9</f>
        <v>23906.25</v>
      </c>
      <c r="M10" s="241" t="n">
        <f aca="false">M9</f>
        <v>23906.25</v>
      </c>
      <c r="N10" s="241" t="n">
        <f aca="false">N9</f>
        <v>23906.25</v>
      </c>
      <c r="O10" s="241" t="n">
        <f aca="false">O9</f>
        <v>23906.25</v>
      </c>
      <c r="P10" s="241" t="n">
        <f aca="false">P9</f>
        <v>23906.25</v>
      </c>
      <c r="Q10" s="241" t="n">
        <f aca="false">Q9</f>
        <v>23906.25</v>
      </c>
      <c r="R10" s="241" t="n">
        <f aca="false">R9</f>
        <v>0</v>
      </c>
      <c r="S10" s="241" t="n">
        <f aca="false">S9</f>
        <v>0</v>
      </c>
      <c r="T10" s="241" t="n">
        <f aca="false">T9</f>
        <v>0</v>
      </c>
      <c r="U10" s="241" t="n">
        <f aca="false">U9</f>
        <v>0</v>
      </c>
      <c r="V10" s="241" t="n">
        <f aca="false">V9</f>
        <v>0</v>
      </c>
      <c r="W10" s="241" t="n">
        <f aca="false">W9</f>
        <v>57375</v>
      </c>
      <c r="X10" s="241" t="n">
        <f aca="false">X9</f>
        <v>0</v>
      </c>
      <c r="Y10" s="241" t="n">
        <f aca="false">Y9</f>
        <v>0</v>
      </c>
      <c r="Z10" s="241" t="n">
        <f aca="false">Z9</f>
        <v>57375</v>
      </c>
      <c r="AA10" s="241" t="n">
        <f aca="false">AA9</f>
        <v>0</v>
      </c>
      <c r="AB10" s="241" t="n">
        <f aca="false">AB9</f>
        <v>0</v>
      </c>
      <c r="AC10" s="241" t="n">
        <f aca="false">AC9</f>
        <v>57375</v>
      </c>
      <c r="AD10" s="241" t="n">
        <f aca="false">AD9</f>
        <v>0</v>
      </c>
      <c r="AE10" s="241" t="n">
        <f aca="false">AE9</f>
        <v>0</v>
      </c>
      <c r="AF10" s="241" t="n">
        <f aca="false">AF9</f>
        <v>0</v>
      </c>
      <c r="AG10" s="241" t="n">
        <f aca="false">AG9</f>
        <v>0</v>
      </c>
      <c r="AH10" s="241" t="n">
        <f aca="false">AH9</f>
        <v>0</v>
      </c>
      <c r="AI10" s="241" t="n">
        <f aca="false">AI9</f>
        <v>0</v>
      </c>
      <c r="AJ10" s="241" t="n">
        <f aca="false">AJ9</f>
        <v>0</v>
      </c>
      <c r="AK10" s="241" t="n">
        <f aca="false">AK9</f>
        <v>0</v>
      </c>
      <c r="AL10" s="241" t="n">
        <f aca="false">AL9</f>
        <v>0</v>
      </c>
      <c r="AM10" s="241" t="n">
        <f aca="false">AM9</f>
        <v>0</v>
      </c>
      <c r="AN10" s="241" t="n">
        <f aca="false">AN9</f>
        <v>0</v>
      </c>
      <c r="AO10" s="241" t="n">
        <f aca="false">AO9</f>
        <v>0</v>
      </c>
      <c r="AP10" s="241" t="n">
        <f aca="false">AP9</f>
        <v>0</v>
      </c>
      <c r="AQ10" s="241" t="n">
        <f aca="false">AQ9</f>
        <v>0</v>
      </c>
      <c r="AR10" s="241" t="n">
        <f aca="false">AR9</f>
        <v>0</v>
      </c>
      <c r="AS10" s="241" t="n">
        <f aca="false">AS9</f>
        <v>0</v>
      </c>
      <c r="AT10" s="241" t="n">
        <f aca="false">AT9</f>
        <v>0</v>
      </c>
      <c r="AU10" s="241" t="n">
        <f aca="false">AU9</f>
        <v>0</v>
      </c>
      <c r="AV10" s="241" t="n">
        <f aca="false">AV9</f>
        <v>0</v>
      </c>
      <c r="AW10" s="241" t="n">
        <f aca="false">AW9</f>
        <v>0</v>
      </c>
      <c r="AX10" s="241" t="n">
        <f aca="false">AX9</f>
        <v>0</v>
      </c>
      <c r="AY10" s="241" t="n">
        <f aca="false">AY9</f>
        <v>0</v>
      </c>
      <c r="AZ10" s="241" t="n">
        <f aca="false">AZ9</f>
        <v>0</v>
      </c>
      <c r="BA10" s="241" t="n">
        <f aca="false">BA9</f>
        <v>0</v>
      </c>
      <c r="BB10" s="241" t="n">
        <f aca="false">BB9</f>
        <v>0</v>
      </c>
      <c r="BC10" s="241" t="n">
        <f aca="false">BC9</f>
        <v>0</v>
      </c>
      <c r="BD10" s="241" t="n">
        <f aca="false">BD9</f>
        <v>0</v>
      </c>
      <c r="BE10" s="241" t="n">
        <f aca="false">BE9</f>
        <v>0</v>
      </c>
      <c r="BF10" s="241" t="n">
        <f aca="false">BF9</f>
        <v>0</v>
      </c>
      <c r="BG10" s="241" t="n">
        <f aca="false">BG9</f>
        <v>0</v>
      </c>
      <c r="BH10" s="241" t="n">
        <f aca="false">BH9</f>
        <v>0</v>
      </c>
      <c r="BI10" s="241" t="n">
        <f aca="false">BI9</f>
        <v>0</v>
      </c>
      <c r="BJ10" s="241" t="n">
        <f aca="false">BJ9</f>
        <v>0</v>
      </c>
      <c r="BK10" s="241" t="n">
        <f aca="false">BK9</f>
        <v>0</v>
      </c>
      <c r="BL10" s="241" t="n">
        <f aca="false">BL9</f>
        <v>0</v>
      </c>
      <c r="BM10" s="241" t="n">
        <f aca="false">BM9</f>
        <v>0</v>
      </c>
      <c r="BN10" s="241" t="n">
        <f aca="false">BN9</f>
        <v>0</v>
      </c>
      <c r="BO10" s="241" t="n">
        <f aca="false">BO9</f>
        <v>0</v>
      </c>
      <c r="BP10" s="241" t="n">
        <f aca="false">BP9</f>
        <v>0</v>
      </c>
      <c r="BQ10" s="241" t="n">
        <f aca="false">BQ9</f>
        <v>0</v>
      </c>
      <c r="BR10" s="241" t="n">
        <f aca="false">BR9</f>
        <v>0</v>
      </c>
      <c r="BS10" s="241" t="n">
        <f aca="false">BS9</f>
        <v>0</v>
      </c>
      <c r="BT10" s="241" t="n">
        <f aca="false">BT9</f>
        <v>0</v>
      </c>
      <c r="BU10" s="241" t="n">
        <f aca="false">BU9</f>
        <v>0</v>
      </c>
      <c r="BV10" s="241" t="n">
        <f aca="false">BV9</f>
        <v>0</v>
      </c>
      <c r="BW10" s="241" t="n">
        <f aca="false">BW9</f>
        <v>0</v>
      </c>
      <c r="BX10" s="241" t="n">
        <f aca="false">BX9</f>
        <v>0</v>
      </c>
      <c r="BY10" s="241" t="n">
        <f aca="false">BY9</f>
        <v>0</v>
      </c>
      <c r="BZ10" s="241" t="n">
        <f aca="false">BZ9</f>
        <v>0</v>
      </c>
      <c r="CA10" s="241" t="n">
        <f aca="false">CA9</f>
        <v>0</v>
      </c>
      <c r="CB10" s="241" t="n">
        <f aca="false">CB9</f>
        <v>0</v>
      </c>
      <c r="CC10" s="241" t="n">
        <f aca="false">CC9</f>
        <v>0</v>
      </c>
      <c r="CD10" s="241" t="n">
        <f aca="false">CD9</f>
        <v>0</v>
      </c>
      <c r="CE10" s="241" t="n">
        <f aca="false">CE9</f>
        <v>0</v>
      </c>
      <c r="CF10" s="241" t="n">
        <f aca="false">CF9</f>
        <v>0</v>
      </c>
      <c r="CG10" s="241" t="n">
        <f aca="false">CG9</f>
        <v>0</v>
      </c>
      <c r="CH10" s="241" t="n">
        <f aca="false">CH9</f>
        <v>0</v>
      </c>
    </row>
    <row r="11" customFormat="false" ht="15" hidden="false" customHeight="true" outlineLevel="0" collapsed="false">
      <c r="A11" s="77" t="s">
        <v>566</v>
      </c>
      <c r="B11" s="4"/>
      <c r="C11" s="242" t="n">
        <f aca="false">C10</f>
        <v>23906.25</v>
      </c>
      <c r="D11" s="242" t="n">
        <f aca="false">C11+D10</f>
        <v>47812.5</v>
      </c>
      <c r="E11" s="242" t="n">
        <f aca="false">D11+E10</f>
        <v>71718.75</v>
      </c>
      <c r="F11" s="242" t="n">
        <f aca="false">E11+F10</f>
        <v>95625</v>
      </c>
      <c r="G11" s="242" t="n">
        <f aca="false">F11+G10</f>
        <v>119531.25</v>
      </c>
      <c r="H11" s="242" t="n">
        <f aca="false">G11+H10</f>
        <v>143437.5</v>
      </c>
      <c r="I11" s="242" t="n">
        <f aca="false">H11+I10</f>
        <v>167343.75</v>
      </c>
      <c r="J11" s="242" t="n">
        <f aca="false">I11+J10</f>
        <v>191250</v>
      </c>
      <c r="K11" s="242" t="n">
        <f aca="false">J11+K10</f>
        <v>215156.25</v>
      </c>
      <c r="L11" s="242" t="n">
        <f aca="false">K11+L10</f>
        <v>239062.5</v>
      </c>
      <c r="M11" s="242" t="n">
        <f aca="false">L11+M10</f>
        <v>262968.75</v>
      </c>
      <c r="N11" s="242" t="n">
        <f aca="false">M11+N10</f>
        <v>286875</v>
      </c>
      <c r="O11" s="242" t="n">
        <f aca="false">N11+O10</f>
        <v>310781.25</v>
      </c>
      <c r="P11" s="242" t="n">
        <f aca="false">O11+P10</f>
        <v>334687.5</v>
      </c>
      <c r="Q11" s="242" t="n">
        <f aca="false">P11+Q10</f>
        <v>358593.75</v>
      </c>
      <c r="R11" s="242" t="n">
        <f aca="false">Q11+R10</f>
        <v>358593.75</v>
      </c>
      <c r="S11" s="242" t="n">
        <f aca="false">R11+S10</f>
        <v>358593.75</v>
      </c>
      <c r="T11" s="242" t="n">
        <f aca="false">S11+T10</f>
        <v>358593.75</v>
      </c>
      <c r="U11" s="242" t="n">
        <f aca="false">T11+U10</f>
        <v>358593.75</v>
      </c>
      <c r="V11" s="242" t="n">
        <f aca="false">U11+V10</f>
        <v>358593.75</v>
      </c>
      <c r="W11" s="242" t="n">
        <f aca="false">V11+W10</f>
        <v>415968.75</v>
      </c>
      <c r="X11" s="242" t="n">
        <f aca="false">W11+X10</f>
        <v>415968.75</v>
      </c>
      <c r="Y11" s="242" t="n">
        <f aca="false">X11+Y10</f>
        <v>415968.75</v>
      </c>
      <c r="Z11" s="242" t="n">
        <f aca="false">Y11+Z10</f>
        <v>473343.75</v>
      </c>
      <c r="AA11" s="242" t="n">
        <f aca="false">Z11+AA10</f>
        <v>473343.75</v>
      </c>
      <c r="AB11" s="242" t="n">
        <f aca="false">AA11+AB10</f>
        <v>473343.75</v>
      </c>
      <c r="AC11" s="242" t="n">
        <f aca="false">AB11+AC10</f>
        <v>530718.75</v>
      </c>
      <c r="AD11" s="242" t="n">
        <f aca="false">AC11+AD10</f>
        <v>530718.75</v>
      </c>
      <c r="AE11" s="242" t="n">
        <f aca="false">AD11+AE10</f>
        <v>530718.75</v>
      </c>
      <c r="AF11" s="242" t="n">
        <f aca="false">AE11+AF10</f>
        <v>530718.75</v>
      </c>
      <c r="AG11" s="242" t="n">
        <f aca="false">AF11+AG10</f>
        <v>530718.75</v>
      </c>
      <c r="AH11" s="242" t="n">
        <f aca="false">AG11+AH10</f>
        <v>530718.75</v>
      </c>
      <c r="AI11" s="242" t="n">
        <f aca="false">AH11+AI10</f>
        <v>530718.75</v>
      </c>
      <c r="AJ11" s="242" t="n">
        <f aca="false">AI11+AJ10</f>
        <v>530718.75</v>
      </c>
      <c r="AK11" s="242" t="n">
        <f aca="false">AJ11+AK10</f>
        <v>530718.75</v>
      </c>
      <c r="AL11" s="242" t="n">
        <f aca="false">AK11+AL10</f>
        <v>530718.75</v>
      </c>
      <c r="AM11" s="242" t="n">
        <f aca="false">AL11+AM10</f>
        <v>530718.75</v>
      </c>
      <c r="AN11" s="242" t="n">
        <f aca="false">AM11+AN10</f>
        <v>530718.75</v>
      </c>
      <c r="AO11" s="242" t="n">
        <f aca="false">AN11+AO10</f>
        <v>530718.75</v>
      </c>
      <c r="AP11" s="242" t="n">
        <f aca="false">AO11+AP10</f>
        <v>530718.75</v>
      </c>
      <c r="AQ11" s="242" t="n">
        <f aca="false">AP11+AQ10</f>
        <v>530718.75</v>
      </c>
      <c r="AR11" s="242" t="n">
        <f aca="false">AQ11+AR10</f>
        <v>530718.75</v>
      </c>
      <c r="AS11" s="242" t="n">
        <f aca="false">AR11+AS10</f>
        <v>530718.75</v>
      </c>
      <c r="AT11" s="242" t="n">
        <f aca="false">AS11+AT10</f>
        <v>530718.75</v>
      </c>
      <c r="AU11" s="242" t="n">
        <f aca="false">AT11+AU10</f>
        <v>530718.75</v>
      </c>
      <c r="AV11" s="242" t="n">
        <f aca="false">AU11+AV10</f>
        <v>530718.75</v>
      </c>
      <c r="AW11" s="242" t="n">
        <f aca="false">AV11+AW10</f>
        <v>530718.75</v>
      </c>
      <c r="AX11" s="242" t="n">
        <f aca="false">AW11+AX10</f>
        <v>530718.75</v>
      </c>
      <c r="AY11" s="242" t="n">
        <f aca="false">AX11+AY10</f>
        <v>530718.75</v>
      </c>
      <c r="AZ11" s="242" t="n">
        <f aca="false">AY11+AZ10</f>
        <v>530718.75</v>
      </c>
      <c r="BA11" s="242" t="n">
        <f aca="false">AZ11+BA10</f>
        <v>530718.75</v>
      </c>
      <c r="BB11" s="242" t="n">
        <f aca="false">BA11+BB10</f>
        <v>530718.75</v>
      </c>
      <c r="BC11" s="242" t="n">
        <f aca="false">BB11+BC10</f>
        <v>530718.75</v>
      </c>
      <c r="BD11" s="242" t="n">
        <f aca="false">BC11+BD10</f>
        <v>530718.75</v>
      </c>
      <c r="BE11" s="242" t="n">
        <f aca="false">BD11+BE10</f>
        <v>530718.75</v>
      </c>
      <c r="BF11" s="242" t="n">
        <f aca="false">BE11+BF10</f>
        <v>530718.75</v>
      </c>
      <c r="BG11" s="242" t="n">
        <f aca="false">BF11+BG10</f>
        <v>530718.75</v>
      </c>
      <c r="BH11" s="242" t="n">
        <f aca="false">BG11+BH10</f>
        <v>530718.75</v>
      </c>
      <c r="BI11" s="242" t="n">
        <f aca="false">BH11+BI10</f>
        <v>530718.75</v>
      </c>
      <c r="BJ11" s="242" t="n">
        <f aca="false">BI11+BJ10</f>
        <v>530718.75</v>
      </c>
      <c r="BK11" s="242" t="n">
        <f aca="false">BJ11+BK10</f>
        <v>530718.75</v>
      </c>
      <c r="BL11" s="242" t="n">
        <f aca="false">BK11+BL10</f>
        <v>530718.75</v>
      </c>
      <c r="BM11" s="242" t="n">
        <f aca="false">BL11+BM10</f>
        <v>530718.75</v>
      </c>
      <c r="BN11" s="242" t="n">
        <f aca="false">BM11+BN10</f>
        <v>530718.75</v>
      </c>
      <c r="BO11" s="242" t="n">
        <f aca="false">BN11+BO10</f>
        <v>530718.75</v>
      </c>
      <c r="BP11" s="242" t="n">
        <f aca="false">BO11+BP10</f>
        <v>530718.75</v>
      </c>
      <c r="BQ11" s="242" t="n">
        <f aca="false">BP11+BQ10</f>
        <v>530718.75</v>
      </c>
      <c r="BR11" s="242" t="n">
        <f aca="false">BQ11+BR10</f>
        <v>530718.75</v>
      </c>
      <c r="BS11" s="242" t="n">
        <f aca="false">BR11+BS10</f>
        <v>530718.75</v>
      </c>
      <c r="BT11" s="242" t="n">
        <f aca="false">BS11+BT10</f>
        <v>530718.75</v>
      </c>
      <c r="BU11" s="242" t="n">
        <f aca="false">BT11+BU10</f>
        <v>530718.75</v>
      </c>
      <c r="BV11" s="242" t="n">
        <f aca="false">BU11+BV10</f>
        <v>530718.75</v>
      </c>
      <c r="BW11" s="242" t="n">
        <f aca="false">BV11+BW10</f>
        <v>530718.75</v>
      </c>
      <c r="BX11" s="242" t="n">
        <f aca="false">BW11+BX10</f>
        <v>530718.75</v>
      </c>
      <c r="BY11" s="242" t="n">
        <f aca="false">BX11+BY10</f>
        <v>530718.75</v>
      </c>
      <c r="BZ11" s="242" t="n">
        <f aca="false">BY11+BZ10</f>
        <v>530718.75</v>
      </c>
      <c r="CA11" s="242" t="n">
        <f aca="false">BZ11+CA10</f>
        <v>530718.75</v>
      </c>
      <c r="CB11" s="242" t="n">
        <f aca="false">CA11+CB10</f>
        <v>530718.75</v>
      </c>
      <c r="CC11" s="242" t="n">
        <f aca="false">CB11+CC10</f>
        <v>530718.75</v>
      </c>
      <c r="CD11" s="242" t="n">
        <f aca="false">CC11+CD10</f>
        <v>530718.75</v>
      </c>
      <c r="CE11" s="242" t="n">
        <f aca="false">CD11+CE10</f>
        <v>530718.75</v>
      </c>
      <c r="CF11" s="242" t="n">
        <f aca="false">CE11+CF10</f>
        <v>530718.75</v>
      </c>
      <c r="CG11" s="242" t="n">
        <f aca="false">CF11+CG10</f>
        <v>530718.75</v>
      </c>
      <c r="CH11" s="242" t="n">
        <f aca="false">CG11+CH10</f>
        <v>530718.75</v>
      </c>
    </row>
    <row r="12" customFormat="false" ht="1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customFormat="false" ht="15" hidden="false" customHeight="true" outlineLevel="0" collapsed="false">
      <c r="A13" s="38" t="s">
        <v>16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</row>
    <row r="14" customFormat="false" ht="15" hidden="false" customHeight="true" outlineLevel="0" collapsed="false">
      <c r="A14" s="95" t="s">
        <v>564</v>
      </c>
      <c r="B14" s="4"/>
      <c r="C14" s="239" t="n">
        <f aca="false">Model!E156+Model!E157+Model!E158</f>
        <v>0</v>
      </c>
      <c r="D14" s="239" t="n">
        <f aca="false">Model!F156+Model!F157+Model!F158</f>
        <v>0</v>
      </c>
      <c r="E14" s="239" t="n">
        <f aca="false">Model!G156+Model!G157+Model!G158</f>
        <v>0</v>
      </c>
      <c r="F14" s="239" t="n">
        <f aca="false">Model!H156+Model!H157+Model!H158</f>
        <v>0</v>
      </c>
      <c r="G14" s="239" t="n">
        <f aca="false">Model!I156+Model!I157+Model!I158</f>
        <v>253980</v>
      </c>
      <c r="H14" s="239" t="n">
        <f aca="false">Model!J156+Model!J157+Model!J158</f>
        <v>0</v>
      </c>
      <c r="I14" s="239" t="n">
        <f aca="false">Model!K156+Model!K157+Model!K158</f>
        <v>12631.58</v>
      </c>
      <c r="J14" s="239" t="n">
        <f aca="false">Model!L156+Model!L157+Model!L158</f>
        <v>12631.58</v>
      </c>
      <c r="K14" s="239" t="n">
        <f aca="false">Model!M156+Model!M157+Model!M158</f>
        <v>12631.58</v>
      </c>
      <c r="L14" s="239" t="n">
        <f aca="false">Model!N156+Model!N157+Model!N158</f>
        <v>12631.58</v>
      </c>
      <c r="M14" s="239" t="n">
        <f aca="false">Model!O156+Model!O157+Model!O158</f>
        <v>12631.58</v>
      </c>
      <c r="N14" s="239" t="n">
        <f aca="false">Model!P156+Model!P157+Model!P158</f>
        <v>12631.58</v>
      </c>
      <c r="O14" s="239" t="n">
        <f aca="false">Model!Q156+Model!Q157+Model!Q158</f>
        <v>12631.58</v>
      </c>
      <c r="P14" s="239" t="n">
        <f aca="false">Model!R156+Model!R157+Model!R158</f>
        <v>12631.58</v>
      </c>
      <c r="Q14" s="239" t="n">
        <f aca="false">Model!S156+Model!S157+Model!S158</f>
        <v>12631.58</v>
      </c>
      <c r="R14" s="239" t="n">
        <f aca="false">Model!T156+Model!T157+Model!T158</f>
        <v>12631.58</v>
      </c>
      <c r="S14" s="239" t="n">
        <f aca="false">Model!U156+Model!U157+Model!U158</f>
        <v>12631.58</v>
      </c>
      <c r="T14" s="239" t="n">
        <f aca="false">Model!V156+Model!V157+Model!V158</f>
        <v>12631.58</v>
      </c>
      <c r="U14" s="239" t="n">
        <f aca="false">Model!W156+Model!W157+Model!W158</f>
        <v>12631.58</v>
      </c>
      <c r="V14" s="239" t="n">
        <f aca="false">Model!X156+Model!X157+Model!X158</f>
        <v>12631.58</v>
      </c>
      <c r="W14" s="239" t="n">
        <f aca="false">Model!Y156+Model!Y157+Model!Y158</f>
        <v>12631.58</v>
      </c>
      <c r="X14" s="239" t="n">
        <f aca="false">Model!Z156+Model!Z157+Model!Z158</f>
        <v>12631.58</v>
      </c>
      <c r="Y14" s="239" t="n">
        <f aca="false">Model!AA156+Model!AA157+Model!AA158</f>
        <v>12631.58</v>
      </c>
      <c r="Z14" s="239" t="n">
        <f aca="false">Model!AB156+Model!AB157+Model!AB158</f>
        <v>12631.58</v>
      </c>
      <c r="AA14" s="239" t="n">
        <f aca="false">Model!AC156+Model!AC157+Model!AC158</f>
        <v>12631.58</v>
      </c>
      <c r="AB14" s="239" t="n">
        <f aca="false">Model!AD156+Model!AD157+Model!AD158</f>
        <v>0</v>
      </c>
      <c r="AC14" s="239" t="n">
        <f aca="false">Model!AE156+Model!AE157+Model!AE158</f>
        <v>0</v>
      </c>
      <c r="AD14" s="239" t="n">
        <f aca="false">Model!AF156+Model!AF157+Model!AF158</f>
        <v>0</v>
      </c>
      <c r="AE14" s="239" t="n">
        <f aca="false">Model!AG156+Model!AG157+Model!AG158</f>
        <v>0</v>
      </c>
      <c r="AF14" s="239" t="n">
        <f aca="false">Model!AH156+Model!AH157+Model!AH158</f>
        <v>0</v>
      </c>
      <c r="AG14" s="239" t="n">
        <f aca="false">Model!AI156+Model!AI157+Model!AI158</f>
        <v>0</v>
      </c>
      <c r="AH14" s="239" t="n">
        <f aca="false">Model!AJ156+Model!AJ157+Model!AJ158</f>
        <v>0</v>
      </c>
      <c r="AI14" s="239" t="n">
        <f aca="false">Model!AK156+Model!AK157+Model!AK158</f>
        <v>0</v>
      </c>
      <c r="AJ14" s="239" t="n">
        <f aca="false">Model!AL156+Model!AL157+Model!AL158</f>
        <v>0</v>
      </c>
      <c r="AK14" s="239" t="n">
        <f aca="false">Model!AM156+Model!AM157+Model!AM158</f>
        <v>0</v>
      </c>
      <c r="AL14" s="239" t="n">
        <f aca="false">Model!AN156+Model!AN157+Model!AN158</f>
        <v>0</v>
      </c>
      <c r="AM14" s="239" t="n">
        <f aca="false">Model!AO156+Model!AO157+Model!AO158</f>
        <v>0</v>
      </c>
      <c r="AN14" s="239" t="n">
        <f aca="false">Model!AP156+Model!AP157+Model!AP158</f>
        <v>0</v>
      </c>
      <c r="AO14" s="239" t="n">
        <f aca="false">Model!AQ156+Model!AQ157+Model!AQ158</f>
        <v>0</v>
      </c>
      <c r="AP14" s="239" t="n">
        <f aca="false">Model!AR156+Model!AR157+Model!AR158</f>
        <v>0</v>
      </c>
      <c r="AQ14" s="239" t="n">
        <f aca="false">Model!AS156+Model!AS157+Model!AS158</f>
        <v>0</v>
      </c>
      <c r="AR14" s="239" t="n">
        <f aca="false">Model!AT156+Model!AT157+Model!AT158</f>
        <v>0</v>
      </c>
      <c r="AS14" s="239" t="n">
        <f aca="false">Model!AU156+Model!AU157+Model!AU158</f>
        <v>0</v>
      </c>
      <c r="AT14" s="239" t="n">
        <f aca="false">Model!AV156+Model!AV157+Model!AV158</f>
        <v>0</v>
      </c>
      <c r="AU14" s="239" t="n">
        <f aca="false">Model!AW156+Model!AW157+Model!AW158</f>
        <v>0</v>
      </c>
      <c r="AV14" s="239" t="n">
        <f aca="false">Model!AX156+Model!AX157+Model!AX158</f>
        <v>0</v>
      </c>
      <c r="AW14" s="239" t="n">
        <f aca="false">Model!AY156+Model!AY157+Model!AY158</f>
        <v>0</v>
      </c>
      <c r="AX14" s="239" t="n">
        <f aca="false">Model!AZ156+Model!AZ157+Model!AZ158</f>
        <v>0</v>
      </c>
      <c r="AY14" s="239" t="n">
        <f aca="false">Model!BA156+Model!BA157+Model!BA158</f>
        <v>0</v>
      </c>
      <c r="AZ14" s="239" t="n">
        <f aca="false">Model!BB156+Model!BB157+Model!BB158</f>
        <v>0</v>
      </c>
      <c r="BA14" s="239" t="n">
        <f aca="false">Model!BC156+Model!BC157+Model!BC158</f>
        <v>0</v>
      </c>
      <c r="BB14" s="239" t="n">
        <f aca="false">Model!BD156+Model!BD157+Model!BD158</f>
        <v>0</v>
      </c>
      <c r="BC14" s="239" t="n">
        <f aca="false">Model!BE156+Model!BE157+Model!BE158</f>
        <v>0</v>
      </c>
      <c r="BD14" s="239" t="n">
        <f aca="false">Model!BF156+Model!BF157+Model!BF158</f>
        <v>0</v>
      </c>
      <c r="BE14" s="239" t="n">
        <f aca="false">Model!BG156+Model!BG157+Model!BG158</f>
        <v>0</v>
      </c>
      <c r="BF14" s="239" t="n">
        <f aca="false">Model!BH156+Model!BH157+Model!BH158</f>
        <v>0</v>
      </c>
      <c r="BG14" s="239" t="n">
        <f aca="false">Model!BI156+Model!BI157+Model!BI158</f>
        <v>0</v>
      </c>
      <c r="BH14" s="239" t="n">
        <f aca="false">Model!BJ156+Model!BJ157+Model!BJ158</f>
        <v>0</v>
      </c>
      <c r="BI14" s="239" t="n">
        <f aca="false">Model!BK156+Model!BK157+Model!BK158</f>
        <v>0</v>
      </c>
      <c r="BJ14" s="239" t="n">
        <f aca="false">Model!BL156+Model!BL157+Model!BL158</f>
        <v>0</v>
      </c>
      <c r="BK14" s="239" t="n">
        <f aca="false">Model!BM156+Model!BM157+Model!BM158</f>
        <v>0</v>
      </c>
      <c r="BL14" s="239" t="n">
        <f aca="false">Model!BN156+Model!BN157+Model!BN158</f>
        <v>0</v>
      </c>
      <c r="BM14" s="239" t="n">
        <f aca="false">Model!BO156+Model!BO157+Model!BO158</f>
        <v>0</v>
      </c>
      <c r="BN14" s="239" t="n">
        <f aca="false">Model!BP156+Model!BP157+Model!BP158</f>
        <v>0</v>
      </c>
      <c r="BO14" s="239" t="n">
        <f aca="false">Model!BQ156+Model!BQ157+Model!BQ158</f>
        <v>0</v>
      </c>
      <c r="BP14" s="239" t="n">
        <f aca="false">Model!BR156+Model!BR157+Model!BR158</f>
        <v>0</v>
      </c>
      <c r="BQ14" s="239" t="n">
        <f aca="false">Model!BS156+Model!BS157+Model!BS158</f>
        <v>0</v>
      </c>
      <c r="BR14" s="239" t="n">
        <f aca="false">Model!BT156+Model!BT157+Model!BT158</f>
        <v>0</v>
      </c>
      <c r="BS14" s="239" t="n">
        <f aca="false">Model!BU156+Model!BU157+Model!BU158</f>
        <v>0</v>
      </c>
      <c r="BT14" s="239" t="n">
        <f aca="false">Model!BV156+Model!BV157+Model!BV158</f>
        <v>0</v>
      </c>
      <c r="BU14" s="239" t="n">
        <f aca="false">Model!BW156+Model!BW157+Model!BW158</f>
        <v>0</v>
      </c>
      <c r="BV14" s="239" t="n">
        <f aca="false">Model!BX156+Model!BX157+Model!BX158</f>
        <v>0</v>
      </c>
      <c r="BW14" s="239" t="n">
        <f aca="false">Model!BY156+Model!BY157+Model!BY158</f>
        <v>0</v>
      </c>
      <c r="BX14" s="239" t="n">
        <f aca="false">Model!BZ156+Model!BZ157+Model!BZ158</f>
        <v>0</v>
      </c>
      <c r="BY14" s="239" t="n">
        <f aca="false">Model!CA156+Model!CA157+Model!CA158</f>
        <v>0</v>
      </c>
      <c r="BZ14" s="239" t="n">
        <f aca="false">Model!CB156+Model!CB157+Model!CB158</f>
        <v>0</v>
      </c>
      <c r="CA14" s="239" t="n">
        <f aca="false">Model!CC156+Model!CC157+Model!CC158</f>
        <v>0</v>
      </c>
      <c r="CB14" s="239" t="n">
        <f aca="false">Model!CD156+Model!CD157+Model!CD158</f>
        <v>0</v>
      </c>
      <c r="CC14" s="239" t="n">
        <f aca="false">Model!CE156+Model!CE157+Model!CE158</f>
        <v>0</v>
      </c>
      <c r="CD14" s="239" t="n">
        <f aca="false">Model!CF156+Model!CF157+Model!CF158</f>
        <v>0</v>
      </c>
      <c r="CE14" s="239" t="n">
        <f aca="false">Model!CG156+Model!CG157+Model!CG158</f>
        <v>0</v>
      </c>
      <c r="CF14" s="239" t="n">
        <f aca="false">Model!CH156+Model!CH157+Model!CH158</f>
        <v>0</v>
      </c>
      <c r="CG14" s="239" t="n">
        <f aca="false">Model!CI156+Model!CI157+Model!CI158</f>
        <v>0</v>
      </c>
      <c r="CH14" s="239" t="n">
        <f aca="false">Model!CJ156+Model!CJ157+Model!CJ158</f>
        <v>0</v>
      </c>
    </row>
    <row r="15" customFormat="false" ht="15" hidden="false" customHeight="true" outlineLevel="0" collapsed="false">
      <c r="A15" s="243" t="s">
        <v>567</v>
      </c>
      <c r="B15" s="4"/>
      <c r="C15" s="244" t="n">
        <v>0</v>
      </c>
      <c r="D15" s="244" t="n">
        <v>0</v>
      </c>
      <c r="E15" s="244" t="n">
        <v>0</v>
      </c>
      <c r="F15" s="244" t="n">
        <v>0</v>
      </c>
      <c r="G15" s="244" t="n">
        <f aca="false">IF(Projects!$G$11="Yes",-155771,0)</f>
        <v>-155771</v>
      </c>
      <c r="H15" s="244" t="n">
        <v>0</v>
      </c>
      <c r="I15" s="244" t="n">
        <v>0</v>
      </c>
      <c r="J15" s="244" t="n">
        <v>0</v>
      </c>
      <c r="K15" s="244" t="n">
        <v>0</v>
      </c>
      <c r="L15" s="244" t="n">
        <v>0</v>
      </c>
      <c r="M15" s="244" t="n">
        <v>0</v>
      </c>
      <c r="N15" s="244" t="n">
        <v>0</v>
      </c>
      <c r="O15" s="244" t="n">
        <v>0</v>
      </c>
      <c r="P15" s="244" t="n">
        <v>0</v>
      </c>
      <c r="Q15" s="244" t="n">
        <v>0</v>
      </c>
      <c r="R15" s="244" t="n">
        <v>0</v>
      </c>
      <c r="S15" s="244" t="n">
        <v>0</v>
      </c>
      <c r="T15" s="244" t="n">
        <v>0</v>
      </c>
      <c r="U15" s="244" t="n">
        <v>0</v>
      </c>
      <c r="V15" s="244" t="n">
        <v>0</v>
      </c>
      <c r="W15" s="244" t="n">
        <v>0</v>
      </c>
      <c r="X15" s="244" t="n">
        <v>0</v>
      </c>
      <c r="Y15" s="244" t="n">
        <v>0</v>
      </c>
      <c r="Z15" s="244" t="n">
        <v>0</v>
      </c>
      <c r="AA15" s="244" t="n">
        <v>0</v>
      </c>
      <c r="AB15" s="244" t="n">
        <v>0</v>
      </c>
      <c r="AC15" s="244" t="n">
        <v>0</v>
      </c>
      <c r="AD15" s="244" t="n">
        <v>0</v>
      </c>
      <c r="AE15" s="244" t="n">
        <v>0</v>
      </c>
      <c r="AF15" s="244" t="n">
        <v>0</v>
      </c>
      <c r="AG15" s="244" t="n">
        <v>0</v>
      </c>
      <c r="AH15" s="244" t="n">
        <v>0</v>
      </c>
      <c r="AI15" s="244" t="n">
        <v>0</v>
      </c>
      <c r="AJ15" s="244" t="n">
        <v>0</v>
      </c>
      <c r="AK15" s="244" t="n">
        <v>0</v>
      </c>
      <c r="AL15" s="244" t="n">
        <v>0</v>
      </c>
      <c r="AM15" s="244" t="n">
        <v>0</v>
      </c>
      <c r="AN15" s="244" t="n">
        <v>0</v>
      </c>
      <c r="AO15" s="244" t="n">
        <v>0</v>
      </c>
      <c r="AP15" s="244" t="n">
        <v>0</v>
      </c>
      <c r="AQ15" s="244" t="n">
        <v>0</v>
      </c>
      <c r="AR15" s="244" t="n">
        <v>0</v>
      </c>
      <c r="AS15" s="244" t="n">
        <v>0</v>
      </c>
      <c r="AT15" s="244" t="n">
        <v>0</v>
      </c>
      <c r="AU15" s="244" t="n">
        <v>0</v>
      </c>
      <c r="AV15" s="244" t="n">
        <v>0</v>
      </c>
      <c r="AW15" s="244" t="n">
        <v>0</v>
      </c>
      <c r="AX15" s="244" t="n">
        <v>0</v>
      </c>
      <c r="AY15" s="244" t="n">
        <v>0</v>
      </c>
      <c r="AZ15" s="244" t="n">
        <v>0</v>
      </c>
      <c r="BA15" s="244" t="n">
        <v>0</v>
      </c>
      <c r="BB15" s="244" t="n">
        <v>0</v>
      </c>
      <c r="BC15" s="244" t="n">
        <v>0</v>
      </c>
      <c r="BD15" s="244" t="n">
        <v>0</v>
      </c>
      <c r="BE15" s="244" t="n">
        <v>0</v>
      </c>
      <c r="BF15" s="244" t="n">
        <v>0</v>
      </c>
      <c r="BG15" s="244" t="n">
        <v>0</v>
      </c>
      <c r="BH15" s="244" t="n">
        <v>0</v>
      </c>
      <c r="BI15" s="244" t="n">
        <v>0</v>
      </c>
      <c r="BJ15" s="244" t="n">
        <v>0</v>
      </c>
      <c r="BK15" s="244" t="n">
        <v>0</v>
      </c>
      <c r="BL15" s="244" t="n">
        <v>0</v>
      </c>
      <c r="BM15" s="244" t="n">
        <v>0</v>
      </c>
      <c r="BN15" s="244" t="n">
        <v>0</v>
      </c>
      <c r="BO15" s="244" t="n">
        <v>0</v>
      </c>
      <c r="BP15" s="244" t="n">
        <v>0</v>
      </c>
      <c r="BQ15" s="244" t="n">
        <v>0</v>
      </c>
      <c r="BR15" s="244" t="n">
        <v>0</v>
      </c>
      <c r="BS15" s="244" t="n">
        <v>0</v>
      </c>
      <c r="BT15" s="244" t="n">
        <v>0</v>
      </c>
      <c r="BU15" s="244" t="n">
        <v>0</v>
      </c>
      <c r="BV15" s="244" t="n">
        <v>0</v>
      </c>
      <c r="BW15" s="244" t="n">
        <v>0</v>
      </c>
      <c r="BX15" s="244" t="n">
        <v>0</v>
      </c>
      <c r="BY15" s="244" t="n">
        <v>0</v>
      </c>
      <c r="BZ15" s="244" t="n">
        <v>0</v>
      </c>
      <c r="CA15" s="244" t="n">
        <v>0</v>
      </c>
      <c r="CB15" s="244" t="n">
        <v>0</v>
      </c>
      <c r="CC15" s="244" t="n">
        <v>0</v>
      </c>
      <c r="CD15" s="244" t="n">
        <v>0</v>
      </c>
      <c r="CE15" s="244" t="n">
        <v>0</v>
      </c>
      <c r="CF15" s="244" t="n">
        <v>0</v>
      </c>
      <c r="CG15" s="244" t="n">
        <v>0</v>
      </c>
      <c r="CH15" s="244" t="n">
        <v>0</v>
      </c>
    </row>
    <row r="16" customFormat="false" ht="15" hidden="false" customHeight="true" outlineLevel="0" collapsed="false">
      <c r="A16" s="240" t="s">
        <v>565</v>
      </c>
      <c r="B16" s="240"/>
      <c r="C16" s="241" t="n">
        <f aca="false">C14+C15</f>
        <v>0</v>
      </c>
      <c r="D16" s="241" t="n">
        <f aca="false">D14+D15</f>
        <v>0</v>
      </c>
      <c r="E16" s="241" t="n">
        <f aca="false">E14+E15</f>
        <v>0</v>
      </c>
      <c r="F16" s="241" t="n">
        <f aca="false">F14+F15</f>
        <v>0</v>
      </c>
      <c r="G16" s="241" t="n">
        <f aca="false">G14+G15</f>
        <v>98209</v>
      </c>
      <c r="H16" s="241" t="n">
        <f aca="false">H14+H15</f>
        <v>0</v>
      </c>
      <c r="I16" s="241" t="n">
        <f aca="false">I14+I15</f>
        <v>12631.58</v>
      </c>
      <c r="J16" s="241" t="n">
        <f aca="false">J14+J15</f>
        <v>12631.58</v>
      </c>
      <c r="K16" s="241" t="n">
        <f aca="false">K14+K15</f>
        <v>12631.58</v>
      </c>
      <c r="L16" s="241" t="n">
        <f aca="false">L14+L15</f>
        <v>12631.58</v>
      </c>
      <c r="M16" s="241" t="n">
        <f aca="false">M14+M15</f>
        <v>12631.58</v>
      </c>
      <c r="N16" s="241" t="n">
        <f aca="false">N14+N15</f>
        <v>12631.58</v>
      </c>
      <c r="O16" s="241" t="n">
        <f aca="false">O14+O15</f>
        <v>12631.58</v>
      </c>
      <c r="P16" s="241" t="n">
        <f aca="false">P14+P15</f>
        <v>12631.58</v>
      </c>
      <c r="Q16" s="241" t="n">
        <f aca="false">Q14+Q15</f>
        <v>12631.58</v>
      </c>
      <c r="R16" s="241" t="n">
        <f aca="false">R14+R15</f>
        <v>12631.58</v>
      </c>
      <c r="S16" s="241" t="n">
        <f aca="false">S14+S15</f>
        <v>12631.58</v>
      </c>
      <c r="T16" s="241" t="n">
        <f aca="false">T14+T15</f>
        <v>12631.58</v>
      </c>
      <c r="U16" s="241" t="n">
        <f aca="false">U14+U15</f>
        <v>12631.58</v>
      </c>
      <c r="V16" s="241" t="n">
        <f aca="false">V14+V15</f>
        <v>12631.58</v>
      </c>
      <c r="W16" s="241" t="n">
        <f aca="false">W14+W15</f>
        <v>12631.58</v>
      </c>
      <c r="X16" s="241" t="n">
        <f aca="false">X14+X15</f>
        <v>12631.58</v>
      </c>
      <c r="Y16" s="241" t="n">
        <f aca="false">Y14+Y15</f>
        <v>12631.58</v>
      </c>
      <c r="Z16" s="241" t="n">
        <f aca="false">Z14+Z15</f>
        <v>12631.58</v>
      </c>
      <c r="AA16" s="241" t="n">
        <f aca="false">AA14+AA15</f>
        <v>12631.58</v>
      </c>
      <c r="AB16" s="241" t="n">
        <f aca="false">AB14+AB15</f>
        <v>0</v>
      </c>
      <c r="AC16" s="241" t="n">
        <f aca="false">AC14+AC15</f>
        <v>0</v>
      </c>
      <c r="AD16" s="241" t="n">
        <f aca="false">AD14+AD15</f>
        <v>0</v>
      </c>
      <c r="AE16" s="241" t="n">
        <f aca="false">AE14+AE15</f>
        <v>0</v>
      </c>
      <c r="AF16" s="241" t="n">
        <f aca="false">AF14+AF15</f>
        <v>0</v>
      </c>
      <c r="AG16" s="241" t="n">
        <f aca="false">AG14+AG15</f>
        <v>0</v>
      </c>
      <c r="AH16" s="241" t="n">
        <f aca="false">AH14+AH15</f>
        <v>0</v>
      </c>
      <c r="AI16" s="241" t="n">
        <f aca="false">AI14+AI15</f>
        <v>0</v>
      </c>
      <c r="AJ16" s="241" t="n">
        <f aca="false">AJ14+AJ15</f>
        <v>0</v>
      </c>
      <c r="AK16" s="241" t="n">
        <f aca="false">AK14+AK15</f>
        <v>0</v>
      </c>
      <c r="AL16" s="241" t="n">
        <f aca="false">AL14+AL15</f>
        <v>0</v>
      </c>
      <c r="AM16" s="241" t="n">
        <f aca="false">AM14+AM15</f>
        <v>0</v>
      </c>
      <c r="AN16" s="241" t="n">
        <f aca="false">AN14+AN15</f>
        <v>0</v>
      </c>
      <c r="AO16" s="241" t="n">
        <f aca="false">AO14+AO15</f>
        <v>0</v>
      </c>
      <c r="AP16" s="241" t="n">
        <f aca="false">AP14+AP15</f>
        <v>0</v>
      </c>
      <c r="AQ16" s="241" t="n">
        <f aca="false">AQ14+AQ15</f>
        <v>0</v>
      </c>
      <c r="AR16" s="241" t="n">
        <f aca="false">AR14+AR15</f>
        <v>0</v>
      </c>
      <c r="AS16" s="241" t="n">
        <f aca="false">AS14+AS15</f>
        <v>0</v>
      </c>
      <c r="AT16" s="241" t="n">
        <f aca="false">AT14+AT15</f>
        <v>0</v>
      </c>
      <c r="AU16" s="241" t="n">
        <f aca="false">AU14+AU15</f>
        <v>0</v>
      </c>
      <c r="AV16" s="241" t="n">
        <f aca="false">AV14+AV15</f>
        <v>0</v>
      </c>
      <c r="AW16" s="241" t="n">
        <f aca="false">AW14+AW15</f>
        <v>0</v>
      </c>
      <c r="AX16" s="241" t="n">
        <f aca="false">AX14+AX15</f>
        <v>0</v>
      </c>
      <c r="AY16" s="241" t="n">
        <f aca="false">AY14+AY15</f>
        <v>0</v>
      </c>
      <c r="AZ16" s="241" t="n">
        <f aca="false">AZ14+AZ15</f>
        <v>0</v>
      </c>
      <c r="BA16" s="241" t="n">
        <f aca="false">BA14+BA15</f>
        <v>0</v>
      </c>
      <c r="BB16" s="241" t="n">
        <f aca="false">BB14+BB15</f>
        <v>0</v>
      </c>
      <c r="BC16" s="241" t="n">
        <f aca="false">BC14+BC15</f>
        <v>0</v>
      </c>
      <c r="BD16" s="241" t="n">
        <f aca="false">BD14+BD15</f>
        <v>0</v>
      </c>
      <c r="BE16" s="241" t="n">
        <f aca="false">BE14+BE15</f>
        <v>0</v>
      </c>
      <c r="BF16" s="241" t="n">
        <f aca="false">BF14+BF15</f>
        <v>0</v>
      </c>
      <c r="BG16" s="241" t="n">
        <f aca="false">BG14+BG15</f>
        <v>0</v>
      </c>
      <c r="BH16" s="241" t="n">
        <f aca="false">BH14+BH15</f>
        <v>0</v>
      </c>
      <c r="BI16" s="241" t="n">
        <f aca="false">BI14+BI15</f>
        <v>0</v>
      </c>
      <c r="BJ16" s="241" t="n">
        <f aca="false">BJ14+BJ15</f>
        <v>0</v>
      </c>
      <c r="BK16" s="241" t="n">
        <f aca="false">BK14+BK15</f>
        <v>0</v>
      </c>
      <c r="BL16" s="241" t="n">
        <f aca="false">BL14+BL15</f>
        <v>0</v>
      </c>
      <c r="BM16" s="241" t="n">
        <f aca="false">BM14+BM15</f>
        <v>0</v>
      </c>
      <c r="BN16" s="241" t="n">
        <f aca="false">BN14+BN15</f>
        <v>0</v>
      </c>
      <c r="BO16" s="241" t="n">
        <f aca="false">BO14+BO15</f>
        <v>0</v>
      </c>
      <c r="BP16" s="241" t="n">
        <f aca="false">BP14+BP15</f>
        <v>0</v>
      </c>
      <c r="BQ16" s="241" t="n">
        <f aca="false">BQ14+BQ15</f>
        <v>0</v>
      </c>
      <c r="BR16" s="241" t="n">
        <f aca="false">BR14+BR15</f>
        <v>0</v>
      </c>
      <c r="BS16" s="241" t="n">
        <f aca="false">BS14+BS15</f>
        <v>0</v>
      </c>
      <c r="BT16" s="241" t="n">
        <f aca="false">BT14+BT15</f>
        <v>0</v>
      </c>
      <c r="BU16" s="241" t="n">
        <f aca="false">BU14+BU15</f>
        <v>0</v>
      </c>
      <c r="BV16" s="241" t="n">
        <f aca="false">BV14+BV15</f>
        <v>0</v>
      </c>
      <c r="BW16" s="241" t="n">
        <f aca="false">BW14+BW15</f>
        <v>0</v>
      </c>
      <c r="BX16" s="241" t="n">
        <f aca="false">BX14+BX15</f>
        <v>0</v>
      </c>
      <c r="BY16" s="241" t="n">
        <f aca="false">BY14+BY15</f>
        <v>0</v>
      </c>
      <c r="BZ16" s="241" t="n">
        <f aca="false">BZ14+BZ15</f>
        <v>0</v>
      </c>
      <c r="CA16" s="241" t="n">
        <f aca="false">CA14+CA15</f>
        <v>0</v>
      </c>
      <c r="CB16" s="241" t="n">
        <f aca="false">CB14+CB15</f>
        <v>0</v>
      </c>
      <c r="CC16" s="241" t="n">
        <f aca="false">CC14+CC15</f>
        <v>0</v>
      </c>
      <c r="CD16" s="241" t="n">
        <f aca="false">CD14+CD15</f>
        <v>0</v>
      </c>
      <c r="CE16" s="241" t="n">
        <f aca="false">CE14+CE15</f>
        <v>0</v>
      </c>
      <c r="CF16" s="241" t="n">
        <f aca="false">CF14+CF15</f>
        <v>0</v>
      </c>
      <c r="CG16" s="241" t="n">
        <f aca="false">CG14+CG15</f>
        <v>0</v>
      </c>
      <c r="CH16" s="241" t="n">
        <f aca="false">CH14+CH15</f>
        <v>0</v>
      </c>
    </row>
    <row r="17" customFormat="false" ht="15" hidden="false" customHeight="true" outlineLevel="0" collapsed="false">
      <c r="A17" s="77" t="s">
        <v>566</v>
      </c>
      <c r="B17" s="4"/>
      <c r="C17" s="242" t="n">
        <f aca="false">C16</f>
        <v>0</v>
      </c>
      <c r="D17" s="242" t="n">
        <f aca="false">C17+D16</f>
        <v>0</v>
      </c>
      <c r="E17" s="242" t="n">
        <f aca="false">D17+E16</f>
        <v>0</v>
      </c>
      <c r="F17" s="242" t="n">
        <f aca="false">E17+F16</f>
        <v>0</v>
      </c>
      <c r="G17" s="242" t="n">
        <f aca="false">F17+G16</f>
        <v>98209</v>
      </c>
      <c r="H17" s="242" t="n">
        <f aca="false">G17+H16</f>
        <v>98209</v>
      </c>
      <c r="I17" s="242" t="n">
        <f aca="false">H17+I16</f>
        <v>110840.58</v>
      </c>
      <c r="J17" s="242" t="n">
        <f aca="false">I17+J16</f>
        <v>123472.16</v>
      </c>
      <c r="K17" s="242" t="n">
        <f aca="false">J17+K16</f>
        <v>136103.74</v>
      </c>
      <c r="L17" s="242" t="n">
        <f aca="false">K17+L16</f>
        <v>148735.32</v>
      </c>
      <c r="M17" s="242" t="n">
        <f aca="false">L17+M16</f>
        <v>161366.9</v>
      </c>
      <c r="N17" s="242" t="n">
        <f aca="false">M17+N16</f>
        <v>173998.48</v>
      </c>
      <c r="O17" s="242" t="n">
        <f aca="false">N17+O16</f>
        <v>186630.06</v>
      </c>
      <c r="P17" s="242" t="n">
        <f aca="false">O17+P16</f>
        <v>199261.64</v>
      </c>
      <c r="Q17" s="242" t="n">
        <f aca="false">P17+Q16</f>
        <v>211893.22</v>
      </c>
      <c r="R17" s="242" t="n">
        <f aca="false">Q17+R16</f>
        <v>224524.8</v>
      </c>
      <c r="S17" s="242" t="n">
        <f aca="false">R17+S16</f>
        <v>237156.38</v>
      </c>
      <c r="T17" s="242" t="n">
        <f aca="false">S17+T16</f>
        <v>249787.96</v>
      </c>
      <c r="U17" s="242" t="n">
        <f aca="false">T17+U16</f>
        <v>262419.54</v>
      </c>
      <c r="V17" s="242" t="n">
        <f aca="false">U17+V16</f>
        <v>275051.12</v>
      </c>
      <c r="W17" s="242" t="n">
        <f aca="false">V17+W16</f>
        <v>287682.7</v>
      </c>
      <c r="X17" s="242" t="n">
        <f aca="false">W17+X16</f>
        <v>300314.28</v>
      </c>
      <c r="Y17" s="242" t="n">
        <f aca="false">X17+Y16</f>
        <v>312945.86</v>
      </c>
      <c r="Z17" s="242" t="n">
        <f aca="false">Y17+Z16</f>
        <v>325577.44</v>
      </c>
      <c r="AA17" s="242" t="n">
        <f aca="false">Z17+AA16</f>
        <v>338209.02</v>
      </c>
      <c r="AB17" s="242" t="n">
        <f aca="false">AA17+AB16</f>
        <v>338209.02</v>
      </c>
      <c r="AC17" s="242" t="n">
        <f aca="false">AB17+AC16</f>
        <v>338209.02</v>
      </c>
      <c r="AD17" s="242" t="n">
        <f aca="false">AC17+AD16</f>
        <v>338209.02</v>
      </c>
      <c r="AE17" s="242" t="n">
        <f aca="false">AD17+AE16</f>
        <v>338209.02</v>
      </c>
      <c r="AF17" s="242" t="n">
        <f aca="false">AE17+AF16</f>
        <v>338209.02</v>
      </c>
      <c r="AG17" s="242" t="n">
        <f aca="false">AF17+AG16</f>
        <v>338209.02</v>
      </c>
      <c r="AH17" s="242" t="n">
        <f aca="false">AG17+AH16</f>
        <v>338209.02</v>
      </c>
      <c r="AI17" s="242" t="n">
        <f aca="false">AH17+AI16</f>
        <v>338209.02</v>
      </c>
      <c r="AJ17" s="242" t="n">
        <f aca="false">AI17+AJ16</f>
        <v>338209.02</v>
      </c>
      <c r="AK17" s="242" t="n">
        <f aca="false">AJ17+AK16</f>
        <v>338209.02</v>
      </c>
      <c r="AL17" s="242" t="n">
        <f aca="false">AK17+AL16</f>
        <v>338209.02</v>
      </c>
      <c r="AM17" s="242" t="n">
        <f aca="false">AL17+AM16</f>
        <v>338209.02</v>
      </c>
      <c r="AN17" s="242" t="n">
        <f aca="false">AM17+AN16</f>
        <v>338209.02</v>
      </c>
      <c r="AO17" s="242" t="n">
        <f aca="false">AN17+AO16</f>
        <v>338209.02</v>
      </c>
      <c r="AP17" s="242" t="n">
        <f aca="false">AO17+AP16</f>
        <v>338209.02</v>
      </c>
      <c r="AQ17" s="242" t="n">
        <f aca="false">AP17+AQ16</f>
        <v>338209.02</v>
      </c>
      <c r="AR17" s="242" t="n">
        <f aca="false">AQ17+AR16</f>
        <v>338209.02</v>
      </c>
      <c r="AS17" s="242" t="n">
        <f aca="false">AR17+AS16</f>
        <v>338209.02</v>
      </c>
      <c r="AT17" s="242" t="n">
        <f aca="false">AS17+AT16</f>
        <v>338209.02</v>
      </c>
      <c r="AU17" s="242" t="n">
        <f aca="false">AT17+AU16</f>
        <v>338209.02</v>
      </c>
      <c r="AV17" s="242" t="n">
        <f aca="false">AU17+AV16</f>
        <v>338209.02</v>
      </c>
      <c r="AW17" s="242" t="n">
        <f aca="false">AV17+AW16</f>
        <v>338209.02</v>
      </c>
      <c r="AX17" s="242" t="n">
        <f aca="false">AW17+AX16</f>
        <v>338209.02</v>
      </c>
      <c r="AY17" s="242" t="n">
        <f aca="false">AX17+AY16</f>
        <v>338209.02</v>
      </c>
      <c r="AZ17" s="242" t="n">
        <f aca="false">AY17+AZ16</f>
        <v>338209.02</v>
      </c>
      <c r="BA17" s="242" t="n">
        <f aca="false">AZ17+BA16</f>
        <v>338209.02</v>
      </c>
      <c r="BB17" s="242" t="n">
        <f aca="false">BA17+BB16</f>
        <v>338209.02</v>
      </c>
      <c r="BC17" s="242" t="n">
        <f aca="false">BB17+BC16</f>
        <v>338209.02</v>
      </c>
      <c r="BD17" s="242" t="n">
        <f aca="false">BC17+BD16</f>
        <v>338209.02</v>
      </c>
      <c r="BE17" s="242" t="n">
        <f aca="false">BD17+BE16</f>
        <v>338209.02</v>
      </c>
      <c r="BF17" s="242" t="n">
        <f aca="false">BE17+BF16</f>
        <v>338209.02</v>
      </c>
      <c r="BG17" s="242" t="n">
        <f aca="false">BF17+BG16</f>
        <v>338209.02</v>
      </c>
      <c r="BH17" s="242" t="n">
        <f aca="false">BG17+BH16</f>
        <v>338209.02</v>
      </c>
      <c r="BI17" s="242" t="n">
        <f aca="false">BH17+BI16</f>
        <v>338209.02</v>
      </c>
      <c r="BJ17" s="242" t="n">
        <f aca="false">BI17+BJ16</f>
        <v>338209.02</v>
      </c>
      <c r="BK17" s="242" t="n">
        <f aca="false">BJ17+BK16</f>
        <v>338209.02</v>
      </c>
      <c r="BL17" s="242" t="n">
        <f aca="false">BK17+BL16</f>
        <v>338209.02</v>
      </c>
      <c r="BM17" s="242" t="n">
        <f aca="false">BL17+BM16</f>
        <v>338209.02</v>
      </c>
      <c r="BN17" s="242" t="n">
        <f aca="false">BM17+BN16</f>
        <v>338209.02</v>
      </c>
      <c r="BO17" s="242" t="n">
        <f aca="false">BN17+BO16</f>
        <v>338209.02</v>
      </c>
      <c r="BP17" s="242" t="n">
        <f aca="false">BO17+BP16</f>
        <v>338209.02</v>
      </c>
      <c r="BQ17" s="242" t="n">
        <f aca="false">BP17+BQ16</f>
        <v>338209.02</v>
      </c>
      <c r="BR17" s="242" t="n">
        <f aca="false">BQ17+BR16</f>
        <v>338209.02</v>
      </c>
      <c r="BS17" s="242" t="n">
        <f aca="false">BR17+BS16</f>
        <v>338209.02</v>
      </c>
      <c r="BT17" s="242" t="n">
        <f aca="false">BS17+BT16</f>
        <v>338209.02</v>
      </c>
      <c r="BU17" s="242" t="n">
        <f aca="false">BT17+BU16</f>
        <v>338209.02</v>
      </c>
      <c r="BV17" s="242" t="n">
        <f aca="false">BU17+BV16</f>
        <v>338209.02</v>
      </c>
      <c r="BW17" s="242" t="n">
        <f aca="false">BV17+BW16</f>
        <v>338209.02</v>
      </c>
      <c r="BX17" s="242" t="n">
        <f aca="false">BW17+BX16</f>
        <v>338209.02</v>
      </c>
      <c r="BY17" s="242" t="n">
        <f aca="false">BX17+BY16</f>
        <v>338209.02</v>
      </c>
      <c r="BZ17" s="242" t="n">
        <f aca="false">BY17+BZ16</f>
        <v>338209.02</v>
      </c>
      <c r="CA17" s="242" t="n">
        <f aca="false">BZ17+CA16</f>
        <v>338209.02</v>
      </c>
      <c r="CB17" s="242" t="n">
        <f aca="false">CA17+CB16</f>
        <v>338209.02</v>
      </c>
      <c r="CC17" s="242" t="n">
        <f aca="false">CB17+CC16</f>
        <v>338209.02</v>
      </c>
      <c r="CD17" s="242" t="n">
        <f aca="false">CC17+CD16</f>
        <v>338209.02</v>
      </c>
      <c r="CE17" s="242" t="n">
        <f aca="false">CD17+CE16</f>
        <v>338209.02</v>
      </c>
      <c r="CF17" s="242" t="n">
        <f aca="false">CE17+CF16</f>
        <v>338209.02</v>
      </c>
      <c r="CG17" s="242" t="n">
        <f aca="false">CF17+CG16</f>
        <v>338209.02</v>
      </c>
      <c r="CH17" s="242" t="n">
        <f aca="false">CG17+CH16</f>
        <v>338209.02</v>
      </c>
    </row>
    <row r="18" customFormat="false" ht="1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</row>
    <row r="19" customFormat="false" ht="15" hidden="false" customHeight="true" outlineLevel="0" collapsed="false">
      <c r="A19" s="38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</row>
    <row r="20" customFormat="false" ht="15" hidden="false" customHeight="true" outlineLevel="0" collapsed="false">
      <c r="A20" s="95" t="s">
        <v>564</v>
      </c>
      <c r="B20" s="4"/>
      <c r="C20" s="239" t="n">
        <f aca="false">Model!E159+Model!E160+Model!E161</f>
        <v>0</v>
      </c>
      <c r="D20" s="239" t="n">
        <f aca="false">Model!F159+Model!F160+Model!F161</f>
        <v>0</v>
      </c>
      <c r="E20" s="239" t="n">
        <f aca="false">Model!G159+Model!G160+Model!G161</f>
        <v>0</v>
      </c>
      <c r="F20" s="239" t="n">
        <f aca="false">Model!H159+Model!H160+Model!H161</f>
        <v>0</v>
      </c>
      <c r="G20" s="239" t="n">
        <f aca="false">Model!I159+Model!I160+Model!I161</f>
        <v>0</v>
      </c>
      <c r="H20" s="239" t="n">
        <f aca="false">Model!J159+Model!J160+Model!J161</f>
        <v>0</v>
      </c>
      <c r="I20" s="239" t="n">
        <f aca="false">Model!K159+Model!K160+Model!K161</f>
        <v>192797.63</v>
      </c>
      <c r="J20" s="239" t="n">
        <f aca="false">Model!L159+Model!L160+Model!L161</f>
        <v>11052.63</v>
      </c>
      <c r="K20" s="239" t="n">
        <f aca="false">Model!M159+Model!M160+Model!M161</f>
        <v>11052.63</v>
      </c>
      <c r="L20" s="239" t="n">
        <f aca="false">Model!N159+Model!N160+Model!N161</f>
        <v>11052.63</v>
      </c>
      <c r="M20" s="239" t="n">
        <f aca="false">Model!O159+Model!O160+Model!O161</f>
        <v>11052.63</v>
      </c>
      <c r="N20" s="239" t="n">
        <f aca="false">Model!P159+Model!P160+Model!P161</f>
        <v>11052.63</v>
      </c>
      <c r="O20" s="239" t="n">
        <f aca="false">Model!Q159+Model!Q160+Model!Q161</f>
        <v>11052.63</v>
      </c>
      <c r="P20" s="239" t="n">
        <f aca="false">Model!R159+Model!R160+Model!R161</f>
        <v>11052.63</v>
      </c>
      <c r="Q20" s="239" t="n">
        <f aca="false">Model!S159+Model!S160+Model!S161</f>
        <v>11052.63</v>
      </c>
      <c r="R20" s="239" t="n">
        <f aca="false">Model!T159+Model!T160+Model!T161</f>
        <v>11052.63</v>
      </c>
      <c r="S20" s="239" t="n">
        <f aca="false">Model!U159+Model!U160+Model!U161</f>
        <v>11052.63</v>
      </c>
      <c r="T20" s="239" t="n">
        <f aca="false">Model!V159+Model!V160+Model!V161</f>
        <v>11052.63</v>
      </c>
      <c r="U20" s="239" t="n">
        <f aca="false">Model!W159+Model!W160+Model!W161</f>
        <v>11052.63</v>
      </c>
      <c r="V20" s="239" t="n">
        <f aca="false">Model!X159+Model!X160+Model!X161</f>
        <v>11052.63</v>
      </c>
      <c r="W20" s="239" t="n">
        <f aca="false">Model!Y159+Model!Y160+Model!Y161</f>
        <v>11052.63</v>
      </c>
      <c r="X20" s="239" t="n">
        <f aca="false">Model!Z159+Model!Z160+Model!Z161</f>
        <v>11052.63</v>
      </c>
      <c r="Y20" s="239" t="n">
        <f aca="false">Model!AA159+Model!AA160+Model!AA161</f>
        <v>11052.63</v>
      </c>
      <c r="Z20" s="239" t="n">
        <f aca="false">Model!AB159+Model!AB160+Model!AB161</f>
        <v>11052.63</v>
      </c>
      <c r="AA20" s="239" t="n">
        <f aca="false">Model!AC159+Model!AC160+Model!AC161</f>
        <v>11052.63</v>
      </c>
      <c r="AB20" s="239" t="n">
        <f aca="false">Model!AD159+Model!AD160+Model!AD161</f>
        <v>0</v>
      </c>
      <c r="AC20" s="239" t="n">
        <f aca="false">Model!AE159+Model!AE160+Model!AE161</f>
        <v>0</v>
      </c>
      <c r="AD20" s="239" t="n">
        <f aca="false">Model!AF159+Model!AF160+Model!AF161</f>
        <v>0</v>
      </c>
      <c r="AE20" s="239" t="n">
        <f aca="false">Model!AG159+Model!AG160+Model!AG161</f>
        <v>0</v>
      </c>
      <c r="AF20" s="239" t="n">
        <f aca="false">Model!AH159+Model!AH160+Model!AH161</f>
        <v>0</v>
      </c>
      <c r="AG20" s="239" t="n">
        <f aca="false">Model!AI159+Model!AI160+Model!AI161</f>
        <v>0</v>
      </c>
      <c r="AH20" s="239" t="n">
        <f aca="false">Model!AJ159+Model!AJ160+Model!AJ161</f>
        <v>0</v>
      </c>
      <c r="AI20" s="239" t="n">
        <f aca="false">Model!AK159+Model!AK160+Model!AK161</f>
        <v>0</v>
      </c>
      <c r="AJ20" s="239" t="n">
        <f aca="false">Model!AL159+Model!AL160+Model!AL161</f>
        <v>0</v>
      </c>
      <c r="AK20" s="239" t="n">
        <f aca="false">Model!AM159+Model!AM160+Model!AM161</f>
        <v>0</v>
      </c>
      <c r="AL20" s="239" t="n">
        <f aca="false">Model!AN159+Model!AN160+Model!AN161</f>
        <v>0</v>
      </c>
      <c r="AM20" s="239" t="n">
        <f aca="false">Model!AO159+Model!AO160+Model!AO161</f>
        <v>0</v>
      </c>
      <c r="AN20" s="239" t="n">
        <f aca="false">Model!AP159+Model!AP160+Model!AP161</f>
        <v>0</v>
      </c>
      <c r="AO20" s="239" t="n">
        <f aca="false">Model!AQ159+Model!AQ160+Model!AQ161</f>
        <v>0</v>
      </c>
      <c r="AP20" s="239" t="n">
        <f aca="false">Model!AR159+Model!AR160+Model!AR161</f>
        <v>0</v>
      </c>
      <c r="AQ20" s="239" t="n">
        <f aca="false">Model!AS159+Model!AS160+Model!AS161</f>
        <v>0</v>
      </c>
      <c r="AR20" s="239" t="n">
        <f aca="false">Model!AT159+Model!AT160+Model!AT161</f>
        <v>0</v>
      </c>
      <c r="AS20" s="239" t="n">
        <f aca="false">Model!AU159+Model!AU160+Model!AU161</f>
        <v>0</v>
      </c>
      <c r="AT20" s="239" t="n">
        <f aca="false">Model!AV159+Model!AV160+Model!AV161</f>
        <v>0</v>
      </c>
      <c r="AU20" s="239" t="n">
        <f aca="false">Model!AW159+Model!AW160+Model!AW161</f>
        <v>0</v>
      </c>
      <c r="AV20" s="239" t="n">
        <f aca="false">Model!AX159+Model!AX160+Model!AX161</f>
        <v>0</v>
      </c>
      <c r="AW20" s="239" t="n">
        <f aca="false">Model!AY159+Model!AY160+Model!AY161</f>
        <v>0</v>
      </c>
      <c r="AX20" s="239" t="n">
        <f aca="false">Model!AZ159+Model!AZ160+Model!AZ161</f>
        <v>0</v>
      </c>
      <c r="AY20" s="239" t="n">
        <f aca="false">Model!BA159+Model!BA160+Model!BA161</f>
        <v>0</v>
      </c>
      <c r="AZ20" s="239" t="n">
        <f aca="false">Model!BB159+Model!BB160+Model!BB161</f>
        <v>0</v>
      </c>
      <c r="BA20" s="239" t="n">
        <f aca="false">Model!BC159+Model!BC160+Model!BC161</f>
        <v>0</v>
      </c>
      <c r="BB20" s="239" t="n">
        <f aca="false">Model!BD159+Model!BD160+Model!BD161</f>
        <v>0</v>
      </c>
      <c r="BC20" s="239" t="n">
        <f aca="false">Model!BE159+Model!BE160+Model!BE161</f>
        <v>0</v>
      </c>
      <c r="BD20" s="239" t="n">
        <f aca="false">Model!BF159+Model!BF160+Model!BF161</f>
        <v>0</v>
      </c>
      <c r="BE20" s="239" t="n">
        <f aca="false">Model!BG159+Model!BG160+Model!BG161</f>
        <v>0</v>
      </c>
      <c r="BF20" s="239" t="n">
        <f aca="false">Model!BH159+Model!BH160+Model!BH161</f>
        <v>0</v>
      </c>
      <c r="BG20" s="239" t="n">
        <f aca="false">Model!BI159+Model!BI160+Model!BI161</f>
        <v>0</v>
      </c>
      <c r="BH20" s="239" t="n">
        <f aca="false">Model!BJ159+Model!BJ160+Model!BJ161</f>
        <v>0</v>
      </c>
      <c r="BI20" s="239" t="n">
        <f aca="false">Model!BK159+Model!BK160+Model!BK161</f>
        <v>0</v>
      </c>
      <c r="BJ20" s="239" t="n">
        <f aca="false">Model!BL159+Model!BL160+Model!BL161</f>
        <v>0</v>
      </c>
      <c r="BK20" s="239" t="n">
        <f aca="false">Model!BM159+Model!BM160+Model!BM161</f>
        <v>0</v>
      </c>
      <c r="BL20" s="239" t="n">
        <f aca="false">Model!BN159+Model!BN160+Model!BN161</f>
        <v>0</v>
      </c>
      <c r="BM20" s="239" t="n">
        <f aca="false">Model!BO159+Model!BO160+Model!BO161</f>
        <v>0</v>
      </c>
      <c r="BN20" s="239" t="n">
        <f aca="false">Model!BP159+Model!BP160+Model!BP161</f>
        <v>0</v>
      </c>
      <c r="BO20" s="239" t="n">
        <f aca="false">Model!BQ159+Model!BQ160+Model!BQ161</f>
        <v>0</v>
      </c>
      <c r="BP20" s="239" t="n">
        <f aca="false">Model!BR159+Model!BR160+Model!BR161</f>
        <v>0</v>
      </c>
      <c r="BQ20" s="239" t="n">
        <f aca="false">Model!BS159+Model!BS160+Model!BS161</f>
        <v>0</v>
      </c>
      <c r="BR20" s="239" t="n">
        <f aca="false">Model!BT159+Model!BT160+Model!BT161</f>
        <v>0</v>
      </c>
      <c r="BS20" s="239" t="n">
        <f aca="false">Model!BU159+Model!BU160+Model!BU161</f>
        <v>0</v>
      </c>
      <c r="BT20" s="239" t="n">
        <f aca="false">Model!BV159+Model!BV160+Model!BV161</f>
        <v>0</v>
      </c>
      <c r="BU20" s="239" t="n">
        <f aca="false">Model!BW159+Model!BW160+Model!BW161</f>
        <v>0</v>
      </c>
      <c r="BV20" s="239" t="n">
        <f aca="false">Model!BX159+Model!BX160+Model!BX161</f>
        <v>0</v>
      </c>
      <c r="BW20" s="239" t="n">
        <f aca="false">Model!BY159+Model!BY160+Model!BY161</f>
        <v>0</v>
      </c>
      <c r="BX20" s="239" t="n">
        <f aca="false">Model!BZ159+Model!BZ160+Model!BZ161</f>
        <v>0</v>
      </c>
      <c r="BY20" s="239" t="n">
        <f aca="false">Model!CA159+Model!CA160+Model!CA161</f>
        <v>0</v>
      </c>
      <c r="BZ20" s="239" t="n">
        <f aca="false">Model!CB159+Model!CB160+Model!CB161</f>
        <v>0</v>
      </c>
      <c r="CA20" s="239" t="n">
        <f aca="false">Model!CC159+Model!CC160+Model!CC161</f>
        <v>0</v>
      </c>
      <c r="CB20" s="239" t="n">
        <f aca="false">Model!CD159+Model!CD160+Model!CD161</f>
        <v>0</v>
      </c>
      <c r="CC20" s="239" t="n">
        <f aca="false">Model!CE159+Model!CE160+Model!CE161</f>
        <v>0</v>
      </c>
      <c r="CD20" s="239" t="n">
        <f aca="false">Model!CF159+Model!CF160+Model!CF161</f>
        <v>0</v>
      </c>
      <c r="CE20" s="239" t="n">
        <f aca="false">Model!CG159+Model!CG160+Model!CG161</f>
        <v>0</v>
      </c>
      <c r="CF20" s="239" t="n">
        <f aca="false">Model!CH159+Model!CH160+Model!CH161</f>
        <v>0</v>
      </c>
      <c r="CG20" s="239" t="n">
        <f aca="false">Model!CI159+Model!CI160+Model!CI161</f>
        <v>0</v>
      </c>
      <c r="CH20" s="239" t="n">
        <f aca="false">Model!CJ159+Model!CJ160+Model!CJ161</f>
        <v>0</v>
      </c>
    </row>
    <row r="21" customFormat="false" ht="15" hidden="false" customHeight="true" outlineLevel="0" collapsed="false">
      <c r="A21" s="243" t="s">
        <v>567</v>
      </c>
      <c r="B21" s="4"/>
      <c r="C21" s="244" t="n">
        <v>0</v>
      </c>
      <c r="D21" s="244" t="n">
        <v>0</v>
      </c>
      <c r="E21" s="244" t="n">
        <v>0</v>
      </c>
      <c r="F21" s="244" t="n">
        <v>0</v>
      </c>
      <c r="G21" s="244" t="n">
        <v>0</v>
      </c>
      <c r="H21" s="244" t="n">
        <f aca="false">IF(Projects!$G$12="Yes",-135452,0)</f>
        <v>-135452</v>
      </c>
      <c r="I21" s="244" t="n">
        <v>0</v>
      </c>
      <c r="J21" s="244" t="n">
        <v>0</v>
      </c>
      <c r="K21" s="244" t="n">
        <v>0</v>
      </c>
      <c r="L21" s="244" t="n">
        <v>0</v>
      </c>
      <c r="M21" s="244" t="n">
        <v>0</v>
      </c>
      <c r="N21" s="244" t="n">
        <v>0</v>
      </c>
      <c r="O21" s="244" t="n">
        <v>0</v>
      </c>
      <c r="P21" s="244" t="n">
        <v>0</v>
      </c>
      <c r="Q21" s="244" t="n">
        <v>0</v>
      </c>
      <c r="R21" s="244" t="n">
        <v>0</v>
      </c>
      <c r="S21" s="244" t="n">
        <v>0</v>
      </c>
      <c r="T21" s="244" t="n">
        <v>0</v>
      </c>
      <c r="U21" s="244" t="n">
        <v>0</v>
      </c>
      <c r="V21" s="244" t="n">
        <v>0</v>
      </c>
      <c r="W21" s="244" t="n">
        <v>0</v>
      </c>
      <c r="X21" s="244" t="n">
        <v>0</v>
      </c>
      <c r="Y21" s="244" t="n">
        <v>0</v>
      </c>
      <c r="Z21" s="244" t="n">
        <v>0</v>
      </c>
      <c r="AA21" s="244" t="n">
        <v>0</v>
      </c>
      <c r="AB21" s="244" t="n">
        <v>0</v>
      </c>
      <c r="AC21" s="244" t="n">
        <v>0</v>
      </c>
      <c r="AD21" s="244" t="n">
        <v>0</v>
      </c>
      <c r="AE21" s="244" t="n">
        <v>0</v>
      </c>
      <c r="AF21" s="244" t="n">
        <v>0</v>
      </c>
      <c r="AG21" s="244" t="n">
        <v>0</v>
      </c>
      <c r="AH21" s="244" t="n">
        <v>0</v>
      </c>
      <c r="AI21" s="244" t="n">
        <v>0</v>
      </c>
      <c r="AJ21" s="244" t="n">
        <v>0</v>
      </c>
      <c r="AK21" s="244" t="n">
        <v>0</v>
      </c>
      <c r="AL21" s="244" t="n">
        <v>0</v>
      </c>
      <c r="AM21" s="244" t="n">
        <v>0</v>
      </c>
      <c r="AN21" s="244" t="n">
        <v>0</v>
      </c>
      <c r="AO21" s="244" t="n">
        <v>0</v>
      </c>
      <c r="AP21" s="244" t="n">
        <v>0</v>
      </c>
      <c r="AQ21" s="244" t="n">
        <v>0</v>
      </c>
      <c r="AR21" s="244" t="n">
        <v>0</v>
      </c>
      <c r="AS21" s="244" t="n">
        <v>0</v>
      </c>
      <c r="AT21" s="244" t="n">
        <v>0</v>
      </c>
      <c r="AU21" s="244" t="n">
        <v>0</v>
      </c>
      <c r="AV21" s="244" t="n">
        <v>0</v>
      </c>
      <c r="AW21" s="244" t="n">
        <v>0</v>
      </c>
      <c r="AX21" s="244" t="n">
        <v>0</v>
      </c>
      <c r="AY21" s="244" t="n">
        <v>0</v>
      </c>
      <c r="AZ21" s="244" t="n">
        <v>0</v>
      </c>
      <c r="BA21" s="244" t="n">
        <v>0</v>
      </c>
      <c r="BB21" s="244" t="n">
        <v>0</v>
      </c>
      <c r="BC21" s="244" t="n">
        <v>0</v>
      </c>
      <c r="BD21" s="244" t="n">
        <v>0</v>
      </c>
      <c r="BE21" s="244" t="n">
        <v>0</v>
      </c>
      <c r="BF21" s="244" t="n">
        <v>0</v>
      </c>
      <c r="BG21" s="244" t="n">
        <v>0</v>
      </c>
      <c r="BH21" s="244" t="n">
        <v>0</v>
      </c>
      <c r="BI21" s="244" t="n">
        <v>0</v>
      </c>
      <c r="BJ21" s="244" t="n">
        <v>0</v>
      </c>
      <c r="BK21" s="244" t="n">
        <v>0</v>
      </c>
      <c r="BL21" s="244" t="n">
        <v>0</v>
      </c>
      <c r="BM21" s="244" t="n">
        <v>0</v>
      </c>
      <c r="BN21" s="244" t="n">
        <v>0</v>
      </c>
      <c r="BO21" s="244" t="n">
        <v>0</v>
      </c>
      <c r="BP21" s="244" t="n">
        <v>0</v>
      </c>
      <c r="BQ21" s="244" t="n">
        <v>0</v>
      </c>
      <c r="BR21" s="244" t="n">
        <v>0</v>
      </c>
      <c r="BS21" s="244" t="n">
        <v>0</v>
      </c>
      <c r="BT21" s="244" t="n">
        <v>0</v>
      </c>
      <c r="BU21" s="244" t="n">
        <v>0</v>
      </c>
      <c r="BV21" s="244" t="n">
        <v>0</v>
      </c>
      <c r="BW21" s="244" t="n">
        <v>0</v>
      </c>
      <c r="BX21" s="244" t="n">
        <v>0</v>
      </c>
      <c r="BY21" s="244" t="n">
        <v>0</v>
      </c>
      <c r="BZ21" s="244" t="n">
        <v>0</v>
      </c>
      <c r="CA21" s="244" t="n">
        <v>0</v>
      </c>
      <c r="CB21" s="244" t="n">
        <v>0</v>
      </c>
      <c r="CC21" s="244" t="n">
        <v>0</v>
      </c>
      <c r="CD21" s="244" t="n">
        <v>0</v>
      </c>
      <c r="CE21" s="244" t="n">
        <v>0</v>
      </c>
      <c r="CF21" s="244" t="n">
        <v>0</v>
      </c>
      <c r="CG21" s="244" t="n">
        <v>0</v>
      </c>
      <c r="CH21" s="244" t="n">
        <v>0</v>
      </c>
    </row>
    <row r="22" customFormat="false" ht="15" hidden="false" customHeight="true" outlineLevel="0" collapsed="false">
      <c r="A22" s="240" t="s">
        <v>565</v>
      </c>
      <c r="B22" s="240"/>
      <c r="C22" s="241" t="n">
        <f aca="false">C20+C21</f>
        <v>0</v>
      </c>
      <c r="D22" s="241" t="n">
        <f aca="false">D20+D21</f>
        <v>0</v>
      </c>
      <c r="E22" s="241" t="n">
        <f aca="false">E20+E21</f>
        <v>0</v>
      </c>
      <c r="F22" s="241" t="n">
        <f aca="false">F20+F21</f>
        <v>0</v>
      </c>
      <c r="G22" s="241" t="n">
        <f aca="false">G20+G21</f>
        <v>0</v>
      </c>
      <c r="H22" s="241" t="n">
        <f aca="false">H20+H21</f>
        <v>-135452</v>
      </c>
      <c r="I22" s="241" t="n">
        <f aca="false">I20+I21</f>
        <v>192797.63</v>
      </c>
      <c r="J22" s="241" t="n">
        <f aca="false">J20+J21</f>
        <v>11052.63</v>
      </c>
      <c r="K22" s="241" t="n">
        <f aca="false">K20+K21</f>
        <v>11052.63</v>
      </c>
      <c r="L22" s="241" t="n">
        <f aca="false">L20+L21</f>
        <v>11052.63</v>
      </c>
      <c r="M22" s="241" t="n">
        <f aca="false">M20+M21</f>
        <v>11052.63</v>
      </c>
      <c r="N22" s="241" t="n">
        <f aca="false">N20+N21</f>
        <v>11052.63</v>
      </c>
      <c r="O22" s="241" t="n">
        <f aca="false">O20+O21</f>
        <v>11052.63</v>
      </c>
      <c r="P22" s="241" t="n">
        <f aca="false">P20+P21</f>
        <v>11052.63</v>
      </c>
      <c r="Q22" s="241" t="n">
        <f aca="false">Q20+Q21</f>
        <v>11052.63</v>
      </c>
      <c r="R22" s="241" t="n">
        <f aca="false">R20+R21</f>
        <v>11052.63</v>
      </c>
      <c r="S22" s="241" t="n">
        <f aca="false">S20+S21</f>
        <v>11052.63</v>
      </c>
      <c r="T22" s="241" t="n">
        <f aca="false">T20+T21</f>
        <v>11052.63</v>
      </c>
      <c r="U22" s="241" t="n">
        <f aca="false">U20+U21</f>
        <v>11052.63</v>
      </c>
      <c r="V22" s="241" t="n">
        <f aca="false">V20+V21</f>
        <v>11052.63</v>
      </c>
      <c r="W22" s="241" t="n">
        <f aca="false">W20+W21</f>
        <v>11052.63</v>
      </c>
      <c r="X22" s="241" t="n">
        <f aca="false">X20+X21</f>
        <v>11052.63</v>
      </c>
      <c r="Y22" s="241" t="n">
        <f aca="false">Y20+Y21</f>
        <v>11052.63</v>
      </c>
      <c r="Z22" s="241" t="n">
        <f aca="false">Z20+Z21</f>
        <v>11052.63</v>
      </c>
      <c r="AA22" s="241" t="n">
        <f aca="false">AA20+AA21</f>
        <v>11052.63</v>
      </c>
      <c r="AB22" s="241" t="n">
        <f aca="false">AB20+AB21</f>
        <v>0</v>
      </c>
      <c r="AC22" s="241" t="n">
        <f aca="false">AC20+AC21</f>
        <v>0</v>
      </c>
      <c r="AD22" s="241" t="n">
        <f aca="false">AD20+AD21</f>
        <v>0</v>
      </c>
      <c r="AE22" s="241" t="n">
        <f aca="false">AE20+AE21</f>
        <v>0</v>
      </c>
      <c r="AF22" s="241" t="n">
        <f aca="false">AF20+AF21</f>
        <v>0</v>
      </c>
      <c r="AG22" s="241" t="n">
        <f aca="false">AG20+AG21</f>
        <v>0</v>
      </c>
      <c r="AH22" s="241" t="n">
        <f aca="false">AH20+AH21</f>
        <v>0</v>
      </c>
      <c r="AI22" s="241" t="n">
        <f aca="false">AI20+AI21</f>
        <v>0</v>
      </c>
      <c r="AJ22" s="241" t="n">
        <f aca="false">AJ20+AJ21</f>
        <v>0</v>
      </c>
      <c r="AK22" s="241" t="n">
        <f aca="false">AK20+AK21</f>
        <v>0</v>
      </c>
      <c r="AL22" s="241" t="n">
        <f aca="false">AL20+AL21</f>
        <v>0</v>
      </c>
      <c r="AM22" s="241" t="n">
        <f aca="false">AM20+AM21</f>
        <v>0</v>
      </c>
      <c r="AN22" s="241" t="n">
        <f aca="false">AN20+AN21</f>
        <v>0</v>
      </c>
      <c r="AO22" s="241" t="n">
        <f aca="false">AO20+AO21</f>
        <v>0</v>
      </c>
      <c r="AP22" s="241" t="n">
        <f aca="false">AP20+AP21</f>
        <v>0</v>
      </c>
      <c r="AQ22" s="241" t="n">
        <f aca="false">AQ20+AQ21</f>
        <v>0</v>
      </c>
      <c r="AR22" s="241" t="n">
        <f aca="false">AR20+AR21</f>
        <v>0</v>
      </c>
      <c r="AS22" s="241" t="n">
        <f aca="false">AS20+AS21</f>
        <v>0</v>
      </c>
      <c r="AT22" s="241" t="n">
        <f aca="false">AT20+AT21</f>
        <v>0</v>
      </c>
      <c r="AU22" s="241" t="n">
        <f aca="false">AU20+AU21</f>
        <v>0</v>
      </c>
      <c r="AV22" s="241" t="n">
        <f aca="false">AV20+AV21</f>
        <v>0</v>
      </c>
      <c r="AW22" s="241" t="n">
        <f aca="false">AW20+AW21</f>
        <v>0</v>
      </c>
      <c r="AX22" s="241" t="n">
        <f aca="false">AX20+AX21</f>
        <v>0</v>
      </c>
      <c r="AY22" s="241" t="n">
        <f aca="false">AY20+AY21</f>
        <v>0</v>
      </c>
      <c r="AZ22" s="241" t="n">
        <f aca="false">AZ20+AZ21</f>
        <v>0</v>
      </c>
      <c r="BA22" s="241" t="n">
        <f aca="false">BA20+BA21</f>
        <v>0</v>
      </c>
      <c r="BB22" s="241" t="n">
        <f aca="false">BB20+BB21</f>
        <v>0</v>
      </c>
      <c r="BC22" s="241" t="n">
        <f aca="false">BC20+BC21</f>
        <v>0</v>
      </c>
      <c r="BD22" s="241" t="n">
        <f aca="false">BD20+BD21</f>
        <v>0</v>
      </c>
      <c r="BE22" s="241" t="n">
        <f aca="false">BE20+BE21</f>
        <v>0</v>
      </c>
      <c r="BF22" s="241" t="n">
        <f aca="false">BF20+BF21</f>
        <v>0</v>
      </c>
      <c r="BG22" s="241" t="n">
        <f aca="false">BG20+BG21</f>
        <v>0</v>
      </c>
      <c r="BH22" s="241" t="n">
        <f aca="false">BH20+BH21</f>
        <v>0</v>
      </c>
      <c r="BI22" s="241" t="n">
        <f aca="false">BI20+BI21</f>
        <v>0</v>
      </c>
      <c r="BJ22" s="241" t="n">
        <f aca="false">BJ20+BJ21</f>
        <v>0</v>
      </c>
      <c r="BK22" s="241" t="n">
        <f aca="false">BK20+BK21</f>
        <v>0</v>
      </c>
      <c r="BL22" s="241" t="n">
        <f aca="false">BL20+BL21</f>
        <v>0</v>
      </c>
      <c r="BM22" s="241" t="n">
        <f aca="false">BM20+BM21</f>
        <v>0</v>
      </c>
      <c r="BN22" s="241" t="n">
        <f aca="false">BN20+BN21</f>
        <v>0</v>
      </c>
      <c r="BO22" s="241" t="n">
        <f aca="false">BO20+BO21</f>
        <v>0</v>
      </c>
      <c r="BP22" s="241" t="n">
        <f aca="false">BP20+BP21</f>
        <v>0</v>
      </c>
      <c r="BQ22" s="241" t="n">
        <f aca="false">BQ20+BQ21</f>
        <v>0</v>
      </c>
      <c r="BR22" s="241" t="n">
        <f aca="false">BR20+BR21</f>
        <v>0</v>
      </c>
      <c r="BS22" s="241" t="n">
        <f aca="false">BS20+BS21</f>
        <v>0</v>
      </c>
      <c r="BT22" s="241" t="n">
        <f aca="false">BT20+BT21</f>
        <v>0</v>
      </c>
      <c r="BU22" s="241" t="n">
        <f aca="false">BU20+BU21</f>
        <v>0</v>
      </c>
      <c r="BV22" s="241" t="n">
        <f aca="false">BV20+BV21</f>
        <v>0</v>
      </c>
      <c r="BW22" s="241" t="n">
        <f aca="false">BW20+BW21</f>
        <v>0</v>
      </c>
      <c r="BX22" s="241" t="n">
        <f aca="false">BX20+BX21</f>
        <v>0</v>
      </c>
      <c r="BY22" s="241" t="n">
        <f aca="false">BY20+BY21</f>
        <v>0</v>
      </c>
      <c r="BZ22" s="241" t="n">
        <f aca="false">BZ20+BZ21</f>
        <v>0</v>
      </c>
      <c r="CA22" s="241" t="n">
        <f aca="false">CA20+CA21</f>
        <v>0</v>
      </c>
      <c r="CB22" s="241" t="n">
        <f aca="false">CB20+CB21</f>
        <v>0</v>
      </c>
      <c r="CC22" s="241" t="n">
        <f aca="false">CC20+CC21</f>
        <v>0</v>
      </c>
      <c r="CD22" s="241" t="n">
        <f aca="false">CD20+CD21</f>
        <v>0</v>
      </c>
      <c r="CE22" s="241" t="n">
        <f aca="false">CE20+CE21</f>
        <v>0</v>
      </c>
      <c r="CF22" s="241" t="n">
        <f aca="false">CF20+CF21</f>
        <v>0</v>
      </c>
      <c r="CG22" s="241" t="n">
        <f aca="false">CG20+CG21</f>
        <v>0</v>
      </c>
      <c r="CH22" s="241" t="n">
        <f aca="false">CH20+CH21</f>
        <v>0</v>
      </c>
    </row>
    <row r="23" customFormat="false" ht="15" hidden="false" customHeight="true" outlineLevel="0" collapsed="false">
      <c r="A23" s="77" t="s">
        <v>566</v>
      </c>
      <c r="B23" s="4"/>
      <c r="C23" s="242" t="n">
        <f aca="false">C22</f>
        <v>0</v>
      </c>
      <c r="D23" s="242" t="n">
        <f aca="false">C23+D22</f>
        <v>0</v>
      </c>
      <c r="E23" s="242" t="n">
        <f aca="false">D23+E22</f>
        <v>0</v>
      </c>
      <c r="F23" s="242" t="n">
        <f aca="false">E23+F22</f>
        <v>0</v>
      </c>
      <c r="G23" s="242" t="n">
        <f aca="false">F23+G22</f>
        <v>0</v>
      </c>
      <c r="H23" s="242" t="n">
        <f aca="false">G23+H22</f>
        <v>-135452</v>
      </c>
      <c r="I23" s="242" t="n">
        <f aca="false">H23+I22</f>
        <v>57345.63</v>
      </c>
      <c r="J23" s="242" t="n">
        <f aca="false">I23+J22</f>
        <v>68398.26</v>
      </c>
      <c r="K23" s="242" t="n">
        <f aca="false">J23+K22</f>
        <v>79450.89</v>
      </c>
      <c r="L23" s="242" t="n">
        <f aca="false">K23+L22</f>
        <v>90503.52</v>
      </c>
      <c r="M23" s="242" t="n">
        <f aca="false">L23+M22</f>
        <v>101556.15</v>
      </c>
      <c r="N23" s="242" t="n">
        <f aca="false">M23+N22</f>
        <v>112608.78</v>
      </c>
      <c r="O23" s="242" t="n">
        <f aca="false">N23+O22</f>
        <v>123661.41</v>
      </c>
      <c r="P23" s="242" t="n">
        <f aca="false">O23+P22</f>
        <v>134714.04</v>
      </c>
      <c r="Q23" s="242" t="n">
        <f aca="false">P23+Q22</f>
        <v>145766.67</v>
      </c>
      <c r="R23" s="242" t="n">
        <f aca="false">Q23+R22</f>
        <v>156819.3</v>
      </c>
      <c r="S23" s="242" t="n">
        <f aca="false">R23+S22</f>
        <v>167871.93</v>
      </c>
      <c r="T23" s="242" t="n">
        <f aca="false">S23+T22</f>
        <v>178924.56</v>
      </c>
      <c r="U23" s="242" t="n">
        <f aca="false">T23+U22</f>
        <v>189977.19</v>
      </c>
      <c r="V23" s="242" t="n">
        <f aca="false">U23+V22</f>
        <v>201029.82</v>
      </c>
      <c r="W23" s="242" t="n">
        <f aca="false">V23+W22</f>
        <v>212082.45</v>
      </c>
      <c r="X23" s="242" t="n">
        <f aca="false">W23+X22</f>
        <v>223135.08</v>
      </c>
      <c r="Y23" s="242" t="n">
        <f aca="false">X23+Y22</f>
        <v>234187.71</v>
      </c>
      <c r="Z23" s="242" t="n">
        <f aca="false">Y23+Z22</f>
        <v>245240.34</v>
      </c>
      <c r="AA23" s="242" t="n">
        <f aca="false">Z23+AA22</f>
        <v>256292.97</v>
      </c>
      <c r="AB23" s="242" t="n">
        <f aca="false">AA23+AB22</f>
        <v>256292.97</v>
      </c>
      <c r="AC23" s="242" t="n">
        <f aca="false">AB23+AC22</f>
        <v>256292.97</v>
      </c>
      <c r="AD23" s="242" t="n">
        <f aca="false">AC23+AD22</f>
        <v>256292.97</v>
      </c>
      <c r="AE23" s="242" t="n">
        <f aca="false">AD23+AE22</f>
        <v>256292.97</v>
      </c>
      <c r="AF23" s="242" t="n">
        <f aca="false">AE23+AF22</f>
        <v>256292.97</v>
      </c>
      <c r="AG23" s="242" t="n">
        <f aca="false">AF23+AG22</f>
        <v>256292.97</v>
      </c>
      <c r="AH23" s="242" t="n">
        <f aca="false">AG23+AH22</f>
        <v>256292.97</v>
      </c>
      <c r="AI23" s="242" t="n">
        <f aca="false">AH23+AI22</f>
        <v>256292.97</v>
      </c>
      <c r="AJ23" s="242" t="n">
        <f aca="false">AI23+AJ22</f>
        <v>256292.97</v>
      </c>
      <c r="AK23" s="242" t="n">
        <f aca="false">AJ23+AK22</f>
        <v>256292.97</v>
      </c>
      <c r="AL23" s="242" t="n">
        <f aca="false">AK23+AL22</f>
        <v>256292.97</v>
      </c>
      <c r="AM23" s="242" t="n">
        <f aca="false">AL23+AM22</f>
        <v>256292.97</v>
      </c>
      <c r="AN23" s="242" t="n">
        <f aca="false">AM23+AN22</f>
        <v>256292.97</v>
      </c>
      <c r="AO23" s="242" t="n">
        <f aca="false">AN23+AO22</f>
        <v>256292.97</v>
      </c>
      <c r="AP23" s="242" t="n">
        <f aca="false">AO23+AP22</f>
        <v>256292.97</v>
      </c>
      <c r="AQ23" s="242" t="n">
        <f aca="false">AP23+AQ22</f>
        <v>256292.97</v>
      </c>
      <c r="AR23" s="242" t="n">
        <f aca="false">AQ23+AR22</f>
        <v>256292.97</v>
      </c>
      <c r="AS23" s="242" t="n">
        <f aca="false">AR23+AS22</f>
        <v>256292.97</v>
      </c>
      <c r="AT23" s="242" t="n">
        <f aca="false">AS23+AT22</f>
        <v>256292.97</v>
      </c>
      <c r="AU23" s="242" t="n">
        <f aca="false">AT23+AU22</f>
        <v>256292.97</v>
      </c>
      <c r="AV23" s="242" t="n">
        <f aca="false">AU23+AV22</f>
        <v>256292.97</v>
      </c>
      <c r="AW23" s="242" t="n">
        <f aca="false">AV23+AW22</f>
        <v>256292.97</v>
      </c>
      <c r="AX23" s="242" t="n">
        <f aca="false">AW23+AX22</f>
        <v>256292.97</v>
      </c>
      <c r="AY23" s="242" t="n">
        <f aca="false">AX23+AY22</f>
        <v>256292.97</v>
      </c>
      <c r="AZ23" s="242" t="n">
        <f aca="false">AY23+AZ22</f>
        <v>256292.97</v>
      </c>
      <c r="BA23" s="242" t="n">
        <f aca="false">AZ23+BA22</f>
        <v>256292.97</v>
      </c>
      <c r="BB23" s="242" t="n">
        <f aca="false">BA23+BB22</f>
        <v>256292.97</v>
      </c>
      <c r="BC23" s="242" t="n">
        <f aca="false">BB23+BC22</f>
        <v>256292.97</v>
      </c>
      <c r="BD23" s="242" t="n">
        <f aca="false">BC23+BD22</f>
        <v>256292.97</v>
      </c>
      <c r="BE23" s="242" t="n">
        <f aca="false">BD23+BE22</f>
        <v>256292.97</v>
      </c>
      <c r="BF23" s="242" t="n">
        <f aca="false">BE23+BF22</f>
        <v>256292.97</v>
      </c>
      <c r="BG23" s="242" t="n">
        <f aca="false">BF23+BG22</f>
        <v>256292.97</v>
      </c>
      <c r="BH23" s="242" t="n">
        <f aca="false">BG23+BH22</f>
        <v>256292.97</v>
      </c>
      <c r="BI23" s="242" t="n">
        <f aca="false">BH23+BI22</f>
        <v>256292.97</v>
      </c>
      <c r="BJ23" s="242" t="n">
        <f aca="false">BI23+BJ22</f>
        <v>256292.97</v>
      </c>
      <c r="BK23" s="242" t="n">
        <f aca="false">BJ23+BK22</f>
        <v>256292.97</v>
      </c>
      <c r="BL23" s="242" t="n">
        <f aca="false">BK23+BL22</f>
        <v>256292.97</v>
      </c>
      <c r="BM23" s="242" t="n">
        <f aca="false">BL23+BM22</f>
        <v>256292.97</v>
      </c>
      <c r="BN23" s="242" t="n">
        <f aca="false">BM23+BN22</f>
        <v>256292.97</v>
      </c>
      <c r="BO23" s="242" t="n">
        <f aca="false">BN23+BO22</f>
        <v>256292.97</v>
      </c>
      <c r="BP23" s="242" t="n">
        <f aca="false">BO23+BP22</f>
        <v>256292.97</v>
      </c>
      <c r="BQ23" s="242" t="n">
        <f aca="false">BP23+BQ22</f>
        <v>256292.97</v>
      </c>
      <c r="BR23" s="242" t="n">
        <f aca="false">BQ23+BR22</f>
        <v>256292.97</v>
      </c>
      <c r="BS23" s="242" t="n">
        <f aca="false">BR23+BS22</f>
        <v>256292.97</v>
      </c>
      <c r="BT23" s="242" t="n">
        <f aca="false">BS23+BT22</f>
        <v>256292.97</v>
      </c>
      <c r="BU23" s="242" t="n">
        <f aca="false">BT23+BU22</f>
        <v>256292.97</v>
      </c>
      <c r="BV23" s="242" t="n">
        <f aca="false">BU23+BV22</f>
        <v>256292.97</v>
      </c>
      <c r="BW23" s="242" t="n">
        <f aca="false">BV23+BW22</f>
        <v>256292.97</v>
      </c>
      <c r="BX23" s="242" t="n">
        <f aca="false">BW23+BX22</f>
        <v>256292.97</v>
      </c>
      <c r="BY23" s="242" t="n">
        <f aca="false">BX23+BY22</f>
        <v>256292.97</v>
      </c>
      <c r="BZ23" s="242" t="n">
        <f aca="false">BY23+BZ22</f>
        <v>256292.97</v>
      </c>
      <c r="CA23" s="242" t="n">
        <f aca="false">BZ23+CA22</f>
        <v>256292.97</v>
      </c>
      <c r="CB23" s="242" t="n">
        <f aca="false">CA23+CB22</f>
        <v>256292.97</v>
      </c>
      <c r="CC23" s="242" t="n">
        <f aca="false">CB23+CC22</f>
        <v>256292.97</v>
      </c>
      <c r="CD23" s="242" t="n">
        <f aca="false">CC23+CD22</f>
        <v>256292.97</v>
      </c>
      <c r="CE23" s="242" t="n">
        <f aca="false">CD23+CE22</f>
        <v>256292.97</v>
      </c>
      <c r="CF23" s="242" t="n">
        <f aca="false">CE23+CF22</f>
        <v>256292.97</v>
      </c>
      <c r="CG23" s="242" t="n">
        <f aca="false">CF23+CG22</f>
        <v>256292.97</v>
      </c>
      <c r="CH23" s="242" t="n">
        <f aca="false">CG23+CH22</f>
        <v>256292.97</v>
      </c>
    </row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customFormat="false" ht="15" hidden="false" customHeight="true" outlineLevel="0" collapsed="false">
      <c r="A25" s="38" t="s">
        <v>12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</row>
    <row r="26" customFormat="false" ht="15" hidden="false" customHeight="true" outlineLevel="0" collapsed="false">
      <c r="A26" s="95" t="s">
        <v>564</v>
      </c>
      <c r="B26" s="4"/>
      <c r="C26" s="239" t="n">
        <f aca="false">Model!E162</f>
        <v>0</v>
      </c>
      <c r="D26" s="239" t="n">
        <f aca="false">Model!F162</f>
        <v>0</v>
      </c>
      <c r="E26" s="239" t="n">
        <f aca="false">Model!G162</f>
        <v>0</v>
      </c>
      <c r="F26" s="239" t="n">
        <f aca="false">Model!H162</f>
        <v>0</v>
      </c>
      <c r="G26" s="239" t="n">
        <f aca="false">Model!I162</f>
        <v>0</v>
      </c>
      <c r="H26" s="239" t="n">
        <f aca="false">Model!J162</f>
        <v>0</v>
      </c>
      <c r="I26" s="239" t="n">
        <f aca="false">Model!K162</f>
        <v>0</v>
      </c>
      <c r="J26" s="239" t="n">
        <f aca="false">Model!L162</f>
        <v>0</v>
      </c>
      <c r="K26" s="239" t="n">
        <f aca="false">Model!M162</f>
        <v>0</v>
      </c>
      <c r="L26" s="239" t="n">
        <f aca="false">Model!N162</f>
        <v>0</v>
      </c>
      <c r="M26" s="239" t="n">
        <f aca="false">Model!O162</f>
        <v>0</v>
      </c>
      <c r="N26" s="239" t="n">
        <f aca="false">Model!P162</f>
        <v>0</v>
      </c>
      <c r="O26" s="239" t="n">
        <f aca="false">Model!Q162</f>
        <v>0</v>
      </c>
      <c r="P26" s="239" t="n">
        <f aca="false">Model!R162</f>
        <v>0</v>
      </c>
      <c r="Q26" s="239" t="n">
        <f aca="false">Model!S162</f>
        <v>0</v>
      </c>
      <c r="R26" s="239" t="n">
        <f aca="false">Model!T162</f>
        <v>0</v>
      </c>
      <c r="S26" s="239" t="n">
        <f aca="false">Model!U162</f>
        <v>0</v>
      </c>
      <c r="T26" s="239" t="n">
        <f aca="false">Model!V162</f>
        <v>0</v>
      </c>
      <c r="U26" s="239" t="n">
        <f aca="false">Model!W162</f>
        <v>0</v>
      </c>
      <c r="V26" s="239" t="n">
        <f aca="false">Model!X162</f>
        <v>0</v>
      </c>
      <c r="W26" s="239" t="n">
        <f aca="false">Model!Y162</f>
        <v>0</v>
      </c>
      <c r="X26" s="239" t="n">
        <f aca="false">Model!Z162</f>
        <v>0</v>
      </c>
      <c r="Y26" s="239" t="n">
        <f aca="false">Model!AA162</f>
        <v>0</v>
      </c>
      <c r="Z26" s="239" t="n">
        <f aca="false">Model!AB162</f>
        <v>0</v>
      </c>
      <c r="AA26" s="239" t="n">
        <f aca="false">Model!AC162</f>
        <v>0</v>
      </c>
      <c r="AB26" s="239" t="n">
        <f aca="false">Model!AD162</f>
        <v>0</v>
      </c>
      <c r="AC26" s="239" t="n">
        <f aca="false">Model!AE162</f>
        <v>0</v>
      </c>
      <c r="AD26" s="239" t="n">
        <f aca="false">Model!AF162</f>
        <v>0</v>
      </c>
      <c r="AE26" s="239" t="n">
        <f aca="false">Model!AG162</f>
        <v>0</v>
      </c>
      <c r="AF26" s="239" t="n">
        <f aca="false">Model!AH162</f>
        <v>0</v>
      </c>
      <c r="AG26" s="239" t="n">
        <f aca="false">Model!AI162</f>
        <v>0</v>
      </c>
      <c r="AH26" s="239" t="n">
        <f aca="false">Model!AJ162</f>
        <v>0</v>
      </c>
      <c r="AI26" s="239" t="n">
        <f aca="false">Model!AK162</f>
        <v>0</v>
      </c>
      <c r="AJ26" s="239" t="n">
        <f aca="false">Model!AL162</f>
        <v>0</v>
      </c>
      <c r="AK26" s="239" t="n">
        <f aca="false">Model!AM162</f>
        <v>0</v>
      </c>
      <c r="AL26" s="239" t="n">
        <f aca="false">Model!AN162</f>
        <v>0</v>
      </c>
      <c r="AM26" s="239" t="n">
        <f aca="false">Model!AO162</f>
        <v>0</v>
      </c>
      <c r="AN26" s="239" t="n">
        <f aca="false">Model!AP162</f>
        <v>0</v>
      </c>
      <c r="AO26" s="239" t="n">
        <f aca="false">Model!AQ162</f>
        <v>0</v>
      </c>
      <c r="AP26" s="239" t="n">
        <f aca="false">Model!AR162</f>
        <v>0</v>
      </c>
      <c r="AQ26" s="239" t="n">
        <f aca="false">Model!AS162</f>
        <v>0</v>
      </c>
      <c r="AR26" s="239" t="n">
        <f aca="false">Model!AT162</f>
        <v>81683</v>
      </c>
      <c r="AS26" s="239" t="n">
        <f aca="false">Model!AU162</f>
        <v>0</v>
      </c>
      <c r="AT26" s="239" t="n">
        <f aca="false">Model!AV162</f>
        <v>0</v>
      </c>
      <c r="AU26" s="239" t="n">
        <f aca="false">Model!AW162</f>
        <v>81682</v>
      </c>
      <c r="AV26" s="239" t="n">
        <f aca="false">Model!AX162</f>
        <v>0</v>
      </c>
      <c r="AW26" s="239" t="n">
        <f aca="false">Model!AY162</f>
        <v>0</v>
      </c>
      <c r="AX26" s="239" t="n">
        <f aca="false">Model!AZ162</f>
        <v>81682</v>
      </c>
      <c r="AY26" s="239" t="n">
        <f aca="false">Model!BA162</f>
        <v>0</v>
      </c>
      <c r="AZ26" s="239" t="n">
        <f aca="false">Model!BB162</f>
        <v>0</v>
      </c>
      <c r="BA26" s="239" t="n">
        <f aca="false">Model!BC162</f>
        <v>81682</v>
      </c>
      <c r="BB26" s="239" t="n">
        <f aca="false">Model!BD162</f>
        <v>0</v>
      </c>
      <c r="BC26" s="239" t="n">
        <f aca="false">Model!BE162</f>
        <v>0</v>
      </c>
      <c r="BD26" s="239" t="n">
        <f aca="false">Model!BF162</f>
        <v>59178</v>
      </c>
      <c r="BE26" s="239" t="n">
        <f aca="false">Model!BG162</f>
        <v>0</v>
      </c>
      <c r="BF26" s="239" t="n">
        <f aca="false">Model!BH162</f>
        <v>0</v>
      </c>
      <c r="BG26" s="239" t="n">
        <f aca="false">Model!BI162</f>
        <v>59176</v>
      </c>
      <c r="BH26" s="239" t="n">
        <f aca="false">Model!BJ162</f>
        <v>0</v>
      </c>
      <c r="BI26" s="239" t="n">
        <f aca="false">Model!BK162</f>
        <v>0</v>
      </c>
      <c r="BJ26" s="239" t="n">
        <f aca="false">Model!BL162</f>
        <v>59176</v>
      </c>
      <c r="BK26" s="239" t="n">
        <f aca="false">Model!BM162</f>
        <v>0</v>
      </c>
      <c r="BL26" s="239" t="n">
        <f aca="false">Model!BN162</f>
        <v>0</v>
      </c>
      <c r="BM26" s="239" t="n">
        <f aca="false">Model!BO162</f>
        <v>59176</v>
      </c>
      <c r="BN26" s="239" t="n">
        <f aca="false">Model!BP162</f>
        <v>0</v>
      </c>
      <c r="BO26" s="239" t="n">
        <f aca="false">Model!BQ162</f>
        <v>0</v>
      </c>
      <c r="BP26" s="239" t="n">
        <f aca="false">Model!BR162</f>
        <v>67763</v>
      </c>
      <c r="BQ26" s="239" t="n">
        <f aca="false">Model!BS162</f>
        <v>0</v>
      </c>
      <c r="BR26" s="239" t="n">
        <f aca="false">Model!BT162</f>
        <v>0</v>
      </c>
      <c r="BS26" s="239" t="n">
        <f aca="false">Model!BU162</f>
        <v>67762</v>
      </c>
      <c r="BT26" s="239" t="n">
        <f aca="false">Model!BV162</f>
        <v>0</v>
      </c>
      <c r="BU26" s="239" t="n">
        <f aca="false">Model!BW162</f>
        <v>0</v>
      </c>
      <c r="BV26" s="239" t="n">
        <f aca="false">Model!BX162</f>
        <v>67762</v>
      </c>
      <c r="BW26" s="239" t="n">
        <f aca="false">Model!BY162</f>
        <v>0</v>
      </c>
      <c r="BX26" s="239" t="n">
        <f aca="false">Model!BZ162</f>
        <v>0</v>
      </c>
      <c r="BY26" s="239" t="n">
        <f aca="false">Model!CA162</f>
        <v>67762</v>
      </c>
      <c r="BZ26" s="239" t="n">
        <f aca="false">Model!CB162</f>
        <v>0</v>
      </c>
      <c r="CA26" s="239" t="n">
        <f aca="false">Model!CC162</f>
        <v>0</v>
      </c>
      <c r="CB26" s="239" t="n">
        <f aca="false">Model!CD162</f>
        <v>76499</v>
      </c>
      <c r="CC26" s="239" t="n">
        <f aca="false">Model!CE162</f>
        <v>0</v>
      </c>
      <c r="CD26" s="239" t="n">
        <f aca="false">Model!CF162</f>
        <v>0</v>
      </c>
      <c r="CE26" s="239" t="n">
        <f aca="false">Model!CG162</f>
        <v>76499</v>
      </c>
      <c r="CF26" s="239" t="n">
        <f aca="false">Model!CH162</f>
        <v>0</v>
      </c>
      <c r="CG26" s="239" t="n">
        <f aca="false">Model!CI162</f>
        <v>0</v>
      </c>
      <c r="CH26" s="239" t="n">
        <f aca="false">Model!CJ162</f>
        <v>76499</v>
      </c>
    </row>
    <row r="27" customFormat="false" ht="15" hidden="false" customHeight="true" outlineLevel="0" collapsed="false">
      <c r="A27" s="243" t="s">
        <v>567</v>
      </c>
      <c r="B27" s="4"/>
      <c r="C27" s="244" t="n">
        <f aca="false">Model!E196</f>
        <v>-0</v>
      </c>
      <c r="D27" s="244" t="n">
        <f aca="false">Model!F196</f>
        <v>-0</v>
      </c>
      <c r="E27" s="244" t="n">
        <f aca="false">Model!G196</f>
        <v>-0</v>
      </c>
      <c r="F27" s="244" t="n">
        <f aca="false">Model!H196</f>
        <v>-0</v>
      </c>
      <c r="G27" s="244" t="n">
        <f aca="false">Model!I196</f>
        <v>-0</v>
      </c>
      <c r="H27" s="244" t="n">
        <f aca="false">Model!J196</f>
        <v>-0</v>
      </c>
      <c r="I27" s="244" t="n">
        <f aca="false">Model!K196</f>
        <v>-0</v>
      </c>
      <c r="J27" s="244" t="n">
        <f aca="false">Model!L196</f>
        <v>-0</v>
      </c>
      <c r="K27" s="244" t="n">
        <f aca="false">Model!M196</f>
        <v>-0</v>
      </c>
      <c r="L27" s="244" t="n">
        <f aca="false">Model!N196</f>
        <v>-0</v>
      </c>
      <c r="M27" s="244" t="n">
        <f aca="false">Model!O196</f>
        <v>-0</v>
      </c>
      <c r="N27" s="244" t="n">
        <f aca="false">Model!P196</f>
        <v>-0</v>
      </c>
      <c r="O27" s="244" t="n">
        <f aca="false">Model!Q196</f>
        <v>-0</v>
      </c>
      <c r="P27" s="244" t="n">
        <f aca="false">Model!R196</f>
        <v>-0</v>
      </c>
      <c r="Q27" s="244" t="n">
        <f aca="false">Model!S196</f>
        <v>-0</v>
      </c>
      <c r="R27" s="244" t="n">
        <f aca="false">Model!T196</f>
        <v>-0</v>
      </c>
      <c r="S27" s="244" t="n">
        <f aca="false">Model!U196</f>
        <v>-0</v>
      </c>
      <c r="T27" s="244" t="n">
        <f aca="false">Model!V196</f>
        <v>-0</v>
      </c>
      <c r="U27" s="244" t="n">
        <f aca="false">Model!W196</f>
        <v>-0</v>
      </c>
      <c r="V27" s="244" t="n">
        <f aca="false">Model!X196</f>
        <v>-0</v>
      </c>
      <c r="W27" s="244" t="n">
        <f aca="false">Model!Y196</f>
        <v>-0</v>
      </c>
      <c r="X27" s="244" t="n">
        <f aca="false">Model!Z196</f>
        <v>-0</v>
      </c>
      <c r="Y27" s="244" t="n">
        <f aca="false">Model!AA196</f>
        <v>-0</v>
      </c>
      <c r="Z27" s="244" t="n">
        <f aca="false">Model!AB196</f>
        <v>-0</v>
      </c>
      <c r="AA27" s="244" t="n">
        <f aca="false">Model!AC196</f>
        <v>-0</v>
      </c>
      <c r="AB27" s="244" t="n">
        <f aca="false">Model!AD196</f>
        <v>-0</v>
      </c>
      <c r="AC27" s="244" t="n">
        <f aca="false">Model!AE196</f>
        <v>-0</v>
      </c>
      <c r="AD27" s="244" t="n">
        <f aca="false">Model!AF196</f>
        <v>-0</v>
      </c>
      <c r="AE27" s="244" t="n">
        <f aca="false">Model!AG196</f>
        <v>-0</v>
      </c>
      <c r="AF27" s="244" t="n">
        <f aca="false">Model!AH196</f>
        <v>-0</v>
      </c>
      <c r="AG27" s="244" t="n">
        <f aca="false">Model!AI196</f>
        <v>-0</v>
      </c>
      <c r="AH27" s="244" t="n">
        <f aca="false">Model!AJ196</f>
        <v>-0</v>
      </c>
      <c r="AI27" s="244" t="n">
        <f aca="false">Model!AK196</f>
        <v>-0</v>
      </c>
      <c r="AJ27" s="244" t="n">
        <f aca="false">Model!AL196</f>
        <v>-0</v>
      </c>
      <c r="AK27" s="244" t="n">
        <f aca="false">Model!AM196</f>
        <v>-0</v>
      </c>
      <c r="AL27" s="244" t="n">
        <f aca="false">Model!AN196</f>
        <v>-0</v>
      </c>
      <c r="AM27" s="244" t="n">
        <f aca="false">Model!AO196</f>
        <v>-0</v>
      </c>
      <c r="AN27" s="244" t="n">
        <f aca="false">Model!AP196</f>
        <v>-0</v>
      </c>
      <c r="AO27" s="244" t="n">
        <f aca="false">Model!AQ196</f>
        <v>-0</v>
      </c>
      <c r="AP27" s="244" t="n">
        <f aca="false">Model!AR196</f>
        <v>-0</v>
      </c>
      <c r="AQ27" s="244" t="n">
        <f aca="false">Model!AS196</f>
        <v>-0</v>
      </c>
      <c r="AR27" s="244" t="n">
        <f aca="false">Model!AT196</f>
        <v>-81683</v>
      </c>
      <c r="AS27" s="244" t="n">
        <f aca="false">Model!AU196</f>
        <v>-0</v>
      </c>
      <c r="AT27" s="244" t="n">
        <f aca="false">Model!AV196</f>
        <v>-0</v>
      </c>
      <c r="AU27" s="244" t="n">
        <f aca="false">Model!AW196</f>
        <v>-81682</v>
      </c>
      <c r="AV27" s="244" t="n">
        <f aca="false">Model!AX196</f>
        <v>-0</v>
      </c>
      <c r="AW27" s="244" t="n">
        <f aca="false">Model!AY196</f>
        <v>-0</v>
      </c>
      <c r="AX27" s="244" t="n">
        <f aca="false">Model!AZ196</f>
        <v>-81682</v>
      </c>
      <c r="AY27" s="244" t="n">
        <f aca="false">Model!BA196</f>
        <v>-0</v>
      </c>
      <c r="AZ27" s="244" t="n">
        <f aca="false">Model!BB196</f>
        <v>-0</v>
      </c>
      <c r="BA27" s="244" t="n">
        <f aca="false">Model!BC196</f>
        <v>-81682</v>
      </c>
      <c r="BB27" s="244" t="n">
        <f aca="false">Model!BD196</f>
        <v>-0</v>
      </c>
      <c r="BC27" s="244" t="n">
        <f aca="false">Model!BE196</f>
        <v>-0</v>
      </c>
      <c r="BD27" s="244" t="n">
        <f aca="false">Model!BF196</f>
        <v>-59178</v>
      </c>
      <c r="BE27" s="244" t="n">
        <f aca="false">Model!BG196</f>
        <v>-0</v>
      </c>
      <c r="BF27" s="244" t="n">
        <f aca="false">Model!BH196</f>
        <v>-0</v>
      </c>
      <c r="BG27" s="244" t="n">
        <f aca="false">Model!BI196</f>
        <v>-59176</v>
      </c>
      <c r="BH27" s="244" t="n">
        <f aca="false">Model!BJ196</f>
        <v>-0</v>
      </c>
      <c r="BI27" s="244" t="n">
        <f aca="false">Model!BK196</f>
        <v>-0</v>
      </c>
      <c r="BJ27" s="244" t="n">
        <f aca="false">Model!BL196</f>
        <v>-59176</v>
      </c>
      <c r="BK27" s="244" t="n">
        <f aca="false">Model!BM196</f>
        <v>-0</v>
      </c>
      <c r="BL27" s="244" t="n">
        <f aca="false">Model!BN196</f>
        <v>-0</v>
      </c>
      <c r="BM27" s="244" t="n">
        <f aca="false">Model!BO196</f>
        <v>-59176</v>
      </c>
      <c r="BN27" s="244" t="n">
        <f aca="false">Model!BP196</f>
        <v>-0</v>
      </c>
      <c r="BO27" s="244" t="n">
        <f aca="false">Model!BQ196</f>
        <v>-0</v>
      </c>
      <c r="BP27" s="244" t="n">
        <f aca="false">Model!BR196</f>
        <v>-14512.65</v>
      </c>
      <c r="BQ27" s="244" t="n">
        <f aca="false">Model!BS196</f>
        <v>-0</v>
      </c>
      <c r="BR27" s="244" t="n">
        <f aca="false">Model!BT196</f>
        <v>-0</v>
      </c>
      <c r="BS27" s="244" t="n">
        <f aca="false">Model!BU196</f>
        <v>-0</v>
      </c>
      <c r="BT27" s="244" t="n">
        <f aca="false">Model!BV196</f>
        <v>-0</v>
      </c>
      <c r="BU27" s="244" t="n">
        <f aca="false">Model!BW196</f>
        <v>-0</v>
      </c>
      <c r="BV27" s="244" t="n">
        <f aca="false">Model!BX196</f>
        <v>-0</v>
      </c>
      <c r="BW27" s="244" t="n">
        <f aca="false">Model!BY196</f>
        <v>-0</v>
      </c>
      <c r="BX27" s="244" t="n">
        <f aca="false">Model!BZ196</f>
        <v>-0</v>
      </c>
      <c r="BY27" s="244" t="n">
        <f aca="false">Model!CA196</f>
        <v>-0</v>
      </c>
      <c r="BZ27" s="244" t="n">
        <f aca="false">Model!CB196</f>
        <v>-0</v>
      </c>
      <c r="CA27" s="244" t="n">
        <f aca="false">Model!CC196</f>
        <v>-0</v>
      </c>
      <c r="CB27" s="244" t="n">
        <f aca="false">Model!CD196</f>
        <v>-0</v>
      </c>
      <c r="CC27" s="244" t="n">
        <f aca="false">Model!CE196</f>
        <v>-0</v>
      </c>
      <c r="CD27" s="244" t="n">
        <f aca="false">Model!CF196</f>
        <v>-0</v>
      </c>
      <c r="CE27" s="244" t="n">
        <f aca="false">Model!CG196</f>
        <v>-0</v>
      </c>
      <c r="CF27" s="244" t="n">
        <f aca="false">Model!CH196</f>
        <v>-0</v>
      </c>
      <c r="CG27" s="244" t="n">
        <f aca="false">Model!CI196</f>
        <v>-0</v>
      </c>
      <c r="CH27" s="244" t="n">
        <f aca="false">Model!CJ196</f>
        <v>-0</v>
      </c>
    </row>
    <row r="28" customFormat="false" ht="15" hidden="false" customHeight="true" outlineLevel="0" collapsed="false">
      <c r="A28" s="240" t="s">
        <v>565</v>
      </c>
      <c r="B28" s="240"/>
      <c r="C28" s="241" t="n">
        <f aca="false">C26+C27</f>
        <v>0</v>
      </c>
      <c r="D28" s="241" t="n">
        <f aca="false">D26+D27</f>
        <v>0</v>
      </c>
      <c r="E28" s="241" t="n">
        <f aca="false">E26+E27</f>
        <v>0</v>
      </c>
      <c r="F28" s="241" t="n">
        <f aca="false">F26+F27</f>
        <v>0</v>
      </c>
      <c r="G28" s="241" t="n">
        <f aca="false">G26+G27</f>
        <v>0</v>
      </c>
      <c r="H28" s="241" t="n">
        <f aca="false">H26+H27</f>
        <v>0</v>
      </c>
      <c r="I28" s="241" t="n">
        <f aca="false">I26+I27</f>
        <v>0</v>
      </c>
      <c r="J28" s="241" t="n">
        <f aca="false">J26+J27</f>
        <v>0</v>
      </c>
      <c r="K28" s="241" t="n">
        <f aca="false">K26+K27</f>
        <v>0</v>
      </c>
      <c r="L28" s="241" t="n">
        <f aca="false">L26+L27</f>
        <v>0</v>
      </c>
      <c r="M28" s="241" t="n">
        <f aca="false">M26+M27</f>
        <v>0</v>
      </c>
      <c r="N28" s="241" t="n">
        <f aca="false">N26+N27</f>
        <v>0</v>
      </c>
      <c r="O28" s="241" t="n">
        <f aca="false">O26+O27</f>
        <v>0</v>
      </c>
      <c r="P28" s="241" t="n">
        <f aca="false">P26+P27</f>
        <v>0</v>
      </c>
      <c r="Q28" s="241" t="n">
        <f aca="false">Q26+Q27</f>
        <v>0</v>
      </c>
      <c r="R28" s="241" t="n">
        <f aca="false">R26+R27</f>
        <v>0</v>
      </c>
      <c r="S28" s="241" t="n">
        <f aca="false">S26+S27</f>
        <v>0</v>
      </c>
      <c r="T28" s="241" t="n">
        <f aca="false">T26+T27</f>
        <v>0</v>
      </c>
      <c r="U28" s="241" t="n">
        <f aca="false">U26+U27</f>
        <v>0</v>
      </c>
      <c r="V28" s="241" t="n">
        <f aca="false">V26+V27</f>
        <v>0</v>
      </c>
      <c r="W28" s="241" t="n">
        <f aca="false">W26+W27</f>
        <v>0</v>
      </c>
      <c r="X28" s="241" t="n">
        <f aca="false">X26+X27</f>
        <v>0</v>
      </c>
      <c r="Y28" s="241" t="n">
        <f aca="false">Y26+Y27</f>
        <v>0</v>
      </c>
      <c r="Z28" s="241" t="n">
        <f aca="false">Z26+Z27</f>
        <v>0</v>
      </c>
      <c r="AA28" s="241" t="n">
        <f aca="false">AA26+AA27</f>
        <v>0</v>
      </c>
      <c r="AB28" s="241" t="n">
        <f aca="false">AB26+AB27</f>
        <v>0</v>
      </c>
      <c r="AC28" s="241" t="n">
        <f aca="false">AC26+AC27</f>
        <v>0</v>
      </c>
      <c r="AD28" s="241" t="n">
        <f aca="false">AD26+AD27</f>
        <v>0</v>
      </c>
      <c r="AE28" s="241" t="n">
        <f aca="false">AE26+AE27</f>
        <v>0</v>
      </c>
      <c r="AF28" s="241" t="n">
        <f aca="false">AF26+AF27</f>
        <v>0</v>
      </c>
      <c r="AG28" s="241" t="n">
        <f aca="false">AG26+AG27</f>
        <v>0</v>
      </c>
      <c r="AH28" s="241" t="n">
        <f aca="false">AH26+AH27</f>
        <v>0</v>
      </c>
      <c r="AI28" s="241" t="n">
        <f aca="false">AI26+AI27</f>
        <v>0</v>
      </c>
      <c r="AJ28" s="241" t="n">
        <f aca="false">AJ26+AJ27</f>
        <v>0</v>
      </c>
      <c r="AK28" s="241" t="n">
        <f aca="false">AK26+AK27</f>
        <v>0</v>
      </c>
      <c r="AL28" s="241" t="n">
        <f aca="false">AL26+AL27</f>
        <v>0</v>
      </c>
      <c r="AM28" s="241" t="n">
        <f aca="false">AM26+AM27</f>
        <v>0</v>
      </c>
      <c r="AN28" s="241" t="n">
        <f aca="false">AN26+AN27</f>
        <v>0</v>
      </c>
      <c r="AO28" s="241" t="n">
        <f aca="false">AO26+AO27</f>
        <v>0</v>
      </c>
      <c r="AP28" s="241" t="n">
        <f aca="false">AP26+AP27</f>
        <v>0</v>
      </c>
      <c r="AQ28" s="241" t="n">
        <f aca="false">AQ26+AQ27</f>
        <v>0</v>
      </c>
      <c r="AR28" s="241" t="n">
        <f aca="false">AR26+AR27</f>
        <v>0</v>
      </c>
      <c r="AS28" s="241" t="n">
        <f aca="false">AS26+AS27</f>
        <v>0</v>
      </c>
      <c r="AT28" s="241" t="n">
        <f aca="false">AT26+AT27</f>
        <v>0</v>
      </c>
      <c r="AU28" s="241" t="n">
        <f aca="false">AU26+AU27</f>
        <v>0</v>
      </c>
      <c r="AV28" s="241" t="n">
        <f aca="false">AV26+AV27</f>
        <v>0</v>
      </c>
      <c r="AW28" s="241" t="n">
        <f aca="false">AW26+AW27</f>
        <v>0</v>
      </c>
      <c r="AX28" s="241" t="n">
        <f aca="false">AX26+AX27</f>
        <v>0</v>
      </c>
      <c r="AY28" s="241" t="n">
        <f aca="false">AY26+AY27</f>
        <v>0</v>
      </c>
      <c r="AZ28" s="241" t="n">
        <f aca="false">AZ26+AZ27</f>
        <v>0</v>
      </c>
      <c r="BA28" s="241" t="n">
        <f aca="false">BA26+BA27</f>
        <v>0</v>
      </c>
      <c r="BB28" s="241" t="n">
        <f aca="false">BB26+BB27</f>
        <v>0</v>
      </c>
      <c r="BC28" s="241" t="n">
        <f aca="false">BC26+BC27</f>
        <v>0</v>
      </c>
      <c r="BD28" s="241" t="n">
        <f aca="false">BD26+BD27</f>
        <v>0</v>
      </c>
      <c r="BE28" s="241" t="n">
        <f aca="false">BE26+BE27</f>
        <v>0</v>
      </c>
      <c r="BF28" s="241" t="n">
        <f aca="false">BF26+BF27</f>
        <v>0</v>
      </c>
      <c r="BG28" s="241" t="n">
        <f aca="false">BG26+BG27</f>
        <v>0</v>
      </c>
      <c r="BH28" s="241" t="n">
        <f aca="false">BH26+BH27</f>
        <v>0</v>
      </c>
      <c r="BI28" s="241" t="n">
        <f aca="false">BI26+BI27</f>
        <v>0</v>
      </c>
      <c r="BJ28" s="241" t="n">
        <f aca="false">BJ26+BJ27</f>
        <v>0</v>
      </c>
      <c r="BK28" s="241" t="n">
        <f aca="false">BK26+BK27</f>
        <v>0</v>
      </c>
      <c r="BL28" s="241" t="n">
        <f aca="false">BL26+BL27</f>
        <v>0</v>
      </c>
      <c r="BM28" s="241" t="n">
        <f aca="false">BM26+BM27</f>
        <v>0</v>
      </c>
      <c r="BN28" s="241" t="n">
        <f aca="false">BN26+BN27</f>
        <v>0</v>
      </c>
      <c r="BO28" s="241" t="n">
        <f aca="false">BO26+BO27</f>
        <v>0</v>
      </c>
      <c r="BP28" s="241" t="n">
        <f aca="false">BP26+BP27</f>
        <v>53250.35</v>
      </c>
      <c r="BQ28" s="241" t="n">
        <f aca="false">BQ26+BQ27</f>
        <v>0</v>
      </c>
      <c r="BR28" s="241" t="n">
        <f aca="false">BR26+BR27</f>
        <v>0</v>
      </c>
      <c r="BS28" s="241" t="n">
        <f aca="false">BS26+BS27</f>
        <v>67762</v>
      </c>
      <c r="BT28" s="241" t="n">
        <f aca="false">BT26+BT27</f>
        <v>0</v>
      </c>
      <c r="BU28" s="241" t="n">
        <f aca="false">BU26+BU27</f>
        <v>0</v>
      </c>
      <c r="BV28" s="241" t="n">
        <f aca="false">BV26+BV27</f>
        <v>67762</v>
      </c>
      <c r="BW28" s="241" t="n">
        <f aca="false">BW26+BW27</f>
        <v>0</v>
      </c>
      <c r="BX28" s="241" t="n">
        <f aca="false">BX26+BX27</f>
        <v>0</v>
      </c>
      <c r="BY28" s="241" t="n">
        <f aca="false">BY26+BY27</f>
        <v>67762</v>
      </c>
      <c r="BZ28" s="241" t="n">
        <f aca="false">BZ26+BZ27</f>
        <v>0</v>
      </c>
      <c r="CA28" s="241" t="n">
        <f aca="false">CA26+CA27</f>
        <v>0</v>
      </c>
      <c r="CB28" s="241" t="n">
        <f aca="false">CB26+CB27</f>
        <v>76499</v>
      </c>
      <c r="CC28" s="241" t="n">
        <f aca="false">CC26+CC27</f>
        <v>0</v>
      </c>
      <c r="CD28" s="241" t="n">
        <f aca="false">CD26+CD27</f>
        <v>0</v>
      </c>
      <c r="CE28" s="241" t="n">
        <f aca="false">CE26+CE27</f>
        <v>76499</v>
      </c>
      <c r="CF28" s="241" t="n">
        <f aca="false">CF26+CF27</f>
        <v>0</v>
      </c>
      <c r="CG28" s="241" t="n">
        <f aca="false">CG26+CG27</f>
        <v>0</v>
      </c>
      <c r="CH28" s="241" t="n">
        <f aca="false">CH26+CH27</f>
        <v>76499</v>
      </c>
    </row>
    <row r="29" customFormat="false" ht="15" hidden="false" customHeight="true" outlineLevel="0" collapsed="false">
      <c r="A29" s="77" t="s">
        <v>566</v>
      </c>
      <c r="B29" s="4"/>
      <c r="C29" s="242" t="n">
        <f aca="false">C28</f>
        <v>0</v>
      </c>
      <c r="D29" s="242" t="n">
        <f aca="false">C29+D28</f>
        <v>0</v>
      </c>
      <c r="E29" s="242" t="n">
        <f aca="false">D29+E28</f>
        <v>0</v>
      </c>
      <c r="F29" s="242" t="n">
        <f aca="false">E29+F28</f>
        <v>0</v>
      </c>
      <c r="G29" s="242" t="n">
        <f aca="false">F29+G28</f>
        <v>0</v>
      </c>
      <c r="H29" s="242" t="n">
        <f aca="false">G29+H28</f>
        <v>0</v>
      </c>
      <c r="I29" s="242" t="n">
        <f aca="false">H29+I28</f>
        <v>0</v>
      </c>
      <c r="J29" s="242" t="n">
        <f aca="false">I29+J28</f>
        <v>0</v>
      </c>
      <c r="K29" s="242" t="n">
        <f aca="false">J29+K28</f>
        <v>0</v>
      </c>
      <c r="L29" s="242" t="n">
        <f aca="false">K29+L28</f>
        <v>0</v>
      </c>
      <c r="M29" s="242" t="n">
        <f aca="false">L29+M28</f>
        <v>0</v>
      </c>
      <c r="N29" s="242" t="n">
        <f aca="false">M29+N28</f>
        <v>0</v>
      </c>
      <c r="O29" s="242" t="n">
        <f aca="false">N29+O28</f>
        <v>0</v>
      </c>
      <c r="P29" s="242" t="n">
        <f aca="false">O29+P28</f>
        <v>0</v>
      </c>
      <c r="Q29" s="242" t="n">
        <f aca="false">P29+Q28</f>
        <v>0</v>
      </c>
      <c r="R29" s="242" t="n">
        <f aca="false">Q29+R28</f>
        <v>0</v>
      </c>
      <c r="S29" s="242" t="n">
        <f aca="false">R29+S28</f>
        <v>0</v>
      </c>
      <c r="T29" s="242" t="n">
        <f aca="false">S29+T28</f>
        <v>0</v>
      </c>
      <c r="U29" s="242" t="n">
        <f aca="false">T29+U28</f>
        <v>0</v>
      </c>
      <c r="V29" s="242" t="n">
        <f aca="false">U29+V28</f>
        <v>0</v>
      </c>
      <c r="W29" s="242" t="n">
        <f aca="false">V29+W28</f>
        <v>0</v>
      </c>
      <c r="X29" s="242" t="n">
        <f aca="false">W29+X28</f>
        <v>0</v>
      </c>
      <c r="Y29" s="242" t="n">
        <f aca="false">X29+Y28</f>
        <v>0</v>
      </c>
      <c r="Z29" s="242" t="n">
        <f aca="false">Y29+Z28</f>
        <v>0</v>
      </c>
      <c r="AA29" s="242" t="n">
        <f aca="false">Z29+AA28</f>
        <v>0</v>
      </c>
      <c r="AB29" s="242" t="n">
        <f aca="false">AA29+AB28</f>
        <v>0</v>
      </c>
      <c r="AC29" s="242" t="n">
        <f aca="false">AB29+AC28</f>
        <v>0</v>
      </c>
      <c r="AD29" s="242" t="n">
        <f aca="false">AC29+AD28</f>
        <v>0</v>
      </c>
      <c r="AE29" s="242" t="n">
        <f aca="false">AD29+AE28</f>
        <v>0</v>
      </c>
      <c r="AF29" s="242" t="n">
        <f aca="false">AE29+AF28</f>
        <v>0</v>
      </c>
      <c r="AG29" s="242" t="n">
        <f aca="false">AF29+AG28</f>
        <v>0</v>
      </c>
      <c r="AH29" s="242" t="n">
        <f aca="false">AG29+AH28</f>
        <v>0</v>
      </c>
      <c r="AI29" s="242" t="n">
        <f aca="false">AH29+AI28</f>
        <v>0</v>
      </c>
      <c r="AJ29" s="242" t="n">
        <f aca="false">AI29+AJ28</f>
        <v>0</v>
      </c>
      <c r="AK29" s="242" t="n">
        <f aca="false">AJ29+AK28</f>
        <v>0</v>
      </c>
      <c r="AL29" s="242" t="n">
        <f aca="false">AK29+AL28</f>
        <v>0</v>
      </c>
      <c r="AM29" s="242" t="n">
        <f aca="false">AL29+AM28</f>
        <v>0</v>
      </c>
      <c r="AN29" s="242" t="n">
        <f aca="false">AM29+AN28</f>
        <v>0</v>
      </c>
      <c r="AO29" s="242" t="n">
        <f aca="false">AN29+AO28</f>
        <v>0</v>
      </c>
      <c r="AP29" s="242" t="n">
        <f aca="false">AO29+AP28</f>
        <v>0</v>
      </c>
      <c r="AQ29" s="242" t="n">
        <f aca="false">AP29+AQ28</f>
        <v>0</v>
      </c>
      <c r="AR29" s="242" t="n">
        <f aca="false">AQ29+AR28</f>
        <v>0</v>
      </c>
      <c r="AS29" s="242" t="n">
        <f aca="false">AR29+AS28</f>
        <v>0</v>
      </c>
      <c r="AT29" s="242" t="n">
        <f aca="false">AS29+AT28</f>
        <v>0</v>
      </c>
      <c r="AU29" s="242" t="n">
        <f aca="false">AT29+AU28</f>
        <v>0</v>
      </c>
      <c r="AV29" s="242" t="n">
        <f aca="false">AU29+AV28</f>
        <v>0</v>
      </c>
      <c r="AW29" s="242" t="n">
        <f aca="false">AV29+AW28</f>
        <v>0</v>
      </c>
      <c r="AX29" s="242" t="n">
        <f aca="false">AW29+AX28</f>
        <v>0</v>
      </c>
      <c r="AY29" s="242" t="n">
        <f aca="false">AX29+AY28</f>
        <v>0</v>
      </c>
      <c r="AZ29" s="242" t="n">
        <f aca="false">AY29+AZ28</f>
        <v>0</v>
      </c>
      <c r="BA29" s="242" t="n">
        <f aca="false">AZ29+BA28</f>
        <v>0</v>
      </c>
      <c r="BB29" s="242" t="n">
        <f aca="false">BA29+BB28</f>
        <v>0</v>
      </c>
      <c r="BC29" s="242" t="n">
        <f aca="false">BB29+BC28</f>
        <v>0</v>
      </c>
      <c r="BD29" s="242" t="n">
        <f aca="false">BC29+BD28</f>
        <v>0</v>
      </c>
      <c r="BE29" s="242" t="n">
        <f aca="false">BD29+BE28</f>
        <v>0</v>
      </c>
      <c r="BF29" s="242" t="n">
        <f aca="false">BE29+BF28</f>
        <v>0</v>
      </c>
      <c r="BG29" s="242" t="n">
        <f aca="false">BF29+BG28</f>
        <v>0</v>
      </c>
      <c r="BH29" s="242" t="n">
        <f aca="false">BG29+BH28</f>
        <v>0</v>
      </c>
      <c r="BI29" s="242" t="n">
        <f aca="false">BH29+BI28</f>
        <v>0</v>
      </c>
      <c r="BJ29" s="242" t="n">
        <f aca="false">BI29+BJ28</f>
        <v>0</v>
      </c>
      <c r="BK29" s="242" t="n">
        <f aca="false">BJ29+BK28</f>
        <v>0</v>
      </c>
      <c r="BL29" s="242" t="n">
        <f aca="false">BK29+BL28</f>
        <v>0</v>
      </c>
      <c r="BM29" s="242" t="n">
        <f aca="false">BL29+BM28</f>
        <v>0</v>
      </c>
      <c r="BN29" s="242" t="n">
        <f aca="false">BM29+BN28</f>
        <v>0</v>
      </c>
      <c r="BO29" s="242" t="n">
        <f aca="false">BN29+BO28</f>
        <v>0</v>
      </c>
      <c r="BP29" s="242" t="n">
        <f aca="false">BO29+BP28</f>
        <v>53250.35</v>
      </c>
      <c r="BQ29" s="242" t="n">
        <f aca="false">BP29+BQ28</f>
        <v>53250.35</v>
      </c>
      <c r="BR29" s="242" t="n">
        <f aca="false">BQ29+BR28</f>
        <v>53250.35</v>
      </c>
      <c r="BS29" s="242" t="n">
        <f aca="false">BR29+BS28</f>
        <v>121012.35</v>
      </c>
      <c r="BT29" s="242" t="n">
        <f aca="false">BS29+BT28</f>
        <v>121012.35</v>
      </c>
      <c r="BU29" s="242" t="n">
        <f aca="false">BT29+BU28</f>
        <v>121012.35</v>
      </c>
      <c r="BV29" s="242" t="n">
        <f aca="false">BU29+BV28</f>
        <v>188774.35</v>
      </c>
      <c r="BW29" s="242" t="n">
        <f aca="false">BV29+BW28</f>
        <v>188774.35</v>
      </c>
      <c r="BX29" s="242" t="n">
        <f aca="false">BW29+BX28</f>
        <v>188774.35</v>
      </c>
      <c r="BY29" s="242" t="n">
        <f aca="false">BX29+BY28</f>
        <v>256536.35</v>
      </c>
      <c r="BZ29" s="242" t="n">
        <f aca="false">BY29+BZ28</f>
        <v>256536.35</v>
      </c>
      <c r="CA29" s="242" t="n">
        <f aca="false">BZ29+CA28</f>
        <v>256536.35</v>
      </c>
      <c r="CB29" s="242" t="n">
        <f aca="false">CA29+CB28</f>
        <v>333035.35</v>
      </c>
      <c r="CC29" s="242" t="n">
        <f aca="false">CB29+CC28</f>
        <v>333035.35</v>
      </c>
      <c r="CD29" s="242" t="n">
        <f aca="false">CC29+CD28</f>
        <v>333035.35</v>
      </c>
      <c r="CE29" s="242" t="n">
        <f aca="false">CD29+CE28</f>
        <v>409534.35</v>
      </c>
      <c r="CF29" s="242" t="n">
        <f aca="false">CE29+CF28</f>
        <v>409534.35</v>
      </c>
      <c r="CG29" s="242" t="n">
        <f aca="false">CF29+CG28</f>
        <v>409534.35</v>
      </c>
      <c r="CH29" s="242" t="n">
        <f aca="false">CG29+CH28</f>
        <v>486033.35</v>
      </c>
    </row>
    <row r="30" customFormat="false" ht="1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</row>
    <row r="31" customFormat="false" ht="15" hidden="false" customHeight="true" outlineLevel="0" collapsed="false">
      <c r="A31" s="38" t="s">
        <v>18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</row>
    <row r="32" customFormat="false" ht="15" hidden="false" customHeight="true" outlineLevel="0" collapsed="false">
      <c r="A32" s="95" t="s">
        <v>564</v>
      </c>
      <c r="B32" s="4"/>
      <c r="C32" s="239" t="n">
        <f aca="false">Model!E163</f>
        <v>0</v>
      </c>
      <c r="D32" s="239" t="n">
        <f aca="false">Model!F163</f>
        <v>0</v>
      </c>
      <c r="E32" s="239" t="n">
        <f aca="false">Model!G163</f>
        <v>0</v>
      </c>
      <c r="F32" s="239" t="n">
        <f aca="false">Model!H163</f>
        <v>0</v>
      </c>
      <c r="G32" s="239" t="n">
        <f aca="false">Model!I163</f>
        <v>0</v>
      </c>
      <c r="H32" s="239" t="n">
        <f aca="false">Model!J163</f>
        <v>0</v>
      </c>
      <c r="I32" s="239" t="n">
        <f aca="false">Model!K163</f>
        <v>0</v>
      </c>
      <c r="J32" s="239" t="n">
        <f aca="false">Model!L163</f>
        <v>0</v>
      </c>
      <c r="K32" s="239" t="n">
        <f aca="false">Model!M163</f>
        <v>0</v>
      </c>
      <c r="L32" s="239" t="n">
        <f aca="false">Model!N163</f>
        <v>0</v>
      </c>
      <c r="M32" s="239" t="n">
        <f aca="false">Model!O163</f>
        <v>0</v>
      </c>
      <c r="N32" s="239" t="n">
        <f aca="false">Model!P163</f>
        <v>0</v>
      </c>
      <c r="O32" s="239" t="n">
        <f aca="false">Model!Q163</f>
        <v>0</v>
      </c>
      <c r="P32" s="239" t="n">
        <f aca="false">Model!R163</f>
        <v>0</v>
      </c>
      <c r="Q32" s="239" t="n">
        <f aca="false">Model!S163</f>
        <v>0</v>
      </c>
      <c r="R32" s="239" t="n">
        <f aca="false">Model!T163</f>
        <v>0</v>
      </c>
      <c r="S32" s="239" t="n">
        <f aca="false">Model!U163</f>
        <v>0</v>
      </c>
      <c r="T32" s="239" t="n">
        <f aca="false">Model!V163</f>
        <v>0</v>
      </c>
      <c r="U32" s="239" t="n">
        <f aca="false">Model!W163</f>
        <v>0</v>
      </c>
      <c r="V32" s="239" t="n">
        <f aca="false">Model!X163</f>
        <v>0</v>
      </c>
      <c r="W32" s="239" t="n">
        <f aca="false">Model!Y163</f>
        <v>0</v>
      </c>
      <c r="X32" s="239" t="n">
        <f aca="false">Model!Z163</f>
        <v>0</v>
      </c>
      <c r="Y32" s="239" t="n">
        <f aca="false">Model!AA163</f>
        <v>0</v>
      </c>
      <c r="Z32" s="239" t="n">
        <f aca="false">Model!AB163</f>
        <v>0</v>
      </c>
      <c r="AA32" s="239" t="n">
        <f aca="false">Model!AC163</f>
        <v>0</v>
      </c>
      <c r="AB32" s="239" t="n">
        <f aca="false">Model!AD163</f>
        <v>0</v>
      </c>
      <c r="AC32" s="239" t="n">
        <f aca="false">Model!AE163</f>
        <v>0</v>
      </c>
      <c r="AD32" s="239" t="n">
        <f aca="false">Model!AF163</f>
        <v>0</v>
      </c>
      <c r="AE32" s="239" t="n">
        <f aca="false">Model!AG163</f>
        <v>0</v>
      </c>
      <c r="AF32" s="239" t="n">
        <f aca="false">Model!AH163</f>
        <v>0</v>
      </c>
      <c r="AG32" s="239" t="n">
        <f aca="false">Model!AI163</f>
        <v>0</v>
      </c>
      <c r="AH32" s="239" t="n">
        <f aca="false">Model!AJ163</f>
        <v>0</v>
      </c>
      <c r="AI32" s="239" t="n">
        <f aca="false">Model!AK163</f>
        <v>0</v>
      </c>
      <c r="AJ32" s="239" t="n">
        <f aca="false">Model!AL163</f>
        <v>0</v>
      </c>
      <c r="AK32" s="239" t="n">
        <f aca="false">Model!AM163</f>
        <v>0</v>
      </c>
      <c r="AL32" s="239" t="n">
        <f aca="false">Model!AN163</f>
        <v>0</v>
      </c>
      <c r="AM32" s="239" t="n">
        <f aca="false">Model!AO163</f>
        <v>0</v>
      </c>
      <c r="AN32" s="239" t="n">
        <f aca="false">Model!AP163</f>
        <v>0</v>
      </c>
      <c r="AO32" s="239" t="n">
        <f aca="false">Model!AQ163</f>
        <v>0</v>
      </c>
      <c r="AP32" s="239" t="n">
        <f aca="false">Model!AR163</f>
        <v>0</v>
      </c>
      <c r="AQ32" s="239" t="n">
        <f aca="false">Model!AS163</f>
        <v>0</v>
      </c>
      <c r="AR32" s="239" t="n">
        <f aca="false">Model!AT163</f>
        <v>0</v>
      </c>
      <c r="AS32" s="239" t="n">
        <f aca="false">Model!AU163</f>
        <v>0</v>
      </c>
      <c r="AT32" s="239" t="n">
        <f aca="false">Model!AV163</f>
        <v>0</v>
      </c>
      <c r="AU32" s="239" t="n">
        <f aca="false">Model!AW163</f>
        <v>0</v>
      </c>
      <c r="AV32" s="239" t="n">
        <f aca="false">Model!AX163</f>
        <v>0</v>
      </c>
      <c r="AW32" s="239" t="n">
        <f aca="false">Model!AY163</f>
        <v>0</v>
      </c>
      <c r="AX32" s="239" t="n">
        <f aca="false">Model!AZ163</f>
        <v>0</v>
      </c>
      <c r="AY32" s="239" t="n">
        <f aca="false">Model!BA163</f>
        <v>0</v>
      </c>
      <c r="AZ32" s="239" t="n">
        <f aca="false">Model!BB163</f>
        <v>0</v>
      </c>
      <c r="BA32" s="239" t="n">
        <f aca="false">Model!BC163</f>
        <v>851839</v>
      </c>
      <c r="BB32" s="239" t="n">
        <f aca="false">Model!BD163</f>
        <v>0</v>
      </c>
      <c r="BC32" s="239" t="n">
        <f aca="false">Model!BE163</f>
        <v>0</v>
      </c>
      <c r="BD32" s="239" t="n">
        <f aca="false">Model!BF163</f>
        <v>71700</v>
      </c>
      <c r="BE32" s="239" t="n">
        <f aca="false">Model!BG163</f>
        <v>0</v>
      </c>
      <c r="BF32" s="239" t="n">
        <f aca="false">Model!BH163</f>
        <v>0</v>
      </c>
      <c r="BG32" s="239" t="n">
        <f aca="false">Model!BI163</f>
        <v>71700</v>
      </c>
      <c r="BH32" s="239" t="n">
        <f aca="false">Model!BJ163</f>
        <v>0</v>
      </c>
      <c r="BI32" s="239" t="n">
        <f aca="false">Model!BK163</f>
        <v>0</v>
      </c>
      <c r="BJ32" s="239" t="n">
        <f aca="false">Model!BL163</f>
        <v>71700</v>
      </c>
      <c r="BK32" s="239" t="n">
        <f aca="false">Model!BM163</f>
        <v>0</v>
      </c>
      <c r="BL32" s="239" t="n">
        <f aca="false">Model!BN163</f>
        <v>0</v>
      </c>
      <c r="BM32" s="239" t="n">
        <f aca="false">Model!BO163</f>
        <v>71700</v>
      </c>
      <c r="BN32" s="239" t="n">
        <f aca="false">Model!BP163</f>
        <v>0</v>
      </c>
      <c r="BO32" s="239" t="n">
        <f aca="false">Model!BQ163</f>
        <v>0</v>
      </c>
      <c r="BP32" s="239" t="n">
        <f aca="false">Model!BR163</f>
        <v>74643</v>
      </c>
      <c r="BQ32" s="239" t="n">
        <f aca="false">Model!BS163</f>
        <v>0</v>
      </c>
      <c r="BR32" s="239" t="n">
        <f aca="false">Model!BT163</f>
        <v>0</v>
      </c>
      <c r="BS32" s="239" t="n">
        <f aca="false">Model!BU163</f>
        <v>74640</v>
      </c>
      <c r="BT32" s="239" t="n">
        <f aca="false">Model!BV163</f>
        <v>0</v>
      </c>
      <c r="BU32" s="239" t="n">
        <f aca="false">Model!BW163</f>
        <v>0</v>
      </c>
      <c r="BV32" s="239" t="n">
        <f aca="false">Model!BX163</f>
        <v>74640</v>
      </c>
      <c r="BW32" s="239" t="n">
        <f aca="false">Model!BY163</f>
        <v>0</v>
      </c>
      <c r="BX32" s="239" t="n">
        <f aca="false">Model!BZ163</f>
        <v>0</v>
      </c>
      <c r="BY32" s="239" t="n">
        <f aca="false">Model!CA163</f>
        <v>74640</v>
      </c>
      <c r="BZ32" s="239" t="n">
        <f aca="false">Model!CB163</f>
        <v>0</v>
      </c>
      <c r="CA32" s="239" t="n">
        <f aca="false">Model!CC163</f>
        <v>0</v>
      </c>
      <c r="CB32" s="239" t="n">
        <f aca="false">Model!CD163</f>
        <v>81363</v>
      </c>
      <c r="CC32" s="239" t="n">
        <f aca="false">Model!CE163</f>
        <v>0</v>
      </c>
      <c r="CD32" s="239" t="n">
        <f aca="false">Model!CF163</f>
        <v>0</v>
      </c>
      <c r="CE32" s="239" t="n">
        <f aca="false">Model!CG163</f>
        <v>81362</v>
      </c>
      <c r="CF32" s="239" t="n">
        <f aca="false">Model!CH163</f>
        <v>0</v>
      </c>
      <c r="CG32" s="239" t="n">
        <f aca="false">Model!CI163</f>
        <v>0</v>
      </c>
      <c r="CH32" s="239" t="n">
        <f aca="false">Model!CJ163</f>
        <v>81362</v>
      </c>
    </row>
    <row r="33" customFormat="false" ht="15" hidden="false" customHeight="true" outlineLevel="0" collapsed="false">
      <c r="A33" s="243" t="s">
        <v>567</v>
      </c>
      <c r="B33" s="4"/>
      <c r="C33" s="244" t="n">
        <f aca="false">Model!E197</f>
        <v>-0</v>
      </c>
      <c r="D33" s="244" t="n">
        <f aca="false">Model!F197</f>
        <v>-0</v>
      </c>
      <c r="E33" s="244" t="n">
        <f aca="false">Model!G197</f>
        <v>-0</v>
      </c>
      <c r="F33" s="244" t="n">
        <f aca="false">Model!H197</f>
        <v>-0</v>
      </c>
      <c r="G33" s="244" t="n">
        <f aca="false">Model!I197</f>
        <v>-0</v>
      </c>
      <c r="H33" s="244" t="n">
        <f aca="false">Model!J197</f>
        <v>-0</v>
      </c>
      <c r="I33" s="244" t="n">
        <f aca="false">Model!K197</f>
        <v>-0</v>
      </c>
      <c r="J33" s="244" t="n">
        <f aca="false">Model!L197</f>
        <v>-0</v>
      </c>
      <c r="K33" s="244" t="n">
        <f aca="false">Model!M197</f>
        <v>-0</v>
      </c>
      <c r="L33" s="244" t="n">
        <f aca="false">Model!N197</f>
        <v>-0</v>
      </c>
      <c r="M33" s="244" t="n">
        <f aca="false">Model!O197</f>
        <v>-0</v>
      </c>
      <c r="N33" s="244" t="n">
        <f aca="false">Model!P197</f>
        <v>-0</v>
      </c>
      <c r="O33" s="244" t="n">
        <f aca="false">Model!Q197</f>
        <v>-0</v>
      </c>
      <c r="P33" s="244" t="n">
        <f aca="false">Model!R197</f>
        <v>-0</v>
      </c>
      <c r="Q33" s="244" t="n">
        <f aca="false">Model!S197</f>
        <v>-0</v>
      </c>
      <c r="R33" s="244" t="n">
        <f aca="false">Model!T197</f>
        <v>-0</v>
      </c>
      <c r="S33" s="244" t="n">
        <f aca="false">Model!U197</f>
        <v>-0</v>
      </c>
      <c r="T33" s="244" t="n">
        <f aca="false">Model!V197</f>
        <v>-0</v>
      </c>
      <c r="U33" s="244" t="n">
        <f aca="false">Model!W197</f>
        <v>-0</v>
      </c>
      <c r="V33" s="244" t="n">
        <f aca="false">Model!X197</f>
        <v>-0</v>
      </c>
      <c r="W33" s="244" t="n">
        <f aca="false">Model!Y197</f>
        <v>-0</v>
      </c>
      <c r="X33" s="244" t="n">
        <f aca="false">Model!Z197</f>
        <v>-0</v>
      </c>
      <c r="Y33" s="244" t="n">
        <f aca="false">Model!AA197</f>
        <v>-0</v>
      </c>
      <c r="Z33" s="244" t="n">
        <f aca="false">Model!AB197</f>
        <v>-0</v>
      </c>
      <c r="AA33" s="244" t="n">
        <f aca="false">Model!AC197</f>
        <v>-0</v>
      </c>
      <c r="AB33" s="244" t="n">
        <f aca="false">Model!AD197</f>
        <v>-0</v>
      </c>
      <c r="AC33" s="244" t="n">
        <f aca="false">Model!AE197</f>
        <v>-0</v>
      </c>
      <c r="AD33" s="244" t="n">
        <f aca="false">Model!AF197</f>
        <v>-0</v>
      </c>
      <c r="AE33" s="244" t="n">
        <f aca="false">Model!AG197</f>
        <v>-0</v>
      </c>
      <c r="AF33" s="244" t="n">
        <f aca="false">Model!AH197</f>
        <v>-0</v>
      </c>
      <c r="AG33" s="244" t="n">
        <f aca="false">Model!AI197</f>
        <v>-0</v>
      </c>
      <c r="AH33" s="244" t="n">
        <f aca="false">Model!AJ197</f>
        <v>-0</v>
      </c>
      <c r="AI33" s="244" t="n">
        <f aca="false">Model!AK197</f>
        <v>-0</v>
      </c>
      <c r="AJ33" s="244" t="n">
        <f aca="false">Model!AL197</f>
        <v>-0</v>
      </c>
      <c r="AK33" s="244" t="n">
        <f aca="false">Model!AM197</f>
        <v>-0</v>
      </c>
      <c r="AL33" s="244" t="n">
        <f aca="false">Model!AN197</f>
        <v>-0</v>
      </c>
      <c r="AM33" s="244" t="n">
        <f aca="false">Model!AO197</f>
        <v>-0</v>
      </c>
      <c r="AN33" s="244" t="n">
        <f aca="false">Model!AP197</f>
        <v>-0</v>
      </c>
      <c r="AO33" s="244" t="n">
        <f aca="false">Model!AQ197</f>
        <v>-0</v>
      </c>
      <c r="AP33" s="244" t="n">
        <f aca="false">Model!AR197</f>
        <v>-0</v>
      </c>
      <c r="AQ33" s="244" t="n">
        <f aca="false">Model!AS197</f>
        <v>-0</v>
      </c>
      <c r="AR33" s="244" t="n">
        <f aca="false">Model!AT197</f>
        <v>-0</v>
      </c>
      <c r="AS33" s="244" t="n">
        <f aca="false">Model!AU197</f>
        <v>-0</v>
      </c>
      <c r="AT33" s="244" t="n">
        <f aca="false">Model!AV197</f>
        <v>-0</v>
      </c>
      <c r="AU33" s="244" t="n">
        <f aca="false">Model!AW197</f>
        <v>-0</v>
      </c>
      <c r="AV33" s="244" t="n">
        <f aca="false">Model!AX197</f>
        <v>-0</v>
      </c>
      <c r="AW33" s="244" t="n">
        <f aca="false">Model!AY197</f>
        <v>-0</v>
      </c>
      <c r="AX33" s="244" t="n">
        <f aca="false">Model!AZ197</f>
        <v>-0</v>
      </c>
      <c r="AY33" s="244" t="n">
        <f aca="false">Model!BA197</f>
        <v>-0</v>
      </c>
      <c r="AZ33" s="244" t="n">
        <f aca="false">Model!BB197</f>
        <v>-0</v>
      </c>
      <c r="BA33" s="244" t="n">
        <f aca="false">Model!BC197</f>
        <v>-851839</v>
      </c>
      <c r="BB33" s="244" t="n">
        <f aca="false">Model!BD197</f>
        <v>-0</v>
      </c>
      <c r="BC33" s="244" t="n">
        <f aca="false">Model!BE197</f>
        <v>-0</v>
      </c>
      <c r="BD33" s="244" t="n">
        <f aca="false">Model!BF197</f>
        <v>-71700</v>
      </c>
      <c r="BE33" s="244" t="n">
        <f aca="false">Model!BG197</f>
        <v>-0</v>
      </c>
      <c r="BF33" s="244" t="n">
        <f aca="false">Model!BH197</f>
        <v>-0</v>
      </c>
      <c r="BG33" s="244" t="n">
        <f aca="false">Model!BI197</f>
        <v>-71700</v>
      </c>
      <c r="BH33" s="244" t="n">
        <f aca="false">Model!BJ197</f>
        <v>-0</v>
      </c>
      <c r="BI33" s="244" t="n">
        <f aca="false">Model!BK197</f>
        <v>-0</v>
      </c>
      <c r="BJ33" s="244" t="n">
        <f aca="false">Model!BL197</f>
        <v>-71700</v>
      </c>
      <c r="BK33" s="244" t="n">
        <f aca="false">Model!BM197</f>
        <v>-0</v>
      </c>
      <c r="BL33" s="244" t="n">
        <f aca="false">Model!BN197</f>
        <v>-0</v>
      </c>
      <c r="BM33" s="244" t="n">
        <f aca="false">Model!BO197</f>
        <v>-71700</v>
      </c>
      <c r="BN33" s="244" t="n">
        <f aca="false">Model!BP197</f>
        <v>-0</v>
      </c>
      <c r="BO33" s="244" t="n">
        <f aca="false">Model!BQ197</f>
        <v>-0</v>
      </c>
      <c r="BP33" s="244" t="n">
        <f aca="false">Model!BR197</f>
        <v>-74643</v>
      </c>
      <c r="BQ33" s="244" t="n">
        <f aca="false">Model!BS197</f>
        <v>-0</v>
      </c>
      <c r="BR33" s="244" t="n">
        <f aca="false">Model!BT197</f>
        <v>-0</v>
      </c>
      <c r="BS33" s="244" t="n">
        <f aca="false">Model!BU197</f>
        <v>-74640</v>
      </c>
      <c r="BT33" s="244" t="n">
        <f aca="false">Model!BV197</f>
        <v>-0</v>
      </c>
      <c r="BU33" s="244" t="n">
        <f aca="false">Model!BW197</f>
        <v>-0</v>
      </c>
      <c r="BV33" s="244" t="n">
        <f aca="false">Model!BX197</f>
        <v>-74640</v>
      </c>
      <c r="BW33" s="244" t="n">
        <f aca="false">Model!BY197</f>
        <v>-0</v>
      </c>
      <c r="BX33" s="244" t="n">
        <f aca="false">Model!BZ197</f>
        <v>-0</v>
      </c>
      <c r="BY33" s="244" t="n">
        <f aca="false">Model!CA197</f>
        <v>-74640</v>
      </c>
      <c r="BZ33" s="244" t="n">
        <f aca="false">Model!CB197</f>
        <v>-0</v>
      </c>
      <c r="CA33" s="244" t="n">
        <f aca="false">Model!CC197</f>
        <v>-0</v>
      </c>
      <c r="CB33" s="244" t="n">
        <f aca="false">Model!CD197</f>
        <v>-81363</v>
      </c>
      <c r="CC33" s="244" t="n">
        <f aca="false">Model!CE197</f>
        <v>-0</v>
      </c>
      <c r="CD33" s="244" t="n">
        <f aca="false">Model!CF197</f>
        <v>-0</v>
      </c>
      <c r="CE33" s="244" t="n">
        <f aca="false">Model!CG197</f>
        <v>-81362</v>
      </c>
      <c r="CF33" s="244" t="n">
        <f aca="false">Model!CH197</f>
        <v>-0</v>
      </c>
      <c r="CG33" s="244" t="n">
        <f aca="false">Model!CI197</f>
        <v>-0</v>
      </c>
      <c r="CH33" s="244" t="n">
        <f aca="false">Model!CJ197</f>
        <v>-74753.9733935208</v>
      </c>
    </row>
    <row r="34" customFormat="false" ht="15" hidden="false" customHeight="true" outlineLevel="0" collapsed="false">
      <c r="A34" s="243" t="s">
        <v>229</v>
      </c>
      <c r="B34" s="4"/>
      <c r="C34" s="244" t="n">
        <f aca="false">Model!E279</f>
        <v>0</v>
      </c>
      <c r="D34" s="244" t="n">
        <f aca="false">Model!F279</f>
        <v>0</v>
      </c>
      <c r="E34" s="244" t="n">
        <f aca="false">Model!G279</f>
        <v>0</v>
      </c>
      <c r="F34" s="244" t="n">
        <f aca="false">Model!H279</f>
        <v>0</v>
      </c>
      <c r="G34" s="244" t="n">
        <f aca="false">Model!I279</f>
        <v>0</v>
      </c>
      <c r="H34" s="244" t="n">
        <f aca="false">Model!J279</f>
        <v>0</v>
      </c>
      <c r="I34" s="244" t="n">
        <f aca="false">Model!K279</f>
        <v>0</v>
      </c>
      <c r="J34" s="244" t="n">
        <f aca="false">Model!L279</f>
        <v>0</v>
      </c>
      <c r="K34" s="244" t="n">
        <f aca="false">Model!M279</f>
        <v>0</v>
      </c>
      <c r="L34" s="244" t="n">
        <f aca="false">Model!N279</f>
        <v>0</v>
      </c>
      <c r="M34" s="244" t="n">
        <f aca="false">Model!O279</f>
        <v>0</v>
      </c>
      <c r="N34" s="244" t="n">
        <f aca="false">Model!P279</f>
        <v>0</v>
      </c>
      <c r="O34" s="244" t="n">
        <f aca="false">Model!Q279</f>
        <v>0</v>
      </c>
      <c r="P34" s="244" t="n">
        <f aca="false">Model!R279</f>
        <v>0</v>
      </c>
      <c r="Q34" s="244" t="n">
        <f aca="false">Model!S279</f>
        <v>0</v>
      </c>
      <c r="R34" s="244" t="n">
        <f aca="false">Model!T279</f>
        <v>0</v>
      </c>
      <c r="S34" s="244" t="n">
        <f aca="false">Model!U279</f>
        <v>0</v>
      </c>
      <c r="T34" s="244" t="n">
        <f aca="false">Model!V279</f>
        <v>0</v>
      </c>
      <c r="U34" s="244" t="n">
        <f aca="false">Model!W279</f>
        <v>0</v>
      </c>
      <c r="V34" s="244" t="n">
        <f aca="false">Model!X279</f>
        <v>0</v>
      </c>
      <c r="W34" s="244" t="n">
        <f aca="false">Model!Y279</f>
        <v>0</v>
      </c>
      <c r="X34" s="244" t="n">
        <f aca="false">Model!Z279</f>
        <v>0</v>
      </c>
      <c r="Y34" s="244" t="n">
        <f aca="false">Model!AA279</f>
        <v>0</v>
      </c>
      <c r="Z34" s="244" t="n">
        <f aca="false">Model!AB279</f>
        <v>0</v>
      </c>
      <c r="AA34" s="244" t="n">
        <f aca="false">Model!AC279</f>
        <v>0</v>
      </c>
      <c r="AB34" s="244" t="n">
        <f aca="false">Model!AD279</f>
        <v>0</v>
      </c>
      <c r="AC34" s="244" t="n">
        <f aca="false">Model!AE279</f>
        <v>0</v>
      </c>
      <c r="AD34" s="244" t="n">
        <f aca="false">Model!AF279</f>
        <v>0</v>
      </c>
      <c r="AE34" s="244" t="n">
        <f aca="false">Model!AG279</f>
        <v>0</v>
      </c>
      <c r="AF34" s="244" t="n">
        <f aca="false">Model!AH279</f>
        <v>0</v>
      </c>
      <c r="AG34" s="244" t="n">
        <f aca="false">Model!AI279</f>
        <v>0</v>
      </c>
      <c r="AH34" s="244" t="n">
        <f aca="false">Model!AJ279</f>
        <v>0</v>
      </c>
      <c r="AI34" s="244" t="n">
        <f aca="false">Model!AK279</f>
        <v>0</v>
      </c>
      <c r="AJ34" s="244" t="n">
        <f aca="false">Model!AL279</f>
        <v>0</v>
      </c>
      <c r="AK34" s="244" t="n">
        <f aca="false">Model!AM279</f>
        <v>0</v>
      </c>
      <c r="AL34" s="244" t="n">
        <f aca="false">Model!AN279</f>
        <v>0</v>
      </c>
      <c r="AM34" s="244" t="n">
        <f aca="false">Model!AO279</f>
        <v>0</v>
      </c>
      <c r="AN34" s="244" t="n">
        <f aca="false">Model!AP279</f>
        <v>0</v>
      </c>
      <c r="AO34" s="244" t="n">
        <f aca="false">Model!AQ279</f>
        <v>0</v>
      </c>
      <c r="AP34" s="244" t="n">
        <f aca="false">Model!AR279</f>
        <v>0</v>
      </c>
      <c r="AQ34" s="244" t="n">
        <f aca="false">Model!AS279</f>
        <v>0</v>
      </c>
      <c r="AR34" s="244" t="n">
        <f aca="false">Model!AT279</f>
        <v>0</v>
      </c>
      <c r="AS34" s="244" t="n">
        <f aca="false">Model!AU279</f>
        <v>0</v>
      </c>
      <c r="AT34" s="244" t="n">
        <f aca="false">Model!AV279</f>
        <v>0</v>
      </c>
      <c r="AU34" s="244" t="n">
        <f aca="false">Model!AW279</f>
        <v>0</v>
      </c>
      <c r="AV34" s="244" t="n">
        <f aca="false">Model!AX279</f>
        <v>0</v>
      </c>
      <c r="AW34" s="244" t="n">
        <f aca="false">Model!AY279</f>
        <v>0</v>
      </c>
      <c r="AX34" s="244" t="n">
        <f aca="false">Model!AZ279</f>
        <v>0</v>
      </c>
      <c r="AY34" s="244" t="n">
        <f aca="false">Model!BA279</f>
        <v>0</v>
      </c>
      <c r="AZ34" s="244" t="n">
        <f aca="false">Model!BB279</f>
        <v>0</v>
      </c>
      <c r="BA34" s="244" t="n">
        <f aca="false">Model!BC279</f>
        <v>0</v>
      </c>
      <c r="BB34" s="244" t="n">
        <f aca="false">Model!BD279</f>
        <v>0</v>
      </c>
      <c r="BC34" s="244" t="n">
        <f aca="false">Model!BE279</f>
        <v>0</v>
      </c>
      <c r="BD34" s="244" t="n">
        <f aca="false">Model!BF279</f>
        <v>0</v>
      </c>
      <c r="BE34" s="244" t="n">
        <f aca="false">Model!BG279</f>
        <v>0</v>
      </c>
      <c r="BF34" s="244" t="n">
        <f aca="false">Model!BH279</f>
        <v>0</v>
      </c>
      <c r="BG34" s="244" t="n">
        <f aca="false">Model!BI279</f>
        <v>0</v>
      </c>
      <c r="BH34" s="244" t="n">
        <f aca="false">Model!BJ279</f>
        <v>0</v>
      </c>
      <c r="BI34" s="244" t="n">
        <f aca="false">Model!BK279</f>
        <v>0</v>
      </c>
      <c r="BJ34" s="244" t="n">
        <f aca="false">Model!BL279</f>
        <v>0</v>
      </c>
      <c r="BK34" s="244" t="n">
        <f aca="false">Model!BM279</f>
        <v>0</v>
      </c>
      <c r="BL34" s="244" t="n">
        <f aca="false">Model!BN279</f>
        <v>0</v>
      </c>
      <c r="BM34" s="244" t="n">
        <f aca="false">Model!BO279</f>
        <v>0</v>
      </c>
      <c r="BN34" s="244" t="n">
        <f aca="false">Model!BP279</f>
        <v>0</v>
      </c>
      <c r="BO34" s="244" t="n">
        <f aca="false">Model!BQ279</f>
        <v>0</v>
      </c>
      <c r="BP34" s="244" t="n">
        <f aca="false">Model!BR279</f>
        <v>0</v>
      </c>
      <c r="BQ34" s="244" t="n">
        <f aca="false">Model!BS279</f>
        <v>0</v>
      </c>
      <c r="BR34" s="244" t="n">
        <f aca="false">Model!BT279</f>
        <v>0</v>
      </c>
      <c r="BS34" s="244" t="n">
        <f aca="false">Model!BU279</f>
        <v>0</v>
      </c>
      <c r="BT34" s="244" t="n">
        <f aca="false">Model!BV279</f>
        <v>0</v>
      </c>
      <c r="BU34" s="244" t="n">
        <f aca="false">Model!BW279</f>
        <v>0</v>
      </c>
      <c r="BV34" s="244" t="n">
        <f aca="false">Model!BX279</f>
        <v>0</v>
      </c>
      <c r="BW34" s="244" t="n">
        <f aca="false">Model!BY279</f>
        <v>0</v>
      </c>
      <c r="BX34" s="244" t="n">
        <f aca="false">Model!BZ279</f>
        <v>0</v>
      </c>
      <c r="BY34" s="244" t="n">
        <f aca="false">Model!CA279</f>
        <v>0</v>
      </c>
      <c r="BZ34" s="244" t="n">
        <f aca="false">Model!CB279</f>
        <v>0</v>
      </c>
      <c r="CA34" s="244" t="n">
        <f aca="false">Model!CC279</f>
        <v>0</v>
      </c>
      <c r="CB34" s="244" t="n">
        <f aca="false">Model!CD279</f>
        <v>0</v>
      </c>
      <c r="CC34" s="244" t="n">
        <f aca="false">Model!CE279</f>
        <v>0</v>
      </c>
      <c r="CD34" s="244" t="n">
        <f aca="false">Model!CF279</f>
        <v>0</v>
      </c>
      <c r="CE34" s="244" t="n">
        <f aca="false">Model!CG279</f>
        <v>0</v>
      </c>
      <c r="CF34" s="244" t="n">
        <f aca="false">Model!CH279</f>
        <v>0</v>
      </c>
      <c r="CG34" s="244" t="n">
        <f aca="false">Model!CI279</f>
        <v>0</v>
      </c>
      <c r="CH34" s="244" t="n">
        <f aca="false">Model!CJ279</f>
        <v>0</v>
      </c>
    </row>
    <row r="35" customFormat="false" ht="15" hidden="false" customHeight="true" outlineLevel="0" collapsed="false">
      <c r="A35" s="240" t="s">
        <v>565</v>
      </c>
      <c r="B35" s="240"/>
      <c r="C35" s="241" t="n">
        <f aca="false">C32+C33+C34</f>
        <v>0</v>
      </c>
      <c r="D35" s="241" t="n">
        <f aca="false">D32+D33+D34</f>
        <v>0</v>
      </c>
      <c r="E35" s="241" t="n">
        <f aca="false">E32+E33+E34</f>
        <v>0</v>
      </c>
      <c r="F35" s="241" t="n">
        <f aca="false">F32+F33+F34</f>
        <v>0</v>
      </c>
      <c r="G35" s="241" t="n">
        <f aca="false">G32+G33+G34</f>
        <v>0</v>
      </c>
      <c r="H35" s="241" t="n">
        <f aca="false">H32+H33+H34</f>
        <v>0</v>
      </c>
      <c r="I35" s="241" t="n">
        <f aca="false">I32+I33+I34</f>
        <v>0</v>
      </c>
      <c r="J35" s="241" t="n">
        <f aca="false">J32+J33+J34</f>
        <v>0</v>
      </c>
      <c r="K35" s="241" t="n">
        <f aca="false">K32+K33+K34</f>
        <v>0</v>
      </c>
      <c r="L35" s="241" t="n">
        <f aca="false">L32+L33+L34</f>
        <v>0</v>
      </c>
      <c r="M35" s="241" t="n">
        <f aca="false">M32+M33+M34</f>
        <v>0</v>
      </c>
      <c r="N35" s="241" t="n">
        <f aca="false">N32+N33+N34</f>
        <v>0</v>
      </c>
      <c r="O35" s="241" t="n">
        <f aca="false">O32+O33+O34</f>
        <v>0</v>
      </c>
      <c r="P35" s="241" t="n">
        <f aca="false">P32+P33+P34</f>
        <v>0</v>
      </c>
      <c r="Q35" s="241" t="n">
        <f aca="false">Q32+Q33+Q34</f>
        <v>0</v>
      </c>
      <c r="R35" s="241" t="n">
        <f aca="false">R32+R33+R34</f>
        <v>0</v>
      </c>
      <c r="S35" s="241" t="n">
        <f aca="false">S32+S33+S34</f>
        <v>0</v>
      </c>
      <c r="T35" s="241" t="n">
        <f aca="false">T32+T33+T34</f>
        <v>0</v>
      </c>
      <c r="U35" s="241" t="n">
        <f aca="false">U32+U33+U34</f>
        <v>0</v>
      </c>
      <c r="V35" s="241" t="n">
        <f aca="false">V32+V33+V34</f>
        <v>0</v>
      </c>
      <c r="W35" s="241" t="n">
        <f aca="false">W32+W33+W34</f>
        <v>0</v>
      </c>
      <c r="X35" s="241" t="n">
        <f aca="false">X32+X33+X34</f>
        <v>0</v>
      </c>
      <c r="Y35" s="241" t="n">
        <f aca="false">Y32+Y33+Y34</f>
        <v>0</v>
      </c>
      <c r="Z35" s="241" t="n">
        <f aca="false">Z32+Z33+Z34</f>
        <v>0</v>
      </c>
      <c r="AA35" s="241" t="n">
        <f aca="false">AA32+AA33+AA34</f>
        <v>0</v>
      </c>
      <c r="AB35" s="241" t="n">
        <f aca="false">AB32+AB33+AB34</f>
        <v>0</v>
      </c>
      <c r="AC35" s="241" t="n">
        <f aca="false">AC32+AC33+AC34</f>
        <v>0</v>
      </c>
      <c r="AD35" s="241" t="n">
        <f aca="false">AD32+AD33+AD34</f>
        <v>0</v>
      </c>
      <c r="AE35" s="241" t="n">
        <f aca="false">AE32+AE33+AE34</f>
        <v>0</v>
      </c>
      <c r="AF35" s="241" t="n">
        <f aca="false">AF32+AF33+AF34</f>
        <v>0</v>
      </c>
      <c r="AG35" s="241" t="n">
        <f aca="false">AG32+AG33+AG34</f>
        <v>0</v>
      </c>
      <c r="AH35" s="241" t="n">
        <f aca="false">AH32+AH33+AH34</f>
        <v>0</v>
      </c>
      <c r="AI35" s="241" t="n">
        <f aca="false">AI32+AI33+AI34</f>
        <v>0</v>
      </c>
      <c r="AJ35" s="241" t="n">
        <f aca="false">AJ32+AJ33+AJ34</f>
        <v>0</v>
      </c>
      <c r="AK35" s="241" t="n">
        <f aca="false">AK32+AK33+AK34</f>
        <v>0</v>
      </c>
      <c r="AL35" s="241" t="n">
        <f aca="false">AL32+AL33+AL34</f>
        <v>0</v>
      </c>
      <c r="AM35" s="241" t="n">
        <f aca="false">AM32+AM33+AM34</f>
        <v>0</v>
      </c>
      <c r="AN35" s="241" t="n">
        <f aca="false">AN32+AN33+AN34</f>
        <v>0</v>
      </c>
      <c r="AO35" s="241" t="n">
        <f aca="false">AO32+AO33+AO34</f>
        <v>0</v>
      </c>
      <c r="AP35" s="241" t="n">
        <f aca="false">AP32+AP33+AP34</f>
        <v>0</v>
      </c>
      <c r="AQ35" s="241" t="n">
        <f aca="false">AQ32+AQ33+AQ34</f>
        <v>0</v>
      </c>
      <c r="AR35" s="241" t="n">
        <f aca="false">AR32+AR33+AR34</f>
        <v>0</v>
      </c>
      <c r="AS35" s="241" t="n">
        <f aca="false">AS32+AS33+AS34</f>
        <v>0</v>
      </c>
      <c r="AT35" s="241" t="n">
        <f aca="false">AT32+AT33+AT34</f>
        <v>0</v>
      </c>
      <c r="AU35" s="241" t="n">
        <f aca="false">AU32+AU33+AU34</f>
        <v>0</v>
      </c>
      <c r="AV35" s="241" t="n">
        <f aca="false">AV32+AV33+AV34</f>
        <v>0</v>
      </c>
      <c r="AW35" s="241" t="n">
        <f aca="false">AW32+AW33+AW34</f>
        <v>0</v>
      </c>
      <c r="AX35" s="241" t="n">
        <f aca="false">AX32+AX33+AX34</f>
        <v>0</v>
      </c>
      <c r="AY35" s="241" t="n">
        <f aca="false">AY32+AY33+AY34</f>
        <v>0</v>
      </c>
      <c r="AZ35" s="241" t="n">
        <f aca="false">AZ32+AZ33+AZ34</f>
        <v>0</v>
      </c>
      <c r="BA35" s="241" t="n">
        <f aca="false">BA32+BA33+BA34</f>
        <v>0</v>
      </c>
      <c r="BB35" s="241" t="n">
        <f aca="false">BB32+BB33+BB34</f>
        <v>0</v>
      </c>
      <c r="BC35" s="241" t="n">
        <f aca="false">BC32+BC33+BC34</f>
        <v>0</v>
      </c>
      <c r="BD35" s="241" t="n">
        <f aca="false">BD32+BD33+BD34</f>
        <v>0</v>
      </c>
      <c r="BE35" s="241" t="n">
        <f aca="false">BE32+BE33+BE34</f>
        <v>0</v>
      </c>
      <c r="BF35" s="241" t="n">
        <f aca="false">BF32+BF33+BF34</f>
        <v>0</v>
      </c>
      <c r="BG35" s="241" t="n">
        <f aca="false">BG32+BG33+BG34</f>
        <v>0</v>
      </c>
      <c r="BH35" s="241" t="n">
        <f aca="false">BH32+BH33+BH34</f>
        <v>0</v>
      </c>
      <c r="BI35" s="241" t="n">
        <f aca="false">BI32+BI33+BI34</f>
        <v>0</v>
      </c>
      <c r="BJ35" s="241" t="n">
        <f aca="false">BJ32+BJ33+BJ34</f>
        <v>0</v>
      </c>
      <c r="BK35" s="241" t="n">
        <f aca="false">BK32+BK33+BK34</f>
        <v>0</v>
      </c>
      <c r="BL35" s="241" t="n">
        <f aca="false">BL32+BL33+BL34</f>
        <v>0</v>
      </c>
      <c r="BM35" s="241" t="n">
        <f aca="false">BM32+BM33+BM34</f>
        <v>0</v>
      </c>
      <c r="BN35" s="241" t="n">
        <f aca="false">BN32+BN33+BN34</f>
        <v>0</v>
      </c>
      <c r="BO35" s="241" t="n">
        <f aca="false">BO32+BO33+BO34</f>
        <v>0</v>
      </c>
      <c r="BP35" s="241" t="n">
        <f aca="false">BP32+BP33+BP34</f>
        <v>0</v>
      </c>
      <c r="BQ35" s="241" t="n">
        <f aca="false">BQ32+BQ33+BQ34</f>
        <v>0</v>
      </c>
      <c r="BR35" s="241" t="n">
        <f aca="false">BR32+BR33+BR34</f>
        <v>0</v>
      </c>
      <c r="BS35" s="241" t="n">
        <f aca="false">BS32+BS33+BS34</f>
        <v>0</v>
      </c>
      <c r="BT35" s="241" t="n">
        <f aca="false">BT32+BT33+BT34</f>
        <v>0</v>
      </c>
      <c r="BU35" s="241" t="n">
        <f aca="false">BU32+BU33+BU34</f>
        <v>0</v>
      </c>
      <c r="BV35" s="241" t="n">
        <f aca="false">BV32+BV33+BV34</f>
        <v>0</v>
      </c>
      <c r="BW35" s="241" t="n">
        <f aca="false">BW32+BW33+BW34</f>
        <v>0</v>
      </c>
      <c r="BX35" s="241" t="n">
        <f aca="false">BX32+BX33+BX34</f>
        <v>0</v>
      </c>
      <c r="BY35" s="241" t="n">
        <f aca="false">BY32+BY33+BY34</f>
        <v>0</v>
      </c>
      <c r="BZ35" s="241" t="n">
        <f aca="false">BZ32+BZ33+BZ34</f>
        <v>0</v>
      </c>
      <c r="CA35" s="241" t="n">
        <f aca="false">CA32+CA33+CA34</f>
        <v>0</v>
      </c>
      <c r="CB35" s="241" t="n">
        <f aca="false">CB32+CB33+CB34</f>
        <v>0</v>
      </c>
      <c r="CC35" s="241" t="n">
        <f aca="false">CC32+CC33+CC34</f>
        <v>0</v>
      </c>
      <c r="CD35" s="241" t="n">
        <f aca="false">CD32+CD33+CD34</f>
        <v>0</v>
      </c>
      <c r="CE35" s="241" t="n">
        <f aca="false">CE32+CE33+CE34</f>
        <v>0</v>
      </c>
      <c r="CF35" s="241" t="n">
        <f aca="false">CF32+CF33+CF34</f>
        <v>0</v>
      </c>
      <c r="CG35" s="241" t="n">
        <f aca="false">CG32+CG33+CG34</f>
        <v>0</v>
      </c>
      <c r="CH35" s="241" t="n">
        <f aca="false">CH32+CH33+CH34</f>
        <v>6608.02660647922</v>
      </c>
    </row>
    <row r="36" customFormat="false" ht="15" hidden="false" customHeight="true" outlineLevel="0" collapsed="false">
      <c r="A36" s="77" t="s">
        <v>566</v>
      </c>
      <c r="B36" s="4"/>
      <c r="C36" s="242" t="n">
        <f aca="false">C35</f>
        <v>0</v>
      </c>
      <c r="D36" s="242" t="n">
        <f aca="false">C36+D35</f>
        <v>0</v>
      </c>
      <c r="E36" s="242" t="n">
        <f aca="false">D36+E35</f>
        <v>0</v>
      </c>
      <c r="F36" s="242" t="n">
        <f aca="false">E36+F35</f>
        <v>0</v>
      </c>
      <c r="G36" s="242" t="n">
        <f aca="false">F36+G35</f>
        <v>0</v>
      </c>
      <c r="H36" s="242" t="n">
        <f aca="false">G36+H35</f>
        <v>0</v>
      </c>
      <c r="I36" s="242" t="n">
        <f aca="false">H36+I35</f>
        <v>0</v>
      </c>
      <c r="J36" s="242" t="n">
        <f aca="false">I36+J35</f>
        <v>0</v>
      </c>
      <c r="K36" s="242" t="n">
        <f aca="false">J36+K35</f>
        <v>0</v>
      </c>
      <c r="L36" s="242" t="n">
        <f aca="false">K36+L35</f>
        <v>0</v>
      </c>
      <c r="M36" s="242" t="n">
        <f aca="false">L36+M35</f>
        <v>0</v>
      </c>
      <c r="N36" s="242" t="n">
        <f aca="false">M36+N35</f>
        <v>0</v>
      </c>
      <c r="O36" s="242" t="n">
        <f aca="false">N36+O35</f>
        <v>0</v>
      </c>
      <c r="P36" s="242" t="n">
        <f aca="false">O36+P35</f>
        <v>0</v>
      </c>
      <c r="Q36" s="242" t="n">
        <f aca="false">P36+Q35</f>
        <v>0</v>
      </c>
      <c r="R36" s="242" t="n">
        <f aca="false">Q36+R35</f>
        <v>0</v>
      </c>
      <c r="S36" s="242" t="n">
        <f aca="false">R36+S35</f>
        <v>0</v>
      </c>
      <c r="T36" s="242" t="n">
        <f aca="false">S36+T35</f>
        <v>0</v>
      </c>
      <c r="U36" s="242" t="n">
        <f aca="false">T36+U35</f>
        <v>0</v>
      </c>
      <c r="V36" s="242" t="n">
        <f aca="false">U36+V35</f>
        <v>0</v>
      </c>
      <c r="W36" s="242" t="n">
        <f aca="false">V36+W35</f>
        <v>0</v>
      </c>
      <c r="X36" s="242" t="n">
        <f aca="false">W36+X35</f>
        <v>0</v>
      </c>
      <c r="Y36" s="242" t="n">
        <f aca="false">X36+Y35</f>
        <v>0</v>
      </c>
      <c r="Z36" s="242" t="n">
        <f aca="false">Y36+Z35</f>
        <v>0</v>
      </c>
      <c r="AA36" s="242" t="n">
        <f aca="false">Z36+AA35</f>
        <v>0</v>
      </c>
      <c r="AB36" s="242" t="n">
        <f aca="false">AA36+AB35</f>
        <v>0</v>
      </c>
      <c r="AC36" s="242" t="n">
        <f aca="false">AB36+AC35</f>
        <v>0</v>
      </c>
      <c r="AD36" s="242" t="n">
        <f aca="false">AC36+AD35</f>
        <v>0</v>
      </c>
      <c r="AE36" s="242" t="n">
        <f aca="false">AD36+AE35</f>
        <v>0</v>
      </c>
      <c r="AF36" s="242" t="n">
        <f aca="false">AE36+AF35</f>
        <v>0</v>
      </c>
      <c r="AG36" s="242" t="n">
        <f aca="false">AF36+AG35</f>
        <v>0</v>
      </c>
      <c r="AH36" s="242" t="n">
        <f aca="false">AG36+AH35</f>
        <v>0</v>
      </c>
      <c r="AI36" s="242" t="n">
        <f aca="false">AH36+AI35</f>
        <v>0</v>
      </c>
      <c r="AJ36" s="242" t="n">
        <f aca="false">AI36+AJ35</f>
        <v>0</v>
      </c>
      <c r="AK36" s="242" t="n">
        <f aca="false">AJ36+AK35</f>
        <v>0</v>
      </c>
      <c r="AL36" s="242" t="n">
        <f aca="false">AK36+AL35</f>
        <v>0</v>
      </c>
      <c r="AM36" s="242" t="n">
        <f aca="false">AL36+AM35</f>
        <v>0</v>
      </c>
      <c r="AN36" s="242" t="n">
        <f aca="false">AM36+AN35</f>
        <v>0</v>
      </c>
      <c r="AO36" s="242" t="n">
        <f aca="false">AN36+AO35</f>
        <v>0</v>
      </c>
      <c r="AP36" s="242" t="n">
        <f aca="false">AO36+AP35</f>
        <v>0</v>
      </c>
      <c r="AQ36" s="242" t="n">
        <f aca="false">AP36+AQ35</f>
        <v>0</v>
      </c>
      <c r="AR36" s="242" t="n">
        <f aca="false">AQ36+AR35</f>
        <v>0</v>
      </c>
      <c r="AS36" s="242" t="n">
        <f aca="false">AR36+AS35</f>
        <v>0</v>
      </c>
      <c r="AT36" s="242" t="n">
        <f aca="false">AS36+AT35</f>
        <v>0</v>
      </c>
      <c r="AU36" s="242" t="n">
        <f aca="false">AT36+AU35</f>
        <v>0</v>
      </c>
      <c r="AV36" s="242" t="n">
        <f aca="false">AU36+AV35</f>
        <v>0</v>
      </c>
      <c r="AW36" s="242" t="n">
        <f aca="false">AV36+AW35</f>
        <v>0</v>
      </c>
      <c r="AX36" s="242" t="n">
        <f aca="false">AW36+AX35</f>
        <v>0</v>
      </c>
      <c r="AY36" s="242" t="n">
        <f aca="false">AX36+AY35</f>
        <v>0</v>
      </c>
      <c r="AZ36" s="242" t="n">
        <f aca="false">AY36+AZ35</f>
        <v>0</v>
      </c>
      <c r="BA36" s="242" t="n">
        <f aca="false">AZ36+BA35</f>
        <v>0</v>
      </c>
      <c r="BB36" s="242" t="n">
        <f aca="false">BA36+BB35</f>
        <v>0</v>
      </c>
      <c r="BC36" s="242" t="n">
        <f aca="false">BB36+BC35</f>
        <v>0</v>
      </c>
      <c r="BD36" s="242" t="n">
        <f aca="false">BC36+BD35</f>
        <v>0</v>
      </c>
      <c r="BE36" s="242" t="n">
        <f aca="false">BD36+BE35</f>
        <v>0</v>
      </c>
      <c r="BF36" s="242" t="n">
        <f aca="false">BE36+BF35</f>
        <v>0</v>
      </c>
      <c r="BG36" s="242" t="n">
        <f aca="false">BF36+BG35</f>
        <v>0</v>
      </c>
      <c r="BH36" s="242" t="n">
        <f aca="false">BG36+BH35</f>
        <v>0</v>
      </c>
      <c r="BI36" s="242" t="n">
        <f aca="false">BH36+BI35</f>
        <v>0</v>
      </c>
      <c r="BJ36" s="242" t="n">
        <f aca="false">BI36+BJ35</f>
        <v>0</v>
      </c>
      <c r="BK36" s="242" t="n">
        <f aca="false">BJ36+BK35</f>
        <v>0</v>
      </c>
      <c r="BL36" s="242" t="n">
        <f aca="false">BK36+BL35</f>
        <v>0</v>
      </c>
      <c r="BM36" s="242" t="n">
        <f aca="false">BL36+BM35</f>
        <v>0</v>
      </c>
      <c r="BN36" s="242" t="n">
        <f aca="false">BM36+BN35</f>
        <v>0</v>
      </c>
      <c r="BO36" s="242" t="n">
        <f aca="false">BN36+BO35</f>
        <v>0</v>
      </c>
      <c r="BP36" s="242" t="n">
        <f aca="false">BO36+BP35</f>
        <v>0</v>
      </c>
      <c r="BQ36" s="242" t="n">
        <f aca="false">BP36+BQ35</f>
        <v>0</v>
      </c>
      <c r="BR36" s="242" t="n">
        <f aca="false">BQ36+BR35</f>
        <v>0</v>
      </c>
      <c r="BS36" s="242" t="n">
        <f aca="false">BR36+BS35</f>
        <v>0</v>
      </c>
      <c r="BT36" s="242" t="n">
        <f aca="false">BS36+BT35</f>
        <v>0</v>
      </c>
      <c r="BU36" s="242" t="n">
        <f aca="false">BT36+BU35</f>
        <v>0</v>
      </c>
      <c r="BV36" s="242" t="n">
        <f aca="false">BU36+BV35</f>
        <v>0</v>
      </c>
      <c r="BW36" s="242" t="n">
        <f aca="false">BV36+BW35</f>
        <v>0</v>
      </c>
      <c r="BX36" s="242" t="n">
        <f aca="false">BW36+BX35</f>
        <v>0</v>
      </c>
      <c r="BY36" s="242" t="n">
        <f aca="false">BX36+BY35</f>
        <v>0</v>
      </c>
      <c r="BZ36" s="242" t="n">
        <f aca="false">BY36+BZ35</f>
        <v>0</v>
      </c>
      <c r="CA36" s="242" t="n">
        <f aca="false">BZ36+CA35</f>
        <v>0</v>
      </c>
      <c r="CB36" s="242" t="n">
        <f aca="false">CA36+CB35</f>
        <v>0</v>
      </c>
      <c r="CC36" s="242" t="n">
        <f aca="false">CB36+CC35</f>
        <v>0</v>
      </c>
      <c r="CD36" s="242" t="n">
        <f aca="false">CC36+CD35</f>
        <v>0</v>
      </c>
      <c r="CE36" s="242" t="n">
        <f aca="false">CD36+CE35</f>
        <v>0</v>
      </c>
      <c r="CF36" s="242" t="n">
        <f aca="false">CE36+CF35</f>
        <v>0</v>
      </c>
      <c r="CG36" s="242" t="n">
        <f aca="false">CF36+CG35</f>
        <v>0</v>
      </c>
      <c r="CH36" s="242" t="n">
        <f aca="false">CG36+CH35</f>
        <v>6608.02660647922</v>
      </c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</row>
    <row r="38" customFormat="false" ht="15" hidden="false" customHeight="true" outlineLevel="0" collapsed="false">
      <c r="A38" s="38" t="s">
        <v>19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</row>
    <row r="39" customFormat="false" ht="15" hidden="false" customHeight="true" outlineLevel="0" collapsed="false">
      <c r="A39" s="95" t="s">
        <v>564</v>
      </c>
      <c r="B39" s="4"/>
      <c r="C39" s="239" t="n">
        <v>0</v>
      </c>
      <c r="D39" s="239" t="n">
        <v>0</v>
      </c>
      <c r="E39" s="239" t="n">
        <v>0</v>
      </c>
      <c r="F39" s="239" t="n">
        <v>0</v>
      </c>
      <c r="G39" s="239" t="n">
        <v>0</v>
      </c>
      <c r="H39" s="239" t="n">
        <v>0</v>
      </c>
      <c r="I39" s="239" t="n">
        <v>0</v>
      </c>
      <c r="J39" s="239" t="n">
        <v>0</v>
      </c>
      <c r="K39" s="239" t="n">
        <v>0</v>
      </c>
      <c r="L39" s="239" t="n">
        <v>0</v>
      </c>
      <c r="M39" s="239" t="n">
        <v>0</v>
      </c>
      <c r="N39" s="239" t="n">
        <v>0</v>
      </c>
      <c r="O39" s="239" t="n">
        <v>0</v>
      </c>
      <c r="P39" s="239" t="n">
        <v>0</v>
      </c>
      <c r="Q39" s="239" t="n">
        <v>0</v>
      </c>
      <c r="R39" s="239" t="n">
        <v>0</v>
      </c>
      <c r="S39" s="239" t="n">
        <v>0</v>
      </c>
      <c r="T39" s="239" t="n">
        <v>0</v>
      </c>
      <c r="U39" s="239" t="n">
        <v>0</v>
      </c>
      <c r="V39" s="239" t="n">
        <v>0</v>
      </c>
      <c r="W39" s="239" t="n">
        <v>0</v>
      </c>
      <c r="X39" s="239" t="n">
        <v>0</v>
      </c>
      <c r="Y39" s="239" t="n">
        <v>0</v>
      </c>
      <c r="Z39" s="239" t="n">
        <v>0</v>
      </c>
      <c r="AA39" s="239" t="n">
        <v>0</v>
      </c>
      <c r="AB39" s="239" t="n">
        <v>0</v>
      </c>
      <c r="AC39" s="239" t="n">
        <v>0</v>
      </c>
      <c r="AD39" s="239" t="n">
        <v>0</v>
      </c>
      <c r="AE39" s="239" t="n">
        <v>0</v>
      </c>
      <c r="AF39" s="239" t="n">
        <v>0</v>
      </c>
      <c r="AG39" s="239" t="n">
        <v>0</v>
      </c>
      <c r="AH39" s="239" t="n">
        <v>0</v>
      </c>
      <c r="AI39" s="239" t="n">
        <v>0</v>
      </c>
      <c r="AJ39" s="239" t="n">
        <v>0</v>
      </c>
      <c r="AK39" s="239" t="n">
        <v>0</v>
      </c>
      <c r="AL39" s="239" t="n">
        <v>0</v>
      </c>
      <c r="AM39" s="239" t="n">
        <v>0</v>
      </c>
      <c r="AN39" s="239" t="n">
        <v>0</v>
      </c>
      <c r="AO39" s="239" t="n">
        <v>0</v>
      </c>
      <c r="AP39" s="239" t="n">
        <v>0</v>
      </c>
      <c r="AQ39" s="239" t="n">
        <v>0</v>
      </c>
      <c r="AR39" s="239" t="n">
        <v>0</v>
      </c>
      <c r="AS39" s="239" t="n">
        <v>0</v>
      </c>
      <c r="AT39" s="239" t="n">
        <v>0</v>
      </c>
      <c r="AU39" s="239" t="n">
        <v>0</v>
      </c>
      <c r="AV39" s="239" t="n">
        <v>0</v>
      </c>
      <c r="AW39" s="239" t="n">
        <v>0</v>
      </c>
      <c r="AX39" s="239" t="n">
        <v>0</v>
      </c>
      <c r="AY39" s="239" t="n">
        <v>0</v>
      </c>
      <c r="AZ39" s="239" t="n">
        <v>0</v>
      </c>
      <c r="BA39" s="239" t="n">
        <v>0</v>
      </c>
      <c r="BB39" s="239" t="n">
        <v>0</v>
      </c>
      <c r="BC39" s="239" t="n">
        <v>0</v>
      </c>
      <c r="BD39" s="239" t="n">
        <v>0</v>
      </c>
      <c r="BE39" s="239" t="n">
        <v>0</v>
      </c>
      <c r="BF39" s="239" t="n">
        <v>0</v>
      </c>
      <c r="BG39" s="239" t="n">
        <v>0</v>
      </c>
      <c r="BH39" s="239" t="n">
        <v>0</v>
      </c>
      <c r="BI39" s="239" t="n">
        <v>0</v>
      </c>
      <c r="BJ39" s="239" t="n">
        <v>0</v>
      </c>
      <c r="BK39" s="239" t="n">
        <v>0</v>
      </c>
      <c r="BL39" s="239" t="n">
        <v>0</v>
      </c>
      <c r="BM39" s="239" t="n">
        <v>0</v>
      </c>
      <c r="BN39" s="239" t="n">
        <v>0</v>
      </c>
      <c r="BO39" s="239" t="n">
        <v>0</v>
      </c>
      <c r="BP39" s="239" t="n">
        <v>0</v>
      </c>
      <c r="BQ39" s="239" t="n">
        <v>0</v>
      </c>
      <c r="BR39" s="239" t="n">
        <v>0</v>
      </c>
      <c r="BS39" s="239" t="n">
        <v>0</v>
      </c>
      <c r="BT39" s="239" t="n">
        <v>0</v>
      </c>
      <c r="BU39" s="239" t="n">
        <v>0</v>
      </c>
      <c r="BV39" s="239" t="n">
        <v>0</v>
      </c>
      <c r="BW39" s="239" t="n">
        <v>0</v>
      </c>
      <c r="BX39" s="239" t="n">
        <v>0</v>
      </c>
      <c r="BY39" s="239" t="n">
        <v>0</v>
      </c>
      <c r="BZ39" s="239" t="n">
        <v>0</v>
      </c>
      <c r="CA39" s="239" t="n">
        <v>0</v>
      </c>
      <c r="CB39" s="239" t="n">
        <v>0</v>
      </c>
      <c r="CC39" s="239" t="n">
        <v>0</v>
      </c>
      <c r="CD39" s="239" t="n">
        <v>0</v>
      </c>
      <c r="CE39" s="239" t="n">
        <v>0</v>
      </c>
      <c r="CF39" s="239" t="n">
        <v>0</v>
      </c>
      <c r="CG39" s="239" t="n">
        <v>0</v>
      </c>
      <c r="CH39" s="239" t="n">
        <v>0</v>
      </c>
    </row>
    <row r="40" customFormat="false" ht="15" hidden="false" customHeight="true" outlineLevel="0" collapsed="false">
      <c r="A40" s="243" t="s">
        <v>567</v>
      </c>
      <c r="B40" s="4"/>
      <c r="C40" s="244" t="n">
        <f aca="false">Model!E198</f>
        <v>-0</v>
      </c>
      <c r="D40" s="244" t="n">
        <f aca="false">Model!F198</f>
        <v>-0</v>
      </c>
      <c r="E40" s="244" t="n">
        <f aca="false">Model!G198</f>
        <v>-0</v>
      </c>
      <c r="F40" s="244" t="n">
        <f aca="false">Model!H198</f>
        <v>-0</v>
      </c>
      <c r="G40" s="244" t="n">
        <f aca="false">Model!I198</f>
        <v>-0</v>
      </c>
      <c r="H40" s="244" t="n">
        <f aca="false">Model!J198</f>
        <v>-0</v>
      </c>
      <c r="I40" s="244" t="n">
        <f aca="false">Model!K198</f>
        <v>-0</v>
      </c>
      <c r="J40" s="244" t="n">
        <f aca="false">Model!L198</f>
        <v>-0</v>
      </c>
      <c r="K40" s="244" t="n">
        <f aca="false">Model!M198</f>
        <v>-0</v>
      </c>
      <c r="L40" s="244" t="n">
        <f aca="false">Model!N198</f>
        <v>-0</v>
      </c>
      <c r="M40" s="244" t="n">
        <f aca="false">Model!O198</f>
        <v>-0</v>
      </c>
      <c r="N40" s="244" t="n">
        <f aca="false">Model!P198</f>
        <v>-0</v>
      </c>
      <c r="O40" s="244" t="n">
        <f aca="false">Model!Q198</f>
        <v>-0</v>
      </c>
      <c r="P40" s="244" t="n">
        <f aca="false">Model!R198</f>
        <v>-0</v>
      </c>
      <c r="Q40" s="244" t="n">
        <f aca="false">Model!S198</f>
        <v>-0</v>
      </c>
      <c r="R40" s="244" t="n">
        <f aca="false">Model!T198</f>
        <v>-0</v>
      </c>
      <c r="S40" s="244" t="n">
        <f aca="false">Model!U198</f>
        <v>-0</v>
      </c>
      <c r="T40" s="244" t="n">
        <f aca="false">Model!V198</f>
        <v>-0</v>
      </c>
      <c r="U40" s="244" t="n">
        <f aca="false">Model!W198</f>
        <v>-0</v>
      </c>
      <c r="V40" s="244" t="n">
        <f aca="false">Model!X198</f>
        <v>-0</v>
      </c>
      <c r="W40" s="244" t="n">
        <f aca="false">Model!Y198</f>
        <v>-0</v>
      </c>
      <c r="X40" s="244" t="n">
        <f aca="false">Model!Z198</f>
        <v>-0</v>
      </c>
      <c r="Y40" s="244" t="n">
        <f aca="false">Model!AA198</f>
        <v>-0</v>
      </c>
      <c r="Z40" s="244" t="n">
        <f aca="false">Model!AB198</f>
        <v>-0</v>
      </c>
      <c r="AA40" s="244" t="n">
        <f aca="false">Model!AC198</f>
        <v>-0</v>
      </c>
      <c r="AB40" s="244" t="n">
        <f aca="false">Model!AD198</f>
        <v>-0</v>
      </c>
      <c r="AC40" s="244" t="n">
        <f aca="false">Model!AE198</f>
        <v>-0</v>
      </c>
      <c r="AD40" s="244" t="n">
        <f aca="false">Model!AF198</f>
        <v>-0</v>
      </c>
      <c r="AE40" s="244" t="n">
        <f aca="false">Model!AG198</f>
        <v>-0</v>
      </c>
      <c r="AF40" s="244" t="n">
        <f aca="false">Model!AH198</f>
        <v>-0</v>
      </c>
      <c r="AG40" s="244" t="n">
        <f aca="false">Model!AI198</f>
        <v>-0</v>
      </c>
      <c r="AH40" s="244" t="n">
        <f aca="false">Model!AJ198</f>
        <v>-0</v>
      </c>
      <c r="AI40" s="244" t="n">
        <f aca="false">Model!AK198</f>
        <v>-0</v>
      </c>
      <c r="AJ40" s="244" t="n">
        <f aca="false">Model!AL198</f>
        <v>-0</v>
      </c>
      <c r="AK40" s="244" t="n">
        <f aca="false">Model!AM198</f>
        <v>-0</v>
      </c>
      <c r="AL40" s="244" t="n">
        <f aca="false">Model!AN198</f>
        <v>-0</v>
      </c>
      <c r="AM40" s="244" t="n">
        <f aca="false">Model!AO198</f>
        <v>-0</v>
      </c>
      <c r="AN40" s="244" t="n">
        <f aca="false">Model!AP198</f>
        <v>-0</v>
      </c>
      <c r="AO40" s="244" t="n">
        <f aca="false">Model!AQ198</f>
        <v>-0</v>
      </c>
      <c r="AP40" s="244" t="n">
        <f aca="false">Model!AR198</f>
        <v>-0</v>
      </c>
      <c r="AQ40" s="244" t="n">
        <f aca="false">Model!AS198</f>
        <v>-0</v>
      </c>
      <c r="AR40" s="244" t="n">
        <f aca="false">Model!AT198</f>
        <v>-0</v>
      </c>
      <c r="AS40" s="244" t="n">
        <f aca="false">Model!AU198</f>
        <v>-0</v>
      </c>
      <c r="AT40" s="244" t="n">
        <f aca="false">Model!AV198</f>
        <v>-0</v>
      </c>
      <c r="AU40" s="244" t="n">
        <f aca="false">Model!AW198</f>
        <v>-0</v>
      </c>
      <c r="AV40" s="244" t="n">
        <f aca="false">Model!AX198</f>
        <v>-0</v>
      </c>
      <c r="AW40" s="244" t="n">
        <f aca="false">Model!AY198</f>
        <v>-0</v>
      </c>
      <c r="AX40" s="244" t="n">
        <f aca="false">Model!AZ198</f>
        <v>-0</v>
      </c>
      <c r="AY40" s="244" t="n">
        <f aca="false">Model!BA198</f>
        <v>-0</v>
      </c>
      <c r="AZ40" s="244" t="n">
        <f aca="false">Model!BB198</f>
        <v>-0</v>
      </c>
      <c r="BA40" s="244" t="n">
        <f aca="false">Model!BC198</f>
        <v>-0</v>
      </c>
      <c r="BB40" s="244" t="n">
        <f aca="false">Model!BD198</f>
        <v>-0</v>
      </c>
      <c r="BC40" s="244" t="n">
        <f aca="false">Model!BE198</f>
        <v>-0</v>
      </c>
      <c r="BD40" s="244" t="n">
        <f aca="false">Model!BF198</f>
        <v>-0</v>
      </c>
      <c r="BE40" s="244" t="n">
        <f aca="false">Model!BG198</f>
        <v>-0</v>
      </c>
      <c r="BF40" s="244" t="n">
        <f aca="false">Model!BH198</f>
        <v>-0</v>
      </c>
      <c r="BG40" s="244" t="n">
        <f aca="false">Model!BI198</f>
        <v>-0</v>
      </c>
      <c r="BH40" s="244" t="n">
        <f aca="false">Model!BJ198</f>
        <v>-0</v>
      </c>
      <c r="BI40" s="244" t="n">
        <f aca="false">Model!BK198</f>
        <v>-0</v>
      </c>
      <c r="BJ40" s="244" t="n">
        <f aca="false">Model!BL198</f>
        <v>-0</v>
      </c>
      <c r="BK40" s="244" t="n">
        <f aca="false">Model!BM198</f>
        <v>-0</v>
      </c>
      <c r="BL40" s="244" t="n">
        <f aca="false">Model!BN198</f>
        <v>-0</v>
      </c>
      <c r="BM40" s="244" t="n">
        <f aca="false">Model!BO198</f>
        <v>-0</v>
      </c>
      <c r="BN40" s="244" t="n">
        <f aca="false">Model!BP198</f>
        <v>-0</v>
      </c>
      <c r="BO40" s="244" t="n">
        <f aca="false">Model!BQ198</f>
        <v>-0</v>
      </c>
      <c r="BP40" s="244" t="n">
        <f aca="false">Model!BR198</f>
        <v>-0</v>
      </c>
      <c r="BQ40" s="244" t="n">
        <f aca="false">Model!BS198</f>
        <v>-0</v>
      </c>
      <c r="BR40" s="244" t="n">
        <f aca="false">Model!BT198</f>
        <v>-0</v>
      </c>
      <c r="BS40" s="244" t="n">
        <f aca="false">Model!BU198</f>
        <v>-0</v>
      </c>
      <c r="BT40" s="244" t="n">
        <f aca="false">Model!BV198</f>
        <v>-0</v>
      </c>
      <c r="BU40" s="244" t="n">
        <f aca="false">Model!BW198</f>
        <v>-0</v>
      </c>
      <c r="BV40" s="244" t="n">
        <f aca="false">Model!BX198</f>
        <v>-0</v>
      </c>
      <c r="BW40" s="244" t="n">
        <f aca="false">Model!BY198</f>
        <v>-0</v>
      </c>
      <c r="BX40" s="244" t="n">
        <f aca="false">Model!BZ198</f>
        <v>-0</v>
      </c>
      <c r="BY40" s="244" t="n">
        <f aca="false">Model!CA198</f>
        <v>-73156</v>
      </c>
      <c r="BZ40" s="244" t="n">
        <f aca="false">Model!CB198</f>
        <v>-0</v>
      </c>
      <c r="CA40" s="244" t="n">
        <f aca="false">Model!CC198</f>
        <v>-0</v>
      </c>
      <c r="CB40" s="244" t="n">
        <f aca="false">Model!CD198</f>
        <v>-73155</v>
      </c>
      <c r="CC40" s="244" t="n">
        <f aca="false">Model!CE198</f>
        <v>-0</v>
      </c>
      <c r="CD40" s="244" t="n">
        <f aca="false">Model!CF198</f>
        <v>-0</v>
      </c>
      <c r="CE40" s="244" t="n">
        <f aca="false">Model!CG198</f>
        <v>-73155</v>
      </c>
      <c r="CF40" s="244" t="n">
        <f aca="false">Model!CH198</f>
        <v>-0</v>
      </c>
      <c r="CG40" s="244" t="n">
        <f aca="false">Model!CI198</f>
        <v>-0</v>
      </c>
      <c r="CH40" s="244" t="n">
        <f aca="false">Model!CJ198</f>
        <v>-73155</v>
      </c>
    </row>
    <row r="41" customFormat="false" ht="15" hidden="false" customHeight="true" outlineLevel="0" collapsed="false">
      <c r="A41" s="240" t="s">
        <v>565</v>
      </c>
      <c r="B41" s="240"/>
      <c r="C41" s="241" t="n">
        <f aca="false">C39+C40</f>
        <v>0</v>
      </c>
      <c r="D41" s="241" t="n">
        <f aca="false">D39+D40</f>
        <v>0</v>
      </c>
      <c r="E41" s="241" t="n">
        <f aca="false">E39+E40</f>
        <v>0</v>
      </c>
      <c r="F41" s="241" t="n">
        <f aca="false">F39+F40</f>
        <v>0</v>
      </c>
      <c r="G41" s="241" t="n">
        <f aca="false">G39+G40</f>
        <v>0</v>
      </c>
      <c r="H41" s="241" t="n">
        <f aca="false">H39+H40</f>
        <v>0</v>
      </c>
      <c r="I41" s="241" t="n">
        <f aca="false">I39+I40</f>
        <v>0</v>
      </c>
      <c r="J41" s="241" t="n">
        <f aca="false">J39+J40</f>
        <v>0</v>
      </c>
      <c r="K41" s="241" t="n">
        <f aca="false">K39+K40</f>
        <v>0</v>
      </c>
      <c r="L41" s="241" t="n">
        <f aca="false">L39+L40</f>
        <v>0</v>
      </c>
      <c r="M41" s="241" t="n">
        <f aca="false">M39+M40</f>
        <v>0</v>
      </c>
      <c r="N41" s="241" t="n">
        <f aca="false">N39+N40</f>
        <v>0</v>
      </c>
      <c r="O41" s="241" t="n">
        <f aca="false">O39+O40</f>
        <v>0</v>
      </c>
      <c r="P41" s="241" t="n">
        <f aca="false">P39+P40</f>
        <v>0</v>
      </c>
      <c r="Q41" s="241" t="n">
        <f aca="false">Q39+Q40</f>
        <v>0</v>
      </c>
      <c r="R41" s="241" t="n">
        <f aca="false">R39+R40</f>
        <v>0</v>
      </c>
      <c r="S41" s="241" t="n">
        <f aca="false">S39+S40</f>
        <v>0</v>
      </c>
      <c r="T41" s="241" t="n">
        <f aca="false">T39+T40</f>
        <v>0</v>
      </c>
      <c r="U41" s="241" t="n">
        <f aca="false">U39+U40</f>
        <v>0</v>
      </c>
      <c r="V41" s="241" t="n">
        <f aca="false">V39+V40</f>
        <v>0</v>
      </c>
      <c r="W41" s="241" t="n">
        <f aca="false">W39+W40</f>
        <v>0</v>
      </c>
      <c r="X41" s="241" t="n">
        <f aca="false">X39+X40</f>
        <v>0</v>
      </c>
      <c r="Y41" s="241" t="n">
        <f aca="false">Y39+Y40</f>
        <v>0</v>
      </c>
      <c r="Z41" s="241" t="n">
        <f aca="false">Z39+Z40</f>
        <v>0</v>
      </c>
      <c r="AA41" s="241" t="n">
        <f aca="false">AA39+AA40</f>
        <v>0</v>
      </c>
      <c r="AB41" s="241" t="n">
        <f aca="false">AB39+AB40</f>
        <v>0</v>
      </c>
      <c r="AC41" s="241" t="n">
        <f aca="false">AC39+AC40</f>
        <v>0</v>
      </c>
      <c r="AD41" s="241" t="n">
        <f aca="false">AD39+AD40</f>
        <v>0</v>
      </c>
      <c r="AE41" s="241" t="n">
        <f aca="false">AE39+AE40</f>
        <v>0</v>
      </c>
      <c r="AF41" s="241" t="n">
        <f aca="false">AF39+AF40</f>
        <v>0</v>
      </c>
      <c r="AG41" s="241" t="n">
        <f aca="false">AG39+AG40</f>
        <v>0</v>
      </c>
      <c r="AH41" s="241" t="n">
        <f aca="false">AH39+AH40</f>
        <v>0</v>
      </c>
      <c r="AI41" s="241" t="n">
        <f aca="false">AI39+AI40</f>
        <v>0</v>
      </c>
      <c r="AJ41" s="241" t="n">
        <f aca="false">AJ39+AJ40</f>
        <v>0</v>
      </c>
      <c r="AK41" s="241" t="n">
        <f aca="false">AK39+AK40</f>
        <v>0</v>
      </c>
      <c r="AL41" s="241" t="n">
        <f aca="false">AL39+AL40</f>
        <v>0</v>
      </c>
      <c r="AM41" s="241" t="n">
        <f aca="false">AM39+AM40</f>
        <v>0</v>
      </c>
      <c r="AN41" s="241" t="n">
        <f aca="false">AN39+AN40</f>
        <v>0</v>
      </c>
      <c r="AO41" s="241" t="n">
        <f aca="false">AO39+AO40</f>
        <v>0</v>
      </c>
      <c r="AP41" s="241" t="n">
        <f aca="false">AP39+AP40</f>
        <v>0</v>
      </c>
      <c r="AQ41" s="241" t="n">
        <f aca="false">AQ39+AQ40</f>
        <v>0</v>
      </c>
      <c r="AR41" s="241" t="n">
        <f aca="false">AR39+AR40</f>
        <v>0</v>
      </c>
      <c r="AS41" s="241" t="n">
        <f aca="false">AS39+AS40</f>
        <v>0</v>
      </c>
      <c r="AT41" s="241" t="n">
        <f aca="false">AT39+AT40</f>
        <v>0</v>
      </c>
      <c r="AU41" s="241" t="n">
        <f aca="false">AU39+AU40</f>
        <v>0</v>
      </c>
      <c r="AV41" s="241" t="n">
        <f aca="false">AV39+AV40</f>
        <v>0</v>
      </c>
      <c r="AW41" s="241" t="n">
        <f aca="false">AW39+AW40</f>
        <v>0</v>
      </c>
      <c r="AX41" s="241" t="n">
        <f aca="false">AX39+AX40</f>
        <v>0</v>
      </c>
      <c r="AY41" s="241" t="n">
        <f aca="false">AY39+AY40</f>
        <v>0</v>
      </c>
      <c r="AZ41" s="241" t="n">
        <f aca="false">AZ39+AZ40</f>
        <v>0</v>
      </c>
      <c r="BA41" s="241" t="n">
        <f aca="false">BA39+BA40</f>
        <v>0</v>
      </c>
      <c r="BB41" s="241" t="n">
        <f aca="false">BB39+BB40</f>
        <v>0</v>
      </c>
      <c r="BC41" s="241" t="n">
        <f aca="false">BC39+BC40</f>
        <v>0</v>
      </c>
      <c r="BD41" s="241" t="n">
        <f aca="false">BD39+BD40</f>
        <v>0</v>
      </c>
      <c r="BE41" s="241" t="n">
        <f aca="false">BE39+BE40</f>
        <v>0</v>
      </c>
      <c r="BF41" s="241" t="n">
        <f aca="false">BF39+BF40</f>
        <v>0</v>
      </c>
      <c r="BG41" s="241" t="n">
        <f aca="false">BG39+BG40</f>
        <v>0</v>
      </c>
      <c r="BH41" s="241" t="n">
        <f aca="false">BH39+BH40</f>
        <v>0</v>
      </c>
      <c r="BI41" s="241" t="n">
        <f aca="false">BI39+BI40</f>
        <v>0</v>
      </c>
      <c r="BJ41" s="241" t="n">
        <f aca="false">BJ39+BJ40</f>
        <v>0</v>
      </c>
      <c r="BK41" s="241" t="n">
        <f aca="false">BK39+BK40</f>
        <v>0</v>
      </c>
      <c r="BL41" s="241" t="n">
        <f aca="false">BL39+BL40</f>
        <v>0</v>
      </c>
      <c r="BM41" s="241" t="n">
        <f aca="false">BM39+BM40</f>
        <v>0</v>
      </c>
      <c r="BN41" s="241" t="n">
        <f aca="false">BN39+BN40</f>
        <v>0</v>
      </c>
      <c r="BO41" s="241" t="n">
        <f aca="false">BO39+BO40</f>
        <v>0</v>
      </c>
      <c r="BP41" s="241" t="n">
        <f aca="false">BP39+BP40</f>
        <v>0</v>
      </c>
      <c r="BQ41" s="241" t="n">
        <f aca="false">BQ39+BQ40</f>
        <v>0</v>
      </c>
      <c r="BR41" s="241" t="n">
        <f aca="false">BR39+BR40</f>
        <v>0</v>
      </c>
      <c r="BS41" s="241" t="n">
        <f aca="false">BS39+BS40</f>
        <v>0</v>
      </c>
      <c r="BT41" s="241" t="n">
        <f aca="false">BT39+BT40</f>
        <v>0</v>
      </c>
      <c r="BU41" s="241" t="n">
        <f aca="false">BU39+BU40</f>
        <v>0</v>
      </c>
      <c r="BV41" s="241" t="n">
        <f aca="false">BV39+BV40</f>
        <v>0</v>
      </c>
      <c r="BW41" s="241" t="n">
        <f aca="false">BW39+BW40</f>
        <v>0</v>
      </c>
      <c r="BX41" s="241" t="n">
        <f aca="false">BX39+BX40</f>
        <v>0</v>
      </c>
      <c r="BY41" s="241" t="n">
        <f aca="false">BY39+BY40</f>
        <v>-73156</v>
      </c>
      <c r="BZ41" s="241" t="n">
        <f aca="false">BZ39+BZ40</f>
        <v>0</v>
      </c>
      <c r="CA41" s="241" t="n">
        <f aca="false">CA39+CA40</f>
        <v>0</v>
      </c>
      <c r="CB41" s="241" t="n">
        <f aca="false">CB39+CB40</f>
        <v>-73155</v>
      </c>
      <c r="CC41" s="241" t="n">
        <f aca="false">CC39+CC40</f>
        <v>0</v>
      </c>
      <c r="CD41" s="241" t="n">
        <f aca="false">CD39+CD40</f>
        <v>0</v>
      </c>
      <c r="CE41" s="241" t="n">
        <f aca="false">CE39+CE40</f>
        <v>-73155</v>
      </c>
      <c r="CF41" s="241" t="n">
        <f aca="false">CF39+CF40</f>
        <v>0</v>
      </c>
      <c r="CG41" s="241" t="n">
        <f aca="false">CG39+CG40</f>
        <v>0</v>
      </c>
      <c r="CH41" s="241" t="n">
        <f aca="false">CH39+CH40</f>
        <v>-73155</v>
      </c>
    </row>
    <row r="42" customFormat="false" ht="15" hidden="false" customHeight="true" outlineLevel="0" collapsed="false">
      <c r="A42" s="77" t="s">
        <v>566</v>
      </c>
      <c r="B42" s="4"/>
      <c r="C42" s="242" t="n">
        <f aca="false">C41</f>
        <v>0</v>
      </c>
      <c r="D42" s="242" t="n">
        <f aca="false">C42+D41</f>
        <v>0</v>
      </c>
      <c r="E42" s="242" t="n">
        <f aca="false">D42+E41</f>
        <v>0</v>
      </c>
      <c r="F42" s="242" t="n">
        <f aca="false">E42+F41</f>
        <v>0</v>
      </c>
      <c r="G42" s="242" t="n">
        <f aca="false">F42+G41</f>
        <v>0</v>
      </c>
      <c r="H42" s="242" t="n">
        <f aca="false">G42+H41</f>
        <v>0</v>
      </c>
      <c r="I42" s="242" t="n">
        <f aca="false">H42+I41</f>
        <v>0</v>
      </c>
      <c r="J42" s="242" t="n">
        <f aca="false">I42+J41</f>
        <v>0</v>
      </c>
      <c r="K42" s="242" t="n">
        <f aca="false">J42+K41</f>
        <v>0</v>
      </c>
      <c r="L42" s="242" t="n">
        <f aca="false">K42+L41</f>
        <v>0</v>
      </c>
      <c r="M42" s="242" t="n">
        <f aca="false">L42+M41</f>
        <v>0</v>
      </c>
      <c r="N42" s="242" t="n">
        <f aca="false">M42+N41</f>
        <v>0</v>
      </c>
      <c r="O42" s="242" t="n">
        <f aca="false">N42+O41</f>
        <v>0</v>
      </c>
      <c r="P42" s="242" t="n">
        <f aca="false">O42+P41</f>
        <v>0</v>
      </c>
      <c r="Q42" s="242" t="n">
        <f aca="false">P42+Q41</f>
        <v>0</v>
      </c>
      <c r="R42" s="242" t="n">
        <f aca="false">Q42+R41</f>
        <v>0</v>
      </c>
      <c r="S42" s="242" t="n">
        <f aca="false">R42+S41</f>
        <v>0</v>
      </c>
      <c r="T42" s="242" t="n">
        <f aca="false">S42+T41</f>
        <v>0</v>
      </c>
      <c r="U42" s="242" t="n">
        <f aca="false">T42+U41</f>
        <v>0</v>
      </c>
      <c r="V42" s="242" t="n">
        <f aca="false">U42+V41</f>
        <v>0</v>
      </c>
      <c r="W42" s="242" t="n">
        <f aca="false">V42+W41</f>
        <v>0</v>
      </c>
      <c r="X42" s="242" t="n">
        <f aca="false">W42+X41</f>
        <v>0</v>
      </c>
      <c r="Y42" s="242" t="n">
        <f aca="false">X42+Y41</f>
        <v>0</v>
      </c>
      <c r="Z42" s="242" t="n">
        <f aca="false">Y42+Z41</f>
        <v>0</v>
      </c>
      <c r="AA42" s="242" t="n">
        <f aca="false">Z42+AA41</f>
        <v>0</v>
      </c>
      <c r="AB42" s="242" t="n">
        <f aca="false">AA42+AB41</f>
        <v>0</v>
      </c>
      <c r="AC42" s="242" t="n">
        <f aca="false">AB42+AC41</f>
        <v>0</v>
      </c>
      <c r="AD42" s="242" t="n">
        <f aca="false">AC42+AD41</f>
        <v>0</v>
      </c>
      <c r="AE42" s="242" t="n">
        <f aca="false">AD42+AE41</f>
        <v>0</v>
      </c>
      <c r="AF42" s="242" t="n">
        <f aca="false">AE42+AF41</f>
        <v>0</v>
      </c>
      <c r="AG42" s="242" t="n">
        <f aca="false">AF42+AG41</f>
        <v>0</v>
      </c>
      <c r="AH42" s="242" t="n">
        <f aca="false">AG42+AH41</f>
        <v>0</v>
      </c>
      <c r="AI42" s="242" t="n">
        <f aca="false">AH42+AI41</f>
        <v>0</v>
      </c>
      <c r="AJ42" s="242" t="n">
        <f aca="false">AI42+AJ41</f>
        <v>0</v>
      </c>
      <c r="AK42" s="242" t="n">
        <f aca="false">AJ42+AK41</f>
        <v>0</v>
      </c>
      <c r="AL42" s="242" t="n">
        <f aca="false">AK42+AL41</f>
        <v>0</v>
      </c>
      <c r="AM42" s="242" t="n">
        <f aca="false">AL42+AM41</f>
        <v>0</v>
      </c>
      <c r="AN42" s="242" t="n">
        <f aca="false">AM42+AN41</f>
        <v>0</v>
      </c>
      <c r="AO42" s="242" t="n">
        <f aca="false">AN42+AO41</f>
        <v>0</v>
      </c>
      <c r="AP42" s="242" t="n">
        <f aca="false">AO42+AP41</f>
        <v>0</v>
      </c>
      <c r="AQ42" s="242" t="n">
        <f aca="false">AP42+AQ41</f>
        <v>0</v>
      </c>
      <c r="AR42" s="242" t="n">
        <f aca="false">AQ42+AR41</f>
        <v>0</v>
      </c>
      <c r="AS42" s="242" t="n">
        <f aca="false">AR42+AS41</f>
        <v>0</v>
      </c>
      <c r="AT42" s="242" t="n">
        <f aca="false">AS42+AT41</f>
        <v>0</v>
      </c>
      <c r="AU42" s="242" t="n">
        <f aca="false">AT42+AU41</f>
        <v>0</v>
      </c>
      <c r="AV42" s="242" t="n">
        <f aca="false">AU42+AV41</f>
        <v>0</v>
      </c>
      <c r="AW42" s="242" t="n">
        <f aca="false">AV42+AW41</f>
        <v>0</v>
      </c>
      <c r="AX42" s="242" t="n">
        <f aca="false">AW42+AX41</f>
        <v>0</v>
      </c>
      <c r="AY42" s="242" t="n">
        <f aca="false">AX42+AY41</f>
        <v>0</v>
      </c>
      <c r="AZ42" s="242" t="n">
        <f aca="false">AY42+AZ41</f>
        <v>0</v>
      </c>
      <c r="BA42" s="242" t="n">
        <f aca="false">AZ42+BA41</f>
        <v>0</v>
      </c>
      <c r="BB42" s="242" t="n">
        <f aca="false">BA42+BB41</f>
        <v>0</v>
      </c>
      <c r="BC42" s="242" t="n">
        <f aca="false">BB42+BC41</f>
        <v>0</v>
      </c>
      <c r="BD42" s="242" t="n">
        <f aca="false">BC42+BD41</f>
        <v>0</v>
      </c>
      <c r="BE42" s="242" t="n">
        <f aca="false">BD42+BE41</f>
        <v>0</v>
      </c>
      <c r="BF42" s="242" t="n">
        <f aca="false">BE42+BF41</f>
        <v>0</v>
      </c>
      <c r="BG42" s="242" t="n">
        <f aca="false">BF42+BG41</f>
        <v>0</v>
      </c>
      <c r="BH42" s="242" t="n">
        <f aca="false">BG42+BH41</f>
        <v>0</v>
      </c>
      <c r="BI42" s="242" t="n">
        <f aca="false">BH42+BI41</f>
        <v>0</v>
      </c>
      <c r="BJ42" s="242" t="n">
        <f aca="false">BI42+BJ41</f>
        <v>0</v>
      </c>
      <c r="BK42" s="242" t="n">
        <f aca="false">BJ42+BK41</f>
        <v>0</v>
      </c>
      <c r="BL42" s="242" t="n">
        <f aca="false">BK42+BL41</f>
        <v>0</v>
      </c>
      <c r="BM42" s="242" t="n">
        <f aca="false">BL42+BM41</f>
        <v>0</v>
      </c>
      <c r="BN42" s="242" t="n">
        <f aca="false">BM42+BN41</f>
        <v>0</v>
      </c>
      <c r="BO42" s="242" t="n">
        <f aca="false">BN42+BO41</f>
        <v>0</v>
      </c>
      <c r="BP42" s="242" t="n">
        <f aca="false">BO42+BP41</f>
        <v>0</v>
      </c>
      <c r="BQ42" s="242" t="n">
        <f aca="false">BP42+BQ41</f>
        <v>0</v>
      </c>
      <c r="BR42" s="242" t="n">
        <f aca="false">BQ42+BR41</f>
        <v>0</v>
      </c>
      <c r="BS42" s="242" t="n">
        <f aca="false">BR42+BS41</f>
        <v>0</v>
      </c>
      <c r="BT42" s="242" t="n">
        <f aca="false">BS42+BT41</f>
        <v>0</v>
      </c>
      <c r="BU42" s="242" t="n">
        <f aca="false">BT42+BU41</f>
        <v>0</v>
      </c>
      <c r="BV42" s="242" t="n">
        <f aca="false">BU42+BV41</f>
        <v>0</v>
      </c>
      <c r="BW42" s="242" t="n">
        <f aca="false">BV42+BW41</f>
        <v>0</v>
      </c>
      <c r="BX42" s="242" t="n">
        <f aca="false">BW42+BX41</f>
        <v>0</v>
      </c>
      <c r="BY42" s="242" t="n">
        <f aca="false">BX42+BY41</f>
        <v>-73156</v>
      </c>
      <c r="BZ42" s="242" t="n">
        <f aca="false">BY42+BZ41</f>
        <v>-73156</v>
      </c>
      <c r="CA42" s="242" t="n">
        <f aca="false">BZ42+CA41</f>
        <v>-73156</v>
      </c>
      <c r="CB42" s="242" t="n">
        <f aca="false">CA42+CB41</f>
        <v>-146311</v>
      </c>
      <c r="CC42" s="242" t="n">
        <f aca="false">CB42+CC41</f>
        <v>-146311</v>
      </c>
      <c r="CD42" s="242" t="n">
        <f aca="false">CC42+CD41</f>
        <v>-146311</v>
      </c>
      <c r="CE42" s="242" t="n">
        <f aca="false">CD42+CE41</f>
        <v>-219466</v>
      </c>
      <c r="CF42" s="242" t="n">
        <f aca="false">CE42+CF41</f>
        <v>-219466</v>
      </c>
      <c r="CG42" s="242" t="n">
        <f aca="false">CF42+CG41</f>
        <v>-219466</v>
      </c>
      <c r="CH42" s="242" t="n">
        <f aca="false">CG42+CH41</f>
        <v>-292621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</row>
    <row r="44" customFormat="false" ht="27.75" hidden="false" customHeight="true" outlineLevel="0" collapsed="false">
      <c r="A44" s="52" t="s">
        <v>568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</row>
    <row r="45" customFormat="false" ht="15" hidden="false" customHeight="true" outlineLevel="0" collapsed="false">
      <c r="A45" s="240" t="s">
        <v>569</v>
      </c>
      <c r="B45" s="240"/>
      <c r="C45" s="241" t="n">
        <f aca="false">C5+C10+C16+C22+C28+C35+C41</f>
        <v>33281.25</v>
      </c>
      <c r="D45" s="241" t="n">
        <f aca="false">D5+D10+D16+D22+D28+D35+D41</f>
        <v>33281.25</v>
      </c>
      <c r="E45" s="241" t="n">
        <f aca="false">E5+E10+E16+E22+E28+E35+E41</f>
        <v>33281.25</v>
      </c>
      <c r="F45" s="241" t="n">
        <f aca="false">F5+F10+F16+F22+F28+F35+F41</f>
        <v>33281.25</v>
      </c>
      <c r="G45" s="241" t="n">
        <f aca="false">G5+G10+G16+G22+G28+G35+G41</f>
        <v>131490.25</v>
      </c>
      <c r="H45" s="241" t="n">
        <f aca="false">H5+H10+H16+H22+H28+H35+H41</f>
        <v>-102170.75</v>
      </c>
      <c r="I45" s="241" t="n">
        <f aca="false">I5+I10+I16+I22+I28+I35+I41</f>
        <v>238710.46</v>
      </c>
      <c r="J45" s="241" t="n">
        <f aca="false">J5+J10+J16+J22+J28+J35+J41</f>
        <v>47590.46</v>
      </c>
      <c r="K45" s="241" t="n">
        <f aca="false">K5+K10+K16+K22+K28+K35+K41</f>
        <v>47590.46</v>
      </c>
      <c r="L45" s="241" t="n">
        <f aca="false">L5+L10+L16+L22+L28+L35+L41</f>
        <v>47590.46</v>
      </c>
      <c r="M45" s="241" t="n">
        <f aca="false">M5+M10+M16+M22+M28+M35+M41</f>
        <v>47590.46</v>
      </c>
      <c r="N45" s="241" t="n">
        <f aca="false">N5+N10+N16+N22+N28+N35+N41</f>
        <v>47590.46</v>
      </c>
      <c r="O45" s="241" t="n">
        <f aca="false">O5+O10+O16+O22+O28+O35+O41</f>
        <v>47590.46</v>
      </c>
      <c r="P45" s="241" t="n">
        <f aca="false">P5+P10+P16+P22+P28+P35+P41</f>
        <v>47590.46</v>
      </c>
      <c r="Q45" s="241" t="n">
        <f aca="false">Q5+Q10+Q16+Q22+Q28+Q35+Q41</f>
        <v>47590.46</v>
      </c>
      <c r="R45" s="241" t="n">
        <f aca="false">R5+R10+R16+R22+R28+R35+R41</f>
        <v>23684.21</v>
      </c>
      <c r="S45" s="241" t="n">
        <f aca="false">S5+S10+S16+S22+S28+S35+S41</f>
        <v>23684.21</v>
      </c>
      <c r="T45" s="241" t="n">
        <f aca="false">T5+T10+T16+T22+T28+T35+T41</f>
        <v>23684.21</v>
      </c>
      <c r="U45" s="241" t="n">
        <f aca="false">U5+U10+U16+U22+U28+U35+U41</f>
        <v>23684.21</v>
      </c>
      <c r="V45" s="241" t="n">
        <f aca="false">V5+V10+V16+V22+V28+V35+V41</f>
        <v>23684.21</v>
      </c>
      <c r="W45" s="241" t="n">
        <f aca="false">W5+W10+W16+W22+W28+W35+W41</f>
        <v>81059.21</v>
      </c>
      <c r="X45" s="241" t="n">
        <f aca="false">X5+X10+X16+X22+X28+X35+X41</f>
        <v>23684.21</v>
      </c>
      <c r="Y45" s="241" t="n">
        <f aca="false">Y5+Y10+Y16+Y22+Y28+Y35+Y41</f>
        <v>23684.21</v>
      </c>
      <c r="Z45" s="241" t="n">
        <f aca="false">Z5+Z10+Z16+Z22+Z28+Z35+Z41</f>
        <v>81059.21</v>
      </c>
      <c r="AA45" s="241" t="n">
        <f aca="false">AA5+AA10+AA16+AA22+AA28+AA35+AA41</f>
        <v>23684.21</v>
      </c>
      <c r="AB45" s="241" t="n">
        <f aca="false">AB5+AB10+AB16+AB22+AB28+AB35+AB41</f>
        <v>0</v>
      </c>
      <c r="AC45" s="241" t="n">
        <f aca="false">AC5+AC10+AC16+AC22+AC28+AC35+AC41</f>
        <v>57375</v>
      </c>
      <c r="AD45" s="241" t="n">
        <f aca="false">AD5+AD10+AD16+AD22+AD28+AD35+AD41</f>
        <v>0</v>
      </c>
      <c r="AE45" s="241" t="n">
        <f aca="false">AE5+AE10+AE16+AE22+AE28+AE35+AE41</f>
        <v>0</v>
      </c>
      <c r="AF45" s="241" t="n">
        <f aca="false">AF5+AF10+AF16+AF22+AF28+AF35+AF41</f>
        <v>0</v>
      </c>
      <c r="AG45" s="241" t="n">
        <f aca="false">AG5+AG10+AG16+AG22+AG28+AG35+AG41</f>
        <v>0</v>
      </c>
      <c r="AH45" s="241" t="n">
        <f aca="false">AH5+AH10+AH16+AH22+AH28+AH35+AH41</f>
        <v>0</v>
      </c>
      <c r="AI45" s="241" t="n">
        <f aca="false">AI5+AI10+AI16+AI22+AI28+AI35+AI41</f>
        <v>0</v>
      </c>
      <c r="AJ45" s="241" t="n">
        <f aca="false">AJ5+AJ10+AJ16+AJ22+AJ28+AJ35+AJ41</f>
        <v>0</v>
      </c>
      <c r="AK45" s="241" t="n">
        <f aca="false">AK5+AK10+AK16+AK22+AK28+AK35+AK41</f>
        <v>0</v>
      </c>
      <c r="AL45" s="241" t="n">
        <f aca="false">AL5+AL10+AL16+AL22+AL28+AL35+AL41</f>
        <v>0</v>
      </c>
      <c r="AM45" s="241" t="n">
        <f aca="false">AM5+AM10+AM16+AM22+AM28+AM35+AM41</f>
        <v>0</v>
      </c>
      <c r="AN45" s="241" t="n">
        <f aca="false">AN5+AN10+AN16+AN22+AN28+AN35+AN41</f>
        <v>0</v>
      </c>
      <c r="AO45" s="241" t="n">
        <f aca="false">AO5+AO10+AO16+AO22+AO28+AO35+AO41</f>
        <v>0</v>
      </c>
      <c r="AP45" s="241" t="n">
        <f aca="false">AP5+AP10+AP16+AP22+AP28+AP35+AP41</f>
        <v>0</v>
      </c>
      <c r="AQ45" s="241" t="n">
        <f aca="false">AQ5+AQ10+AQ16+AQ22+AQ28+AQ35+AQ41</f>
        <v>0</v>
      </c>
      <c r="AR45" s="241" t="n">
        <f aca="false">AR5+AR10+AR16+AR22+AR28+AR35+AR41</f>
        <v>0</v>
      </c>
      <c r="AS45" s="241" t="n">
        <f aca="false">AS5+AS10+AS16+AS22+AS28+AS35+AS41</f>
        <v>0</v>
      </c>
      <c r="AT45" s="241" t="n">
        <f aca="false">AT5+AT10+AT16+AT22+AT28+AT35+AT41</f>
        <v>0</v>
      </c>
      <c r="AU45" s="241" t="n">
        <f aca="false">AU5+AU10+AU16+AU22+AU28+AU35+AU41</f>
        <v>0</v>
      </c>
      <c r="AV45" s="241" t="n">
        <f aca="false">AV5+AV10+AV16+AV22+AV28+AV35+AV41</f>
        <v>0</v>
      </c>
      <c r="AW45" s="241" t="n">
        <f aca="false">AW5+AW10+AW16+AW22+AW28+AW35+AW41</f>
        <v>0</v>
      </c>
      <c r="AX45" s="241" t="n">
        <f aca="false">AX5+AX10+AX16+AX22+AX28+AX35+AX41</f>
        <v>0</v>
      </c>
      <c r="AY45" s="241" t="n">
        <f aca="false">AY5+AY10+AY16+AY22+AY28+AY35+AY41</f>
        <v>0</v>
      </c>
      <c r="AZ45" s="241" t="n">
        <f aca="false">AZ5+AZ10+AZ16+AZ22+AZ28+AZ35+AZ41</f>
        <v>0</v>
      </c>
      <c r="BA45" s="241" t="n">
        <f aca="false">BA5+BA10+BA16+BA22+BA28+BA35+BA41</f>
        <v>0</v>
      </c>
      <c r="BB45" s="241" t="n">
        <f aca="false">BB5+BB10+BB16+BB22+BB28+BB35+BB41</f>
        <v>0</v>
      </c>
      <c r="BC45" s="241" t="n">
        <f aca="false">BC5+BC10+BC16+BC22+BC28+BC35+BC41</f>
        <v>0</v>
      </c>
      <c r="BD45" s="241" t="n">
        <f aca="false">BD5+BD10+BD16+BD22+BD28+BD35+BD41</f>
        <v>0</v>
      </c>
      <c r="BE45" s="241" t="n">
        <f aca="false">BE5+BE10+BE16+BE22+BE28+BE35+BE41</f>
        <v>0</v>
      </c>
      <c r="BF45" s="241" t="n">
        <f aca="false">BF5+BF10+BF16+BF22+BF28+BF35+BF41</f>
        <v>0</v>
      </c>
      <c r="BG45" s="241" t="n">
        <f aca="false">BG5+BG10+BG16+BG22+BG28+BG35+BG41</f>
        <v>0</v>
      </c>
      <c r="BH45" s="241" t="n">
        <f aca="false">BH5+BH10+BH16+BH22+BH28+BH35+BH41</f>
        <v>0</v>
      </c>
      <c r="BI45" s="241" t="n">
        <f aca="false">BI5+BI10+BI16+BI22+BI28+BI35+BI41</f>
        <v>0</v>
      </c>
      <c r="BJ45" s="241" t="n">
        <f aca="false">BJ5+BJ10+BJ16+BJ22+BJ28+BJ35+BJ41</f>
        <v>0</v>
      </c>
      <c r="BK45" s="241" t="n">
        <f aca="false">BK5+BK10+BK16+BK22+BK28+BK35+BK41</f>
        <v>0</v>
      </c>
      <c r="BL45" s="241" t="n">
        <f aca="false">BL5+BL10+BL16+BL22+BL28+BL35+BL41</f>
        <v>0</v>
      </c>
      <c r="BM45" s="241" t="n">
        <f aca="false">BM5+BM10+BM16+BM22+BM28+BM35+BM41</f>
        <v>0</v>
      </c>
      <c r="BN45" s="241" t="n">
        <f aca="false">BN5+BN10+BN16+BN22+BN28+BN35+BN41</f>
        <v>0</v>
      </c>
      <c r="BO45" s="241" t="n">
        <f aca="false">BO5+BO10+BO16+BO22+BO28+BO35+BO41</f>
        <v>0</v>
      </c>
      <c r="BP45" s="241" t="n">
        <f aca="false">BP5+BP10+BP16+BP22+BP28+BP35+BP41</f>
        <v>53250.35</v>
      </c>
      <c r="BQ45" s="241" t="n">
        <f aca="false">BQ5+BQ10+BQ16+BQ22+BQ28+BQ35+BQ41</f>
        <v>0</v>
      </c>
      <c r="BR45" s="241" t="n">
        <f aca="false">BR5+BR10+BR16+BR22+BR28+BR35+BR41</f>
        <v>0</v>
      </c>
      <c r="BS45" s="241" t="n">
        <f aca="false">BS5+BS10+BS16+BS22+BS28+BS35+BS41</f>
        <v>67762</v>
      </c>
      <c r="BT45" s="241" t="n">
        <f aca="false">BT5+BT10+BT16+BT22+BT28+BT35+BT41</f>
        <v>0</v>
      </c>
      <c r="BU45" s="241" t="n">
        <f aca="false">BU5+BU10+BU16+BU22+BU28+BU35+BU41</f>
        <v>0</v>
      </c>
      <c r="BV45" s="241" t="n">
        <f aca="false">BV5+BV10+BV16+BV22+BV28+BV35+BV41</f>
        <v>67762</v>
      </c>
      <c r="BW45" s="241" t="n">
        <f aca="false">BW5+BW10+BW16+BW22+BW28+BW35+BW41</f>
        <v>0</v>
      </c>
      <c r="BX45" s="241" t="n">
        <f aca="false">BX5+BX10+BX16+BX22+BX28+BX35+BX41</f>
        <v>0</v>
      </c>
      <c r="BY45" s="241" t="n">
        <f aca="false">BY5+BY10+BY16+BY22+BY28+BY35+BY41</f>
        <v>-5394</v>
      </c>
      <c r="BZ45" s="241" t="n">
        <f aca="false">BZ5+BZ10+BZ16+BZ22+BZ28+BZ35+BZ41</f>
        <v>0</v>
      </c>
      <c r="CA45" s="241" t="n">
        <f aca="false">CA5+CA10+CA16+CA22+CA28+CA35+CA41</f>
        <v>0</v>
      </c>
      <c r="CB45" s="241" t="n">
        <f aca="false">CB5+CB10+CB16+CB22+CB28+CB35+CB41</f>
        <v>3344</v>
      </c>
      <c r="CC45" s="241" t="n">
        <f aca="false">CC5+CC10+CC16+CC22+CC28+CC35+CC41</f>
        <v>0</v>
      </c>
      <c r="CD45" s="241" t="n">
        <f aca="false">CD5+CD10+CD16+CD22+CD28+CD35+CD41</f>
        <v>0</v>
      </c>
      <c r="CE45" s="241" t="n">
        <f aca="false">CE5+CE10+CE16+CE22+CE28+CE35+CE41</f>
        <v>3344</v>
      </c>
      <c r="CF45" s="241" t="n">
        <f aca="false">CF5+CF10+CF16+CF22+CF28+CF35+CF41</f>
        <v>0</v>
      </c>
      <c r="CG45" s="241" t="n">
        <f aca="false">CG5+CG10+CG16+CG22+CG28+CG35+CG41</f>
        <v>0</v>
      </c>
      <c r="CH45" s="241" t="n">
        <f aca="false">CH5+CH10+CH16+CH22+CH28+CH35+CH41</f>
        <v>9952.02660647922</v>
      </c>
    </row>
    <row r="46" customFormat="false" ht="15" hidden="false" customHeight="true" outlineLevel="0" collapsed="false">
      <c r="A46" s="77" t="s">
        <v>570</v>
      </c>
      <c r="B46" s="4"/>
      <c r="C46" s="242" t="n">
        <f aca="false">C45</f>
        <v>33281.25</v>
      </c>
      <c r="D46" s="242" t="n">
        <f aca="false">C46+D45</f>
        <v>66562.5</v>
      </c>
      <c r="E46" s="242" t="n">
        <f aca="false">D46+E45</f>
        <v>99843.75</v>
      </c>
      <c r="F46" s="242" t="n">
        <f aca="false">E46+F45</f>
        <v>133125</v>
      </c>
      <c r="G46" s="242" t="n">
        <f aca="false">F46+G45</f>
        <v>264615.25</v>
      </c>
      <c r="H46" s="242" t="n">
        <f aca="false">G46+H45</f>
        <v>162444.5</v>
      </c>
      <c r="I46" s="242" t="n">
        <f aca="false">H46+I45</f>
        <v>401154.96</v>
      </c>
      <c r="J46" s="242" t="n">
        <f aca="false">I46+J45</f>
        <v>448745.42</v>
      </c>
      <c r="K46" s="242" t="n">
        <f aca="false">J46+K45</f>
        <v>496335.88</v>
      </c>
      <c r="L46" s="242" t="n">
        <f aca="false">K46+L45</f>
        <v>543926.34</v>
      </c>
      <c r="M46" s="242" t="n">
        <f aca="false">L46+M45</f>
        <v>591516.8</v>
      </c>
      <c r="N46" s="242" t="n">
        <f aca="false">M46+N45</f>
        <v>639107.26</v>
      </c>
      <c r="O46" s="242" t="n">
        <f aca="false">N46+O45</f>
        <v>686697.72</v>
      </c>
      <c r="P46" s="242" t="n">
        <f aca="false">O46+P45</f>
        <v>734288.18</v>
      </c>
      <c r="Q46" s="242" t="n">
        <f aca="false">P46+Q45</f>
        <v>781878.64</v>
      </c>
      <c r="R46" s="242" t="n">
        <f aca="false">Q46+R45</f>
        <v>805562.85</v>
      </c>
      <c r="S46" s="242" t="n">
        <f aca="false">R46+S45</f>
        <v>829247.06</v>
      </c>
      <c r="T46" s="242" t="n">
        <f aca="false">S46+T45</f>
        <v>852931.27</v>
      </c>
      <c r="U46" s="242" t="n">
        <f aca="false">T46+U45</f>
        <v>876615.48</v>
      </c>
      <c r="V46" s="242" t="n">
        <f aca="false">U46+V45</f>
        <v>900299.69</v>
      </c>
      <c r="W46" s="242" t="n">
        <f aca="false">V46+W45</f>
        <v>981358.9</v>
      </c>
      <c r="X46" s="242" t="n">
        <f aca="false">W46+X45</f>
        <v>1005043.11</v>
      </c>
      <c r="Y46" s="242" t="n">
        <f aca="false">X46+Y45</f>
        <v>1028727.32</v>
      </c>
      <c r="Z46" s="242" t="n">
        <f aca="false">Y46+Z45</f>
        <v>1109786.53</v>
      </c>
      <c r="AA46" s="242" t="n">
        <f aca="false">Z46+AA45</f>
        <v>1133470.74</v>
      </c>
      <c r="AB46" s="242" t="n">
        <f aca="false">AA46+AB45</f>
        <v>1133470.74</v>
      </c>
      <c r="AC46" s="242" t="n">
        <f aca="false">AB46+AC45</f>
        <v>1190845.74</v>
      </c>
      <c r="AD46" s="242" t="n">
        <f aca="false">AC46+AD45</f>
        <v>1190845.74</v>
      </c>
      <c r="AE46" s="242" t="n">
        <f aca="false">AD46+AE45</f>
        <v>1190845.74</v>
      </c>
      <c r="AF46" s="242" t="n">
        <f aca="false">AE46+AF45</f>
        <v>1190845.74</v>
      </c>
      <c r="AG46" s="242" t="n">
        <f aca="false">AF46+AG45</f>
        <v>1190845.74</v>
      </c>
      <c r="AH46" s="242" t="n">
        <f aca="false">AG46+AH45</f>
        <v>1190845.74</v>
      </c>
      <c r="AI46" s="242" t="n">
        <f aca="false">AH46+AI45</f>
        <v>1190845.74</v>
      </c>
      <c r="AJ46" s="242" t="n">
        <f aca="false">AI46+AJ45</f>
        <v>1190845.74</v>
      </c>
      <c r="AK46" s="242" t="n">
        <f aca="false">AJ46+AK45</f>
        <v>1190845.74</v>
      </c>
      <c r="AL46" s="242" t="n">
        <f aca="false">AK46+AL45</f>
        <v>1190845.74</v>
      </c>
      <c r="AM46" s="242" t="n">
        <f aca="false">AL46+AM45</f>
        <v>1190845.74</v>
      </c>
      <c r="AN46" s="242" t="n">
        <f aca="false">AM46+AN45</f>
        <v>1190845.74</v>
      </c>
      <c r="AO46" s="242" t="n">
        <f aca="false">AN46+AO45</f>
        <v>1190845.74</v>
      </c>
      <c r="AP46" s="242" t="n">
        <f aca="false">AO46+AP45</f>
        <v>1190845.74</v>
      </c>
      <c r="AQ46" s="242" t="n">
        <f aca="false">AP46+AQ45</f>
        <v>1190845.74</v>
      </c>
      <c r="AR46" s="242" t="n">
        <f aca="false">AQ46+AR45</f>
        <v>1190845.74</v>
      </c>
      <c r="AS46" s="242" t="n">
        <f aca="false">AR46+AS45</f>
        <v>1190845.74</v>
      </c>
      <c r="AT46" s="242" t="n">
        <f aca="false">AS46+AT45</f>
        <v>1190845.74</v>
      </c>
      <c r="AU46" s="242" t="n">
        <f aca="false">AT46+AU45</f>
        <v>1190845.74</v>
      </c>
      <c r="AV46" s="242" t="n">
        <f aca="false">AU46+AV45</f>
        <v>1190845.74</v>
      </c>
      <c r="AW46" s="242" t="n">
        <f aca="false">AV46+AW45</f>
        <v>1190845.74</v>
      </c>
      <c r="AX46" s="242" t="n">
        <f aca="false">AW46+AX45</f>
        <v>1190845.74</v>
      </c>
      <c r="AY46" s="242" t="n">
        <f aca="false">AX46+AY45</f>
        <v>1190845.74</v>
      </c>
      <c r="AZ46" s="242" t="n">
        <f aca="false">AY46+AZ45</f>
        <v>1190845.74</v>
      </c>
      <c r="BA46" s="242" t="n">
        <f aca="false">AZ46+BA45</f>
        <v>1190845.74</v>
      </c>
      <c r="BB46" s="242" t="n">
        <f aca="false">BA46+BB45</f>
        <v>1190845.74</v>
      </c>
      <c r="BC46" s="242" t="n">
        <f aca="false">BB46+BC45</f>
        <v>1190845.74</v>
      </c>
      <c r="BD46" s="242" t="n">
        <f aca="false">BC46+BD45</f>
        <v>1190845.74</v>
      </c>
      <c r="BE46" s="242" t="n">
        <f aca="false">BD46+BE45</f>
        <v>1190845.74</v>
      </c>
      <c r="BF46" s="242" t="n">
        <f aca="false">BE46+BF45</f>
        <v>1190845.74</v>
      </c>
      <c r="BG46" s="242" t="n">
        <f aca="false">BF46+BG45</f>
        <v>1190845.74</v>
      </c>
      <c r="BH46" s="242" t="n">
        <f aca="false">BG46+BH45</f>
        <v>1190845.74</v>
      </c>
      <c r="BI46" s="242" t="n">
        <f aca="false">BH46+BI45</f>
        <v>1190845.74</v>
      </c>
      <c r="BJ46" s="242" t="n">
        <f aca="false">BI46+BJ45</f>
        <v>1190845.74</v>
      </c>
      <c r="BK46" s="242" t="n">
        <f aca="false">BJ46+BK45</f>
        <v>1190845.74</v>
      </c>
      <c r="BL46" s="242" t="n">
        <f aca="false">BK46+BL45</f>
        <v>1190845.74</v>
      </c>
      <c r="BM46" s="242" t="n">
        <f aca="false">BL46+BM45</f>
        <v>1190845.74</v>
      </c>
      <c r="BN46" s="242" t="n">
        <f aca="false">BM46+BN45</f>
        <v>1190845.74</v>
      </c>
      <c r="BO46" s="242" t="n">
        <f aca="false">BN46+BO45</f>
        <v>1190845.74</v>
      </c>
      <c r="BP46" s="242" t="n">
        <f aca="false">BO46+BP45</f>
        <v>1244096.09</v>
      </c>
      <c r="BQ46" s="242" t="n">
        <f aca="false">BP46+BQ45</f>
        <v>1244096.09</v>
      </c>
      <c r="BR46" s="242" t="n">
        <f aca="false">BQ46+BR45</f>
        <v>1244096.09</v>
      </c>
      <c r="BS46" s="242" t="n">
        <f aca="false">BR46+BS45</f>
        <v>1311858.09</v>
      </c>
      <c r="BT46" s="242" t="n">
        <f aca="false">BS46+BT45</f>
        <v>1311858.09</v>
      </c>
      <c r="BU46" s="242" t="n">
        <f aca="false">BT46+BU45</f>
        <v>1311858.09</v>
      </c>
      <c r="BV46" s="242" t="n">
        <f aca="false">BU46+BV45</f>
        <v>1379620.09</v>
      </c>
      <c r="BW46" s="242" t="n">
        <f aca="false">BV46+BW45</f>
        <v>1379620.09</v>
      </c>
      <c r="BX46" s="242" t="n">
        <f aca="false">BW46+BX45</f>
        <v>1379620.09</v>
      </c>
      <c r="BY46" s="242" t="n">
        <f aca="false">BX46+BY45</f>
        <v>1374226.09</v>
      </c>
      <c r="BZ46" s="242" t="n">
        <f aca="false">BY46+BZ45</f>
        <v>1374226.09</v>
      </c>
      <c r="CA46" s="242" t="n">
        <f aca="false">BZ46+CA45</f>
        <v>1374226.09</v>
      </c>
      <c r="CB46" s="242" t="n">
        <f aca="false">CA46+CB45</f>
        <v>1377570.09</v>
      </c>
      <c r="CC46" s="242" t="n">
        <f aca="false">CB46+CC45</f>
        <v>1377570.09</v>
      </c>
      <c r="CD46" s="242" t="n">
        <f aca="false">CC46+CD45</f>
        <v>1377570.09</v>
      </c>
      <c r="CE46" s="242" t="n">
        <f aca="false">CD46+CE45</f>
        <v>1380914.09</v>
      </c>
      <c r="CF46" s="242" t="n">
        <f aca="false">CE46+CF45</f>
        <v>1380914.09</v>
      </c>
      <c r="CG46" s="242" t="n">
        <f aca="false">CF46+CG45</f>
        <v>1380914.09</v>
      </c>
      <c r="CH46" s="242" t="n">
        <f aca="false">CG46+CH45</f>
        <v>1390866.11660648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</row>
    <row r="48" customFormat="false" ht="15" hidden="false" customHeight="true" outlineLevel="0" collapsed="false">
      <c r="A48" s="77" t="s">
        <v>571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</row>
    <row r="49" customFormat="false" ht="15" hidden="false" customHeight="true" outlineLevel="0" collapsed="false">
      <c r="A49" s="95" t="s">
        <v>572</v>
      </c>
      <c r="B49" s="245" t="n">
        <v>46113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</row>
    <row r="50" customFormat="false" ht="15" hidden="false" customHeight="true" outlineLevel="0" collapsed="false">
      <c r="A50" s="95" t="s">
        <v>573</v>
      </c>
      <c r="B50" s="245" t="n">
        <v>46113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customFormat="false" ht="15" hidden="false" customHeight="true" outlineLevel="0" collapsed="false">
      <c r="A51" s="95" t="s">
        <v>574</v>
      </c>
      <c r="B51" s="245" t="n">
        <v>46235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customFormat="false" ht="15" hidden="false" customHeight="true" outlineLevel="0" collapsed="false">
      <c r="A52" s="95" t="s">
        <v>575</v>
      </c>
      <c r="B52" s="245" t="n">
        <v>46266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</row>
    <row r="53" customFormat="false" ht="15" hidden="false" customHeight="true" outlineLevel="0" collapsed="false">
      <c r="A53" s="95" t="s">
        <v>576</v>
      </c>
      <c r="B53" s="245" t="n">
        <v>48092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</row>
    <row r="54" customFormat="false" ht="15" hidden="false" customHeight="true" outlineLevel="0" collapsed="false">
      <c r="A54" s="95" t="s">
        <v>577</v>
      </c>
      <c r="B54" s="245" t="n">
        <v>47635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customFormat="false" ht="15" hidden="false" customHeight="true" outlineLevel="0" collapsed="false">
      <c r="A55" s="95" t="s">
        <v>578</v>
      </c>
      <c r="B55" s="246" t="s">
        <v>579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customFormat="false" ht="15" hidden="false" customHeight="true" outlineLevel="0" collapsed="false">
      <c r="A56" s="77" t="s">
        <v>580</v>
      </c>
      <c r="B56" s="247" t="n">
        <v>46113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I1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C45" activeCellId="0" sqref="C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7" min="2" style="1" width="14"/>
    <col collapsed="false" customWidth="true" hidden="false" outlineLevel="0" max="9" min="8" style="1" width="13"/>
  </cols>
  <sheetData>
    <row r="1" customFormat="false" ht="17.25" hidden="false" customHeight="true" outlineLevel="0" collapsed="false">
      <c r="A1" s="88" t="s">
        <v>581</v>
      </c>
      <c r="B1" s="88"/>
      <c r="C1" s="88"/>
      <c r="D1" s="88"/>
      <c r="E1" s="88"/>
      <c r="F1" s="88"/>
      <c r="G1" s="88"/>
      <c r="H1" s="4"/>
      <c r="I1" s="4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582</v>
      </c>
      <c r="B3" s="5"/>
      <c r="C3" s="5"/>
      <c r="D3" s="5"/>
      <c r="E3" s="5"/>
      <c r="F3" s="5"/>
      <c r="G3" s="5"/>
      <c r="H3" s="4"/>
      <c r="I3" s="4"/>
    </row>
    <row r="4" customFormat="false" ht="15" hidden="false" customHeight="true" outlineLevel="0" collapsed="false">
      <c r="A4" s="38" t="s">
        <v>583</v>
      </c>
      <c r="B4" s="38" t="s">
        <v>584</v>
      </c>
      <c r="C4" s="38" t="s">
        <v>585</v>
      </c>
      <c r="D4" s="38" t="s">
        <v>586</v>
      </c>
      <c r="E4" s="38" t="s">
        <v>587</v>
      </c>
      <c r="F4" s="38" t="s">
        <v>588</v>
      </c>
      <c r="G4" s="38" t="s">
        <v>475</v>
      </c>
      <c r="H4" s="4"/>
      <c r="I4" s="4"/>
    </row>
    <row r="5" customFormat="false" ht="15" hidden="false" customHeight="true" outlineLevel="0" collapsed="false">
      <c r="A5" s="95" t="s">
        <v>589</v>
      </c>
      <c r="B5" s="248" t="n">
        <f aca="false">Assumptions!B4</f>
        <v>0.06</v>
      </c>
      <c r="C5" s="249" t="n">
        <v>0.06</v>
      </c>
      <c r="D5" s="250" t="n">
        <v>0.04</v>
      </c>
      <c r="E5" s="250" t="n">
        <v>0.08</v>
      </c>
      <c r="F5" s="95" t="s">
        <v>590</v>
      </c>
      <c r="G5" s="78" t="s">
        <v>591</v>
      </c>
      <c r="H5" s="4"/>
      <c r="I5" s="4"/>
    </row>
    <row r="6" customFormat="false" ht="15" hidden="false" customHeight="true" outlineLevel="0" collapsed="false">
      <c r="A6" s="95" t="s">
        <v>592</v>
      </c>
      <c r="B6" s="248" t="n">
        <f aca="false">Assumptions!B5</f>
        <v>0.06</v>
      </c>
      <c r="C6" s="249" t="n">
        <v>0.06</v>
      </c>
      <c r="D6" s="250" t="n">
        <v>0.04</v>
      </c>
      <c r="E6" s="250" t="n">
        <v>0.08</v>
      </c>
      <c r="F6" s="95" t="s">
        <v>590</v>
      </c>
      <c r="G6" s="78" t="s">
        <v>591</v>
      </c>
      <c r="H6" s="4"/>
      <c r="I6" s="4"/>
    </row>
    <row r="7" customFormat="false" ht="15" hidden="false" customHeight="true" outlineLevel="0" collapsed="false">
      <c r="A7" s="95" t="s">
        <v>593</v>
      </c>
      <c r="B7" s="248" t="n">
        <f aca="false">Assumptions!B6</f>
        <v>0.02</v>
      </c>
      <c r="C7" s="249" t="n">
        <v>0.02</v>
      </c>
      <c r="D7" s="250" t="n">
        <v>0.01</v>
      </c>
      <c r="E7" s="250" t="n">
        <v>0.03</v>
      </c>
      <c r="F7" s="95" t="s">
        <v>590</v>
      </c>
      <c r="G7" s="78" t="s">
        <v>594</v>
      </c>
      <c r="H7" s="4"/>
      <c r="I7" s="4"/>
    </row>
    <row r="8" customFormat="false" ht="15" hidden="false" customHeight="true" outlineLevel="0" collapsed="false">
      <c r="A8" s="95"/>
      <c r="B8" s="248"/>
      <c r="C8" s="249"/>
      <c r="D8" s="250"/>
      <c r="E8" s="250"/>
      <c r="F8" s="95"/>
      <c r="G8" s="78"/>
      <c r="H8" s="4"/>
      <c r="I8" s="4"/>
    </row>
    <row r="9" customFormat="false" ht="15" hidden="false" customHeight="true" outlineLevel="0" collapsed="false">
      <c r="A9" s="95" t="s">
        <v>595</v>
      </c>
      <c r="B9" s="248" t="n">
        <f aca="false">Assumptions!B26</f>
        <v>0.02</v>
      </c>
      <c r="C9" s="249" t="n">
        <v>0.02</v>
      </c>
      <c r="D9" s="250" t="n">
        <v>0</v>
      </c>
      <c r="E9" s="250" t="n">
        <v>0.04</v>
      </c>
      <c r="F9" s="95" t="s">
        <v>590</v>
      </c>
      <c r="G9" s="78" t="s">
        <v>596</v>
      </c>
      <c r="H9" s="4"/>
      <c r="I9" s="4"/>
    </row>
    <row r="10" customFormat="false" ht="15" hidden="false" customHeight="true" outlineLevel="0" collapsed="false">
      <c r="A10" s="95" t="s">
        <v>597</v>
      </c>
      <c r="B10" s="248" t="n">
        <f aca="false">Assumptions!B15</f>
        <v>0.015</v>
      </c>
      <c r="C10" s="249" t="n">
        <v>0.015</v>
      </c>
      <c r="D10" s="250" t="n">
        <v>0.01</v>
      </c>
      <c r="E10" s="250" t="n">
        <v>0.02</v>
      </c>
      <c r="F10" s="95" t="s">
        <v>590</v>
      </c>
      <c r="G10" s="78" t="s">
        <v>598</v>
      </c>
      <c r="H10" s="4"/>
      <c r="I10" s="4"/>
    </row>
    <row r="11" customFormat="false" ht="15" hidden="false" customHeight="true" outlineLevel="0" collapsed="false">
      <c r="A11" s="95" t="s">
        <v>599</v>
      </c>
      <c r="B11" s="248" t="n">
        <f aca="false">Assumptions!B16</f>
        <v>0.0074</v>
      </c>
      <c r="C11" s="249" t="n">
        <v>0.0074</v>
      </c>
      <c r="D11" s="250" t="n">
        <v>0.005</v>
      </c>
      <c r="E11" s="250" t="n">
        <v>0.015</v>
      </c>
      <c r="F11" s="95" t="s">
        <v>590</v>
      </c>
      <c r="G11" s="78" t="s">
        <v>600</v>
      </c>
      <c r="H11" s="4"/>
      <c r="I11" s="4"/>
    </row>
    <row r="12" customFormat="false" ht="15" hidden="false" customHeight="true" outlineLevel="0" collapsed="false">
      <c r="A12" s="95" t="s">
        <v>601</v>
      </c>
      <c r="B12" s="248" t="n">
        <f aca="false">Assumptions!B17</f>
        <v>0.0325</v>
      </c>
      <c r="C12" s="249" t="n">
        <v>0.0325</v>
      </c>
      <c r="D12" s="250" t="n">
        <v>0.02</v>
      </c>
      <c r="E12" s="250" t="n">
        <v>0.05</v>
      </c>
      <c r="F12" s="95" t="s">
        <v>590</v>
      </c>
      <c r="G12" s="78" t="s">
        <v>602</v>
      </c>
      <c r="H12" s="4"/>
      <c r="I12" s="4"/>
    </row>
    <row r="13" customFormat="false" ht="15" hidden="false" customHeight="true" outlineLevel="0" collapsed="false">
      <c r="A13" s="95" t="s">
        <v>603</v>
      </c>
      <c r="B13" s="248" t="n">
        <f aca="false">Assumptions!B34</f>
        <v>0.15</v>
      </c>
      <c r="C13" s="249" t="n">
        <v>0.15</v>
      </c>
      <c r="D13" s="250" t="n">
        <v>0.1</v>
      </c>
      <c r="E13" s="250" t="n">
        <v>0.2</v>
      </c>
      <c r="F13" s="95" t="s">
        <v>590</v>
      </c>
      <c r="G13" s="78" t="s">
        <v>604</v>
      </c>
      <c r="H13" s="4"/>
      <c r="I13" s="4"/>
    </row>
    <row r="14" customFormat="false" ht="15" hidden="false" customHeight="true" outlineLevel="0" collapsed="false">
      <c r="A14" s="95" t="s">
        <v>605</v>
      </c>
      <c r="B14" s="239" t="n">
        <f aca="false">Assumptions!B36</f>
        <v>112000</v>
      </c>
      <c r="C14" s="251" t="n">
        <v>130000</v>
      </c>
      <c r="D14" s="252" t="n">
        <v>100000</v>
      </c>
      <c r="E14" s="252" t="n">
        <v>175000</v>
      </c>
      <c r="F14" s="95" t="s">
        <v>606</v>
      </c>
      <c r="G14" s="78" t="s">
        <v>607</v>
      </c>
      <c r="H14" s="4"/>
      <c r="I14" s="4"/>
    </row>
    <row r="15" customFormat="false" ht="15" hidden="false" customHeight="true" outlineLevel="0" collapsed="false">
      <c r="A15" s="95" t="s">
        <v>608</v>
      </c>
      <c r="B15" s="248" t="n">
        <f aca="false">Assumptions!B58</f>
        <v>0.15</v>
      </c>
      <c r="C15" s="249" t="n">
        <v>0.15</v>
      </c>
      <c r="D15" s="250" t="n">
        <v>0.1</v>
      </c>
      <c r="E15" s="250" t="n">
        <v>0.2</v>
      </c>
      <c r="F15" s="95" t="s">
        <v>590</v>
      </c>
      <c r="G15" s="78" t="s">
        <v>609</v>
      </c>
      <c r="H15" s="4"/>
      <c r="I15" s="4"/>
    </row>
    <row r="16" customFormat="false" ht="15" hidden="false" customHeight="true" outlineLevel="0" collapsed="false">
      <c r="A16" s="95" t="s">
        <v>610</v>
      </c>
      <c r="B16" s="248" t="n">
        <f aca="false">Assumptions!B47</f>
        <v>0.01</v>
      </c>
      <c r="C16" s="249" t="n">
        <v>0.01</v>
      </c>
      <c r="D16" s="250" t="n">
        <v>0.005</v>
      </c>
      <c r="E16" s="250" t="n">
        <v>0.02</v>
      </c>
      <c r="F16" s="95" t="s">
        <v>590</v>
      </c>
      <c r="G16" s="78" t="s">
        <v>611</v>
      </c>
      <c r="H16" s="4"/>
      <c r="I16" s="4"/>
    </row>
    <row r="17" customFormat="false" ht="15" hidden="false" customHeight="true" outlineLevel="0" collapsed="false">
      <c r="A17" s="95" t="s">
        <v>612</v>
      </c>
      <c r="B17" s="248" t="n">
        <f aca="false">Assumptions!B48</f>
        <v>0.03</v>
      </c>
      <c r="C17" s="249" t="n">
        <v>0.03</v>
      </c>
      <c r="D17" s="250" t="n">
        <v>0.02</v>
      </c>
      <c r="E17" s="250" t="n">
        <v>0.05</v>
      </c>
      <c r="F17" s="95" t="s">
        <v>590</v>
      </c>
      <c r="G17" s="78" t="s">
        <v>613</v>
      </c>
      <c r="H17" s="4"/>
      <c r="I17" s="4"/>
    </row>
    <row r="18" customFormat="false" ht="15" hidden="false" customHeight="true" outlineLevel="0" collapsed="false">
      <c r="A18" s="95" t="s">
        <v>614</v>
      </c>
      <c r="B18" s="253" t="n">
        <v>10</v>
      </c>
      <c r="C18" s="254" t="n">
        <v>10</v>
      </c>
      <c r="D18" s="255" t="n">
        <v>5</v>
      </c>
      <c r="E18" s="255" t="n">
        <v>15</v>
      </c>
      <c r="F18" s="95" t="s">
        <v>615</v>
      </c>
      <c r="G18" s="78" t="s">
        <v>616</v>
      </c>
      <c r="H18" s="4"/>
      <c r="I18" s="4"/>
    </row>
    <row r="19" customFormat="false" ht="15" hidden="false" customHeight="true" outlineLevel="0" collapsed="false">
      <c r="A19" s="95" t="s">
        <v>617</v>
      </c>
      <c r="B19" s="256" t="n">
        <v>18700</v>
      </c>
      <c r="C19" s="251" t="n">
        <v>18700</v>
      </c>
      <c r="D19" s="252" t="n">
        <v>15000</v>
      </c>
      <c r="E19" s="252" t="n">
        <v>25000</v>
      </c>
      <c r="F19" s="95" t="s">
        <v>606</v>
      </c>
      <c r="G19" s="78" t="s">
        <v>618</v>
      </c>
      <c r="H19" s="4"/>
      <c r="I19" s="4"/>
    </row>
    <row r="20" customFormat="false" ht="1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5" t="s">
        <v>619</v>
      </c>
      <c r="B22" s="5"/>
      <c r="C22" s="5"/>
      <c r="D22" s="5"/>
      <c r="E22" s="5"/>
      <c r="F22" s="5"/>
      <c r="G22" s="5"/>
      <c r="H22" s="4"/>
      <c r="I22" s="4"/>
    </row>
    <row r="23" customFormat="false" ht="15" hidden="false" customHeight="true" outlineLevel="0" collapsed="false">
      <c r="A23" s="38" t="s">
        <v>337</v>
      </c>
      <c r="B23" s="38" t="s">
        <v>343</v>
      </c>
      <c r="C23" s="38" t="s">
        <v>620</v>
      </c>
      <c r="D23" s="38" t="s">
        <v>348</v>
      </c>
      <c r="E23" s="38" t="s">
        <v>340</v>
      </c>
      <c r="F23" s="38" t="s">
        <v>621</v>
      </c>
      <c r="G23" s="38" t="s">
        <v>347</v>
      </c>
      <c r="H23" s="4"/>
      <c r="I23" s="4"/>
    </row>
    <row r="24" customFormat="false" ht="15" hidden="false" customHeight="true" outlineLevel="0" collapsed="false">
      <c r="A24" s="95" t="s">
        <v>7</v>
      </c>
      <c r="B24" s="257" t="str">
        <f aca="false">Projects!$G$2</f>
        <v>Yes</v>
      </c>
      <c r="C24" s="256" t="n">
        <v>5321971</v>
      </c>
      <c r="D24" s="95" t="s">
        <v>622</v>
      </c>
      <c r="E24" s="95" t="s">
        <v>623</v>
      </c>
      <c r="F24" s="95" t="s">
        <v>356</v>
      </c>
      <c r="G24" s="95" t="s">
        <v>356</v>
      </c>
      <c r="H24" s="4"/>
      <c r="I24" s="4"/>
    </row>
    <row r="25" customFormat="false" ht="15" hidden="false" customHeight="true" outlineLevel="0" collapsed="false">
      <c r="A25" s="95" t="s">
        <v>8</v>
      </c>
      <c r="B25" s="257" t="str">
        <f aca="false">Projects!$G$3</f>
        <v>Yes</v>
      </c>
      <c r="C25" s="256" t="n">
        <v>19982132</v>
      </c>
      <c r="D25" s="95" t="s">
        <v>622</v>
      </c>
      <c r="E25" s="95" t="s">
        <v>624</v>
      </c>
      <c r="F25" s="95" t="s">
        <v>356</v>
      </c>
      <c r="G25" s="95" t="s">
        <v>356</v>
      </c>
      <c r="H25" s="4"/>
      <c r="I25" s="4"/>
    </row>
    <row r="26" customFormat="false" ht="15" hidden="false" customHeight="true" outlineLevel="0" collapsed="false">
      <c r="A26" s="95" t="s">
        <v>9</v>
      </c>
      <c r="B26" s="257" t="str">
        <f aca="false">Projects!$G$4</f>
        <v>Yes</v>
      </c>
      <c r="C26" s="256" t="n">
        <v>11673185</v>
      </c>
      <c r="D26" s="95" t="s">
        <v>625</v>
      </c>
      <c r="E26" s="95" t="s">
        <v>626</v>
      </c>
      <c r="F26" s="95" t="s">
        <v>356</v>
      </c>
      <c r="G26" s="95" t="s">
        <v>357</v>
      </c>
      <c r="H26" s="4"/>
      <c r="I26" s="4"/>
    </row>
    <row r="27" customFormat="false" ht="15" hidden="false" customHeight="true" outlineLevel="0" collapsed="false">
      <c r="A27" s="95" t="s">
        <v>10</v>
      </c>
      <c r="B27" s="257" t="str">
        <f aca="false">Projects!$G$5</f>
        <v>Yes</v>
      </c>
      <c r="C27" s="256" t="n">
        <v>13492534</v>
      </c>
      <c r="D27" s="95" t="s">
        <v>625</v>
      </c>
      <c r="E27" s="95" t="s">
        <v>626</v>
      </c>
      <c r="F27" s="95" t="s">
        <v>356</v>
      </c>
      <c r="G27" s="95" t="s">
        <v>357</v>
      </c>
      <c r="H27" s="4"/>
      <c r="I27" s="4"/>
    </row>
    <row r="28" customFormat="false" ht="15" hidden="false" customHeight="true" outlineLevel="0" collapsed="false">
      <c r="A28" s="95" t="s">
        <v>11</v>
      </c>
      <c r="B28" s="257" t="str">
        <f aca="false">Projects!$G$6</f>
        <v>Yes</v>
      </c>
      <c r="C28" s="256" t="n">
        <v>4052747</v>
      </c>
      <c r="D28" s="95" t="s">
        <v>625</v>
      </c>
      <c r="E28" s="95" t="s">
        <v>627</v>
      </c>
      <c r="F28" s="95" t="s">
        <v>356</v>
      </c>
      <c r="G28" s="95" t="s">
        <v>357</v>
      </c>
      <c r="H28" s="4"/>
      <c r="I28" s="4"/>
    </row>
    <row r="29" customFormat="false" ht="15" hidden="false" customHeight="true" outlineLevel="0" collapsed="false">
      <c r="A29" s="95" t="s">
        <v>12</v>
      </c>
      <c r="B29" s="257" t="str">
        <f aca="false">Projects!$G$7</f>
        <v>Yes</v>
      </c>
      <c r="C29" s="256" t="n">
        <v>42794765</v>
      </c>
      <c r="D29" s="95" t="s">
        <v>622</v>
      </c>
      <c r="E29" s="95" t="s">
        <v>628</v>
      </c>
      <c r="F29" s="95" t="s">
        <v>357</v>
      </c>
      <c r="G29" s="95" t="s">
        <v>357</v>
      </c>
      <c r="H29" s="4"/>
      <c r="I29" s="4"/>
    </row>
    <row r="30" customFormat="false" ht="15" hidden="false" customHeight="true" outlineLevel="0" collapsed="false">
      <c r="A30" s="95" t="s">
        <v>13</v>
      </c>
      <c r="B30" s="257" t="str">
        <f aca="false">Projects!$G$8</f>
        <v>Yes</v>
      </c>
      <c r="C30" s="256" t="n">
        <v>12993776.05</v>
      </c>
      <c r="D30" s="95" t="s">
        <v>625</v>
      </c>
      <c r="E30" s="95" t="s">
        <v>627</v>
      </c>
      <c r="F30" s="95" t="s">
        <v>356</v>
      </c>
      <c r="G30" s="95" t="s">
        <v>357</v>
      </c>
      <c r="H30" s="4"/>
      <c r="I30" s="4"/>
    </row>
    <row r="31" customFormat="false" ht="15" hidden="false" customHeight="true" outlineLevel="0" collapsed="false">
      <c r="A31" s="95" t="s">
        <v>14</v>
      </c>
      <c r="B31" s="257" t="str">
        <f aca="false">Projects!$G$9</f>
        <v>Yes</v>
      </c>
      <c r="C31" s="256" t="n">
        <v>14337010.8</v>
      </c>
      <c r="D31" s="95" t="s">
        <v>625</v>
      </c>
      <c r="E31" s="95" t="s">
        <v>629</v>
      </c>
      <c r="F31" s="95" t="s">
        <v>356</v>
      </c>
      <c r="G31" s="95" t="s">
        <v>357</v>
      </c>
      <c r="H31" s="4"/>
      <c r="I31" s="4"/>
    </row>
    <row r="32" customFormat="false" ht="15" hidden="false" customHeight="true" outlineLevel="0" collapsed="false">
      <c r="A32" s="95" t="s">
        <v>15</v>
      </c>
      <c r="B32" s="257" t="str">
        <f aca="false">Projects!$G$10</f>
        <v>Yes</v>
      </c>
      <c r="C32" s="256" t="n">
        <v>21263405</v>
      </c>
      <c r="D32" s="95" t="s">
        <v>625</v>
      </c>
      <c r="E32" s="95" t="s">
        <v>627</v>
      </c>
      <c r="F32" s="95" t="s">
        <v>356</v>
      </c>
      <c r="G32" s="95" t="s">
        <v>357</v>
      </c>
      <c r="H32" s="4"/>
      <c r="I32" s="4"/>
    </row>
    <row r="33" customFormat="false" ht="15" hidden="false" customHeight="true" outlineLevel="0" collapsed="false">
      <c r="A33" s="95" t="s">
        <v>16</v>
      </c>
      <c r="B33" s="257" t="str">
        <f aca="false">Projects!$G$11</f>
        <v>Yes</v>
      </c>
      <c r="C33" s="256" t="n">
        <v>9577109</v>
      </c>
      <c r="D33" s="95" t="s">
        <v>622</v>
      </c>
      <c r="E33" s="95" t="s">
        <v>627</v>
      </c>
      <c r="F33" s="95" t="s">
        <v>357</v>
      </c>
      <c r="G33" s="95" t="s">
        <v>356</v>
      </c>
      <c r="H33" s="4"/>
      <c r="I33" s="4"/>
    </row>
    <row r="34" customFormat="false" ht="15" hidden="false" customHeight="true" outlineLevel="0" collapsed="false">
      <c r="A34" s="95" t="s">
        <v>17</v>
      </c>
      <c r="B34" s="257" t="str">
        <f aca="false">Projects!$G$12</f>
        <v>Yes</v>
      </c>
      <c r="C34" s="256" t="n">
        <v>7545203</v>
      </c>
      <c r="D34" s="95" t="s">
        <v>622</v>
      </c>
      <c r="E34" s="95" t="s">
        <v>627</v>
      </c>
      <c r="F34" s="95" t="s">
        <v>357</v>
      </c>
      <c r="G34" s="95" t="s">
        <v>356</v>
      </c>
      <c r="H34" s="4"/>
      <c r="I34" s="4"/>
    </row>
    <row r="35" customFormat="false" ht="15" hidden="false" customHeight="true" outlineLevel="0" collapsed="false">
      <c r="A35" s="95" t="s">
        <v>18</v>
      </c>
      <c r="B35" s="257" t="str">
        <f aca="false">Projects!$G$13</f>
        <v>Yes</v>
      </c>
      <c r="C35" s="256" t="n">
        <v>45266770</v>
      </c>
      <c r="D35" s="95" t="s">
        <v>622</v>
      </c>
      <c r="E35" s="95" t="s">
        <v>629</v>
      </c>
      <c r="F35" s="95" t="s">
        <v>357</v>
      </c>
      <c r="G35" s="95" t="s">
        <v>357</v>
      </c>
      <c r="H35" s="4"/>
      <c r="I35" s="4"/>
    </row>
    <row r="36" customFormat="false" ht="15" hidden="false" customHeight="true" outlineLevel="0" collapsed="false">
      <c r="A36" s="95" t="s">
        <v>19</v>
      </c>
      <c r="B36" s="257" t="str">
        <f aca="false">Projects!$G$14</f>
        <v>Yes</v>
      </c>
      <c r="C36" s="256" t="n">
        <v>41354632</v>
      </c>
      <c r="D36" s="95" t="s">
        <v>622</v>
      </c>
      <c r="E36" s="95" t="s">
        <v>629</v>
      </c>
      <c r="F36" s="95" t="s">
        <v>357</v>
      </c>
      <c r="G36" s="95" t="s">
        <v>357</v>
      </c>
      <c r="H36" s="4"/>
      <c r="I36" s="4"/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</row>
    <row r="39" customFormat="false" ht="15" hidden="false" customHeight="true" outlineLevel="0" collapsed="false">
      <c r="A39" s="5" t="s">
        <v>630</v>
      </c>
      <c r="B39" s="5"/>
      <c r="C39" s="5"/>
      <c r="D39" s="5"/>
      <c r="E39" s="5"/>
      <c r="F39" s="5"/>
      <c r="G39" s="5"/>
      <c r="H39" s="5"/>
      <c r="I39" s="5"/>
    </row>
    <row r="40" customFormat="false" ht="15" hidden="false" customHeight="true" outlineLevel="0" collapsed="false">
      <c r="A40" s="38" t="s">
        <v>631</v>
      </c>
      <c r="B40" s="258" t="s">
        <v>199</v>
      </c>
      <c r="C40" s="258" t="s">
        <v>200</v>
      </c>
      <c r="D40" s="258" t="s">
        <v>201</v>
      </c>
      <c r="E40" s="258" t="s">
        <v>202</v>
      </c>
      <c r="F40" s="258" t="s">
        <v>203</v>
      </c>
      <c r="G40" s="258" t="s">
        <v>204</v>
      </c>
      <c r="H40" s="258" t="s">
        <v>205</v>
      </c>
      <c r="I40" s="258" t="s">
        <v>206</v>
      </c>
    </row>
    <row r="41" customFormat="false" ht="15" hidden="false" customHeight="true" outlineLevel="0" collapsed="false">
      <c r="A41" s="240" t="s">
        <v>632</v>
      </c>
      <c r="B41" s="241" t="n">
        <f aca="false">'Annual Summary'!B7</f>
        <v>61021489.9854198</v>
      </c>
      <c r="C41" s="241" t="n">
        <f aca="false">'Annual Summary'!C7</f>
        <v>89676706.7576108</v>
      </c>
      <c r="D41" s="241" t="n">
        <f aca="false">'Annual Summary'!D7</f>
        <v>62121316.5435783</v>
      </c>
      <c r="E41" s="241" t="n">
        <f aca="false">'Annual Summary'!E7</f>
        <v>32931050.4945238</v>
      </c>
      <c r="F41" s="241" t="n">
        <f aca="false">'Annual Summary'!F7</f>
        <v>13258749.920152</v>
      </c>
      <c r="G41" s="241" t="n">
        <f aca="false">'Annual Summary'!G7</f>
        <v>0</v>
      </c>
      <c r="H41" s="241" t="n">
        <f aca="false">'Annual Summary'!H7</f>
        <v>0</v>
      </c>
      <c r="I41" s="241" t="n">
        <f aca="false">'Annual Summary'!I7</f>
        <v>0</v>
      </c>
    </row>
    <row r="42" customFormat="false" ht="15" hidden="false" customHeight="true" outlineLevel="0" collapsed="false">
      <c r="A42" s="49" t="s">
        <v>94</v>
      </c>
      <c r="B42" s="259" t="n">
        <f aca="false">'Annual Summary'!B20</f>
        <v>1765612.63531405</v>
      </c>
      <c r="C42" s="259" t="n">
        <f aca="false">'Annual Summary'!C20</f>
        <v>2051924.36397049</v>
      </c>
      <c r="D42" s="259" t="n">
        <f aca="false">'Annual Summary'!D20</f>
        <v>525190.909420957</v>
      </c>
      <c r="E42" s="259" t="n">
        <f aca="false">'Annual Summary'!E20</f>
        <v>-2048293.95617075</v>
      </c>
      <c r="F42" s="259" t="n">
        <f aca="false">'Annual Summary'!F20</f>
        <v>-4446018.03519552</v>
      </c>
      <c r="G42" s="259" t="n">
        <f aca="false">'Annual Summary'!G20</f>
        <v>-6532874.56700124</v>
      </c>
      <c r="H42" s="259" t="n">
        <f aca="false">'Annual Summary'!H20</f>
        <v>-6638612.05834126</v>
      </c>
      <c r="I42" s="259" t="n">
        <f aca="false">'Annual Summary'!I20</f>
        <v>-6746464.29950809</v>
      </c>
    </row>
    <row r="43" customFormat="false" ht="15" hidden="false" customHeight="true" outlineLevel="0" collapsed="false">
      <c r="A43" s="95" t="s">
        <v>633</v>
      </c>
      <c r="B43" s="248" t="n">
        <f aca="false">'Annual Summary'!B21</f>
        <v>0.0289342760351463</v>
      </c>
      <c r="C43" s="248" t="n">
        <f aca="false">'Annual Summary'!C21</f>
        <v>0.0228813527855866</v>
      </c>
      <c r="D43" s="248" t="n">
        <f aca="false">'Annual Summary'!D21</f>
        <v>0.00845427847705922</v>
      </c>
      <c r="E43" s="248" t="n">
        <f aca="false">'Annual Summary'!E21</f>
        <v>-0.0621994720912826</v>
      </c>
      <c r="F43" s="248" t="n">
        <f aca="false">'Annual Summary'!F21</f>
        <v>-0.335327090560627</v>
      </c>
      <c r="G43" s="248" t="n">
        <f aca="false">'Annual Summary'!G21</f>
        <v>0</v>
      </c>
      <c r="H43" s="248" t="n">
        <f aca="false">'Annual Summary'!H21</f>
        <v>0</v>
      </c>
      <c r="I43" s="248" t="n">
        <f aca="false">'Annual Summary'!I21</f>
        <v>0</v>
      </c>
    </row>
    <row r="44" customFormat="false" ht="1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</row>
    <row r="45" customFormat="false" ht="15" hidden="false" customHeight="true" outlineLevel="0" collapsed="false">
      <c r="A45" s="240" t="s">
        <v>96</v>
      </c>
      <c r="B45" s="241" t="n">
        <f aca="false">'Annual Summary'!B23</f>
        <v>1338352.12714286</v>
      </c>
      <c r="C45" s="241" t="n">
        <f aca="false">'Annual Summary'!C23</f>
        <v>891535.162857143</v>
      </c>
      <c r="D45" s="241" t="n">
        <f aca="false">'Annual Summary'!D23</f>
        <v>217546.84</v>
      </c>
      <c r="E45" s="241" t="n">
        <f aca="false">'Annual Summary'!E23</f>
        <v>104155</v>
      </c>
      <c r="F45" s="241" t="n">
        <f aca="false">'Annual Summary'!F23</f>
        <v>1276957</v>
      </c>
      <c r="G45" s="241" t="n">
        <f aca="false">'Annual Summary'!G23</f>
        <v>546560</v>
      </c>
      <c r="H45" s="241" t="n">
        <f aca="false">'Annual Summary'!H23</f>
        <v>819993</v>
      </c>
      <c r="I45" s="241" t="n">
        <f aca="false">'Annual Summary'!I23</f>
        <v>2310160</v>
      </c>
    </row>
    <row r="46" customFormat="false" ht="15" hidden="false" customHeight="true" outlineLevel="0" collapsed="false">
      <c r="A46" s="49" t="s">
        <v>133</v>
      </c>
      <c r="B46" s="259" t="n">
        <f aca="false">'Annual Summary'!B25</f>
        <v>-715282.072857143</v>
      </c>
      <c r="C46" s="259" t="n">
        <f aca="false">'Annual Summary'!C25</f>
        <v>-59602.1536428573</v>
      </c>
      <c r="D46" s="259" t="n">
        <f aca="false">'Annual Summary'!D25</f>
        <v>-752613.22283</v>
      </c>
      <c r="E46" s="259" t="n">
        <f aca="false">'Annual Summary'!E25</f>
        <v>-1048773.2640866</v>
      </c>
      <c r="F46" s="259" t="n">
        <f aca="false">'Annual Summary'!F25</f>
        <v>-1009354.52936833</v>
      </c>
      <c r="G46" s="259" t="n">
        <f aca="false">'Annual Summary'!G25</f>
        <v>-908529.269955699</v>
      </c>
      <c r="H46" s="259" t="n">
        <f aca="false">'Annual Summary'!H25</f>
        <v>-761610.452354813</v>
      </c>
      <c r="I46" s="259" t="n">
        <f aca="false">'Annual Summary'!I25</f>
        <v>432720.92520457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</row>
    <row r="48" customFormat="false" ht="15" hidden="false" customHeight="true" outlineLevel="0" collapsed="false">
      <c r="A48" s="49" t="s">
        <v>137</v>
      </c>
      <c r="B48" s="259" t="n">
        <f aca="false">'Annual Summary'!B27</f>
        <v>1050330.56245691</v>
      </c>
      <c r="C48" s="259" t="n">
        <f aca="false">'Annual Summary'!C27</f>
        <v>1992322.21032763</v>
      </c>
      <c r="D48" s="259" t="n">
        <f aca="false">'Annual Summary'!D27</f>
        <v>-227422.313409044</v>
      </c>
      <c r="E48" s="259" t="n">
        <f aca="false">'Annual Summary'!E27</f>
        <v>-3097067.22025735</v>
      </c>
      <c r="F48" s="259" t="n">
        <f aca="false">'Annual Summary'!F27</f>
        <v>-5455372.56456385</v>
      </c>
      <c r="G48" s="259" t="n">
        <f aca="false">'Annual Summary'!G27</f>
        <v>-7441403.83695693</v>
      </c>
      <c r="H48" s="259" t="n">
        <f aca="false">'Annual Summary'!H27</f>
        <v>-7400222.51069607</v>
      </c>
      <c r="I48" s="259" t="n">
        <f aca="false">'Annual Summary'!I27</f>
        <v>-6313743.37430352</v>
      </c>
    </row>
    <row r="49" customFormat="false" ht="1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</row>
    <row r="50" customFormat="false" ht="15" hidden="false" customHeight="true" outlineLevel="0" collapsed="false">
      <c r="A50" s="260" t="s">
        <v>191</v>
      </c>
      <c r="B50" s="261" t="n">
        <f aca="false">'Annual Summary'!B49</f>
        <v>1571049.35926167</v>
      </c>
      <c r="C50" s="261" t="n">
        <f aca="false">'Annual Summary'!C49</f>
        <v>2120984.38408891</v>
      </c>
      <c r="D50" s="261" t="n">
        <f aca="false">'Annual Summary'!D49</f>
        <v>1178864.80160189</v>
      </c>
      <c r="E50" s="261" t="n">
        <f aca="false">'Annual Summary'!E49</f>
        <v>-746183.797280717</v>
      </c>
      <c r="F50" s="261" t="n">
        <f aca="false">'Annual Summary'!F49</f>
        <v>-5735832.38467257</v>
      </c>
      <c r="G50" s="261" t="n">
        <f aca="false">'Annual Summary'!G49</f>
        <v>-13168554.9826032</v>
      </c>
      <c r="H50" s="261" t="n">
        <f aca="false">'Annual Summary'!H49</f>
        <v>-20559922.6294925</v>
      </c>
      <c r="I50" s="261" t="n">
        <f aca="false">'Annual Summary'!I49</f>
        <v>-26864634.0427131</v>
      </c>
    </row>
    <row r="51" customFormat="false" ht="15" hidden="false" customHeight="true" outlineLevel="0" collapsed="false">
      <c r="A51" s="260" t="s">
        <v>180</v>
      </c>
      <c r="B51" s="261" t="n">
        <f aca="false">'Annual Summary'!B46</f>
        <v>1588066.22189651</v>
      </c>
      <c r="C51" s="261" t="n">
        <f aca="false">'Annual Summary'!C46</f>
        <v>3689305.96643115</v>
      </c>
      <c r="D51" s="261" t="n">
        <f aca="false">'Annual Summary'!D46</f>
        <v>4274892.38174245</v>
      </c>
      <c r="E51" s="261" t="n">
        <f aca="false">'Annual Summary'!E46</f>
        <v>3019409.68924575</v>
      </c>
      <c r="F51" s="261" t="n">
        <f aca="false">'Annual Summary'!F46</f>
        <v>-1119172.04625611</v>
      </c>
      <c r="G51" s="261" t="n">
        <f aca="false">'Annual Summary'!G46</f>
        <v>-7652046.61325735</v>
      </c>
      <c r="H51" s="261" t="n">
        <f aca="false">'Annual Summary'!H46</f>
        <v>-14290658.6715986</v>
      </c>
      <c r="I51" s="261" t="n">
        <f aca="false">'Annual Summary'!I46</f>
        <v>-21037122.9711067</v>
      </c>
    </row>
    <row r="52" customFormat="false" ht="15" hidden="false" customHeight="true" outlineLevel="0" collapsed="false">
      <c r="A52" s="260" t="s">
        <v>187</v>
      </c>
      <c r="B52" s="261" t="n">
        <f aca="false">'Annual Summary'!B47</f>
        <v>211768.977142857</v>
      </c>
      <c r="C52" s="261" t="n">
        <f aca="false">'Annual Summary'!C47</f>
        <v>-1441833.1765</v>
      </c>
      <c r="D52" s="261" t="n">
        <f aca="false">'Annual Summary'!D47</f>
        <v>-3096427.8296086</v>
      </c>
      <c r="E52" s="261" t="n">
        <f aca="false">'Annual Summary'!E47</f>
        <v>-4145201.0936952</v>
      </c>
      <c r="F52" s="261" t="n">
        <f aca="false">'Annual Summary'!F47</f>
        <v>-5154555.62306353</v>
      </c>
      <c r="G52" s="261" t="n">
        <f aca="false">'Annual Summary'!G47</f>
        <v>-6063084.89301923</v>
      </c>
      <c r="H52" s="261" t="n">
        <f aca="false">'Annual Summary'!H47</f>
        <v>-6824695.34537404</v>
      </c>
      <c r="I52" s="261" t="n">
        <f aca="false">'Annual Summary'!I47</f>
        <v>-6391974.42016947</v>
      </c>
    </row>
    <row r="53" customFormat="false" ht="1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</row>
    <row r="54" customFormat="false" ht="15" hidden="false" customHeight="true" outlineLevel="0" collapsed="false">
      <c r="A54" s="95" t="s">
        <v>169</v>
      </c>
      <c r="B54" s="239" t="n">
        <f aca="false">'Annual Summary'!B44</f>
        <v>86032873.6923599</v>
      </c>
      <c r="C54" s="239" t="n">
        <f aca="false">'Annual Summary'!C44</f>
        <v>52993542.7870939</v>
      </c>
      <c r="D54" s="239" t="n">
        <f aca="false">'Annual Summary'!D44</f>
        <v>45500358.0697596</v>
      </c>
      <c r="E54" s="239" t="n">
        <f aca="false">'Annual Summary'!E44</f>
        <v>13258584.501624</v>
      </c>
      <c r="F54" s="239" t="n">
        <f aca="false">'Annual Summary'!F44</f>
        <v>0</v>
      </c>
      <c r="G54" s="239" t="n">
        <f aca="false">'Annual Summary'!G44</f>
        <v>0</v>
      </c>
      <c r="H54" s="239" t="n">
        <f aca="false">'Annual Summary'!H44</f>
        <v>0</v>
      </c>
      <c r="I54" s="239" t="n">
        <f aca="false">'Annual Summary'!I44</f>
        <v>0</v>
      </c>
    </row>
    <row r="55" customFormat="false" ht="15" hidden="false" customHeight="true" outlineLevel="0" collapsed="false">
      <c r="A55" s="95" t="s">
        <v>634</v>
      </c>
      <c r="B55" s="239" t="n">
        <f aca="false">'Annual Summary'!B42</f>
        <v>2378399.92018311</v>
      </c>
      <c r="C55" s="239" t="n">
        <f aca="false">'Annual Summary'!C42</f>
        <v>1714451.09866009</v>
      </c>
      <c r="D55" s="239" t="n">
        <f aca="false">'Annual Summary'!D42</f>
        <v>1035128.51554915</v>
      </c>
      <c r="E55" s="239" t="n">
        <f aca="false">'Annual Summary'!E42</f>
        <v>1199352.08415979</v>
      </c>
      <c r="F55" s="239" t="n">
        <f aca="false">'Annual Summary'!F42</f>
        <v>975331.495449082</v>
      </c>
      <c r="G55" s="239" t="n">
        <f aca="false">'Annual Summary'!G42</f>
        <v>820735.28594806</v>
      </c>
      <c r="H55" s="239" t="n">
        <f aca="false">'Annual Summary'!H42</f>
        <v>621470.381107174</v>
      </c>
      <c r="I55" s="239" t="n">
        <f aca="false">'Annual Summary'!I42</f>
        <v>233637.0833122</v>
      </c>
    </row>
    <row r="56" customFormat="false" ht="1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</row>
    <row r="58" customFormat="false" ht="15" hidden="false" customHeight="true" outlineLevel="0" collapsed="false">
      <c r="A58" s="5" t="s">
        <v>635</v>
      </c>
      <c r="B58" s="5"/>
      <c r="C58" s="5"/>
      <c r="D58" s="5"/>
      <c r="E58" s="5"/>
      <c r="F58" s="5"/>
      <c r="G58" s="5"/>
      <c r="H58" s="4"/>
      <c r="I58" s="4"/>
    </row>
    <row r="59" customFormat="false" ht="15" hidden="false" customHeight="true" outlineLevel="0" collapsed="false">
      <c r="A59" s="78" t="s">
        <v>636</v>
      </c>
      <c r="B59" s="4"/>
      <c r="C59" s="4"/>
      <c r="D59" s="4"/>
      <c r="E59" s="4"/>
      <c r="F59" s="4"/>
      <c r="G59" s="4"/>
      <c r="H59" s="4"/>
      <c r="I59" s="4"/>
    </row>
    <row r="60" customFormat="false" ht="15" hidden="false" customHeight="true" outlineLevel="0" collapsed="false">
      <c r="A60" s="262" t="s">
        <v>637</v>
      </c>
      <c r="B60" s="263" t="n">
        <v>0.07</v>
      </c>
      <c r="C60" s="263" t="n">
        <v>0.08</v>
      </c>
      <c r="D60" s="263" t="n">
        <v>0.092</v>
      </c>
      <c r="E60" s="263" t="n">
        <v>0.1</v>
      </c>
      <c r="F60" s="263" t="n">
        <v>0.12</v>
      </c>
      <c r="G60" s="4"/>
      <c r="H60" s="4"/>
      <c r="I60" s="4"/>
    </row>
    <row r="61" customFormat="false" ht="15" hidden="false" customHeight="true" outlineLevel="0" collapsed="false">
      <c r="A61" s="264" t="n">
        <v>0.1</v>
      </c>
      <c r="B61" s="252" t="n">
        <v>21535794</v>
      </c>
      <c r="C61" s="252" t="n">
        <v>21353287</v>
      </c>
      <c r="D61" s="252" t="n">
        <v>21138321</v>
      </c>
      <c r="E61" s="252" t="n">
        <v>20997399</v>
      </c>
      <c r="F61" s="252" t="n">
        <v>20653180</v>
      </c>
      <c r="G61" s="4"/>
      <c r="H61" s="4"/>
      <c r="I61" s="4"/>
    </row>
    <row r="62" customFormat="false" ht="15" hidden="false" customHeight="true" outlineLevel="0" collapsed="false">
      <c r="A62" s="264" t="n">
        <v>0.12</v>
      </c>
      <c r="B62" s="252" t="n">
        <v>25408618</v>
      </c>
      <c r="C62" s="252" t="n">
        <v>25196879</v>
      </c>
      <c r="D62" s="252" t="n">
        <v>24947405</v>
      </c>
      <c r="E62" s="252" t="n">
        <v>24783816</v>
      </c>
      <c r="F62" s="252" t="n">
        <v>24384077</v>
      </c>
      <c r="G62" s="4"/>
      <c r="H62" s="4"/>
      <c r="I62" s="4"/>
    </row>
    <row r="63" customFormat="false" ht="15" hidden="false" customHeight="true" outlineLevel="0" collapsed="false">
      <c r="A63" s="264" t="n">
        <v>0.14</v>
      </c>
      <c r="B63" s="252" t="n">
        <v>29153414</v>
      </c>
      <c r="C63" s="252" t="n">
        <v>28914451</v>
      </c>
      <c r="D63" s="265" t="n">
        <v>28632817</v>
      </c>
      <c r="E63" s="252" t="n">
        <v>28448089</v>
      </c>
      <c r="F63" s="252" t="n">
        <v>27996532</v>
      </c>
      <c r="G63" s="4"/>
      <c r="H63" s="4"/>
      <c r="I63" s="4"/>
    </row>
    <row r="64" customFormat="false" ht="15" hidden="false" customHeight="true" outlineLevel="0" collapsed="false">
      <c r="A64" s="264" t="n">
        <v>0.16</v>
      </c>
      <c r="B64" s="252" t="n">
        <v>32776428</v>
      </c>
      <c r="C64" s="252" t="n">
        <v>32512102</v>
      </c>
      <c r="D64" s="252" t="n">
        <v>32200484</v>
      </c>
      <c r="E64" s="252" t="n">
        <v>31996037</v>
      </c>
      <c r="F64" s="252" t="n">
        <v>31496099</v>
      </c>
      <c r="G64" s="4"/>
      <c r="H64" s="4"/>
      <c r="I64" s="4"/>
    </row>
    <row r="65" customFormat="false" ht="15" hidden="false" customHeight="true" outlineLevel="0" collapsed="false">
      <c r="A65" s="264" t="n">
        <v>0.18</v>
      </c>
      <c r="B65" s="252" t="n">
        <v>36283506</v>
      </c>
      <c r="C65" s="252" t="n">
        <v>35995542</v>
      </c>
      <c r="D65" s="252" t="n">
        <v>35655961</v>
      </c>
      <c r="E65" s="252" t="n">
        <v>35433111</v>
      </c>
      <c r="F65" s="252" t="n">
        <v>34887986</v>
      </c>
      <c r="G65" s="4"/>
      <c r="H65" s="4"/>
      <c r="I65" s="4"/>
    </row>
    <row r="66" customFormat="false" ht="1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</row>
    <row r="67" customFormat="false" ht="1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</row>
    <row r="68" customFormat="false" ht="15" hidden="false" customHeight="true" outlineLevel="0" collapsed="false">
      <c r="A68" s="5" t="s">
        <v>638</v>
      </c>
      <c r="B68" s="5"/>
      <c r="C68" s="5"/>
      <c r="D68" s="5"/>
      <c r="E68" s="5"/>
      <c r="F68" s="5"/>
      <c r="G68" s="4"/>
      <c r="H68" s="4"/>
      <c r="I68" s="4"/>
    </row>
    <row r="69" customFormat="false" ht="15" hidden="false" customHeight="true" outlineLevel="0" collapsed="false">
      <c r="A69" s="38" t="s">
        <v>639</v>
      </c>
      <c r="B69" s="38" t="s">
        <v>640</v>
      </c>
      <c r="C69" s="38" t="s">
        <v>641</v>
      </c>
      <c r="D69" s="38" t="s">
        <v>642</v>
      </c>
      <c r="E69" s="38" t="s">
        <v>643</v>
      </c>
      <c r="F69" s="38" t="s">
        <v>644</v>
      </c>
      <c r="G69" s="4"/>
      <c r="H69" s="4"/>
      <c r="I69" s="4"/>
    </row>
    <row r="70" customFormat="false" ht="15" hidden="false" customHeight="true" outlineLevel="0" collapsed="false">
      <c r="A70" s="95" t="s">
        <v>645</v>
      </c>
      <c r="B70" s="256" t="n">
        <f aca="false">'Annual Summary'!B46</f>
        <v>1588066.22189651</v>
      </c>
      <c r="C70" s="252" t="n">
        <f aca="false">'Annual Summary'!C46</f>
        <v>3689305.96643115</v>
      </c>
      <c r="D70" s="252" t="n">
        <f aca="false">'Annual Summary'!E46</f>
        <v>3019409.68924575</v>
      </c>
      <c r="E70" s="252" t="n">
        <f aca="false">'Annual Summary'!G46</f>
        <v>-7652046.61325735</v>
      </c>
      <c r="F70" s="252" t="n">
        <f aca="false">'Annual Summary'!I46</f>
        <v>-21037122.9711067</v>
      </c>
      <c r="G70" s="4"/>
      <c r="H70" s="4"/>
      <c r="I70" s="4"/>
    </row>
    <row r="71" customFormat="false" ht="15" hidden="false" customHeight="true" outlineLevel="0" collapsed="false">
      <c r="A71" s="95" t="s">
        <v>646</v>
      </c>
      <c r="B71" s="256" t="n">
        <f aca="false">'Annual Summary'!B47</f>
        <v>211768.977142857</v>
      </c>
      <c r="C71" s="252" t="n">
        <f aca="false">'Annual Summary'!C47</f>
        <v>-1441833.1765</v>
      </c>
      <c r="D71" s="252" t="n">
        <f aca="false">'Annual Summary'!E47</f>
        <v>-4145201.0936952</v>
      </c>
      <c r="E71" s="252" t="n">
        <f aca="false">'Annual Summary'!G47</f>
        <v>-6063084.89301923</v>
      </c>
      <c r="F71" s="252" t="n">
        <f aca="false">'Annual Summary'!I47</f>
        <v>-6391974.42016947</v>
      </c>
      <c r="G71" s="4"/>
      <c r="H71" s="4"/>
      <c r="I71" s="4"/>
    </row>
    <row r="72" customFormat="false" ht="15" hidden="false" customHeight="true" outlineLevel="0" collapsed="false">
      <c r="A72" s="260" t="s">
        <v>647</v>
      </c>
      <c r="B72" s="266" t="n">
        <f aca="false">'Annual Summary'!B49</f>
        <v>1571049.35926167</v>
      </c>
      <c r="C72" s="267" t="n">
        <f aca="false">'Annual Summary'!C49</f>
        <v>2120984.38408891</v>
      </c>
      <c r="D72" s="267" t="n">
        <f aca="false">'Annual Summary'!E49</f>
        <v>-746183.797280717</v>
      </c>
      <c r="E72" s="267" t="n">
        <f aca="false">'Annual Summary'!G49</f>
        <v>-13168554.9826032</v>
      </c>
      <c r="F72" s="267" t="n">
        <f aca="false">'Annual Summary'!I49</f>
        <v>-26864634.0427131</v>
      </c>
      <c r="G72" s="4"/>
      <c r="H72" s="4"/>
      <c r="I72" s="4"/>
    </row>
    <row r="73" customFormat="false" ht="1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</row>
    <row r="75" customFormat="false" ht="15" hidden="false" customHeight="true" outlineLevel="0" collapsed="false">
      <c r="A75" s="5" t="s">
        <v>648</v>
      </c>
      <c r="B75" s="5"/>
      <c r="C75" s="5"/>
      <c r="D75" s="5"/>
      <c r="E75" s="5"/>
      <c r="F75" s="5"/>
      <c r="G75" s="4"/>
      <c r="H75" s="4"/>
      <c r="I75" s="4"/>
    </row>
    <row r="76" customFormat="false" ht="15" hidden="false" customHeight="true" outlineLevel="0" collapsed="false">
      <c r="A76" s="38" t="s">
        <v>337</v>
      </c>
      <c r="B76" s="38" t="s">
        <v>649</v>
      </c>
      <c r="C76" s="38" t="s">
        <v>650</v>
      </c>
      <c r="D76" s="38" t="s">
        <v>651</v>
      </c>
      <c r="E76" s="38" t="s">
        <v>652</v>
      </c>
      <c r="F76" s="38" t="s">
        <v>653</v>
      </c>
      <c r="G76" s="4"/>
      <c r="H76" s="4"/>
      <c r="I76" s="4"/>
    </row>
    <row r="77" customFormat="false" ht="15" hidden="false" customHeight="true" outlineLevel="0" collapsed="false">
      <c r="A77" s="95" t="s">
        <v>16</v>
      </c>
      <c r="B77" s="244" t="n">
        <v>95771</v>
      </c>
      <c r="C77" s="244" t="n">
        <v>60000</v>
      </c>
      <c r="D77" s="244" t="n">
        <v>0</v>
      </c>
      <c r="E77" s="242" t="n">
        <v>155771</v>
      </c>
      <c r="F77" s="78" t="s">
        <v>654</v>
      </c>
      <c r="G77" s="4"/>
      <c r="H77" s="4"/>
      <c r="I77" s="4"/>
    </row>
    <row r="78" customFormat="false" ht="15" hidden="false" customHeight="true" outlineLevel="0" collapsed="false">
      <c r="A78" s="95" t="s">
        <v>17</v>
      </c>
      <c r="B78" s="244" t="n">
        <v>75452</v>
      </c>
      <c r="C78" s="244" t="n">
        <v>60000</v>
      </c>
      <c r="D78" s="244" t="n">
        <v>0</v>
      </c>
      <c r="E78" s="242" t="n">
        <v>135452</v>
      </c>
      <c r="F78" s="78" t="s">
        <v>654</v>
      </c>
      <c r="G78" s="4"/>
      <c r="H78" s="4"/>
      <c r="I78" s="4"/>
    </row>
    <row r="79" customFormat="false" ht="15" hidden="false" customHeight="true" outlineLevel="0" collapsed="false">
      <c r="A79" s="95" t="s">
        <v>12</v>
      </c>
      <c r="B79" s="244" t="n">
        <v>579684</v>
      </c>
      <c r="C79" s="244" t="n">
        <v>150000</v>
      </c>
      <c r="D79" s="244" t="n">
        <v>0</v>
      </c>
      <c r="E79" s="242" t="n">
        <v>729684</v>
      </c>
      <c r="F79" s="78" t="s">
        <v>655</v>
      </c>
      <c r="G79" s="4"/>
      <c r="H79" s="4"/>
      <c r="I79" s="4"/>
    </row>
    <row r="80" customFormat="false" ht="15" hidden="false" customHeight="true" outlineLevel="0" collapsed="false">
      <c r="A80" s="95" t="s">
        <v>18</v>
      </c>
      <c r="B80" s="244" t="n">
        <v>602668</v>
      </c>
      <c r="C80" s="244" t="n">
        <v>150000</v>
      </c>
      <c r="D80" s="244" t="n">
        <v>1450000</v>
      </c>
      <c r="E80" s="242" t="n">
        <v>752668</v>
      </c>
      <c r="F80" s="78" t="s">
        <v>655</v>
      </c>
      <c r="G80" s="4"/>
      <c r="H80" s="4"/>
      <c r="I80" s="4"/>
    </row>
    <row r="81" customFormat="false" ht="15" hidden="false" customHeight="true" outlineLevel="0" collapsed="false">
      <c r="A81" s="95" t="s">
        <v>19</v>
      </c>
      <c r="B81" s="244" t="n">
        <v>563546</v>
      </c>
      <c r="C81" s="244" t="n">
        <v>150000</v>
      </c>
      <c r="D81" s="244" t="n">
        <v>0</v>
      </c>
      <c r="E81" s="242" t="n">
        <v>713546</v>
      </c>
      <c r="F81" s="78" t="s">
        <v>656</v>
      </c>
      <c r="G81" s="4"/>
      <c r="H81" s="4"/>
      <c r="I81" s="4"/>
    </row>
    <row r="82" customFormat="false" ht="15" hidden="false" customHeight="true" outlineLevel="0" collapsed="false">
      <c r="A82" s="240" t="s">
        <v>323</v>
      </c>
      <c r="B82" s="241" t="n">
        <v>1917121</v>
      </c>
      <c r="C82" s="241" t="n">
        <v>570000</v>
      </c>
      <c r="D82" s="241" t="n">
        <v>1450000</v>
      </c>
      <c r="E82" s="241" t="n">
        <v>2487121</v>
      </c>
      <c r="F82" s="240"/>
      <c r="G82" s="4"/>
      <c r="H82" s="4"/>
      <c r="I82" s="4"/>
    </row>
    <row r="83" customFormat="false" ht="1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</row>
    <row r="84" customFormat="false" ht="1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</row>
    <row r="85" customFormat="false" ht="15" hidden="false" customHeight="true" outlineLevel="0" collapsed="false">
      <c r="A85" s="5" t="s">
        <v>657</v>
      </c>
      <c r="B85" s="5"/>
      <c r="C85" s="5"/>
      <c r="D85" s="5"/>
      <c r="E85" s="5"/>
      <c r="F85" s="5"/>
      <c r="G85" s="5"/>
      <c r="H85" s="4"/>
      <c r="I85" s="4"/>
    </row>
    <row r="86" customFormat="false" ht="15" hidden="false" customHeight="true" outlineLevel="0" collapsed="false">
      <c r="A86" s="95" t="s">
        <v>658</v>
      </c>
      <c r="B86" s="256" t="n">
        <v>86621402</v>
      </c>
      <c r="C86" s="4"/>
      <c r="D86" s="4"/>
      <c r="E86" s="4"/>
      <c r="F86" s="4"/>
      <c r="G86" s="4"/>
      <c r="H86" s="4"/>
      <c r="I86" s="4"/>
    </row>
    <row r="87" customFormat="false" ht="15" hidden="false" customHeight="true" outlineLevel="0" collapsed="false">
      <c r="A87" s="95" t="s">
        <v>659</v>
      </c>
      <c r="B87" s="268" t="n">
        <v>0.0325</v>
      </c>
      <c r="C87" s="4"/>
      <c r="D87" s="4"/>
      <c r="E87" s="4"/>
      <c r="F87" s="4"/>
      <c r="G87" s="4"/>
      <c r="H87" s="4"/>
      <c r="I87" s="4"/>
    </row>
    <row r="88" customFormat="false" ht="15" hidden="false" customHeight="true" outlineLevel="0" collapsed="false">
      <c r="A88" s="95" t="s">
        <v>660</v>
      </c>
      <c r="B88" s="249" t="n">
        <v>0.015</v>
      </c>
      <c r="C88" s="4"/>
      <c r="D88" s="4"/>
      <c r="E88" s="4"/>
      <c r="F88" s="4"/>
      <c r="G88" s="4"/>
      <c r="H88" s="4"/>
      <c r="I88" s="4"/>
    </row>
    <row r="89" customFormat="false" ht="15" hidden="false" customHeight="true" outlineLevel="0" collapsed="false">
      <c r="A89" s="38"/>
      <c r="B89" s="38" t="s">
        <v>199</v>
      </c>
      <c r="C89" s="38" t="s">
        <v>200</v>
      </c>
      <c r="D89" s="38" t="s">
        <v>201</v>
      </c>
      <c r="E89" s="38" t="s">
        <v>202</v>
      </c>
      <c r="F89" s="38" t="s">
        <v>442</v>
      </c>
      <c r="G89" s="4"/>
      <c r="H89" s="4"/>
      <c r="I89" s="4"/>
    </row>
    <row r="90" customFormat="false" ht="15" hidden="false" customHeight="true" outlineLevel="0" collapsed="false">
      <c r="A90" s="243" t="s">
        <v>661</v>
      </c>
      <c r="B90" s="244" t="n">
        <v>0</v>
      </c>
      <c r="C90" s="244" t="n">
        <v>-956261</v>
      </c>
      <c r="D90" s="244" t="n">
        <v>-1465718</v>
      </c>
      <c r="E90" s="244" t="n">
        <v>-967911</v>
      </c>
      <c r="F90" s="244" t="n">
        <v>-3389890</v>
      </c>
      <c r="G90" s="4"/>
      <c r="H90" s="4"/>
      <c r="I90" s="4"/>
    </row>
    <row r="91" customFormat="false" ht="15" hidden="false" customHeight="true" outlineLevel="0" collapsed="false">
      <c r="A91" s="257" t="s">
        <v>662</v>
      </c>
      <c r="B91" s="239" t="n">
        <v>0</v>
      </c>
      <c r="C91" s="239" t="n">
        <v>-441351</v>
      </c>
      <c r="D91" s="239" t="n">
        <v>-676485</v>
      </c>
      <c r="E91" s="239" t="n">
        <v>-446728</v>
      </c>
      <c r="F91" s="239" t="n">
        <v>-1564564</v>
      </c>
      <c r="G91" s="4"/>
      <c r="H91" s="4"/>
      <c r="I91" s="4"/>
    </row>
    <row r="92" customFormat="false" ht="15" hidden="false" customHeight="true" outlineLevel="0" collapsed="false">
      <c r="A92" s="240" t="s">
        <v>663</v>
      </c>
      <c r="B92" s="241" t="n">
        <v>0</v>
      </c>
      <c r="C92" s="241" t="n">
        <v>514910</v>
      </c>
      <c r="D92" s="241" t="n">
        <v>789233</v>
      </c>
      <c r="E92" s="241" t="n">
        <v>521183</v>
      </c>
      <c r="F92" s="241" t="n">
        <v>1825325</v>
      </c>
      <c r="G92" s="4"/>
      <c r="H92" s="4"/>
      <c r="I92" s="4"/>
    </row>
    <row r="93" customFormat="false" ht="1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</row>
    <row r="94" customFormat="false" ht="1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</row>
    <row r="95" customFormat="false" ht="15" hidden="false" customHeight="true" outlineLevel="0" collapsed="false">
      <c r="A95" s="5" t="s">
        <v>664</v>
      </c>
      <c r="B95" s="5"/>
      <c r="C95" s="5"/>
      <c r="D95" s="5"/>
      <c r="E95" s="5"/>
      <c r="F95" s="5"/>
      <c r="G95" s="5"/>
      <c r="H95" s="4"/>
      <c r="I95" s="4"/>
    </row>
    <row r="96" customFormat="false" ht="15" hidden="false" customHeight="true" outlineLevel="0" collapsed="false">
      <c r="A96" s="78" t="s">
        <v>665</v>
      </c>
      <c r="B96" s="4"/>
      <c r="C96" s="4"/>
      <c r="D96" s="4"/>
      <c r="E96" s="4"/>
      <c r="F96" s="4"/>
      <c r="G96" s="4"/>
      <c r="H96" s="4"/>
      <c r="I96" s="4"/>
    </row>
    <row r="97" customFormat="false" ht="15" hidden="false" customHeight="true" outlineLevel="0" collapsed="false">
      <c r="A97" s="38"/>
      <c r="B97" s="38" t="s">
        <v>199</v>
      </c>
      <c r="C97" s="38" t="s">
        <v>200</v>
      </c>
      <c r="D97" s="38" t="s">
        <v>201</v>
      </c>
      <c r="E97" s="38" t="s">
        <v>202</v>
      </c>
      <c r="F97" s="4"/>
      <c r="G97" s="4"/>
      <c r="H97" s="4"/>
      <c r="I97" s="4"/>
    </row>
    <row r="98" customFormat="false" ht="15" hidden="false" customHeight="true" outlineLevel="0" collapsed="false">
      <c r="A98" s="95" t="s">
        <v>666</v>
      </c>
      <c r="B98" s="252" t="n">
        <f aca="false">'Annual Summary'!B44</f>
        <v>86032873.6923599</v>
      </c>
      <c r="C98" s="252" t="n">
        <f aca="false">'Annual Summary'!C44</f>
        <v>52993542.7870939</v>
      </c>
      <c r="D98" s="252" t="n">
        <f aca="false">'Annual Summary'!D44</f>
        <v>45500358.0697596</v>
      </c>
      <c r="E98" s="252" t="n">
        <f aca="false">'Annual Summary'!E44</f>
        <v>13258584.501624</v>
      </c>
      <c r="F98" s="4"/>
      <c r="G98" s="4"/>
      <c r="H98" s="4"/>
      <c r="I98" s="4"/>
    </row>
    <row r="99" customFormat="false" ht="15" hidden="false" customHeight="true" outlineLevel="0" collapsed="false">
      <c r="A99" s="243" t="s">
        <v>667</v>
      </c>
      <c r="B99" s="244" t="n">
        <f aca="false">B98*0.025</f>
        <v>2150821.842309</v>
      </c>
      <c r="C99" s="244" t="n">
        <f aca="false">C98*0.025</f>
        <v>1324838.56967735</v>
      </c>
      <c r="D99" s="244" t="n">
        <f aca="false">D98*0.025</f>
        <v>1137508.95174399</v>
      </c>
      <c r="E99" s="244" t="n">
        <f aca="false">E98*0.025</f>
        <v>331464.6125406</v>
      </c>
      <c r="F99" s="4"/>
      <c r="G99" s="4"/>
      <c r="H99" s="4"/>
      <c r="I99" s="4"/>
    </row>
    <row r="100" customFormat="false" ht="15" hidden="false" customHeight="true" outlineLevel="0" collapsed="false">
      <c r="A100" s="95" t="s">
        <v>668</v>
      </c>
      <c r="B100" s="252" t="n">
        <f aca="false">'Annual Summary'!B49</f>
        <v>1571049.35926167</v>
      </c>
      <c r="C100" s="252" t="n">
        <f aca="false">'Annual Summary'!C49</f>
        <v>2120984.38408891</v>
      </c>
      <c r="D100" s="252" t="n">
        <f aca="false">'Annual Summary'!D49</f>
        <v>1178864.80160189</v>
      </c>
      <c r="E100" s="252" t="n">
        <f aca="false">'Annual Summary'!E49</f>
        <v>-746183.797280717</v>
      </c>
      <c r="F100" s="4"/>
      <c r="G100" s="4"/>
      <c r="H100" s="4"/>
      <c r="I100" s="4"/>
    </row>
    <row r="101" customFormat="false" ht="15" hidden="false" customHeight="true" outlineLevel="0" collapsed="false">
      <c r="A101" s="95" t="s">
        <v>669</v>
      </c>
      <c r="B101" s="252" t="n">
        <f aca="false">'Annual Summary'!B20*0.05</f>
        <v>88280.6317657027</v>
      </c>
      <c r="C101" s="252" t="n">
        <f aca="false">'Annual Summary'!C20*0.05</f>
        <v>102596.218198525</v>
      </c>
      <c r="D101" s="252" t="n">
        <f aca="false">'Annual Summary'!D20*0.05</f>
        <v>26259.5454710479</v>
      </c>
      <c r="E101" s="252" t="n">
        <f aca="false">'Annual Summary'!E20*0.05</f>
        <v>-102414.697808538</v>
      </c>
      <c r="F101" s="4"/>
      <c r="G101" s="4"/>
      <c r="H101" s="4"/>
      <c r="I101" s="4"/>
    </row>
    <row r="102" customFormat="false" ht="15" hidden="false" customHeight="true" outlineLevel="0" collapsed="false">
      <c r="A102" s="95" t="s">
        <v>670</v>
      </c>
      <c r="B102" s="252" t="n">
        <f aca="false">B100+B101</f>
        <v>1659329.99102738</v>
      </c>
      <c r="C102" s="252" t="n">
        <f aca="false">C100+C101</f>
        <v>2223580.60228744</v>
      </c>
      <c r="D102" s="252" t="n">
        <f aca="false">D100+D101</f>
        <v>1205124.34707293</v>
      </c>
      <c r="E102" s="252" t="n">
        <f aca="false">E100+E101</f>
        <v>-848598.495089254</v>
      </c>
      <c r="F102" s="4"/>
      <c r="G102" s="4"/>
      <c r="H102" s="4"/>
      <c r="I102" s="4"/>
    </row>
    <row r="103" customFormat="false" ht="15" hidden="false" customHeight="true" outlineLevel="0" collapsed="false">
      <c r="A103" s="240" t="s">
        <v>671</v>
      </c>
      <c r="B103" s="241" t="n">
        <f aca="false">B102-B99</f>
        <v>-491491.851281622</v>
      </c>
      <c r="C103" s="241" t="n">
        <f aca="false">C102-C99</f>
        <v>898742.03261009</v>
      </c>
      <c r="D103" s="241" t="n">
        <f aca="false">D102-D99</f>
        <v>67615.3953289439</v>
      </c>
      <c r="E103" s="241" t="n">
        <f aca="false">E102-E99</f>
        <v>-1180063.10762985</v>
      </c>
      <c r="F103" s="4"/>
      <c r="G103" s="4"/>
      <c r="H103" s="4"/>
      <c r="I103" s="4"/>
    </row>
    <row r="104" customFormat="false" ht="1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</row>
    <row r="105" customFormat="false" ht="1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</row>
    <row r="106" customFormat="false" ht="15" hidden="false" customHeight="true" outlineLevel="0" collapsed="false">
      <c r="A106" s="5" t="s">
        <v>672</v>
      </c>
      <c r="B106" s="5"/>
      <c r="C106" s="5"/>
      <c r="D106" s="5"/>
      <c r="E106" s="5"/>
      <c r="F106" s="5"/>
      <c r="G106" s="5"/>
      <c r="H106" s="4"/>
      <c r="I106" s="4"/>
    </row>
    <row r="107" customFormat="false" ht="15" hidden="false" customHeight="true" outlineLevel="0" collapsed="false">
      <c r="A107" s="95" t="s">
        <v>673</v>
      </c>
      <c r="B107" s="256" t="n">
        <v>15179956</v>
      </c>
      <c r="C107" s="4"/>
      <c r="D107" s="4"/>
      <c r="E107" s="4"/>
      <c r="F107" s="4"/>
      <c r="G107" s="4"/>
      <c r="H107" s="4"/>
      <c r="I107" s="4"/>
    </row>
    <row r="108" customFormat="false" ht="15" hidden="false" customHeight="true" outlineLevel="0" collapsed="false">
      <c r="A108" s="95" t="s">
        <v>674</v>
      </c>
      <c r="B108" s="268" t="n">
        <v>0.1136</v>
      </c>
      <c r="C108" s="4"/>
      <c r="D108" s="4"/>
      <c r="E108" s="4"/>
      <c r="F108" s="4"/>
      <c r="G108" s="4"/>
      <c r="H108" s="4"/>
      <c r="I108" s="4"/>
    </row>
    <row r="109" customFormat="false" ht="15" hidden="false" customHeight="true" outlineLevel="0" collapsed="false">
      <c r="A109" s="95" t="s">
        <v>675</v>
      </c>
      <c r="B109" s="242" t="n">
        <v>1724443</v>
      </c>
      <c r="C109" s="4"/>
      <c r="D109" s="4"/>
      <c r="E109" s="4"/>
      <c r="F109" s="4"/>
      <c r="G109" s="4"/>
      <c r="H109" s="4"/>
      <c r="I109" s="4"/>
    </row>
    <row r="110" customFormat="false" ht="15" hidden="false" customHeight="true" outlineLevel="0" collapsed="false">
      <c r="A110" s="95" t="s">
        <v>676</v>
      </c>
      <c r="B110" s="269" t="n">
        <v>3</v>
      </c>
      <c r="C110" s="4"/>
      <c r="D110" s="4"/>
      <c r="E110" s="4"/>
      <c r="F110" s="4"/>
      <c r="G110" s="4"/>
      <c r="H110" s="4"/>
      <c r="I110" s="4"/>
    </row>
    <row r="111" customFormat="false" ht="15" hidden="false" customHeight="true" outlineLevel="0" collapsed="false">
      <c r="A111" s="240" t="s">
        <v>677</v>
      </c>
      <c r="B111" s="241" t="n">
        <v>45539868</v>
      </c>
      <c r="C111" s="240"/>
      <c r="D111" s="240"/>
      <c r="E111" s="240"/>
      <c r="F111" s="240"/>
      <c r="G111" s="4"/>
      <c r="H111" s="4"/>
      <c r="I111" s="4"/>
    </row>
    <row r="112" customFormat="false" ht="1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</row>
    <row r="113" customFormat="false" ht="15" hidden="false" customHeight="true" outlineLevel="0" collapsed="false">
      <c r="A113" s="77" t="s">
        <v>678</v>
      </c>
      <c r="B113" s="4"/>
      <c r="C113" s="4"/>
      <c r="D113" s="4"/>
      <c r="E113" s="4"/>
      <c r="F113" s="4"/>
      <c r="G113" s="4"/>
      <c r="H113" s="4"/>
      <c r="I113" s="4"/>
    </row>
    <row r="114" customFormat="false" ht="15" hidden="false" customHeight="true" outlineLevel="0" collapsed="false">
      <c r="A114" s="38"/>
      <c r="B114" s="38" t="s">
        <v>200</v>
      </c>
      <c r="C114" s="38" t="s">
        <v>201</v>
      </c>
      <c r="D114" s="38" t="s">
        <v>202</v>
      </c>
      <c r="E114" s="38" t="s">
        <v>203</v>
      </c>
      <c r="F114" s="38" t="s">
        <v>442</v>
      </c>
      <c r="G114" s="4"/>
      <c r="H114" s="4"/>
      <c r="I114" s="4"/>
    </row>
    <row r="115" customFormat="false" ht="15" hidden="false" customHeight="true" outlineLevel="0" collapsed="false">
      <c r="A115" s="95" t="s">
        <v>679</v>
      </c>
      <c r="B115" s="252" t="n">
        <v>0</v>
      </c>
      <c r="C115" s="252" t="n">
        <v>1896887</v>
      </c>
      <c r="D115" s="252" t="n">
        <v>1379554</v>
      </c>
      <c r="E115" s="252" t="n">
        <v>172444</v>
      </c>
      <c r="F115" s="242" t="n">
        <v>3448885</v>
      </c>
      <c r="G115" s="4"/>
      <c r="H115" s="4"/>
      <c r="I115" s="4"/>
    </row>
    <row r="116" customFormat="false" ht="15" hidden="false" customHeight="true" outlineLevel="0" collapsed="false">
      <c r="A116" s="95" t="s">
        <v>680</v>
      </c>
      <c r="B116" s="252" t="n">
        <v>0</v>
      </c>
      <c r="C116" s="252" t="n">
        <v>603555</v>
      </c>
      <c r="D116" s="252" t="n">
        <v>948444</v>
      </c>
      <c r="E116" s="252" t="n">
        <v>172444</v>
      </c>
      <c r="F116" s="242" t="n">
        <v>1724443</v>
      </c>
      <c r="G116" s="4"/>
      <c r="H116" s="4"/>
      <c r="I116" s="4"/>
    </row>
    <row r="117" customFormat="false" ht="15" hidden="false" customHeight="true" outlineLevel="0" collapsed="false">
      <c r="A117" s="240" t="s">
        <v>681</v>
      </c>
      <c r="B117" s="241" t="n">
        <v>0</v>
      </c>
      <c r="C117" s="241" t="n">
        <v>2500442</v>
      </c>
      <c r="D117" s="241" t="n">
        <v>2327998</v>
      </c>
      <c r="E117" s="241" t="n">
        <v>344888</v>
      </c>
      <c r="F117" s="241" t="n">
        <v>5173328</v>
      </c>
      <c r="G117" s="4"/>
      <c r="H117" s="4"/>
      <c r="I117" s="4"/>
    </row>
    <row r="118" customFormat="false" ht="1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</row>
    <row r="119" customFormat="false" ht="15" hidden="false" customHeight="true" outlineLevel="0" collapsed="false">
      <c r="A119" s="78" t="s">
        <v>682</v>
      </c>
      <c r="B119" s="4"/>
      <c r="C119" s="4"/>
      <c r="D119" s="4"/>
      <c r="E119" s="4"/>
      <c r="F119" s="4"/>
      <c r="G119" s="4"/>
      <c r="H119" s="4"/>
      <c r="I119" s="4"/>
    </row>
    <row r="120" customFormat="false" ht="1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</row>
    <row r="121" customFormat="false" ht="1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</row>
    <row r="122" customFormat="false" ht="15" hidden="false" customHeight="true" outlineLevel="0" collapsed="false">
      <c r="A122" s="5" t="s">
        <v>683</v>
      </c>
      <c r="B122" s="5"/>
      <c r="C122" s="5"/>
      <c r="D122" s="5"/>
      <c r="E122" s="5"/>
      <c r="F122" s="5"/>
      <c r="G122" s="5"/>
      <c r="H122" s="4"/>
      <c r="I122" s="4"/>
    </row>
    <row r="123" customFormat="false" ht="15" hidden="false" customHeight="true" outlineLevel="0" collapsed="false">
      <c r="A123" s="78" t="s">
        <v>684</v>
      </c>
      <c r="B123" s="4"/>
      <c r="C123" s="4"/>
      <c r="D123" s="4"/>
      <c r="E123" s="4"/>
      <c r="F123" s="4"/>
      <c r="G123" s="4"/>
      <c r="H123" s="4"/>
      <c r="I123" s="4"/>
    </row>
    <row r="124" customFormat="false" ht="15" hidden="false" customHeight="true" outlineLevel="0" collapsed="false">
      <c r="A124" s="38"/>
      <c r="B124" s="38" t="s">
        <v>685</v>
      </c>
      <c r="C124" s="38" t="s">
        <v>686</v>
      </c>
      <c r="D124" s="38" t="s">
        <v>475</v>
      </c>
      <c r="E124" s="4"/>
      <c r="F124" s="4"/>
      <c r="G124" s="4"/>
      <c r="H124" s="4"/>
      <c r="I124" s="4"/>
    </row>
    <row r="125" customFormat="false" ht="15" hidden="false" customHeight="true" outlineLevel="0" collapsed="false">
      <c r="A125" s="95" t="s">
        <v>687</v>
      </c>
      <c r="B125" s="256" t="n">
        <v>1450000</v>
      </c>
      <c r="C125" s="270" t="s">
        <v>688</v>
      </c>
      <c r="D125" s="78" t="s">
        <v>689</v>
      </c>
      <c r="E125" s="4"/>
      <c r="F125" s="4"/>
      <c r="G125" s="4"/>
      <c r="H125" s="4"/>
      <c r="I125" s="4"/>
    </row>
    <row r="126" customFormat="false" ht="15" hidden="false" customHeight="true" outlineLevel="0" collapsed="false">
      <c r="A126" s="95" t="s">
        <v>690</v>
      </c>
      <c r="B126" s="244" t="n">
        <v>-1450000</v>
      </c>
      <c r="C126" s="270" t="s">
        <v>691</v>
      </c>
      <c r="D126" s="78" t="s">
        <v>692</v>
      </c>
      <c r="E126" s="4"/>
      <c r="F126" s="4"/>
      <c r="G126" s="4"/>
      <c r="H126" s="4"/>
      <c r="I126" s="4"/>
    </row>
    <row r="127" customFormat="false" ht="15" hidden="false" customHeight="true" outlineLevel="0" collapsed="false">
      <c r="A127" s="95" t="s">
        <v>693</v>
      </c>
      <c r="B127" s="4"/>
      <c r="C127" s="270" t="s">
        <v>694</v>
      </c>
      <c r="D127" s="78" t="s">
        <v>695</v>
      </c>
      <c r="E127" s="4"/>
      <c r="F127" s="4"/>
      <c r="G127" s="4"/>
      <c r="H127" s="4"/>
      <c r="I127" s="4"/>
    </row>
    <row r="128" customFormat="false" ht="15" hidden="false" customHeight="true" outlineLevel="0" collapsed="false">
      <c r="A128" s="240" t="s">
        <v>696</v>
      </c>
      <c r="B128" s="241" t="n">
        <v>0</v>
      </c>
      <c r="C128" s="240" t="s">
        <v>697</v>
      </c>
      <c r="D128" s="240" t="s">
        <v>698</v>
      </c>
      <c r="E128" s="4"/>
      <c r="F128" s="4"/>
      <c r="G128" s="4"/>
      <c r="H128" s="4"/>
      <c r="I128" s="4"/>
    </row>
    <row r="129" customFormat="false" ht="1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</row>
    <row r="130" customFormat="false" ht="15" hidden="false" customHeight="true" outlineLevel="0" collapsed="false">
      <c r="A130" s="95" t="s">
        <v>699</v>
      </c>
      <c r="B130" s="271" t="n">
        <v>362885</v>
      </c>
      <c r="C130" s="270" t="s">
        <v>700</v>
      </c>
      <c r="D130" s="78" t="s">
        <v>701</v>
      </c>
      <c r="E130" s="4"/>
      <c r="F130" s="4"/>
      <c r="G130" s="4"/>
      <c r="H130" s="4"/>
      <c r="I130" s="4"/>
    </row>
    <row r="131" customFormat="false" ht="15" hidden="false" customHeight="true" outlineLevel="0" collapsed="false">
      <c r="A131" s="240" t="s">
        <v>702</v>
      </c>
      <c r="B131" s="241" t="n">
        <v>1812885</v>
      </c>
      <c r="C131" s="240" t="s">
        <v>703</v>
      </c>
      <c r="D131" s="240" t="s">
        <v>704</v>
      </c>
      <c r="E131" s="4"/>
      <c r="F131" s="4"/>
      <c r="G131" s="4"/>
      <c r="H131" s="4"/>
      <c r="I131" s="4"/>
    </row>
    <row r="132" customFormat="false" ht="1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AO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</cols>
  <sheetData>
    <row r="1" customFormat="false" ht="15" hidden="false" customHeight="true" outlineLevel="0" collapsed="false">
      <c r="A1" s="5" t="s">
        <v>341</v>
      </c>
      <c r="B1" s="57" t="s">
        <v>705</v>
      </c>
      <c r="C1" s="57" t="s">
        <v>706</v>
      </c>
      <c r="D1" s="57" t="s">
        <v>707</v>
      </c>
      <c r="E1" s="57" t="s">
        <v>708</v>
      </c>
      <c r="F1" s="57" t="s">
        <v>709</v>
      </c>
      <c r="G1" s="57" t="s">
        <v>710</v>
      </c>
      <c r="H1" s="57" t="s">
        <v>711</v>
      </c>
      <c r="I1" s="57" t="s">
        <v>712</v>
      </c>
      <c r="J1" s="57" t="s">
        <v>713</v>
      </c>
      <c r="K1" s="57" t="s">
        <v>714</v>
      </c>
      <c r="L1" s="57" t="s">
        <v>499</v>
      </c>
      <c r="M1" s="57" t="s">
        <v>715</v>
      </c>
      <c r="N1" s="57" t="s">
        <v>716</v>
      </c>
      <c r="O1" s="57" t="s">
        <v>501</v>
      </c>
      <c r="P1" s="57" t="s">
        <v>717</v>
      </c>
      <c r="Q1" s="57" t="s">
        <v>718</v>
      </c>
      <c r="R1" s="57" t="s">
        <v>719</v>
      </c>
      <c r="S1" s="57" t="s">
        <v>720</v>
      </c>
      <c r="T1" s="57" t="s">
        <v>503</v>
      </c>
      <c r="U1" s="57" t="s">
        <v>721</v>
      </c>
      <c r="V1" s="57" t="s">
        <v>722</v>
      </c>
      <c r="W1" s="57" t="s">
        <v>723</v>
      </c>
      <c r="X1" s="57" t="s">
        <v>724</v>
      </c>
      <c r="Y1" s="57" t="s">
        <v>725</v>
      </c>
      <c r="Z1" s="57" t="s">
        <v>726</v>
      </c>
      <c r="AA1" s="57" t="s">
        <v>727</v>
      </c>
      <c r="AB1" s="57" t="s">
        <v>505</v>
      </c>
      <c r="AC1" s="57" t="s">
        <v>728</v>
      </c>
      <c r="AD1" s="57" t="s">
        <v>729</v>
      </c>
      <c r="AE1" s="57" t="s">
        <v>730</v>
      </c>
      <c r="AF1" s="57" t="s">
        <v>731</v>
      </c>
      <c r="AG1" s="57" t="s">
        <v>732</v>
      </c>
      <c r="AH1" s="57" t="s">
        <v>733</v>
      </c>
      <c r="AI1" s="57" t="s">
        <v>734</v>
      </c>
      <c r="AJ1" s="57" t="s">
        <v>735</v>
      </c>
      <c r="AK1" s="57" t="s">
        <v>736</v>
      </c>
      <c r="AL1" s="57" t="s">
        <v>737</v>
      </c>
      <c r="AM1" s="57" t="s">
        <v>738</v>
      </c>
      <c r="AN1" s="57" t="s">
        <v>739</v>
      </c>
      <c r="AO1" s="57" t="s">
        <v>740</v>
      </c>
    </row>
    <row r="2" customFormat="false" ht="15" hidden="false" customHeight="true" outlineLevel="0" collapsed="false">
      <c r="A2" s="175" t="s">
        <v>741</v>
      </c>
      <c r="B2" s="272" t="n">
        <v>0.016101</v>
      </c>
      <c r="C2" s="272" t="n">
        <v>0.018518</v>
      </c>
      <c r="D2" s="272" t="n">
        <v>0.021087</v>
      </c>
      <c r="E2" s="272" t="n">
        <v>0.023773</v>
      </c>
      <c r="F2" s="272" t="n">
        <v>0.026535</v>
      </c>
      <c r="G2" s="272" t="n">
        <v>0.029323</v>
      </c>
      <c r="H2" s="272" t="n">
        <v>0.032082</v>
      </c>
      <c r="I2" s="272" t="n">
        <v>0.034752</v>
      </c>
      <c r="J2" s="272" t="n">
        <v>0.037269</v>
      </c>
      <c r="K2" s="272" t="n">
        <v>0.039572</v>
      </c>
      <c r="L2" s="272" t="n">
        <v>0.041599</v>
      </c>
      <c r="M2" s="272" t="n">
        <v>0.043295</v>
      </c>
      <c r="N2" s="272" t="n">
        <v>0.044613</v>
      </c>
      <c r="O2" s="272" t="n">
        <v>0.045513</v>
      </c>
      <c r="P2" s="272" t="n">
        <v>0.04597</v>
      </c>
      <c r="Q2" s="272" t="n">
        <v>0.04597</v>
      </c>
      <c r="R2" s="272" t="n">
        <v>0.045513</v>
      </c>
      <c r="S2" s="272" t="n">
        <v>0.044613</v>
      </c>
      <c r="T2" s="272" t="n">
        <v>0.043295</v>
      </c>
      <c r="U2" s="272" t="n">
        <v>0.041599</v>
      </c>
      <c r="V2" s="272" t="n">
        <v>0.039572</v>
      </c>
      <c r="W2" s="272" t="n">
        <v>0.037269</v>
      </c>
      <c r="X2" s="272" t="n">
        <v>0.034752</v>
      </c>
      <c r="Y2" s="272" t="n">
        <v>0.032082</v>
      </c>
      <c r="Z2" s="272" t="n">
        <v>0.029323</v>
      </c>
      <c r="AA2" s="272" t="n">
        <v>0.026535</v>
      </c>
      <c r="AB2" s="272" t="n">
        <v>0.023773</v>
      </c>
      <c r="AC2" s="272" t="n">
        <v>0.021087</v>
      </c>
      <c r="AD2" s="272" t="n">
        <v>0.018518</v>
      </c>
      <c r="AE2" s="272" t="n">
        <v>0.016101</v>
      </c>
    </row>
    <row r="3" customFormat="false" ht="15" hidden="false" customHeight="true" outlineLevel="0" collapsed="false">
      <c r="A3" s="175" t="s">
        <v>742</v>
      </c>
      <c r="B3" s="272" t="n">
        <v>0.020497</v>
      </c>
      <c r="C3" s="272" t="n">
        <v>0.024336</v>
      </c>
      <c r="D3" s="272" t="n">
        <v>0.028445</v>
      </c>
      <c r="E3" s="272" t="n">
        <v>0.032735</v>
      </c>
      <c r="F3" s="272" t="n">
        <v>0.037087</v>
      </c>
      <c r="G3" s="272" t="n">
        <v>0.041368</v>
      </c>
      <c r="H3" s="272" t="n">
        <v>0.045428</v>
      </c>
      <c r="I3" s="272" t="n">
        <v>0.049114</v>
      </c>
      <c r="J3" s="272" t="n">
        <v>0.052278</v>
      </c>
      <c r="K3" s="272" t="n">
        <v>0.054783</v>
      </c>
      <c r="L3" s="272" t="n">
        <v>0.05652</v>
      </c>
      <c r="M3" s="272" t="n">
        <v>0.057409</v>
      </c>
      <c r="N3" s="272" t="n">
        <v>0.057409</v>
      </c>
      <c r="O3" s="272" t="n">
        <v>0.05652</v>
      </c>
      <c r="P3" s="272" t="n">
        <v>0.054783</v>
      </c>
      <c r="Q3" s="272" t="n">
        <v>0.052278</v>
      </c>
      <c r="R3" s="272" t="n">
        <v>0.049114</v>
      </c>
      <c r="S3" s="272" t="n">
        <v>0.045428</v>
      </c>
      <c r="T3" s="272" t="n">
        <v>0.041368</v>
      </c>
      <c r="U3" s="272" t="n">
        <v>0.037087</v>
      </c>
      <c r="V3" s="272" t="n">
        <v>0.032735</v>
      </c>
      <c r="W3" s="272" t="n">
        <v>0.028445</v>
      </c>
      <c r="X3" s="272" t="n">
        <v>0.024336</v>
      </c>
      <c r="Y3" s="272" t="n">
        <v>0.020497</v>
      </c>
    </row>
    <row r="4" customFormat="false" ht="15" hidden="false" customHeight="true" outlineLevel="0" collapsed="false">
      <c r="A4" s="175" t="s">
        <v>743</v>
      </c>
      <c r="B4" s="272" t="n">
        <v>0.026517</v>
      </c>
      <c r="C4" s="272" t="n">
        <v>0.032761</v>
      </c>
      <c r="D4" s="272" t="n">
        <v>0.039482</v>
      </c>
      <c r="E4" s="272" t="n">
        <v>0.046412</v>
      </c>
      <c r="F4" s="272" t="n">
        <v>0.053218</v>
      </c>
      <c r="G4" s="272" t="n">
        <v>0.059522</v>
      </c>
      <c r="H4" s="272" t="n">
        <v>0.064937</v>
      </c>
      <c r="I4" s="272" t="n">
        <v>0.069104</v>
      </c>
      <c r="J4" s="272" t="n">
        <v>0.071732</v>
      </c>
      <c r="K4" s="272" t="n">
        <v>0.07263</v>
      </c>
      <c r="L4" s="272" t="n">
        <v>0.071732</v>
      </c>
      <c r="M4" s="272" t="n">
        <v>0.069104</v>
      </c>
      <c r="N4" s="272" t="n">
        <v>0.064937</v>
      </c>
      <c r="O4" s="272" t="n">
        <v>0.059522</v>
      </c>
      <c r="P4" s="272" t="n">
        <v>0.053218</v>
      </c>
      <c r="Q4" s="272" t="n">
        <v>0.046412</v>
      </c>
      <c r="R4" s="272" t="n">
        <v>0.039482</v>
      </c>
      <c r="S4" s="272" t="n">
        <v>0.032761</v>
      </c>
      <c r="T4" s="272" t="n">
        <v>0.026517</v>
      </c>
    </row>
    <row r="5" customFormat="false" ht="15" hidden="false" customHeight="true" outlineLevel="0" collapsed="false">
      <c r="A5" s="273" t="s">
        <v>744</v>
      </c>
    </row>
    <row r="6" customFormat="false" ht="15" hidden="false" customHeight="true" outlineLevel="0" collapsed="false">
      <c r="A6" s="175" t="s">
        <v>7</v>
      </c>
      <c r="B6" s="272" t="n">
        <v>0.176029532991649</v>
      </c>
      <c r="C6" s="272" t="n">
        <v>0.162818536970001</v>
      </c>
      <c r="D6" s="272" t="n">
        <v>0.148267087201176</v>
      </c>
      <c r="E6" s="272" t="n">
        <v>0.1329235511272</v>
      </c>
      <c r="F6" s="272" t="n">
        <v>0.117325543887316</v>
      </c>
      <c r="G6" s="272" t="n">
        <v>0.101949750904986</v>
      </c>
      <c r="H6" s="272" t="n">
        <v>0.0872226801906742</v>
      </c>
      <c r="I6" s="272" t="n">
        <v>0.073463316726999</v>
      </c>
    </row>
    <row r="7" customFormat="false" ht="15" hidden="false" customHeight="true" outlineLevel="0" collapsed="false">
      <c r="A7" s="175" t="s">
        <v>8</v>
      </c>
      <c r="B7" s="272" t="n">
        <v>0.0725086339616361</v>
      </c>
      <c r="C7" s="272" t="n">
        <v>0.0759830233429035</v>
      </c>
      <c r="D7" s="272" t="n">
        <v>0.0783922107102734</v>
      </c>
      <c r="E7" s="272" t="n">
        <v>0.0796252375206314</v>
      </c>
      <c r="F7" s="272" t="n">
        <v>0.0796252375206314</v>
      </c>
      <c r="G7" s="272" t="n">
        <v>0.0783922107102734</v>
      </c>
      <c r="H7" s="272" t="n">
        <v>0.0759830233429035</v>
      </c>
      <c r="I7" s="272" t="n">
        <v>0.0725086339616361</v>
      </c>
      <c r="J7" s="272" t="n">
        <v>0.0681202235814644</v>
      </c>
      <c r="K7" s="272" t="n">
        <v>0.0630078087074717</v>
      </c>
      <c r="L7" s="272" t="n">
        <v>0.0573766626444195</v>
      </c>
      <c r="M7" s="272" t="n">
        <v>0.051438993606014</v>
      </c>
      <c r="N7" s="272" t="n">
        <v>0.0454028488605945</v>
      </c>
      <c r="O7" s="272" t="n">
        <v>0.0394526969860886</v>
      </c>
      <c r="P7" s="272" t="n">
        <v>0.0337535888153789</v>
      </c>
      <c r="Q7" s="272" t="n">
        <v>0.02842896572768</v>
      </c>
    </row>
    <row r="8" customFormat="false" ht="15" hidden="false" customHeight="true" outlineLevel="0" collapsed="false">
      <c r="A8" s="175" t="s">
        <v>9</v>
      </c>
      <c r="B8" s="272" t="n">
        <v>0.0622557988273664</v>
      </c>
      <c r="C8" s="272" t="n">
        <v>0.0696303817844058</v>
      </c>
      <c r="D8" s="272" t="n">
        <v>0.0759649894481697</v>
      </c>
      <c r="E8" s="272" t="n">
        <v>0.0808396542930274</v>
      </c>
      <c r="F8" s="272" t="n">
        <v>0.0839139569597627</v>
      </c>
      <c r="G8" s="272" t="n">
        <v>0.0849644606868282</v>
      </c>
      <c r="H8" s="272" t="n">
        <v>0.0839139569597627</v>
      </c>
      <c r="I8" s="272" t="n">
        <v>0.0808396542930274</v>
      </c>
      <c r="J8" s="272" t="n">
        <v>0.0759649894481697</v>
      </c>
      <c r="K8" s="272" t="n">
        <v>0.0696303817844058</v>
      </c>
      <c r="L8" s="272" t="n">
        <v>0.0622557988273664</v>
      </c>
      <c r="M8" s="272" t="n">
        <v>0.0542939632300299</v>
      </c>
      <c r="N8" s="272" t="n">
        <v>0.0461870692115841</v>
      </c>
      <c r="O8" s="272" t="n">
        <v>0.038324668822266</v>
      </c>
      <c r="P8" s="272" t="n">
        <v>0.031020275423828</v>
      </c>
    </row>
    <row r="9" customFormat="false" ht="15" hidden="false" customHeight="true" outlineLevel="0" collapsed="false">
      <c r="A9" s="175" t="s">
        <v>10</v>
      </c>
      <c r="B9" s="272" t="n">
        <v>0.0622557988273664</v>
      </c>
      <c r="C9" s="272" t="n">
        <v>0.0696303817844058</v>
      </c>
      <c r="D9" s="272" t="n">
        <v>0.0759649894481697</v>
      </c>
      <c r="E9" s="272" t="n">
        <v>0.0808396542930274</v>
      </c>
      <c r="F9" s="272" t="n">
        <v>0.0839139569597627</v>
      </c>
      <c r="G9" s="272" t="n">
        <v>0.0849644606868282</v>
      </c>
      <c r="H9" s="272" t="n">
        <v>0.0839139569597627</v>
      </c>
      <c r="I9" s="272" t="n">
        <v>0.0808396542930274</v>
      </c>
      <c r="J9" s="272" t="n">
        <v>0.0759649894481697</v>
      </c>
      <c r="K9" s="272" t="n">
        <v>0.0696303817844058</v>
      </c>
      <c r="L9" s="272" t="n">
        <v>0.0622557988273664</v>
      </c>
      <c r="M9" s="272" t="n">
        <v>0.0542939632300299</v>
      </c>
      <c r="N9" s="272" t="n">
        <v>0.0461870692115841</v>
      </c>
      <c r="O9" s="272" t="n">
        <v>0.038324668822266</v>
      </c>
      <c r="P9" s="272" t="n">
        <v>0.031020275423828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8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31" activeCellId="0" sqref="B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0"/>
    <col collapsed="false" customWidth="true" hidden="false" outlineLevel="0" max="3" min="3" style="1" width="22"/>
  </cols>
  <sheetData>
    <row r="1" customFormat="false" ht="17.25" hidden="false" customHeight="true" outlineLevel="0" collapsed="false">
      <c r="A1" s="274" t="s">
        <v>745</v>
      </c>
      <c r="B1" s="274"/>
      <c r="C1" s="274"/>
      <c r="D1" s="274"/>
    </row>
    <row r="3" customFormat="false" ht="15" hidden="false" customHeight="true" outlineLevel="0" collapsed="false">
      <c r="A3" s="38" t="s">
        <v>746</v>
      </c>
      <c r="B3" s="38"/>
      <c r="C3" s="38"/>
      <c r="D3" s="38"/>
    </row>
    <row r="4" customFormat="false" ht="15" hidden="false" customHeight="true" outlineLevel="0" collapsed="false">
      <c r="A4" s="175" t="s">
        <v>747</v>
      </c>
      <c r="B4" s="272" t="n">
        <v>0.06</v>
      </c>
    </row>
    <row r="5" customFormat="false" ht="15" hidden="false" customHeight="true" outlineLevel="0" collapsed="false">
      <c r="A5" s="175" t="s">
        <v>592</v>
      </c>
      <c r="B5" s="272" t="n">
        <v>0.06</v>
      </c>
    </row>
    <row r="6" customFormat="false" ht="15" hidden="false" customHeight="true" outlineLevel="0" collapsed="false">
      <c r="A6" s="175" t="s">
        <v>748</v>
      </c>
      <c r="B6" s="272" t="n">
        <v>0.02</v>
      </c>
    </row>
    <row r="7" customFormat="false" ht="15" hidden="false" customHeight="true" outlineLevel="0" collapsed="false">
      <c r="A7" s="175" t="s">
        <v>749</v>
      </c>
      <c r="B7" s="178" t="n">
        <f aca="false">B4+B5+B6</f>
        <v>0.14</v>
      </c>
    </row>
    <row r="8" customFormat="false" ht="15" hidden="false" customHeight="true" outlineLevel="0" collapsed="false">
      <c r="A8" s="175"/>
      <c r="B8" s="272"/>
    </row>
    <row r="9" customFormat="false" ht="15" hidden="false" customHeight="true" outlineLevel="0" collapsed="false">
      <c r="A9" s="175" t="s">
        <v>750</v>
      </c>
      <c r="B9" s="178" t="n">
        <f aca="false">SUM(B10:B12)</f>
        <v>0.120391</v>
      </c>
      <c r="C9" s="3" t="s">
        <v>751</v>
      </c>
    </row>
    <row r="10" customFormat="false" ht="15" hidden="false" customHeight="true" outlineLevel="0" collapsed="false">
      <c r="A10" s="175" t="s">
        <v>752</v>
      </c>
      <c r="B10" s="178" t="n">
        <v>0.051596</v>
      </c>
    </row>
    <row r="11" customFormat="false" ht="15" hidden="false" customHeight="true" outlineLevel="0" collapsed="false">
      <c r="A11" s="175" t="s">
        <v>753</v>
      </c>
      <c r="B11" s="178" t="n">
        <v>0.051596</v>
      </c>
    </row>
    <row r="12" customFormat="false" ht="15" hidden="false" customHeight="true" outlineLevel="0" collapsed="false">
      <c r="A12" s="175" t="s">
        <v>754</v>
      </c>
      <c r="B12" s="178" t="n">
        <v>0.017199</v>
      </c>
    </row>
    <row r="14" customFormat="false" ht="15" hidden="false" customHeight="true" outlineLevel="0" collapsed="false">
      <c r="A14" s="38" t="s">
        <v>755</v>
      </c>
      <c r="B14" s="38"/>
      <c r="C14" s="38"/>
      <c r="D14" s="38"/>
    </row>
    <row r="15" customFormat="false" ht="15" hidden="false" customHeight="true" outlineLevel="0" collapsed="false">
      <c r="A15" s="175" t="s">
        <v>597</v>
      </c>
      <c r="B15" s="272" t="n">
        <v>0.015</v>
      </c>
    </row>
    <row r="16" customFormat="false" ht="15" hidden="false" customHeight="true" outlineLevel="0" collapsed="false">
      <c r="A16" s="175" t="s">
        <v>599</v>
      </c>
      <c r="B16" s="272" t="n">
        <v>0.0074</v>
      </c>
    </row>
    <row r="17" customFormat="false" ht="15" hidden="false" customHeight="true" outlineLevel="0" collapsed="false">
      <c r="A17" s="175" t="s">
        <v>601</v>
      </c>
      <c r="B17" s="272" t="n">
        <v>0.0325</v>
      </c>
    </row>
    <row r="18" customFormat="false" ht="15" hidden="false" customHeight="false" outlineLevel="0" collapsed="false">
      <c r="A18" s="1" t="s">
        <v>756</v>
      </c>
      <c r="B18" s="275" t="n">
        <f aca="false">103966/14337010.8</f>
        <v>0.00725158134079107</v>
      </c>
      <c r="C18" s="1" t="s">
        <v>757</v>
      </c>
      <c r="D18" s="276" t="n">
        <v>697090.78</v>
      </c>
    </row>
    <row r="19" customFormat="false" ht="15" hidden="false" customHeight="true" outlineLevel="0" collapsed="false">
      <c r="A19" s="38" t="s">
        <v>758</v>
      </c>
      <c r="B19" s="38"/>
      <c r="C19" s="38"/>
      <c r="D19" s="38"/>
    </row>
    <row r="20" customFormat="false" ht="15" hidden="false" customHeight="true" outlineLevel="0" collapsed="false">
      <c r="A20" s="175" t="s">
        <v>759</v>
      </c>
      <c r="B20" s="272" t="n">
        <v>0.07</v>
      </c>
    </row>
    <row r="21" customFormat="false" ht="15" hidden="false" customHeight="true" outlineLevel="0" collapsed="false">
      <c r="A21" s="175" t="s">
        <v>760</v>
      </c>
      <c r="B21" s="272" t="n">
        <v>0.005</v>
      </c>
    </row>
    <row r="22" customFormat="false" ht="15" hidden="false" customHeight="true" outlineLevel="0" collapsed="false">
      <c r="A22" s="175" t="s">
        <v>761</v>
      </c>
      <c r="B22" s="272" t="n">
        <v>0.05</v>
      </c>
    </row>
    <row r="23" customFormat="false" ht="15" hidden="false" customHeight="true" outlineLevel="0" collapsed="false">
      <c r="A23" s="175" t="s">
        <v>762</v>
      </c>
      <c r="B23" s="272" t="n">
        <v>0.02</v>
      </c>
    </row>
    <row r="25" customFormat="false" ht="15" hidden="false" customHeight="true" outlineLevel="0" collapsed="false">
      <c r="A25" s="38" t="s">
        <v>763</v>
      </c>
      <c r="B25" s="38"/>
      <c r="C25" s="38"/>
      <c r="D25" s="38"/>
    </row>
    <row r="26" customFormat="false" ht="15" hidden="false" customHeight="true" outlineLevel="0" collapsed="false">
      <c r="A26" s="175" t="s">
        <v>764</v>
      </c>
      <c r="B26" s="249" t="n">
        <v>0.02</v>
      </c>
    </row>
    <row r="28" customFormat="false" ht="15" hidden="false" customHeight="true" outlineLevel="0" collapsed="false">
      <c r="A28" s="38" t="s">
        <v>765</v>
      </c>
      <c r="B28" s="38"/>
      <c r="C28" s="38"/>
      <c r="D28" s="38"/>
    </row>
    <row r="29" customFormat="false" ht="15" hidden="false" customHeight="true" outlineLevel="0" collapsed="false">
      <c r="A29" s="175" t="s">
        <v>766</v>
      </c>
      <c r="B29" s="251" t="n">
        <v>306139</v>
      </c>
    </row>
    <row r="30" customFormat="false" ht="15" hidden="false" customHeight="true" outlineLevel="0" collapsed="false">
      <c r="A30" s="175" t="s">
        <v>767</v>
      </c>
      <c r="B30" s="251" t="n">
        <f aca="false">665368-500000</f>
        <v>165368</v>
      </c>
    </row>
    <row r="32" customFormat="false" ht="15" hidden="false" customHeight="true" outlineLevel="0" collapsed="false">
      <c r="A32" s="38" t="s">
        <v>768</v>
      </c>
      <c r="B32" s="38"/>
      <c r="C32" s="38"/>
      <c r="D32" s="38"/>
    </row>
    <row r="33" customFormat="false" ht="15" hidden="false" customHeight="true" outlineLevel="0" collapsed="false">
      <c r="A33" s="175" t="s">
        <v>769</v>
      </c>
      <c r="B33" s="251" t="n">
        <v>1615485</v>
      </c>
    </row>
    <row r="34" customFormat="false" ht="15" hidden="false" customHeight="true" outlineLevel="0" collapsed="false">
      <c r="A34" s="175" t="s">
        <v>770</v>
      </c>
      <c r="B34" s="272" t="n">
        <v>0.15</v>
      </c>
    </row>
    <row r="35" customFormat="false" ht="15" hidden="false" customHeight="true" outlineLevel="0" collapsed="false">
      <c r="A35" s="175" t="s">
        <v>771</v>
      </c>
      <c r="B35" s="178" t="n">
        <f aca="false">B34/4</f>
        <v>0.0375</v>
      </c>
    </row>
    <row r="36" customFormat="false" ht="15" hidden="false" customHeight="true" outlineLevel="0" collapsed="false">
      <c r="A36" s="175" t="s">
        <v>772</v>
      </c>
      <c r="B36" s="251" t="n">
        <v>112000</v>
      </c>
    </row>
    <row r="37" customFormat="false" ht="15" hidden="false" customHeight="true" outlineLevel="0" collapsed="false">
      <c r="A37" s="175" t="s">
        <v>773</v>
      </c>
      <c r="B37" s="277" t="n">
        <v>10</v>
      </c>
    </row>
    <row r="38" customFormat="false" ht="15" hidden="false" customHeight="true" outlineLevel="0" collapsed="false">
      <c r="A38" s="278" t="s">
        <v>774</v>
      </c>
    </row>
    <row r="40" customFormat="false" ht="15" hidden="false" customHeight="true" outlineLevel="0" collapsed="false">
      <c r="A40" s="38" t="s">
        <v>775</v>
      </c>
      <c r="B40" s="38"/>
      <c r="C40" s="38"/>
      <c r="D40" s="38"/>
    </row>
    <row r="41" customFormat="false" ht="15" hidden="false" customHeight="true" outlineLevel="0" collapsed="false">
      <c r="A41" s="175" t="s">
        <v>776</v>
      </c>
      <c r="B41" s="251" t="n">
        <v>1000000</v>
      </c>
    </row>
    <row r="42" customFormat="false" ht="15" hidden="false" customHeight="true" outlineLevel="0" collapsed="false">
      <c r="A42" s="175" t="s">
        <v>777</v>
      </c>
      <c r="B42" s="279" t="n">
        <f aca="false">B41*0.25</f>
        <v>250000</v>
      </c>
    </row>
    <row r="43" customFormat="false" ht="15" hidden="false" customHeight="true" outlineLevel="0" collapsed="false">
      <c r="A43" s="175" t="s">
        <v>778</v>
      </c>
      <c r="B43" s="251" t="n">
        <v>1000000</v>
      </c>
    </row>
    <row r="44" customFormat="false" ht="15" hidden="false" customHeight="true" outlineLevel="0" collapsed="false">
      <c r="A44" s="278" t="s">
        <v>779</v>
      </c>
    </row>
    <row r="46" customFormat="false" ht="15" hidden="false" customHeight="true" outlineLevel="0" collapsed="false">
      <c r="A46" s="38" t="s">
        <v>780</v>
      </c>
      <c r="B46" s="38"/>
      <c r="C46" s="38"/>
      <c r="D46" s="38"/>
    </row>
    <row r="47" customFormat="false" ht="15" hidden="false" customHeight="true" outlineLevel="0" collapsed="false">
      <c r="A47" s="175" t="s">
        <v>781</v>
      </c>
      <c r="B47" s="272" t="n">
        <v>0.01</v>
      </c>
    </row>
    <row r="48" customFormat="false" ht="15" hidden="false" customHeight="true" outlineLevel="0" collapsed="false">
      <c r="A48" s="175" t="s">
        <v>782</v>
      </c>
      <c r="B48" s="272" t="n">
        <v>0.03</v>
      </c>
    </row>
    <row r="50" customFormat="false" ht="15" hidden="false" customHeight="true" outlineLevel="0" collapsed="false">
      <c r="A50" s="38" t="s">
        <v>783</v>
      </c>
      <c r="B50" s="38"/>
      <c r="C50" s="280"/>
      <c r="D50" s="38"/>
    </row>
    <row r="51" customFormat="false" ht="15" hidden="false" customHeight="true" outlineLevel="0" collapsed="false">
      <c r="A51" s="175" t="s">
        <v>16</v>
      </c>
      <c r="B51" s="251" t="n">
        <v>2000000</v>
      </c>
    </row>
    <row r="52" customFormat="false" ht="15" hidden="false" customHeight="true" outlineLevel="0" collapsed="false">
      <c r="A52" s="175" t="s">
        <v>17</v>
      </c>
      <c r="B52" s="251" t="n">
        <v>2000000</v>
      </c>
    </row>
    <row r="53" customFormat="false" ht="15" hidden="false" customHeight="true" outlineLevel="0" collapsed="false">
      <c r="A53" s="175" t="s">
        <v>12</v>
      </c>
      <c r="B53" s="251" t="n">
        <v>5000000</v>
      </c>
      <c r="C53" s="140"/>
    </row>
    <row r="54" customFormat="false" ht="15" hidden="false" customHeight="true" outlineLevel="0" collapsed="false">
      <c r="A54" s="175" t="s">
        <v>18</v>
      </c>
      <c r="B54" s="251" t="n">
        <v>5000000</v>
      </c>
      <c r="C54" s="140"/>
    </row>
    <row r="55" customFormat="false" ht="15" hidden="false" customHeight="true" outlineLevel="0" collapsed="false">
      <c r="A55" s="175" t="s">
        <v>19</v>
      </c>
      <c r="B55" s="251" t="n">
        <v>5000000</v>
      </c>
      <c r="C55" s="140"/>
    </row>
    <row r="57" customFormat="false" ht="15" hidden="false" customHeight="true" outlineLevel="0" collapsed="false">
      <c r="A57" s="38" t="s">
        <v>784</v>
      </c>
      <c r="B57" s="38"/>
      <c r="C57" s="38"/>
      <c r="D57" s="38"/>
    </row>
    <row r="58" customFormat="false" ht="15" hidden="false" customHeight="true" outlineLevel="0" collapsed="false">
      <c r="A58" s="175" t="s">
        <v>785</v>
      </c>
      <c r="B58" s="272" t="n">
        <v>0.15</v>
      </c>
    </row>
    <row r="59" customFormat="false" ht="15" hidden="false" customHeight="true" outlineLevel="0" collapsed="false">
      <c r="A59" s="175" t="s">
        <v>786</v>
      </c>
      <c r="B59" s="178" t="n">
        <f aca="false">B58/4</f>
        <v>0.0375</v>
      </c>
    </row>
    <row r="60" customFormat="false" ht="15" hidden="false" customHeight="true" outlineLevel="0" collapsed="false">
      <c r="A60" s="175" t="s">
        <v>787</v>
      </c>
      <c r="B60" s="251" t="n">
        <v>0</v>
      </c>
    </row>
    <row r="61" customFormat="false" ht="15" hidden="false" customHeight="true" outlineLevel="0" collapsed="false">
      <c r="A61" s="175" t="s">
        <v>788</v>
      </c>
      <c r="B61" s="251" t="n">
        <v>0</v>
      </c>
    </row>
    <row r="62" customFormat="false" ht="15" hidden="false" customHeight="true" outlineLevel="0" collapsed="false">
      <c r="A62" s="175" t="s">
        <v>789</v>
      </c>
      <c r="B62" s="251" t="n">
        <v>1784000</v>
      </c>
    </row>
    <row r="63" customFormat="false" ht="15" hidden="false" customHeight="true" outlineLevel="0" collapsed="false">
      <c r="A63" s="175" t="s">
        <v>790</v>
      </c>
      <c r="B63" s="251" t="n">
        <v>1766181</v>
      </c>
    </row>
    <row r="64" customFormat="false" ht="15" hidden="false" customHeight="true" outlineLevel="0" collapsed="false">
      <c r="A64" s="278" t="s">
        <v>791</v>
      </c>
    </row>
    <row r="66" customFormat="false" ht="15" hidden="false" customHeight="true" outlineLevel="0" collapsed="false">
      <c r="A66" s="118" t="s">
        <v>97</v>
      </c>
    </row>
    <row r="67" customFormat="false" ht="15" hidden="false" customHeight="true" outlineLevel="0" collapsed="false">
      <c r="A67" s="140" t="s">
        <v>792</v>
      </c>
      <c r="B67" s="281" t="n">
        <v>833.33</v>
      </c>
    </row>
    <row r="68" customFormat="false" ht="15" hidden="false" customHeight="true" outlineLevel="0" collapsed="false">
      <c r="A68" s="140" t="s">
        <v>793</v>
      </c>
      <c r="B68" s="140" t="n">
        <v>5</v>
      </c>
    </row>
    <row r="70" customFormat="false" ht="15" hidden="false" customHeight="true" outlineLevel="0" collapsed="false">
      <c r="A70" s="282" t="s">
        <v>794</v>
      </c>
      <c r="B70" s="282"/>
    </row>
    <row r="71" customFormat="false" ht="15" hidden="false" customHeight="true" outlineLevel="0" collapsed="false">
      <c r="A71" s="283" t="s">
        <v>795</v>
      </c>
      <c r="B71" s="284" t="n">
        <v>1134000</v>
      </c>
    </row>
    <row r="72" customFormat="false" ht="15" hidden="false" customHeight="true" outlineLevel="0" collapsed="false">
      <c r="A72" s="285" t="s">
        <v>796</v>
      </c>
      <c r="B72" s="286" t="n">
        <v>50000</v>
      </c>
    </row>
    <row r="73" customFormat="false" ht="15" hidden="false" customHeight="true" outlineLevel="0" collapsed="false">
      <c r="A73" s="283" t="s">
        <v>797</v>
      </c>
      <c r="B73" s="287" t="n">
        <v>14</v>
      </c>
    </row>
    <row r="74" customFormat="false" ht="15" hidden="false" customHeight="true" outlineLevel="0" collapsed="false">
      <c r="A74" s="285" t="s">
        <v>165</v>
      </c>
      <c r="B74" s="286" t="n">
        <v>-1450000</v>
      </c>
    </row>
    <row r="75" customFormat="false" ht="15" hidden="false" customHeight="true" outlineLevel="0" collapsed="false">
      <c r="A75" s="283" t="s">
        <v>798</v>
      </c>
      <c r="B75" s="284" t="n">
        <v>264927.15</v>
      </c>
    </row>
    <row r="76" customFormat="false" ht="15" hidden="false" customHeight="true" outlineLevel="0" collapsed="false">
      <c r="A76" s="285" t="s">
        <v>799</v>
      </c>
      <c r="B76" s="286" t="n">
        <v>883090.5</v>
      </c>
    </row>
    <row r="77" customFormat="false" ht="15" hidden="false" customHeight="true" outlineLevel="0" collapsed="false">
      <c r="A77" s="283" t="s">
        <v>160</v>
      </c>
      <c r="B77" s="284" t="n">
        <v>-1800000</v>
      </c>
    </row>
    <row r="79" customFormat="false" ht="19.5" hidden="false" customHeight="true" outlineLevel="0" collapsed="false">
      <c r="A79" s="288" t="s">
        <v>800</v>
      </c>
    </row>
    <row r="80" customFormat="false" ht="15" hidden="false" customHeight="true" outlineLevel="0" collapsed="false">
      <c r="A80" s="289" t="s">
        <v>801</v>
      </c>
      <c r="B80" s="290" t="n">
        <v>1</v>
      </c>
    </row>
    <row r="82" customFormat="false" ht="27.75" hidden="false" customHeight="true" outlineLevel="0" collapsed="false">
      <c r="A82" s="145" t="s">
        <v>802</v>
      </c>
      <c r="B82" s="145" t="s">
        <v>803</v>
      </c>
      <c r="C82" s="145" t="s">
        <v>804</v>
      </c>
    </row>
    <row r="83" customFormat="false" ht="15" hidden="false" customHeight="true" outlineLevel="0" collapsed="false">
      <c r="A83" s="291" t="s">
        <v>805</v>
      </c>
      <c r="B83" s="292" t="n">
        <v>0</v>
      </c>
      <c r="C83" s="293" t="n">
        <v>0.25</v>
      </c>
    </row>
    <row r="84" customFormat="false" ht="15" hidden="false" customHeight="true" outlineLevel="0" collapsed="false">
      <c r="A84" s="291" t="s">
        <v>806</v>
      </c>
      <c r="B84" s="292" t="n">
        <v>20000000</v>
      </c>
      <c r="C84" s="293" t="n">
        <v>0.5</v>
      </c>
    </row>
    <row r="85" customFormat="false" ht="15" hidden="false" customHeight="true" outlineLevel="0" collapsed="false">
      <c r="A85" s="291" t="s">
        <v>807</v>
      </c>
      <c r="B85" s="292" t="n">
        <v>40000000</v>
      </c>
      <c r="C85" s="293" t="n">
        <v>0.75</v>
      </c>
    </row>
    <row r="86" customFormat="false" ht="15" hidden="false" customHeight="true" outlineLevel="0" collapsed="false">
      <c r="A86" s="291" t="s">
        <v>808</v>
      </c>
      <c r="B86" s="292" t="n">
        <v>60000000</v>
      </c>
      <c r="C86" s="293" t="n">
        <v>1</v>
      </c>
    </row>
    <row r="88" customFormat="false" ht="15" hidden="false" customHeight="true" outlineLevel="0" collapsed="false">
      <c r="A88" s="115" t="s">
        <v>809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B10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</cols>
  <sheetData>
    <row r="1" customFormat="false" ht="15" hidden="false" customHeight="true" outlineLevel="0" collapsed="false">
      <c r="A1" s="5" t="s">
        <v>810</v>
      </c>
      <c r="B1" s="5" t="s">
        <v>811</v>
      </c>
    </row>
    <row r="2" customFormat="false" ht="15" hidden="false" customHeight="true" outlineLevel="0" collapsed="false">
      <c r="A2" s="289" t="n">
        <v>1</v>
      </c>
      <c r="B2" s="294" t="n">
        <f aca="false">(1+Assumptions!$B$26)^INT((A2-1)/12)</f>
        <v>1</v>
      </c>
    </row>
    <row r="3" customFormat="false" ht="15" hidden="false" customHeight="true" outlineLevel="0" collapsed="false">
      <c r="A3" s="289" t="n">
        <v>2</v>
      </c>
      <c r="B3" s="294" t="n">
        <f aca="false">(1+Assumptions!$B$26)^INT((A3-1)/12)</f>
        <v>1</v>
      </c>
    </row>
    <row r="4" customFormat="false" ht="15" hidden="false" customHeight="true" outlineLevel="0" collapsed="false">
      <c r="A4" s="289" t="n">
        <v>3</v>
      </c>
      <c r="B4" s="294" t="n">
        <f aca="false">(1+Assumptions!$B$26)^INT((A4-1)/12)</f>
        <v>1</v>
      </c>
    </row>
    <row r="5" customFormat="false" ht="15" hidden="false" customHeight="true" outlineLevel="0" collapsed="false">
      <c r="A5" s="289" t="n">
        <v>4</v>
      </c>
      <c r="B5" s="294" t="n">
        <f aca="false">(1+Assumptions!$B$26)^INT((A5-1)/12)</f>
        <v>1</v>
      </c>
    </row>
    <row r="6" customFormat="false" ht="15" hidden="false" customHeight="true" outlineLevel="0" collapsed="false">
      <c r="A6" s="289" t="n">
        <v>5</v>
      </c>
      <c r="B6" s="294" t="n">
        <f aca="false">(1+Assumptions!$B$26)^INT((A6-1)/12)</f>
        <v>1</v>
      </c>
    </row>
    <row r="7" customFormat="false" ht="15" hidden="false" customHeight="true" outlineLevel="0" collapsed="false">
      <c r="A7" s="289" t="n">
        <v>6</v>
      </c>
      <c r="B7" s="294" t="n">
        <f aca="false">(1+Assumptions!$B$26)^INT((A7-1)/12)</f>
        <v>1</v>
      </c>
    </row>
    <row r="8" customFormat="false" ht="15" hidden="false" customHeight="true" outlineLevel="0" collapsed="false">
      <c r="A8" s="289" t="n">
        <v>7</v>
      </c>
      <c r="B8" s="294" t="n">
        <f aca="false">(1+Assumptions!$B$26)^INT((A8-1)/12)</f>
        <v>1</v>
      </c>
    </row>
    <row r="9" customFormat="false" ht="15" hidden="false" customHeight="true" outlineLevel="0" collapsed="false">
      <c r="A9" s="289" t="n">
        <v>8</v>
      </c>
      <c r="B9" s="294" t="n">
        <f aca="false">(1+Assumptions!$B$26)^INT((A9-1)/12)</f>
        <v>1</v>
      </c>
    </row>
    <row r="10" customFormat="false" ht="15" hidden="false" customHeight="true" outlineLevel="0" collapsed="false">
      <c r="A10" s="289" t="n">
        <v>9</v>
      </c>
      <c r="B10" s="294" t="n">
        <f aca="false">(1+Assumptions!$B$26)^INT((A10-1)/12)</f>
        <v>1</v>
      </c>
    </row>
    <row r="11" customFormat="false" ht="15" hidden="false" customHeight="true" outlineLevel="0" collapsed="false">
      <c r="A11" s="289" t="n">
        <v>10</v>
      </c>
      <c r="B11" s="294" t="n">
        <f aca="false">(1+Assumptions!$B$26)^INT((A11-1)/12)</f>
        <v>1</v>
      </c>
    </row>
    <row r="12" customFormat="false" ht="15" hidden="false" customHeight="true" outlineLevel="0" collapsed="false">
      <c r="A12" s="289" t="n">
        <v>11</v>
      </c>
      <c r="B12" s="294" t="n">
        <f aca="false">(1+Assumptions!$B$26)^INT((A12-1)/12)</f>
        <v>1</v>
      </c>
    </row>
    <row r="13" customFormat="false" ht="15" hidden="false" customHeight="true" outlineLevel="0" collapsed="false">
      <c r="A13" s="289" t="n">
        <v>12</v>
      </c>
      <c r="B13" s="294" t="n">
        <f aca="false">(1+Assumptions!$B$26)^INT((A13-1)/12)</f>
        <v>1</v>
      </c>
    </row>
    <row r="14" customFormat="false" ht="15" hidden="false" customHeight="true" outlineLevel="0" collapsed="false">
      <c r="A14" s="289" t="n">
        <v>13</v>
      </c>
      <c r="B14" s="294" t="n">
        <f aca="false">(1+Assumptions!$B$26)^INT((A14-1)/12)</f>
        <v>1.02</v>
      </c>
    </row>
    <row r="15" customFormat="false" ht="15" hidden="false" customHeight="true" outlineLevel="0" collapsed="false">
      <c r="A15" s="289" t="n">
        <v>14</v>
      </c>
      <c r="B15" s="294" t="n">
        <f aca="false">(1+Assumptions!$B$26)^INT((A15-1)/12)</f>
        <v>1.02</v>
      </c>
    </row>
    <row r="16" customFormat="false" ht="15" hidden="false" customHeight="true" outlineLevel="0" collapsed="false">
      <c r="A16" s="289" t="n">
        <v>15</v>
      </c>
      <c r="B16" s="294" t="n">
        <f aca="false">(1+Assumptions!$B$26)^INT((A16-1)/12)</f>
        <v>1.02</v>
      </c>
    </row>
    <row r="17" customFormat="false" ht="15" hidden="false" customHeight="true" outlineLevel="0" collapsed="false">
      <c r="A17" s="289" t="n">
        <v>16</v>
      </c>
      <c r="B17" s="294" t="n">
        <f aca="false">(1+Assumptions!$B$26)^INT((A17-1)/12)</f>
        <v>1.02</v>
      </c>
    </row>
    <row r="18" customFormat="false" ht="15" hidden="false" customHeight="true" outlineLevel="0" collapsed="false">
      <c r="A18" s="289" t="n">
        <v>17</v>
      </c>
      <c r="B18" s="294" t="n">
        <f aca="false">(1+Assumptions!$B$26)^INT((A18-1)/12)</f>
        <v>1.02</v>
      </c>
    </row>
    <row r="19" customFormat="false" ht="15" hidden="false" customHeight="true" outlineLevel="0" collapsed="false">
      <c r="A19" s="289" t="n">
        <v>18</v>
      </c>
      <c r="B19" s="294" t="n">
        <f aca="false">(1+Assumptions!$B$26)^INT((A19-1)/12)</f>
        <v>1.02</v>
      </c>
    </row>
    <row r="20" customFormat="false" ht="15" hidden="false" customHeight="true" outlineLevel="0" collapsed="false">
      <c r="A20" s="289" t="n">
        <v>19</v>
      </c>
      <c r="B20" s="294" t="n">
        <f aca="false">(1+Assumptions!$B$26)^INT((A20-1)/12)</f>
        <v>1.02</v>
      </c>
    </row>
    <row r="21" customFormat="false" ht="15" hidden="false" customHeight="true" outlineLevel="0" collapsed="false">
      <c r="A21" s="289" t="n">
        <v>20</v>
      </c>
      <c r="B21" s="294" t="n">
        <f aca="false">(1+Assumptions!$B$26)^INT((A21-1)/12)</f>
        <v>1.02</v>
      </c>
    </row>
    <row r="22" customFormat="false" ht="15" hidden="false" customHeight="true" outlineLevel="0" collapsed="false">
      <c r="A22" s="289" t="n">
        <v>21</v>
      </c>
      <c r="B22" s="294" t="n">
        <f aca="false">(1+Assumptions!$B$26)^INT((A22-1)/12)</f>
        <v>1.02</v>
      </c>
    </row>
    <row r="23" customFormat="false" ht="15" hidden="false" customHeight="true" outlineLevel="0" collapsed="false">
      <c r="A23" s="289" t="n">
        <v>22</v>
      </c>
      <c r="B23" s="294" t="n">
        <f aca="false">(1+Assumptions!$B$26)^INT((A23-1)/12)</f>
        <v>1.02</v>
      </c>
    </row>
    <row r="24" customFormat="false" ht="15" hidden="false" customHeight="true" outlineLevel="0" collapsed="false">
      <c r="A24" s="289" t="n">
        <v>23</v>
      </c>
      <c r="B24" s="294" t="n">
        <f aca="false">(1+Assumptions!$B$26)^INT((A24-1)/12)</f>
        <v>1.02</v>
      </c>
    </row>
    <row r="25" customFormat="false" ht="15" hidden="false" customHeight="true" outlineLevel="0" collapsed="false">
      <c r="A25" s="289" t="n">
        <v>24</v>
      </c>
      <c r="B25" s="294" t="n">
        <f aca="false">(1+Assumptions!$B$26)^INT((A25-1)/12)</f>
        <v>1.02</v>
      </c>
    </row>
    <row r="26" customFormat="false" ht="15" hidden="false" customHeight="true" outlineLevel="0" collapsed="false">
      <c r="A26" s="289" t="n">
        <v>25</v>
      </c>
      <c r="B26" s="294" t="n">
        <f aca="false">(1+Assumptions!$B$26)^INT((A26-1)/12)</f>
        <v>1.0404</v>
      </c>
    </row>
    <row r="27" customFormat="false" ht="15" hidden="false" customHeight="true" outlineLevel="0" collapsed="false">
      <c r="A27" s="289" t="n">
        <v>26</v>
      </c>
      <c r="B27" s="294" t="n">
        <f aca="false">(1+Assumptions!$B$26)^INT((A27-1)/12)</f>
        <v>1.0404</v>
      </c>
    </row>
    <row r="28" customFormat="false" ht="15" hidden="false" customHeight="true" outlineLevel="0" collapsed="false">
      <c r="A28" s="289" t="n">
        <v>27</v>
      </c>
      <c r="B28" s="294" t="n">
        <f aca="false">(1+Assumptions!$B$26)^INT((A28-1)/12)</f>
        <v>1.0404</v>
      </c>
    </row>
    <row r="29" customFormat="false" ht="15" hidden="false" customHeight="true" outlineLevel="0" collapsed="false">
      <c r="A29" s="289" t="n">
        <v>28</v>
      </c>
      <c r="B29" s="294" t="n">
        <f aca="false">(1+Assumptions!$B$26)^INT((A29-1)/12)</f>
        <v>1.0404</v>
      </c>
    </row>
    <row r="30" customFormat="false" ht="15" hidden="false" customHeight="true" outlineLevel="0" collapsed="false">
      <c r="A30" s="289" t="n">
        <v>29</v>
      </c>
      <c r="B30" s="294" t="n">
        <f aca="false">(1+Assumptions!$B$26)^INT((A30-1)/12)</f>
        <v>1.0404</v>
      </c>
    </row>
    <row r="31" customFormat="false" ht="15" hidden="false" customHeight="true" outlineLevel="0" collapsed="false">
      <c r="A31" s="289" t="n">
        <v>30</v>
      </c>
      <c r="B31" s="294" t="n">
        <f aca="false">(1+Assumptions!$B$26)^INT((A31-1)/12)</f>
        <v>1.0404</v>
      </c>
    </row>
    <row r="32" customFormat="false" ht="15" hidden="false" customHeight="true" outlineLevel="0" collapsed="false">
      <c r="A32" s="289" t="n">
        <v>31</v>
      </c>
      <c r="B32" s="294" t="n">
        <f aca="false">(1+Assumptions!$B$26)^INT((A32-1)/12)</f>
        <v>1.0404</v>
      </c>
    </row>
    <row r="33" customFormat="false" ht="15" hidden="false" customHeight="true" outlineLevel="0" collapsed="false">
      <c r="A33" s="289" t="n">
        <v>32</v>
      </c>
      <c r="B33" s="294" t="n">
        <f aca="false">(1+Assumptions!$B$26)^INT((A33-1)/12)</f>
        <v>1.0404</v>
      </c>
    </row>
    <row r="34" customFormat="false" ht="15" hidden="false" customHeight="true" outlineLevel="0" collapsed="false">
      <c r="A34" s="289" t="n">
        <v>33</v>
      </c>
      <c r="B34" s="294" t="n">
        <f aca="false">(1+Assumptions!$B$26)^INT((A34-1)/12)</f>
        <v>1.0404</v>
      </c>
    </row>
    <row r="35" customFormat="false" ht="15" hidden="false" customHeight="true" outlineLevel="0" collapsed="false">
      <c r="A35" s="289" t="n">
        <v>34</v>
      </c>
      <c r="B35" s="294" t="n">
        <f aca="false">(1+Assumptions!$B$26)^INT((A35-1)/12)</f>
        <v>1.0404</v>
      </c>
    </row>
    <row r="36" customFormat="false" ht="15" hidden="false" customHeight="true" outlineLevel="0" collapsed="false">
      <c r="A36" s="289" t="n">
        <v>35</v>
      </c>
      <c r="B36" s="294" t="n">
        <f aca="false">(1+Assumptions!$B$26)^INT((A36-1)/12)</f>
        <v>1.0404</v>
      </c>
    </row>
    <row r="37" customFormat="false" ht="15" hidden="false" customHeight="true" outlineLevel="0" collapsed="false">
      <c r="A37" s="289" t="n">
        <v>36</v>
      </c>
      <c r="B37" s="294" t="n">
        <f aca="false">(1+Assumptions!$B$26)^INT((A37-1)/12)</f>
        <v>1.0404</v>
      </c>
    </row>
    <row r="38" customFormat="false" ht="15" hidden="false" customHeight="true" outlineLevel="0" collapsed="false">
      <c r="A38" s="289" t="n">
        <v>37</v>
      </c>
      <c r="B38" s="294" t="n">
        <f aca="false">(1+Assumptions!$B$26)^INT((A38-1)/12)</f>
        <v>1.061208</v>
      </c>
    </row>
    <row r="39" customFormat="false" ht="15" hidden="false" customHeight="true" outlineLevel="0" collapsed="false">
      <c r="A39" s="289" t="n">
        <v>38</v>
      </c>
      <c r="B39" s="294" t="n">
        <f aca="false">(1+Assumptions!$B$26)^INT((A39-1)/12)</f>
        <v>1.061208</v>
      </c>
    </row>
    <row r="40" customFormat="false" ht="15" hidden="false" customHeight="true" outlineLevel="0" collapsed="false">
      <c r="A40" s="289" t="n">
        <v>39</v>
      </c>
      <c r="B40" s="294" t="n">
        <f aca="false">(1+Assumptions!$B$26)^INT((A40-1)/12)</f>
        <v>1.061208</v>
      </c>
    </row>
    <row r="41" customFormat="false" ht="15" hidden="false" customHeight="true" outlineLevel="0" collapsed="false">
      <c r="A41" s="289" t="n">
        <v>40</v>
      </c>
      <c r="B41" s="294" t="n">
        <f aca="false">(1+Assumptions!$B$26)^INT((A41-1)/12)</f>
        <v>1.061208</v>
      </c>
    </row>
    <row r="42" customFormat="false" ht="15" hidden="false" customHeight="true" outlineLevel="0" collapsed="false">
      <c r="A42" s="289" t="n">
        <v>41</v>
      </c>
      <c r="B42" s="294" t="n">
        <f aca="false">(1+Assumptions!$B$26)^INT((A42-1)/12)</f>
        <v>1.061208</v>
      </c>
    </row>
    <row r="43" customFormat="false" ht="15" hidden="false" customHeight="true" outlineLevel="0" collapsed="false">
      <c r="A43" s="289" t="n">
        <v>42</v>
      </c>
      <c r="B43" s="294" t="n">
        <f aca="false">(1+Assumptions!$B$26)^INT((A43-1)/12)</f>
        <v>1.061208</v>
      </c>
    </row>
    <row r="44" customFormat="false" ht="15" hidden="false" customHeight="true" outlineLevel="0" collapsed="false">
      <c r="A44" s="289" t="n">
        <v>43</v>
      </c>
      <c r="B44" s="294" t="n">
        <f aca="false">(1+Assumptions!$B$26)^INT((A44-1)/12)</f>
        <v>1.061208</v>
      </c>
    </row>
    <row r="45" customFormat="false" ht="15" hidden="false" customHeight="true" outlineLevel="0" collapsed="false">
      <c r="A45" s="289" t="n">
        <v>44</v>
      </c>
      <c r="B45" s="294" t="n">
        <f aca="false">(1+Assumptions!$B$26)^INT((A45-1)/12)</f>
        <v>1.061208</v>
      </c>
    </row>
    <row r="46" customFormat="false" ht="15" hidden="false" customHeight="true" outlineLevel="0" collapsed="false">
      <c r="A46" s="289" t="n">
        <v>45</v>
      </c>
      <c r="B46" s="294" t="n">
        <f aca="false">(1+Assumptions!$B$26)^INT((A46-1)/12)</f>
        <v>1.061208</v>
      </c>
    </row>
    <row r="47" customFormat="false" ht="15" hidden="false" customHeight="true" outlineLevel="0" collapsed="false">
      <c r="A47" s="289" t="n">
        <v>46</v>
      </c>
      <c r="B47" s="294" t="n">
        <f aca="false">(1+Assumptions!$B$26)^INT((A47-1)/12)</f>
        <v>1.061208</v>
      </c>
    </row>
    <row r="48" customFormat="false" ht="15" hidden="false" customHeight="true" outlineLevel="0" collapsed="false">
      <c r="A48" s="289" t="n">
        <v>47</v>
      </c>
      <c r="B48" s="294" t="n">
        <f aca="false">(1+Assumptions!$B$26)^INT((A48-1)/12)</f>
        <v>1.061208</v>
      </c>
    </row>
    <row r="49" customFormat="false" ht="15" hidden="false" customHeight="true" outlineLevel="0" collapsed="false">
      <c r="A49" s="289" t="n">
        <v>48</v>
      </c>
      <c r="B49" s="294" t="n">
        <f aca="false">(1+Assumptions!$B$26)^INT((A49-1)/12)</f>
        <v>1.061208</v>
      </c>
    </row>
    <row r="50" customFormat="false" ht="15" hidden="false" customHeight="true" outlineLevel="0" collapsed="false">
      <c r="A50" s="289" t="n">
        <v>49</v>
      </c>
      <c r="B50" s="294" t="n">
        <f aca="false">(1+Assumptions!$B$26)^INT((A50-1)/12)</f>
        <v>1.08243216</v>
      </c>
    </row>
    <row r="51" customFormat="false" ht="15" hidden="false" customHeight="true" outlineLevel="0" collapsed="false">
      <c r="A51" s="289" t="n">
        <v>50</v>
      </c>
      <c r="B51" s="294" t="n">
        <f aca="false">(1+Assumptions!$B$26)^INT((A51-1)/12)</f>
        <v>1.08243216</v>
      </c>
    </row>
    <row r="52" customFormat="false" ht="15" hidden="false" customHeight="true" outlineLevel="0" collapsed="false">
      <c r="A52" s="289" t="n">
        <v>51</v>
      </c>
      <c r="B52" s="294" t="n">
        <f aca="false">(1+Assumptions!$B$26)^INT((A52-1)/12)</f>
        <v>1.08243216</v>
      </c>
    </row>
    <row r="53" customFormat="false" ht="15" hidden="false" customHeight="true" outlineLevel="0" collapsed="false">
      <c r="A53" s="289" t="n">
        <v>52</v>
      </c>
      <c r="B53" s="294" t="n">
        <f aca="false">(1+Assumptions!$B$26)^INT((A53-1)/12)</f>
        <v>1.08243216</v>
      </c>
    </row>
    <row r="54" customFormat="false" ht="15" hidden="false" customHeight="true" outlineLevel="0" collapsed="false">
      <c r="A54" s="289" t="n">
        <v>53</v>
      </c>
      <c r="B54" s="294" t="n">
        <f aca="false">(1+Assumptions!$B$26)^INT((A54-1)/12)</f>
        <v>1.08243216</v>
      </c>
    </row>
    <row r="55" customFormat="false" ht="15" hidden="false" customHeight="true" outlineLevel="0" collapsed="false">
      <c r="A55" s="289" t="n">
        <v>54</v>
      </c>
      <c r="B55" s="294" t="n">
        <f aca="false">(1+Assumptions!$B$26)^INT((A55-1)/12)</f>
        <v>1.08243216</v>
      </c>
    </row>
    <row r="56" customFormat="false" ht="15" hidden="false" customHeight="true" outlineLevel="0" collapsed="false">
      <c r="A56" s="289" t="n">
        <v>55</v>
      </c>
      <c r="B56" s="294" t="n">
        <f aca="false">(1+Assumptions!$B$26)^INT((A56-1)/12)</f>
        <v>1.08243216</v>
      </c>
    </row>
    <row r="57" customFormat="false" ht="15" hidden="false" customHeight="true" outlineLevel="0" collapsed="false">
      <c r="A57" s="289" t="n">
        <v>56</v>
      </c>
      <c r="B57" s="294" t="n">
        <f aca="false">(1+Assumptions!$B$26)^INT((A57-1)/12)</f>
        <v>1.08243216</v>
      </c>
    </row>
    <row r="58" customFormat="false" ht="15" hidden="false" customHeight="true" outlineLevel="0" collapsed="false">
      <c r="A58" s="289" t="n">
        <v>57</v>
      </c>
      <c r="B58" s="294" t="n">
        <f aca="false">(1+Assumptions!$B$26)^INT((A58-1)/12)</f>
        <v>1.08243216</v>
      </c>
    </row>
    <row r="59" customFormat="false" ht="15" hidden="false" customHeight="true" outlineLevel="0" collapsed="false">
      <c r="A59" s="289" t="n">
        <v>58</v>
      </c>
      <c r="B59" s="294" t="n">
        <f aca="false">(1+Assumptions!$B$26)^INT((A59-1)/12)</f>
        <v>1.08243216</v>
      </c>
    </row>
    <row r="60" customFormat="false" ht="15" hidden="false" customHeight="true" outlineLevel="0" collapsed="false">
      <c r="A60" s="289" t="n">
        <v>59</v>
      </c>
      <c r="B60" s="294" t="n">
        <f aca="false">(1+Assumptions!$B$26)^INT((A60-1)/12)</f>
        <v>1.08243216</v>
      </c>
    </row>
    <row r="61" customFormat="false" ht="15" hidden="false" customHeight="true" outlineLevel="0" collapsed="false">
      <c r="A61" s="289" t="n">
        <v>60</v>
      </c>
      <c r="B61" s="294" t="n">
        <f aca="false">(1+Assumptions!$B$26)^INT((A61-1)/12)</f>
        <v>1.08243216</v>
      </c>
    </row>
    <row r="62" customFormat="false" ht="15" hidden="false" customHeight="true" outlineLevel="0" collapsed="false">
      <c r="A62" s="289" t="n">
        <v>61</v>
      </c>
      <c r="B62" s="294" t="n">
        <f aca="false">(1+Assumptions!$B$26)^INT((A62-1)/12)</f>
        <v>1.1040808032</v>
      </c>
    </row>
    <row r="63" customFormat="false" ht="15" hidden="false" customHeight="true" outlineLevel="0" collapsed="false">
      <c r="A63" s="289" t="n">
        <v>62</v>
      </c>
      <c r="B63" s="294" t="n">
        <f aca="false">(1+Assumptions!$B$26)^INT((A63-1)/12)</f>
        <v>1.1040808032</v>
      </c>
    </row>
    <row r="64" customFormat="false" ht="15" hidden="false" customHeight="true" outlineLevel="0" collapsed="false">
      <c r="A64" s="289" t="n">
        <v>63</v>
      </c>
      <c r="B64" s="294" t="n">
        <f aca="false">(1+Assumptions!$B$26)^INT((A64-1)/12)</f>
        <v>1.1040808032</v>
      </c>
    </row>
    <row r="65" customFormat="false" ht="15" hidden="false" customHeight="true" outlineLevel="0" collapsed="false">
      <c r="A65" s="289" t="n">
        <v>64</v>
      </c>
      <c r="B65" s="294" t="n">
        <f aca="false">(1+Assumptions!$B$26)^INT((A65-1)/12)</f>
        <v>1.1040808032</v>
      </c>
    </row>
    <row r="66" customFormat="false" ht="15" hidden="false" customHeight="true" outlineLevel="0" collapsed="false">
      <c r="A66" s="289" t="n">
        <v>65</v>
      </c>
      <c r="B66" s="294" t="n">
        <f aca="false">(1+Assumptions!$B$26)^INT((A66-1)/12)</f>
        <v>1.1040808032</v>
      </c>
    </row>
    <row r="67" customFormat="false" ht="15" hidden="false" customHeight="true" outlineLevel="0" collapsed="false">
      <c r="A67" s="289" t="n">
        <v>66</v>
      </c>
      <c r="B67" s="294" t="n">
        <f aca="false">(1+Assumptions!$B$26)^INT((A67-1)/12)</f>
        <v>1.1040808032</v>
      </c>
    </row>
    <row r="68" customFormat="false" ht="15" hidden="false" customHeight="true" outlineLevel="0" collapsed="false">
      <c r="A68" s="289" t="n">
        <v>67</v>
      </c>
      <c r="B68" s="294" t="n">
        <f aca="false">(1+Assumptions!$B$26)^INT((A68-1)/12)</f>
        <v>1.1040808032</v>
      </c>
    </row>
    <row r="69" customFormat="false" ht="15" hidden="false" customHeight="true" outlineLevel="0" collapsed="false">
      <c r="A69" s="289" t="n">
        <v>68</v>
      </c>
      <c r="B69" s="294" t="n">
        <f aca="false">(1+Assumptions!$B$26)^INT((A69-1)/12)</f>
        <v>1.1040808032</v>
      </c>
    </row>
    <row r="70" customFormat="false" ht="15" hidden="false" customHeight="true" outlineLevel="0" collapsed="false">
      <c r="A70" s="289" t="n">
        <v>69</v>
      </c>
      <c r="B70" s="294" t="n">
        <f aca="false">(1+Assumptions!$B$26)^INT((A70-1)/12)</f>
        <v>1.1040808032</v>
      </c>
    </row>
    <row r="71" customFormat="false" ht="15" hidden="false" customHeight="true" outlineLevel="0" collapsed="false">
      <c r="A71" s="289" t="n">
        <v>70</v>
      </c>
      <c r="B71" s="294" t="n">
        <f aca="false">(1+Assumptions!$B$26)^INT((A71-1)/12)</f>
        <v>1.1040808032</v>
      </c>
    </row>
    <row r="72" customFormat="false" ht="15" hidden="false" customHeight="true" outlineLevel="0" collapsed="false">
      <c r="A72" s="289" t="n">
        <v>71</v>
      </c>
      <c r="B72" s="294" t="n">
        <f aca="false">(1+Assumptions!$B$26)^INT((A72-1)/12)</f>
        <v>1.1040808032</v>
      </c>
    </row>
    <row r="73" customFormat="false" ht="15" hidden="false" customHeight="true" outlineLevel="0" collapsed="false">
      <c r="A73" s="289" t="n">
        <v>72</v>
      </c>
      <c r="B73" s="294" t="n">
        <f aca="false">(1+Assumptions!$B$26)^INT((A73-1)/12)</f>
        <v>1.1040808032</v>
      </c>
    </row>
    <row r="74" customFormat="false" ht="15" hidden="false" customHeight="true" outlineLevel="0" collapsed="false">
      <c r="A74" s="289" t="n">
        <v>73</v>
      </c>
      <c r="B74" s="294" t="n">
        <f aca="false">(1+Assumptions!$B$26)^INT((A74-1)/12)</f>
        <v>1.126162419264</v>
      </c>
    </row>
    <row r="75" customFormat="false" ht="15" hidden="false" customHeight="true" outlineLevel="0" collapsed="false">
      <c r="A75" s="289" t="n">
        <v>74</v>
      </c>
      <c r="B75" s="294" t="n">
        <f aca="false">(1+Assumptions!$B$26)^INT((A75-1)/12)</f>
        <v>1.126162419264</v>
      </c>
    </row>
    <row r="76" customFormat="false" ht="15" hidden="false" customHeight="true" outlineLevel="0" collapsed="false">
      <c r="A76" s="289" t="n">
        <v>75</v>
      </c>
      <c r="B76" s="294" t="n">
        <f aca="false">(1+Assumptions!$B$26)^INT((A76-1)/12)</f>
        <v>1.126162419264</v>
      </c>
    </row>
    <row r="77" customFormat="false" ht="15" hidden="false" customHeight="true" outlineLevel="0" collapsed="false">
      <c r="A77" s="289" t="n">
        <v>76</v>
      </c>
      <c r="B77" s="294" t="n">
        <f aca="false">(1+Assumptions!$B$26)^INT((A77-1)/12)</f>
        <v>1.126162419264</v>
      </c>
    </row>
    <row r="78" customFormat="false" ht="15" hidden="false" customHeight="true" outlineLevel="0" collapsed="false">
      <c r="A78" s="289" t="n">
        <v>77</v>
      </c>
      <c r="B78" s="294" t="n">
        <f aca="false">(1+Assumptions!$B$26)^INT((A78-1)/12)</f>
        <v>1.126162419264</v>
      </c>
    </row>
    <row r="79" customFormat="false" ht="15" hidden="false" customHeight="true" outlineLevel="0" collapsed="false">
      <c r="A79" s="289" t="n">
        <v>78</v>
      </c>
      <c r="B79" s="294" t="n">
        <f aca="false">(1+Assumptions!$B$26)^INT((A79-1)/12)</f>
        <v>1.126162419264</v>
      </c>
    </row>
    <row r="80" customFormat="false" ht="15" hidden="false" customHeight="true" outlineLevel="0" collapsed="false">
      <c r="A80" s="289" t="n">
        <v>79</v>
      </c>
      <c r="B80" s="294" t="n">
        <f aca="false">(1+Assumptions!$B$26)^INT((A80-1)/12)</f>
        <v>1.126162419264</v>
      </c>
    </row>
    <row r="81" customFormat="false" ht="15" hidden="false" customHeight="true" outlineLevel="0" collapsed="false">
      <c r="A81" s="289" t="n">
        <v>80</v>
      </c>
      <c r="B81" s="294" t="n">
        <f aca="false">(1+Assumptions!$B$26)^INT((A81-1)/12)</f>
        <v>1.126162419264</v>
      </c>
    </row>
    <row r="82" customFormat="false" ht="15" hidden="false" customHeight="true" outlineLevel="0" collapsed="false">
      <c r="A82" s="289" t="n">
        <v>81</v>
      </c>
      <c r="B82" s="294" t="n">
        <f aca="false">(1+Assumptions!$B$26)^INT((A82-1)/12)</f>
        <v>1.126162419264</v>
      </c>
    </row>
    <row r="83" customFormat="false" ht="15" hidden="false" customHeight="true" outlineLevel="0" collapsed="false">
      <c r="A83" s="289" t="n">
        <v>82</v>
      </c>
      <c r="B83" s="294" t="n">
        <f aca="false">(1+Assumptions!$B$26)^INT((A83-1)/12)</f>
        <v>1.126162419264</v>
      </c>
    </row>
    <row r="84" customFormat="false" ht="15" hidden="false" customHeight="true" outlineLevel="0" collapsed="false">
      <c r="A84" s="289" t="n">
        <v>83</v>
      </c>
      <c r="B84" s="294" t="n">
        <f aca="false">(1+Assumptions!$B$26)^INT((A84-1)/12)</f>
        <v>1.126162419264</v>
      </c>
    </row>
    <row r="85" customFormat="false" ht="15" hidden="false" customHeight="true" outlineLevel="0" collapsed="false">
      <c r="A85" s="289" t="n">
        <v>84</v>
      </c>
      <c r="B85" s="294" t="n">
        <f aca="false">(1+Assumptions!$B$26)^INT((A85-1)/12)</f>
        <v>1.126162419264</v>
      </c>
    </row>
    <row r="86" customFormat="false" ht="15" hidden="false" customHeight="true" outlineLevel="0" collapsed="false">
      <c r="A86" s="3" t="n">
        <v>85</v>
      </c>
      <c r="B86" s="3" t="n">
        <f aca="false">(1+Assumptions!$B$26)^INT((A86-1)/12)</f>
        <v>1.14868566764928</v>
      </c>
    </row>
    <row r="87" customFormat="false" ht="15" hidden="false" customHeight="true" outlineLevel="0" collapsed="false">
      <c r="A87" s="3" t="n">
        <v>86</v>
      </c>
      <c r="B87" s="3" t="n">
        <f aca="false">(1+Assumptions!$B$26)^INT((A87-1)/12)</f>
        <v>1.14868566764928</v>
      </c>
    </row>
    <row r="88" customFormat="false" ht="15" hidden="false" customHeight="true" outlineLevel="0" collapsed="false">
      <c r="A88" s="3" t="n">
        <v>87</v>
      </c>
      <c r="B88" s="3" t="n">
        <f aca="false">(1+Assumptions!$B$26)^INT((A88-1)/12)</f>
        <v>1.14868566764928</v>
      </c>
    </row>
    <row r="89" customFormat="false" ht="15" hidden="false" customHeight="true" outlineLevel="0" collapsed="false">
      <c r="A89" s="3" t="n">
        <v>88</v>
      </c>
      <c r="B89" s="3" t="n">
        <f aca="false">(1+Assumptions!$B$26)^INT((A89-1)/12)</f>
        <v>1.14868566764928</v>
      </c>
    </row>
    <row r="90" customFormat="false" ht="15" hidden="false" customHeight="true" outlineLevel="0" collapsed="false">
      <c r="A90" s="3" t="n">
        <v>89</v>
      </c>
      <c r="B90" s="3" t="n">
        <f aca="false">(1+Assumptions!$B$26)^INT((A90-1)/12)</f>
        <v>1.14868566764928</v>
      </c>
    </row>
    <row r="91" customFormat="false" ht="15" hidden="false" customHeight="true" outlineLevel="0" collapsed="false">
      <c r="A91" s="3" t="n">
        <v>90</v>
      </c>
      <c r="B91" s="3" t="n">
        <f aca="false">(1+Assumptions!$B$26)^INT((A91-1)/12)</f>
        <v>1.14868566764928</v>
      </c>
    </row>
    <row r="92" customFormat="false" ht="15" hidden="false" customHeight="true" outlineLevel="0" collapsed="false">
      <c r="A92" s="3" t="n">
        <v>91</v>
      </c>
      <c r="B92" s="3" t="n">
        <f aca="false">(1+Assumptions!$B$26)^INT((A92-1)/12)</f>
        <v>1.14868566764928</v>
      </c>
    </row>
    <row r="93" customFormat="false" ht="15" hidden="false" customHeight="true" outlineLevel="0" collapsed="false">
      <c r="A93" s="3" t="n">
        <v>92</v>
      </c>
      <c r="B93" s="3" t="n">
        <f aca="false">(1+Assumptions!$B$26)^INT((A93-1)/12)</f>
        <v>1.14868566764928</v>
      </c>
    </row>
    <row r="94" customFormat="false" ht="15" hidden="false" customHeight="true" outlineLevel="0" collapsed="false">
      <c r="A94" s="3" t="n">
        <v>93</v>
      </c>
      <c r="B94" s="3" t="n">
        <f aca="false">(1+Assumptions!$B$26)^INT((A94-1)/12)</f>
        <v>1.14868566764928</v>
      </c>
    </row>
    <row r="95" customFormat="false" ht="15" hidden="false" customHeight="true" outlineLevel="0" collapsed="false">
      <c r="A95" s="3" t="n">
        <v>94</v>
      </c>
      <c r="B95" s="3" t="n">
        <f aca="false">(1+Assumptions!$B$26)^INT((A95-1)/12)</f>
        <v>1.14868566764928</v>
      </c>
    </row>
    <row r="96" customFormat="false" ht="15" hidden="false" customHeight="true" outlineLevel="0" collapsed="false">
      <c r="A96" s="3" t="n">
        <v>95</v>
      </c>
      <c r="B96" s="3" t="n">
        <f aca="false">(1+Assumptions!$B$26)^INT((A96-1)/12)</f>
        <v>1.14868566764928</v>
      </c>
    </row>
    <row r="97" customFormat="false" ht="15" hidden="false" customHeight="true" outlineLevel="0" collapsed="false">
      <c r="A97" s="3" t="n">
        <v>96</v>
      </c>
      <c r="B97" s="3" t="n">
        <f aca="false">(1+Assumptions!$B$26)^INT((A97-1)/12)</f>
        <v>1.14868566764928</v>
      </c>
    </row>
    <row r="98" customFormat="false" ht="15" hidden="false" customHeight="true" outlineLevel="0" collapsed="false">
      <c r="A98" s="3" t="n">
        <v>97</v>
      </c>
      <c r="B98" s="3" t="n">
        <f aca="false">(1+Assumptions!$B$26)^INT((A98-1)/12)</f>
        <v>1.17165938100227</v>
      </c>
    </row>
    <row r="99" customFormat="false" ht="15" hidden="false" customHeight="true" outlineLevel="0" collapsed="false">
      <c r="A99" s="3" t="n">
        <v>98</v>
      </c>
      <c r="B99" s="3" t="n">
        <f aca="false">(1+Assumptions!$B$26)^INT((A99-1)/12)</f>
        <v>1.17165938100227</v>
      </c>
    </row>
    <row r="100" customFormat="false" ht="15" hidden="false" customHeight="true" outlineLevel="0" collapsed="false">
      <c r="A100" s="3" t="n">
        <v>99</v>
      </c>
      <c r="B100" s="3" t="n">
        <f aca="false">(1+Assumptions!$B$26)^INT((A100-1)/12)</f>
        <v>1.17165938100227</v>
      </c>
    </row>
    <row r="101" customFormat="false" ht="15" hidden="false" customHeight="true" outlineLevel="0" collapsed="false">
      <c r="A101" s="3" t="n">
        <v>100</v>
      </c>
      <c r="B101" s="3" t="n">
        <f aca="false">(1+Assumptions!$B$26)^INT((A101-1)/12)</f>
        <v>1.17165938100227</v>
      </c>
    </row>
    <row r="102" customFormat="false" ht="15" hidden="false" customHeight="true" outlineLevel="0" collapsed="false">
      <c r="A102" s="3" t="n">
        <v>101</v>
      </c>
      <c r="B102" s="3" t="n">
        <f aca="false">(1+Assumptions!$B$26)^INT((A102-1)/12)</f>
        <v>1.17165938100227</v>
      </c>
    </row>
    <row r="103" customFormat="false" ht="15" hidden="false" customHeight="true" outlineLevel="0" collapsed="false">
      <c r="A103" s="3" t="n">
        <v>102</v>
      </c>
      <c r="B103" s="3" t="n">
        <f aca="false">(1+Assumptions!$B$26)^INT((A103-1)/12)</f>
        <v>1.17165938100227</v>
      </c>
    </row>
    <row r="104" customFormat="false" ht="15" hidden="false" customHeight="true" outlineLevel="0" collapsed="false">
      <c r="A104" s="3" t="n">
        <v>103</v>
      </c>
      <c r="B104" s="3" t="n">
        <f aca="false">(1+Assumptions!$B$26)^INT((A104-1)/12)</f>
        <v>1.17165938100227</v>
      </c>
    </row>
    <row r="105" customFormat="false" ht="15" hidden="false" customHeight="true" outlineLevel="0" collapsed="false">
      <c r="A105" s="3" t="n">
        <v>104</v>
      </c>
      <c r="B105" s="3" t="n">
        <f aca="false">(1+Assumptions!$B$26)^INT((A105-1)/12)</f>
        <v>1.17165938100227</v>
      </c>
    </row>
    <row r="106" customFormat="false" ht="15" hidden="false" customHeight="true" outlineLevel="0" collapsed="false">
      <c r="A106" s="3" t="n">
        <v>105</v>
      </c>
      <c r="B106" s="3" t="n">
        <f aca="false">(1+Assumptions!$B$26)^INT((A106-1)/12)</f>
        <v>1.17165938100227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F10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86" min="3" style="1" width="12"/>
  </cols>
  <sheetData>
    <row r="1" customFormat="false" ht="17.25" hidden="false" customHeight="true" outlineLevel="0" collapsed="false">
      <c r="A1" s="274" t="s">
        <v>812</v>
      </c>
      <c r="B1" s="274"/>
      <c r="C1" s="274"/>
      <c r="D1" s="27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  <c r="CI2" s="6" t="n">
        <v>48639</v>
      </c>
      <c r="CJ2" s="6" t="n">
        <v>48639</v>
      </c>
      <c r="CK2" s="6" t="n">
        <v>48639</v>
      </c>
      <c r="CL2" s="6" t="n">
        <v>48639</v>
      </c>
      <c r="CM2" s="6" t="n">
        <v>48639</v>
      </c>
      <c r="CN2" s="6" t="n">
        <v>48639</v>
      </c>
      <c r="CO2" s="6" t="n">
        <v>48639</v>
      </c>
      <c r="CP2" s="6" t="n">
        <v>48639</v>
      </c>
      <c r="CQ2" s="6" t="n">
        <v>48639</v>
      </c>
    </row>
    <row r="3" customFormat="false" ht="15" hidden="false" customHeight="true" outlineLevel="0" collapsed="false">
      <c r="A3" s="175" t="s">
        <v>1</v>
      </c>
      <c r="C3" s="289" t="n">
        <v>1</v>
      </c>
      <c r="D3" s="289" t="n">
        <v>2</v>
      </c>
      <c r="E3" s="289" t="n">
        <v>3</v>
      </c>
      <c r="F3" s="289" t="n">
        <v>4</v>
      </c>
      <c r="G3" s="289" t="n">
        <v>5</v>
      </c>
      <c r="H3" s="289" t="n">
        <v>6</v>
      </c>
      <c r="I3" s="289" t="n">
        <v>7</v>
      </c>
      <c r="J3" s="289" t="n">
        <v>8</v>
      </c>
      <c r="K3" s="289" t="n">
        <v>9</v>
      </c>
      <c r="L3" s="289" t="n">
        <v>10</v>
      </c>
      <c r="M3" s="289" t="n">
        <v>11</v>
      </c>
      <c r="N3" s="289" t="n">
        <v>12</v>
      </c>
      <c r="O3" s="289" t="n">
        <v>13</v>
      </c>
      <c r="P3" s="289" t="n">
        <v>14</v>
      </c>
      <c r="Q3" s="289" t="n">
        <v>15</v>
      </c>
      <c r="R3" s="289" t="n">
        <v>16</v>
      </c>
      <c r="S3" s="289" t="n">
        <v>17</v>
      </c>
      <c r="T3" s="289" t="n">
        <v>18</v>
      </c>
      <c r="U3" s="289" t="n">
        <v>19</v>
      </c>
      <c r="V3" s="289" t="n">
        <v>20</v>
      </c>
      <c r="W3" s="289" t="n">
        <v>21</v>
      </c>
      <c r="X3" s="289" t="n">
        <v>22</v>
      </c>
      <c r="Y3" s="289" t="n">
        <v>23</v>
      </c>
      <c r="Z3" s="289" t="n">
        <v>24</v>
      </c>
      <c r="AA3" s="289" t="n">
        <v>25</v>
      </c>
      <c r="AB3" s="289" t="n">
        <v>26</v>
      </c>
      <c r="AC3" s="289" t="n">
        <v>27</v>
      </c>
      <c r="AD3" s="289" t="n">
        <v>28</v>
      </c>
      <c r="AE3" s="289" t="n">
        <v>29</v>
      </c>
      <c r="AF3" s="289" t="n">
        <v>30</v>
      </c>
      <c r="AG3" s="289" t="n">
        <v>31</v>
      </c>
      <c r="AH3" s="289" t="n">
        <v>32</v>
      </c>
      <c r="AI3" s="289" t="n">
        <v>33</v>
      </c>
      <c r="AJ3" s="289" t="n">
        <v>34</v>
      </c>
      <c r="AK3" s="289" t="n">
        <v>35</v>
      </c>
      <c r="AL3" s="289" t="n">
        <v>36</v>
      </c>
      <c r="AM3" s="289" t="n">
        <v>37</v>
      </c>
      <c r="AN3" s="289" t="n">
        <v>38</v>
      </c>
      <c r="AO3" s="289" t="n">
        <v>39</v>
      </c>
      <c r="AP3" s="289" t="n">
        <v>40</v>
      </c>
      <c r="AQ3" s="289" t="n">
        <v>41</v>
      </c>
      <c r="AR3" s="289" t="n">
        <v>42</v>
      </c>
      <c r="AS3" s="289" t="n">
        <v>43</v>
      </c>
      <c r="AT3" s="289" t="n">
        <v>44</v>
      </c>
      <c r="AU3" s="289" t="n">
        <v>45</v>
      </c>
      <c r="AV3" s="289" t="n">
        <v>46</v>
      </c>
      <c r="AW3" s="289" t="n">
        <v>47</v>
      </c>
      <c r="AX3" s="289" t="n">
        <v>48</v>
      </c>
      <c r="AY3" s="289" t="n">
        <v>49</v>
      </c>
      <c r="AZ3" s="289" t="n">
        <v>50</v>
      </c>
      <c r="BA3" s="289" t="n">
        <v>51</v>
      </c>
      <c r="BB3" s="289" t="n">
        <v>52</v>
      </c>
      <c r="BC3" s="289" t="n">
        <v>53</v>
      </c>
      <c r="BD3" s="289" t="n">
        <v>54</v>
      </c>
      <c r="BE3" s="289" t="n">
        <v>55</v>
      </c>
      <c r="BF3" s="289" t="n">
        <v>56</v>
      </c>
      <c r="BG3" s="289" t="n">
        <v>57</v>
      </c>
      <c r="BH3" s="289" t="n">
        <v>58</v>
      </c>
      <c r="BI3" s="289" t="n">
        <v>59</v>
      </c>
      <c r="BJ3" s="289" t="n">
        <v>60</v>
      </c>
      <c r="BK3" s="289" t="n">
        <v>61</v>
      </c>
      <c r="BL3" s="289" t="n">
        <v>62</v>
      </c>
      <c r="BM3" s="289" t="n">
        <v>63</v>
      </c>
      <c r="BN3" s="289" t="n">
        <v>64</v>
      </c>
      <c r="BO3" s="289" t="n">
        <v>65</v>
      </c>
      <c r="BP3" s="289" t="n">
        <v>66</v>
      </c>
      <c r="BQ3" s="289" t="n">
        <v>67</v>
      </c>
      <c r="BR3" s="289" t="n">
        <v>68</v>
      </c>
      <c r="BS3" s="289" t="n">
        <v>69</v>
      </c>
      <c r="BT3" s="289" t="n">
        <v>70</v>
      </c>
      <c r="BU3" s="289" t="n">
        <v>71</v>
      </c>
      <c r="BV3" s="289" t="n">
        <v>72</v>
      </c>
      <c r="BW3" s="289" t="n">
        <v>73</v>
      </c>
      <c r="BX3" s="289" t="n">
        <v>74</v>
      </c>
      <c r="BY3" s="289" t="n">
        <v>75</v>
      </c>
      <c r="BZ3" s="289" t="n">
        <v>76</v>
      </c>
      <c r="CA3" s="289" t="n">
        <v>77</v>
      </c>
      <c r="CB3" s="289" t="n">
        <v>78</v>
      </c>
      <c r="CC3" s="289" t="n">
        <v>79</v>
      </c>
      <c r="CD3" s="289" t="n">
        <v>80</v>
      </c>
      <c r="CE3" s="289" t="n">
        <v>81</v>
      </c>
      <c r="CF3" s="289" t="n">
        <v>82</v>
      </c>
      <c r="CG3" s="289" t="n">
        <v>83</v>
      </c>
      <c r="CH3" s="289" t="n">
        <v>84</v>
      </c>
      <c r="CI3" s="289" t="n">
        <v>84</v>
      </c>
      <c r="CJ3" s="289" t="n">
        <v>84</v>
      </c>
      <c r="CK3" s="289" t="n">
        <v>84</v>
      </c>
      <c r="CL3" s="289" t="n">
        <v>84</v>
      </c>
      <c r="CM3" s="289" t="n">
        <v>84</v>
      </c>
      <c r="CN3" s="289" t="n">
        <v>84</v>
      </c>
      <c r="CO3" s="289" t="n">
        <v>84</v>
      </c>
      <c r="CP3" s="289" t="n">
        <v>84</v>
      </c>
      <c r="CQ3" s="289" t="n">
        <v>84</v>
      </c>
    </row>
    <row r="4" customFormat="false" ht="15" hidden="false" customHeight="true" outlineLevel="0" collapsed="false">
      <c r="A4" s="175" t="s">
        <v>813</v>
      </c>
      <c r="C4" s="279" t="n">
        <f aca="false">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+IF(AND(1&gt;=Personnel!$E$36,Personnel!$G$36="Yes"),Personnel!$D$36*(1-Personnel!$H$36),0)+IF(AND(1&gt;=Personnel!$E$37,Personnel!$G$37="Yes"),Personnel!$D$37*(1-Personnel!$H$37),0)+IF(AND(1&gt;=Personnel!$E$38,Personnel!$G$38="Yes"),Personnel!$D$38*(1-Personnel!$H$38),0)+IF(AND(1&gt;=Personnel!$E$39,Personnel!$G$39="Yes"),Personnel!$D$39*(1-Personnel!$H$39),0)+IF(AND(1&gt;=Personnel!$E$40,Personnel!$G$40="Yes"),Personnel!$D$40*(1-Personnel!$H$40),0)+IF(AND(1&gt;=Personnel!$E$41,Personnel!$G$41="Yes"),Personnel!$D$41*(1-Personnel!$H$41),0)+IF(AND(1&gt;=Personnel!$E$42,Personnel!$G$42="Yes"),Personnel!$D$42*(1-Personnel!$H$42),0))*Escalation!$B$2</f>
        <v>225208.333333333</v>
      </c>
      <c r="D4" s="279" t="n">
        <f aca="false">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+IF(AND(2&gt;=Personnel!$E$36,Personnel!$G$36="Yes"),Personnel!$D$36*(1-Personnel!$H$36),0)+IF(AND(2&gt;=Personnel!$E$37,Personnel!$G$37="Yes"),Personnel!$D$37*(1-Personnel!$H$37),0)+IF(AND(2&gt;=Personnel!$E$38,Personnel!$G$38="Yes"),Personnel!$D$38*(1-Personnel!$H$38),0)+IF(AND(2&gt;=Personnel!$E$39,Personnel!$G$39="Yes"),Personnel!$D$39*(1-Personnel!$H$39),0)+IF(AND(2&gt;=Personnel!$E$40,Personnel!$G$40="Yes"),Personnel!$D$40*(1-Personnel!$H$40),0)+IF(AND(2&gt;=Personnel!$E$41,Personnel!$G$41="Yes"),Personnel!$D$41*(1-Personnel!$H$41),0)+IF(AND(2&gt;=Personnel!$E$42,Personnel!$G$42="Yes"),Personnel!$D$42*(1-Personnel!$H$42),0))*Escalation!$B$3</f>
        <v>249791.666666667</v>
      </c>
      <c r="E4" s="279" t="n">
        <f aca="false">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+IF(AND(3&gt;=Personnel!$E$36,Personnel!$G$36="Yes"),Personnel!$D$36*(1-Personnel!$H$36),0)+IF(AND(3&gt;=Personnel!$E$37,Personnel!$G$37="Yes"),Personnel!$D$37*(1-Personnel!$H$37),0)+IF(AND(3&gt;=Personnel!$E$38,Personnel!$G$38="Yes"),Personnel!$D$38*(1-Personnel!$H$38),0)+IF(AND(3&gt;=Personnel!$E$39,Personnel!$G$39="Yes"),Personnel!$D$39*(1-Personnel!$H$39),0)+IF(AND(3&gt;=Personnel!$E$40,Personnel!$G$40="Yes"),Personnel!$D$40*(1-Personnel!$H$40),0)+IF(AND(3&gt;=Personnel!$E$41,Personnel!$G$41="Yes"),Personnel!$D$41*(1-Personnel!$H$41),0)+IF(AND(3&gt;=Personnel!$E$42,Personnel!$G$42="Yes"),Personnel!$D$42*(1-Personnel!$H$42),0))*Escalation!$B$4</f>
        <v>274791.666666667</v>
      </c>
      <c r="F4" s="279" t="n">
        <f aca="false">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+IF(AND(4&gt;=Personnel!$E$36,Personnel!$G$36="Yes"),Personnel!$D$36*(1-Personnel!$H$36),0)+IF(AND(4&gt;=Personnel!$E$37,Personnel!$G$37="Yes"),Personnel!$D$37*(1-Personnel!$H$37),0)+IF(AND(4&gt;=Personnel!$E$38,Personnel!$G$38="Yes"),Personnel!$D$38*(1-Personnel!$H$38),0)+IF(AND(4&gt;=Personnel!$E$39,Personnel!$G$39="Yes"),Personnel!$D$39*(1-Personnel!$H$39),0)+IF(AND(4&gt;=Personnel!$E$40,Personnel!$G$40="Yes"),Personnel!$D$40*(1-Personnel!$H$40),0)+IF(AND(4&gt;=Personnel!$E$41,Personnel!$G$41="Yes"),Personnel!$D$41*(1-Personnel!$H$41),0)+IF(AND(4&gt;=Personnel!$E$42,Personnel!$G$42="Yes"),Personnel!$D$42*(1-Personnel!$H$42),0))*Escalation!$B$5</f>
        <v>299791.666666667</v>
      </c>
      <c r="G4" s="279" t="n">
        <f aca="false">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+IF(AND(5&gt;=Personnel!$E$36,Personnel!$G$36="Yes"),Personnel!$D$36*(1-Personnel!$H$36),0)+IF(AND(5&gt;=Personnel!$E$37,Personnel!$G$37="Yes"),Personnel!$D$37*(1-Personnel!$H$37),0)+IF(AND(5&gt;=Personnel!$E$38,Personnel!$G$38="Yes"),Personnel!$D$38*(1-Personnel!$H$38),0)+IF(AND(5&gt;=Personnel!$E$39,Personnel!$G$39="Yes"),Personnel!$D$39*(1-Personnel!$H$39),0)+IF(AND(5&gt;=Personnel!$E$40,Personnel!$G$40="Yes"),Personnel!$D$40*(1-Personnel!$H$40),0)+IF(AND(5&gt;=Personnel!$E$41,Personnel!$G$41="Yes"),Personnel!$D$41*(1-Personnel!$H$41),0)+IF(AND(5&gt;=Personnel!$E$42,Personnel!$G$42="Yes"),Personnel!$D$42*(1-Personnel!$H$42),0))*Escalation!$B$6</f>
        <v>299791.666666667</v>
      </c>
      <c r="H4" s="279" t="n">
        <f aca="false">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+IF(AND(6&gt;=Personnel!$E$36,Personnel!$G$36="Yes"),Personnel!$D$36*(1-Personnel!$H$36),0)+IF(AND(6&gt;=Personnel!$E$37,Personnel!$G$37="Yes"),Personnel!$D$37*(1-Personnel!$H$37),0)+IF(AND(6&gt;=Personnel!$E$38,Personnel!$G$38="Yes"),Personnel!$D$38*(1-Personnel!$H$38),0)+IF(AND(6&gt;=Personnel!$E$39,Personnel!$G$39="Yes"),Personnel!$D$39*(1-Personnel!$H$39),0)+IF(AND(6&gt;=Personnel!$E$40,Personnel!$G$40="Yes"),Personnel!$D$40*(1-Personnel!$H$40),0)+IF(AND(6&gt;=Personnel!$E$41,Personnel!$G$41="Yes"),Personnel!$D$41*(1-Personnel!$H$41),0)+IF(AND(6&gt;=Personnel!$E$42,Personnel!$G$42="Yes"),Personnel!$D$42*(1-Personnel!$H$42),0))*Escalation!$B$7</f>
        <v>313125</v>
      </c>
      <c r="I4" s="279" t="n">
        <f aca="false">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+IF(AND(7&gt;=Personnel!$E$36,Personnel!$G$36="Yes"),Personnel!$D$36*(1-Personnel!$H$36),0)+IF(AND(7&gt;=Personnel!$E$37,Personnel!$G$37="Yes"),Personnel!$D$37*(1-Personnel!$H$37),0)+IF(AND(7&gt;=Personnel!$E$38,Personnel!$G$38="Yes"),Personnel!$D$38*(1-Personnel!$H$38),0)+IF(AND(7&gt;=Personnel!$E$39,Personnel!$G$39="Yes"),Personnel!$D$39*(1-Personnel!$H$39),0)+IF(AND(7&gt;=Personnel!$E$40,Personnel!$G$40="Yes"),Personnel!$D$40*(1-Personnel!$H$40),0)+IF(AND(7&gt;=Personnel!$E$41,Personnel!$G$41="Yes"),Personnel!$D$41*(1-Personnel!$H$41),0)+IF(AND(7&gt;=Personnel!$E$42,Personnel!$G$42="Yes"),Personnel!$D$42*(1-Personnel!$H$42),0))*Escalation!$B$8</f>
        <v>313125</v>
      </c>
      <c r="J4" s="279" t="n">
        <f aca="false">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+IF(AND(8&gt;=Personnel!$E$36,Personnel!$G$36="Yes"),Personnel!$D$36*(1-Personnel!$H$36),0)+IF(AND(8&gt;=Personnel!$E$37,Personnel!$G$37="Yes"),Personnel!$D$37*(1-Personnel!$H$37),0)+IF(AND(8&gt;=Personnel!$E$38,Personnel!$G$38="Yes"),Personnel!$D$38*(1-Personnel!$H$38),0)+IF(AND(8&gt;=Personnel!$E$39,Personnel!$G$39="Yes"),Personnel!$D$39*(1-Personnel!$H$39),0)+IF(AND(8&gt;=Personnel!$E$40,Personnel!$G$40="Yes"),Personnel!$D$40*(1-Personnel!$H$40),0)+IF(AND(8&gt;=Personnel!$E$41,Personnel!$G$41="Yes"),Personnel!$D$41*(1-Personnel!$H$41),0)+IF(AND(8&gt;=Personnel!$E$42,Personnel!$G$42="Yes"),Personnel!$D$42*(1-Personnel!$H$42),0))*Escalation!$B$9</f>
        <v>313125</v>
      </c>
      <c r="K4" s="279" t="n">
        <f aca="false">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+IF(AND(9&gt;=Personnel!$E$36,Personnel!$G$36="Yes"),Personnel!$D$36*(1-Personnel!$H$36),0)+IF(AND(9&gt;=Personnel!$E$37,Personnel!$G$37="Yes"),Personnel!$D$37*(1-Personnel!$H$37),0)+IF(AND(9&gt;=Personnel!$E$38,Personnel!$G$38="Yes"),Personnel!$D$38*(1-Personnel!$H$38),0)+IF(AND(9&gt;=Personnel!$E$39,Personnel!$G$39="Yes"),Personnel!$D$39*(1-Personnel!$H$39),0)+IF(AND(9&gt;=Personnel!$E$40,Personnel!$G$40="Yes"),Personnel!$D$40*(1-Personnel!$H$40),0)+IF(AND(9&gt;=Personnel!$E$41,Personnel!$G$41="Yes"),Personnel!$D$41*(1-Personnel!$H$41),0)+IF(AND(9&gt;=Personnel!$E$42,Personnel!$G$42="Yes"),Personnel!$D$42*(1-Personnel!$H$42),0))*Escalation!$B$10</f>
        <v>323958.333333333</v>
      </c>
      <c r="L4" s="279" t="n">
        <f aca="false">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+IF(AND(10&gt;=Personnel!$E$36,Personnel!$G$36="Yes"),Personnel!$D$36*(1-Personnel!$H$36),0)+IF(AND(10&gt;=Personnel!$E$37,Personnel!$G$37="Yes"),Personnel!$D$37*(1-Personnel!$H$37),0)+IF(AND(10&gt;=Personnel!$E$38,Personnel!$G$38="Yes"),Personnel!$D$38*(1-Personnel!$H$38),0)+IF(AND(10&gt;=Personnel!$E$39,Personnel!$G$39="Yes"),Personnel!$D$39*(1-Personnel!$H$39),0)+IF(AND(10&gt;=Personnel!$E$40,Personnel!$G$40="Yes"),Personnel!$D$40*(1-Personnel!$H$40),0)+IF(AND(10&gt;=Personnel!$E$41,Personnel!$G$41="Yes"),Personnel!$D$41*(1-Personnel!$H$41),0)+IF(AND(10&gt;=Personnel!$E$42,Personnel!$G$42="Yes"),Personnel!$D$42*(1-Personnel!$H$42),0))*Escalation!$B$11</f>
        <v>313541.666666667</v>
      </c>
      <c r="M4" s="279" t="n">
        <f aca="false">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+IF(AND(11&gt;=Personnel!$E$36,Personnel!$G$36="Yes"),Personnel!$D$36*(1-Personnel!$H$36),0)+IF(AND(11&gt;=Personnel!$E$37,Personnel!$G$37="Yes"),Personnel!$D$37*(1-Personnel!$H$37),0)+IF(AND(11&gt;=Personnel!$E$38,Personnel!$G$38="Yes"),Personnel!$D$38*(1-Personnel!$H$38),0)+IF(AND(11&gt;=Personnel!$E$39,Personnel!$G$39="Yes"),Personnel!$D$39*(1-Personnel!$H$39),0)+IF(AND(11&gt;=Personnel!$E$40,Personnel!$G$40="Yes"),Personnel!$D$40*(1-Personnel!$H$40),0)+IF(AND(11&gt;=Personnel!$E$41,Personnel!$G$41="Yes"),Personnel!$D$41*(1-Personnel!$H$41),0)+IF(AND(11&gt;=Personnel!$E$42,Personnel!$G$42="Yes"),Personnel!$D$42*(1-Personnel!$H$42),0))*Escalation!$B$12</f>
        <v>313541.666666667</v>
      </c>
      <c r="N4" s="279" t="n">
        <f aca="false">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+IF(AND(12&gt;=Personnel!$E$36,Personnel!$G$36="Yes"),Personnel!$D$36*(1-Personnel!$H$36),0)+IF(AND(12&gt;=Personnel!$E$37,Personnel!$G$37="Yes"),Personnel!$D$37*(1-Personnel!$H$37),0)+IF(AND(12&gt;=Personnel!$E$38,Personnel!$G$38="Yes"),Personnel!$D$38*(1-Personnel!$H$38),0)+IF(AND(12&gt;=Personnel!$E$39,Personnel!$G$39="Yes"),Personnel!$D$39*(1-Personnel!$H$39),0)+IF(AND(12&gt;=Personnel!$E$40,Personnel!$G$40="Yes"),Personnel!$D$40*(1-Personnel!$H$40),0)+IF(AND(12&gt;=Personnel!$E$41,Personnel!$G$41="Yes"),Personnel!$D$41*(1-Personnel!$H$41),0)+IF(AND(12&gt;=Personnel!$E$42,Personnel!$G$42="Yes"),Personnel!$D$42*(1-Personnel!$H$42),0))*Escalation!$B$13</f>
        <v>313541.666666667</v>
      </c>
      <c r="O4" s="279" t="n">
        <f aca="false">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+IF(AND(13&gt;=Personnel!$E$36,Personnel!$G$36="Yes"),Personnel!$D$36*(1-Personnel!$H$36),0)+IF(AND(13&gt;=Personnel!$E$37,Personnel!$G$37="Yes"),Personnel!$D$37*(1-Personnel!$H$37),0)+IF(AND(13&gt;=Personnel!$E$38,Personnel!$G$38="Yes"),Personnel!$D$38*(1-Personnel!$H$38),0)+IF(AND(13&gt;=Personnel!$E$39,Personnel!$G$39="Yes"),Personnel!$D$39*(1-Personnel!$H$39),0)+IF(AND(13&gt;=Personnel!$E$40,Personnel!$G$40="Yes"),Personnel!$D$40*(1-Personnel!$H$40),0)+IF(AND(13&gt;=Personnel!$E$41,Personnel!$G$41="Yes"),Personnel!$D$41*(1-Personnel!$H$41),0)+IF(AND(13&gt;=Personnel!$E$42,Personnel!$G$42="Yes"),Personnel!$D$42*(1-Personnel!$H$42),0))*Escalation!$B$14</f>
        <v>333412.5</v>
      </c>
      <c r="P4" s="279" t="n">
        <f aca="false">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+IF(AND(14&gt;=Personnel!$E$36,Personnel!$G$36="Yes"),Personnel!$D$36*(1-Personnel!$H$36),0)+IF(AND(14&gt;=Personnel!$E$37,Personnel!$G$37="Yes"),Personnel!$D$37*(1-Personnel!$H$37),0)+IF(AND(14&gt;=Personnel!$E$38,Personnel!$G$38="Yes"),Personnel!$D$38*(1-Personnel!$H$38),0)+IF(AND(14&gt;=Personnel!$E$39,Personnel!$G$39="Yes"),Personnel!$D$39*(1-Personnel!$H$39),0)+IF(AND(14&gt;=Personnel!$E$40,Personnel!$G$40="Yes"),Personnel!$D$40*(1-Personnel!$H$40),0)+IF(AND(14&gt;=Personnel!$E$41,Personnel!$G$41="Yes"),Personnel!$D$41*(1-Personnel!$H$41),0)+IF(AND(14&gt;=Personnel!$E$42,Personnel!$G$42="Yes"),Personnel!$D$42*(1-Personnel!$H$42),0))*Escalation!$B$15</f>
        <v>333412.5</v>
      </c>
      <c r="Q4" s="279" t="n">
        <f aca="false">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+IF(AND(15&gt;=Personnel!$E$36,Personnel!$G$36="Yes"),Personnel!$D$36*(1-Personnel!$H$36),0)+IF(AND(15&gt;=Personnel!$E$37,Personnel!$G$37="Yes"),Personnel!$D$37*(1-Personnel!$H$37),0)+IF(AND(15&gt;=Personnel!$E$38,Personnel!$G$38="Yes"),Personnel!$D$38*(1-Personnel!$H$38),0)+IF(AND(15&gt;=Personnel!$E$39,Personnel!$G$39="Yes"),Personnel!$D$39*(1-Personnel!$H$39),0)+IF(AND(15&gt;=Personnel!$E$40,Personnel!$G$40="Yes"),Personnel!$D$40*(1-Personnel!$H$40),0)+IF(AND(15&gt;=Personnel!$E$41,Personnel!$G$41="Yes"),Personnel!$D$41*(1-Personnel!$H$41),0)+IF(AND(15&gt;=Personnel!$E$42,Personnel!$G$42="Yes"),Personnel!$D$42*(1-Personnel!$H$42),0))*Escalation!$B$16</f>
        <v>333412.5</v>
      </c>
      <c r="R4" s="279" t="n">
        <f aca="false">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+IF(AND(16&gt;=Personnel!$E$36,Personnel!$G$36="Yes"),Personnel!$D$36*(1-Personnel!$H$36),0)+IF(AND(16&gt;=Personnel!$E$37,Personnel!$G$37="Yes"),Personnel!$D$37*(1-Personnel!$H$37),0)+IF(AND(16&gt;=Personnel!$E$38,Personnel!$G$38="Yes"),Personnel!$D$38*(1-Personnel!$H$38),0)+IF(AND(16&gt;=Personnel!$E$39,Personnel!$G$39="Yes"),Personnel!$D$39*(1-Personnel!$H$39),0)+IF(AND(16&gt;=Personnel!$E$40,Personnel!$G$40="Yes"),Personnel!$D$40*(1-Personnel!$H$40),0)+IF(AND(16&gt;=Personnel!$E$41,Personnel!$G$41="Yes"),Personnel!$D$41*(1-Personnel!$H$41),0)+IF(AND(16&gt;=Personnel!$E$42,Personnel!$G$42="Yes"),Personnel!$D$42*(1-Personnel!$H$42),0))*Escalation!$B$17</f>
        <v>333412.5</v>
      </c>
      <c r="S4" s="279" t="n">
        <f aca="false">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+IF(AND(17&gt;=Personnel!$E$36,Personnel!$G$36="Yes"),Personnel!$D$36*(1-Personnel!$H$36),0)+IF(AND(17&gt;=Personnel!$E$37,Personnel!$G$37="Yes"),Personnel!$D$37*(1-Personnel!$H$37),0)+IF(AND(17&gt;=Personnel!$E$38,Personnel!$G$38="Yes"),Personnel!$D$38*(1-Personnel!$H$38),0)+IF(AND(17&gt;=Personnel!$E$39,Personnel!$G$39="Yes"),Personnel!$D$39*(1-Personnel!$H$39),0)+IF(AND(17&gt;=Personnel!$E$40,Personnel!$G$40="Yes"),Personnel!$D$40*(1-Personnel!$H$40),0)+IF(AND(17&gt;=Personnel!$E$41,Personnel!$G$41="Yes"),Personnel!$D$41*(1-Personnel!$H$41),0)+IF(AND(17&gt;=Personnel!$E$42,Personnel!$G$42="Yes"),Personnel!$D$42*(1-Personnel!$H$42),0))*Escalation!$B$18</f>
        <v>333412.5</v>
      </c>
      <c r="T4" s="279" t="n">
        <f aca="false">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+IF(AND(18&gt;=Personnel!$E$36,Personnel!$G$36="Yes"),Personnel!$D$36*(1-Personnel!$H$36),0)+IF(AND(18&gt;=Personnel!$E$37,Personnel!$G$37="Yes"),Personnel!$D$37*(1-Personnel!$H$37),0)+IF(AND(18&gt;=Personnel!$E$38,Personnel!$G$38="Yes"),Personnel!$D$38*(1-Personnel!$H$38),0)+IF(AND(18&gt;=Personnel!$E$39,Personnel!$G$39="Yes"),Personnel!$D$39*(1-Personnel!$H$39),0)+IF(AND(18&gt;=Personnel!$E$40,Personnel!$G$40="Yes"),Personnel!$D$40*(1-Personnel!$H$40),0)+IF(AND(18&gt;=Personnel!$E$41,Personnel!$G$41="Yes"),Personnel!$D$41*(1-Personnel!$H$41),0)+IF(AND(18&gt;=Personnel!$E$42,Personnel!$G$42="Yes"),Personnel!$D$42*(1-Personnel!$H$42),0))*Escalation!$B$19</f>
        <v>333412.5</v>
      </c>
      <c r="U4" s="279" t="n">
        <f aca="false">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+IF(AND(19&gt;=Personnel!$E$36,Personnel!$G$36="Yes"),Personnel!$D$36*(1-Personnel!$H$36),0)+IF(AND(19&gt;=Personnel!$E$37,Personnel!$G$37="Yes"),Personnel!$D$37*(1-Personnel!$H$37),0)+IF(AND(19&gt;=Personnel!$E$38,Personnel!$G$38="Yes"),Personnel!$D$38*(1-Personnel!$H$38),0)+IF(AND(19&gt;=Personnel!$E$39,Personnel!$G$39="Yes"),Personnel!$D$39*(1-Personnel!$H$39),0)+IF(AND(19&gt;=Personnel!$E$40,Personnel!$G$40="Yes"),Personnel!$D$40*(1-Personnel!$H$40),0)+IF(AND(19&gt;=Personnel!$E$41,Personnel!$G$41="Yes"),Personnel!$D$41*(1-Personnel!$H$41),0)+IF(AND(19&gt;=Personnel!$E$42,Personnel!$G$42="Yes"),Personnel!$D$42*(1-Personnel!$H$42),0))*Escalation!$B$20</f>
        <v>333412.5</v>
      </c>
      <c r="V4" s="279" t="n">
        <f aca="false">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+IF(AND(20&gt;=Personnel!$E$36,Personnel!$G$36="Yes"),Personnel!$D$36*(1-Personnel!$H$36),0)+IF(AND(20&gt;=Personnel!$E$37,Personnel!$G$37="Yes"),Personnel!$D$37*(1-Personnel!$H$37),0)+IF(AND(20&gt;=Personnel!$E$38,Personnel!$G$38="Yes"),Personnel!$D$38*(1-Personnel!$H$38),0)+IF(AND(20&gt;=Personnel!$E$39,Personnel!$G$39="Yes"),Personnel!$D$39*(1-Personnel!$H$39),0)+IF(AND(20&gt;=Personnel!$E$40,Personnel!$G$40="Yes"),Personnel!$D$40*(1-Personnel!$H$40),0)+IF(AND(20&gt;=Personnel!$E$41,Personnel!$G$41="Yes"),Personnel!$D$41*(1-Personnel!$H$41),0)+IF(AND(20&gt;=Personnel!$E$42,Personnel!$G$42="Yes"),Personnel!$D$42*(1-Personnel!$H$42),0))*Escalation!$B$21</f>
        <v>333412.5</v>
      </c>
      <c r="W4" s="279" t="n">
        <f aca="false">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+IF(AND(21&gt;=Personnel!$E$36,Personnel!$G$36="Yes"),Personnel!$D$36*(1-Personnel!$H$36),0)+IF(AND(21&gt;=Personnel!$E$37,Personnel!$G$37="Yes"),Personnel!$D$37*(1-Personnel!$H$37),0)+IF(AND(21&gt;=Personnel!$E$38,Personnel!$G$38="Yes"),Personnel!$D$38*(1-Personnel!$H$38),0)+IF(AND(21&gt;=Personnel!$E$39,Personnel!$G$39="Yes"),Personnel!$D$39*(1-Personnel!$H$39),0)+IF(AND(21&gt;=Personnel!$E$40,Personnel!$G$40="Yes"),Personnel!$D$40*(1-Personnel!$H$40),0)+IF(AND(21&gt;=Personnel!$E$41,Personnel!$G$41="Yes"),Personnel!$D$41*(1-Personnel!$H$41),0)+IF(AND(21&gt;=Personnel!$E$42,Personnel!$G$42="Yes"),Personnel!$D$42*(1-Personnel!$H$42),0))*Escalation!$B$22</f>
        <v>333412.5</v>
      </c>
      <c r="X4" s="279" t="n">
        <f aca="false">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+IF(AND(22&gt;=Personnel!$E$36,Personnel!$G$36="Yes"),Personnel!$D$36*(1-Personnel!$H$36),0)+IF(AND(22&gt;=Personnel!$E$37,Personnel!$G$37="Yes"),Personnel!$D$37*(1-Personnel!$H$37),0)+IF(AND(22&gt;=Personnel!$E$38,Personnel!$G$38="Yes"),Personnel!$D$38*(1-Personnel!$H$38),0)+IF(AND(22&gt;=Personnel!$E$39,Personnel!$G$39="Yes"),Personnel!$D$39*(1-Personnel!$H$39),0)+IF(AND(22&gt;=Personnel!$E$40,Personnel!$G$40="Yes"),Personnel!$D$40*(1-Personnel!$H$40),0)+IF(AND(22&gt;=Personnel!$E$41,Personnel!$G$41="Yes"),Personnel!$D$41*(1-Personnel!$H$41),0)+IF(AND(22&gt;=Personnel!$E$42,Personnel!$G$42="Yes"),Personnel!$D$42*(1-Personnel!$H$42),0))*Escalation!$B$23</f>
        <v>333412.5</v>
      </c>
      <c r="Y4" s="279" t="n">
        <f aca="false">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+IF(AND(23&gt;=Personnel!$E$36,Personnel!$G$36="Yes"),Personnel!$D$36*(1-Personnel!$H$36),0)+IF(AND(23&gt;=Personnel!$E$37,Personnel!$G$37="Yes"),Personnel!$D$37*(1-Personnel!$H$37),0)+IF(AND(23&gt;=Personnel!$E$38,Personnel!$G$38="Yes"),Personnel!$D$38*(1-Personnel!$H$38),0)+IF(AND(23&gt;=Personnel!$E$39,Personnel!$G$39="Yes"),Personnel!$D$39*(1-Personnel!$H$39),0)+IF(AND(23&gt;=Personnel!$E$40,Personnel!$G$40="Yes"),Personnel!$D$40*(1-Personnel!$H$40),0)+IF(AND(23&gt;=Personnel!$E$41,Personnel!$G$41="Yes"),Personnel!$D$41*(1-Personnel!$H$41),0)+IF(AND(23&gt;=Personnel!$E$42,Personnel!$G$42="Yes"),Personnel!$D$42*(1-Personnel!$H$42),0))*Escalation!$B$24</f>
        <v>333412.5</v>
      </c>
      <c r="Z4" s="279" t="n">
        <f aca="false">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+IF(AND(24&gt;=Personnel!$E$36,Personnel!$G$36="Yes"),Personnel!$D$36*(1-Personnel!$H$36),0)+IF(AND(24&gt;=Personnel!$E$37,Personnel!$G$37="Yes"),Personnel!$D$37*(1-Personnel!$H$37),0)+IF(AND(24&gt;=Personnel!$E$38,Personnel!$G$38="Yes"),Personnel!$D$38*(1-Personnel!$H$38),0)+IF(AND(24&gt;=Personnel!$E$39,Personnel!$G$39="Yes"),Personnel!$D$39*(1-Personnel!$H$39),0)+IF(AND(24&gt;=Personnel!$E$40,Personnel!$G$40="Yes"),Personnel!$D$40*(1-Personnel!$H$40),0)+IF(AND(24&gt;=Personnel!$E$41,Personnel!$G$41="Yes"),Personnel!$D$41*(1-Personnel!$H$41),0)+IF(AND(24&gt;=Personnel!$E$42,Personnel!$G$42="Yes"),Personnel!$D$42*(1-Personnel!$H$42),0))*Escalation!$B$25</f>
        <v>333412.5</v>
      </c>
      <c r="AA4" s="279" t="n">
        <f aca="false">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+IF(AND(25&gt;=Personnel!$E$36,Personnel!$G$36="Yes"),Personnel!$D$36*(1-Personnel!$H$36),0)+IF(AND(25&gt;=Personnel!$E$37,Personnel!$G$37="Yes"),Personnel!$D$37*(1-Personnel!$H$37),0)+IF(AND(25&gt;=Personnel!$E$38,Personnel!$G$38="Yes"),Personnel!$D$38*(1-Personnel!$H$38),0)+IF(AND(25&gt;=Personnel!$E$39,Personnel!$G$39="Yes"),Personnel!$D$39*(1-Personnel!$H$39),0)+IF(AND(25&gt;=Personnel!$E$40,Personnel!$G$40="Yes"),Personnel!$D$40*(1-Personnel!$H$40),0)+IF(AND(25&gt;=Personnel!$E$41,Personnel!$G$41="Yes"),Personnel!$D$41*(1-Personnel!$H$41),0)+IF(AND(25&gt;=Personnel!$E$42,Personnel!$G$42="Yes"),Personnel!$D$42*(1-Personnel!$H$42),0))*Escalation!$B$26</f>
        <v>340080.75</v>
      </c>
      <c r="AB4" s="279" t="n">
        <f aca="false">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+IF(AND(26&gt;=Personnel!$E$36,Personnel!$G$36="Yes"),Personnel!$D$36*(1-Personnel!$H$36),0)+IF(AND(26&gt;=Personnel!$E$37,Personnel!$G$37="Yes"),Personnel!$D$37*(1-Personnel!$H$37),0)+IF(AND(26&gt;=Personnel!$E$38,Personnel!$G$38="Yes"),Personnel!$D$38*(1-Personnel!$H$38),0)+IF(AND(26&gt;=Personnel!$E$39,Personnel!$G$39="Yes"),Personnel!$D$39*(1-Personnel!$H$39),0)+IF(AND(26&gt;=Personnel!$E$40,Personnel!$G$40="Yes"),Personnel!$D$40*(1-Personnel!$H$40),0)+IF(AND(26&gt;=Personnel!$E$41,Personnel!$G$41="Yes"),Personnel!$D$41*(1-Personnel!$H$41),0)+IF(AND(26&gt;=Personnel!$E$42,Personnel!$G$42="Yes"),Personnel!$D$42*(1-Personnel!$H$42),0))*Escalation!$B$27</f>
        <v>340080.75</v>
      </c>
      <c r="AC4" s="279" t="n">
        <f aca="false">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+IF(AND(27&gt;=Personnel!$E$36,Personnel!$G$36="Yes"),Personnel!$D$36*(1-Personnel!$H$36),0)+IF(AND(27&gt;=Personnel!$E$37,Personnel!$G$37="Yes"),Personnel!$D$37*(1-Personnel!$H$37),0)+IF(AND(27&gt;=Personnel!$E$38,Personnel!$G$38="Yes"),Personnel!$D$38*(1-Personnel!$H$38),0)+IF(AND(27&gt;=Personnel!$E$39,Personnel!$G$39="Yes"),Personnel!$D$39*(1-Personnel!$H$39),0)+IF(AND(27&gt;=Personnel!$E$40,Personnel!$G$40="Yes"),Personnel!$D$40*(1-Personnel!$H$40),0)+IF(AND(27&gt;=Personnel!$E$41,Personnel!$G$41="Yes"),Personnel!$D$41*(1-Personnel!$H$41),0)+IF(AND(27&gt;=Personnel!$E$42,Personnel!$G$42="Yes"),Personnel!$D$42*(1-Personnel!$H$42),0))*Escalation!$B$28</f>
        <v>340080.75</v>
      </c>
      <c r="AD4" s="279" t="n">
        <f aca="false">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+IF(AND(28&gt;=Personnel!$E$36,Personnel!$G$36="Yes"),Personnel!$D$36*(1-Personnel!$H$36),0)+IF(AND(28&gt;=Personnel!$E$37,Personnel!$G$37="Yes"),Personnel!$D$37*(1-Personnel!$H$37),0)+IF(AND(28&gt;=Personnel!$E$38,Personnel!$G$38="Yes"),Personnel!$D$38*(1-Personnel!$H$38),0)+IF(AND(28&gt;=Personnel!$E$39,Personnel!$G$39="Yes"),Personnel!$D$39*(1-Personnel!$H$39),0)+IF(AND(28&gt;=Personnel!$E$40,Personnel!$G$40="Yes"),Personnel!$D$40*(1-Personnel!$H$40),0)+IF(AND(28&gt;=Personnel!$E$41,Personnel!$G$41="Yes"),Personnel!$D$41*(1-Personnel!$H$41),0)+IF(AND(28&gt;=Personnel!$E$42,Personnel!$G$42="Yes"),Personnel!$D$42*(1-Personnel!$H$42),0))*Escalation!$B$29</f>
        <v>340080.75</v>
      </c>
      <c r="AE4" s="279" t="n">
        <f aca="false">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+IF(AND(29&gt;=Personnel!$E$36,Personnel!$G$36="Yes"),Personnel!$D$36*(1-Personnel!$H$36),0)+IF(AND(29&gt;=Personnel!$E$37,Personnel!$G$37="Yes"),Personnel!$D$37*(1-Personnel!$H$37),0)+IF(AND(29&gt;=Personnel!$E$38,Personnel!$G$38="Yes"),Personnel!$D$38*(1-Personnel!$H$38),0)+IF(AND(29&gt;=Personnel!$E$39,Personnel!$G$39="Yes"),Personnel!$D$39*(1-Personnel!$H$39),0)+IF(AND(29&gt;=Personnel!$E$40,Personnel!$G$40="Yes"),Personnel!$D$40*(1-Personnel!$H$40),0)+IF(AND(29&gt;=Personnel!$E$41,Personnel!$G$41="Yes"),Personnel!$D$41*(1-Personnel!$H$41),0)+IF(AND(29&gt;=Personnel!$E$42,Personnel!$G$42="Yes"),Personnel!$D$42*(1-Personnel!$H$42),0))*Escalation!$B$30</f>
        <v>340080.75</v>
      </c>
      <c r="AF4" s="279" t="n">
        <f aca="false">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+IF(AND(30&gt;=Personnel!$E$36,Personnel!$G$36="Yes"),Personnel!$D$36*(1-Personnel!$H$36),0)+IF(AND(30&gt;=Personnel!$E$37,Personnel!$G$37="Yes"),Personnel!$D$37*(1-Personnel!$H$37),0)+IF(AND(30&gt;=Personnel!$E$38,Personnel!$G$38="Yes"),Personnel!$D$38*(1-Personnel!$H$38),0)+IF(AND(30&gt;=Personnel!$E$39,Personnel!$G$39="Yes"),Personnel!$D$39*(1-Personnel!$H$39),0)+IF(AND(30&gt;=Personnel!$E$40,Personnel!$G$40="Yes"),Personnel!$D$40*(1-Personnel!$H$40),0)+IF(AND(30&gt;=Personnel!$E$41,Personnel!$G$41="Yes"),Personnel!$D$41*(1-Personnel!$H$41),0)+IF(AND(30&gt;=Personnel!$E$42,Personnel!$G$42="Yes"),Personnel!$D$42*(1-Personnel!$H$42),0))*Escalation!$B$31</f>
        <v>340080.75</v>
      </c>
      <c r="AG4" s="279" t="n">
        <f aca="false">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+IF(AND(31&gt;=Personnel!$E$36,Personnel!$G$36="Yes"),Personnel!$D$36*(1-Personnel!$H$36),0)+IF(AND(31&gt;=Personnel!$E$37,Personnel!$G$37="Yes"),Personnel!$D$37*(1-Personnel!$H$37),0)+IF(AND(31&gt;=Personnel!$E$38,Personnel!$G$38="Yes"),Personnel!$D$38*(1-Personnel!$H$38),0)+IF(AND(31&gt;=Personnel!$E$39,Personnel!$G$39="Yes"),Personnel!$D$39*(1-Personnel!$H$39),0)+IF(AND(31&gt;=Personnel!$E$40,Personnel!$G$40="Yes"),Personnel!$D$40*(1-Personnel!$H$40),0)+IF(AND(31&gt;=Personnel!$E$41,Personnel!$G$41="Yes"),Personnel!$D$41*(1-Personnel!$H$41),0)+IF(AND(31&gt;=Personnel!$E$42,Personnel!$G$42="Yes"),Personnel!$D$42*(1-Personnel!$H$42),0))*Escalation!$B$32</f>
        <v>340080.75</v>
      </c>
      <c r="AH4" s="279" t="n">
        <f aca="false">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+IF(AND(32&gt;=Personnel!$E$36,Personnel!$G$36="Yes"),Personnel!$D$36*(1-Personnel!$H$36),0)+IF(AND(32&gt;=Personnel!$E$37,Personnel!$G$37="Yes"),Personnel!$D$37*(1-Personnel!$H$37),0)+IF(AND(32&gt;=Personnel!$E$38,Personnel!$G$38="Yes"),Personnel!$D$38*(1-Personnel!$H$38),0)+IF(AND(32&gt;=Personnel!$E$39,Personnel!$G$39="Yes"),Personnel!$D$39*(1-Personnel!$H$39),0)+IF(AND(32&gt;=Personnel!$E$40,Personnel!$G$40="Yes"),Personnel!$D$40*(1-Personnel!$H$40),0)+IF(AND(32&gt;=Personnel!$E$41,Personnel!$G$41="Yes"),Personnel!$D$41*(1-Personnel!$H$41),0)+IF(AND(32&gt;=Personnel!$E$42,Personnel!$G$42="Yes"),Personnel!$D$42*(1-Personnel!$H$42),0))*Escalation!$B$33</f>
        <v>340080.75</v>
      </c>
      <c r="AI4" s="279" t="n">
        <f aca="false">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+IF(AND(33&gt;=Personnel!$E$36,Personnel!$G$36="Yes"),Personnel!$D$36*(1-Personnel!$H$36),0)+IF(AND(33&gt;=Personnel!$E$37,Personnel!$G$37="Yes"),Personnel!$D$37*(1-Personnel!$H$37),0)+IF(AND(33&gt;=Personnel!$E$38,Personnel!$G$38="Yes"),Personnel!$D$38*(1-Personnel!$H$38),0)+IF(AND(33&gt;=Personnel!$E$39,Personnel!$G$39="Yes"),Personnel!$D$39*(1-Personnel!$H$39),0)+IF(AND(33&gt;=Personnel!$E$40,Personnel!$G$40="Yes"),Personnel!$D$40*(1-Personnel!$H$40),0)+IF(AND(33&gt;=Personnel!$E$41,Personnel!$G$41="Yes"),Personnel!$D$41*(1-Personnel!$H$41),0)+IF(AND(33&gt;=Personnel!$E$42,Personnel!$G$42="Yes"),Personnel!$D$42*(1-Personnel!$H$42),0))*Escalation!$B$34</f>
        <v>340080.75</v>
      </c>
      <c r="AJ4" s="279" t="n">
        <f aca="false">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+IF(AND(34&gt;=Personnel!$E$36,Personnel!$G$36="Yes"),Personnel!$D$36*(1-Personnel!$H$36),0)+IF(AND(34&gt;=Personnel!$E$37,Personnel!$G$37="Yes"),Personnel!$D$37*(1-Personnel!$H$37),0)+IF(AND(34&gt;=Personnel!$E$38,Personnel!$G$38="Yes"),Personnel!$D$38*(1-Personnel!$H$38),0)+IF(AND(34&gt;=Personnel!$E$39,Personnel!$G$39="Yes"),Personnel!$D$39*(1-Personnel!$H$39),0)+IF(AND(34&gt;=Personnel!$E$40,Personnel!$G$40="Yes"),Personnel!$D$40*(1-Personnel!$H$40),0)+IF(AND(34&gt;=Personnel!$E$41,Personnel!$G$41="Yes"),Personnel!$D$41*(1-Personnel!$H$41),0)+IF(AND(34&gt;=Personnel!$E$42,Personnel!$G$42="Yes"),Personnel!$D$42*(1-Personnel!$H$42),0))*Escalation!$B$35</f>
        <v>340080.75</v>
      </c>
      <c r="AK4" s="279" t="n">
        <f aca="false">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+IF(AND(35&gt;=Personnel!$E$36,Personnel!$G$36="Yes"),Personnel!$D$36*(1-Personnel!$H$36),0)+IF(AND(35&gt;=Personnel!$E$37,Personnel!$G$37="Yes"),Personnel!$D$37*(1-Personnel!$H$37),0)+IF(AND(35&gt;=Personnel!$E$38,Personnel!$G$38="Yes"),Personnel!$D$38*(1-Personnel!$H$38),0)+IF(AND(35&gt;=Personnel!$E$39,Personnel!$G$39="Yes"),Personnel!$D$39*(1-Personnel!$H$39),0)+IF(AND(35&gt;=Personnel!$E$40,Personnel!$G$40="Yes"),Personnel!$D$40*(1-Personnel!$H$40),0)+IF(AND(35&gt;=Personnel!$E$41,Personnel!$G$41="Yes"),Personnel!$D$41*(1-Personnel!$H$41),0)+IF(AND(35&gt;=Personnel!$E$42,Personnel!$G$42="Yes"),Personnel!$D$42*(1-Personnel!$H$42),0))*Escalation!$B$36</f>
        <v>340080.75</v>
      </c>
      <c r="AL4" s="279" t="n">
        <f aca="false">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+IF(AND(36&gt;=Personnel!$E$36,Personnel!$G$36="Yes"),Personnel!$D$36*(1-Personnel!$H$36),0)+IF(AND(36&gt;=Personnel!$E$37,Personnel!$G$37="Yes"),Personnel!$D$37*(1-Personnel!$H$37),0)+IF(AND(36&gt;=Personnel!$E$38,Personnel!$G$38="Yes"),Personnel!$D$38*(1-Personnel!$H$38),0)+IF(AND(36&gt;=Personnel!$E$39,Personnel!$G$39="Yes"),Personnel!$D$39*(1-Personnel!$H$39),0)+IF(AND(36&gt;=Personnel!$E$40,Personnel!$G$40="Yes"),Personnel!$D$40*(1-Personnel!$H$40),0)+IF(AND(36&gt;=Personnel!$E$41,Personnel!$G$41="Yes"),Personnel!$D$41*(1-Personnel!$H$41),0)+IF(AND(36&gt;=Personnel!$E$42,Personnel!$G$42="Yes"),Personnel!$D$42*(1-Personnel!$H$42),0))*Escalation!$B$37</f>
        <v>340080.75</v>
      </c>
      <c r="AM4" s="279" t="n">
        <f aca="false">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+IF(AND(37&gt;=Personnel!$E$36,Personnel!$G$36="Yes"),Personnel!$D$36*(1-Personnel!$H$36),0)+IF(AND(37&gt;=Personnel!$E$37,Personnel!$G$37="Yes"),Personnel!$D$37*(1-Personnel!$H$37),0)+IF(AND(37&gt;=Personnel!$E$38,Personnel!$G$38="Yes"),Personnel!$D$38*(1-Personnel!$H$38),0)+IF(AND(37&gt;=Personnel!$E$39,Personnel!$G$39="Yes"),Personnel!$D$39*(1-Personnel!$H$39),0)+IF(AND(37&gt;=Personnel!$E$40,Personnel!$G$40="Yes"),Personnel!$D$40*(1-Personnel!$H$40),0)+IF(AND(37&gt;=Personnel!$E$41,Personnel!$G$41="Yes"),Personnel!$D$41*(1-Personnel!$H$41),0)+IF(AND(37&gt;=Personnel!$E$42,Personnel!$G$42="Yes"),Personnel!$D$42*(1-Personnel!$H$42),0))*Escalation!$B$38</f>
        <v>346882.365</v>
      </c>
      <c r="AN4" s="279" t="n">
        <f aca="false">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+IF(AND(38&gt;=Personnel!$E$36,Personnel!$G$36="Yes"),Personnel!$D$36*(1-Personnel!$H$36),0)+IF(AND(38&gt;=Personnel!$E$37,Personnel!$G$37="Yes"),Personnel!$D$37*(1-Personnel!$H$37),0)+IF(AND(38&gt;=Personnel!$E$38,Personnel!$G$38="Yes"),Personnel!$D$38*(1-Personnel!$H$38),0)+IF(AND(38&gt;=Personnel!$E$39,Personnel!$G$39="Yes"),Personnel!$D$39*(1-Personnel!$H$39),0)+IF(AND(38&gt;=Personnel!$E$40,Personnel!$G$40="Yes"),Personnel!$D$40*(1-Personnel!$H$40),0)+IF(AND(38&gt;=Personnel!$E$41,Personnel!$G$41="Yes"),Personnel!$D$41*(1-Personnel!$H$41),0)+IF(AND(38&gt;=Personnel!$E$42,Personnel!$G$42="Yes"),Personnel!$D$42*(1-Personnel!$H$42),0))*Escalation!$B$39</f>
        <v>346882.365</v>
      </c>
      <c r="AO4" s="279" t="n">
        <f aca="false">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+IF(AND(39&gt;=Personnel!$E$36,Personnel!$G$36="Yes"),Personnel!$D$36*(1-Personnel!$H$36),0)+IF(AND(39&gt;=Personnel!$E$37,Personnel!$G$37="Yes"),Personnel!$D$37*(1-Personnel!$H$37),0)+IF(AND(39&gt;=Personnel!$E$38,Personnel!$G$38="Yes"),Personnel!$D$38*(1-Personnel!$H$38),0)+IF(AND(39&gt;=Personnel!$E$39,Personnel!$G$39="Yes"),Personnel!$D$39*(1-Personnel!$H$39),0)+IF(AND(39&gt;=Personnel!$E$40,Personnel!$G$40="Yes"),Personnel!$D$40*(1-Personnel!$H$40),0)+IF(AND(39&gt;=Personnel!$E$41,Personnel!$G$41="Yes"),Personnel!$D$41*(1-Personnel!$H$41),0)+IF(AND(39&gt;=Personnel!$E$42,Personnel!$G$42="Yes"),Personnel!$D$42*(1-Personnel!$H$42),0))*Escalation!$B$40</f>
        <v>346882.365</v>
      </c>
      <c r="AP4" s="279" t="n">
        <f aca="false">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+IF(AND(40&gt;=Personnel!$E$36,Personnel!$G$36="Yes"),Personnel!$D$36*(1-Personnel!$H$36),0)+IF(AND(40&gt;=Personnel!$E$37,Personnel!$G$37="Yes"),Personnel!$D$37*(1-Personnel!$H$37),0)+IF(AND(40&gt;=Personnel!$E$38,Personnel!$G$38="Yes"),Personnel!$D$38*(1-Personnel!$H$38),0)+IF(AND(40&gt;=Personnel!$E$39,Personnel!$G$39="Yes"),Personnel!$D$39*(1-Personnel!$H$39),0)+IF(AND(40&gt;=Personnel!$E$40,Personnel!$G$40="Yes"),Personnel!$D$40*(1-Personnel!$H$40),0)+IF(AND(40&gt;=Personnel!$E$41,Personnel!$G$41="Yes"),Personnel!$D$41*(1-Personnel!$H$41),0)+IF(AND(40&gt;=Personnel!$E$42,Personnel!$G$42="Yes"),Personnel!$D$42*(1-Personnel!$H$42),0))*Escalation!$B$41</f>
        <v>346882.365</v>
      </c>
      <c r="AQ4" s="279" t="n">
        <f aca="false">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+IF(AND(41&gt;=Personnel!$E$36,Personnel!$G$36="Yes"),Personnel!$D$36*(1-Personnel!$H$36),0)+IF(AND(41&gt;=Personnel!$E$37,Personnel!$G$37="Yes"),Personnel!$D$37*(1-Personnel!$H$37),0)+IF(AND(41&gt;=Personnel!$E$38,Personnel!$G$38="Yes"),Personnel!$D$38*(1-Personnel!$H$38),0)+IF(AND(41&gt;=Personnel!$E$39,Personnel!$G$39="Yes"),Personnel!$D$39*(1-Personnel!$H$39),0)+IF(AND(41&gt;=Personnel!$E$40,Personnel!$G$40="Yes"),Personnel!$D$40*(1-Personnel!$H$40),0)+IF(AND(41&gt;=Personnel!$E$41,Personnel!$G$41="Yes"),Personnel!$D$41*(1-Personnel!$H$41),0)+IF(AND(41&gt;=Personnel!$E$42,Personnel!$G$42="Yes"),Personnel!$D$42*(1-Personnel!$H$42),0))*Escalation!$B$42</f>
        <v>346882.365</v>
      </c>
      <c r="AR4" s="279" t="n">
        <f aca="false">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+IF(AND(42&gt;=Personnel!$E$36,Personnel!$G$36="Yes"),Personnel!$D$36*(1-Personnel!$H$36),0)+IF(AND(42&gt;=Personnel!$E$37,Personnel!$G$37="Yes"),Personnel!$D$37*(1-Personnel!$H$37),0)+IF(AND(42&gt;=Personnel!$E$38,Personnel!$G$38="Yes"),Personnel!$D$38*(1-Personnel!$H$38),0)+IF(AND(42&gt;=Personnel!$E$39,Personnel!$G$39="Yes"),Personnel!$D$39*(1-Personnel!$H$39),0)+IF(AND(42&gt;=Personnel!$E$40,Personnel!$G$40="Yes"),Personnel!$D$40*(1-Personnel!$H$40),0)+IF(AND(42&gt;=Personnel!$E$41,Personnel!$G$41="Yes"),Personnel!$D$41*(1-Personnel!$H$41),0)+IF(AND(42&gt;=Personnel!$E$42,Personnel!$G$42="Yes"),Personnel!$D$42*(1-Personnel!$H$42),0))*Escalation!$B$43</f>
        <v>346882.365</v>
      </c>
      <c r="AS4" s="279" t="n">
        <f aca="false">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+IF(AND(43&gt;=Personnel!$E$36,Personnel!$G$36="Yes"),Personnel!$D$36*(1-Personnel!$H$36),0)+IF(AND(43&gt;=Personnel!$E$37,Personnel!$G$37="Yes"),Personnel!$D$37*(1-Personnel!$H$37),0)+IF(AND(43&gt;=Personnel!$E$38,Personnel!$G$38="Yes"),Personnel!$D$38*(1-Personnel!$H$38),0)+IF(AND(43&gt;=Personnel!$E$39,Personnel!$G$39="Yes"),Personnel!$D$39*(1-Personnel!$H$39),0)+IF(AND(43&gt;=Personnel!$E$40,Personnel!$G$40="Yes"),Personnel!$D$40*(1-Personnel!$H$40),0)+IF(AND(43&gt;=Personnel!$E$41,Personnel!$G$41="Yes"),Personnel!$D$41*(1-Personnel!$H$41),0)+IF(AND(43&gt;=Personnel!$E$42,Personnel!$G$42="Yes"),Personnel!$D$42*(1-Personnel!$H$42),0))*Escalation!$B$44</f>
        <v>346882.365</v>
      </c>
      <c r="AT4" s="279" t="n">
        <f aca="false">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+IF(AND(44&gt;=Personnel!$E$36,Personnel!$G$36="Yes"),Personnel!$D$36*(1-Personnel!$H$36),0)+IF(AND(44&gt;=Personnel!$E$37,Personnel!$G$37="Yes"),Personnel!$D$37*(1-Personnel!$H$37),0)+IF(AND(44&gt;=Personnel!$E$38,Personnel!$G$38="Yes"),Personnel!$D$38*(1-Personnel!$H$38),0)+IF(AND(44&gt;=Personnel!$E$39,Personnel!$G$39="Yes"),Personnel!$D$39*(1-Personnel!$H$39),0)+IF(AND(44&gt;=Personnel!$E$40,Personnel!$G$40="Yes"),Personnel!$D$40*(1-Personnel!$H$40),0)+IF(AND(44&gt;=Personnel!$E$41,Personnel!$G$41="Yes"),Personnel!$D$41*(1-Personnel!$H$41),0)+IF(AND(44&gt;=Personnel!$E$42,Personnel!$G$42="Yes"),Personnel!$D$42*(1-Personnel!$H$42),0))*Escalation!$B$45</f>
        <v>346882.365</v>
      </c>
      <c r="AU4" s="279" t="n">
        <f aca="false">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+IF(AND(45&gt;=Personnel!$E$36,Personnel!$G$36="Yes"),Personnel!$D$36*(1-Personnel!$H$36),0)+IF(AND(45&gt;=Personnel!$E$37,Personnel!$G$37="Yes"),Personnel!$D$37*(1-Personnel!$H$37),0)+IF(AND(45&gt;=Personnel!$E$38,Personnel!$G$38="Yes"),Personnel!$D$38*(1-Personnel!$H$38),0)+IF(AND(45&gt;=Personnel!$E$39,Personnel!$G$39="Yes"),Personnel!$D$39*(1-Personnel!$H$39),0)+IF(AND(45&gt;=Personnel!$E$40,Personnel!$G$40="Yes"),Personnel!$D$40*(1-Personnel!$H$40),0)+IF(AND(45&gt;=Personnel!$E$41,Personnel!$G$41="Yes"),Personnel!$D$41*(1-Personnel!$H$41),0)+IF(AND(45&gt;=Personnel!$E$42,Personnel!$G$42="Yes"),Personnel!$D$42*(1-Personnel!$H$42),0))*Escalation!$B$46</f>
        <v>346882.365</v>
      </c>
      <c r="AV4" s="279" t="n">
        <f aca="false">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+IF(AND(46&gt;=Personnel!$E$36,Personnel!$G$36="Yes"),Personnel!$D$36*(1-Personnel!$H$36),0)+IF(AND(46&gt;=Personnel!$E$37,Personnel!$G$37="Yes"),Personnel!$D$37*(1-Personnel!$H$37),0)+IF(AND(46&gt;=Personnel!$E$38,Personnel!$G$38="Yes"),Personnel!$D$38*(1-Personnel!$H$38),0)+IF(AND(46&gt;=Personnel!$E$39,Personnel!$G$39="Yes"),Personnel!$D$39*(1-Personnel!$H$39),0)+IF(AND(46&gt;=Personnel!$E$40,Personnel!$G$40="Yes"),Personnel!$D$40*(1-Personnel!$H$40),0)+IF(AND(46&gt;=Personnel!$E$41,Personnel!$G$41="Yes"),Personnel!$D$41*(1-Personnel!$H$41),0)+IF(AND(46&gt;=Personnel!$E$42,Personnel!$G$42="Yes"),Personnel!$D$42*(1-Personnel!$H$42),0))*Escalation!$B$47</f>
        <v>346882.365</v>
      </c>
      <c r="AW4" s="279" t="n">
        <f aca="false">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+IF(AND(47&gt;=Personnel!$E$36,Personnel!$G$36="Yes"),Personnel!$D$36*(1-Personnel!$H$36),0)+IF(AND(47&gt;=Personnel!$E$37,Personnel!$G$37="Yes"),Personnel!$D$37*(1-Personnel!$H$37),0)+IF(AND(47&gt;=Personnel!$E$38,Personnel!$G$38="Yes"),Personnel!$D$38*(1-Personnel!$H$38),0)+IF(AND(47&gt;=Personnel!$E$39,Personnel!$G$39="Yes"),Personnel!$D$39*(1-Personnel!$H$39),0)+IF(AND(47&gt;=Personnel!$E$40,Personnel!$G$40="Yes"),Personnel!$D$40*(1-Personnel!$H$40),0)+IF(AND(47&gt;=Personnel!$E$41,Personnel!$G$41="Yes"),Personnel!$D$41*(1-Personnel!$H$41),0)+IF(AND(47&gt;=Personnel!$E$42,Personnel!$G$42="Yes"),Personnel!$D$42*(1-Personnel!$H$42),0))*Escalation!$B$48</f>
        <v>346882.365</v>
      </c>
      <c r="AX4" s="279" t="n">
        <f aca="false">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+IF(AND(48&gt;=Personnel!$E$36,Personnel!$G$36="Yes"),Personnel!$D$36*(1-Personnel!$H$36),0)+IF(AND(48&gt;=Personnel!$E$37,Personnel!$G$37="Yes"),Personnel!$D$37*(1-Personnel!$H$37),0)+IF(AND(48&gt;=Personnel!$E$38,Personnel!$G$38="Yes"),Personnel!$D$38*(1-Personnel!$H$38),0)+IF(AND(48&gt;=Personnel!$E$39,Personnel!$G$39="Yes"),Personnel!$D$39*(1-Personnel!$H$39),0)+IF(AND(48&gt;=Personnel!$E$40,Personnel!$G$40="Yes"),Personnel!$D$40*(1-Personnel!$H$40),0)+IF(AND(48&gt;=Personnel!$E$41,Personnel!$G$41="Yes"),Personnel!$D$41*(1-Personnel!$H$41),0)+IF(AND(48&gt;=Personnel!$E$42,Personnel!$G$42="Yes"),Personnel!$D$42*(1-Personnel!$H$42),0))*Escalation!$B$49</f>
        <v>346882.365</v>
      </c>
      <c r="AY4" s="279" t="n">
        <f aca="false">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+IF(AND(49&gt;=Personnel!$E$36,Personnel!$G$36="Yes"),Personnel!$D$36*(1-Personnel!$H$36),0)+IF(AND(49&gt;=Personnel!$E$37,Personnel!$G$37="Yes"),Personnel!$D$37*(1-Personnel!$H$37),0)+IF(AND(49&gt;=Personnel!$E$38,Personnel!$G$38="Yes"),Personnel!$D$38*(1-Personnel!$H$38),0)+IF(AND(49&gt;=Personnel!$E$39,Personnel!$G$39="Yes"),Personnel!$D$39*(1-Personnel!$H$39),0)+IF(AND(49&gt;=Personnel!$E$40,Personnel!$G$40="Yes"),Personnel!$D$40*(1-Personnel!$H$40),0)+IF(AND(49&gt;=Personnel!$E$41,Personnel!$G$41="Yes"),Personnel!$D$41*(1-Personnel!$H$41),0)+IF(AND(49&gt;=Personnel!$E$42,Personnel!$G$42="Yes"),Personnel!$D$42*(1-Personnel!$H$42),0))*Escalation!$B$50</f>
        <v>353820.0123</v>
      </c>
      <c r="AZ4" s="279" t="n">
        <f aca="false">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+IF(AND(50&gt;=Personnel!$E$36,Personnel!$G$36="Yes"),Personnel!$D$36*(1-Personnel!$H$36),0)+IF(AND(50&gt;=Personnel!$E$37,Personnel!$G$37="Yes"),Personnel!$D$37*(1-Personnel!$H$37),0)+IF(AND(50&gt;=Personnel!$E$38,Personnel!$G$38="Yes"),Personnel!$D$38*(1-Personnel!$H$38),0)+IF(AND(50&gt;=Personnel!$E$39,Personnel!$G$39="Yes"),Personnel!$D$39*(1-Personnel!$H$39),0)+IF(AND(50&gt;=Personnel!$E$40,Personnel!$G$40="Yes"),Personnel!$D$40*(1-Personnel!$H$40),0)+IF(AND(50&gt;=Personnel!$E$41,Personnel!$G$41="Yes"),Personnel!$D$41*(1-Personnel!$H$41),0)+IF(AND(50&gt;=Personnel!$E$42,Personnel!$G$42="Yes"),Personnel!$D$42*(1-Personnel!$H$42),0))*Escalation!$B$51</f>
        <v>353820.0123</v>
      </c>
      <c r="BA4" s="279" t="n">
        <f aca="false">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+IF(AND(51&gt;=Personnel!$E$36,Personnel!$G$36="Yes"),Personnel!$D$36*(1-Personnel!$H$36),0)+IF(AND(51&gt;=Personnel!$E$37,Personnel!$G$37="Yes"),Personnel!$D$37*(1-Personnel!$H$37),0)+IF(AND(51&gt;=Personnel!$E$38,Personnel!$G$38="Yes"),Personnel!$D$38*(1-Personnel!$H$38),0)+IF(AND(51&gt;=Personnel!$E$39,Personnel!$G$39="Yes"),Personnel!$D$39*(1-Personnel!$H$39),0)+IF(AND(51&gt;=Personnel!$E$40,Personnel!$G$40="Yes"),Personnel!$D$40*(1-Personnel!$H$40),0)+IF(AND(51&gt;=Personnel!$E$41,Personnel!$G$41="Yes"),Personnel!$D$41*(1-Personnel!$H$41),0)+IF(AND(51&gt;=Personnel!$E$42,Personnel!$G$42="Yes"),Personnel!$D$42*(1-Personnel!$H$42),0))*Escalation!$B$52</f>
        <v>353820.0123</v>
      </c>
      <c r="BB4" s="279" t="n">
        <f aca="false">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+IF(AND(52&gt;=Personnel!$E$36,Personnel!$G$36="Yes"),Personnel!$D$36*(1-Personnel!$H$36),0)+IF(AND(52&gt;=Personnel!$E$37,Personnel!$G$37="Yes"),Personnel!$D$37*(1-Personnel!$H$37),0)+IF(AND(52&gt;=Personnel!$E$38,Personnel!$G$38="Yes"),Personnel!$D$38*(1-Personnel!$H$38),0)+IF(AND(52&gt;=Personnel!$E$39,Personnel!$G$39="Yes"),Personnel!$D$39*(1-Personnel!$H$39),0)+IF(AND(52&gt;=Personnel!$E$40,Personnel!$G$40="Yes"),Personnel!$D$40*(1-Personnel!$H$40),0)+IF(AND(52&gt;=Personnel!$E$41,Personnel!$G$41="Yes"),Personnel!$D$41*(1-Personnel!$H$41),0)+IF(AND(52&gt;=Personnel!$E$42,Personnel!$G$42="Yes"),Personnel!$D$42*(1-Personnel!$H$42),0))*Escalation!$B$53</f>
        <v>353820.0123</v>
      </c>
      <c r="BC4" s="279" t="n">
        <f aca="false">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+IF(AND(53&gt;=Personnel!$E$36,Personnel!$G$36="Yes"),Personnel!$D$36*(1-Personnel!$H$36),0)+IF(AND(53&gt;=Personnel!$E$37,Personnel!$G$37="Yes"),Personnel!$D$37*(1-Personnel!$H$37),0)+IF(AND(53&gt;=Personnel!$E$38,Personnel!$G$38="Yes"),Personnel!$D$38*(1-Personnel!$H$38),0)+IF(AND(53&gt;=Personnel!$E$39,Personnel!$G$39="Yes"),Personnel!$D$39*(1-Personnel!$H$39),0)+IF(AND(53&gt;=Personnel!$E$40,Personnel!$G$40="Yes"),Personnel!$D$40*(1-Personnel!$H$40),0)+IF(AND(53&gt;=Personnel!$E$41,Personnel!$G$41="Yes"),Personnel!$D$41*(1-Personnel!$H$41),0)+IF(AND(53&gt;=Personnel!$E$42,Personnel!$G$42="Yes"),Personnel!$D$42*(1-Personnel!$H$42),0))*Escalation!$B$54</f>
        <v>353820.0123</v>
      </c>
      <c r="BD4" s="279" t="n">
        <f aca="false">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+IF(AND(54&gt;=Personnel!$E$36,Personnel!$G$36="Yes"),Personnel!$D$36*(1-Personnel!$H$36),0)+IF(AND(54&gt;=Personnel!$E$37,Personnel!$G$37="Yes"),Personnel!$D$37*(1-Personnel!$H$37),0)+IF(AND(54&gt;=Personnel!$E$38,Personnel!$G$38="Yes"),Personnel!$D$38*(1-Personnel!$H$38),0)+IF(AND(54&gt;=Personnel!$E$39,Personnel!$G$39="Yes"),Personnel!$D$39*(1-Personnel!$H$39),0)+IF(AND(54&gt;=Personnel!$E$40,Personnel!$G$40="Yes"),Personnel!$D$40*(1-Personnel!$H$40),0)+IF(AND(54&gt;=Personnel!$E$41,Personnel!$G$41="Yes"),Personnel!$D$41*(1-Personnel!$H$41),0)+IF(AND(54&gt;=Personnel!$E$42,Personnel!$G$42="Yes"),Personnel!$D$42*(1-Personnel!$H$42),0))*Escalation!$B$55</f>
        <v>353820.0123</v>
      </c>
      <c r="BE4" s="279" t="n">
        <f aca="false">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+IF(AND(55&gt;=Personnel!$E$36,Personnel!$G$36="Yes"),Personnel!$D$36*(1-Personnel!$H$36),0)+IF(AND(55&gt;=Personnel!$E$37,Personnel!$G$37="Yes"),Personnel!$D$37*(1-Personnel!$H$37),0)+IF(AND(55&gt;=Personnel!$E$38,Personnel!$G$38="Yes"),Personnel!$D$38*(1-Personnel!$H$38),0)+IF(AND(55&gt;=Personnel!$E$39,Personnel!$G$39="Yes"),Personnel!$D$39*(1-Personnel!$H$39),0)+IF(AND(55&gt;=Personnel!$E$40,Personnel!$G$40="Yes"),Personnel!$D$40*(1-Personnel!$H$40),0)+IF(AND(55&gt;=Personnel!$E$41,Personnel!$G$41="Yes"),Personnel!$D$41*(1-Personnel!$H$41),0)+IF(AND(55&gt;=Personnel!$E$42,Personnel!$G$42="Yes"),Personnel!$D$42*(1-Personnel!$H$42),0))*Escalation!$B$56</f>
        <v>353820.0123</v>
      </c>
      <c r="BF4" s="279" t="n">
        <f aca="false">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+IF(AND(56&gt;=Personnel!$E$36,Personnel!$G$36="Yes"),Personnel!$D$36*(1-Personnel!$H$36),0)+IF(AND(56&gt;=Personnel!$E$37,Personnel!$G$37="Yes"),Personnel!$D$37*(1-Personnel!$H$37),0)+IF(AND(56&gt;=Personnel!$E$38,Personnel!$G$38="Yes"),Personnel!$D$38*(1-Personnel!$H$38),0)+IF(AND(56&gt;=Personnel!$E$39,Personnel!$G$39="Yes"),Personnel!$D$39*(1-Personnel!$H$39),0)+IF(AND(56&gt;=Personnel!$E$40,Personnel!$G$40="Yes"),Personnel!$D$40*(1-Personnel!$H$40),0)+IF(AND(56&gt;=Personnel!$E$41,Personnel!$G$41="Yes"),Personnel!$D$41*(1-Personnel!$H$41),0)+IF(AND(56&gt;=Personnel!$E$42,Personnel!$G$42="Yes"),Personnel!$D$42*(1-Personnel!$H$42),0))*Escalation!$B$57</f>
        <v>353820.0123</v>
      </c>
      <c r="BG4" s="279" t="n">
        <f aca="false">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+IF(AND(57&gt;=Personnel!$E$36,Personnel!$G$36="Yes"),Personnel!$D$36*(1-Personnel!$H$36),0)+IF(AND(57&gt;=Personnel!$E$37,Personnel!$G$37="Yes"),Personnel!$D$37*(1-Personnel!$H$37),0)+IF(AND(57&gt;=Personnel!$E$38,Personnel!$G$38="Yes"),Personnel!$D$38*(1-Personnel!$H$38),0)+IF(AND(57&gt;=Personnel!$E$39,Personnel!$G$39="Yes"),Personnel!$D$39*(1-Personnel!$H$39),0)+IF(AND(57&gt;=Personnel!$E$40,Personnel!$G$40="Yes"),Personnel!$D$40*(1-Personnel!$H$40),0)+IF(AND(57&gt;=Personnel!$E$41,Personnel!$G$41="Yes"),Personnel!$D$41*(1-Personnel!$H$41),0)+IF(AND(57&gt;=Personnel!$E$42,Personnel!$G$42="Yes"),Personnel!$D$42*(1-Personnel!$H$42),0))*Escalation!$B$58</f>
        <v>353820.0123</v>
      </c>
      <c r="BH4" s="279" t="n">
        <f aca="false">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+IF(AND(58&gt;=Personnel!$E$36,Personnel!$G$36="Yes"),Personnel!$D$36*(1-Personnel!$H$36),0)+IF(AND(58&gt;=Personnel!$E$37,Personnel!$G$37="Yes"),Personnel!$D$37*(1-Personnel!$H$37),0)+IF(AND(58&gt;=Personnel!$E$38,Personnel!$G$38="Yes"),Personnel!$D$38*(1-Personnel!$H$38),0)+IF(AND(58&gt;=Personnel!$E$39,Personnel!$G$39="Yes"),Personnel!$D$39*(1-Personnel!$H$39),0)+IF(AND(58&gt;=Personnel!$E$40,Personnel!$G$40="Yes"),Personnel!$D$40*(1-Personnel!$H$40),0)+IF(AND(58&gt;=Personnel!$E$41,Personnel!$G$41="Yes"),Personnel!$D$41*(1-Personnel!$H$41),0)+IF(AND(58&gt;=Personnel!$E$42,Personnel!$G$42="Yes"),Personnel!$D$42*(1-Personnel!$H$42),0))*Escalation!$B$59</f>
        <v>353820.0123</v>
      </c>
      <c r="BI4" s="279" t="n">
        <f aca="false">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+IF(AND(59&gt;=Personnel!$E$36,Personnel!$G$36="Yes"),Personnel!$D$36*(1-Personnel!$H$36),0)+IF(AND(59&gt;=Personnel!$E$37,Personnel!$G$37="Yes"),Personnel!$D$37*(1-Personnel!$H$37),0)+IF(AND(59&gt;=Personnel!$E$38,Personnel!$G$38="Yes"),Personnel!$D$38*(1-Personnel!$H$38),0)+IF(AND(59&gt;=Personnel!$E$39,Personnel!$G$39="Yes"),Personnel!$D$39*(1-Personnel!$H$39),0)+IF(AND(59&gt;=Personnel!$E$40,Personnel!$G$40="Yes"),Personnel!$D$40*(1-Personnel!$H$40),0)+IF(AND(59&gt;=Personnel!$E$41,Personnel!$G$41="Yes"),Personnel!$D$41*(1-Personnel!$H$41),0)+IF(AND(59&gt;=Personnel!$E$42,Personnel!$G$42="Yes"),Personnel!$D$42*(1-Personnel!$H$42),0))*Escalation!$B$60</f>
        <v>353820.0123</v>
      </c>
      <c r="BJ4" s="279" t="n">
        <f aca="false">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+IF(AND(60&gt;=Personnel!$E$36,Personnel!$G$36="Yes"),Personnel!$D$36*(1-Personnel!$H$36),0)+IF(AND(60&gt;=Personnel!$E$37,Personnel!$G$37="Yes"),Personnel!$D$37*(1-Personnel!$H$37),0)+IF(AND(60&gt;=Personnel!$E$38,Personnel!$G$38="Yes"),Personnel!$D$38*(1-Personnel!$H$38),0)+IF(AND(60&gt;=Personnel!$E$39,Personnel!$G$39="Yes"),Personnel!$D$39*(1-Personnel!$H$39),0)+IF(AND(60&gt;=Personnel!$E$40,Personnel!$G$40="Yes"),Personnel!$D$40*(1-Personnel!$H$40),0)+IF(AND(60&gt;=Personnel!$E$41,Personnel!$G$41="Yes"),Personnel!$D$41*(1-Personnel!$H$41),0)+IF(AND(60&gt;=Personnel!$E$42,Personnel!$G$42="Yes"),Personnel!$D$42*(1-Personnel!$H$42),0))*Escalation!$B$61</f>
        <v>353820.0123</v>
      </c>
      <c r="BK4" s="279" t="n">
        <f aca="false">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+IF(AND(61&gt;=Personnel!$E$36,Personnel!$G$36="Yes"),Personnel!$D$36*(1-Personnel!$H$36),0)+IF(AND(61&gt;=Personnel!$E$37,Personnel!$G$37="Yes"),Personnel!$D$37*(1-Personnel!$H$37),0)+IF(AND(61&gt;=Personnel!$E$38,Personnel!$G$38="Yes"),Personnel!$D$38*(1-Personnel!$H$38),0)+IF(AND(61&gt;=Personnel!$E$39,Personnel!$G$39="Yes"),Personnel!$D$39*(1-Personnel!$H$39),0)+IF(AND(61&gt;=Personnel!$E$40,Personnel!$G$40="Yes"),Personnel!$D$40*(1-Personnel!$H$40),0)+IF(AND(61&gt;=Personnel!$E$41,Personnel!$G$41="Yes"),Personnel!$D$41*(1-Personnel!$H$41),0)+IF(AND(61&gt;=Personnel!$E$42,Personnel!$G$42="Yes"),Personnel!$D$42*(1-Personnel!$H$42),0))*Escalation!$B$62</f>
        <v>360896.412546</v>
      </c>
      <c r="BL4" s="279" t="n">
        <f aca="false">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+IF(AND(62&gt;=Personnel!$E$36,Personnel!$G$36="Yes"),Personnel!$D$36*(1-Personnel!$H$36),0)+IF(AND(62&gt;=Personnel!$E$37,Personnel!$G$37="Yes"),Personnel!$D$37*(1-Personnel!$H$37),0)+IF(AND(62&gt;=Personnel!$E$38,Personnel!$G$38="Yes"),Personnel!$D$38*(1-Personnel!$H$38),0)+IF(AND(62&gt;=Personnel!$E$39,Personnel!$G$39="Yes"),Personnel!$D$39*(1-Personnel!$H$39),0)+IF(AND(62&gt;=Personnel!$E$40,Personnel!$G$40="Yes"),Personnel!$D$40*(1-Personnel!$H$40),0)+IF(AND(62&gt;=Personnel!$E$41,Personnel!$G$41="Yes"),Personnel!$D$41*(1-Personnel!$H$41),0)+IF(AND(62&gt;=Personnel!$E$42,Personnel!$G$42="Yes"),Personnel!$D$42*(1-Personnel!$H$42),0))*Escalation!$B$63</f>
        <v>360896.412546</v>
      </c>
      <c r="BM4" s="279" t="n">
        <f aca="false">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+IF(AND(63&gt;=Personnel!$E$36,Personnel!$G$36="Yes"),Personnel!$D$36*(1-Personnel!$H$36),0)+IF(AND(63&gt;=Personnel!$E$37,Personnel!$G$37="Yes"),Personnel!$D$37*(1-Personnel!$H$37),0)+IF(AND(63&gt;=Personnel!$E$38,Personnel!$G$38="Yes"),Personnel!$D$38*(1-Personnel!$H$38),0)+IF(AND(63&gt;=Personnel!$E$39,Personnel!$G$39="Yes"),Personnel!$D$39*(1-Personnel!$H$39),0)+IF(AND(63&gt;=Personnel!$E$40,Personnel!$G$40="Yes"),Personnel!$D$40*(1-Personnel!$H$40),0)+IF(AND(63&gt;=Personnel!$E$41,Personnel!$G$41="Yes"),Personnel!$D$41*(1-Personnel!$H$41),0)+IF(AND(63&gt;=Personnel!$E$42,Personnel!$G$42="Yes"),Personnel!$D$42*(1-Personnel!$H$42),0))*Escalation!$B$64</f>
        <v>360896.412546</v>
      </c>
      <c r="BN4" s="279" t="n">
        <f aca="false">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+IF(AND(64&gt;=Personnel!$E$36,Personnel!$G$36="Yes"),Personnel!$D$36*(1-Personnel!$H$36),0)+IF(AND(64&gt;=Personnel!$E$37,Personnel!$G$37="Yes"),Personnel!$D$37*(1-Personnel!$H$37),0)+IF(AND(64&gt;=Personnel!$E$38,Personnel!$G$38="Yes"),Personnel!$D$38*(1-Personnel!$H$38),0)+IF(AND(64&gt;=Personnel!$E$39,Personnel!$G$39="Yes"),Personnel!$D$39*(1-Personnel!$H$39),0)+IF(AND(64&gt;=Personnel!$E$40,Personnel!$G$40="Yes"),Personnel!$D$40*(1-Personnel!$H$40),0)+IF(AND(64&gt;=Personnel!$E$41,Personnel!$G$41="Yes"),Personnel!$D$41*(1-Personnel!$H$41),0)+IF(AND(64&gt;=Personnel!$E$42,Personnel!$G$42="Yes"),Personnel!$D$42*(1-Personnel!$H$42),0))*Escalation!$B$65</f>
        <v>360896.412546</v>
      </c>
      <c r="BO4" s="279" t="n">
        <f aca="false">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+IF(AND(65&gt;=Personnel!$E$36,Personnel!$G$36="Yes"),Personnel!$D$36*(1-Personnel!$H$36),0)+IF(AND(65&gt;=Personnel!$E$37,Personnel!$G$37="Yes"),Personnel!$D$37*(1-Personnel!$H$37),0)+IF(AND(65&gt;=Personnel!$E$38,Personnel!$G$38="Yes"),Personnel!$D$38*(1-Personnel!$H$38),0)+IF(AND(65&gt;=Personnel!$E$39,Personnel!$G$39="Yes"),Personnel!$D$39*(1-Personnel!$H$39),0)+IF(AND(65&gt;=Personnel!$E$40,Personnel!$G$40="Yes"),Personnel!$D$40*(1-Personnel!$H$40),0)+IF(AND(65&gt;=Personnel!$E$41,Personnel!$G$41="Yes"),Personnel!$D$41*(1-Personnel!$H$41),0)+IF(AND(65&gt;=Personnel!$E$42,Personnel!$G$42="Yes"),Personnel!$D$42*(1-Personnel!$H$42),0))*Escalation!$B$66</f>
        <v>360896.412546</v>
      </c>
      <c r="BP4" s="279" t="n">
        <f aca="false">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+IF(AND(66&gt;=Personnel!$E$36,Personnel!$G$36="Yes"),Personnel!$D$36*(1-Personnel!$H$36),0)+IF(AND(66&gt;=Personnel!$E$37,Personnel!$G$37="Yes"),Personnel!$D$37*(1-Personnel!$H$37),0)+IF(AND(66&gt;=Personnel!$E$38,Personnel!$G$38="Yes"),Personnel!$D$38*(1-Personnel!$H$38),0)+IF(AND(66&gt;=Personnel!$E$39,Personnel!$G$39="Yes"),Personnel!$D$39*(1-Personnel!$H$39),0)+IF(AND(66&gt;=Personnel!$E$40,Personnel!$G$40="Yes"),Personnel!$D$40*(1-Personnel!$H$40),0)+IF(AND(66&gt;=Personnel!$E$41,Personnel!$G$41="Yes"),Personnel!$D$41*(1-Personnel!$H$41),0)+IF(AND(66&gt;=Personnel!$E$42,Personnel!$G$42="Yes"),Personnel!$D$42*(1-Personnel!$H$42),0))*Escalation!$B$67</f>
        <v>360896.412546</v>
      </c>
      <c r="BQ4" s="279" t="n">
        <f aca="false">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+IF(AND(67&gt;=Personnel!$E$36,Personnel!$G$36="Yes"),Personnel!$D$36*(1-Personnel!$H$36),0)+IF(AND(67&gt;=Personnel!$E$37,Personnel!$G$37="Yes"),Personnel!$D$37*(1-Personnel!$H$37),0)+IF(AND(67&gt;=Personnel!$E$38,Personnel!$G$38="Yes"),Personnel!$D$38*(1-Personnel!$H$38),0)+IF(AND(67&gt;=Personnel!$E$39,Personnel!$G$39="Yes"),Personnel!$D$39*(1-Personnel!$H$39),0)+IF(AND(67&gt;=Personnel!$E$40,Personnel!$G$40="Yes"),Personnel!$D$40*(1-Personnel!$H$40),0)+IF(AND(67&gt;=Personnel!$E$41,Personnel!$G$41="Yes"),Personnel!$D$41*(1-Personnel!$H$41),0)+IF(AND(67&gt;=Personnel!$E$42,Personnel!$G$42="Yes"),Personnel!$D$42*(1-Personnel!$H$42),0))*Escalation!$B$68</f>
        <v>360896.412546</v>
      </c>
      <c r="BR4" s="279" t="n">
        <f aca="false">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+IF(AND(68&gt;=Personnel!$E$36,Personnel!$G$36="Yes"),Personnel!$D$36*(1-Personnel!$H$36),0)+IF(AND(68&gt;=Personnel!$E$37,Personnel!$G$37="Yes"),Personnel!$D$37*(1-Personnel!$H$37),0)+IF(AND(68&gt;=Personnel!$E$38,Personnel!$G$38="Yes"),Personnel!$D$38*(1-Personnel!$H$38),0)+IF(AND(68&gt;=Personnel!$E$39,Personnel!$G$39="Yes"),Personnel!$D$39*(1-Personnel!$H$39),0)+IF(AND(68&gt;=Personnel!$E$40,Personnel!$G$40="Yes"),Personnel!$D$40*(1-Personnel!$H$40),0)+IF(AND(68&gt;=Personnel!$E$41,Personnel!$G$41="Yes"),Personnel!$D$41*(1-Personnel!$H$41),0)+IF(AND(68&gt;=Personnel!$E$42,Personnel!$G$42="Yes"),Personnel!$D$42*(1-Personnel!$H$42),0))*Escalation!$B$69</f>
        <v>360896.412546</v>
      </c>
      <c r="BS4" s="279" t="n">
        <f aca="false">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+IF(AND(69&gt;=Personnel!$E$36,Personnel!$G$36="Yes"),Personnel!$D$36*(1-Personnel!$H$36),0)+IF(AND(69&gt;=Personnel!$E$37,Personnel!$G$37="Yes"),Personnel!$D$37*(1-Personnel!$H$37),0)+IF(AND(69&gt;=Personnel!$E$38,Personnel!$G$38="Yes"),Personnel!$D$38*(1-Personnel!$H$38),0)+IF(AND(69&gt;=Personnel!$E$39,Personnel!$G$39="Yes"),Personnel!$D$39*(1-Personnel!$H$39),0)+IF(AND(69&gt;=Personnel!$E$40,Personnel!$G$40="Yes"),Personnel!$D$40*(1-Personnel!$H$40),0)+IF(AND(69&gt;=Personnel!$E$41,Personnel!$G$41="Yes"),Personnel!$D$41*(1-Personnel!$H$41),0)+IF(AND(69&gt;=Personnel!$E$42,Personnel!$G$42="Yes"),Personnel!$D$42*(1-Personnel!$H$42),0))*Escalation!$B$70</f>
        <v>360896.412546</v>
      </c>
      <c r="BT4" s="279" t="n">
        <f aca="false">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+IF(AND(70&gt;=Personnel!$E$36,Personnel!$G$36="Yes"),Personnel!$D$36*(1-Personnel!$H$36),0)+IF(AND(70&gt;=Personnel!$E$37,Personnel!$G$37="Yes"),Personnel!$D$37*(1-Personnel!$H$37),0)+IF(AND(70&gt;=Personnel!$E$38,Personnel!$G$38="Yes"),Personnel!$D$38*(1-Personnel!$H$38),0)+IF(AND(70&gt;=Personnel!$E$39,Personnel!$G$39="Yes"),Personnel!$D$39*(1-Personnel!$H$39),0)+IF(AND(70&gt;=Personnel!$E$40,Personnel!$G$40="Yes"),Personnel!$D$40*(1-Personnel!$H$40),0)+IF(AND(70&gt;=Personnel!$E$41,Personnel!$G$41="Yes"),Personnel!$D$41*(1-Personnel!$H$41),0)+IF(AND(70&gt;=Personnel!$E$42,Personnel!$G$42="Yes"),Personnel!$D$42*(1-Personnel!$H$42),0))*Escalation!$B$71</f>
        <v>360896.412546</v>
      </c>
      <c r="BU4" s="279" t="n">
        <f aca="false">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+IF(AND(71&gt;=Personnel!$E$36,Personnel!$G$36="Yes"),Personnel!$D$36*(1-Personnel!$H$36),0)+IF(AND(71&gt;=Personnel!$E$37,Personnel!$G$37="Yes"),Personnel!$D$37*(1-Personnel!$H$37),0)+IF(AND(71&gt;=Personnel!$E$38,Personnel!$G$38="Yes"),Personnel!$D$38*(1-Personnel!$H$38),0)+IF(AND(71&gt;=Personnel!$E$39,Personnel!$G$39="Yes"),Personnel!$D$39*(1-Personnel!$H$39),0)+IF(AND(71&gt;=Personnel!$E$40,Personnel!$G$40="Yes"),Personnel!$D$40*(1-Personnel!$H$40),0)+IF(AND(71&gt;=Personnel!$E$41,Personnel!$G$41="Yes"),Personnel!$D$41*(1-Personnel!$H$41),0)+IF(AND(71&gt;=Personnel!$E$42,Personnel!$G$42="Yes"),Personnel!$D$42*(1-Personnel!$H$42),0))*Escalation!$B$72</f>
        <v>360896.412546</v>
      </c>
      <c r="BV4" s="279" t="n">
        <f aca="false">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+IF(AND(72&gt;=Personnel!$E$36,Personnel!$G$36="Yes"),Personnel!$D$36*(1-Personnel!$H$36),0)+IF(AND(72&gt;=Personnel!$E$37,Personnel!$G$37="Yes"),Personnel!$D$37*(1-Personnel!$H$37),0)+IF(AND(72&gt;=Personnel!$E$38,Personnel!$G$38="Yes"),Personnel!$D$38*(1-Personnel!$H$38),0)+IF(AND(72&gt;=Personnel!$E$39,Personnel!$G$39="Yes"),Personnel!$D$39*(1-Personnel!$H$39),0)+IF(AND(72&gt;=Personnel!$E$40,Personnel!$G$40="Yes"),Personnel!$D$40*(1-Personnel!$H$40),0)+IF(AND(72&gt;=Personnel!$E$41,Personnel!$G$41="Yes"),Personnel!$D$41*(1-Personnel!$H$41),0)+IF(AND(72&gt;=Personnel!$E$42,Personnel!$G$42="Yes"),Personnel!$D$42*(1-Personnel!$H$42),0))*Escalation!$B$73</f>
        <v>360896.412546</v>
      </c>
      <c r="BW4" s="279" t="n">
        <f aca="false">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+IF(AND(73&gt;=Personnel!$E$36,Personnel!$G$36="Yes"),Personnel!$D$36*(1-Personnel!$H$36),0)+IF(AND(73&gt;=Personnel!$E$37,Personnel!$G$37="Yes"),Personnel!$D$37*(1-Personnel!$H$37),0)+IF(AND(73&gt;=Personnel!$E$38,Personnel!$G$38="Yes"),Personnel!$D$38*(1-Personnel!$H$38),0)+IF(AND(73&gt;=Personnel!$E$39,Personnel!$G$39="Yes"),Personnel!$D$39*(1-Personnel!$H$39),0)+IF(AND(73&gt;=Personnel!$E$40,Personnel!$G$40="Yes"),Personnel!$D$40*(1-Personnel!$H$40),0)+IF(AND(73&gt;=Personnel!$E$41,Personnel!$G$41="Yes"),Personnel!$D$41*(1-Personnel!$H$41),0)+IF(AND(73&gt;=Personnel!$E$42,Personnel!$G$42="Yes"),Personnel!$D$42*(1-Personnel!$H$42),0))*Escalation!$B$74</f>
        <v>368114.34079692</v>
      </c>
      <c r="BX4" s="279" t="n">
        <f aca="false">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+IF(AND(74&gt;=Personnel!$E$36,Personnel!$G$36="Yes"),Personnel!$D$36*(1-Personnel!$H$36),0)+IF(AND(74&gt;=Personnel!$E$37,Personnel!$G$37="Yes"),Personnel!$D$37*(1-Personnel!$H$37),0)+IF(AND(74&gt;=Personnel!$E$38,Personnel!$G$38="Yes"),Personnel!$D$38*(1-Personnel!$H$38),0)+IF(AND(74&gt;=Personnel!$E$39,Personnel!$G$39="Yes"),Personnel!$D$39*(1-Personnel!$H$39),0)+IF(AND(74&gt;=Personnel!$E$40,Personnel!$G$40="Yes"),Personnel!$D$40*(1-Personnel!$H$40),0)+IF(AND(74&gt;=Personnel!$E$41,Personnel!$G$41="Yes"),Personnel!$D$41*(1-Personnel!$H$41),0)+IF(AND(74&gt;=Personnel!$E$42,Personnel!$G$42="Yes"),Personnel!$D$42*(1-Personnel!$H$42),0))*Escalation!$B$75</f>
        <v>368114.34079692</v>
      </c>
      <c r="BY4" s="279" t="n">
        <f aca="false">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+IF(AND(75&gt;=Personnel!$E$36,Personnel!$G$36="Yes"),Personnel!$D$36*(1-Personnel!$H$36),0)+IF(AND(75&gt;=Personnel!$E$37,Personnel!$G$37="Yes"),Personnel!$D$37*(1-Personnel!$H$37),0)+IF(AND(75&gt;=Personnel!$E$38,Personnel!$G$38="Yes"),Personnel!$D$38*(1-Personnel!$H$38),0)+IF(AND(75&gt;=Personnel!$E$39,Personnel!$G$39="Yes"),Personnel!$D$39*(1-Personnel!$H$39),0)+IF(AND(75&gt;=Personnel!$E$40,Personnel!$G$40="Yes"),Personnel!$D$40*(1-Personnel!$H$40),0)+IF(AND(75&gt;=Personnel!$E$41,Personnel!$G$41="Yes"),Personnel!$D$41*(1-Personnel!$H$41),0)+IF(AND(75&gt;=Personnel!$E$42,Personnel!$G$42="Yes"),Personnel!$D$42*(1-Personnel!$H$42),0))*Escalation!$B$76</f>
        <v>368114.34079692</v>
      </c>
      <c r="BZ4" s="279" t="n">
        <f aca="false">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+IF(AND(76&gt;=Personnel!$E$36,Personnel!$G$36="Yes"),Personnel!$D$36*(1-Personnel!$H$36),0)+IF(AND(76&gt;=Personnel!$E$37,Personnel!$G$37="Yes"),Personnel!$D$37*(1-Personnel!$H$37),0)+IF(AND(76&gt;=Personnel!$E$38,Personnel!$G$38="Yes"),Personnel!$D$38*(1-Personnel!$H$38),0)+IF(AND(76&gt;=Personnel!$E$39,Personnel!$G$39="Yes"),Personnel!$D$39*(1-Personnel!$H$39),0)+IF(AND(76&gt;=Personnel!$E$40,Personnel!$G$40="Yes"),Personnel!$D$40*(1-Personnel!$H$40),0)+IF(AND(76&gt;=Personnel!$E$41,Personnel!$G$41="Yes"),Personnel!$D$41*(1-Personnel!$H$41),0)+IF(AND(76&gt;=Personnel!$E$42,Personnel!$G$42="Yes"),Personnel!$D$42*(1-Personnel!$H$42),0))*Escalation!$B$77</f>
        <v>368114.34079692</v>
      </c>
      <c r="CA4" s="279" t="n">
        <f aca="false">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+IF(AND(77&gt;=Personnel!$E$36,Personnel!$G$36="Yes"),Personnel!$D$36*(1-Personnel!$H$36),0)+IF(AND(77&gt;=Personnel!$E$37,Personnel!$G$37="Yes"),Personnel!$D$37*(1-Personnel!$H$37),0)+IF(AND(77&gt;=Personnel!$E$38,Personnel!$G$38="Yes"),Personnel!$D$38*(1-Personnel!$H$38),0)+IF(AND(77&gt;=Personnel!$E$39,Personnel!$G$39="Yes"),Personnel!$D$39*(1-Personnel!$H$39),0)+IF(AND(77&gt;=Personnel!$E$40,Personnel!$G$40="Yes"),Personnel!$D$40*(1-Personnel!$H$40),0)+IF(AND(77&gt;=Personnel!$E$41,Personnel!$G$41="Yes"),Personnel!$D$41*(1-Personnel!$H$41),0)+IF(AND(77&gt;=Personnel!$E$42,Personnel!$G$42="Yes"),Personnel!$D$42*(1-Personnel!$H$42),0))*Escalation!$B$78</f>
        <v>368114.34079692</v>
      </c>
      <c r="CB4" s="279" t="n">
        <f aca="false">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+IF(AND(78&gt;=Personnel!$E$36,Personnel!$G$36="Yes"),Personnel!$D$36*(1-Personnel!$H$36),0)+IF(AND(78&gt;=Personnel!$E$37,Personnel!$G$37="Yes"),Personnel!$D$37*(1-Personnel!$H$37),0)+IF(AND(78&gt;=Personnel!$E$38,Personnel!$G$38="Yes"),Personnel!$D$38*(1-Personnel!$H$38),0)+IF(AND(78&gt;=Personnel!$E$39,Personnel!$G$39="Yes"),Personnel!$D$39*(1-Personnel!$H$39),0)+IF(AND(78&gt;=Personnel!$E$40,Personnel!$G$40="Yes"),Personnel!$D$40*(1-Personnel!$H$40),0)+IF(AND(78&gt;=Personnel!$E$41,Personnel!$G$41="Yes"),Personnel!$D$41*(1-Personnel!$H$41),0)+IF(AND(78&gt;=Personnel!$E$42,Personnel!$G$42="Yes"),Personnel!$D$42*(1-Personnel!$H$42),0))*Escalation!$B$79</f>
        <v>368114.34079692</v>
      </c>
      <c r="CC4" s="279" t="n">
        <f aca="false">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+IF(AND(79&gt;=Personnel!$E$36,Personnel!$G$36="Yes"),Personnel!$D$36*(1-Personnel!$H$36),0)+IF(AND(79&gt;=Personnel!$E$37,Personnel!$G$37="Yes"),Personnel!$D$37*(1-Personnel!$H$37),0)+IF(AND(79&gt;=Personnel!$E$38,Personnel!$G$38="Yes"),Personnel!$D$38*(1-Personnel!$H$38),0)+IF(AND(79&gt;=Personnel!$E$39,Personnel!$G$39="Yes"),Personnel!$D$39*(1-Personnel!$H$39),0)+IF(AND(79&gt;=Personnel!$E$40,Personnel!$G$40="Yes"),Personnel!$D$40*(1-Personnel!$H$40),0)+IF(AND(79&gt;=Personnel!$E$41,Personnel!$G$41="Yes"),Personnel!$D$41*(1-Personnel!$H$41),0)+IF(AND(79&gt;=Personnel!$E$42,Personnel!$G$42="Yes"),Personnel!$D$42*(1-Personnel!$H$42),0))*Escalation!$B$80</f>
        <v>368114.34079692</v>
      </c>
      <c r="CD4" s="279" t="n">
        <f aca="false">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+IF(AND(80&gt;=Personnel!$E$36,Personnel!$G$36="Yes"),Personnel!$D$36*(1-Personnel!$H$36),0)+IF(AND(80&gt;=Personnel!$E$37,Personnel!$G$37="Yes"),Personnel!$D$37*(1-Personnel!$H$37),0)+IF(AND(80&gt;=Personnel!$E$38,Personnel!$G$38="Yes"),Personnel!$D$38*(1-Personnel!$H$38),0)+IF(AND(80&gt;=Personnel!$E$39,Personnel!$G$39="Yes"),Personnel!$D$39*(1-Personnel!$H$39),0)+IF(AND(80&gt;=Personnel!$E$40,Personnel!$G$40="Yes"),Personnel!$D$40*(1-Personnel!$H$40),0)+IF(AND(80&gt;=Personnel!$E$41,Personnel!$G$41="Yes"),Personnel!$D$41*(1-Personnel!$H$41),0)+IF(AND(80&gt;=Personnel!$E$42,Personnel!$G$42="Yes"),Personnel!$D$42*(1-Personnel!$H$42),0))*Escalation!$B$81</f>
        <v>368114.34079692</v>
      </c>
      <c r="CE4" s="279" t="n">
        <f aca="false">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+IF(AND(81&gt;=Personnel!$E$36,Personnel!$G$36="Yes"),Personnel!$D$36*(1-Personnel!$H$36),0)+IF(AND(81&gt;=Personnel!$E$37,Personnel!$G$37="Yes"),Personnel!$D$37*(1-Personnel!$H$37),0)+IF(AND(81&gt;=Personnel!$E$38,Personnel!$G$38="Yes"),Personnel!$D$38*(1-Personnel!$H$38),0)+IF(AND(81&gt;=Personnel!$E$39,Personnel!$G$39="Yes"),Personnel!$D$39*(1-Personnel!$H$39),0)+IF(AND(81&gt;=Personnel!$E$40,Personnel!$G$40="Yes"),Personnel!$D$40*(1-Personnel!$H$40),0)+IF(AND(81&gt;=Personnel!$E$41,Personnel!$G$41="Yes"),Personnel!$D$41*(1-Personnel!$H$41),0)+IF(AND(81&gt;=Personnel!$E$42,Personnel!$G$42="Yes"),Personnel!$D$42*(1-Personnel!$H$42),0))*Escalation!$B$82</f>
        <v>368114.34079692</v>
      </c>
      <c r="CF4" s="279" t="n">
        <f aca="false">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+IF(AND(82&gt;=Personnel!$E$36,Personnel!$G$36="Yes"),Personnel!$D$36*(1-Personnel!$H$36),0)+IF(AND(82&gt;=Personnel!$E$37,Personnel!$G$37="Yes"),Personnel!$D$37*(1-Personnel!$H$37),0)+IF(AND(82&gt;=Personnel!$E$38,Personnel!$G$38="Yes"),Personnel!$D$38*(1-Personnel!$H$38),0)+IF(AND(82&gt;=Personnel!$E$39,Personnel!$G$39="Yes"),Personnel!$D$39*(1-Personnel!$H$39),0)+IF(AND(82&gt;=Personnel!$E$40,Personnel!$G$40="Yes"),Personnel!$D$40*(1-Personnel!$H$40),0)+IF(AND(82&gt;=Personnel!$E$41,Personnel!$G$41="Yes"),Personnel!$D$41*(1-Personnel!$H$41),0)+IF(AND(82&gt;=Personnel!$E$42,Personnel!$G$42="Yes"),Personnel!$D$42*(1-Personnel!$H$42),0))*Escalation!$B$83</f>
        <v>368114.34079692</v>
      </c>
      <c r="CG4" s="279" t="n">
        <f aca="false">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+IF(AND(83&gt;=Personnel!$E$36,Personnel!$G$36="Yes"),Personnel!$D$36*(1-Personnel!$H$36),0)+IF(AND(83&gt;=Personnel!$E$37,Personnel!$G$37="Yes"),Personnel!$D$37*(1-Personnel!$H$37),0)+IF(AND(83&gt;=Personnel!$E$38,Personnel!$G$38="Yes"),Personnel!$D$38*(1-Personnel!$H$38),0)+IF(AND(83&gt;=Personnel!$E$39,Personnel!$G$39="Yes"),Personnel!$D$39*(1-Personnel!$H$39),0)+IF(AND(83&gt;=Personnel!$E$40,Personnel!$G$40="Yes"),Personnel!$D$40*(1-Personnel!$H$40),0)+IF(AND(83&gt;=Personnel!$E$41,Personnel!$G$41="Yes"),Personnel!$D$41*(1-Personnel!$H$41),0)+IF(AND(83&gt;=Personnel!$E$42,Personnel!$G$42="Yes"),Personnel!$D$42*(1-Personnel!$H$42),0))*Escalation!$B$84</f>
        <v>368114.34079692</v>
      </c>
      <c r="CH4" s="279" t="n">
        <f aca="false">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+IF(AND(84&gt;=Personnel!$E$36,Personnel!$G$36="Yes"),Personnel!$D$36*(1-Personnel!$H$36),0)+IF(AND(84&gt;=Personnel!$E$37,Personnel!$G$37="Yes"),Personnel!$D$37*(1-Personnel!$H$37),0)+IF(AND(84&gt;=Personnel!$E$38,Personnel!$G$38="Yes"),Personnel!$D$38*(1-Personnel!$H$38),0)+IF(AND(84&gt;=Personnel!$E$39,Personnel!$G$39="Yes"),Personnel!$D$39*(1-Personnel!$H$39),0)+IF(AND(84&gt;=Personnel!$E$40,Personnel!$G$40="Yes"),Personnel!$D$40*(1-Personnel!$H$40),0)+IF(AND(84&gt;=Personnel!$E$41,Personnel!$G$41="Yes"),Personnel!$D$41*(1-Personnel!$H$41),0)+IF(AND(84&gt;=Personnel!$E$42,Personnel!$G$42="Yes"),Personnel!$D$42*(1-Personnel!$H$42),0))*Escalation!$B$85</f>
        <v>368114.34079692</v>
      </c>
      <c r="CI4" s="279" t="n">
        <f aca="false">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+IF(AND(85&gt;=Personnel!$E$36,Personnel!$G$36="Yes"),Personnel!$D$36*(1-Personnel!$H$36),0)+IF(AND(85&gt;=Personnel!$E$37,Personnel!$G$37="Yes"),Personnel!$D$37*(1-Personnel!$H$37),0)+IF(AND(85&gt;=Personnel!$E$38,Personnel!$G$38="Yes"),Personnel!$D$38*(1-Personnel!$H$38),0)+IF(AND(85&gt;=Personnel!$E$39,Personnel!$G$39="Yes"),Personnel!$D$39*(1-Personnel!$H$39),0)+IF(AND(85&gt;=Personnel!$E$40,Personnel!$G$40="Yes"),Personnel!$D$40*(1-Personnel!$H$40),0)+IF(AND(85&gt;=Personnel!$E$41,Personnel!$G$41="Yes"),Personnel!$D$41*(1-Personnel!$H$41),0)+IF(AND(85&gt;=Personnel!$E$42,Personnel!$G$42="Yes"),Personnel!$D$42*(1-Personnel!$H$42),0))*Escalation!$B$86</f>
        <v>375476.627612858</v>
      </c>
      <c r="CJ4" s="279" t="n">
        <f aca="false">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+IF(AND(86&gt;=Personnel!$E$36,Personnel!$G$36="Yes"),Personnel!$D$36*(1-Personnel!$H$36),0)+IF(AND(86&gt;=Personnel!$E$37,Personnel!$G$37="Yes"),Personnel!$D$37*(1-Personnel!$H$37),0)+IF(AND(86&gt;=Personnel!$E$38,Personnel!$G$38="Yes"),Personnel!$D$38*(1-Personnel!$H$38),0)+IF(AND(86&gt;=Personnel!$E$39,Personnel!$G$39="Yes"),Personnel!$D$39*(1-Personnel!$H$39),0)+IF(AND(86&gt;=Personnel!$E$40,Personnel!$G$40="Yes"),Personnel!$D$40*(1-Personnel!$H$40),0)+IF(AND(86&gt;=Personnel!$E$41,Personnel!$G$41="Yes"),Personnel!$D$41*(1-Personnel!$H$41),0)+IF(AND(86&gt;=Personnel!$E$42,Personnel!$G$42="Yes"),Personnel!$D$42*(1-Personnel!$H$42),0))*Escalation!$B$87</f>
        <v>375476.627612858</v>
      </c>
      <c r="CK4" s="279" t="n">
        <f aca="false">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+IF(AND(87&gt;=Personnel!$E$36,Personnel!$G$36="Yes"),Personnel!$D$36*(1-Personnel!$H$36),0)+IF(AND(87&gt;=Personnel!$E$37,Personnel!$G$37="Yes"),Personnel!$D$37*(1-Personnel!$H$37),0)+IF(AND(87&gt;=Personnel!$E$38,Personnel!$G$38="Yes"),Personnel!$D$38*(1-Personnel!$H$38),0)+IF(AND(87&gt;=Personnel!$E$39,Personnel!$G$39="Yes"),Personnel!$D$39*(1-Personnel!$H$39),0)+IF(AND(87&gt;=Personnel!$E$40,Personnel!$G$40="Yes"),Personnel!$D$40*(1-Personnel!$H$40),0)+IF(AND(87&gt;=Personnel!$E$41,Personnel!$G$41="Yes"),Personnel!$D$41*(1-Personnel!$H$41),0)+IF(AND(87&gt;=Personnel!$E$42,Personnel!$G$42="Yes"),Personnel!$D$42*(1-Personnel!$H$42),0))*Escalation!$B$88</f>
        <v>375476.627612858</v>
      </c>
      <c r="CL4" s="279" t="n">
        <f aca="false">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+IF(AND(88&gt;=Personnel!$E$36,Personnel!$G$36="Yes"),Personnel!$D$36*(1-Personnel!$H$36),0)+IF(AND(88&gt;=Personnel!$E$37,Personnel!$G$37="Yes"),Personnel!$D$37*(1-Personnel!$H$37),0)+IF(AND(88&gt;=Personnel!$E$38,Personnel!$G$38="Yes"),Personnel!$D$38*(1-Personnel!$H$38),0)+IF(AND(88&gt;=Personnel!$E$39,Personnel!$G$39="Yes"),Personnel!$D$39*(1-Personnel!$H$39),0)+IF(AND(88&gt;=Personnel!$E$40,Personnel!$G$40="Yes"),Personnel!$D$40*(1-Personnel!$H$40),0)+IF(AND(88&gt;=Personnel!$E$41,Personnel!$G$41="Yes"),Personnel!$D$41*(1-Personnel!$H$41),0)+IF(AND(88&gt;=Personnel!$E$42,Personnel!$G$42="Yes"),Personnel!$D$42*(1-Personnel!$H$42),0))*Escalation!$B$89</f>
        <v>375476.627612858</v>
      </c>
      <c r="CM4" s="279" t="n">
        <f aca="false">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+IF(AND(89&gt;=Personnel!$E$36,Personnel!$G$36="Yes"),Personnel!$D$36*(1-Personnel!$H$36),0)+IF(AND(89&gt;=Personnel!$E$37,Personnel!$G$37="Yes"),Personnel!$D$37*(1-Personnel!$H$37),0)+IF(AND(89&gt;=Personnel!$E$38,Personnel!$G$38="Yes"),Personnel!$D$38*(1-Personnel!$H$38),0)+IF(AND(89&gt;=Personnel!$E$39,Personnel!$G$39="Yes"),Personnel!$D$39*(1-Personnel!$H$39),0)+IF(AND(89&gt;=Personnel!$E$40,Personnel!$G$40="Yes"),Personnel!$D$40*(1-Personnel!$H$40),0)+IF(AND(89&gt;=Personnel!$E$41,Personnel!$G$41="Yes"),Personnel!$D$41*(1-Personnel!$H$41),0)+IF(AND(89&gt;=Personnel!$E$42,Personnel!$G$42="Yes"),Personnel!$D$42*(1-Personnel!$H$42),0))*Escalation!$B$90</f>
        <v>375476.627612858</v>
      </c>
      <c r="CN4" s="279" t="n">
        <f aca="false">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+IF(AND(90&gt;=Personnel!$E$36,Personnel!$G$36="Yes"),Personnel!$D$36*(1-Personnel!$H$36),0)+IF(AND(90&gt;=Personnel!$E$37,Personnel!$G$37="Yes"),Personnel!$D$37*(1-Personnel!$H$37),0)+IF(AND(90&gt;=Personnel!$E$38,Personnel!$G$38="Yes"),Personnel!$D$38*(1-Personnel!$H$38),0)+IF(AND(90&gt;=Personnel!$E$39,Personnel!$G$39="Yes"),Personnel!$D$39*(1-Personnel!$H$39),0)+IF(AND(90&gt;=Personnel!$E$40,Personnel!$G$40="Yes"),Personnel!$D$40*(1-Personnel!$H$40),0)+IF(AND(90&gt;=Personnel!$E$41,Personnel!$G$41="Yes"),Personnel!$D$41*(1-Personnel!$H$41),0)+IF(AND(90&gt;=Personnel!$E$42,Personnel!$G$42="Yes"),Personnel!$D$42*(1-Personnel!$H$42),0))*Escalation!$B$91</f>
        <v>375476.627612858</v>
      </c>
      <c r="CO4" s="279" t="n">
        <f aca="false">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+IF(AND(91&gt;=Personnel!$E$36,Personnel!$G$36="Yes"),Personnel!$D$36*(1-Personnel!$H$36),0)+IF(AND(91&gt;=Personnel!$E$37,Personnel!$G$37="Yes"),Personnel!$D$37*(1-Personnel!$H$37),0)+IF(AND(91&gt;=Personnel!$E$38,Personnel!$G$38="Yes"),Personnel!$D$38*(1-Personnel!$H$38),0)+IF(AND(91&gt;=Personnel!$E$39,Personnel!$G$39="Yes"),Personnel!$D$39*(1-Personnel!$H$39),0)+IF(AND(91&gt;=Personnel!$E$40,Personnel!$G$40="Yes"),Personnel!$D$40*(1-Personnel!$H$40),0)+IF(AND(91&gt;=Personnel!$E$41,Personnel!$G$41="Yes"),Personnel!$D$41*(1-Personnel!$H$41),0)+IF(AND(91&gt;=Personnel!$E$42,Personnel!$G$42="Yes"),Personnel!$D$42*(1-Personnel!$H$42),0))*Escalation!$B$92</f>
        <v>375476.627612858</v>
      </c>
      <c r="CP4" s="279" t="n">
        <f aca="false">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+IF(AND(92&gt;=Personnel!$E$36,Personnel!$G$36="Yes"),Personnel!$D$36*(1-Personnel!$H$36),0)+IF(AND(92&gt;=Personnel!$E$37,Personnel!$G$37="Yes"),Personnel!$D$37*(1-Personnel!$H$37),0)+IF(AND(92&gt;=Personnel!$E$38,Personnel!$G$38="Yes"),Personnel!$D$38*(1-Personnel!$H$38),0)+IF(AND(92&gt;=Personnel!$E$39,Personnel!$G$39="Yes"),Personnel!$D$39*(1-Personnel!$H$39),0)+IF(AND(92&gt;=Personnel!$E$40,Personnel!$G$40="Yes"),Personnel!$D$40*(1-Personnel!$H$40),0)+IF(AND(92&gt;=Personnel!$E$41,Personnel!$G$41="Yes"),Personnel!$D$41*(1-Personnel!$H$41),0)+IF(AND(92&gt;=Personnel!$E$42,Personnel!$G$42="Yes"),Personnel!$D$42*(1-Personnel!$H$42),0))*Escalation!$B$93</f>
        <v>375476.627612858</v>
      </c>
      <c r="CQ4" s="279" t="n">
        <f aca="false">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+IF(AND(93&gt;=Personnel!$E$36,Personnel!$G$36="Yes"),Personnel!$D$36*(1-Personnel!$H$36),0)+IF(AND(93&gt;=Personnel!$E$37,Personnel!$G$37="Yes"),Personnel!$D$37*(1-Personnel!$H$37),0)+IF(AND(93&gt;=Personnel!$E$38,Personnel!$G$38="Yes"),Personnel!$D$38*(1-Personnel!$H$38),0)+IF(AND(93&gt;=Personnel!$E$39,Personnel!$G$39="Yes"),Personnel!$D$39*(1-Personnel!$H$39),0)+IF(AND(93&gt;=Personnel!$E$40,Personnel!$G$40="Yes"),Personnel!$D$40*(1-Personnel!$H$40),0)+IF(AND(93&gt;=Personnel!$E$41,Personnel!$G$41="Yes"),Personnel!$D$41*(1-Personnel!$H$41),0)+IF(AND(93&gt;=Personnel!$E$42,Personnel!$G$42="Yes"),Personnel!$D$42*(1-Personnel!$H$42),0))*Escalation!$B$94</f>
        <v>375476.627612858</v>
      </c>
    </row>
    <row r="5" customFormat="false" ht="15" hidden="false" customHeight="true" outlineLevel="0" collapsed="false">
      <c r="A5" s="175" t="s">
        <v>814</v>
      </c>
      <c r="C5" s="279" t="n">
        <f aca="false">(IF(AND(1&gt;=Personnel!$E$36,Personnel!$G$36="Yes"),Personnel!$D$36*(1-Personnel!$H$36)*(1-Personnel!$I$36),0)+IF(AND(1&gt;=Personnel!$E$37,Personnel!$G$37="Yes"),Personnel!$D$37*(1-Personnel!$H$37)*(1-Personnel!$I$37),0)+IF(AND(1&gt;=Personnel!$E$38,Personnel!$G$38="Yes"),Personnel!$D$38*(1-Personnel!$H$38)*(1-Personnel!$I$38),0)+IF(AND(1&gt;=Personnel!$E$39,Personnel!$G$39="Yes"),Personnel!$D$39*(1-Personnel!$H$39)*(1-Personnel!$I$39),0)+IF(AND(1&gt;=Personnel!$E$40,Personnel!$G$40="Yes"),Personnel!$D$40*(1-Personnel!$H$40)*(1-Personnel!$I$40),0)+IF(AND(1&gt;=Personnel!$E$41,Personnel!$G$41="Yes"),Personnel!$D$41*(1-Personnel!$H$41)*(1-Personnel!$I$41),0)+IF(AND(1&gt;=Personnel!$E$42,Personnel!$G$42="Yes"),Personnel!$D$42*(1-Personnel!$H$42)*(1-Personnel!$I$42),0))*Escalation!$B$2</f>
        <v>11458.3333333333</v>
      </c>
      <c r="D5" s="279" t="n">
        <f aca="false">(IF(AND(2&gt;=Personnel!$E$36,Personnel!$G$36="Yes"),Personnel!$D$36*(1-Personnel!$H$36)*(1-Personnel!$I$36),0)+IF(AND(2&gt;=Personnel!$E$37,Personnel!$G$37="Yes"),Personnel!$D$37*(1-Personnel!$H$37)*(1-Personnel!$I$37),0)+IF(AND(2&gt;=Personnel!$E$38,Personnel!$G$38="Yes"),Personnel!$D$38*(1-Personnel!$H$38)*(1-Personnel!$I$38),0)+IF(AND(2&gt;=Personnel!$E$39,Personnel!$G$39="Yes"),Personnel!$D$39*(1-Personnel!$H$39)*(1-Personnel!$I$39),0)+IF(AND(2&gt;=Personnel!$E$40,Personnel!$G$40="Yes"),Personnel!$D$40*(1-Personnel!$H$40)*(1-Personnel!$I$40),0)+IF(AND(2&gt;=Personnel!$E$41,Personnel!$G$41="Yes"),Personnel!$D$41*(1-Personnel!$H$41)*(1-Personnel!$I$41),0)+IF(AND(2&gt;=Personnel!$E$42,Personnel!$G$42="Yes"),Personnel!$D$42*(1-Personnel!$H$42)*(1-Personnel!$I$42),0))*Escalation!$B$3</f>
        <v>11458.3333333333</v>
      </c>
      <c r="E5" s="279" t="n">
        <f aca="false">(IF(AND(3&gt;=Personnel!$E$36,Personnel!$G$36="Yes"),Personnel!$D$36*(1-Personnel!$H$36)*(1-Personnel!$I$36),0)+IF(AND(3&gt;=Personnel!$E$37,Personnel!$G$37="Yes"),Personnel!$D$37*(1-Personnel!$H$37)*(1-Personnel!$I$37),0)+IF(AND(3&gt;=Personnel!$E$38,Personnel!$G$38="Yes"),Personnel!$D$38*(1-Personnel!$H$38)*(1-Personnel!$I$38),0)+IF(AND(3&gt;=Personnel!$E$39,Personnel!$G$39="Yes"),Personnel!$D$39*(1-Personnel!$H$39)*(1-Personnel!$I$39),0)+IF(AND(3&gt;=Personnel!$E$40,Personnel!$G$40="Yes"),Personnel!$D$40*(1-Personnel!$H$40)*(1-Personnel!$I$40),0)+IF(AND(3&gt;=Personnel!$E$41,Personnel!$G$41="Yes"),Personnel!$D$41*(1-Personnel!$H$41)*(1-Personnel!$I$41),0)+IF(AND(3&gt;=Personnel!$E$42,Personnel!$G$42="Yes"),Personnel!$D$42*(1-Personnel!$H$42)*(1-Personnel!$I$42),0))*Escalation!$B$4</f>
        <v>11458.3333333333</v>
      </c>
      <c r="F5" s="279" t="n">
        <f aca="false">(IF(AND(4&gt;=Personnel!$E$36,Personnel!$G$36="Yes"),Personnel!$D$36*(1-Personnel!$H$36)*(1-Personnel!$I$36),0)+IF(AND(4&gt;=Personnel!$E$37,Personnel!$G$37="Yes"),Personnel!$D$37*(1-Personnel!$H$37)*(1-Personnel!$I$37),0)+IF(AND(4&gt;=Personnel!$E$38,Personnel!$G$38="Yes"),Personnel!$D$38*(1-Personnel!$H$38)*(1-Personnel!$I$38),0)+IF(AND(4&gt;=Personnel!$E$39,Personnel!$G$39="Yes"),Personnel!$D$39*(1-Personnel!$H$39)*(1-Personnel!$I$39),0)+IF(AND(4&gt;=Personnel!$E$40,Personnel!$G$40="Yes"),Personnel!$D$40*(1-Personnel!$H$40)*(1-Personnel!$I$40),0)+IF(AND(4&gt;=Personnel!$E$41,Personnel!$G$41="Yes"),Personnel!$D$41*(1-Personnel!$H$41)*(1-Personnel!$I$41),0)+IF(AND(4&gt;=Personnel!$E$42,Personnel!$G$42="Yes"),Personnel!$D$42*(1-Personnel!$H$42)*(1-Personnel!$I$42),0))*Escalation!$B$5</f>
        <v>11458.3333333333</v>
      </c>
      <c r="G5" s="279" t="n">
        <f aca="false">(IF(AND(5&gt;=Personnel!$E$36,Personnel!$G$36="Yes"),Personnel!$D$36*(1-Personnel!$H$36)*(1-Personnel!$I$36),0)+IF(AND(5&gt;=Personnel!$E$37,Personnel!$G$37="Yes"),Personnel!$D$37*(1-Personnel!$H$37)*(1-Personnel!$I$37),0)+IF(AND(5&gt;=Personnel!$E$38,Personnel!$G$38="Yes"),Personnel!$D$38*(1-Personnel!$H$38)*(1-Personnel!$I$38),0)+IF(AND(5&gt;=Personnel!$E$39,Personnel!$G$39="Yes"),Personnel!$D$39*(1-Personnel!$H$39)*(1-Personnel!$I$39),0)+IF(AND(5&gt;=Personnel!$E$40,Personnel!$G$40="Yes"),Personnel!$D$40*(1-Personnel!$H$40)*(1-Personnel!$I$40),0)+IF(AND(5&gt;=Personnel!$E$41,Personnel!$G$41="Yes"),Personnel!$D$41*(1-Personnel!$H$41)*(1-Personnel!$I$41),0)+IF(AND(5&gt;=Personnel!$E$42,Personnel!$G$42="Yes"),Personnel!$D$42*(1-Personnel!$H$42)*(1-Personnel!$I$42),0))*Escalation!$B$6</f>
        <v>11458.3333333333</v>
      </c>
      <c r="H5" s="279" t="n">
        <f aca="false">(IF(AND(6&gt;=Personnel!$E$36,Personnel!$G$36="Yes"),Personnel!$D$36*(1-Personnel!$H$36)*(1-Personnel!$I$36),0)+IF(AND(6&gt;=Personnel!$E$37,Personnel!$G$37="Yes"),Personnel!$D$37*(1-Personnel!$H$37)*(1-Personnel!$I$37),0)+IF(AND(6&gt;=Personnel!$E$38,Personnel!$G$38="Yes"),Personnel!$D$38*(1-Personnel!$H$38)*(1-Personnel!$I$38),0)+IF(AND(6&gt;=Personnel!$E$39,Personnel!$G$39="Yes"),Personnel!$D$39*(1-Personnel!$H$39)*(1-Personnel!$I$39),0)+IF(AND(6&gt;=Personnel!$E$40,Personnel!$G$40="Yes"),Personnel!$D$40*(1-Personnel!$H$40)*(1-Personnel!$I$40),0)+IF(AND(6&gt;=Personnel!$E$41,Personnel!$G$41="Yes"),Personnel!$D$41*(1-Personnel!$H$41)*(1-Personnel!$I$41),0)+IF(AND(6&gt;=Personnel!$E$42,Personnel!$G$42="Yes"),Personnel!$D$42*(1-Personnel!$H$42)*(1-Personnel!$I$42),0))*Escalation!$B$7</f>
        <v>11458.3333333333</v>
      </c>
      <c r="I5" s="279" t="n">
        <f aca="false">(IF(AND(7&gt;=Personnel!$E$36,Personnel!$G$36="Yes"),Personnel!$D$36*(1-Personnel!$H$36)*(1-Personnel!$I$36),0)+IF(AND(7&gt;=Personnel!$E$37,Personnel!$G$37="Yes"),Personnel!$D$37*(1-Personnel!$H$37)*(1-Personnel!$I$37),0)+IF(AND(7&gt;=Personnel!$E$38,Personnel!$G$38="Yes"),Personnel!$D$38*(1-Personnel!$H$38)*(1-Personnel!$I$38),0)+IF(AND(7&gt;=Personnel!$E$39,Personnel!$G$39="Yes"),Personnel!$D$39*(1-Personnel!$H$39)*(1-Personnel!$I$39),0)+IF(AND(7&gt;=Personnel!$E$40,Personnel!$G$40="Yes"),Personnel!$D$40*(1-Personnel!$H$40)*(1-Personnel!$I$40),0)+IF(AND(7&gt;=Personnel!$E$41,Personnel!$G$41="Yes"),Personnel!$D$41*(1-Personnel!$H$41)*(1-Personnel!$I$41),0)+IF(AND(7&gt;=Personnel!$E$42,Personnel!$G$42="Yes"),Personnel!$D$42*(1-Personnel!$H$42)*(1-Personnel!$I$42),0))*Escalation!$B$8</f>
        <v>11458.3333333333</v>
      </c>
      <c r="J5" s="279" t="n">
        <f aca="false">(IF(AND(8&gt;=Personnel!$E$36,Personnel!$G$36="Yes"),Personnel!$D$36*(1-Personnel!$H$36)*(1-Personnel!$I$36),0)+IF(AND(8&gt;=Personnel!$E$37,Personnel!$G$37="Yes"),Personnel!$D$37*(1-Personnel!$H$37)*(1-Personnel!$I$37),0)+IF(AND(8&gt;=Personnel!$E$38,Personnel!$G$38="Yes"),Personnel!$D$38*(1-Personnel!$H$38)*(1-Personnel!$I$38),0)+IF(AND(8&gt;=Personnel!$E$39,Personnel!$G$39="Yes"),Personnel!$D$39*(1-Personnel!$H$39)*(1-Personnel!$I$39),0)+IF(AND(8&gt;=Personnel!$E$40,Personnel!$G$40="Yes"),Personnel!$D$40*(1-Personnel!$H$40)*(1-Personnel!$I$40),0)+IF(AND(8&gt;=Personnel!$E$41,Personnel!$G$41="Yes"),Personnel!$D$41*(1-Personnel!$H$41)*(1-Personnel!$I$41),0)+IF(AND(8&gt;=Personnel!$E$42,Personnel!$G$42="Yes"),Personnel!$D$42*(1-Personnel!$H$42)*(1-Personnel!$I$42),0))*Escalation!$B$9</f>
        <v>11458.3333333333</v>
      </c>
      <c r="K5" s="279" t="n">
        <f aca="false">(IF(AND(9&gt;=Personnel!$E$36,Personnel!$G$36="Yes"),Personnel!$D$36*(1-Personnel!$H$36)*(1-Personnel!$I$36),0)+IF(AND(9&gt;=Personnel!$E$37,Personnel!$G$37="Yes"),Personnel!$D$37*(1-Personnel!$H$37)*(1-Personnel!$I$37),0)+IF(AND(9&gt;=Personnel!$E$38,Personnel!$G$38="Yes"),Personnel!$D$38*(1-Personnel!$H$38)*(1-Personnel!$I$38),0)+IF(AND(9&gt;=Personnel!$E$39,Personnel!$G$39="Yes"),Personnel!$D$39*(1-Personnel!$H$39)*(1-Personnel!$I$39),0)+IF(AND(9&gt;=Personnel!$E$40,Personnel!$G$40="Yes"),Personnel!$D$40*(1-Personnel!$H$40)*(1-Personnel!$I$40),0)+IF(AND(9&gt;=Personnel!$E$41,Personnel!$G$41="Yes"),Personnel!$D$41*(1-Personnel!$H$41)*(1-Personnel!$I$41),0)+IF(AND(9&gt;=Personnel!$E$42,Personnel!$G$42="Yes"),Personnel!$D$42*(1-Personnel!$H$42)*(1-Personnel!$I$42),0))*Escalation!$B$10</f>
        <v>11458.3333333333</v>
      </c>
      <c r="L5" s="279" t="n">
        <f aca="false">(IF(AND(10&gt;=Personnel!$E$36,Personnel!$G$36="Yes"),Personnel!$D$36*(1-Personnel!$H$36)*(1-Personnel!$I$36),0)+IF(AND(10&gt;=Personnel!$E$37,Personnel!$G$37="Yes"),Personnel!$D$37*(1-Personnel!$H$37)*(1-Personnel!$I$37),0)+IF(AND(10&gt;=Personnel!$E$38,Personnel!$G$38="Yes"),Personnel!$D$38*(1-Personnel!$H$38)*(1-Personnel!$I$38),0)+IF(AND(10&gt;=Personnel!$E$39,Personnel!$G$39="Yes"),Personnel!$D$39*(1-Personnel!$H$39)*(1-Personnel!$I$39),0)+IF(AND(10&gt;=Personnel!$E$40,Personnel!$G$40="Yes"),Personnel!$D$40*(1-Personnel!$H$40)*(1-Personnel!$I$40),0)+IF(AND(10&gt;=Personnel!$E$41,Personnel!$G$41="Yes"),Personnel!$D$41*(1-Personnel!$H$41)*(1-Personnel!$I$41),0)+IF(AND(10&gt;=Personnel!$E$42,Personnel!$G$42="Yes"),Personnel!$D$42*(1-Personnel!$H$42)*(1-Personnel!$I$42),0))*Escalation!$B$11</f>
        <v>11458.3333333333</v>
      </c>
      <c r="M5" s="279" t="n">
        <f aca="false">(IF(AND(11&gt;=Personnel!$E$36,Personnel!$G$36="Yes"),Personnel!$D$36*(1-Personnel!$H$36)*(1-Personnel!$I$36),0)+IF(AND(11&gt;=Personnel!$E$37,Personnel!$G$37="Yes"),Personnel!$D$37*(1-Personnel!$H$37)*(1-Personnel!$I$37),0)+IF(AND(11&gt;=Personnel!$E$38,Personnel!$G$38="Yes"),Personnel!$D$38*(1-Personnel!$H$38)*(1-Personnel!$I$38),0)+IF(AND(11&gt;=Personnel!$E$39,Personnel!$G$39="Yes"),Personnel!$D$39*(1-Personnel!$H$39)*(1-Personnel!$I$39),0)+IF(AND(11&gt;=Personnel!$E$40,Personnel!$G$40="Yes"),Personnel!$D$40*(1-Personnel!$H$40)*(1-Personnel!$I$40),0)+IF(AND(11&gt;=Personnel!$E$41,Personnel!$G$41="Yes"),Personnel!$D$41*(1-Personnel!$H$41)*(1-Personnel!$I$41),0)+IF(AND(11&gt;=Personnel!$E$42,Personnel!$G$42="Yes"),Personnel!$D$42*(1-Personnel!$H$42)*(1-Personnel!$I$42),0))*Escalation!$B$12</f>
        <v>11458.3333333333</v>
      </c>
      <c r="N5" s="279" t="n">
        <f aca="false">(IF(AND(12&gt;=Personnel!$E$36,Personnel!$G$36="Yes"),Personnel!$D$36*(1-Personnel!$H$36)*(1-Personnel!$I$36),0)+IF(AND(12&gt;=Personnel!$E$37,Personnel!$G$37="Yes"),Personnel!$D$37*(1-Personnel!$H$37)*(1-Personnel!$I$37),0)+IF(AND(12&gt;=Personnel!$E$38,Personnel!$G$38="Yes"),Personnel!$D$38*(1-Personnel!$H$38)*(1-Personnel!$I$38),0)+IF(AND(12&gt;=Personnel!$E$39,Personnel!$G$39="Yes"),Personnel!$D$39*(1-Personnel!$H$39)*(1-Personnel!$I$39),0)+IF(AND(12&gt;=Personnel!$E$40,Personnel!$G$40="Yes"),Personnel!$D$40*(1-Personnel!$H$40)*(1-Personnel!$I$40),0)+IF(AND(12&gt;=Personnel!$E$41,Personnel!$G$41="Yes"),Personnel!$D$41*(1-Personnel!$H$41)*(1-Personnel!$I$41),0)+IF(AND(12&gt;=Personnel!$E$42,Personnel!$G$42="Yes"),Personnel!$D$42*(1-Personnel!$H$42)*(1-Personnel!$I$42),0))*Escalation!$B$13</f>
        <v>11458.3333333333</v>
      </c>
      <c r="O5" s="279" t="n">
        <f aca="false">(IF(AND(13&gt;=Personnel!$E$36,Personnel!$G$36="Yes"),Personnel!$D$36*(1-Personnel!$H$36)*(1-Personnel!$I$36),0)+IF(AND(13&gt;=Personnel!$E$37,Personnel!$G$37="Yes"),Personnel!$D$37*(1-Personnel!$H$37)*(1-Personnel!$I$37),0)+IF(AND(13&gt;=Personnel!$E$38,Personnel!$G$38="Yes"),Personnel!$D$38*(1-Personnel!$H$38)*(1-Personnel!$I$38),0)+IF(AND(13&gt;=Personnel!$E$39,Personnel!$G$39="Yes"),Personnel!$D$39*(1-Personnel!$H$39)*(1-Personnel!$I$39),0)+IF(AND(13&gt;=Personnel!$E$40,Personnel!$G$40="Yes"),Personnel!$D$40*(1-Personnel!$H$40)*(1-Personnel!$I$40),0)+IF(AND(13&gt;=Personnel!$E$41,Personnel!$G$41="Yes"),Personnel!$D$41*(1-Personnel!$H$41)*(1-Personnel!$I$41),0)+IF(AND(13&gt;=Personnel!$E$42,Personnel!$G$42="Yes"),Personnel!$D$42*(1-Personnel!$H$42)*(1-Personnel!$I$42),0))*Escalation!$B$14</f>
        <v>11687.5</v>
      </c>
      <c r="P5" s="279" t="n">
        <f aca="false">(IF(AND(14&gt;=Personnel!$E$36,Personnel!$G$36="Yes"),Personnel!$D$36*(1-Personnel!$H$36)*(1-Personnel!$I$36),0)+IF(AND(14&gt;=Personnel!$E$37,Personnel!$G$37="Yes"),Personnel!$D$37*(1-Personnel!$H$37)*(1-Personnel!$I$37),0)+IF(AND(14&gt;=Personnel!$E$38,Personnel!$G$38="Yes"),Personnel!$D$38*(1-Personnel!$H$38)*(1-Personnel!$I$38),0)+IF(AND(14&gt;=Personnel!$E$39,Personnel!$G$39="Yes"),Personnel!$D$39*(1-Personnel!$H$39)*(1-Personnel!$I$39),0)+IF(AND(14&gt;=Personnel!$E$40,Personnel!$G$40="Yes"),Personnel!$D$40*(1-Personnel!$H$40)*(1-Personnel!$I$40),0)+IF(AND(14&gt;=Personnel!$E$41,Personnel!$G$41="Yes"),Personnel!$D$41*(1-Personnel!$H$41)*(1-Personnel!$I$41),0)+IF(AND(14&gt;=Personnel!$E$42,Personnel!$G$42="Yes"),Personnel!$D$42*(1-Personnel!$H$42)*(1-Personnel!$I$42),0))*Escalation!$B$15</f>
        <v>11687.5</v>
      </c>
      <c r="Q5" s="279" t="n">
        <f aca="false">(IF(AND(15&gt;=Personnel!$E$36,Personnel!$G$36="Yes"),Personnel!$D$36*(1-Personnel!$H$36)*(1-Personnel!$I$36),0)+IF(AND(15&gt;=Personnel!$E$37,Personnel!$G$37="Yes"),Personnel!$D$37*(1-Personnel!$H$37)*(1-Personnel!$I$37),0)+IF(AND(15&gt;=Personnel!$E$38,Personnel!$G$38="Yes"),Personnel!$D$38*(1-Personnel!$H$38)*(1-Personnel!$I$38),0)+IF(AND(15&gt;=Personnel!$E$39,Personnel!$G$39="Yes"),Personnel!$D$39*(1-Personnel!$H$39)*(1-Personnel!$I$39),0)+IF(AND(15&gt;=Personnel!$E$40,Personnel!$G$40="Yes"),Personnel!$D$40*(1-Personnel!$H$40)*(1-Personnel!$I$40),0)+IF(AND(15&gt;=Personnel!$E$41,Personnel!$G$41="Yes"),Personnel!$D$41*(1-Personnel!$H$41)*(1-Personnel!$I$41),0)+IF(AND(15&gt;=Personnel!$E$42,Personnel!$G$42="Yes"),Personnel!$D$42*(1-Personnel!$H$42)*(1-Personnel!$I$42),0))*Escalation!$B$16</f>
        <v>11687.5</v>
      </c>
      <c r="R5" s="279" t="n">
        <f aca="false">(IF(AND(16&gt;=Personnel!$E$36,Personnel!$G$36="Yes"),Personnel!$D$36*(1-Personnel!$H$36)*(1-Personnel!$I$36),0)+IF(AND(16&gt;=Personnel!$E$37,Personnel!$G$37="Yes"),Personnel!$D$37*(1-Personnel!$H$37)*(1-Personnel!$I$37),0)+IF(AND(16&gt;=Personnel!$E$38,Personnel!$G$38="Yes"),Personnel!$D$38*(1-Personnel!$H$38)*(1-Personnel!$I$38),0)+IF(AND(16&gt;=Personnel!$E$39,Personnel!$G$39="Yes"),Personnel!$D$39*(1-Personnel!$H$39)*(1-Personnel!$I$39),0)+IF(AND(16&gt;=Personnel!$E$40,Personnel!$G$40="Yes"),Personnel!$D$40*(1-Personnel!$H$40)*(1-Personnel!$I$40),0)+IF(AND(16&gt;=Personnel!$E$41,Personnel!$G$41="Yes"),Personnel!$D$41*(1-Personnel!$H$41)*(1-Personnel!$I$41),0)+IF(AND(16&gt;=Personnel!$E$42,Personnel!$G$42="Yes"),Personnel!$D$42*(1-Personnel!$H$42)*(1-Personnel!$I$42),0))*Escalation!$B$17</f>
        <v>11687.5</v>
      </c>
      <c r="S5" s="279" t="n">
        <f aca="false">(IF(AND(17&gt;=Personnel!$E$36,Personnel!$G$36="Yes"),Personnel!$D$36*(1-Personnel!$H$36)*(1-Personnel!$I$36),0)+IF(AND(17&gt;=Personnel!$E$37,Personnel!$G$37="Yes"),Personnel!$D$37*(1-Personnel!$H$37)*(1-Personnel!$I$37),0)+IF(AND(17&gt;=Personnel!$E$38,Personnel!$G$38="Yes"),Personnel!$D$38*(1-Personnel!$H$38)*(1-Personnel!$I$38),0)+IF(AND(17&gt;=Personnel!$E$39,Personnel!$G$39="Yes"),Personnel!$D$39*(1-Personnel!$H$39)*(1-Personnel!$I$39),0)+IF(AND(17&gt;=Personnel!$E$40,Personnel!$G$40="Yes"),Personnel!$D$40*(1-Personnel!$H$40)*(1-Personnel!$I$40),0)+IF(AND(17&gt;=Personnel!$E$41,Personnel!$G$41="Yes"),Personnel!$D$41*(1-Personnel!$H$41)*(1-Personnel!$I$41),0)+IF(AND(17&gt;=Personnel!$E$42,Personnel!$G$42="Yes"),Personnel!$D$42*(1-Personnel!$H$42)*(1-Personnel!$I$42),0))*Escalation!$B$18</f>
        <v>11687.5</v>
      </c>
      <c r="T5" s="279" t="n">
        <f aca="false">(IF(AND(18&gt;=Personnel!$E$36,Personnel!$G$36="Yes"),Personnel!$D$36*(1-Personnel!$H$36)*(1-Personnel!$I$36),0)+IF(AND(18&gt;=Personnel!$E$37,Personnel!$G$37="Yes"),Personnel!$D$37*(1-Personnel!$H$37)*(1-Personnel!$I$37),0)+IF(AND(18&gt;=Personnel!$E$38,Personnel!$G$38="Yes"),Personnel!$D$38*(1-Personnel!$H$38)*(1-Personnel!$I$38),0)+IF(AND(18&gt;=Personnel!$E$39,Personnel!$G$39="Yes"),Personnel!$D$39*(1-Personnel!$H$39)*(1-Personnel!$I$39),0)+IF(AND(18&gt;=Personnel!$E$40,Personnel!$G$40="Yes"),Personnel!$D$40*(1-Personnel!$H$40)*(1-Personnel!$I$40),0)+IF(AND(18&gt;=Personnel!$E$41,Personnel!$G$41="Yes"),Personnel!$D$41*(1-Personnel!$H$41)*(1-Personnel!$I$41),0)+IF(AND(18&gt;=Personnel!$E$42,Personnel!$G$42="Yes"),Personnel!$D$42*(1-Personnel!$H$42)*(1-Personnel!$I$42),0))*Escalation!$B$19</f>
        <v>11687.5</v>
      </c>
      <c r="U5" s="279" t="n">
        <f aca="false">(IF(AND(19&gt;=Personnel!$E$36,Personnel!$G$36="Yes"),Personnel!$D$36*(1-Personnel!$H$36)*(1-Personnel!$I$36),0)+IF(AND(19&gt;=Personnel!$E$37,Personnel!$G$37="Yes"),Personnel!$D$37*(1-Personnel!$H$37)*(1-Personnel!$I$37),0)+IF(AND(19&gt;=Personnel!$E$38,Personnel!$G$38="Yes"),Personnel!$D$38*(1-Personnel!$H$38)*(1-Personnel!$I$38),0)+IF(AND(19&gt;=Personnel!$E$39,Personnel!$G$39="Yes"),Personnel!$D$39*(1-Personnel!$H$39)*(1-Personnel!$I$39),0)+IF(AND(19&gt;=Personnel!$E$40,Personnel!$G$40="Yes"),Personnel!$D$40*(1-Personnel!$H$40)*(1-Personnel!$I$40),0)+IF(AND(19&gt;=Personnel!$E$41,Personnel!$G$41="Yes"),Personnel!$D$41*(1-Personnel!$H$41)*(1-Personnel!$I$41),0)+IF(AND(19&gt;=Personnel!$E$42,Personnel!$G$42="Yes"),Personnel!$D$42*(1-Personnel!$H$42)*(1-Personnel!$I$42),0))*Escalation!$B$20</f>
        <v>11687.5</v>
      </c>
      <c r="V5" s="279" t="n">
        <f aca="false">(IF(AND(20&gt;=Personnel!$E$36,Personnel!$G$36="Yes"),Personnel!$D$36*(1-Personnel!$H$36)*(1-Personnel!$I$36),0)+IF(AND(20&gt;=Personnel!$E$37,Personnel!$G$37="Yes"),Personnel!$D$37*(1-Personnel!$H$37)*(1-Personnel!$I$37),0)+IF(AND(20&gt;=Personnel!$E$38,Personnel!$G$38="Yes"),Personnel!$D$38*(1-Personnel!$H$38)*(1-Personnel!$I$38),0)+IF(AND(20&gt;=Personnel!$E$39,Personnel!$G$39="Yes"),Personnel!$D$39*(1-Personnel!$H$39)*(1-Personnel!$I$39),0)+IF(AND(20&gt;=Personnel!$E$40,Personnel!$G$40="Yes"),Personnel!$D$40*(1-Personnel!$H$40)*(1-Personnel!$I$40),0)+IF(AND(20&gt;=Personnel!$E$41,Personnel!$G$41="Yes"),Personnel!$D$41*(1-Personnel!$H$41)*(1-Personnel!$I$41),0)+IF(AND(20&gt;=Personnel!$E$42,Personnel!$G$42="Yes"),Personnel!$D$42*(1-Personnel!$H$42)*(1-Personnel!$I$42),0))*Escalation!$B$21</f>
        <v>11687.5</v>
      </c>
      <c r="W5" s="279" t="n">
        <f aca="false">(IF(AND(21&gt;=Personnel!$E$36,Personnel!$G$36="Yes"),Personnel!$D$36*(1-Personnel!$H$36)*(1-Personnel!$I$36),0)+IF(AND(21&gt;=Personnel!$E$37,Personnel!$G$37="Yes"),Personnel!$D$37*(1-Personnel!$H$37)*(1-Personnel!$I$37),0)+IF(AND(21&gt;=Personnel!$E$38,Personnel!$G$38="Yes"),Personnel!$D$38*(1-Personnel!$H$38)*(1-Personnel!$I$38),0)+IF(AND(21&gt;=Personnel!$E$39,Personnel!$G$39="Yes"),Personnel!$D$39*(1-Personnel!$H$39)*(1-Personnel!$I$39),0)+IF(AND(21&gt;=Personnel!$E$40,Personnel!$G$40="Yes"),Personnel!$D$40*(1-Personnel!$H$40)*(1-Personnel!$I$40),0)+IF(AND(21&gt;=Personnel!$E$41,Personnel!$G$41="Yes"),Personnel!$D$41*(1-Personnel!$H$41)*(1-Personnel!$I$41),0)+IF(AND(21&gt;=Personnel!$E$42,Personnel!$G$42="Yes"),Personnel!$D$42*(1-Personnel!$H$42)*(1-Personnel!$I$42),0))*Escalation!$B$22</f>
        <v>11687.5</v>
      </c>
      <c r="X5" s="279" t="n">
        <f aca="false">(IF(AND(22&gt;=Personnel!$E$36,Personnel!$G$36="Yes"),Personnel!$D$36*(1-Personnel!$H$36)*(1-Personnel!$I$36),0)+IF(AND(22&gt;=Personnel!$E$37,Personnel!$G$37="Yes"),Personnel!$D$37*(1-Personnel!$H$37)*(1-Personnel!$I$37),0)+IF(AND(22&gt;=Personnel!$E$38,Personnel!$G$38="Yes"),Personnel!$D$38*(1-Personnel!$H$38)*(1-Personnel!$I$38),0)+IF(AND(22&gt;=Personnel!$E$39,Personnel!$G$39="Yes"),Personnel!$D$39*(1-Personnel!$H$39)*(1-Personnel!$I$39),0)+IF(AND(22&gt;=Personnel!$E$40,Personnel!$G$40="Yes"),Personnel!$D$40*(1-Personnel!$H$40)*(1-Personnel!$I$40),0)+IF(AND(22&gt;=Personnel!$E$41,Personnel!$G$41="Yes"),Personnel!$D$41*(1-Personnel!$H$41)*(1-Personnel!$I$41),0)+IF(AND(22&gt;=Personnel!$E$42,Personnel!$G$42="Yes"),Personnel!$D$42*(1-Personnel!$H$42)*(1-Personnel!$I$42),0))*Escalation!$B$23</f>
        <v>11687.5</v>
      </c>
      <c r="Y5" s="279" t="n">
        <f aca="false">(IF(AND(23&gt;=Personnel!$E$36,Personnel!$G$36="Yes"),Personnel!$D$36*(1-Personnel!$H$36)*(1-Personnel!$I$36),0)+IF(AND(23&gt;=Personnel!$E$37,Personnel!$G$37="Yes"),Personnel!$D$37*(1-Personnel!$H$37)*(1-Personnel!$I$37),0)+IF(AND(23&gt;=Personnel!$E$38,Personnel!$G$38="Yes"),Personnel!$D$38*(1-Personnel!$H$38)*(1-Personnel!$I$38),0)+IF(AND(23&gt;=Personnel!$E$39,Personnel!$G$39="Yes"),Personnel!$D$39*(1-Personnel!$H$39)*(1-Personnel!$I$39),0)+IF(AND(23&gt;=Personnel!$E$40,Personnel!$G$40="Yes"),Personnel!$D$40*(1-Personnel!$H$40)*(1-Personnel!$I$40),0)+IF(AND(23&gt;=Personnel!$E$41,Personnel!$G$41="Yes"),Personnel!$D$41*(1-Personnel!$H$41)*(1-Personnel!$I$41),0)+IF(AND(23&gt;=Personnel!$E$42,Personnel!$G$42="Yes"),Personnel!$D$42*(1-Personnel!$H$42)*(1-Personnel!$I$42),0))*Escalation!$B$24</f>
        <v>11687.5</v>
      </c>
      <c r="Z5" s="279" t="n">
        <f aca="false">(IF(AND(24&gt;=Personnel!$E$36,Personnel!$G$36="Yes"),Personnel!$D$36*(1-Personnel!$H$36)*(1-Personnel!$I$36),0)+IF(AND(24&gt;=Personnel!$E$37,Personnel!$G$37="Yes"),Personnel!$D$37*(1-Personnel!$H$37)*(1-Personnel!$I$37),0)+IF(AND(24&gt;=Personnel!$E$38,Personnel!$G$38="Yes"),Personnel!$D$38*(1-Personnel!$H$38)*(1-Personnel!$I$38),0)+IF(AND(24&gt;=Personnel!$E$39,Personnel!$G$39="Yes"),Personnel!$D$39*(1-Personnel!$H$39)*(1-Personnel!$I$39),0)+IF(AND(24&gt;=Personnel!$E$40,Personnel!$G$40="Yes"),Personnel!$D$40*(1-Personnel!$H$40)*(1-Personnel!$I$40),0)+IF(AND(24&gt;=Personnel!$E$41,Personnel!$G$41="Yes"),Personnel!$D$41*(1-Personnel!$H$41)*(1-Personnel!$I$41),0)+IF(AND(24&gt;=Personnel!$E$42,Personnel!$G$42="Yes"),Personnel!$D$42*(1-Personnel!$H$42)*(1-Personnel!$I$42),0))*Escalation!$B$25</f>
        <v>11687.5</v>
      </c>
      <c r="AA5" s="279" t="n">
        <f aca="false">(IF(AND(25&gt;=Personnel!$E$36,Personnel!$G$36="Yes"),Personnel!$D$36*(1-Personnel!$H$36)*(1-Personnel!$I$36),0)+IF(AND(25&gt;=Personnel!$E$37,Personnel!$G$37="Yes"),Personnel!$D$37*(1-Personnel!$H$37)*(1-Personnel!$I$37),0)+IF(AND(25&gt;=Personnel!$E$38,Personnel!$G$38="Yes"),Personnel!$D$38*(1-Personnel!$H$38)*(1-Personnel!$I$38),0)+IF(AND(25&gt;=Personnel!$E$39,Personnel!$G$39="Yes"),Personnel!$D$39*(1-Personnel!$H$39)*(1-Personnel!$I$39),0)+IF(AND(25&gt;=Personnel!$E$40,Personnel!$G$40="Yes"),Personnel!$D$40*(1-Personnel!$H$40)*(1-Personnel!$I$40),0)+IF(AND(25&gt;=Personnel!$E$41,Personnel!$G$41="Yes"),Personnel!$D$41*(1-Personnel!$H$41)*(1-Personnel!$I$41),0)+IF(AND(25&gt;=Personnel!$E$42,Personnel!$G$42="Yes"),Personnel!$D$42*(1-Personnel!$H$42)*(1-Personnel!$I$42),0))*Escalation!$B$26</f>
        <v>11921.25</v>
      </c>
      <c r="AB5" s="279" t="n">
        <f aca="false">(IF(AND(26&gt;=Personnel!$E$36,Personnel!$G$36="Yes"),Personnel!$D$36*(1-Personnel!$H$36)*(1-Personnel!$I$36),0)+IF(AND(26&gt;=Personnel!$E$37,Personnel!$G$37="Yes"),Personnel!$D$37*(1-Personnel!$H$37)*(1-Personnel!$I$37),0)+IF(AND(26&gt;=Personnel!$E$38,Personnel!$G$38="Yes"),Personnel!$D$38*(1-Personnel!$H$38)*(1-Personnel!$I$38),0)+IF(AND(26&gt;=Personnel!$E$39,Personnel!$G$39="Yes"),Personnel!$D$39*(1-Personnel!$H$39)*(1-Personnel!$I$39),0)+IF(AND(26&gt;=Personnel!$E$40,Personnel!$G$40="Yes"),Personnel!$D$40*(1-Personnel!$H$40)*(1-Personnel!$I$40),0)+IF(AND(26&gt;=Personnel!$E$41,Personnel!$G$41="Yes"),Personnel!$D$41*(1-Personnel!$H$41)*(1-Personnel!$I$41),0)+IF(AND(26&gt;=Personnel!$E$42,Personnel!$G$42="Yes"),Personnel!$D$42*(1-Personnel!$H$42)*(1-Personnel!$I$42),0))*Escalation!$B$27</f>
        <v>11921.25</v>
      </c>
      <c r="AC5" s="279" t="n">
        <f aca="false">(IF(AND(27&gt;=Personnel!$E$36,Personnel!$G$36="Yes"),Personnel!$D$36*(1-Personnel!$H$36)*(1-Personnel!$I$36),0)+IF(AND(27&gt;=Personnel!$E$37,Personnel!$G$37="Yes"),Personnel!$D$37*(1-Personnel!$H$37)*(1-Personnel!$I$37),0)+IF(AND(27&gt;=Personnel!$E$38,Personnel!$G$38="Yes"),Personnel!$D$38*(1-Personnel!$H$38)*(1-Personnel!$I$38),0)+IF(AND(27&gt;=Personnel!$E$39,Personnel!$G$39="Yes"),Personnel!$D$39*(1-Personnel!$H$39)*(1-Personnel!$I$39),0)+IF(AND(27&gt;=Personnel!$E$40,Personnel!$G$40="Yes"),Personnel!$D$40*(1-Personnel!$H$40)*(1-Personnel!$I$40),0)+IF(AND(27&gt;=Personnel!$E$41,Personnel!$G$41="Yes"),Personnel!$D$41*(1-Personnel!$H$41)*(1-Personnel!$I$41),0)+IF(AND(27&gt;=Personnel!$E$42,Personnel!$G$42="Yes"),Personnel!$D$42*(1-Personnel!$H$42)*(1-Personnel!$I$42),0))*Escalation!$B$28</f>
        <v>11921.25</v>
      </c>
      <c r="AD5" s="279" t="n">
        <f aca="false">(IF(AND(28&gt;=Personnel!$E$36,Personnel!$G$36="Yes"),Personnel!$D$36*(1-Personnel!$H$36)*(1-Personnel!$I$36),0)+IF(AND(28&gt;=Personnel!$E$37,Personnel!$G$37="Yes"),Personnel!$D$37*(1-Personnel!$H$37)*(1-Personnel!$I$37),0)+IF(AND(28&gt;=Personnel!$E$38,Personnel!$G$38="Yes"),Personnel!$D$38*(1-Personnel!$H$38)*(1-Personnel!$I$38),0)+IF(AND(28&gt;=Personnel!$E$39,Personnel!$G$39="Yes"),Personnel!$D$39*(1-Personnel!$H$39)*(1-Personnel!$I$39),0)+IF(AND(28&gt;=Personnel!$E$40,Personnel!$G$40="Yes"),Personnel!$D$40*(1-Personnel!$H$40)*(1-Personnel!$I$40),0)+IF(AND(28&gt;=Personnel!$E$41,Personnel!$G$41="Yes"),Personnel!$D$41*(1-Personnel!$H$41)*(1-Personnel!$I$41),0)+IF(AND(28&gt;=Personnel!$E$42,Personnel!$G$42="Yes"),Personnel!$D$42*(1-Personnel!$H$42)*(1-Personnel!$I$42),0))*Escalation!$B$29</f>
        <v>11921.25</v>
      </c>
      <c r="AE5" s="279" t="n">
        <f aca="false">(IF(AND(29&gt;=Personnel!$E$36,Personnel!$G$36="Yes"),Personnel!$D$36*(1-Personnel!$H$36)*(1-Personnel!$I$36),0)+IF(AND(29&gt;=Personnel!$E$37,Personnel!$G$37="Yes"),Personnel!$D$37*(1-Personnel!$H$37)*(1-Personnel!$I$37),0)+IF(AND(29&gt;=Personnel!$E$38,Personnel!$G$38="Yes"),Personnel!$D$38*(1-Personnel!$H$38)*(1-Personnel!$I$38),0)+IF(AND(29&gt;=Personnel!$E$39,Personnel!$G$39="Yes"),Personnel!$D$39*(1-Personnel!$H$39)*(1-Personnel!$I$39),0)+IF(AND(29&gt;=Personnel!$E$40,Personnel!$G$40="Yes"),Personnel!$D$40*(1-Personnel!$H$40)*(1-Personnel!$I$40),0)+IF(AND(29&gt;=Personnel!$E$41,Personnel!$G$41="Yes"),Personnel!$D$41*(1-Personnel!$H$41)*(1-Personnel!$I$41),0)+IF(AND(29&gt;=Personnel!$E$42,Personnel!$G$42="Yes"),Personnel!$D$42*(1-Personnel!$H$42)*(1-Personnel!$I$42),0))*Escalation!$B$30</f>
        <v>11921.25</v>
      </c>
      <c r="AF5" s="279" t="n">
        <f aca="false">(IF(AND(30&gt;=Personnel!$E$36,Personnel!$G$36="Yes"),Personnel!$D$36*(1-Personnel!$H$36)*(1-Personnel!$I$36),0)+IF(AND(30&gt;=Personnel!$E$37,Personnel!$G$37="Yes"),Personnel!$D$37*(1-Personnel!$H$37)*(1-Personnel!$I$37),0)+IF(AND(30&gt;=Personnel!$E$38,Personnel!$G$38="Yes"),Personnel!$D$38*(1-Personnel!$H$38)*(1-Personnel!$I$38),0)+IF(AND(30&gt;=Personnel!$E$39,Personnel!$G$39="Yes"),Personnel!$D$39*(1-Personnel!$H$39)*(1-Personnel!$I$39),0)+IF(AND(30&gt;=Personnel!$E$40,Personnel!$G$40="Yes"),Personnel!$D$40*(1-Personnel!$H$40)*(1-Personnel!$I$40),0)+IF(AND(30&gt;=Personnel!$E$41,Personnel!$G$41="Yes"),Personnel!$D$41*(1-Personnel!$H$41)*(1-Personnel!$I$41),0)+IF(AND(30&gt;=Personnel!$E$42,Personnel!$G$42="Yes"),Personnel!$D$42*(1-Personnel!$H$42)*(1-Personnel!$I$42),0))*Escalation!$B$31</f>
        <v>11921.25</v>
      </c>
      <c r="AG5" s="279" t="n">
        <f aca="false">(IF(AND(31&gt;=Personnel!$E$36,Personnel!$G$36="Yes"),Personnel!$D$36*(1-Personnel!$H$36)*(1-Personnel!$I$36),0)+IF(AND(31&gt;=Personnel!$E$37,Personnel!$G$37="Yes"),Personnel!$D$37*(1-Personnel!$H$37)*(1-Personnel!$I$37),0)+IF(AND(31&gt;=Personnel!$E$38,Personnel!$G$38="Yes"),Personnel!$D$38*(1-Personnel!$H$38)*(1-Personnel!$I$38),0)+IF(AND(31&gt;=Personnel!$E$39,Personnel!$G$39="Yes"),Personnel!$D$39*(1-Personnel!$H$39)*(1-Personnel!$I$39),0)+IF(AND(31&gt;=Personnel!$E$40,Personnel!$G$40="Yes"),Personnel!$D$40*(1-Personnel!$H$40)*(1-Personnel!$I$40),0)+IF(AND(31&gt;=Personnel!$E$41,Personnel!$G$41="Yes"),Personnel!$D$41*(1-Personnel!$H$41)*(1-Personnel!$I$41),0)+IF(AND(31&gt;=Personnel!$E$42,Personnel!$G$42="Yes"),Personnel!$D$42*(1-Personnel!$H$42)*(1-Personnel!$I$42),0))*Escalation!$B$32</f>
        <v>11921.25</v>
      </c>
      <c r="AH5" s="279" t="n">
        <f aca="false">(IF(AND(32&gt;=Personnel!$E$36,Personnel!$G$36="Yes"),Personnel!$D$36*(1-Personnel!$H$36)*(1-Personnel!$I$36),0)+IF(AND(32&gt;=Personnel!$E$37,Personnel!$G$37="Yes"),Personnel!$D$37*(1-Personnel!$H$37)*(1-Personnel!$I$37),0)+IF(AND(32&gt;=Personnel!$E$38,Personnel!$G$38="Yes"),Personnel!$D$38*(1-Personnel!$H$38)*(1-Personnel!$I$38),0)+IF(AND(32&gt;=Personnel!$E$39,Personnel!$G$39="Yes"),Personnel!$D$39*(1-Personnel!$H$39)*(1-Personnel!$I$39),0)+IF(AND(32&gt;=Personnel!$E$40,Personnel!$G$40="Yes"),Personnel!$D$40*(1-Personnel!$H$40)*(1-Personnel!$I$40),0)+IF(AND(32&gt;=Personnel!$E$41,Personnel!$G$41="Yes"),Personnel!$D$41*(1-Personnel!$H$41)*(1-Personnel!$I$41),0)+IF(AND(32&gt;=Personnel!$E$42,Personnel!$G$42="Yes"),Personnel!$D$42*(1-Personnel!$H$42)*(1-Personnel!$I$42),0))*Escalation!$B$33</f>
        <v>11921.25</v>
      </c>
      <c r="AI5" s="279" t="n">
        <f aca="false">(IF(AND(33&gt;=Personnel!$E$36,Personnel!$G$36="Yes"),Personnel!$D$36*(1-Personnel!$H$36)*(1-Personnel!$I$36),0)+IF(AND(33&gt;=Personnel!$E$37,Personnel!$G$37="Yes"),Personnel!$D$37*(1-Personnel!$H$37)*(1-Personnel!$I$37),0)+IF(AND(33&gt;=Personnel!$E$38,Personnel!$G$38="Yes"),Personnel!$D$38*(1-Personnel!$H$38)*(1-Personnel!$I$38),0)+IF(AND(33&gt;=Personnel!$E$39,Personnel!$G$39="Yes"),Personnel!$D$39*(1-Personnel!$H$39)*(1-Personnel!$I$39),0)+IF(AND(33&gt;=Personnel!$E$40,Personnel!$G$40="Yes"),Personnel!$D$40*(1-Personnel!$H$40)*(1-Personnel!$I$40),0)+IF(AND(33&gt;=Personnel!$E$41,Personnel!$G$41="Yes"),Personnel!$D$41*(1-Personnel!$H$41)*(1-Personnel!$I$41),0)+IF(AND(33&gt;=Personnel!$E$42,Personnel!$G$42="Yes"),Personnel!$D$42*(1-Personnel!$H$42)*(1-Personnel!$I$42),0))*Escalation!$B$34</f>
        <v>11921.25</v>
      </c>
      <c r="AJ5" s="279" t="n">
        <f aca="false">(IF(AND(34&gt;=Personnel!$E$36,Personnel!$G$36="Yes"),Personnel!$D$36*(1-Personnel!$H$36)*(1-Personnel!$I$36),0)+IF(AND(34&gt;=Personnel!$E$37,Personnel!$G$37="Yes"),Personnel!$D$37*(1-Personnel!$H$37)*(1-Personnel!$I$37),0)+IF(AND(34&gt;=Personnel!$E$38,Personnel!$G$38="Yes"),Personnel!$D$38*(1-Personnel!$H$38)*(1-Personnel!$I$38),0)+IF(AND(34&gt;=Personnel!$E$39,Personnel!$G$39="Yes"),Personnel!$D$39*(1-Personnel!$H$39)*(1-Personnel!$I$39),0)+IF(AND(34&gt;=Personnel!$E$40,Personnel!$G$40="Yes"),Personnel!$D$40*(1-Personnel!$H$40)*(1-Personnel!$I$40),0)+IF(AND(34&gt;=Personnel!$E$41,Personnel!$G$41="Yes"),Personnel!$D$41*(1-Personnel!$H$41)*(1-Personnel!$I$41),0)+IF(AND(34&gt;=Personnel!$E$42,Personnel!$G$42="Yes"),Personnel!$D$42*(1-Personnel!$H$42)*(1-Personnel!$I$42),0))*Escalation!$B$35</f>
        <v>11921.25</v>
      </c>
      <c r="AK5" s="279" t="n">
        <f aca="false">(IF(AND(35&gt;=Personnel!$E$36,Personnel!$G$36="Yes"),Personnel!$D$36*(1-Personnel!$H$36)*(1-Personnel!$I$36),0)+IF(AND(35&gt;=Personnel!$E$37,Personnel!$G$37="Yes"),Personnel!$D$37*(1-Personnel!$H$37)*(1-Personnel!$I$37),0)+IF(AND(35&gt;=Personnel!$E$38,Personnel!$G$38="Yes"),Personnel!$D$38*(1-Personnel!$H$38)*(1-Personnel!$I$38),0)+IF(AND(35&gt;=Personnel!$E$39,Personnel!$G$39="Yes"),Personnel!$D$39*(1-Personnel!$H$39)*(1-Personnel!$I$39),0)+IF(AND(35&gt;=Personnel!$E$40,Personnel!$G$40="Yes"),Personnel!$D$40*(1-Personnel!$H$40)*(1-Personnel!$I$40),0)+IF(AND(35&gt;=Personnel!$E$41,Personnel!$G$41="Yes"),Personnel!$D$41*(1-Personnel!$H$41)*(1-Personnel!$I$41),0)+IF(AND(35&gt;=Personnel!$E$42,Personnel!$G$42="Yes"),Personnel!$D$42*(1-Personnel!$H$42)*(1-Personnel!$I$42),0))*Escalation!$B$36</f>
        <v>11921.25</v>
      </c>
      <c r="AL5" s="279" t="n">
        <f aca="false">(IF(AND(36&gt;=Personnel!$E$36,Personnel!$G$36="Yes"),Personnel!$D$36*(1-Personnel!$H$36)*(1-Personnel!$I$36),0)+IF(AND(36&gt;=Personnel!$E$37,Personnel!$G$37="Yes"),Personnel!$D$37*(1-Personnel!$H$37)*(1-Personnel!$I$37),0)+IF(AND(36&gt;=Personnel!$E$38,Personnel!$G$38="Yes"),Personnel!$D$38*(1-Personnel!$H$38)*(1-Personnel!$I$38),0)+IF(AND(36&gt;=Personnel!$E$39,Personnel!$G$39="Yes"),Personnel!$D$39*(1-Personnel!$H$39)*(1-Personnel!$I$39),0)+IF(AND(36&gt;=Personnel!$E$40,Personnel!$G$40="Yes"),Personnel!$D$40*(1-Personnel!$H$40)*(1-Personnel!$I$40),0)+IF(AND(36&gt;=Personnel!$E$41,Personnel!$G$41="Yes"),Personnel!$D$41*(1-Personnel!$H$41)*(1-Personnel!$I$41),0)+IF(AND(36&gt;=Personnel!$E$42,Personnel!$G$42="Yes"),Personnel!$D$42*(1-Personnel!$H$42)*(1-Personnel!$I$42),0))*Escalation!$B$37</f>
        <v>11921.25</v>
      </c>
      <c r="AM5" s="279" t="n">
        <f aca="false">(IF(AND(37&gt;=Personnel!$E$36,Personnel!$G$36="Yes"),Personnel!$D$36*(1-Personnel!$H$36)*(1-Personnel!$I$36),0)+IF(AND(37&gt;=Personnel!$E$37,Personnel!$G$37="Yes"),Personnel!$D$37*(1-Personnel!$H$37)*(1-Personnel!$I$37),0)+IF(AND(37&gt;=Personnel!$E$38,Personnel!$G$38="Yes"),Personnel!$D$38*(1-Personnel!$H$38)*(1-Personnel!$I$38),0)+IF(AND(37&gt;=Personnel!$E$39,Personnel!$G$39="Yes"),Personnel!$D$39*(1-Personnel!$H$39)*(1-Personnel!$I$39),0)+IF(AND(37&gt;=Personnel!$E$40,Personnel!$G$40="Yes"),Personnel!$D$40*(1-Personnel!$H$40)*(1-Personnel!$I$40),0)+IF(AND(37&gt;=Personnel!$E$41,Personnel!$G$41="Yes"),Personnel!$D$41*(1-Personnel!$H$41)*(1-Personnel!$I$41),0)+IF(AND(37&gt;=Personnel!$E$42,Personnel!$G$42="Yes"),Personnel!$D$42*(1-Personnel!$H$42)*(1-Personnel!$I$42),0))*Escalation!$B$38</f>
        <v>12159.675</v>
      </c>
      <c r="AN5" s="279" t="n">
        <f aca="false">(IF(AND(38&gt;=Personnel!$E$36,Personnel!$G$36="Yes"),Personnel!$D$36*(1-Personnel!$H$36)*(1-Personnel!$I$36),0)+IF(AND(38&gt;=Personnel!$E$37,Personnel!$G$37="Yes"),Personnel!$D$37*(1-Personnel!$H$37)*(1-Personnel!$I$37),0)+IF(AND(38&gt;=Personnel!$E$38,Personnel!$G$38="Yes"),Personnel!$D$38*(1-Personnel!$H$38)*(1-Personnel!$I$38),0)+IF(AND(38&gt;=Personnel!$E$39,Personnel!$G$39="Yes"),Personnel!$D$39*(1-Personnel!$H$39)*(1-Personnel!$I$39),0)+IF(AND(38&gt;=Personnel!$E$40,Personnel!$G$40="Yes"),Personnel!$D$40*(1-Personnel!$H$40)*(1-Personnel!$I$40),0)+IF(AND(38&gt;=Personnel!$E$41,Personnel!$G$41="Yes"),Personnel!$D$41*(1-Personnel!$H$41)*(1-Personnel!$I$41),0)+IF(AND(38&gt;=Personnel!$E$42,Personnel!$G$42="Yes"),Personnel!$D$42*(1-Personnel!$H$42)*(1-Personnel!$I$42),0))*Escalation!$B$39</f>
        <v>12159.675</v>
      </c>
      <c r="AO5" s="279" t="n">
        <f aca="false">(IF(AND(39&gt;=Personnel!$E$36,Personnel!$G$36="Yes"),Personnel!$D$36*(1-Personnel!$H$36)*(1-Personnel!$I$36),0)+IF(AND(39&gt;=Personnel!$E$37,Personnel!$G$37="Yes"),Personnel!$D$37*(1-Personnel!$H$37)*(1-Personnel!$I$37),0)+IF(AND(39&gt;=Personnel!$E$38,Personnel!$G$38="Yes"),Personnel!$D$38*(1-Personnel!$H$38)*(1-Personnel!$I$38),0)+IF(AND(39&gt;=Personnel!$E$39,Personnel!$G$39="Yes"),Personnel!$D$39*(1-Personnel!$H$39)*(1-Personnel!$I$39),0)+IF(AND(39&gt;=Personnel!$E$40,Personnel!$G$40="Yes"),Personnel!$D$40*(1-Personnel!$H$40)*(1-Personnel!$I$40),0)+IF(AND(39&gt;=Personnel!$E$41,Personnel!$G$41="Yes"),Personnel!$D$41*(1-Personnel!$H$41)*(1-Personnel!$I$41),0)+IF(AND(39&gt;=Personnel!$E$42,Personnel!$G$42="Yes"),Personnel!$D$42*(1-Personnel!$H$42)*(1-Personnel!$I$42),0))*Escalation!$B$40</f>
        <v>12159.675</v>
      </c>
      <c r="AP5" s="279" t="n">
        <f aca="false">(IF(AND(40&gt;=Personnel!$E$36,Personnel!$G$36="Yes"),Personnel!$D$36*(1-Personnel!$H$36)*(1-Personnel!$I$36),0)+IF(AND(40&gt;=Personnel!$E$37,Personnel!$G$37="Yes"),Personnel!$D$37*(1-Personnel!$H$37)*(1-Personnel!$I$37),0)+IF(AND(40&gt;=Personnel!$E$38,Personnel!$G$38="Yes"),Personnel!$D$38*(1-Personnel!$H$38)*(1-Personnel!$I$38),0)+IF(AND(40&gt;=Personnel!$E$39,Personnel!$G$39="Yes"),Personnel!$D$39*(1-Personnel!$H$39)*(1-Personnel!$I$39),0)+IF(AND(40&gt;=Personnel!$E$40,Personnel!$G$40="Yes"),Personnel!$D$40*(1-Personnel!$H$40)*(1-Personnel!$I$40),0)+IF(AND(40&gt;=Personnel!$E$41,Personnel!$G$41="Yes"),Personnel!$D$41*(1-Personnel!$H$41)*(1-Personnel!$I$41),0)+IF(AND(40&gt;=Personnel!$E$42,Personnel!$G$42="Yes"),Personnel!$D$42*(1-Personnel!$H$42)*(1-Personnel!$I$42),0))*Escalation!$B$41</f>
        <v>12159.675</v>
      </c>
      <c r="AQ5" s="279" t="n">
        <f aca="false">(IF(AND(41&gt;=Personnel!$E$36,Personnel!$G$36="Yes"),Personnel!$D$36*(1-Personnel!$H$36)*(1-Personnel!$I$36),0)+IF(AND(41&gt;=Personnel!$E$37,Personnel!$G$37="Yes"),Personnel!$D$37*(1-Personnel!$H$37)*(1-Personnel!$I$37),0)+IF(AND(41&gt;=Personnel!$E$38,Personnel!$G$38="Yes"),Personnel!$D$38*(1-Personnel!$H$38)*(1-Personnel!$I$38),0)+IF(AND(41&gt;=Personnel!$E$39,Personnel!$G$39="Yes"),Personnel!$D$39*(1-Personnel!$H$39)*(1-Personnel!$I$39),0)+IF(AND(41&gt;=Personnel!$E$40,Personnel!$G$40="Yes"),Personnel!$D$40*(1-Personnel!$H$40)*(1-Personnel!$I$40),0)+IF(AND(41&gt;=Personnel!$E$41,Personnel!$G$41="Yes"),Personnel!$D$41*(1-Personnel!$H$41)*(1-Personnel!$I$41),0)+IF(AND(41&gt;=Personnel!$E$42,Personnel!$G$42="Yes"),Personnel!$D$42*(1-Personnel!$H$42)*(1-Personnel!$I$42),0))*Escalation!$B$42</f>
        <v>12159.675</v>
      </c>
      <c r="AR5" s="279" t="n">
        <f aca="false">(IF(AND(42&gt;=Personnel!$E$36,Personnel!$G$36="Yes"),Personnel!$D$36*(1-Personnel!$H$36)*(1-Personnel!$I$36),0)+IF(AND(42&gt;=Personnel!$E$37,Personnel!$G$37="Yes"),Personnel!$D$37*(1-Personnel!$H$37)*(1-Personnel!$I$37),0)+IF(AND(42&gt;=Personnel!$E$38,Personnel!$G$38="Yes"),Personnel!$D$38*(1-Personnel!$H$38)*(1-Personnel!$I$38),0)+IF(AND(42&gt;=Personnel!$E$39,Personnel!$G$39="Yes"),Personnel!$D$39*(1-Personnel!$H$39)*(1-Personnel!$I$39),0)+IF(AND(42&gt;=Personnel!$E$40,Personnel!$G$40="Yes"),Personnel!$D$40*(1-Personnel!$H$40)*(1-Personnel!$I$40),0)+IF(AND(42&gt;=Personnel!$E$41,Personnel!$G$41="Yes"),Personnel!$D$41*(1-Personnel!$H$41)*(1-Personnel!$I$41),0)+IF(AND(42&gt;=Personnel!$E$42,Personnel!$G$42="Yes"),Personnel!$D$42*(1-Personnel!$H$42)*(1-Personnel!$I$42),0))*Escalation!$B$43</f>
        <v>12159.675</v>
      </c>
      <c r="AS5" s="279" t="n">
        <f aca="false">(IF(AND(43&gt;=Personnel!$E$36,Personnel!$G$36="Yes"),Personnel!$D$36*(1-Personnel!$H$36)*(1-Personnel!$I$36),0)+IF(AND(43&gt;=Personnel!$E$37,Personnel!$G$37="Yes"),Personnel!$D$37*(1-Personnel!$H$37)*(1-Personnel!$I$37),0)+IF(AND(43&gt;=Personnel!$E$38,Personnel!$G$38="Yes"),Personnel!$D$38*(1-Personnel!$H$38)*(1-Personnel!$I$38),0)+IF(AND(43&gt;=Personnel!$E$39,Personnel!$G$39="Yes"),Personnel!$D$39*(1-Personnel!$H$39)*(1-Personnel!$I$39),0)+IF(AND(43&gt;=Personnel!$E$40,Personnel!$G$40="Yes"),Personnel!$D$40*(1-Personnel!$H$40)*(1-Personnel!$I$40),0)+IF(AND(43&gt;=Personnel!$E$41,Personnel!$G$41="Yes"),Personnel!$D$41*(1-Personnel!$H$41)*(1-Personnel!$I$41),0)+IF(AND(43&gt;=Personnel!$E$42,Personnel!$G$42="Yes"),Personnel!$D$42*(1-Personnel!$H$42)*(1-Personnel!$I$42),0))*Escalation!$B$44</f>
        <v>12159.675</v>
      </c>
      <c r="AT5" s="279" t="n">
        <f aca="false">(IF(AND(44&gt;=Personnel!$E$36,Personnel!$G$36="Yes"),Personnel!$D$36*(1-Personnel!$H$36)*(1-Personnel!$I$36),0)+IF(AND(44&gt;=Personnel!$E$37,Personnel!$G$37="Yes"),Personnel!$D$37*(1-Personnel!$H$37)*(1-Personnel!$I$37),0)+IF(AND(44&gt;=Personnel!$E$38,Personnel!$G$38="Yes"),Personnel!$D$38*(1-Personnel!$H$38)*(1-Personnel!$I$38),0)+IF(AND(44&gt;=Personnel!$E$39,Personnel!$G$39="Yes"),Personnel!$D$39*(1-Personnel!$H$39)*(1-Personnel!$I$39),0)+IF(AND(44&gt;=Personnel!$E$40,Personnel!$G$40="Yes"),Personnel!$D$40*(1-Personnel!$H$40)*(1-Personnel!$I$40),0)+IF(AND(44&gt;=Personnel!$E$41,Personnel!$G$41="Yes"),Personnel!$D$41*(1-Personnel!$H$41)*(1-Personnel!$I$41),0)+IF(AND(44&gt;=Personnel!$E$42,Personnel!$G$42="Yes"),Personnel!$D$42*(1-Personnel!$H$42)*(1-Personnel!$I$42),0))*Escalation!$B$45</f>
        <v>12159.675</v>
      </c>
      <c r="AU5" s="279" t="n">
        <f aca="false">(IF(AND(45&gt;=Personnel!$E$36,Personnel!$G$36="Yes"),Personnel!$D$36*(1-Personnel!$H$36)*(1-Personnel!$I$36),0)+IF(AND(45&gt;=Personnel!$E$37,Personnel!$G$37="Yes"),Personnel!$D$37*(1-Personnel!$H$37)*(1-Personnel!$I$37),0)+IF(AND(45&gt;=Personnel!$E$38,Personnel!$G$38="Yes"),Personnel!$D$38*(1-Personnel!$H$38)*(1-Personnel!$I$38),0)+IF(AND(45&gt;=Personnel!$E$39,Personnel!$G$39="Yes"),Personnel!$D$39*(1-Personnel!$H$39)*(1-Personnel!$I$39),0)+IF(AND(45&gt;=Personnel!$E$40,Personnel!$G$40="Yes"),Personnel!$D$40*(1-Personnel!$H$40)*(1-Personnel!$I$40),0)+IF(AND(45&gt;=Personnel!$E$41,Personnel!$G$41="Yes"),Personnel!$D$41*(1-Personnel!$H$41)*(1-Personnel!$I$41),0)+IF(AND(45&gt;=Personnel!$E$42,Personnel!$G$42="Yes"),Personnel!$D$42*(1-Personnel!$H$42)*(1-Personnel!$I$42),0))*Escalation!$B$46</f>
        <v>12159.675</v>
      </c>
      <c r="AV5" s="279" t="n">
        <f aca="false">(IF(AND(46&gt;=Personnel!$E$36,Personnel!$G$36="Yes"),Personnel!$D$36*(1-Personnel!$H$36)*(1-Personnel!$I$36),0)+IF(AND(46&gt;=Personnel!$E$37,Personnel!$G$37="Yes"),Personnel!$D$37*(1-Personnel!$H$37)*(1-Personnel!$I$37),0)+IF(AND(46&gt;=Personnel!$E$38,Personnel!$G$38="Yes"),Personnel!$D$38*(1-Personnel!$H$38)*(1-Personnel!$I$38),0)+IF(AND(46&gt;=Personnel!$E$39,Personnel!$G$39="Yes"),Personnel!$D$39*(1-Personnel!$H$39)*(1-Personnel!$I$39),0)+IF(AND(46&gt;=Personnel!$E$40,Personnel!$G$40="Yes"),Personnel!$D$40*(1-Personnel!$H$40)*(1-Personnel!$I$40),0)+IF(AND(46&gt;=Personnel!$E$41,Personnel!$G$41="Yes"),Personnel!$D$41*(1-Personnel!$H$41)*(1-Personnel!$I$41),0)+IF(AND(46&gt;=Personnel!$E$42,Personnel!$G$42="Yes"),Personnel!$D$42*(1-Personnel!$H$42)*(1-Personnel!$I$42),0))*Escalation!$B$47</f>
        <v>12159.675</v>
      </c>
      <c r="AW5" s="279" t="n">
        <f aca="false">(IF(AND(47&gt;=Personnel!$E$36,Personnel!$G$36="Yes"),Personnel!$D$36*(1-Personnel!$H$36)*(1-Personnel!$I$36),0)+IF(AND(47&gt;=Personnel!$E$37,Personnel!$G$37="Yes"),Personnel!$D$37*(1-Personnel!$H$37)*(1-Personnel!$I$37),0)+IF(AND(47&gt;=Personnel!$E$38,Personnel!$G$38="Yes"),Personnel!$D$38*(1-Personnel!$H$38)*(1-Personnel!$I$38),0)+IF(AND(47&gt;=Personnel!$E$39,Personnel!$G$39="Yes"),Personnel!$D$39*(1-Personnel!$H$39)*(1-Personnel!$I$39),0)+IF(AND(47&gt;=Personnel!$E$40,Personnel!$G$40="Yes"),Personnel!$D$40*(1-Personnel!$H$40)*(1-Personnel!$I$40),0)+IF(AND(47&gt;=Personnel!$E$41,Personnel!$G$41="Yes"),Personnel!$D$41*(1-Personnel!$H$41)*(1-Personnel!$I$41),0)+IF(AND(47&gt;=Personnel!$E$42,Personnel!$G$42="Yes"),Personnel!$D$42*(1-Personnel!$H$42)*(1-Personnel!$I$42),0))*Escalation!$B$48</f>
        <v>12159.675</v>
      </c>
      <c r="AX5" s="279" t="n">
        <f aca="false">(IF(AND(48&gt;=Personnel!$E$36,Personnel!$G$36="Yes"),Personnel!$D$36*(1-Personnel!$H$36)*(1-Personnel!$I$36),0)+IF(AND(48&gt;=Personnel!$E$37,Personnel!$G$37="Yes"),Personnel!$D$37*(1-Personnel!$H$37)*(1-Personnel!$I$37),0)+IF(AND(48&gt;=Personnel!$E$38,Personnel!$G$38="Yes"),Personnel!$D$38*(1-Personnel!$H$38)*(1-Personnel!$I$38),0)+IF(AND(48&gt;=Personnel!$E$39,Personnel!$G$39="Yes"),Personnel!$D$39*(1-Personnel!$H$39)*(1-Personnel!$I$39),0)+IF(AND(48&gt;=Personnel!$E$40,Personnel!$G$40="Yes"),Personnel!$D$40*(1-Personnel!$H$40)*(1-Personnel!$I$40),0)+IF(AND(48&gt;=Personnel!$E$41,Personnel!$G$41="Yes"),Personnel!$D$41*(1-Personnel!$H$41)*(1-Personnel!$I$41),0)+IF(AND(48&gt;=Personnel!$E$42,Personnel!$G$42="Yes"),Personnel!$D$42*(1-Personnel!$H$42)*(1-Personnel!$I$42),0))*Escalation!$B$49</f>
        <v>12159.675</v>
      </c>
      <c r="AY5" s="279" t="n">
        <f aca="false">(IF(AND(49&gt;=Personnel!$E$36,Personnel!$G$36="Yes"),Personnel!$D$36*(1-Personnel!$H$36)*(1-Personnel!$I$36),0)+IF(AND(49&gt;=Personnel!$E$37,Personnel!$G$37="Yes"),Personnel!$D$37*(1-Personnel!$H$37)*(1-Personnel!$I$37),0)+IF(AND(49&gt;=Personnel!$E$38,Personnel!$G$38="Yes"),Personnel!$D$38*(1-Personnel!$H$38)*(1-Personnel!$I$38),0)+IF(AND(49&gt;=Personnel!$E$39,Personnel!$G$39="Yes"),Personnel!$D$39*(1-Personnel!$H$39)*(1-Personnel!$I$39),0)+IF(AND(49&gt;=Personnel!$E$40,Personnel!$G$40="Yes"),Personnel!$D$40*(1-Personnel!$H$40)*(1-Personnel!$I$40),0)+IF(AND(49&gt;=Personnel!$E$41,Personnel!$G$41="Yes"),Personnel!$D$41*(1-Personnel!$H$41)*(1-Personnel!$I$41),0)+IF(AND(49&gt;=Personnel!$E$42,Personnel!$G$42="Yes"),Personnel!$D$42*(1-Personnel!$H$42)*(1-Personnel!$I$42),0))*Escalation!$B$50</f>
        <v>12402.8685</v>
      </c>
      <c r="AZ5" s="279" t="n">
        <f aca="false">(IF(AND(50&gt;=Personnel!$E$36,Personnel!$G$36="Yes"),Personnel!$D$36*(1-Personnel!$H$36)*(1-Personnel!$I$36),0)+IF(AND(50&gt;=Personnel!$E$37,Personnel!$G$37="Yes"),Personnel!$D$37*(1-Personnel!$H$37)*(1-Personnel!$I$37),0)+IF(AND(50&gt;=Personnel!$E$38,Personnel!$G$38="Yes"),Personnel!$D$38*(1-Personnel!$H$38)*(1-Personnel!$I$38),0)+IF(AND(50&gt;=Personnel!$E$39,Personnel!$G$39="Yes"),Personnel!$D$39*(1-Personnel!$H$39)*(1-Personnel!$I$39),0)+IF(AND(50&gt;=Personnel!$E$40,Personnel!$G$40="Yes"),Personnel!$D$40*(1-Personnel!$H$40)*(1-Personnel!$I$40),0)+IF(AND(50&gt;=Personnel!$E$41,Personnel!$G$41="Yes"),Personnel!$D$41*(1-Personnel!$H$41)*(1-Personnel!$I$41),0)+IF(AND(50&gt;=Personnel!$E$42,Personnel!$G$42="Yes"),Personnel!$D$42*(1-Personnel!$H$42)*(1-Personnel!$I$42),0))*Escalation!$B$51</f>
        <v>12402.8685</v>
      </c>
      <c r="BA5" s="279" t="n">
        <f aca="false">(IF(AND(51&gt;=Personnel!$E$36,Personnel!$G$36="Yes"),Personnel!$D$36*(1-Personnel!$H$36)*(1-Personnel!$I$36),0)+IF(AND(51&gt;=Personnel!$E$37,Personnel!$G$37="Yes"),Personnel!$D$37*(1-Personnel!$H$37)*(1-Personnel!$I$37),0)+IF(AND(51&gt;=Personnel!$E$38,Personnel!$G$38="Yes"),Personnel!$D$38*(1-Personnel!$H$38)*(1-Personnel!$I$38),0)+IF(AND(51&gt;=Personnel!$E$39,Personnel!$G$39="Yes"),Personnel!$D$39*(1-Personnel!$H$39)*(1-Personnel!$I$39),0)+IF(AND(51&gt;=Personnel!$E$40,Personnel!$G$40="Yes"),Personnel!$D$40*(1-Personnel!$H$40)*(1-Personnel!$I$40),0)+IF(AND(51&gt;=Personnel!$E$41,Personnel!$G$41="Yes"),Personnel!$D$41*(1-Personnel!$H$41)*(1-Personnel!$I$41),0)+IF(AND(51&gt;=Personnel!$E$42,Personnel!$G$42="Yes"),Personnel!$D$42*(1-Personnel!$H$42)*(1-Personnel!$I$42),0))*Escalation!$B$52</f>
        <v>12402.8685</v>
      </c>
      <c r="BB5" s="279" t="n">
        <f aca="false">(IF(AND(52&gt;=Personnel!$E$36,Personnel!$G$36="Yes"),Personnel!$D$36*(1-Personnel!$H$36)*(1-Personnel!$I$36),0)+IF(AND(52&gt;=Personnel!$E$37,Personnel!$G$37="Yes"),Personnel!$D$37*(1-Personnel!$H$37)*(1-Personnel!$I$37),0)+IF(AND(52&gt;=Personnel!$E$38,Personnel!$G$38="Yes"),Personnel!$D$38*(1-Personnel!$H$38)*(1-Personnel!$I$38),0)+IF(AND(52&gt;=Personnel!$E$39,Personnel!$G$39="Yes"),Personnel!$D$39*(1-Personnel!$H$39)*(1-Personnel!$I$39),0)+IF(AND(52&gt;=Personnel!$E$40,Personnel!$G$40="Yes"),Personnel!$D$40*(1-Personnel!$H$40)*(1-Personnel!$I$40),0)+IF(AND(52&gt;=Personnel!$E$41,Personnel!$G$41="Yes"),Personnel!$D$41*(1-Personnel!$H$41)*(1-Personnel!$I$41),0)+IF(AND(52&gt;=Personnel!$E$42,Personnel!$G$42="Yes"),Personnel!$D$42*(1-Personnel!$H$42)*(1-Personnel!$I$42),0))*Escalation!$B$53</f>
        <v>12402.8685</v>
      </c>
      <c r="BC5" s="279" t="n">
        <f aca="false">(IF(AND(53&gt;=Personnel!$E$36,Personnel!$G$36="Yes"),Personnel!$D$36*(1-Personnel!$H$36)*(1-Personnel!$I$36),0)+IF(AND(53&gt;=Personnel!$E$37,Personnel!$G$37="Yes"),Personnel!$D$37*(1-Personnel!$H$37)*(1-Personnel!$I$37),0)+IF(AND(53&gt;=Personnel!$E$38,Personnel!$G$38="Yes"),Personnel!$D$38*(1-Personnel!$H$38)*(1-Personnel!$I$38),0)+IF(AND(53&gt;=Personnel!$E$39,Personnel!$G$39="Yes"),Personnel!$D$39*(1-Personnel!$H$39)*(1-Personnel!$I$39),0)+IF(AND(53&gt;=Personnel!$E$40,Personnel!$G$40="Yes"),Personnel!$D$40*(1-Personnel!$H$40)*(1-Personnel!$I$40),0)+IF(AND(53&gt;=Personnel!$E$41,Personnel!$G$41="Yes"),Personnel!$D$41*(1-Personnel!$H$41)*(1-Personnel!$I$41),0)+IF(AND(53&gt;=Personnel!$E$42,Personnel!$G$42="Yes"),Personnel!$D$42*(1-Personnel!$H$42)*(1-Personnel!$I$42),0))*Escalation!$B$54</f>
        <v>12402.8685</v>
      </c>
      <c r="BD5" s="279" t="n">
        <f aca="false">(IF(AND(54&gt;=Personnel!$E$36,Personnel!$G$36="Yes"),Personnel!$D$36*(1-Personnel!$H$36)*(1-Personnel!$I$36),0)+IF(AND(54&gt;=Personnel!$E$37,Personnel!$G$37="Yes"),Personnel!$D$37*(1-Personnel!$H$37)*(1-Personnel!$I$37),0)+IF(AND(54&gt;=Personnel!$E$38,Personnel!$G$38="Yes"),Personnel!$D$38*(1-Personnel!$H$38)*(1-Personnel!$I$38),0)+IF(AND(54&gt;=Personnel!$E$39,Personnel!$G$39="Yes"),Personnel!$D$39*(1-Personnel!$H$39)*(1-Personnel!$I$39),0)+IF(AND(54&gt;=Personnel!$E$40,Personnel!$G$40="Yes"),Personnel!$D$40*(1-Personnel!$H$40)*(1-Personnel!$I$40),0)+IF(AND(54&gt;=Personnel!$E$41,Personnel!$G$41="Yes"),Personnel!$D$41*(1-Personnel!$H$41)*(1-Personnel!$I$41),0)+IF(AND(54&gt;=Personnel!$E$42,Personnel!$G$42="Yes"),Personnel!$D$42*(1-Personnel!$H$42)*(1-Personnel!$I$42),0))*Escalation!$B$55</f>
        <v>12402.8685</v>
      </c>
      <c r="BE5" s="279" t="n">
        <f aca="false">(IF(AND(55&gt;=Personnel!$E$36,Personnel!$G$36="Yes"),Personnel!$D$36*(1-Personnel!$H$36)*(1-Personnel!$I$36),0)+IF(AND(55&gt;=Personnel!$E$37,Personnel!$G$37="Yes"),Personnel!$D$37*(1-Personnel!$H$37)*(1-Personnel!$I$37),0)+IF(AND(55&gt;=Personnel!$E$38,Personnel!$G$38="Yes"),Personnel!$D$38*(1-Personnel!$H$38)*(1-Personnel!$I$38),0)+IF(AND(55&gt;=Personnel!$E$39,Personnel!$G$39="Yes"),Personnel!$D$39*(1-Personnel!$H$39)*(1-Personnel!$I$39),0)+IF(AND(55&gt;=Personnel!$E$40,Personnel!$G$40="Yes"),Personnel!$D$40*(1-Personnel!$H$40)*(1-Personnel!$I$40),0)+IF(AND(55&gt;=Personnel!$E$41,Personnel!$G$41="Yes"),Personnel!$D$41*(1-Personnel!$H$41)*(1-Personnel!$I$41),0)+IF(AND(55&gt;=Personnel!$E$42,Personnel!$G$42="Yes"),Personnel!$D$42*(1-Personnel!$H$42)*(1-Personnel!$I$42),0))*Escalation!$B$56</f>
        <v>12402.8685</v>
      </c>
      <c r="BF5" s="279" t="n">
        <f aca="false">(IF(AND(56&gt;=Personnel!$E$36,Personnel!$G$36="Yes"),Personnel!$D$36*(1-Personnel!$H$36)*(1-Personnel!$I$36),0)+IF(AND(56&gt;=Personnel!$E$37,Personnel!$G$37="Yes"),Personnel!$D$37*(1-Personnel!$H$37)*(1-Personnel!$I$37),0)+IF(AND(56&gt;=Personnel!$E$38,Personnel!$G$38="Yes"),Personnel!$D$38*(1-Personnel!$H$38)*(1-Personnel!$I$38),0)+IF(AND(56&gt;=Personnel!$E$39,Personnel!$G$39="Yes"),Personnel!$D$39*(1-Personnel!$H$39)*(1-Personnel!$I$39),0)+IF(AND(56&gt;=Personnel!$E$40,Personnel!$G$40="Yes"),Personnel!$D$40*(1-Personnel!$H$40)*(1-Personnel!$I$40),0)+IF(AND(56&gt;=Personnel!$E$41,Personnel!$G$41="Yes"),Personnel!$D$41*(1-Personnel!$H$41)*(1-Personnel!$I$41),0)+IF(AND(56&gt;=Personnel!$E$42,Personnel!$G$42="Yes"),Personnel!$D$42*(1-Personnel!$H$42)*(1-Personnel!$I$42),0))*Escalation!$B$57</f>
        <v>12402.8685</v>
      </c>
      <c r="BG5" s="279" t="n">
        <f aca="false">(IF(AND(57&gt;=Personnel!$E$36,Personnel!$G$36="Yes"),Personnel!$D$36*(1-Personnel!$H$36)*(1-Personnel!$I$36),0)+IF(AND(57&gt;=Personnel!$E$37,Personnel!$G$37="Yes"),Personnel!$D$37*(1-Personnel!$H$37)*(1-Personnel!$I$37),0)+IF(AND(57&gt;=Personnel!$E$38,Personnel!$G$38="Yes"),Personnel!$D$38*(1-Personnel!$H$38)*(1-Personnel!$I$38),0)+IF(AND(57&gt;=Personnel!$E$39,Personnel!$G$39="Yes"),Personnel!$D$39*(1-Personnel!$H$39)*(1-Personnel!$I$39),0)+IF(AND(57&gt;=Personnel!$E$40,Personnel!$G$40="Yes"),Personnel!$D$40*(1-Personnel!$H$40)*(1-Personnel!$I$40),0)+IF(AND(57&gt;=Personnel!$E$41,Personnel!$G$41="Yes"),Personnel!$D$41*(1-Personnel!$H$41)*(1-Personnel!$I$41),0)+IF(AND(57&gt;=Personnel!$E$42,Personnel!$G$42="Yes"),Personnel!$D$42*(1-Personnel!$H$42)*(1-Personnel!$I$42),0))*Escalation!$B$58</f>
        <v>12402.8685</v>
      </c>
      <c r="BH5" s="279" t="n">
        <f aca="false">(IF(AND(58&gt;=Personnel!$E$36,Personnel!$G$36="Yes"),Personnel!$D$36*(1-Personnel!$H$36)*(1-Personnel!$I$36),0)+IF(AND(58&gt;=Personnel!$E$37,Personnel!$G$37="Yes"),Personnel!$D$37*(1-Personnel!$H$37)*(1-Personnel!$I$37),0)+IF(AND(58&gt;=Personnel!$E$38,Personnel!$G$38="Yes"),Personnel!$D$38*(1-Personnel!$H$38)*(1-Personnel!$I$38),0)+IF(AND(58&gt;=Personnel!$E$39,Personnel!$G$39="Yes"),Personnel!$D$39*(1-Personnel!$H$39)*(1-Personnel!$I$39),0)+IF(AND(58&gt;=Personnel!$E$40,Personnel!$G$40="Yes"),Personnel!$D$40*(1-Personnel!$H$40)*(1-Personnel!$I$40),0)+IF(AND(58&gt;=Personnel!$E$41,Personnel!$G$41="Yes"),Personnel!$D$41*(1-Personnel!$H$41)*(1-Personnel!$I$41),0)+IF(AND(58&gt;=Personnel!$E$42,Personnel!$G$42="Yes"),Personnel!$D$42*(1-Personnel!$H$42)*(1-Personnel!$I$42),0))*Escalation!$B$59</f>
        <v>12402.8685</v>
      </c>
      <c r="BI5" s="279" t="n">
        <f aca="false">(IF(AND(59&gt;=Personnel!$E$36,Personnel!$G$36="Yes"),Personnel!$D$36*(1-Personnel!$H$36)*(1-Personnel!$I$36),0)+IF(AND(59&gt;=Personnel!$E$37,Personnel!$G$37="Yes"),Personnel!$D$37*(1-Personnel!$H$37)*(1-Personnel!$I$37),0)+IF(AND(59&gt;=Personnel!$E$38,Personnel!$G$38="Yes"),Personnel!$D$38*(1-Personnel!$H$38)*(1-Personnel!$I$38),0)+IF(AND(59&gt;=Personnel!$E$39,Personnel!$G$39="Yes"),Personnel!$D$39*(1-Personnel!$H$39)*(1-Personnel!$I$39),0)+IF(AND(59&gt;=Personnel!$E$40,Personnel!$G$40="Yes"),Personnel!$D$40*(1-Personnel!$H$40)*(1-Personnel!$I$40),0)+IF(AND(59&gt;=Personnel!$E$41,Personnel!$G$41="Yes"),Personnel!$D$41*(1-Personnel!$H$41)*(1-Personnel!$I$41),0)+IF(AND(59&gt;=Personnel!$E$42,Personnel!$G$42="Yes"),Personnel!$D$42*(1-Personnel!$H$42)*(1-Personnel!$I$42),0))*Escalation!$B$60</f>
        <v>12402.8685</v>
      </c>
      <c r="BJ5" s="279" t="n">
        <f aca="false">(IF(AND(60&gt;=Personnel!$E$36,Personnel!$G$36="Yes"),Personnel!$D$36*(1-Personnel!$H$36)*(1-Personnel!$I$36),0)+IF(AND(60&gt;=Personnel!$E$37,Personnel!$G$37="Yes"),Personnel!$D$37*(1-Personnel!$H$37)*(1-Personnel!$I$37),0)+IF(AND(60&gt;=Personnel!$E$38,Personnel!$G$38="Yes"),Personnel!$D$38*(1-Personnel!$H$38)*(1-Personnel!$I$38),0)+IF(AND(60&gt;=Personnel!$E$39,Personnel!$G$39="Yes"),Personnel!$D$39*(1-Personnel!$H$39)*(1-Personnel!$I$39),0)+IF(AND(60&gt;=Personnel!$E$40,Personnel!$G$40="Yes"),Personnel!$D$40*(1-Personnel!$H$40)*(1-Personnel!$I$40),0)+IF(AND(60&gt;=Personnel!$E$41,Personnel!$G$41="Yes"),Personnel!$D$41*(1-Personnel!$H$41)*(1-Personnel!$I$41),0)+IF(AND(60&gt;=Personnel!$E$42,Personnel!$G$42="Yes"),Personnel!$D$42*(1-Personnel!$H$42)*(1-Personnel!$I$42),0))*Escalation!$B$61</f>
        <v>12402.8685</v>
      </c>
      <c r="BK5" s="279" t="n">
        <f aca="false">(IF(AND(61&gt;=Personnel!$E$36,Personnel!$G$36="Yes"),Personnel!$D$36*(1-Personnel!$H$36)*(1-Personnel!$I$36),0)+IF(AND(61&gt;=Personnel!$E$37,Personnel!$G$37="Yes"),Personnel!$D$37*(1-Personnel!$H$37)*(1-Personnel!$I$37),0)+IF(AND(61&gt;=Personnel!$E$38,Personnel!$G$38="Yes"),Personnel!$D$38*(1-Personnel!$H$38)*(1-Personnel!$I$38),0)+IF(AND(61&gt;=Personnel!$E$39,Personnel!$G$39="Yes"),Personnel!$D$39*(1-Personnel!$H$39)*(1-Personnel!$I$39),0)+IF(AND(61&gt;=Personnel!$E$40,Personnel!$G$40="Yes"),Personnel!$D$40*(1-Personnel!$H$40)*(1-Personnel!$I$40),0)+IF(AND(61&gt;=Personnel!$E$41,Personnel!$G$41="Yes"),Personnel!$D$41*(1-Personnel!$H$41)*(1-Personnel!$I$41),0)+IF(AND(61&gt;=Personnel!$E$42,Personnel!$G$42="Yes"),Personnel!$D$42*(1-Personnel!$H$42)*(1-Personnel!$I$42),0))*Escalation!$B$62</f>
        <v>12650.92587</v>
      </c>
      <c r="BL5" s="279" t="n">
        <f aca="false">(IF(AND(62&gt;=Personnel!$E$36,Personnel!$G$36="Yes"),Personnel!$D$36*(1-Personnel!$H$36)*(1-Personnel!$I$36),0)+IF(AND(62&gt;=Personnel!$E$37,Personnel!$G$37="Yes"),Personnel!$D$37*(1-Personnel!$H$37)*(1-Personnel!$I$37),0)+IF(AND(62&gt;=Personnel!$E$38,Personnel!$G$38="Yes"),Personnel!$D$38*(1-Personnel!$H$38)*(1-Personnel!$I$38),0)+IF(AND(62&gt;=Personnel!$E$39,Personnel!$G$39="Yes"),Personnel!$D$39*(1-Personnel!$H$39)*(1-Personnel!$I$39),0)+IF(AND(62&gt;=Personnel!$E$40,Personnel!$G$40="Yes"),Personnel!$D$40*(1-Personnel!$H$40)*(1-Personnel!$I$40),0)+IF(AND(62&gt;=Personnel!$E$41,Personnel!$G$41="Yes"),Personnel!$D$41*(1-Personnel!$H$41)*(1-Personnel!$I$41),0)+IF(AND(62&gt;=Personnel!$E$42,Personnel!$G$42="Yes"),Personnel!$D$42*(1-Personnel!$H$42)*(1-Personnel!$I$42),0))*Escalation!$B$63</f>
        <v>12650.92587</v>
      </c>
      <c r="BM5" s="279" t="n">
        <f aca="false">(IF(AND(63&gt;=Personnel!$E$36,Personnel!$G$36="Yes"),Personnel!$D$36*(1-Personnel!$H$36)*(1-Personnel!$I$36),0)+IF(AND(63&gt;=Personnel!$E$37,Personnel!$G$37="Yes"),Personnel!$D$37*(1-Personnel!$H$37)*(1-Personnel!$I$37),0)+IF(AND(63&gt;=Personnel!$E$38,Personnel!$G$38="Yes"),Personnel!$D$38*(1-Personnel!$H$38)*(1-Personnel!$I$38),0)+IF(AND(63&gt;=Personnel!$E$39,Personnel!$G$39="Yes"),Personnel!$D$39*(1-Personnel!$H$39)*(1-Personnel!$I$39),0)+IF(AND(63&gt;=Personnel!$E$40,Personnel!$G$40="Yes"),Personnel!$D$40*(1-Personnel!$H$40)*(1-Personnel!$I$40),0)+IF(AND(63&gt;=Personnel!$E$41,Personnel!$G$41="Yes"),Personnel!$D$41*(1-Personnel!$H$41)*(1-Personnel!$I$41),0)+IF(AND(63&gt;=Personnel!$E$42,Personnel!$G$42="Yes"),Personnel!$D$42*(1-Personnel!$H$42)*(1-Personnel!$I$42),0))*Escalation!$B$64</f>
        <v>12650.92587</v>
      </c>
      <c r="BN5" s="279" t="n">
        <f aca="false">(IF(AND(64&gt;=Personnel!$E$36,Personnel!$G$36="Yes"),Personnel!$D$36*(1-Personnel!$H$36)*(1-Personnel!$I$36),0)+IF(AND(64&gt;=Personnel!$E$37,Personnel!$G$37="Yes"),Personnel!$D$37*(1-Personnel!$H$37)*(1-Personnel!$I$37),0)+IF(AND(64&gt;=Personnel!$E$38,Personnel!$G$38="Yes"),Personnel!$D$38*(1-Personnel!$H$38)*(1-Personnel!$I$38),0)+IF(AND(64&gt;=Personnel!$E$39,Personnel!$G$39="Yes"),Personnel!$D$39*(1-Personnel!$H$39)*(1-Personnel!$I$39),0)+IF(AND(64&gt;=Personnel!$E$40,Personnel!$G$40="Yes"),Personnel!$D$40*(1-Personnel!$H$40)*(1-Personnel!$I$40),0)+IF(AND(64&gt;=Personnel!$E$41,Personnel!$G$41="Yes"),Personnel!$D$41*(1-Personnel!$H$41)*(1-Personnel!$I$41),0)+IF(AND(64&gt;=Personnel!$E$42,Personnel!$G$42="Yes"),Personnel!$D$42*(1-Personnel!$H$42)*(1-Personnel!$I$42),0))*Escalation!$B$65</f>
        <v>12650.92587</v>
      </c>
      <c r="BO5" s="279" t="n">
        <f aca="false">(IF(AND(65&gt;=Personnel!$E$36,Personnel!$G$36="Yes"),Personnel!$D$36*(1-Personnel!$H$36)*(1-Personnel!$I$36),0)+IF(AND(65&gt;=Personnel!$E$37,Personnel!$G$37="Yes"),Personnel!$D$37*(1-Personnel!$H$37)*(1-Personnel!$I$37),0)+IF(AND(65&gt;=Personnel!$E$38,Personnel!$G$38="Yes"),Personnel!$D$38*(1-Personnel!$H$38)*(1-Personnel!$I$38),0)+IF(AND(65&gt;=Personnel!$E$39,Personnel!$G$39="Yes"),Personnel!$D$39*(1-Personnel!$H$39)*(1-Personnel!$I$39),0)+IF(AND(65&gt;=Personnel!$E$40,Personnel!$G$40="Yes"),Personnel!$D$40*(1-Personnel!$H$40)*(1-Personnel!$I$40),0)+IF(AND(65&gt;=Personnel!$E$41,Personnel!$G$41="Yes"),Personnel!$D$41*(1-Personnel!$H$41)*(1-Personnel!$I$41),0)+IF(AND(65&gt;=Personnel!$E$42,Personnel!$G$42="Yes"),Personnel!$D$42*(1-Personnel!$H$42)*(1-Personnel!$I$42),0))*Escalation!$B$66</f>
        <v>12650.92587</v>
      </c>
      <c r="BP5" s="279" t="n">
        <f aca="false">(IF(AND(66&gt;=Personnel!$E$36,Personnel!$G$36="Yes"),Personnel!$D$36*(1-Personnel!$H$36)*(1-Personnel!$I$36),0)+IF(AND(66&gt;=Personnel!$E$37,Personnel!$G$37="Yes"),Personnel!$D$37*(1-Personnel!$H$37)*(1-Personnel!$I$37),0)+IF(AND(66&gt;=Personnel!$E$38,Personnel!$G$38="Yes"),Personnel!$D$38*(1-Personnel!$H$38)*(1-Personnel!$I$38),0)+IF(AND(66&gt;=Personnel!$E$39,Personnel!$G$39="Yes"),Personnel!$D$39*(1-Personnel!$H$39)*(1-Personnel!$I$39),0)+IF(AND(66&gt;=Personnel!$E$40,Personnel!$G$40="Yes"),Personnel!$D$40*(1-Personnel!$H$40)*(1-Personnel!$I$40),0)+IF(AND(66&gt;=Personnel!$E$41,Personnel!$G$41="Yes"),Personnel!$D$41*(1-Personnel!$H$41)*(1-Personnel!$I$41),0)+IF(AND(66&gt;=Personnel!$E$42,Personnel!$G$42="Yes"),Personnel!$D$42*(1-Personnel!$H$42)*(1-Personnel!$I$42),0))*Escalation!$B$67</f>
        <v>12650.92587</v>
      </c>
      <c r="BQ5" s="279" t="n">
        <f aca="false">(IF(AND(67&gt;=Personnel!$E$36,Personnel!$G$36="Yes"),Personnel!$D$36*(1-Personnel!$H$36)*(1-Personnel!$I$36),0)+IF(AND(67&gt;=Personnel!$E$37,Personnel!$G$37="Yes"),Personnel!$D$37*(1-Personnel!$H$37)*(1-Personnel!$I$37),0)+IF(AND(67&gt;=Personnel!$E$38,Personnel!$G$38="Yes"),Personnel!$D$38*(1-Personnel!$H$38)*(1-Personnel!$I$38),0)+IF(AND(67&gt;=Personnel!$E$39,Personnel!$G$39="Yes"),Personnel!$D$39*(1-Personnel!$H$39)*(1-Personnel!$I$39),0)+IF(AND(67&gt;=Personnel!$E$40,Personnel!$G$40="Yes"),Personnel!$D$40*(1-Personnel!$H$40)*(1-Personnel!$I$40),0)+IF(AND(67&gt;=Personnel!$E$41,Personnel!$G$41="Yes"),Personnel!$D$41*(1-Personnel!$H$41)*(1-Personnel!$I$41),0)+IF(AND(67&gt;=Personnel!$E$42,Personnel!$G$42="Yes"),Personnel!$D$42*(1-Personnel!$H$42)*(1-Personnel!$I$42),0))*Escalation!$B$68</f>
        <v>12650.92587</v>
      </c>
      <c r="BR5" s="279" t="n">
        <f aca="false">(IF(AND(68&gt;=Personnel!$E$36,Personnel!$G$36="Yes"),Personnel!$D$36*(1-Personnel!$H$36)*(1-Personnel!$I$36),0)+IF(AND(68&gt;=Personnel!$E$37,Personnel!$G$37="Yes"),Personnel!$D$37*(1-Personnel!$H$37)*(1-Personnel!$I$37),0)+IF(AND(68&gt;=Personnel!$E$38,Personnel!$G$38="Yes"),Personnel!$D$38*(1-Personnel!$H$38)*(1-Personnel!$I$38),0)+IF(AND(68&gt;=Personnel!$E$39,Personnel!$G$39="Yes"),Personnel!$D$39*(1-Personnel!$H$39)*(1-Personnel!$I$39),0)+IF(AND(68&gt;=Personnel!$E$40,Personnel!$G$40="Yes"),Personnel!$D$40*(1-Personnel!$H$40)*(1-Personnel!$I$40),0)+IF(AND(68&gt;=Personnel!$E$41,Personnel!$G$41="Yes"),Personnel!$D$41*(1-Personnel!$H$41)*(1-Personnel!$I$41),0)+IF(AND(68&gt;=Personnel!$E$42,Personnel!$G$42="Yes"),Personnel!$D$42*(1-Personnel!$H$42)*(1-Personnel!$I$42),0))*Escalation!$B$69</f>
        <v>12650.92587</v>
      </c>
      <c r="BS5" s="279" t="n">
        <f aca="false">(IF(AND(69&gt;=Personnel!$E$36,Personnel!$G$36="Yes"),Personnel!$D$36*(1-Personnel!$H$36)*(1-Personnel!$I$36),0)+IF(AND(69&gt;=Personnel!$E$37,Personnel!$G$37="Yes"),Personnel!$D$37*(1-Personnel!$H$37)*(1-Personnel!$I$37),0)+IF(AND(69&gt;=Personnel!$E$38,Personnel!$G$38="Yes"),Personnel!$D$38*(1-Personnel!$H$38)*(1-Personnel!$I$38),0)+IF(AND(69&gt;=Personnel!$E$39,Personnel!$G$39="Yes"),Personnel!$D$39*(1-Personnel!$H$39)*(1-Personnel!$I$39),0)+IF(AND(69&gt;=Personnel!$E$40,Personnel!$G$40="Yes"),Personnel!$D$40*(1-Personnel!$H$40)*(1-Personnel!$I$40),0)+IF(AND(69&gt;=Personnel!$E$41,Personnel!$G$41="Yes"),Personnel!$D$41*(1-Personnel!$H$41)*(1-Personnel!$I$41),0)+IF(AND(69&gt;=Personnel!$E$42,Personnel!$G$42="Yes"),Personnel!$D$42*(1-Personnel!$H$42)*(1-Personnel!$I$42),0))*Escalation!$B$70</f>
        <v>12650.92587</v>
      </c>
      <c r="BT5" s="279" t="n">
        <f aca="false">(IF(AND(70&gt;=Personnel!$E$36,Personnel!$G$36="Yes"),Personnel!$D$36*(1-Personnel!$H$36)*(1-Personnel!$I$36),0)+IF(AND(70&gt;=Personnel!$E$37,Personnel!$G$37="Yes"),Personnel!$D$37*(1-Personnel!$H$37)*(1-Personnel!$I$37),0)+IF(AND(70&gt;=Personnel!$E$38,Personnel!$G$38="Yes"),Personnel!$D$38*(1-Personnel!$H$38)*(1-Personnel!$I$38),0)+IF(AND(70&gt;=Personnel!$E$39,Personnel!$G$39="Yes"),Personnel!$D$39*(1-Personnel!$H$39)*(1-Personnel!$I$39),0)+IF(AND(70&gt;=Personnel!$E$40,Personnel!$G$40="Yes"),Personnel!$D$40*(1-Personnel!$H$40)*(1-Personnel!$I$40),0)+IF(AND(70&gt;=Personnel!$E$41,Personnel!$G$41="Yes"),Personnel!$D$41*(1-Personnel!$H$41)*(1-Personnel!$I$41),0)+IF(AND(70&gt;=Personnel!$E$42,Personnel!$G$42="Yes"),Personnel!$D$42*(1-Personnel!$H$42)*(1-Personnel!$I$42),0))*Escalation!$B$71</f>
        <v>12650.92587</v>
      </c>
      <c r="BU5" s="279" t="n">
        <f aca="false">(IF(AND(71&gt;=Personnel!$E$36,Personnel!$G$36="Yes"),Personnel!$D$36*(1-Personnel!$H$36)*(1-Personnel!$I$36),0)+IF(AND(71&gt;=Personnel!$E$37,Personnel!$G$37="Yes"),Personnel!$D$37*(1-Personnel!$H$37)*(1-Personnel!$I$37),0)+IF(AND(71&gt;=Personnel!$E$38,Personnel!$G$38="Yes"),Personnel!$D$38*(1-Personnel!$H$38)*(1-Personnel!$I$38),0)+IF(AND(71&gt;=Personnel!$E$39,Personnel!$G$39="Yes"),Personnel!$D$39*(1-Personnel!$H$39)*(1-Personnel!$I$39),0)+IF(AND(71&gt;=Personnel!$E$40,Personnel!$G$40="Yes"),Personnel!$D$40*(1-Personnel!$H$40)*(1-Personnel!$I$40),0)+IF(AND(71&gt;=Personnel!$E$41,Personnel!$G$41="Yes"),Personnel!$D$41*(1-Personnel!$H$41)*(1-Personnel!$I$41),0)+IF(AND(71&gt;=Personnel!$E$42,Personnel!$G$42="Yes"),Personnel!$D$42*(1-Personnel!$H$42)*(1-Personnel!$I$42),0))*Escalation!$B$72</f>
        <v>12650.92587</v>
      </c>
      <c r="BV5" s="279" t="n">
        <f aca="false">(IF(AND(72&gt;=Personnel!$E$36,Personnel!$G$36="Yes"),Personnel!$D$36*(1-Personnel!$H$36)*(1-Personnel!$I$36),0)+IF(AND(72&gt;=Personnel!$E$37,Personnel!$G$37="Yes"),Personnel!$D$37*(1-Personnel!$H$37)*(1-Personnel!$I$37),0)+IF(AND(72&gt;=Personnel!$E$38,Personnel!$G$38="Yes"),Personnel!$D$38*(1-Personnel!$H$38)*(1-Personnel!$I$38),0)+IF(AND(72&gt;=Personnel!$E$39,Personnel!$G$39="Yes"),Personnel!$D$39*(1-Personnel!$H$39)*(1-Personnel!$I$39),0)+IF(AND(72&gt;=Personnel!$E$40,Personnel!$G$40="Yes"),Personnel!$D$40*(1-Personnel!$H$40)*(1-Personnel!$I$40),0)+IF(AND(72&gt;=Personnel!$E$41,Personnel!$G$41="Yes"),Personnel!$D$41*(1-Personnel!$H$41)*(1-Personnel!$I$41),0)+IF(AND(72&gt;=Personnel!$E$42,Personnel!$G$42="Yes"),Personnel!$D$42*(1-Personnel!$H$42)*(1-Personnel!$I$42),0))*Escalation!$B$73</f>
        <v>12650.92587</v>
      </c>
      <c r="BW5" s="279" t="n">
        <f aca="false">(IF(AND(73&gt;=Personnel!$E$36,Personnel!$G$36="Yes"),Personnel!$D$36*(1-Personnel!$H$36)*(1-Personnel!$I$36),0)+IF(AND(73&gt;=Personnel!$E$37,Personnel!$G$37="Yes"),Personnel!$D$37*(1-Personnel!$H$37)*(1-Personnel!$I$37),0)+IF(AND(73&gt;=Personnel!$E$38,Personnel!$G$38="Yes"),Personnel!$D$38*(1-Personnel!$H$38)*(1-Personnel!$I$38),0)+IF(AND(73&gt;=Personnel!$E$39,Personnel!$G$39="Yes"),Personnel!$D$39*(1-Personnel!$H$39)*(1-Personnel!$I$39),0)+IF(AND(73&gt;=Personnel!$E$40,Personnel!$G$40="Yes"),Personnel!$D$40*(1-Personnel!$H$40)*(1-Personnel!$I$40),0)+IF(AND(73&gt;=Personnel!$E$41,Personnel!$G$41="Yes"),Personnel!$D$41*(1-Personnel!$H$41)*(1-Personnel!$I$41),0)+IF(AND(73&gt;=Personnel!$E$42,Personnel!$G$42="Yes"),Personnel!$D$42*(1-Personnel!$H$42)*(1-Personnel!$I$42),0))*Escalation!$B$74</f>
        <v>12903.9443874</v>
      </c>
      <c r="BX5" s="279" t="n">
        <f aca="false">(IF(AND(74&gt;=Personnel!$E$36,Personnel!$G$36="Yes"),Personnel!$D$36*(1-Personnel!$H$36)*(1-Personnel!$I$36),0)+IF(AND(74&gt;=Personnel!$E$37,Personnel!$G$37="Yes"),Personnel!$D$37*(1-Personnel!$H$37)*(1-Personnel!$I$37),0)+IF(AND(74&gt;=Personnel!$E$38,Personnel!$G$38="Yes"),Personnel!$D$38*(1-Personnel!$H$38)*(1-Personnel!$I$38),0)+IF(AND(74&gt;=Personnel!$E$39,Personnel!$G$39="Yes"),Personnel!$D$39*(1-Personnel!$H$39)*(1-Personnel!$I$39),0)+IF(AND(74&gt;=Personnel!$E$40,Personnel!$G$40="Yes"),Personnel!$D$40*(1-Personnel!$H$40)*(1-Personnel!$I$40),0)+IF(AND(74&gt;=Personnel!$E$41,Personnel!$G$41="Yes"),Personnel!$D$41*(1-Personnel!$H$41)*(1-Personnel!$I$41),0)+IF(AND(74&gt;=Personnel!$E$42,Personnel!$G$42="Yes"),Personnel!$D$42*(1-Personnel!$H$42)*(1-Personnel!$I$42),0))*Escalation!$B$75</f>
        <v>12903.9443874</v>
      </c>
      <c r="BY5" s="279" t="n">
        <f aca="false">(IF(AND(75&gt;=Personnel!$E$36,Personnel!$G$36="Yes"),Personnel!$D$36*(1-Personnel!$H$36)*(1-Personnel!$I$36),0)+IF(AND(75&gt;=Personnel!$E$37,Personnel!$G$37="Yes"),Personnel!$D$37*(1-Personnel!$H$37)*(1-Personnel!$I$37),0)+IF(AND(75&gt;=Personnel!$E$38,Personnel!$G$38="Yes"),Personnel!$D$38*(1-Personnel!$H$38)*(1-Personnel!$I$38),0)+IF(AND(75&gt;=Personnel!$E$39,Personnel!$G$39="Yes"),Personnel!$D$39*(1-Personnel!$H$39)*(1-Personnel!$I$39),0)+IF(AND(75&gt;=Personnel!$E$40,Personnel!$G$40="Yes"),Personnel!$D$40*(1-Personnel!$H$40)*(1-Personnel!$I$40),0)+IF(AND(75&gt;=Personnel!$E$41,Personnel!$G$41="Yes"),Personnel!$D$41*(1-Personnel!$H$41)*(1-Personnel!$I$41),0)+IF(AND(75&gt;=Personnel!$E$42,Personnel!$G$42="Yes"),Personnel!$D$42*(1-Personnel!$H$42)*(1-Personnel!$I$42),0))*Escalation!$B$76</f>
        <v>12903.9443874</v>
      </c>
      <c r="BZ5" s="279" t="n">
        <f aca="false">(IF(AND(76&gt;=Personnel!$E$36,Personnel!$G$36="Yes"),Personnel!$D$36*(1-Personnel!$H$36)*(1-Personnel!$I$36),0)+IF(AND(76&gt;=Personnel!$E$37,Personnel!$G$37="Yes"),Personnel!$D$37*(1-Personnel!$H$37)*(1-Personnel!$I$37),0)+IF(AND(76&gt;=Personnel!$E$38,Personnel!$G$38="Yes"),Personnel!$D$38*(1-Personnel!$H$38)*(1-Personnel!$I$38),0)+IF(AND(76&gt;=Personnel!$E$39,Personnel!$G$39="Yes"),Personnel!$D$39*(1-Personnel!$H$39)*(1-Personnel!$I$39),0)+IF(AND(76&gt;=Personnel!$E$40,Personnel!$G$40="Yes"),Personnel!$D$40*(1-Personnel!$H$40)*(1-Personnel!$I$40),0)+IF(AND(76&gt;=Personnel!$E$41,Personnel!$G$41="Yes"),Personnel!$D$41*(1-Personnel!$H$41)*(1-Personnel!$I$41),0)+IF(AND(76&gt;=Personnel!$E$42,Personnel!$G$42="Yes"),Personnel!$D$42*(1-Personnel!$H$42)*(1-Personnel!$I$42),0))*Escalation!$B$77</f>
        <v>12903.9443874</v>
      </c>
      <c r="CA5" s="279" t="n">
        <f aca="false">(IF(AND(77&gt;=Personnel!$E$36,Personnel!$G$36="Yes"),Personnel!$D$36*(1-Personnel!$H$36)*(1-Personnel!$I$36),0)+IF(AND(77&gt;=Personnel!$E$37,Personnel!$G$37="Yes"),Personnel!$D$37*(1-Personnel!$H$37)*(1-Personnel!$I$37),0)+IF(AND(77&gt;=Personnel!$E$38,Personnel!$G$38="Yes"),Personnel!$D$38*(1-Personnel!$H$38)*(1-Personnel!$I$38),0)+IF(AND(77&gt;=Personnel!$E$39,Personnel!$G$39="Yes"),Personnel!$D$39*(1-Personnel!$H$39)*(1-Personnel!$I$39),0)+IF(AND(77&gt;=Personnel!$E$40,Personnel!$G$40="Yes"),Personnel!$D$40*(1-Personnel!$H$40)*(1-Personnel!$I$40),0)+IF(AND(77&gt;=Personnel!$E$41,Personnel!$G$41="Yes"),Personnel!$D$41*(1-Personnel!$H$41)*(1-Personnel!$I$41),0)+IF(AND(77&gt;=Personnel!$E$42,Personnel!$G$42="Yes"),Personnel!$D$42*(1-Personnel!$H$42)*(1-Personnel!$I$42),0))*Escalation!$B$78</f>
        <v>12903.9443874</v>
      </c>
      <c r="CB5" s="279" t="n">
        <f aca="false">(IF(AND(78&gt;=Personnel!$E$36,Personnel!$G$36="Yes"),Personnel!$D$36*(1-Personnel!$H$36)*(1-Personnel!$I$36),0)+IF(AND(78&gt;=Personnel!$E$37,Personnel!$G$37="Yes"),Personnel!$D$37*(1-Personnel!$H$37)*(1-Personnel!$I$37),0)+IF(AND(78&gt;=Personnel!$E$38,Personnel!$G$38="Yes"),Personnel!$D$38*(1-Personnel!$H$38)*(1-Personnel!$I$38),0)+IF(AND(78&gt;=Personnel!$E$39,Personnel!$G$39="Yes"),Personnel!$D$39*(1-Personnel!$H$39)*(1-Personnel!$I$39),0)+IF(AND(78&gt;=Personnel!$E$40,Personnel!$G$40="Yes"),Personnel!$D$40*(1-Personnel!$H$40)*(1-Personnel!$I$40),0)+IF(AND(78&gt;=Personnel!$E$41,Personnel!$G$41="Yes"),Personnel!$D$41*(1-Personnel!$H$41)*(1-Personnel!$I$41),0)+IF(AND(78&gt;=Personnel!$E$42,Personnel!$G$42="Yes"),Personnel!$D$42*(1-Personnel!$H$42)*(1-Personnel!$I$42),0))*Escalation!$B$79</f>
        <v>12903.9443874</v>
      </c>
      <c r="CC5" s="279" t="n">
        <f aca="false">(IF(AND(79&gt;=Personnel!$E$36,Personnel!$G$36="Yes"),Personnel!$D$36*(1-Personnel!$H$36)*(1-Personnel!$I$36),0)+IF(AND(79&gt;=Personnel!$E$37,Personnel!$G$37="Yes"),Personnel!$D$37*(1-Personnel!$H$37)*(1-Personnel!$I$37),0)+IF(AND(79&gt;=Personnel!$E$38,Personnel!$G$38="Yes"),Personnel!$D$38*(1-Personnel!$H$38)*(1-Personnel!$I$38),0)+IF(AND(79&gt;=Personnel!$E$39,Personnel!$G$39="Yes"),Personnel!$D$39*(1-Personnel!$H$39)*(1-Personnel!$I$39),0)+IF(AND(79&gt;=Personnel!$E$40,Personnel!$G$40="Yes"),Personnel!$D$40*(1-Personnel!$H$40)*(1-Personnel!$I$40),0)+IF(AND(79&gt;=Personnel!$E$41,Personnel!$G$41="Yes"),Personnel!$D$41*(1-Personnel!$H$41)*(1-Personnel!$I$41),0)+IF(AND(79&gt;=Personnel!$E$42,Personnel!$G$42="Yes"),Personnel!$D$42*(1-Personnel!$H$42)*(1-Personnel!$I$42),0))*Escalation!$B$80</f>
        <v>12903.9443874</v>
      </c>
      <c r="CD5" s="279" t="n">
        <f aca="false">(IF(AND(80&gt;=Personnel!$E$36,Personnel!$G$36="Yes"),Personnel!$D$36*(1-Personnel!$H$36)*(1-Personnel!$I$36),0)+IF(AND(80&gt;=Personnel!$E$37,Personnel!$G$37="Yes"),Personnel!$D$37*(1-Personnel!$H$37)*(1-Personnel!$I$37),0)+IF(AND(80&gt;=Personnel!$E$38,Personnel!$G$38="Yes"),Personnel!$D$38*(1-Personnel!$H$38)*(1-Personnel!$I$38),0)+IF(AND(80&gt;=Personnel!$E$39,Personnel!$G$39="Yes"),Personnel!$D$39*(1-Personnel!$H$39)*(1-Personnel!$I$39),0)+IF(AND(80&gt;=Personnel!$E$40,Personnel!$G$40="Yes"),Personnel!$D$40*(1-Personnel!$H$40)*(1-Personnel!$I$40),0)+IF(AND(80&gt;=Personnel!$E$41,Personnel!$G$41="Yes"),Personnel!$D$41*(1-Personnel!$H$41)*(1-Personnel!$I$41),0)+IF(AND(80&gt;=Personnel!$E$42,Personnel!$G$42="Yes"),Personnel!$D$42*(1-Personnel!$H$42)*(1-Personnel!$I$42),0))*Escalation!$B$81</f>
        <v>12903.9443874</v>
      </c>
      <c r="CE5" s="279" t="n">
        <f aca="false">(IF(AND(81&gt;=Personnel!$E$36,Personnel!$G$36="Yes"),Personnel!$D$36*(1-Personnel!$H$36)*(1-Personnel!$I$36),0)+IF(AND(81&gt;=Personnel!$E$37,Personnel!$G$37="Yes"),Personnel!$D$37*(1-Personnel!$H$37)*(1-Personnel!$I$37),0)+IF(AND(81&gt;=Personnel!$E$38,Personnel!$G$38="Yes"),Personnel!$D$38*(1-Personnel!$H$38)*(1-Personnel!$I$38),0)+IF(AND(81&gt;=Personnel!$E$39,Personnel!$G$39="Yes"),Personnel!$D$39*(1-Personnel!$H$39)*(1-Personnel!$I$39),0)+IF(AND(81&gt;=Personnel!$E$40,Personnel!$G$40="Yes"),Personnel!$D$40*(1-Personnel!$H$40)*(1-Personnel!$I$40),0)+IF(AND(81&gt;=Personnel!$E$41,Personnel!$G$41="Yes"),Personnel!$D$41*(1-Personnel!$H$41)*(1-Personnel!$I$41),0)+IF(AND(81&gt;=Personnel!$E$42,Personnel!$G$42="Yes"),Personnel!$D$42*(1-Personnel!$H$42)*(1-Personnel!$I$42),0))*Escalation!$B$82</f>
        <v>12903.9443874</v>
      </c>
      <c r="CF5" s="279" t="n">
        <f aca="false">(IF(AND(82&gt;=Personnel!$E$36,Personnel!$G$36="Yes"),Personnel!$D$36*(1-Personnel!$H$36)*(1-Personnel!$I$36),0)+IF(AND(82&gt;=Personnel!$E$37,Personnel!$G$37="Yes"),Personnel!$D$37*(1-Personnel!$H$37)*(1-Personnel!$I$37),0)+IF(AND(82&gt;=Personnel!$E$38,Personnel!$G$38="Yes"),Personnel!$D$38*(1-Personnel!$H$38)*(1-Personnel!$I$38),0)+IF(AND(82&gt;=Personnel!$E$39,Personnel!$G$39="Yes"),Personnel!$D$39*(1-Personnel!$H$39)*(1-Personnel!$I$39),0)+IF(AND(82&gt;=Personnel!$E$40,Personnel!$G$40="Yes"),Personnel!$D$40*(1-Personnel!$H$40)*(1-Personnel!$I$40),0)+IF(AND(82&gt;=Personnel!$E$41,Personnel!$G$41="Yes"),Personnel!$D$41*(1-Personnel!$H$41)*(1-Personnel!$I$41),0)+IF(AND(82&gt;=Personnel!$E$42,Personnel!$G$42="Yes"),Personnel!$D$42*(1-Personnel!$H$42)*(1-Personnel!$I$42),0))*Escalation!$B$83</f>
        <v>12903.9443874</v>
      </c>
      <c r="CG5" s="279" t="n">
        <f aca="false">(IF(AND(83&gt;=Personnel!$E$36,Personnel!$G$36="Yes"),Personnel!$D$36*(1-Personnel!$H$36)*(1-Personnel!$I$36),0)+IF(AND(83&gt;=Personnel!$E$37,Personnel!$G$37="Yes"),Personnel!$D$37*(1-Personnel!$H$37)*(1-Personnel!$I$37),0)+IF(AND(83&gt;=Personnel!$E$38,Personnel!$G$38="Yes"),Personnel!$D$38*(1-Personnel!$H$38)*(1-Personnel!$I$38),0)+IF(AND(83&gt;=Personnel!$E$39,Personnel!$G$39="Yes"),Personnel!$D$39*(1-Personnel!$H$39)*(1-Personnel!$I$39),0)+IF(AND(83&gt;=Personnel!$E$40,Personnel!$G$40="Yes"),Personnel!$D$40*(1-Personnel!$H$40)*(1-Personnel!$I$40),0)+IF(AND(83&gt;=Personnel!$E$41,Personnel!$G$41="Yes"),Personnel!$D$41*(1-Personnel!$H$41)*(1-Personnel!$I$41),0)+IF(AND(83&gt;=Personnel!$E$42,Personnel!$G$42="Yes"),Personnel!$D$42*(1-Personnel!$H$42)*(1-Personnel!$I$42),0))*Escalation!$B$84</f>
        <v>12903.9443874</v>
      </c>
      <c r="CH5" s="279" t="n">
        <f aca="false">(IF(AND(84&gt;=Personnel!$E$36,Personnel!$G$36="Yes"),Personnel!$D$36*(1-Personnel!$H$36)*(1-Personnel!$I$36),0)+IF(AND(84&gt;=Personnel!$E$37,Personnel!$G$37="Yes"),Personnel!$D$37*(1-Personnel!$H$37)*(1-Personnel!$I$37),0)+IF(AND(84&gt;=Personnel!$E$38,Personnel!$G$38="Yes"),Personnel!$D$38*(1-Personnel!$H$38)*(1-Personnel!$I$38),0)+IF(AND(84&gt;=Personnel!$E$39,Personnel!$G$39="Yes"),Personnel!$D$39*(1-Personnel!$H$39)*(1-Personnel!$I$39),0)+IF(AND(84&gt;=Personnel!$E$40,Personnel!$G$40="Yes"),Personnel!$D$40*(1-Personnel!$H$40)*(1-Personnel!$I$40),0)+IF(AND(84&gt;=Personnel!$E$41,Personnel!$G$41="Yes"),Personnel!$D$41*(1-Personnel!$H$41)*(1-Personnel!$I$41),0)+IF(AND(84&gt;=Personnel!$E$42,Personnel!$G$42="Yes"),Personnel!$D$42*(1-Personnel!$H$42)*(1-Personnel!$I$42),0))*Escalation!$B$85</f>
        <v>12903.9443874</v>
      </c>
      <c r="CI5" s="279" t="n">
        <f aca="false">(IF(AND(85&gt;=Personnel!$E$36,Personnel!$G$36="Yes"),Personnel!$D$36*(1-Personnel!$H$36)*(1-Personnel!$I$36),0)+IF(AND(85&gt;=Personnel!$E$37,Personnel!$G$37="Yes"),Personnel!$D$37*(1-Personnel!$H$37)*(1-Personnel!$I$37),0)+IF(AND(85&gt;=Personnel!$E$38,Personnel!$G$38="Yes"),Personnel!$D$38*(1-Personnel!$H$38)*(1-Personnel!$I$38),0)+IF(AND(85&gt;=Personnel!$E$39,Personnel!$G$39="Yes"),Personnel!$D$39*(1-Personnel!$H$39)*(1-Personnel!$I$39),0)+IF(AND(85&gt;=Personnel!$E$40,Personnel!$G$40="Yes"),Personnel!$D$40*(1-Personnel!$H$40)*(1-Personnel!$I$40),0)+IF(AND(85&gt;=Personnel!$E$41,Personnel!$G$41="Yes"),Personnel!$D$41*(1-Personnel!$H$41)*(1-Personnel!$I$41),0)+IF(AND(85&gt;=Personnel!$E$42,Personnel!$G$42="Yes"),Personnel!$D$42*(1-Personnel!$H$42)*(1-Personnel!$I$42),0))*Escalation!$B$86</f>
        <v>13162.023275148</v>
      </c>
      <c r="CJ5" s="279" t="n">
        <f aca="false">(IF(AND(86&gt;=Personnel!$E$36,Personnel!$G$36="Yes"),Personnel!$D$36*(1-Personnel!$H$36)*(1-Personnel!$I$36),0)+IF(AND(86&gt;=Personnel!$E$37,Personnel!$G$37="Yes"),Personnel!$D$37*(1-Personnel!$H$37)*(1-Personnel!$I$37),0)+IF(AND(86&gt;=Personnel!$E$38,Personnel!$G$38="Yes"),Personnel!$D$38*(1-Personnel!$H$38)*(1-Personnel!$I$38),0)+IF(AND(86&gt;=Personnel!$E$39,Personnel!$G$39="Yes"),Personnel!$D$39*(1-Personnel!$H$39)*(1-Personnel!$I$39),0)+IF(AND(86&gt;=Personnel!$E$40,Personnel!$G$40="Yes"),Personnel!$D$40*(1-Personnel!$H$40)*(1-Personnel!$I$40),0)+IF(AND(86&gt;=Personnel!$E$41,Personnel!$G$41="Yes"),Personnel!$D$41*(1-Personnel!$H$41)*(1-Personnel!$I$41),0)+IF(AND(86&gt;=Personnel!$E$42,Personnel!$G$42="Yes"),Personnel!$D$42*(1-Personnel!$H$42)*(1-Personnel!$I$42),0))*Escalation!$B$87</f>
        <v>13162.023275148</v>
      </c>
      <c r="CK5" s="279" t="n">
        <f aca="false">(IF(AND(87&gt;=Personnel!$E$36,Personnel!$G$36="Yes"),Personnel!$D$36*(1-Personnel!$H$36)*(1-Personnel!$I$36),0)+IF(AND(87&gt;=Personnel!$E$37,Personnel!$G$37="Yes"),Personnel!$D$37*(1-Personnel!$H$37)*(1-Personnel!$I$37),0)+IF(AND(87&gt;=Personnel!$E$38,Personnel!$G$38="Yes"),Personnel!$D$38*(1-Personnel!$H$38)*(1-Personnel!$I$38),0)+IF(AND(87&gt;=Personnel!$E$39,Personnel!$G$39="Yes"),Personnel!$D$39*(1-Personnel!$H$39)*(1-Personnel!$I$39),0)+IF(AND(87&gt;=Personnel!$E$40,Personnel!$G$40="Yes"),Personnel!$D$40*(1-Personnel!$H$40)*(1-Personnel!$I$40),0)+IF(AND(87&gt;=Personnel!$E$41,Personnel!$G$41="Yes"),Personnel!$D$41*(1-Personnel!$H$41)*(1-Personnel!$I$41),0)+IF(AND(87&gt;=Personnel!$E$42,Personnel!$G$42="Yes"),Personnel!$D$42*(1-Personnel!$H$42)*(1-Personnel!$I$42),0))*Escalation!$B$88</f>
        <v>13162.023275148</v>
      </c>
      <c r="CL5" s="279" t="n">
        <f aca="false">(IF(AND(88&gt;=Personnel!$E$36,Personnel!$G$36="Yes"),Personnel!$D$36*(1-Personnel!$H$36)*(1-Personnel!$I$36),0)+IF(AND(88&gt;=Personnel!$E$37,Personnel!$G$37="Yes"),Personnel!$D$37*(1-Personnel!$H$37)*(1-Personnel!$I$37),0)+IF(AND(88&gt;=Personnel!$E$38,Personnel!$G$38="Yes"),Personnel!$D$38*(1-Personnel!$H$38)*(1-Personnel!$I$38),0)+IF(AND(88&gt;=Personnel!$E$39,Personnel!$G$39="Yes"),Personnel!$D$39*(1-Personnel!$H$39)*(1-Personnel!$I$39),0)+IF(AND(88&gt;=Personnel!$E$40,Personnel!$G$40="Yes"),Personnel!$D$40*(1-Personnel!$H$40)*(1-Personnel!$I$40),0)+IF(AND(88&gt;=Personnel!$E$41,Personnel!$G$41="Yes"),Personnel!$D$41*(1-Personnel!$H$41)*(1-Personnel!$I$41),0)+IF(AND(88&gt;=Personnel!$E$42,Personnel!$G$42="Yes"),Personnel!$D$42*(1-Personnel!$H$42)*(1-Personnel!$I$42),0))*Escalation!$B$89</f>
        <v>13162.023275148</v>
      </c>
      <c r="CM5" s="279" t="n">
        <f aca="false">(IF(AND(89&gt;=Personnel!$E$36,Personnel!$G$36="Yes"),Personnel!$D$36*(1-Personnel!$H$36)*(1-Personnel!$I$36),0)+IF(AND(89&gt;=Personnel!$E$37,Personnel!$G$37="Yes"),Personnel!$D$37*(1-Personnel!$H$37)*(1-Personnel!$I$37),0)+IF(AND(89&gt;=Personnel!$E$38,Personnel!$G$38="Yes"),Personnel!$D$38*(1-Personnel!$H$38)*(1-Personnel!$I$38),0)+IF(AND(89&gt;=Personnel!$E$39,Personnel!$G$39="Yes"),Personnel!$D$39*(1-Personnel!$H$39)*(1-Personnel!$I$39),0)+IF(AND(89&gt;=Personnel!$E$40,Personnel!$G$40="Yes"),Personnel!$D$40*(1-Personnel!$H$40)*(1-Personnel!$I$40),0)+IF(AND(89&gt;=Personnel!$E$41,Personnel!$G$41="Yes"),Personnel!$D$41*(1-Personnel!$H$41)*(1-Personnel!$I$41),0)+IF(AND(89&gt;=Personnel!$E$42,Personnel!$G$42="Yes"),Personnel!$D$42*(1-Personnel!$H$42)*(1-Personnel!$I$42),0))*Escalation!$B$90</f>
        <v>13162.023275148</v>
      </c>
      <c r="CN5" s="279" t="n">
        <f aca="false">(IF(AND(90&gt;=Personnel!$E$36,Personnel!$G$36="Yes"),Personnel!$D$36*(1-Personnel!$H$36)*(1-Personnel!$I$36),0)+IF(AND(90&gt;=Personnel!$E$37,Personnel!$G$37="Yes"),Personnel!$D$37*(1-Personnel!$H$37)*(1-Personnel!$I$37),0)+IF(AND(90&gt;=Personnel!$E$38,Personnel!$G$38="Yes"),Personnel!$D$38*(1-Personnel!$H$38)*(1-Personnel!$I$38),0)+IF(AND(90&gt;=Personnel!$E$39,Personnel!$G$39="Yes"),Personnel!$D$39*(1-Personnel!$H$39)*(1-Personnel!$I$39),0)+IF(AND(90&gt;=Personnel!$E$40,Personnel!$G$40="Yes"),Personnel!$D$40*(1-Personnel!$H$40)*(1-Personnel!$I$40),0)+IF(AND(90&gt;=Personnel!$E$41,Personnel!$G$41="Yes"),Personnel!$D$41*(1-Personnel!$H$41)*(1-Personnel!$I$41),0)+IF(AND(90&gt;=Personnel!$E$42,Personnel!$G$42="Yes"),Personnel!$D$42*(1-Personnel!$H$42)*(1-Personnel!$I$42),0))*Escalation!$B$91</f>
        <v>13162.023275148</v>
      </c>
      <c r="CO5" s="279" t="n">
        <f aca="false">(IF(AND(91&gt;=Personnel!$E$36,Personnel!$G$36="Yes"),Personnel!$D$36*(1-Personnel!$H$36)*(1-Personnel!$I$36),0)+IF(AND(91&gt;=Personnel!$E$37,Personnel!$G$37="Yes"),Personnel!$D$37*(1-Personnel!$H$37)*(1-Personnel!$I$37),0)+IF(AND(91&gt;=Personnel!$E$38,Personnel!$G$38="Yes"),Personnel!$D$38*(1-Personnel!$H$38)*(1-Personnel!$I$38),0)+IF(AND(91&gt;=Personnel!$E$39,Personnel!$G$39="Yes"),Personnel!$D$39*(1-Personnel!$H$39)*(1-Personnel!$I$39),0)+IF(AND(91&gt;=Personnel!$E$40,Personnel!$G$40="Yes"),Personnel!$D$40*(1-Personnel!$H$40)*(1-Personnel!$I$40),0)+IF(AND(91&gt;=Personnel!$E$41,Personnel!$G$41="Yes"),Personnel!$D$41*(1-Personnel!$H$41)*(1-Personnel!$I$41),0)+IF(AND(91&gt;=Personnel!$E$42,Personnel!$G$42="Yes"),Personnel!$D$42*(1-Personnel!$H$42)*(1-Personnel!$I$42),0))*Escalation!$B$92</f>
        <v>13162.023275148</v>
      </c>
      <c r="CP5" s="279" t="n">
        <f aca="false">(IF(AND(92&gt;=Personnel!$E$36,Personnel!$G$36="Yes"),Personnel!$D$36*(1-Personnel!$H$36)*(1-Personnel!$I$36),0)+IF(AND(92&gt;=Personnel!$E$37,Personnel!$G$37="Yes"),Personnel!$D$37*(1-Personnel!$H$37)*(1-Personnel!$I$37),0)+IF(AND(92&gt;=Personnel!$E$38,Personnel!$G$38="Yes"),Personnel!$D$38*(1-Personnel!$H$38)*(1-Personnel!$I$38),0)+IF(AND(92&gt;=Personnel!$E$39,Personnel!$G$39="Yes"),Personnel!$D$39*(1-Personnel!$H$39)*(1-Personnel!$I$39),0)+IF(AND(92&gt;=Personnel!$E$40,Personnel!$G$40="Yes"),Personnel!$D$40*(1-Personnel!$H$40)*(1-Personnel!$I$40),0)+IF(AND(92&gt;=Personnel!$E$41,Personnel!$G$41="Yes"),Personnel!$D$41*(1-Personnel!$H$41)*(1-Personnel!$I$41),0)+IF(AND(92&gt;=Personnel!$E$42,Personnel!$G$42="Yes"),Personnel!$D$42*(1-Personnel!$H$42)*(1-Personnel!$I$42),0))*Escalation!$B$93</f>
        <v>13162.023275148</v>
      </c>
      <c r="CQ5" s="279" t="n">
        <f aca="false">(IF(AND(93&gt;=Personnel!$E$36,Personnel!$G$36="Yes"),Personnel!$D$36*(1-Personnel!$H$36)*(1-Personnel!$I$36),0)+IF(AND(93&gt;=Personnel!$E$37,Personnel!$G$37="Yes"),Personnel!$D$37*(1-Personnel!$H$37)*(1-Personnel!$I$37),0)+IF(AND(93&gt;=Personnel!$E$38,Personnel!$G$38="Yes"),Personnel!$D$38*(1-Personnel!$H$38)*(1-Personnel!$I$38),0)+IF(AND(93&gt;=Personnel!$E$39,Personnel!$G$39="Yes"),Personnel!$D$39*(1-Personnel!$H$39)*(1-Personnel!$I$39),0)+IF(AND(93&gt;=Personnel!$E$40,Personnel!$G$40="Yes"),Personnel!$D$40*(1-Personnel!$H$40)*(1-Personnel!$I$40),0)+IF(AND(93&gt;=Personnel!$E$41,Personnel!$G$41="Yes"),Personnel!$D$41*(1-Personnel!$H$41)*(1-Personnel!$I$41),0)+IF(AND(93&gt;=Personnel!$E$42,Personnel!$G$42="Yes"),Personnel!$D$42*(1-Personnel!$H$42)*(1-Personnel!$I$42),0))*Escalation!$B$94</f>
        <v>13162.023275148</v>
      </c>
    </row>
    <row r="7" customFormat="false" ht="15" hidden="false" customHeight="true" outlineLevel="0" collapsed="false">
      <c r="A7" s="273" t="s">
        <v>815</v>
      </c>
    </row>
    <row r="8" customFormat="false" ht="15" hidden="false" customHeight="true" outlineLevel="0" collapsed="false">
      <c r="A8" s="175" t="s">
        <v>9</v>
      </c>
      <c r="C8" s="279" t="n">
        <f aca="false">IF(AND(Projects!$G$4="Yes",Projects!$F$4="Yes",1&gt;=Projects!$C$4,1&lt;Projects!$C$4+Projects!$D$4),Projects!$B$4*(1-SUMPRODUCT((Curves!$B$8:$AO$8)*(COLUMN(Curves!$B$8:$AO$8)-COLUMN(Curves!$B$8)+1&lt;=1-Projects!$C$4+1))),0)</f>
        <v>11187175.7906854</v>
      </c>
      <c r="D8" s="279" t="n">
        <f aca="false">IF(AND(Projects!$G$4="Yes",Projects!$F$4="Yes",2&gt;=Projects!$C$4,2&lt;Projects!$C$4+Projects!$D$4),Projects!$B$4*(1-SUMPRODUCT((Curves!$B$8:$AO$8)*(COLUMN(Curves!$B$8:$AO$8)-COLUMN(Curves!$B$8)+1&lt;=2-Projects!$C$4+1))),0)</f>
        <v>10356493.6916432</v>
      </c>
      <c r="E8" s="279" t="n">
        <f aca="false">IF(AND(Projects!$G$4="Yes",Projects!$F$4="Yes",3&gt;=Projects!$C$4,3&lt;Projects!$C$4+Projects!$D$4),Projects!$B$4*(1-SUMPRODUCT((Curves!$B$8:$AO$8)*(COLUMN(Curves!$B$8:$AO$8)-COLUMN(Curves!$B$8)+1&lt;=3-Projects!$C$4+1))),0)</f>
        <v>9450240.4833253</v>
      </c>
      <c r="F8" s="279" t="n">
        <f aca="false">IF(AND(Projects!$G$4="Yes",Projects!$F$4="Yes",4&gt;=Projects!$C$4,4&lt;Projects!$C$4+Projects!$D$4),Projects!$B$4*(1-SUMPRODUCT((Curves!$B$8:$AO$8)*(COLUMN(Curves!$B$8:$AO$8)-COLUMN(Curves!$B$8)+1&lt;=4-Projects!$C$4+1))),0)</f>
        <v>8485833.108368</v>
      </c>
      <c r="G8" s="279" t="n">
        <f aca="false">IF(AND(Projects!$G$4="Yes",Projects!$F$4="Yes",5&gt;=Projects!$C$4,5&lt;Projects!$C$4+Projects!$D$4),Projects!$B$4*(1-SUMPRODUCT((Curves!$B$8:$AO$8)*(COLUMN(Curves!$B$8:$AO$8)-COLUMN(Curves!$B$8)+1&lt;=5-Projects!$C$4+1))),0)</f>
        <v>7484749.67151286</v>
      </c>
      <c r="H8" s="279" t="n">
        <f aca="false">IF(AND(Projects!$G$4="Yes",Projects!$F$4="Yes",6&gt;=Projects!$C$4,6&lt;Projects!$C$4+Projects!$D$4),Projects!$B$4*(1-SUMPRODUCT((Curves!$B$8:$AO$8)*(COLUMN(Curves!$B$8:$AO$8)-COLUMN(Curves!$B$8)+1&lt;=6-Projects!$C$4+1))),0)</f>
        <v>6471133.85125429</v>
      </c>
      <c r="I8" s="279" t="n">
        <f aca="false">IF(AND(Projects!$G$4="Yes",Projects!$F$4="Yes",7&gt;=Projects!$C$4,7&lt;Projects!$C$4+Projects!$D$4),Projects!$B$4*(1-SUMPRODUCT((Curves!$B$8:$AO$8)*(COLUMN(Curves!$B$8:$AO$8)-COLUMN(Curves!$B$8)+1&lt;=7-Projects!$C$4+1))),0)</f>
        <v>5470050.41439915</v>
      </c>
      <c r="J8" s="279" t="n">
        <f aca="false">IF(AND(Projects!$G$4="Yes",Projects!$F$4="Yes",8&gt;=Projects!$C$4,8&lt;Projects!$C$4+Projects!$D$4),Projects!$B$4*(1-SUMPRODUCT((Curves!$B$8:$AO$8)*(COLUMN(Curves!$B$8:$AO$8)-COLUMN(Curves!$B$8)+1&lt;=8-Projects!$C$4+1))),0)</f>
        <v>4505643.03944185</v>
      </c>
      <c r="K8" s="279" t="n">
        <f aca="false">IF(AND(Projects!$G$4="Yes",Projects!$F$4="Yes",9&gt;=Projects!$C$4,9&lt;Projects!$C$4+Projects!$D$4),Projects!$B$4*(1-SUMPRODUCT((Curves!$B$8:$AO$8)*(COLUMN(Curves!$B$8:$AO$8)-COLUMN(Curves!$B$8)+1&lt;=9-Projects!$C$4+1))),0)</f>
        <v>3599389.83112392</v>
      </c>
      <c r="L8" s="279" t="n">
        <f aca="false">IF(AND(Projects!$G$4="Yes",Projects!$F$4="Yes",10&gt;=Projects!$C$4,10&lt;Projects!$C$4+Projects!$D$4),Projects!$B$4*(1-SUMPRODUCT((Curves!$B$8:$AO$8)*(COLUMN(Curves!$B$8:$AO$8)-COLUMN(Curves!$B$8)+1&lt;=10-Projects!$C$4+1))),0)</f>
        <v>2768707.73208177</v>
      </c>
      <c r="M8" s="279" t="n">
        <f aca="false">IF(AND(Projects!$G$4="Yes",Projects!$F$4="Yes",11&gt;=Projects!$C$4,11&lt;Projects!$C$4+Projects!$D$4),Projects!$B$4*(1-SUMPRODUCT((Curves!$B$8:$AO$8)*(COLUMN(Curves!$B$8:$AO$8)-COLUMN(Curves!$B$8)+1&lt;=11-Projects!$C$4+1))),0)</f>
        <v>2026003.52276715</v>
      </c>
      <c r="N8" s="279" t="n">
        <f aca="false">IF(AND(Projects!$G$4="Yes",Projects!$F$4="Yes",12&gt;=Projects!$C$4,12&lt;Projects!$C$4+Projects!$D$4),Projects!$B$4*(1-SUMPRODUCT((Curves!$B$8:$AO$8)*(COLUMN(Curves!$B$8:$AO$8)-COLUMN(Curves!$B$8)+1&lt;=12-Projects!$C$4+1))),0)</f>
        <v>1378283.05670848</v>
      </c>
      <c r="O8" s="279" t="n">
        <f aca="false">IF(AND(Projects!$G$4="Yes",Projects!$F$4="Yes",13&gt;=Projects!$C$4,13&lt;Projects!$C$4+Projects!$D$4),Projects!$B$4*(1-SUMPRODUCT((Curves!$B$8:$AO$8)*(COLUMN(Curves!$B$8:$AO$8)-COLUMN(Curves!$B$8)+1&lt;=13-Projects!$C$4+1))),0)</f>
        <v>827276.86346259</v>
      </c>
      <c r="P8" s="279" t="n">
        <f aca="false">IF(AND(Projects!$G$4="Yes",Projects!$F$4="Yes",14&gt;=Projects!$C$4,14&lt;Projects!$C$4+Projects!$D$4),Projects!$B$4*(1-SUMPRODUCT((Curves!$B$8:$AO$8)*(COLUMN(Curves!$B$8:$AO$8)-COLUMN(Curves!$B$8)+1&lt;=14-Projects!$C$4+1))),0)</f>
        <v>370068.163373215</v>
      </c>
      <c r="Q8" s="279" t="n">
        <f aca="false">IF(AND(Projects!$G$4="Yes",Projects!$F$4="Yes",15&gt;=Projects!$C$4,15&lt;Projects!$C$4+Projects!$D$4),Projects!$B$4*(1-SUMPRODUCT((Curves!$B$8:$AO$8)*(COLUMN(Curves!$B$8:$AO$8)-COLUMN(Curves!$B$8)+1&lt;=15-Projects!$C$4+1))),0)</f>
        <v>0</v>
      </c>
      <c r="R8" s="279" t="n">
        <f aca="false">IF(AND(Projects!$G$4="Yes",Projects!$F$4="Yes",16&gt;=Projects!$C$4,16&lt;Projects!$C$4+Projects!$D$4),Projects!$B$4*(1-SUMPRODUCT((Curves!$B$8:$AO$8)*(COLUMN(Curves!$B$8:$AO$8)-COLUMN(Curves!$B$8)+1&lt;=16-Projects!$C$4+1))),0)</f>
        <v>0</v>
      </c>
      <c r="S8" s="279" t="n">
        <f aca="false">IF(AND(Projects!$G$4="Yes",Projects!$F$4="Yes",17&gt;=Projects!$C$4,17&lt;Projects!$C$4+Projects!$D$4),Projects!$B$4*(1-SUMPRODUCT((Curves!$B$8:$AO$8)*(COLUMN(Curves!$B$8:$AO$8)-COLUMN(Curves!$B$8)+1&lt;=17-Projects!$C$4+1))),0)</f>
        <v>0</v>
      </c>
      <c r="T8" s="279" t="n">
        <f aca="false">IF(AND(Projects!$G$4="Yes",Projects!$F$4="Yes",18&gt;=Projects!$C$4,18&lt;Projects!$C$4+Projects!$D$4),Projects!$B$4*(1-SUMPRODUCT((Curves!$B$8:$AO$8)*(COLUMN(Curves!$B$8:$AO$8)-COLUMN(Curves!$B$8)+1&lt;=18-Projects!$C$4+1))),0)</f>
        <v>0</v>
      </c>
      <c r="U8" s="279" t="n">
        <f aca="false">IF(AND(Projects!$G$4="Yes",Projects!$F$4="Yes",19&gt;=Projects!$C$4,19&lt;Projects!$C$4+Projects!$D$4),Projects!$B$4*(1-SUMPRODUCT((Curves!$B$8:$AO$8)*(COLUMN(Curves!$B$8:$AO$8)-COLUMN(Curves!$B$8)+1&lt;=19-Projects!$C$4+1))),0)</f>
        <v>0</v>
      </c>
      <c r="V8" s="279" t="n">
        <f aca="false">IF(AND(Projects!$G$4="Yes",Projects!$F$4="Yes",20&gt;=Projects!$C$4,20&lt;Projects!$C$4+Projects!$D$4),Projects!$B$4*(1-SUMPRODUCT((Curves!$B$8:$AO$8)*(COLUMN(Curves!$B$8:$AO$8)-COLUMN(Curves!$B$8)+1&lt;=20-Projects!$C$4+1))),0)</f>
        <v>0</v>
      </c>
      <c r="W8" s="279" t="n">
        <f aca="false">IF(AND(Projects!$G$4="Yes",Projects!$F$4="Yes",21&gt;=Projects!$C$4,21&lt;Projects!$C$4+Projects!$D$4),Projects!$B$4*(1-SUMPRODUCT((Curves!$B$8:$AO$8)*(COLUMN(Curves!$B$8:$AO$8)-COLUMN(Curves!$B$8)+1&lt;=21-Projects!$C$4+1))),0)</f>
        <v>0</v>
      </c>
      <c r="X8" s="279" t="n">
        <f aca="false">IF(AND(Projects!$G$4="Yes",Projects!$F$4="Yes",22&gt;=Projects!$C$4,22&lt;Projects!$C$4+Projects!$D$4),Projects!$B$4*(1-SUMPRODUCT((Curves!$B$8:$AO$8)*(COLUMN(Curves!$B$8:$AO$8)-COLUMN(Curves!$B$8)+1&lt;=22-Projects!$C$4+1))),0)</f>
        <v>0</v>
      </c>
      <c r="Y8" s="279" t="n">
        <f aca="false">IF(AND(Projects!$G$4="Yes",Projects!$F$4="Yes",23&gt;=Projects!$C$4,23&lt;Projects!$C$4+Projects!$D$4),Projects!$B$4*(1-SUMPRODUCT((Curves!$B$8:$AO$8)*(COLUMN(Curves!$B$8:$AO$8)-COLUMN(Curves!$B$8)+1&lt;=23-Projects!$C$4+1))),0)</f>
        <v>0</v>
      </c>
      <c r="Z8" s="279" t="n">
        <f aca="false">IF(AND(Projects!$G$4="Yes",Projects!$F$4="Yes",24&gt;=Projects!$C$4,24&lt;Projects!$C$4+Projects!$D$4),Projects!$B$4*(1-SUMPRODUCT((Curves!$B$8:$AO$8)*(COLUMN(Curves!$B$8:$AO$8)-COLUMN(Curves!$B$8)+1&lt;=24-Projects!$C$4+1))),0)</f>
        <v>0</v>
      </c>
      <c r="AA8" s="279" t="n">
        <f aca="false">IF(AND(Projects!$G$4="Yes",Projects!$F$4="Yes",25&gt;=Projects!$C$4,25&lt;Projects!$C$4+Projects!$D$4),Projects!$B$4*(1-SUMPRODUCT((Curves!$B$8:$AO$8)*(COLUMN(Curves!$B$8:$AO$8)-COLUMN(Curves!$B$8)+1&lt;=25-Projects!$C$4+1))),0)</f>
        <v>0</v>
      </c>
      <c r="AB8" s="279" t="n">
        <f aca="false">IF(AND(Projects!$G$4="Yes",Projects!$F$4="Yes",26&gt;=Projects!$C$4,26&lt;Projects!$C$4+Projects!$D$4),Projects!$B$4*(1-SUMPRODUCT((Curves!$B$8:$AO$8)*(COLUMN(Curves!$B$8:$AO$8)-COLUMN(Curves!$B$8)+1&lt;=26-Projects!$C$4+1))),0)</f>
        <v>0</v>
      </c>
      <c r="AC8" s="279" t="n">
        <f aca="false">IF(AND(Projects!$G$4="Yes",Projects!$F$4="Yes",27&gt;=Projects!$C$4,27&lt;Projects!$C$4+Projects!$D$4),Projects!$B$4*(1-SUMPRODUCT((Curves!$B$8:$AO$8)*(COLUMN(Curves!$B$8:$AO$8)-COLUMN(Curves!$B$8)+1&lt;=27-Projects!$C$4+1))),0)</f>
        <v>0</v>
      </c>
      <c r="AD8" s="279" t="n">
        <f aca="false">IF(AND(Projects!$G$4="Yes",Projects!$F$4="Yes",28&gt;=Projects!$C$4,28&lt;Projects!$C$4+Projects!$D$4),Projects!$B$4*(1-SUMPRODUCT((Curves!$B$8:$AO$8)*(COLUMN(Curves!$B$8:$AO$8)-COLUMN(Curves!$B$8)+1&lt;=28-Projects!$C$4+1))),0)</f>
        <v>0</v>
      </c>
      <c r="AE8" s="279" t="n">
        <f aca="false">IF(AND(Projects!$G$4="Yes",Projects!$F$4="Yes",29&gt;=Projects!$C$4,29&lt;Projects!$C$4+Projects!$D$4),Projects!$B$4*(1-SUMPRODUCT((Curves!$B$8:$AO$8)*(COLUMN(Curves!$B$8:$AO$8)-COLUMN(Curves!$B$8)+1&lt;=29-Projects!$C$4+1))),0)</f>
        <v>0</v>
      </c>
      <c r="AF8" s="279" t="n">
        <f aca="false">IF(AND(Projects!$G$4="Yes",Projects!$F$4="Yes",30&gt;=Projects!$C$4,30&lt;Projects!$C$4+Projects!$D$4),Projects!$B$4*(1-SUMPRODUCT((Curves!$B$8:$AO$8)*(COLUMN(Curves!$B$8:$AO$8)-COLUMN(Curves!$B$8)+1&lt;=30-Projects!$C$4+1))),0)</f>
        <v>0</v>
      </c>
      <c r="AG8" s="279" t="n">
        <f aca="false">IF(AND(Projects!$G$4="Yes",Projects!$F$4="Yes",31&gt;=Projects!$C$4,31&lt;Projects!$C$4+Projects!$D$4),Projects!$B$4*(1-SUMPRODUCT((Curves!$B$8:$AO$8)*(COLUMN(Curves!$B$8:$AO$8)-COLUMN(Curves!$B$8)+1&lt;=31-Projects!$C$4+1))),0)</f>
        <v>0</v>
      </c>
      <c r="AH8" s="279" t="n">
        <f aca="false">IF(AND(Projects!$G$4="Yes",Projects!$F$4="Yes",32&gt;=Projects!$C$4,32&lt;Projects!$C$4+Projects!$D$4),Projects!$B$4*(1-SUMPRODUCT((Curves!$B$8:$AO$8)*(COLUMN(Curves!$B$8:$AO$8)-COLUMN(Curves!$B$8)+1&lt;=32-Projects!$C$4+1))),0)</f>
        <v>0</v>
      </c>
      <c r="AI8" s="279" t="n">
        <f aca="false">IF(AND(Projects!$G$4="Yes",Projects!$F$4="Yes",33&gt;=Projects!$C$4,33&lt;Projects!$C$4+Projects!$D$4),Projects!$B$4*(1-SUMPRODUCT((Curves!$B$8:$AO$8)*(COLUMN(Curves!$B$8:$AO$8)-COLUMN(Curves!$B$8)+1&lt;=33-Projects!$C$4+1))),0)</f>
        <v>0</v>
      </c>
      <c r="AJ8" s="279" t="n">
        <f aca="false">IF(AND(Projects!$G$4="Yes",Projects!$F$4="Yes",34&gt;=Projects!$C$4,34&lt;Projects!$C$4+Projects!$D$4),Projects!$B$4*(1-SUMPRODUCT((Curves!$B$8:$AO$8)*(COLUMN(Curves!$B$8:$AO$8)-COLUMN(Curves!$B$8)+1&lt;=34-Projects!$C$4+1))),0)</f>
        <v>0</v>
      </c>
      <c r="AK8" s="279" t="n">
        <f aca="false">IF(AND(Projects!$G$4="Yes",Projects!$F$4="Yes",35&gt;=Projects!$C$4,35&lt;Projects!$C$4+Projects!$D$4),Projects!$B$4*(1-SUMPRODUCT((Curves!$B$8:$AO$8)*(COLUMN(Curves!$B$8:$AO$8)-COLUMN(Curves!$B$8)+1&lt;=35-Projects!$C$4+1))),0)</f>
        <v>0</v>
      </c>
      <c r="AL8" s="279" t="n">
        <f aca="false">IF(AND(Projects!$G$4="Yes",Projects!$F$4="Yes",36&gt;=Projects!$C$4,36&lt;Projects!$C$4+Projects!$D$4),Projects!$B$4*(1-SUMPRODUCT((Curves!$B$8:$AO$8)*(COLUMN(Curves!$B$8:$AO$8)-COLUMN(Curves!$B$8)+1&lt;=36-Projects!$C$4+1))),0)</f>
        <v>0</v>
      </c>
      <c r="AM8" s="279" t="n">
        <f aca="false">IF(AND(Projects!$G$4="Yes",Projects!$F$4="Yes",37&gt;=Projects!$C$4,37&lt;Projects!$C$4+Projects!$D$4),Projects!$B$4*(1-SUMPRODUCT((Curves!$B$8:$AO$8)*(COLUMN(Curves!$B$8:$AO$8)-COLUMN(Curves!$B$8)+1&lt;=37-Projects!$C$4+1))),0)</f>
        <v>0</v>
      </c>
      <c r="AN8" s="279" t="n">
        <f aca="false">IF(AND(Projects!$G$4="Yes",Projects!$F$4="Yes",38&gt;=Projects!$C$4,38&lt;Projects!$C$4+Projects!$D$4),Projects!$B$4*(1-SUMPRODUCT((Curves!$B$8:$AO$8)*(COLUMN(Curves!$B$8:$AO$8)-COLUMN(Curves!$B$8)+1&lt;=38-Projects!$C$4+1))),0)</f>
        <v>0</v>
      </c>
      <c r="AO8" s="279" t="n">
        <f aca="false">IF(AND(Projects!$G$4="Yes",Projects!$F$4="Yes",39&gt;=Projects!$C$4,39&lt;Projects!$C$4+Projects!$D$4),Projects!$B$4*(1-SUMPRODUCT((Curves!$B$8:$AO$8)*(COLUMN(Curves!$B$8:$AO$8)-COLUMN(Curves!$B$8)+1&lt;=39-Projects!$C$4+1))),0)</f>
        <v>0</v>
      </c>
      <c r="AP8" s="279" t="n">
        <f aca="false">IF(AND(Projects!$G$4="Yes",Projects!$F$4="Yes",40&gt;=Projects!$C$4,40&lt;Projects!$C$4+Projects!$D$4),Projects!$B$4*(1-SUMPRODUCT((Curves!$B$8:$AO$8)*(COLUMN(Curves!$B$8:$AO$8)-COLUMN(Curves!$B$8)+1&lt;=40-Projects!$C$4+1))),0)</f>
        <v>0</v>
      </c>
      <c r="AQ8" s="279" t="n">
        <f aca="false">IF(AND(Projects!$G$4="Yes",Projects!$F$4="Yes",41&gt;=Projects!$C$4,41&lt;Projects!$C$4+Projects!$D$4),Projects!$B$4*(1-SUMPRODUCT((Curves!$B$8:$AO$8)*(COLUMN(Curves!$B$8:$AO$8)-COLUMN(Curves!$B$8)+1&lt;=41-Projects!$C$4+1))),0)</f>
        <v>0</v>
      </c>
      <c r="AR8" s="279" t="n">
        <f aca="false">IF(AND(Projects!$G$4="Yes",Projects!$F$4="Yes",42&gt;=Projects!$C$4,42&lt;Projects!$C$4+Projects!$D$4),Projects!$B$4*(1-SUMPRODUCT((Curves!$B$8:$AO$8)*(COLUMN(Curves!$B$8:$AO$8)-COLUMN(Curves!$B$8)+1&lt;=42-Projects!$C$4+1))),0)</f>
        <v>0</v>
      </c>
      <c r="AS8" s="279" t="n">
        <f aca="false">IF(AND(Projects!$G$4="Yes",Projects!$F$4="Yes",43&gt;=Projects!$C$4,43&lt;Projects!$C$4+Projects!$D$4),Projects!$B$4*(1-SUMPRODUCT((Curves!$B$8:$AO$8)*(COLUMN(Curves!$B$8:$AO$8)-COLUMN(Curves!$B$8)+1&lt;=43-Projects!$C$4+1))),0)</f>
        <v>0</v>
      </c>
      <c r="AT8" s="279" t="n">
        <f aca="false">IF(AND(Projects!$G$4="Yes",Projects!$F$4="Yes",44&gt;=Projects!$C$4,44&lt;Projects!$C$4+Projects!$D$4),Projects!$B$4*(1-SUMPRODUCT((Curves!$B$8:$AO$8)*(COLUMN(Curves!$B$8:$AO$8)-COLUMN(Curves!$B$8)+1&lt;=44-Projects!$C$4+1))),0)</f>
        <v>0</v>
      </c>
      <c r="AU8" s="279" t="n">
        <f aca="false">IF(AND(Projects!$G$4="Yes",Projects!$F$4="Yes",45&gt;=Projects!$C$4,45&lt;Projects!$C$4+Projects!$D$4),Projects!$B$4*(1-SUMPRODUCT((Curves!$B$8:$AO$8)*(COLUMN(Curves!$B$8:$AO$8)-COLUMN(Curves!$B$8)+1&lt;=45-Projects!$C$4+1))),0)</f>
        <v>0</v>
      </c>
      <c r="AV8" s="279" t="n">
        <f aca="false">IF(AND(Projects!$G$4="Yes",Projects!$F$4="Yes",46&gt;=Projects!$C$4,46&lt;Projects!$C$4+Projects!$D$4),Projects!$B$4*(1-SUMPRODUCT((Curves!$B$8:$AO$8)*(COLUMN(Curves!$B$8:$AO$8)-COLUMN(Curves!$B$8)+1&lt;=46-Projects!$C$4+1))),0)</f>
        <v>0</v>
      </c>
      <c r="AW8" s="279" t="n">
        <f aca="false">IF(AND(Projects!$G$4="Yes",Projects!$F$4="Yes",47&gt;=Projects!$C$4,47&lt;Projects!$C$4+Projects!$D$4),Projects!$B$4*(1-SUMPRODUCT((Curves!$B$8:$AO$8)*(COLUMN(Curves!$B$8:$AO$8)-COLUMN(Curves!$B$8)+1&lt;=47-Projects!$C$4+1))),0)</f>
        <v>0</v>
      </c>
      <c r="AX8" s="279" t="n">
        <f aca="false">IF(AND(Projects!$G$4="Yes",Projects!$F$4="Yes",48&gt;=Projects!$C$4,48&lt;Projects!$C$4+Projects!$D$4),Projects!$B$4*(1-SUMPRODUCT((Curves!$B$8:$AO$8)*(COLUMN(Curves!$B$8:$AO$8)-COLUMN(Curves!$B$8)+1&lt;=48-Projects!$C$4+1))),0)</f>
        <v>0</v>
      </c>
      <c r="AY8" s="279" t="n">
        <f aca="false">IF(AND(Projects!$G$4="Yes",Projects!$F$4="Yes",49&gt;=Projects!$C$4,49&lt;Projects!$C$4+Projects!$D$4),Projects!$B$4*(1-SUMPRODUCT((Curves!$B$8:$AO$8)*(COLUMN(Curves!$B$8:$AO$8)-COLUMN(Curves!$B$8)+1&lt;=49-Projects!$C$4+1))),0)</f>
        <v>0</v>
      </c>
      <c r="AZ8" s="279" t="n">
        <f aca="false">IF(AND(Projects!$G$4="Yes",Projects!$F$4="Yes",50&gt;=Projects!$C$4,50&lt;Projects!$C$4+Projects!$D$4),Projects!$B$4*(1-SUMPRODUCT((Curves!$B$8:$AO$8)*(COLUMN(Curves!$B$8:$AO$8)-COLUMN(Curves!$B$8)+1&lt;=50-Projects!$C$4+1))),0)</f>
        <v>0</v>
      </c>
      <c r="BA8" s="279" t="n">
        <f aca="false">IF(AND(Projects!$G$4="Yes",Projects!$F$4="Yes",51&gt;=Projects!$C$4,51&lt;Projects!$C$4+Projects!$D$4),Projects!$B$4*(1-SUMPRODUCT((Curves!$B$8:$AO$8)*(COLUMN(Curves!$B$8:$AO$8)-COLUMN(Curves!$B$8)+1&lt;=51-Projects!$C$4+1))),0)</f>
        <v>0</v>
      </c>
      <c r="BB8" s="279" t="n">
        <f aca="false">IF(AND(Projects!$G$4="Yes",Projects!$F$4="Yes",52&gt;=Projects!$C$4,52&lt;Projects!$C$4+Projects!$D$4),Projects!$B$4*(1-SUMPRODUCT((Curves!$B$8:$AO$8)*(COLUMN(Curves!$B$8:$AO$8)-COLUMN(Curves!$B$8)+1&lt;=52-Projects!$C$4+1))),0)</f>
        <v>0</v>
      </c>
      <c r="BC8" s="279" t="n">
        <f aca="false">IF(AND(Projects!$G$4="Yes",Projects!$F$4="Yes",53&gt;=Projects!$C$4,53&lt;Projects!$C$4+Projects!$D$4),Projects!$B$4*(1-SUMPRODUCT((Curves!$B$8:$AO$8)*(COLUMN(Curves!$B$8:$AO$8)-COLUMN(Curves!$B$8)+1&lt;=53-Projects!$C$4+1))),0)</f>
        <v>0</v>
      </c>
      <c r="BD8" s="279" t="n">
        <f aca="false">IF(AND(Projects!$G$4="Yes",Projects!$F$4="Yes",54&gt;=Projects!$C$4,54&lt;Projects!$C$4+Projects!$D$4),Projects!$B$4*(1-SUMPRODUCT((Curves!$B$8:$AO$8)*(COLUMN(Curves!$B$8:$AO$8)-COLUMN(Curves!$B$8)+1&lt;=54-Projects!$C$4+1))),0)</f>
        <v>0</v>
      </c>
      <c r="BE8" s="279" t="n">
        <f aca="false">IF(AND(Projects!$G$4="Yes",Projects!$F$4="Yes",55&gt;=Projects!$C$4,55&lt;Projects!$C$4+Projects!$D$4),Projects!$B$4*(1-SUMPRODUCT((Curves!$B$8:$AO$8)*(COLUMN(Curves!$B$8:$AO$8)-COLUMN(Curves!$B$8)+1&lt;=55-Projects!$C$4+1))),0)</f>
        <v>0</v>
      </c>
      <c r="BF8" s="279" t="n">
        <f aca="false">IF(AND(Projects!$G$4="Yes",Projects!$F$4="Yes",56&gt;=Projects!$C$4,56&lt;Projects!$C$4+Projects!$D$4),Projects!$B$4*(1-SUMPRODUCT((Curves!$B$8:$AO$8)*(COLUMN(Curves!$B$8:$AO$8)-COLUMN(Curves!$B$8)+1&lt;=56-Projects!$C$4+1))),0)</f>
        <v>0</v>
      </c>
      <c r="BG8" s="279" t="n">
        <f aca="false">IF(AND(Projects!$G$4="Yes",Projects!$F$4="Yes",57&gt;=Projects!$C$4,57&lt;Projects!$C$4+Projects!$D$4),Projects!$B$4*(1-SUMPRODUCT((Curves!$B$8:$AO$8)*(COLUMN(Curves!$B$8:$AO$8)-COLUMN(Curves!$B$8)+1&lt;=57-Projects!$C$4+1))),0)</f>
        <v>0</v>
      </c>
      <c r="BH8" s="279" t="n">
        <f aca="false">IF(AND(Projects!$G$4="Yes",Projects!$F$4="Yes",58&gt;=Projects!$C$4,58&lt;Projects!$C$4+Projects!$D$4),Projects!$B$4*(1-SUMPRODUCT((Curves!$B$8:$AO$8)*(COLUMN(Curves!$B$8:$AO$8)-COLUMN(Curves!$B$8)+1&lt;=58-Projects!$C$4+1))),0)</f>
        <v>0</v>
      </c>
      <c r="BI8" s="279" t="n">
        <f aca="false">IF(AND(Projects!$G$4="Yes",Projects!$F$4="Yes",59&gt;=Projects!$C$4,59&lt;Projects!$C$4+Projects!$D$4),Projects!$B$4*(1-SUMPRODUCT((Curves!$B$8:$AO$8)*(COLUMN(Curves!$B$8:$AO$8)-COLUMN(Curves!$B$8)+1&lt;=59-Projects!$C$4+1))),0)</f>
        <v>0</v>
      </c>
      <c r="BJ8" s="279" t="n">
        <f aca="false">IF(AND(Projects!$G$4="Yes",Projects!$F$4="Yes",60&gt;=Projects!$C$4,60&lt;Projects!$C$4+Projects!$D$4),Projects!$B$4*(1-SUMPRODUCT((Curves!$B$8:$AO$8)*(COLUMN(Curves!$B$8:$AO$8)-COLUMN(Curves!$B$8)+1&lt;=60-Projects!$C$4+1))),0)</f>
        <v>0</v>
      </c>
      <c r="BK8" s="279" t="n">
        <f aca="false">IF(AND(Projects!$G$4="Yes",Projects!$F$4="Yes",61&gt;=Projects!$C$4,61&lt;Projects!$C$4+Projects!$D$4),Projects!$B$4*(1-SUMPRODUCT((Curves!$B$8:$AO$8)*(COLUMN(Curves!$B$8:$AO$8)-COLUMN(Curves!$B$8)+1&lt;=61-Projects!$C$4+1))),0)</f>
        <v>0</v>
      </c>
      <c r="BL8" s="279" t="n">
        <f aca="false">IF(AND(Projects!$G$4="Yes",Projects!$F$4="Yes",62&gt;=Projects!$C$4,62&lt;Projects!$C$4+Projects!$D$4),Projects!$B$4*(1-SUMPRODUCT((Curves!$B$8:$AO$8)*(COLUMN(Curves!$B$8:$AO$8)-COLUMN(Curves!$B$8)+1&lt;=62-Projects!$C$4+1))),0)</f>
        <v>0</v>
      </c>
      <c r="BM8" s="279" t="n">
        <f aca="false">IF(AND(Projects!$G$4="Yes",Projects!$F$4="Yes",63&gt;=Projects!$C$4,63&lt;Projects!$C$4+Projects!$D$4),Projects!$B$4*(1-SUMPRODUCT((Curves!$B$8:$AO$8)*(COLUMN(Curves!$B$8:$AO$8)-COLUMN(Curves!$B$8)+1&lt;=63-Projects!$C$4+1))),0)</f>
        <v>0</v>
      </c>
      <c r="BN8" s="279" t="n">
        <f aca="false">IF(AND(Projects!$G$4="Yes",Projects!$F$4="Yes",64&gt;=Projects!$C$4,64&lt;Projects!$C$4+Projects!$D$4),Projects!$B$4*(1-SUMPRODUCT((Curves!$B$8:$AO$8)*(COLUMN(Curves!$B$8:$AO$8)-COLUMN(Curves!$B$8)+1&lt;=64-Projects!$C$4+1))),0)</f>
        <v>0</v>
      </c>
      <c r="BO8" s="279" t="n">
        <f aca="false">IF(AND(Projects!$G$4="Yes",Projects!$F$4="Yes",65&gt;=Projects!$C$4,65&lt;Projects!$C$4+Projects!$D$4),Projects!$B$4*(1-SUMPRODUCT((Curves!$B$8:$AO$8)*(COLUMN(Curves!$B$8:$AO$8)-COLUMN(Curves!$B$8)+1&lt;=65-Projects!$C$4+1))),0)</f>
        <v>0</v>
      </c>
      <c r="BP8" s="279" t="n">
        <f aca="false">IF(AND(Projects!$G$4="Yes",Projects!$F$4="Yes",66&gt;=Projects!$C$4,66&lt;Projects!$C$4+Projects!$D$4),Projects!$B$4*(1-SUMPRODUCT((Curves!$B$8:$AO$8)*(COLUMN(Curves!$B$8:$AO$8)-COLUMN(Curves!$B$8)+1&lt;=66-Projects!$C$4+1))),0)</f>
        <v>0</v>
      </c>
      <c r="BQ8" s="279" t="n">
        <f aca="false">IF(AND(Projects!$G$4="Yes",Projects!$F$4="Yes",67&gt;=Projects!$C$4,67&lt;Projects!$C$4+Projects!$D$4),Projects!$B$4*(1-SUMPRODUCT((Curves!$B$8:$AO$8)*(COLUMN(Curves!$B$8:$AO$8)-COLUMN(Curves!$B$8)+1&lt;=67-Projects!$C$4+1))),0)</f>
        <v>0</v>
      </c>
      <c r="BR8" s="279" t="n">
        <f aca="false">IF(AND(Projects!$G$4="Yes",Projects!$F$4="Yes",68&gt;=Projects!$C$4,68&lt;Projects!$C$4+Projects!$D$4),Projects!$B$4*(1-SUMPRODUCT((Curves!$B$8:$AO$8)*(COLUMN(Curves!$B$8:$AO$8)-COLUMN(Curves!$B$8)+1&lt;=68-Projects!$C$4+1))),0)</f>
        <v>0</v>
      </c>
      <c r="BS8" s="279" t="n">
        <f aca="false">IF(AND(Projects!$G$4="Yes",Projects!$F$4="Yes",69&gt;=Projects!$C$4,69&lt;Projects!$C$4+Projects!$D$4),Projects!$B$4*(1-SUMPRODUCT((Curves!$B$8:$AO$8)*(COLUMN(Curves!$B$8:$AO$8)-COLUMN(Curves!$B$8)+1&lt;=69-Projects!$C$4+1))),0)</f>
        <v>0</v>
      </c>
      <c r="BT8" s="279" t="n">
        <f aca="false">IF(AND(Projects!$G$4="Yes",Projects!$F$4="Yes",70&gt;=Projects!$C$4,70&lt;Projects!$C$4+Projects!$D$4),Projects!$B$4*(1-SUMPRODUCT((Curves!$B$8:$AO$8)*(COLUMN(Curves!$B$8:$AO$8)-COLUMN(Curves!$B$8)+1&lt;=70-Projects!$C$4+1))),0)</f>
        <v>0</v>
      </c>
      <c r="BU8" s="279" t="n">
        <f aca="false">IF(AND(Projects!$G$4="Yes",Projects!$F$4="Yes",71&gt;=Projects!$C$4,71&lt;Projects!$C$4+Projects!$D$4),Projects!$B$4*(1-SUMPRODUCT((Curves!$B$8:$AO$8)*(COLUMN(Curves!$B$8:$AO$8)-COLUMN(Curves!$B$8)+1&lt;=71-Projects!$C$4+1))),0)</f>
        <v>0</v>
      </c>
      <c r="BV8" s="279" t="n">
        <f aca="false">IF(AND(Projects!$G$4="Yes",Projects!$F$4="Yes",72&gt;=Projects!$C$4,72&lt;Projects!$C$4+Projects!$D$4),Projects!$B$4*(1-SUMPRODUCT((Curves!$B$8:$AO$8)*(COLUMN(Curves!$B$8:$AO$8)-COLUMN(Curves!$B$8)+1&lt;=72-Projects!$C$4+1))),0)</f>
        <v>0</v>
      </c>
      <c r="BW8" s="279" t="n">
        <f aca="false">IF(AND(Projects!$G$4="Yes",Projects!$F$4="Yes",73&gt;=Projects!$C$4,73&lt;Projects!$C$4+Projects!$D$4),Projects!$B$4*(1-SUMPRODUCT((Curves!$B$8:$AO$8)*(COLUMN(Curves!$B$8:$AO$8)-COLUMN(Curves!$B$8)+1&lt;=73-Projects!$C$4+1))),0)</f>
        <v>0</v>
      </c>
      <c r="BX8" s="279" t="n">
        <f aca="false">IF(AND(Projects!$G$4="Yes",Projects!$F$4="Yes",74&gt;=Projects!$C$4,74&lt;Projects!$C$4+Projects!$D$4),Projects!$B$4*(1-SUMPRODUCT((Curves!$B$8:$AO$8)*(COLUMN(Curves!$B$8:$AO$8)-COLUMN(Curves!$B$8)+1&lt;=74-Projects!$C$4+1))),0)</f>
        <v>0</v>
      </c>
      <c r="BY8" s="279" t="n">
        <f aca="false">IF(AND(Projects!$G$4="Yes",Projects!$F$4="Yes",75&gt;=Projects!$C$4,75&lt;Projects!$C$4+Projects!$D$4),Projects!$B$4*(1-SUMPRODUCT((Curves!$B$8:$AO$8)*(COLUMN(Curves!$B$8:$AO$8)-COLUMN(Curves!$B$8)+1&lt;=75-Projects!$C$4+1))),0)</f>
        <v>0</v>
      </c>
      <c r="BZ8" s="279" t="n">
        <f aca="false">IF(AND(Projects!$G$4="Yes",Projects!$F$4="Yes",76&gt;=Projects!$C$4,76&lt;Projects!$C$4+Projects!$D$4),Projects!$B$4*(1-SUMPRODUCT((Curves!$B$8:$AO$8)*(COLUMN(Curves!$B$8:$AO$8)-COLUMN(Curves!$B$8)+1&lt;=76-Projects!$C$4+1))),0)</f>
        <v>0</v>
      </c>
      <c r="CA8" s="279" t="n">
        <f aca="false">IF(AND(Projects!$G$4="Yes",Projects!$F$4="Yes",77&gt;=Projects!$C$4,77&lt;Projects!$C$4+Projects!$D$4),Projects!$B$4*(1-SUMPRODUCT((Curves!$B$8:$AO$8)*(COLUMN(Curves!$B$8:$AO$8)-COLUMN(Curves!$B$8)+1&lt;=77-Projects!$C$4+1))),0)</f>
        <v>0</v>
      </c>
      <c r="CB8" s="279" t="n">
        <f aca="false">IF(AND(Projects!$G$4="Yes",Projects!$F$4="Yes",78&gt;=Projects!$C$4,78&lt;Projects!$C$4+Projects!$D$4),Projects!$B$4*(1-SUMPRODUCT((Curves!$B$8:$AO$8)*(COLUMN(Curves!$B$8:$AO$8)-COLUMN(Curves!$B$8)+1&lt;=78-Projects!$C$4+1))),0)</f>
        <v>0</v>
      </c>
      <c r="CC8" s="279" t="n">
        <f aca="false">IF(AND(Projects!$G$4="Yes",Projects!$F$4="Yes",79&gt;=Projects!$C$4,79&lt;Projects!$C$4+Projects!$D$4),Projects!$B$4*(1-SUMPRODUCT((Curves!$B$8:$AO$8)*(COLUMN(Curves!$B$8:$AO$8)-COLUMN(Curves!$B$8)+1&lt;=79-Projects!$C$4+1))),0)</f>
        <v>0</v>
      </c>
      <c r="CD8" s="279" t="n">
        <f aca="false">IF(AND(Projects!$G$4="Yes",Projects!$F$4="Yes",80&gt;=Projects!$C$4,80&lt;Projects!$C$4+Projects!$D$4),Projects!$B$4*(1-SUMPRODUCT((Curves!$B$8:$AO$8)*(COLUMN(Curves!$B$8:$AO$8)-COLUMN(Curves!$B$8)+1&lt;=80-Projects!$C$4+1))),0)</f>
        <v>0</v>
      </c>
      <c r="CE8" s="279" t="n">
        <f aca="false">IF(AND(Projects!$G$4="Yes",Projects!$F$4="Yes",81&gt;=Projects!$C$4,81&lt;Projects!$C$4+Projects!$D$4),Projects!$B$4*(1-SUMPRODUCT((Curves!$B$8:$AO$8)*(COLUMN(Curves!$B$8:$AO$8)-COLUMN(Curves!$B$8)+1&lt;=81-Projects!$C$4+1))),0)</f>
        <v>0</v>
      </c>
      <c r="CF8" s="279" t="n">
        <f aca="false">IF(AND(Projects!$G$4="Yes",Projects!$F$4="Yes",82&gt;=Projects!$C$4,82&lt;Projects!$C$4+Projects!$D$4),Projects!$B$4*(1-SUMPRODUCT((Curves!$B$8:$AO$8)*(COLUMN(Curves!$B$8:$AO$8)-COLUMN(Curves!$B$8)+1&lt;=82-Projects!$C$4+1))),0)</f>
        <v>0</v>
      </c>
      <c r="CG8" s="279" t="n">
        <f aca="false">IF(AND(Projects!$G$4="Yes",Projects!$F$4="Yes",83&gt;=Projects!$C$4,83&lt;Projects!$C$4+Projects!$D$4),Projects!$B$4*(1-SUMPRODUCT((Curves!$B$8:$AO$8)*(COLUMN(Curves!$B$8:$AO$8)-COLUMN(Curves!$B$8)+1&lt;=83-Projects!$C$4+1))),0)</f>
        <v>0</v>
      </c>
      <c r="CH8" s="279" t="n">
        <f aca="false">IF(AND(Projects!$G$4="Yes",Projects!$F$4="Yes",84&gt;=Projects!$C$4,84&lt;Projects!$C$4+Projects!$D$4),Projects!$B$4*(1-SUMPRODUCT((Curves!$B$8:$AO$8)*(COLUMN(Curves!$B$8:$AO$8)-COLUMN(Curves!$B$8)+1&lt;=84-Projects!$C$4+1))),0)</f>
        <v>0</v>
      </c>
      <c r="CI8" s="279" t="n">
        <f aca="false">IF(AND(Projects!$G$4="Yes",Projects!$F$4="Yes",85&gt;=Projects!$C$4,85&lt;Projects!$C$4+Projects!$D$4),Projects!$B$4*(1-SUMPRODUCT((Curves!$B$8:$AO$8)*(COLUMN(Curves!$B$8:$AO$8)-COLUMN(Curves!$B$8)+1&lt;=85-Projects!$C$4+1))),0)</f>
        <v>0</v>
      </c>
      <c r="CJ8" s="279" t="n">
        <f aca="false">IF(AND(Projects!$G$4="Yes",Projects!$F$4="Yes",86&gt;=Projects!$C$4,86&lt;Projects!$C$4+Projects!$D$4),Projects!$B$4*(1-SUMPRODUCT((Curves!$B$8:$AO$8)*(COLUMN(Curves!$B$8:$AO$8)-COLUMN(Curves!$B$8)+1&lt;=86-Projects!$C$4+1))),0)</f>
        <v>0</v>
      </c>
      <c r="CK8" s="279" t="n">
        <f aca="false">IF(AND(Projects!$G$4="Yes",Projects!$F$4="Yes",87&gt;=Projects!$C$4,87&lt;Projects!$C$4+Projects!$D$4),Projects!$B$4*(1-SUMPRODUCT((Curves!$B$8:$AO$8)*(COLUMN(Curves!$B$8:$AO$8)-COLUMN(Curves!$B$8)+1&lt;=87-Projects!$C$4+1))),0)</f>
        <v>0</v>
      </c>
      <c r="CL8" s="279" t="n">
        <f aca="false">IF(AND(Projects!$G$4="Yes",Projects!$F$4="Yes",88&gt;=Projects!$C$4,88&lt;Projects!$C$4+Projects!$D$4),Projects!$B$4*(1-SUMPRODUCT((Curves!$B$8:$AO$8)*(COLUMN(Curves!$B$8:$AO$8)-COLUMN(Curves!$B$8)+1&lt;=88-Projects!$C$4+1))),0)</f>
        <v>0</v>
      </c>
      <c r="CM8" s="279" t="n">
        <f aca="false">IF(AND(Projects!$G$4="Yes",Projects!$F$4="Yes",89&gt;=Projects!$C$4,89&lt;Projects!$C$4+Projects!$D$4),Projects!$B$4*(1-SUMPRODUCT((Curves!$B$8:$AO$8)*(COLUMN(Curves!$B$8:$AO$8)-COLUMN(Curves!$B$8)+1&lt;=89-Projects!$C$4+1))),0)</f>
        <v>0</v>
      </c>
      <c r="CN8" s="279" t="n">
        <f aca="false">IF(AND(Projects!$G$4="Yes",Projects!$F$4="Yes",90&gt;=Projects!$C$4,90&lt;Projects!$C$4+Projects!$D$4),Projects!$B$4*(1-SUMPRODUCT((Curves!$B$8:$AO$8)*(COLUMN(Curves!$B$8:$AO$8)-COLUMN(Curves!$B$8)+1&lt;=90-Projects!$C$4+1))),0)</f>
        <v>0</v>
      </c>
      <c r="CO8" s="279" t="n">
        <f aca="false">IF(AND(Projects!$G$4="Yes",Projects!$F$4="Yes",91&gt;=Projects!$C$4,91&lt;Projects!$C$4+Projects!$D$4),Projects!$B$4*(1-SUMPRODUCT((Curves!$B$8:$AO$8)*(COLUMN(Curves!$B$8:$AO$8)-COLUMN(Curves!$B$8)+1&lt;=91-Projects!$C$4+1))),0)</f>
        <v>0</v>
      </c>
      <c r="CP8" s="279" t="n">
        <f aca="false">IF(AND(Projects!$G$4="Yes",Projects!$F$4="Yes",92&gt;=Projects!$C$4,92&lt;Projects!$C$4+Projects!$D$4),Projects!$B$4*(1-SUMPRODUCT((Curves!$B$8:$AO$8)*(COLUMN(Curves!$B$8:$AO$8)-COLUMN(Curves!$B$8)+1&lt;=92-Projects!$C$4+1))),0)</f>
        <v>0</v>
      </c>
      <c r="CQ8" s="279" t="n">
        <f aca="false">IF(AND(Projects!$G$4="Yes",Projects!$F$4="Yes",93&gt;=Projects!$C$4,93&lt;Projects!$C$4+Projects!$D$4),Projects!$B$4*(1-SUMPRODUCT((Curves!$B$8:$AO$8)*(COLUMN(Curves!$B$8:$AO$8)-COLUMN(Curves!$B$8)+1&lt;=93-Projects!$C$4+1))),0)</f>
        <v>0</v>
      </c>
    </row>
    <row r="9" customFormat="false" ht="15" hidden="false" customHeight="true" outlineLevel="0" collapsed="false">
      <c r="A9" s="175" t="s">
        <v>10</v>
      </c>
      <c r="C9" s="279" t="n">
        <f aca="false">IF(AND(Projects!$G$5="Yes",Projects!$F$5="Yes",1&gt;=Projects!$C$5,1&lt;Projects!$C$5+Projects!$D$5),Projects!$B$5*(1-SUMPRODUCT((Curves!$B$9:$AO$9)*(COLUMN(Curves!$B$9:$AO$9)-COLUMN(Curves!$B$9)+1&lt;=1-Projects!$C$5+1))),0)</f>
        <v>13529664.5561914</v>
      </c>
      <c r="D9" s="279" t="n">
        <f aca="false">IF(AND(Projects!$G$5="Yes",Projects!$F$5="Yes",2&gt;=Projects!$C$5,2&lt;Projects!$C$5+Projects!$D$5),Projects!$B$5*(1-SUMPRODUCT((Curves!$B$9:$AO$9)*(COLUMN(Curves!$B$9:$AO$9)-COLUMN(Curves!$B$9)+1&lt;=2-Projects!$C$5+1))),0)</f>
        <v>12525045.4849303</v>
      </c>
      <c r="E9" s="279" t="n">
        <f aca="false">IF(AND(Projects!$G$5="Yes",Projects!$F$5="Yes",3&gt;=Projects!$C$5,3&lt;Projects!$C$5+Projects!$D$5),Projects!$B$5*(1-SUMPRODUCT((Curves!$B$9:$AO$9)*(COLUMN(Curves!$B$9:$AO$9)-COLUMN(Curves!$B$9)+1&lt;=3-Projects!$C$5+1))),0)</f>
        <v>11429031.4291109</v>
      </c>
      <c r="F9" s="279" t="n">
        <f aca="false">IF(AND(Projects!$G$5="Yes",Projects!$F$5="Yes",4&gt;=Projects!$C$5,4&lt;Projects!$C$5+Projects!$D$5),Projects!$B$5*(1-SUMPRODUCT((Curves!$B$9:$AO$9)*(COLUMN(Curves!$B$9:$AO$9)-COLUMN(Curves!$B$9)+1&lt;=4-Projects!$C$5+1))),0)</f>
        <v>10262686.274371</v>
      </c>
      <c r="G9" s="279" t="n">
        <f aca="false">IF(AND(Projects!$G$5="Yes",Projects!$F$5="Yes",5&gt;=Projects!$C$5,5&lt;Projects!$C$5+Projects!$D$5),Projects!$B$5*(1-SUMPRODUCT((Curves!$B$9:$AO$9)*(COLUMN(Curves!$B$9:$AO$9)-COLUMN(Curves!$B$9)+1&lt;=5-Projects!$C$5+1))),0)</f>
        <v>9051985.43737453</v>
      </c>
      <c r="H9" s="279" t="n">
        <f aca="false">IF(AND(Projects!$G$5="Yes",Projects!$F$5="Yes",6&gt;=Projects!$C$5,6&lt;Projects!$C$5+Projects!$D$5),Projects!$B$5*(1-SUMPRODUCT((Curves!$B$9:$AO$9)*(COLUMN(Curves!$B$9:$AO$9)-COLUMN(Curves!$B$9)+1&lt;=6-Projects!$C$5+1))),0)</f>
        <v>7826128.05446242</v>
      </c>
      <c r="I9" s="279" t="n">
        <f aca="false">IF(AND(Projects!$G$5="Yes",Projects!$F$5="Yes",7&gt;=Projects!$C$5,7&lt;Projects!$C$5+Projects!$D$5),Projects!$B$5*(1-SUMPRODUCT((Curves!$B$9:$AO$9)*(COLUMN(Curves!$B$9:$AO$9)-COLUMN(Curves!$B$9)+1&lt;=7-Projects!$C$5+1))),0)</f>
        <v>6615427.21746597</v>
      </c>
      <c r="J9" s="279" t="n">
        <f aca="false">IF(AND(Projects!$G$5="Yes",Projects!$F$5="Yes",8&gt;=Projects!$C$5,8&lt;Projects!$C$5+Projects!$D$5),Projects!$B$5*(1-SUMPRODUCT((Curves!$B$9:$AO$9)*(COLUMN(Curves!$B$9:$AO$9)-COLUMN(Curves!$B$9)+1&lt;=8-Projects!$C$5+1))),0)</f>
        <v>5449082.06272607</v>
      </c>
      <c r="K9" s="279" t="n">
        <f aca="false">IF(AND(Projects!$G$5="Yes",Projects!$F$5="Yes",9&gt;=Projects!$C$5,9&lt;Projects!$C$5+Projects!$D$5),Projects!$B$5*(1-SUMPRODUCT((Curves!$B$9:$AO$9)*(COLUMN(Curves!$B$9:$AO$9)-COLUMN(Curves!$B$9)+1&lt;=9-Projects!$C$5+1))),0)</f>
        <v>4353068.00690665</v>
      </c>
      <c r="L9" s="279" t="n">
        <f aca="false">IF(AND(Projects!$G$5="Yes",Projects!$F$5="Yes",10&gt;=Projects!$C$5,10&lt;Projects!$C$5+Projects!$D$5),Projects!$B$5*(1-SUMPRODUCT((Curves!$B$9:$AO$9)*(COLUMN(Curves!$B$9:$AO$9)-COLUMN(Curves!$B$9)+1&lt;=10-Projects!$C$5+1))),0)</f>
        <v>3348448.93564553</v>
      </c>
      <c r="M9" s="279" t="n">
        <f aca="false">IF(AND(Projects!$G$5="Yes",Projects!$F$5="Yes",11&gt;=Projects!$C$5,11&lt;Projects!$C$5+Projects!$D$5),Projects!$B$5*(1-SUMPRODUCT((Curves!$B$9:$AO$9)*(COLUMN(Curves!$B$9:$AO$9)-COLUMN(Curves!$B$9)+1&lt;=11-Projects!$C$5+1))),0)</f>
        <v>2450229.49183695</v>
      </c>
      <c r="N9" s="279" t="n">
        <f aca="false">IF(AND(Projects!$G$5="Yes",Projects!$F$5="Yes",12&gt;=Projects!$C$5,12&lt;Projects!$C$5+Projects!$D$5),Projects!$B$5*(1-SUMPRODUCT((Curves!$B$9:$AO$9)*(COLUMN(Curves!$B$9:$AO$9)-COLUMN(Curves!$B$9)+1&lt;=12-Projects!$C$5+1))),0)</f>
        <v>1666882.48845382</v>
      </c>
      <c r="O9" s="279" t="n">
        <f aca="false">IF(AND(Projects!$G$5="Yes",Projects!$F$5="Yes",13&gt;=Projects!$C$5,13&lt;Projects!$C$5+Projects!$D$5),Projects!$B$5*(1-SUMPRODUCT((Curves!$B$9:$AO$9)*(COLUMN(Curves!$B$9:$AO$9)-COLUMN(Curves!$B$9)+1&lt;=13-Projects!$C$5+1))),0)</f>
        <v>1000500.81156911</v>
      </c>
      <c r="P9" s="279" t="n">
        <f aca="false">IF(AND(Projects!$G$5="Yes",Projects!$F$5="Yes",14&gt;=Projects!$C$5,14&lt;Projects!$C$5+Projects!$D$5),Projects!$B$5*(1-SUMPRODUCT((Curves!$B$9:$AO$9)*(COLUMN(Curves!$B$9:$AO$9)-COLUMN(Curves!$B$9)+1&lt;=14-Projects!$C$5+1))),0)</f>
        <v>447556.935463038</v>
      </c>
      <c r="Q9" s="279" t="n">
        <f aca="false">IF(AND(Projects!$G$5="Yes",Projects!$F$5="Yes",15&gt;=Projects!$C$5,15&lt;Projects!$C$5+Projects!$D$5),Projects!$B$5*(1-SUMPRODUCT((Curves!$B$9:$AO$9)*(COLUMN(Curves!$B$9:$AO$9)-COLUMN(Curves!$B$9)+1&lt;=15-Projects!$C$5+1))),0)</f>
        <v>0</v>
      </c>
      <c r="R9" s="279" t="n">
        <f aca="false">IF(AND(Projects!$G$5="Yes",Projects!$F$5="Yes",16&gt;=Projects!$C$5,16&lt;Projects!$C$5+Projects!$D$5),Projects!$B$5*(1-SUMPRODUCT((Curves!$B$9:$AO$9)*(COLUMN(Curves!$B$9:$AO$9)-COLUMN(Curves!$B$9)+1&lt;=16-Projects!$C$5+1))),0)</f>
        <v>0</v>
      </c>
      <c r="S9" s="279" t="n">
        <f aca="false">IF(AND(Projects!$G$5="Yes",Projects!$F$5="Yes",17&gt;=Projects!$C$5,17&lt;Projects!$C$5+Projects!$D$5),Projects!$B$5*(1-SUMPRODUCT((Curves!$B$9:$AO$9)*(COLUMN(Curves!$B$9:$AO$9)-COLUMN(Curves!$B$9)+1&lt;=17-Projects!$C$5+1))),0)</f>
        <v>0</v>
      </c>
      <c r="T9" s="279" t="n">
        <f aca="false">IF(AND(Projects!$G$5="Yes",Projects!$F$5="Yes",18&gt;=Projects!$C$5,18&lt;Projects!$C$5+Projects!$D$5),Projects!$B$5*(1-SUMPRODUCT((Curves!$B$9:$AO$9)*(COLUMN(Curves!$B$9:$AO$9)-COLUMN(Curves!$B$9)+1&lt;=18-Projects!$C$5+1))),0)</f>
        <v>0</v>
      </c>
      <c r="U9" s="279" t="n">
        <f aca="false">IF(AND(Projects!$G$5="Yes",Projects!$F$5="Yes",19&gt;=Projects!$C$5,19&lt;Projects!$C$5+Projects!$D$5),Projects!$B$5*(1-SUMPRODUCT((Curves!$B$9:$AO$9)*(COLUMN(Curves!$B$9:$AO$9)-COLUMN(Curves!$B$9)+1&lt;=19-Projects!$C$5+1))),0)</f>
        <v>0</v>
      </c>
      <c r="V9" s="279" t="n">
        <f aca="false">IF(AND(Projects!$G$5="Yes",Projects!$F$5="Yes",20&gt;=Projects!$C$5,20&lt;Projects!$C$5+Projects!$D$5),Projects!$B$5*(1-SUMPRODUCT((Curves!$B$9:$AO$9)*(COLUMN(Curves!$B$9:$AO$9)-COLUMN(Curves!$B$9)+1&lt;=20-Projects!$C$5+1))),0)</f>
        <v>0</v>
      </c>
      <c r="W9" s="279" t="n">
        <f aca="false">IF(AND(Projects!$G$5="Yes",Projects!$F$5="Yes",21&gt;=Projects!$C$5,21&lt;Projects!$C$5+Projects!$D$5),Projects!$B$5*(1-SUMPRODUCT((Curves!$B$9:$AO$9)*(COLUMN(Curves!$B$9:$AO$9)-COLUMN(Curves!$B$9)+1&lt;=21-Projects!$C$5+1))),0)</f>
        <v>0</v>
      </c>
      <c r="X9" s="279" t="n">
        <f aca="false">IF(AND(Projects!$G$5="Yes",Projects!$F$5="Yes",22&gt;=Projects!$C$5,22&lt;Projects!$C$5+Projects!$D$5),Projects!$B$5*(1-SUMPRODUCT((Curves!$B$9:$AO$9)*(COLUMN(Curves!$B$9:$AO$9)-COLUMN(Curves!$B$9)+1&lt;=22-Projects!$C$5+1))),0)</f>
        <v>0</v>
      </c>
      <c r="Y9" s="279" t="n">
        <f aca="false">IF(AND(Projects!$G$5="Yes",Projects!$F$5="Yes",23&gt;=Projects!$C$5,23&lt;Projects!$C$5+Projects!$D$5),Projects!$B$5*(1-SUMPRODUCT((Curves!$B$9:$AO$9)*(COLUMN(Curves!$B$9:$AO$9)-COLUMN(Curves!$B$9)+1&lt;=23-Projects!$C$5+1))),0)</f>
        <v>0</v>
      </c>
      <c r="Z9" s="279" t="n">
        <f aca="false">IF(AND(Projects!$G$5="Yes",Projects!$F$5="Yes",24&gt;=Projects!$C$5,24&lt;Projects!$C$5+Projects!$D$5),Projects!$B$5*(1-SUMPRODUCT((Curves!$B$9:$AO$9)*(COLUMN(Curves!$B$9:$AO$9)-COLUMN(Curves!$B$9)+1&lt;=24-Projects!$C$5+1))),0)</f>
        <v>0</v>
      </c>
      <c r="AA9" s="279" t="n">
        <f aca="false">IF(AND(Projects!$G$5="Yes",Projects!$F$5="Yes",25&gt;=Projects!$C$5,25&lt;Projects!$C$5+Projects!$D$5),Projects!$B$5*(1-SUMPRODUCT((Curves!$B$9:$AO$9)*(COLUMN(Curves!$B$9:$AO$9)-COLUMN(Curves!$B$9)+1&lt;=25-Projects!$C$5+1))),0)</f>
        <v>0</v>
      </c>
      <c r="AB9" s="279" t="n">
        <f aca="false">IF(AND(Projects!$G$5="Yes",Projects!$F$5="Yes",26&gt;=Projects!$C$5,26&lt;Projects!$C$5+Projects!$D$5),Projects!$B$5*(1-SUMPRODUCT((Curves!$B$9:$AO$9)*(COLUMN(Curves!$B$9:$AO$9)-COLUMN(Curves!$B$9)+1&lt;=26-Projects!$C$5+1))),0)</f>
        <v>0</v>
      </c>
      <c r="AC9" s="279" t="n">
        <f aca="false">IF(AND(Projects!$G$5="Yes",Projects!$F$5="Yes",27&gt;=Projects!$C$5,27&lt;Projects!$C$5+Projects!$D$5),Projects!$B$5*(1-SUMPRODUCT((Curves!$B$9:$AO$9)*(COLUMN(Curves!$B$9:$AO$9)-COLUMN(Curves!$B$9)+1&lt;=27-Projects!$C$5+1))),0)</f>
        <v>0</v>
      </c>
      <c r="AD9" s="279" t="n">
        <f aca="false">IF(AND(Projects!$G$5="Yes",Projects!$F$5="Yes",28&gt;=Projects!$C$5,28&lt;Projects!$C$5+Projects!$D$5),Projects!$B$5*(1-SUMPRODUCT((Curves!$B$9:$AO$9)*(COLUMN(Curves!$B$9:$AO$9)-COLUMN(Curves!$B$9)+1&lt;=28-Projects!$C$5+1))),0)</f>
        <v>0</v>
      </c>
      <c r="AE9" s="279" t="n">
        <f aca="false">IF(AND(Projects!$G$5="Yes",Projects!$F$5="Yes",29&gt;=Projects!$C$5,29&lt;Projects!$C$5+Projects!$D$5),Projects!$B$5*(1-SUMPRODUCT((Curves!$B$9:$AO$9)*(COLUMN(Curves!$B$9:$AO$9)-COLUMN(Curves!$B$9)+1&lt;=29-Projects!$C$5+1))),0)</f>
        <v>0</v>
      </c>
      <c r="AF9" s="279" t="n">
        <f aca="false">IF(AND(Projects!$G$5="Yes",Projects!$F$5="Yes",30&gt;=Projects!$C$5,30&lt;Projects!$C$5+Projects!$D$5),Projects!$B$5*(1-SUMPRODUCT((Curves!$B$9:$AO$9)*(COLUMN(Curves!$B$9:$AO$9)-COLUMN(Curves!$B$9)+1&lt;=30-Projects!$C$5+1))),0)</f>
        <v>0</v>
      </c>
      <c r="AG9" s="279" t="n">
        <f aca="false">IF(AND(Projects!$G$5="Yes",Projects!$F$5="Yes",31&gt;=Projects!$C$5,31&lt;Projects!$C$5+Projects!$D$5),Projects!$B$5*(1-SUMPRODUCT((Curves!$B$9:$AO$9)*(COLUMN(Curves!$B$9:$AO$9)-COLUMN(Curves!$B$9)+1&lt;=31-Projects!$C$5+1))),0)</f>
        <v>0</v>
      </c>
      <c r="AH9" s="279" t="n">
        <f aca="false">IF(AND(Projects!$G$5="Yes",Projects!$F$5="Yes",32&gt;=Projects!$C$5,32&lt;Projects!$C$5+Projects!$D$5),Projects!$B$5*(1-SUMPRODUCT((Curves!$B$9:$AO$9)*(COLUMN(Curves!$B$9:$AO$9)-COLUMN(Curves!$B$9)+1&lt;=32-Projects!$C$5+1))),0)</f>
        <v>0</v>
      </c>
      <c r="AI9" s="279" t="n">
        <f aca="false">IF(AND(Projects!$G$5="Yes",Projects!$F$5="Yes",33&gt;=Projects!$C$5,33&lt;Projects!$C$5+Projects!$D$5),Projects!$B$5*(1-SUMPRODUCT((Curves!$B$9:$AO$9)*(COLUMN(Curves!$B$9:$AO$9)-COLUMN(Curves!$B$9)+1&lt;=33-Projects!$C$5+1))),0)</f>
        <v>0</v>
      </c>
      <c r="AJ9" s="279" t="n">
        <f aca="false">IF(AND(Projects!$G$5="Yes",Projects!$F$5="Yes",34&gt;=Projects!$C$5,34&lt;Projects!$C$5+Projects!$D$5),Projects!$B$5*(1-SUMPRODUCT((Curves!$B$9:$AO$9)*(COLUMN(Curves!$B$9:$AO$9)-COLUMN(Curves!$B$9)+1&lt;=34-Projects!$C$5+1))),0)</f>
        <v>0</v>
      </c>
      <c r="AK9" s="279" t="n">
        <f aca="false">IF(AND(Projects!$G$5="Yes",Projects!$F$5="Yes",35&gt;=Projects!$C$5,35&lt;Projects!$C$5+Projects!$D$5),Projects!$B$5*(1-SUMPRODUCT((Curves!$B$9:$AO$9)*(COLUMN(Curves!$B$9:$AO$9)-COLUMN(Curves!$B$9)+1&lt;=35-Projects!$C$5+1))),0)</f>
        <v>0</v>
      </c>
      <c r="AL9" s="279" t="n">
        <f aca="false">IF(AND(Projects!$G$5="Yes",Projects!$F$5="Yes",36&gt;=Projects!$C$5,36&lt;Projects!$C$5+Projects!$D$5),Projects!$B$5*(1-SUMPRODUCT((Curves!$B$9:$AO$9)*(COLUMN(Curves!$B$9:$AO$9)-COLUMN(Curves!$B$9)+1&lt;=36-Projects!$C$5+1))),0)</f>
        <v>0</v>
      </c>
      <c r="AM9" s="279" t="n">
        <f aca="false">IF(AND(Projects!$G$5="Yes",Projects!$F$5="Yes",37&gt;=Projects!$C$5,37&lt;Projects!$C$5+Projects!$D$5),Projects!$B$5*(1-SUMPRODUCT((Curves!$B$9:$AO$9)*(COLUMN(Curves!$B$9:$AO$9)-COLUMN(Curves!$B$9)+1&lt;=37-Projects!$C$5+1))),0)</f>
        <v>0</v>
      </c>
      <c r="AN9" s="279" t="n">
        <f aca="false">IF(AND(Projects!$G$5="Yes",Projects!$F$5="Yes",38&gt;=Projects!$C$5,38&lt;Projects!$C$5+Projects!$D$5),Projects!$B$5*(1-SUMPRODUCT((Curves!$B$9:$AO$9)*(COLUMN(Curves!$B$9:$AO$9)-COLUMN(Curves!$B$9)+1&lt;=38-Projects!$C$5+1))),0)</f>
        <v>0</v>
      </c>
      <c r="AO9" s="279" t="n">
        <f aca="false">IF(AND(Projects!$G$5="Yes",Projects!$F$5="Yes",39&gt;=Projects!$C$5,39&lt;Projects!$C$5+Projects!$D$5),Projects!$B$5*(1-SUMPRODUCT((Curves!$B$9:$AO$9)*(COLUMN(Curves!$B$9:$AO$9)-COLUMN(Curves!$B$9)+1&lt;=39-Projects!$C$5+1))),0)</f>
        <v>0</v>
      </c>
      <c r="AP9" s="279" t="n">
        <f aca="false">IF(AND(Projects!$G$5="Yes",Projects!$F$5="Yes",40&gt;=Projects!$C$5,40&lt;Projects!$C$5+Projects!$D$5),Projects!$B$5*(1-SUMPRODUCT((Curves!$B$9:$AO$9)*(COLUMN(Curves!$B$9:$AO$9)-COLUMN(Curves!$B$9)+1&lt;=40-Projects!$C$5+1))),0)</f>
        <v>0</v>
      </c>
      <c r="AQ9" s="279" t="n">
        <f aca="false">IF(AND(Projects!$G$5="Yes",Projects!$F$5="Yes",41&gt;=Projects!$C$5,41&lt;Projects!$C$5+Projects!$D$5),Projects!$B$5*(1-SUMPRODUCT((Curves!$B$9:$AO$9)*(COLUMN(Curves!$B$9:$AO$9)-COLUMN(Curves!$B$9)+1&lt;=41-Projects!$C$5+1))),0)</f>
        <v>0</v>
      </c>
      <c r="AR9" s="279" t="n">
        <f aca="false">IF(AND(Projects!$G$5="Yes",Projects!$F$5="Yes",42&gt;=Projects!$C$5,42&lt;Projects!$C$5+Projects!$D$5),Projects!$B$5*(1-SUMPRODUCT((Curves!$B$9:$AO$9)*(COLUMN(Curves!$B$9:$AO$9)-COLUMN(Curves!$B$9)+1&lt;=42-Projects!$C$5+1))),0)</f>
        <v>0</v>
      </c>
      <c r="AS9" s="279" t="n">
        <f aca="false">IF(AND(Projects!$G$5="Yes",Projects!$F$5="Yes",43&gt;=Projects!$C$5,43&lt;Projects!$C$5+Projects!$D$5),Projects!$B$5*(1-SUMPRODUCT((Curves!$B$9:$AO$9)*(COLUMN(Curves!$B$9:$AO$9)-COLUMN(Curves!$B$9)+1&lt;=43-Projects!$C$5+1))),0)</f>
        <v>0</v>
      </c>
      <c r="AT9" s="279" t="n">
        <f aca="false">IF(AND(Projects!$G$5="Yes",Projects!$F$5="Yes",44&gt;=Projects!$C$5,44&lt;Projects!$C$5+Projects!$D$5),Projects!$B$5*(1-SUMPRODUCT((Curves!$B$9:$AO$9)*(COLUMN(Curves!$B$9:$AO$9)-COLUMN(Curves!$B$9)+1&lt;=44-Projects!$C$5+1))),0)</f>
        <v>0</v>
      </c>
      <c r="AU9" s="279" t="n">
        <f aca="false">IF(AND(Projects!$G$5="Yes",Projects!$F$5="Yes",45&gt;=Projects!$C$5,45&lt;Projects!$C$5+Projects!$D$5),Projects!$B$5*(1-SUMPRODUCT((Curves!$B$9:$AO$9)*(COLUMN(Curves!$B$9:$AO$9)-COLUMN(Curves!$B$9)+1&lt;=45-Projects!$C$5+1))),0)</f>
        <v>0</v>
      </c>
      <c r="AV9" s="279" t="n">
        <f aca="false">IF(AND(Projects!$G$5="Yes",Projects!$F$5="Yes",46&gt;=Projects!$C$5,46&lt;Projects!$C$5+Projects!$D$5),Projects!$B$5*(1-SUMPRODUCT((Curves!$B$9:$AO$9)*(COLUMN(Curves!$B$9:$AO$9)-COLUMN(Curves!$B$9)+1&lt;=46-Projects!$C$5+1))),0)</f>
        <v>0</v>
      </c>
      <c r="AW9" s="279" t="n">
        <f aca="false">IF(AND(Projects!$G$5="Yes",Projects!$F$5="Yes",47&gt;=Projects!$C$5,47&lt;Projects!$C$5+Projects!$D$5),Projects!$B$5*(1-SUMPRODUCT((Curves!$B$9:$AO$9)*(COLUMN(Curves!$B$9:$AO$9)-COLUMN(Curves!$B$9)+1&lt;=47-Projects!$C$5+1))),0)</f>
        <v>0</v>
      </c>
      <c r="AX9" s="279" t="n">
        <f aca="false">IF(AND(Projects!$G$5="Yes",Projects!$F$5="Yes",48&gt;=Projects!$C$5,48&lt;Projects!$C$5+Projects!$D$5),Projects!$B$5*(1-SUMPRODUCT((Curves!$B$9:$AO$9)*(COLUMN(Curves!$B$9:$AO$9)-COLUMN(Curves!$B$9)+1&lt;=48-Projects!$C$5+1))),0)</f>
        <v>0</v>
      </c>
      <c r="AY9" s="279" t="n">
        <f aca="false">IF(AND(Projects!$G$5="Yes",Projects!$F$5="Yes",49&gt;=Projects!$C$5,49&lt;Projects!$C$5+Projects!$D$5),Projects!$B$5*(1-SUMPRODUCT((Curves!$B$9:$AO$9)*(COLUMN(Curves!$B$9:$AO$9)-COLUMN(Curves!$B$9)+1&lt;=49-Projects!$C$5+1))),0)</f>
        <v>0</v>
      </c>
      <c r="AZ9" s="279" t="n">
        <f aca="false">IF(AND(Projects!$G$5="Yes",Projects!$F$5="Yes",50&gt;=Projects!$C$5,50&lt;Projects!$C$5+Projects!$D$5),Projects!$B$5*(1-SUMPRODUCT((Curves!$B$9:$AO$9)*(COLUMN(Curves!$B$9:$AO$9)-COLUMN(Curves!$B$9)+1&lt;=50-Projects!$C$5+1))),0)</f>
        <v>0</v>
      </c>
      <c r="BA9" s="279" t="n">
        <f aca="false">IF(AND(Projects!$G$5="Yes",Projects!$F$5="Yes",51&gt;=Projects!$C$5,51&lt;Projects!$C$5+Projects!$D$5),Projects!$B$5*(1-SUMPRODUCT((Curves!$B$9:$AO$9)*(COLUMN(Curves!$B$9:$AO$9)-COLUMN(Curves!$B$9)+1&lt;=51-Projects!$C$5+1))),0)</f>
        <v>0</v>
      </c>
      <c r="BB9" s="279" t="n">
        <f aca="false">IF(AND(Projects!$G$5="Yes",Projects!$F$5="Yes",52&gt;=Projects!$C$5,52&lt;Projects!$C$5+Projects!$D$5),Projects!$B$5*(1-SUMPRODUCT((Curves!$B$9:$AO$9)*(COLUMN(Curves!$B$9:$AO$9)-COLUMN(Curves!$B$9)+1&lt;=52-Projects!$C$5+1))),0)</f>
        <v>0</v>
      </c>
      <c r="BC9" s="279" t="n">
        <f aca="false">IF(AND(Projects!$G$5="Yes",Projects!$F$5="Yes",53&gt;=Projects!$C$5,53&lt;Projects!$C$5+Projects!$D$5),Projects!$B$5*(1-SUMPRODUCT((Curves!$B$9:$AO$9)*(COLUMN(Curves!$B$9:$AO$9)-COLUMN(Curves!$B$9)+1&lt;=53-Projects!$C$5+1))),0)</f>
        <v>0</v>
      </c>
      <c r="BD9" s="279" t="n">
        <f aca="false">IF(AND(Projects!$G$5="Yes",Projects!$F$5="Yes",54&gt;=Projects!$C$5,54&lt;Projects!$C$5+Projects!$D$5),Projects!$B$5*(1-SUMPRODUCT((Curves!$B$9:$AO$9)*(COLUMN(Curves!$B$9:$AO$9)-COLUMN(Curves!$B$9)+1&lt;=54-Projects!$C$5+1))),0)</f>
        <v>0</v>
      </c>
      <c r="BE9" s="279" t="n">
        <f aca="false">IF(AND(Projects!$G$5="Yes",Projects!$F$5="Yes",55&gt;=Projects!$C$5,55&lt;Projects!$C$5+Projects!$D$5),Projects!$B$5*(1-SUMPRODUCT((Curves!$B$9:$AO$9)*(COLUMN(Curves!$B$9:$AO$9)-COLUMN(Curves!$B$9)+1&lt;=55-Projects!$C$5+1))),0)</f>
        <v>0</v>
      </c>
      <c r="BF9" s="279" t="n">
        <f aca="false">IF(AND(Projects!$G$5="Yes",Projects!$F$5="Yes",56&gt;=Projects!$C$5,56&lt;Projects!$C$5+Projects!$D$5),Projects!$B$5*(1-SUMPRODUCT((Curves!$B$9:$AO$9)*(COLUMN(Curves!$B$9:$AO$9)-COLUMN(Curves!$B$9)+1&lt;=56-Projects!$C$5+1))),0)</f>
        <v>0</v>
      </c>
      <c r="BG9" s="279" t="n">
        <f aca="false">IF(AND(Projects!$G$5="Yes",Projects!$F$5="Yes",57&gt;=Projects!$C$5,57&lt;Projects!$C$5+Projects!$D$5),Projects!$B$5*(1-SUMPRODUCT((Curves!$B$9:$AO$9)*(COLUMN(Curves!$B$9:$AO$9)-COLUMN(Curves!$B$9)+1&lt;=57-Projects!$C$5+1))),0)</f>
        <v>0</v>
      </c>
      <c r="BH9" s="279" t="n">
        <f aca="false">IF(AND(Projects!$G$5="Yes",Projects!$F$5="Yes",58&gt;=Projects!$C$5,58&lt;Projects!$C$5+Projects!$D$5),Projects!$B$5*(1-SUMPRODUCT((Curves!$B$9:$AO$9)*(COLUMN(Curves!$B$9:$AO$9)-COLUMN(Curves!$B$9)+1&lt;=58-Projects!$C$5+1))),0)</f>
        <v>0</v>
      </c>
      <c r="BI9" s="279" t="n">
        <f aca="false">IF(AND(Projects!$G$5="Yes",Projects!$F$5="Yes",59&gt;=Projects!$C$5,59&lt;Projects!$C$5+Projects!$D$5),Projects!$B$5*(1-SUMPRODUCT((Curves!$B$9:$AO$9)*(COLUMN(Curves!$B$9:$AO$9)-COLUMN(Curves!$B$9)+1&lt;=59-Projects!$C$5+1))),0)</f>
        <v>0</v>
      </c>
      <c r="BJ9" s="279" t="n">
        <f aca="false">IF(AND(Projects!$G$5="Yes",Projects!$F$5="Yes",60&gt;=Projects!$C$5,60&lt;Projects!$C$5+Projects!$D$5),Projects!$B$5*(1-SUMPRODUCT((Curves!$B$9:$AO$9)*(COLUMN(Curves!$B$9:$AO$9)-COLUMN(Curves!$B$9)+1&lt;=60-Projects!$C$5+1))),0)</f>
        <v>0</v>
      </c>
      <c r="BK9" s="279" t="n">
        <f aca="false">IF(AND(Projects!$G$5="Yes",Projects!$F$5="Yes",61&gt;=Projects!$C$5,61&lt;Projects!$C$5+Projects!$D$5),Projects!$B$5*(1-SUMPRODUCT((Curves!$B$9:$AO$9)*(COLUMN(Curves!$B$9:$AO$9)-COLUMN(Curves!$B$9)+1&lt;=61-Projects!$C$5+1))),0)</f>
        <v>0</v>
      </c>
      <c r="BL9" s="279" t="n">
        <f aca="false">IF(AND(Projects!$G$5="Yes",Projects!$F$5="Yes",62&gt;=Projects!$C$5,62&lt;Projects!$C$5+Projects!$D$5),Projects!$B$5*(1-SUMPRODUCT((Curves!$B$9:$AO$9)*(COLUMN(Curves!$B$9:$AO$9)-COLUMN(Curves!$B$9)+1&lt;=62-Projects!$C$5+1))),0)</f>
        <v>0</v>
      </c>
      <c r="BM9" s="279" t="n">
        <f aca="false">IF(AND(Projects!$G$5="Yes",Projects!$F$5="Yes",63&gt;=Projects!$C$5,63&lt;Projects!$C$5+Projects!$D$5),Projects!$B$5*(1-SUMPRODUCT((Curves!$B$9:$AO$9)*(COLUMN(Curves!$B$9:$AO$9)-COLUMN(Curves!$B$9)+1&lt;=63-Projects!$C$5+1))),0)</f>
        <v>0</v>
      </c>
      <c r="BN9" s="279" t="n">
        <f aca="false">IF(AND(Projects!$G$5="Yes",Projects!$F$5="Yes",64&gt;=Projects!$C$5,64&lt;Projects!$C$5+Projects!$D$5),Projects!$B$5*(1-SUMPRODUCT((Curves!$B$9:$AO$9)*(COLUMN(Curves!$B$9:$AO$9)-COLUMN(Curves!$B$9)+1&lt;=64-Projects!$C$5+1))),0)</f>
        <v>0</v>
      </c>
      <c r="BO9" s="279" t="n">
        <f aca="false">IF(AND(Projects!$G$5="Yes",Projects!$F$5="Yes",65&gt;=Projects!$C$5,65&lt;Projects!$C$5+Projects!$D$5),Projects!$B$5*(1-SUMPRODUCT((Curves!$B$9:$AO$9)*(COLUMN(Curves!$B$9:$AO$9)-COLUMN(Curves!$B$9)+1&lt;=65-Projects!$C$5+1))),0)</f>
        <v>0</v>
      </c>
      <c r="BP9" s="279" t="n">
        <f aca="false">IF(AND(Projects!$G$5="Yes",Projects!$F$5="Yes",66&gt;=Projects!$C$5,66&lt;Projects!$C$5+Projects!$D$5),Projects!$B$5*(1-SUMPRODUCT((Curves!$B$9:$AO$9)*(COLUMN(Curves!$B$9:$AO$9)-COLUMN(Curves!$B$9)+1&lt;=66-Projects!$C$5+1))),0)</f>
        <v>0</v>
      </c>
      <c r="BQ9" s="279" t="n">
        <f aca="false">IF(AND(Projects!$G$5="Yes",Projects!$F$5="Yes",67&gt;=Projects!$C$5,67&lt;Projects!$C$5+Projects!$D$5),Projects!$B$5*(1-SUMPRODUCT((Curves!$B$9:$AO$9)*(COLUMN(Curves!$B$9:$AO$9)-COLUMN(Curves!$B$9)+1&lt;=67-Projects!$C$5+1))),0)</f>
        <v>0</v>
      </c>
      <c r="BR9" s="279" t="n">
        <f aca="false">IF(AND(Projects!$G$5="Yes",Projects!$F$5="Yes",68&gt;=Projects!$C$5,68&lt;Projects!$C$5+Projects!$D$5),Projects!$B$5*(1-SUMPRODUCT((Curves!$B$9:$AO$9)*(COLUMN(Curves!$B$9:$AO$9)-COLUMN(Curves!$B$9)+1&lt;=68-Projects!$C$5+1))),0)</f>
        <v>0</v>
      </c>
      <c r="BS9" s="279" t="n">
        <f aca="false">IF(AND(Projects!$G$5="Yes",Projects!$F$5="Yes",69&gt;=Projects!$C$5,69&lt;Projects!$C$5+Projects!$D$5),Projects!$B$5*(1-SUMPRODUCT((Curves!$B$9:$AO$9)*(COLUMN(Curves!$B$9:$AO$9)-COLUMN(Curves!$B$9)+1&lt;=69-Projects!$C$5+1))),0)</f>
        <v>0</v>
      </c>
      <c r="BT9" s="279" t="n">
        <f aca="false">IF(AND(Projects!$G$5="Yes",Projects!$F$5="Yes",70&gt;=Projects!$C$5,70&lt;Projects!$C$5+Projects!$D$5),Projects!$B$5*(1-SUMPRODUCT((Curves!$B$9:$AO$9)*(COLUMN(Curves!$B$9:$AO$9)-COLUMN(Curves!$B$9)+1&lt;=70-Projects!$C$5+1))),0)</f>
        <v>0</v>
      </c>
      <c r="BU9" s="279" t="n">
        <f aca="false">IF(AND(Projects!$G$5="Yes",Projects!$F$5="Yes",71&gt;=Projects!$C$5,71&lt;Projects!$C$5+Projects!$D$5),Projects!$B$5*(1-SUMPRODUCT((Curves!$B$9:$AO$9)*(COLUMN(Curves!$B$9:$AO$9)-COLUMN(Curves!$B$9)+1&lt;=71-Projects!$C$5+1))),0)</f>
        <v>0</v>
      </c>
      <c r="BV9" s="279" t="n">
        <f aca="false">IF(AND(Projects!$G$5="Yes",Projects!$F$5="Yes",72&gt;=Projects!$C$5,72&lt;Projects!$C$5+Projects!$D$5),Projects!$B$5*(1-SUMPRODUCT((Curves!$B$9:$AO$9)*(COLUMN(Curves!$B$9:$AO$9)-COLUMN(Curves!$B$9)+1&lt;=72-Projects!$C$5+1))),0)</f>
        <v>0</v>
      </c>
      <c r="BW9" s="279" t="n">
        <f aca="false">IF(AND(Projects!$G$5="Yes",Projects!$F$5="Yes",73&gt;=Projects!$C$5,73&lt;Projects!$C$5+Projects!$D$5),Projects!$B$5*(1-SUMPRODUCT((Curves!$B$9:$AO$9)*(COLUMN(Curves!$B$9:$AO$9)-COLUMN(Curves!$B$9)+1&lt;=73-Projects!$C$5+1))),0)</f>
        <v>0</v>
      </c>
      <c r="BX9" s="279" t="n">
        <f aca="false">IF(AND(Projects!$G$5="Yes",Projects!$F$5="Yes",74&gt;=Projects!$C$5,74&lt;Projects!$C$5+Projects!$D$5),Projects!$B$5*(1-SUMPRODUCT((Curves!$B$9:$AO$9)*(COLUMN(Curves!$B$9:$AO$9)-COLUMN(Curves!$B$9)+1&lt;=74-Projects!$C$5+1))),0)</f>
        <v>0</v>
      </c>
      <c r="BY9" s="279" t="n">
        <f aca="false">IF(AND(Projects!$G$5="Yes",Projects!$F$5="Yes",75&gt;=Projects!$C$5,75&lt;Projects!$C$5+Projects!$D$5),Projects!$B$5*(1-SUMPRODUCT((Curves!$B$9:$AO$9)*(COLUMN(Curves!$B$9:$AO$9)-COLUMN(Curves!$B$9)+1&lt;=75-Projects!$C$5+1))),0)</f>
        <v>0</v>
      </c>
      <c r="BZ9" s="279" t="n">
        <f aca="false">IF(AND(Projects!$G$5="Yes",Projects!$F$5="Yes",76&gt;=Projects!$C$5,76&lt;Projects!$C$5+Projects!$D$5),Projects!$B$5*(1-SUMPRODUCT((Curves!$B$9:$AO$9)*(COLUMN(Curves!$B$9:$AO$9)-COLUMN(Curves!$B$9)+1&lt;=76-Projects!$C$5+1))),0)</f>
        <v>0</v>
      </c>
      <c r="CA9" s="279" t="n">
        <f aca="false">IF(AND(Projects!$G$5="Yes",Projects!$F$5="Yes",77&gt;=Projects!$C$5,77&lt;Projects!$C$5+Projects!$D$5),Projects!$B$5*(1-SUMPRODUCT((Curves!$B$9:$AO$9)*(COLUMN(Curves!$B$9:$AO$9)-COLUMN(Curves!$B$9)+1&lt;=77-Projects!$C$5+1))),0)</f>
        <v>0</v>
      </c>
      <c r="CB9" s="279" t="n">
        <f aca="false">IF(AND(Projects!$G$5="Yes",Projects!$F$5="Yes",78&gt;=Projects!$C$5,78&lt;Projects!$C$5+Projects!$D$5),Projects!$B$5*(1-SUMPRODUCT((Curves!$B$9:$AO$9)*(COLUMN(Curves!$B$9:$AO$9)-COLUMN(Curves!$B$9)+1&lt;=78-Projects!$C$5+1))),0)</f>
        <v>0</v>
      </c>
      <c r="CC9" s="279" t="n">
        <f aca="false">IF(AND(Projects!$G$5="Yes",Projects!$F$5="Yes",79&gt;=Projects!$C$5,79&lt;Projects!$C$5+Projects!$D$5),Projects!$B$5*(1-SUMPRODUCT((Curves!$B$9:$AO$9)*(COLUMN(Curves!$B$9:$AO$9)-COLUMN(Curves!$B$9)+1&lt;=79-Projects!$C$5+1))),0)</f>
        <v>0</v>
      </c>
      <c r="CD9" s="279" t="n">
        <f aca="false">IF(AND(Projects!$G$5="Yes",Projects!$F$5="Yes",80&gt;=Projects!$C$5,80&lt;Projects!$C$5+Projects!$D$5),Projects!$B$5*(1-SUMPRODUCT((Curves!$B$9:$AO$9)*(COLUMN(Curves!$B$9:$AO$9)-COLUMN(Curves!$B$9)+1&lt;=80-Projects!$C$5+1))),0)</f>
        <v>0</v>
      </c>
      <c r="CE9" s="279" t="n">
        <f aca="false">IF(AND(Projects!$G$5="Yes",Projects!$F$5="Yes",81&gt;=Projects!$C$5,81&lt;Projects!$C$5+Projects!$D$5),Projects!$B$5*(1-SUMPRODUCT((Curves!$B$9:$AO$9)*(COLUMN(Curves!$B$9:$AO$9)-COLUMN(Curves!$B$9)+1&lt;=81-Projects!$C$5+1))),0)</f>
        <v>0</v>
      </c>
      <c r="CF9" s="279" t="n">
        <f aca="false">IF(AND(Projects!$G$5="Yes",Projects!$F$5="Yes",82&gt;=Projects!$C$5,82&lt;Projects!$C$5+Projects!$D$5),Projects!$B$5*(1-SUMPRODUCT((Curves!$B$9:$AO$9)*(COLUMN(Curves!$B$9:$AO$9)-COLUMN(Curves!$B$9)+1&lt;=82-Projects!$C$5+1))),0)</f>
        <v>0</v>
      </c>
      <c r="CG9" s="279" t="n">
        <f aca="false">IF(AND(Projects!$G$5="Yes",Projects!$F$5="Yes",83&gt;=Projects!$C$5,83&lt;Projects!$C$5+Projects!$D$5),Projects!$B$5*(1-SUMPRODUCT((Curves!$B$9:$AO$9)*(COLUMN(Curves!$B$9:$AO$9)-COLUMN(Curves!$B$9)+1&lt;=83-Projects!$C$5+1))),0)</f>
        <v>0</v>
      </c>
      <c r="CH9" s="279" t="n">
        <f aca="false">IF(AND(Projects!$G$5="Yes",Projects!$F$5="Yes",84&gt;=Projects!$C$5,84&lt;Projects!$C$5+Projects!$D$5),Projects!$B$5*(1-SUMPRODUCT((Curves!$B$9:$AO$9)*(COLUMN(Curves!$B$9:$AO$9)-COLUMN(Curves!$B$9)+1&lt;=84-Projects!$C$5+1))),0)</f>
        <v>0</v>
      </c>
      <c r="CI9" s="279" t="n">
        <f aca="false">IF(AND(Projects!$G$5="Yes",Projects!$F$5="Yes",85&gt;=Projects!$C$5,85&lt;Projects!$C$5+Projects!$D$5),Projects!$B$5*(1-SUMPRODUCT((Curves!$B$9:$AO$9)*(COLUMN(Curves!$B$9:$AO$9)-COLUMN(Curves!$B$9)+1&lt;=85-Projects!$C$5+1))),0)</f>
        <v>0</v>
      </c>
      <c r="CJ9" s="279" t="n">
        <f aca="false">IF(AND(Projects!$G$5="Yes",Projects!$F$5="Yes",86&gt;=Projects!$C$5,86&lt;Projects!$C$5+Projects!$D$5),Projects!$B$5*(1-SUMPRODUCT((Curves!$B$9:$AO$9)*(COLUMN(Curves!$B$9:$AO$9)-COLUMN(Curves!$B$9)+1&lt;=86-Projects!$C$5+1))),0)</f>
        <v>0</v>
      </c>
      <c r="CK9" s="279" t="n">
        <f aca="false">IF(AND(Projects!$G$5="Yes",Projects!$F$5="Yes",87&gt;=Projects!$C$5,87&lt;Projects!$C$5+Projects!$D$5),Projects!$B$5*(1-SUMPRODUCT((Curves!$B$9:$AO$9)*(COLUMN(Curves!$B$9:$AO$9)-COLUMN(Curves!$B$9)+1&lt;=87-Projects!$C$5+1))),0)</f>
        <v>0</v>
      </c>
      <c r="CL9" s="279" t="n">
        <f aca="false">IF(AND(Projects!$G$5="Yes",Projects!$F$5="Yes",88&gt;=Projects!$C$5,88&lt;Projects!$C$5+Projects!$D$5),Projects!$B$5*(1-SUMPRODUCT((Curves!$B$9:$AO$9)*(COLUMN(Curves!$B$9:$AO$9)-COLUMN(Curves!$B$9)+1&lt;=88-Projects!$C$5+1))),0)</f>
        <v>0</v>
      </c>
      <c r="CM9" s="279" t="n">
        <f aca="false">IF(AND(Projects!$G$5="Yes",Projects!$F$5="Yes",89&gt;=Projects!$C$5,89&lt;Projects!$C$5+Projects!$D$5),Projects!$B$5*(1-SUMPRODUCT((Curves!$B$9:$AO$9)*(COLUMN(Curves!$B$9:$AO$9)-COLUMN(Curves!$B$9)+1&lt;=89-Projects!$C$5+1))),0)</f>
        <v>0</v>
      </c>
      <c r="CN9" s="279" t="n">
        <f aca="false">IF(AND(Projects!$G$5="Yes",Projects!$F$5="Yes",90&gt;=Projects!$C$5,90&lt;Projects!$C$5+Projects!$D$5),Projects!$B$5*(1-SUMPRODUCT((Curves!$B$9:$AO$9)*(COLUMN(Curves!$B$9:$AO$9)-COLUMN(Curves!$B$9)+1&lt;=90-Projects!$C$5+1))),0)</f>
        <v>0</v>
      </c>
      <c r="CO9" s="279" t="n">
        <f aca="false">IF(AND(Projects!$G$5="Yes",Projects!$F$5="Yes",91&gt;=Projects!$C$5,91&lt;Projects!$C$5+Projects!$D$5),Projects!$B$5*(1-SUMPRODUCT((Curves!$B$9:$AO$9)*(COLUMN(Curves!$B$9:$AO$9)-COLUMN(Curves!$B$9)+1&lt;=91-Projects!$C$5+1))),0)</f>
        <v>0</v>
      </c>
      <c r="CP9" s="279" t="n">
        <f aca="false">IF(AND(Projects!$G$5="Yes",Projects!$F$5="Yes",92&gt;=Projects!$C$5,92&lt;Projects!$C$5+Projects!$D$5),Projects!$B$5*(1-SUMPRODUCT((Curves!$B$9:$AO$9)*(COLUMN(Curves!$B$9:$AO$9)-COLUMN(Curves!$B$9)+1&lt;=92-Projects!$C$5+1))),0)</f>
        <v>0</v>
      </c>
      <c r="CQ9" s="279" t="n">
        <f aca="false">IF(AND(Projects!$G$5="Yes",Projects!$F$5="Yes",93&gt;=Projects!$C$5,93&lt;Projects!$C$5+Projects!$D$5),Projects!$B$5*(1-SUMPRODUCT((Curves!$B$9:$AO$9)*(COLUMN(Curves!$B$9:$AO$9)-COLUMN(Curves!$B$9)+1&lt;=93-Projects!$C$5+1))),0)</f>
        <v>0</v>
      </c>
    </row>
    <row r="10" customFormat="false" ht="15" hidden="false" customHeight="true" outlineLevel="0" collapsed="false">
      <c r="A10" s="175" t="s">
        <v>12</v>
      </c>
      <c r="C10" s="279" t="n">
        <f aca="false">IF(AND(Projects!$G$7="Yes",Projects!$F$7="Yes",1&gt;=Projects!$C$7,1&lt;Projects!$C$7+Projects!$D$7),Projects!$B$7*(1-SUMPRODUCT((Curves!$B$3:$AO$3)*(COLUMN(Curves!$B$3:$AO$3)-COLUMN(Curves!$B$3)+1&lt;=1-Projects!$C$7+1))),0)</f>
        <v>0</v>
      </c>
      <c r="D10" s="279" t="n">
        <f aca="false">IF(AND(Projects!$G$7="Yes",Projects!$F$7="Yes",2&gt;=Projects!$C$7,2&lt;Projects!$C$7+Projects!$D$7),Projects!$B$7*(1-SUMPRODUCT((Curves!$B$3:$AO$3)*(COLUMN(Curves!$B$3:$AO$3)-COLUMN(Curves!$B$3)+1&lt;=2-Projects!$C$7+1))),0)</f>
        <v>0</v>
      </c>
      <c r="E10" s="279" t="n">
        <f aca="false">IF(AND(Projects!$G$7="Yes",Projects!$F$7="Yes",3&gt;=Projects!$C$7,3&lt;Projects!$C$7+Projects!$D$7),Projects!$B$7*(1-SUMPRODUCT((Curves!$B$3:$AO$3)*(COLUMN(Curves!$B$3:$AO$3)-COLUMN(Curves!$B$3)+1&lt;=3-Projects!$C$7+1))),0)</f>
        <v>0</v>
      </c>
      <c r="F10" s="279" t="n">
        <f aca="false">IF(AND(Projects!$G$7="Yes",Projects!$F$7="Yes",4&gt;=Projects!$C$7,4&lt;Projects!$C$7+Projects!$D$7),Projects!$B$7*(1-SUMPRODUCT((Curves!$B$3:$AO$3)*(COLUMN(Curves!$B$3:$AO$3)-COLUMN(Curves!$B$3)+1&lt;=4-Projects!$C$7+1))),0)</f>
        <v>0</v>
      </c>
      <c r="G10" s="279" t="n">
        <f aca="false">IF(AND(Projects!$G$7="Yes",Projects!$F$7="Yes",5&gt;=Projects!$C$7,5&lt;Projects!$C$7+Projects!$D$7),Projects!$B$7*(1-SUMPRODUCT((Curves!$B$3:$AO$3)*(COLUMN(Curves!$B$3:$AO$3)-COLUMN(Curves!$B$3)+1&lt;=5-Projects!$C$7+1))),0)</f>
        <v>41917600.701795</v>
      </c>
      <c r="H10" s="279" t="n">
        <f aca="false">IF(AND(Projects!$G$7="Yes",Projects!$F$7="Yes",6&gt;=Projects!$C$7,6&lt;Projects!$C$7+Projects!$D$7),Projects!$B$7*(1-SUMPRODUCT((Curves!$B$3:$AO$3)*(COLUMN(Curves!$B$3:$AO$3)-COLUMN(Curves!$B$3)+1&lt;=6-Projects!$C$7+1))),0)</f>
        <v>40876147.300755</v>
      </c>
      <c r="I10" s="279" t="n">
        <f aca="false">IF(AND(Projects!$G$7="Yes",Projects!$F$7="Yes",7&gt;=Projects!$C$7,7&lt;Projects!$C$7+Projects!$D$7),Projects!$B$7*(1-SUMPRODUCT((Curves!$B$3:$AO$3)*(COLUMN(Curves!$B$3:$AO$3)-COLUMN(Curves!$B$3)+1&lt;=7-Projects!$C$7+1))),0)</f>
        <v>39658850.21033</v>
      </c>
      <c r="J10" s="279" t="n">
        <f aca="false">IF(AND(Projects!$G$7="Yes",Projects!$F$7="Yes",8&gt;=Projects!$C$7,8&lt;Projects!$C$7+Projects!$D$7),Projects!$B$7*(1-SUMPRODUCT((Curves!$B$3:$AO$3)*(COLUMN(Curves!$B$3:$AO$3)-COLUMN(Curves!$B$3)+1&lt;=8-Projects!$C$7+1))),0)</f>
        <v>38257963.578055</v>
      </c>
      <c r="K10" s="279" t="n">
        <f aca="false">IF(AND(Projects!$G$7="Yes",Projects!$F$7="Yes",9&gt;=Projects!$C$7,9&lt;Projects!$C$7+Projects!$D$7),Projects!$B$7*(1-SUMPRODUCT((Curves!$B$3:$AO$3)*(COLUMN(Curves!$B$3:$AO$3)-COLUMN(Curves!$B$3)+1&lt;=9-Projects!$C$7+1))),0)</f>
        <v>36670834.1285</v>
      </c>
      <c r="L10" s="279" t="n">
        <f aca="false">IF(AND(Projects!$G$7="Yes",Projects!$F$7="Yes",10&gt;=Projects!$C$7,10&lt;Projects!$C$7+Projects!$D$7),Projects!$B$7*(1-SUMPRODUCT((Curves!$B$3:$AO$3)*(COLUMN(Curves!$B$3:$AO$3)-COLUMN(Curves!$B$3)+1&lt;=10-Projects!$C$7+1))),0)</f>
        <v>34900500.28998</v>
      </c>
      <c r="M10" s="279" t="n">
        <f aca="false">IF(AND(Projects!$G$7="Yes",Projects!$F$7="Yes",11&gt;=Projects!$C$7,11&lt;Projects!$C$7+Projects!$D$7),Projects!$B$7*(1-SUMPRODUCT((Curves!$B$3:$AO$3)*(COLUMN(Curves!$B$3:$AO$3)-COLUMN(Curves!$B$3)+1&lt;=11-Projects!$C$7+1))),0)</f>
        <v>32956419.70556</v>
      </c>
      <c r="N10" s="279" t="n">
        <f aca="false">IF(AND(Projects!$G$7="Yes",Projects!$F$7="Yes",12&gt;=Projects!$C$7,12&lt;Projects!$C$7+Projects!$D$7),Projects!$B$7*(1-SUMPRODUCT((Curves!$B$3:$AO$3)*(COLUMN(Curves!$B$3:$AO$3)-COLUMN(Curves!$B$3)+1&lt;=12-Projects!$C$7+1))),0)</f>
        <v>30854597.61735</v>
      </c>
      <c r="O10" s="279" t="n">
        <f aca="false">IF(AND(Projects!$G$7="Yes",Projects!$F$7="Yes",13&gt;=Projects!$C$7,13&lt;Projects!$C$7+Projects!$D$7),Projects!$B$7*(1-SUMPRODUCT((Curves!$B$3:$AO$3)*(COLUMN(Curves!$B$3:$AO$3)-COLUMN(Curves!$B$3)+1&lt;=13-Projects!$C$7+1))),0)</f>
        <v>28617372.89268</v>
      </c>
      <c r="P10" s="279" t="n">
        <f aca="false">IF(AND(Projects!$G$7="Yes",Projects!$F$7="Yes",14&gt;=Projects!$C$7,14&lt;Projects!$C$7+Projects!$D$7),Projects!$B$7*(1-SUMPRODUCT((Curves!$B$3:$AO$3)*(COLUMN(Curves!$B$3:$AO$3)-COLUMN(Curves!$B$3)+1&lt;=14-Projects!$C$7+1))),0)</f>
        <v>26272947.281685</v>
      </c>
      <c r="Q10" s="279" t="n">
        <f aca="false">IF(AND(Projects!$G$7="Yes",Projects!$F$7="Yes",15&gt;=Projects!$C$7,15&lt;Projects!$C$7+Projects!$D$7),Projects!$B$7*(1-SUMPRODUCT((Curves!$B$3:$AO$3)*(COLUMN(Curves!$B$3:$AO$3)-COLUMN(Curves!$B$3)+1&lt;=15-Projects!$C$7+1))),0)</f>
        <v>23854187.163885</v>
      </c>
      <c r="R10" s="279" t="n">
        <f aca="false">IF(AND(Projects!$G$7="Yes",Projects!$F$7="Yes",16&gt;=Projects!$C$7,16&lt;Projects!$C$7+Projects!$D$7),Projects!$B$7*(1-SUMPRODUCT((Curves!$B$3:$AO$3)*(COLUMN(Curves!$B$3:$AO$3)-COLUMN(Curves!$B$3)+1&lt;=16-Projects!$C$7+1))),0)</f>
        <v>21397382.5</v>
      </c>
      <c r="S10" s="279" t="n">
        <f aca="false">IF(AND(Projects!$G$7="Yes",Projects!$F$7="Yes",17&gt;=Projects!$C$7,17&lt;Projects!$C$7+Projects!$D$7),Projects!$B$7*(1-SUMPRODUCT((Curves!$B$3:$AO$3)*(COLUMN(Curves!$B$3:$AO$3)-COLUMN(Curves!$B$3)+1&lt;=17-Projects!$C$7+1))),0)</f>
        <v>18940577.836115</v>
      </c>
      <c r="T10" s="279" t="n">
        <f aca="false">IF(AND(Projects!$G$7="Yes",Projects!$F$7="Yes",18&gt;=Projects!$C$7,18&lt;Projects!$C$7+Projects!$D$7),Projects!$B$7*(1-SUMPRODUCT((Curves!$B$3:$AO$3)*(COLUMN(Curves!$B$3:$AO$3)-COLUMN(Curves!$B$3)+1&lt;=18-Projects!$C$7+1))),0)</f>
        <v>16521817.718315</v>
      </c>
      <c r="U10" s="279" t="n">
        <f aca="false">IF(AND(Projects!$G$7="Yes",Projects!$F$7="Yes",19&gt;=Projects!$C$7,19&lt;Projects!$C$7+Projects!$D$7),Projects!$B$7*(1-SUMPRODUCT((Curves!$B$3:$AO$3)*(COLUMN(Curves!$B$3:$AO$3)-COLUMN(Curves!$B$3)+1&lt;=19-Projects!$C$7+1))),0)</f>
        <v>14177392.10732</v>
      </c>
      <c r="V10" s="279" t="n">
        <f aca="false">IF(AND(Projects!$G$7="Yes",Projects!$F$7="Yes",20&gt;=Projects!$C$7,20&lt;Projects!$C$7+Projects!$D$7),Projects!$B$7*(1-SUMPRODUCT((Curves!$B$3:$AO$3)*(COLUMN(Curves!$B$3:$AO$3)-COLUMN(Curves!$B$3)+1&lt;=20-Projects!$C$7+1))),0)</f>
        <v>11940167.38265</v>
      </c>
      <c r="W10" s="279" t="n">
        <f aca="false">IF(AND(Projects!$G$7="Yes",Projects!$F$7="Yes",21&gt;=Projects!$C$7,21&lt;Projects!$C$7+Projects!$D$7),Projects!$B$7*(1-SUMPRODUCT((Curves!$B$3:$AO$3)*(COLUMN(Curves!$B$3:$AO$3)-COLUMN(Curves!$B$3)+1&lt;=21-Projects!$C$7+1))),0)</f>
        <v>9838345.29444</v>
      </c>
      <c r="X10" s="279" t="n">
        <f aca="false">IF(AND(Projects!$G$7="Yes",Projects!$F$7="Yes",22&gt;=Projects!$C$7,22&lt;Projects!$C$7+Projects!$D$7),Projects!$B$7*(1-SUMPRODUCT((Curves!$B$3:$AO$3)*(COLUMN(Curves!$B$3:$AO$3)-COLUMN(Curves!$B$3)+1&lt;=22-Projects!$C$7+1))),0)</f>
        <v>7894264.71002</v>
      </c>
      <c r="Y10" s="279" t="n">
        <f aca="false">IF(AND(Projects!$G$7="Yes",Projects!$F$7="Yes",23&gt;=Projects!$C$7,23&lt;Projects!$C$7+Projects!$D$7),Projects!$B$7*(1-SUMPRODUCT((Curves!$B$3:$AO$3)*(COLUMN(Curves!$B$3:$AO$3)-COLUMN(Curves!$B$3)+1&lt;=23-Projects!$C$7+1))),0)</f>
        <v>6123930.8715</v>
      </c>
      <c r="Z10" s="279" t="n">
        <f aca="false">IF(AND(Projects!$G$7="Yes",Projects!$F$7="Yes",24&gt;=Projects!$C$7,24&lt;Projects!$C$7+Projects!$D$7),Projects!$B$7*(1-SUMPRODUCT((Curves!$B$3:$AO$3)*(COLUMN(Curves!$B$3:$AO$3)-COLUMN(Curves!$B$3)+1&lt;=24-Projects!$C$7+1))),0)</f>
        <v>4536801.421945</v>
      </c>
      <c r="AA10" s="279" t="n">
        <f aca="false">IF(AND(Projects!$G$7="Yes",Projects!$F$7="Yes",25&gt;=Projects!$C$7,25&lt;Projects!$C$7+Projects!$D$7),Projects!$B$7*(1-SUMPRODUCT((Curves!$B$3:$AO$3)*(COLUMN(Curves!$B$3:$AO$3)-COLUMN(Curves!$B$3)+1&lt;=25-Projects!$C$7+1))),0)</f>
        <v>3135914.78967</v>
      </c>
      <c r="AB10" s="279" t="n">
        <f aca="false">IF(AND(Projects!$G$7="Yes",Projects!$F$7="Yes",26&gt;=Projects!$C$7,26&lt;Projects!$C$7+Projects!$D$7),Projects!$B$7*(1-SUMPRODUCT((Curves!$B$3:$AO$3)*(COLUMN(Curves!$B$3:$AO$3)-COLUMN(Curves!$B$3)+1&lt;=26-Projects!$C$7+1))),0)</f>
        <v>1918617.699245</v>
      </c>
      <c r="AC10" s="279" t="n">
        <f aca="false">IF(AND(Projects!$G$7="Yes",Projects!$F$7="Yes",27&gt;=Projects!$C$7,27&lt;Projects!$C$7+Projects!$D$7),Projects!$B$7*(1-SUMPRODUCT((Curves!$B$3:$AO$3)*(COLUMN(Curves!$B$3:$AO$3)-COLUMN(Curves!$B$3)+1&lt;=27-Projects!$C$7+1))),0)</f>
        <v>877164.298204999</v>
      </c>
      <c r="AD10" s="279" t="n">
        <f aca="false">IF(AND(Projects!$G$7="Yes",Projects!$F$7="Yes",28&gt;=Projects!$C$7,28&lt;Projects!$C$7+Projects!$D$7),Projects!$B$7*(1-SUMPRODUCT((Curves!$B$3:$AO$3)*(COLUMN(Curves!$B$3:$AO$3)-COLUMN(Curves!$B$3)+1&lt;=28-Projects!$C$7+1))),0)</f>
        <v>0</v>
      </c>
      <c r="AE10" s="279" t="n">
        <f aca="false">IF(AND(Projects!$G$7="Yes",Projects!$F$7="Yes",29&gt;=Projects!$C$7,29&lt;Projects!$C$7+Projects!$D$7),Projects!$B$7*(1-SUMPRODUCT((Curves!$B$3:$AO$3)*(COLUMN(Curves!$B$3:$AO$3)-COLUMN(Curves!$B$3)+1&lt;=29-Projects!$C$7+1))),0)</f>
        <v>0</v>
      </c>
      <c r="AF10" s="279" t="n">
        <f aca="false">IF(AND(Projects!$G$7="Yes",Projects!$F$7="Yes",30&gt;=Projects!$C$7,30&lt;Projects!$C$7+Projects!$D$7),Projects!$B$7*(1-SUMPRODUCT((Curves!$B$3:$AO$3)*(COLUMN(Curves!$B$3:$AO$3)-COLUMN(Curves!$B$3)+1&lt;=30-Projects!$C$7+1))),0)</f>
        <v>0</v>
      </c>
      <c r="AG10" s="279" t="n">
        <f aca="false">IF(AND(Projects!$G$7="Yes",Projects!$F$7="Yes",31&gt;=Projects!$C$7,31&lt;Projects!$C$7+Projects!$D$7),Projects!$B$7*(1-SUMPRODUCT((Curves!$B$3:$AO$3)*(COLUMN(Curves!$B$3:$AO$3)-COLUMN(Curves!$B$3)+1&lt;=31-Projects!$C$7+1))),0)</f>
        <v>0</v>
      </c>
      <c r="AH10" s="279" t="n">
        <f aca="false">IF(AND(Projects!$G$7="Yes",Projects!$F$7="Yes",32&gt;=Projects!$C$7,32&lt;Projects!$C$7+Projects!$D$7),Projects!$B$7*(1-SUMPRODUCT((Curves!$B$3:$AO$3)*(COLUMN(Curves!$B$3:$AO$3)-COLUMN(Curves!$B$3)+1&lt;=32-Projects!$C$7+1))),0)</f>
        <v>0</v>
      </c>
      <c r="AI10" s="279" t="n">
        <f aca="false">IF(AND(Projects!$G$7="Yes",Projects!$F$7="Yes",33&gt;=Projects!$C$7,33&lt;Projects!$C$7+Projects!$D$7),Projects!$B$7*(1-SUMPRODUCT((Curves!$B$3:$AO$3)*(COLUMN(Curves!$B$3:$AO$3)-COLUMN(Curves!$B$3)+1&lt;=33-Projects!$C$7+1))),0)</f>
        <v>0</v>
      </c>
      <c r="AJ10" s="279" t="n">
        <f aca="false">IF(AND(Projects!$G$7="Yes",Projects!$F$7="Yes",34&gt;=Projects!$C$7,34&lt;Projects!$C$7+Projects!$D$7),Projects!$B$7*(1-SUMPRODUCT((Curves!$B$3:$AO$3)*(COLUMN(Curves!$B$3:$AO$3)-COLUMN(Curves!$B$3)+1&lt;=34-Projects!$C$7+1))),0)</f>
        <v>0</v>
      </c>
      <c r="AK10" s="279" t="n">
        <f aca="false">IF(AND(Projects!$G$7="Yes",Projects!$F$7="Yes",35&gt;=Projects!$C$7,35&lt;Projects!$C$7+Projects!$D$7),Projects!$B$7*(1-SUMPRODUCT((Curves!$B$3:$AO$3)*(COLUMN(Curves!$B$3:$AO$3)-COLUMN(Curves!$B$3)+1&lt;=35-Projects!$C$7+1))),0)</f>
        <v>0</v>
      </c>
      <c r="AL10" s="279" t="n">
        <f aca="false">IF(AND(Projects!$G$7="Yes",Projects!$F$7="Yes",36&gt;=Projects!$C$7,36&lt;Projects!$C$7+Projects!$D$7),Projects!$B$7*(1-SUMPRODUCT((Curves!$B$3:$AO$3)*(COLUMN(Curves!$B$3:$AO$3)-COLUMN(Curves!$B$3)+1&lt;=36-Projects!$C$7+1))),0)</f>
        <v>0</v>
      </c>
      <c r="AM10" s="279" t="n">
        <f aca="false">IF(AND(Projects!$G$7="Yes",Projects!$F$7="Yes",37&gt;=Projects!$C$7,37&lt;Projects!$C$7+Projects!$D$7),Projects!$B$7*(1-SUMPRODUCT((Curves!$B$3:$AO$3)*(COLUMN(Curves!$B$3:$AO$3)-COLUMN(Curves!$B$3)+1&lt;=37-Projects!$C$7+1))),0)</f>
        <v>0</v>
      </c>
      <c r="AN10" s="279" t="n">
        <f aca="false">IF(AND(Projects!$G$7="Yes",Projects!$F$7="Yes",38&gt;=Projects!$C$7,38&lt;Projects!$C$7+Projects!$D$7),Projects!$B$7*(1-SUMPRODUCT((Curves!$B$3:$AO$3)*(COLUMN(Curves!$B$3:$AO$3)-COLUMN(Curves!$B$3)+1&lt;=38-Projects!$C$7+1))),0)</f>
        <v>0</v>
      </c>
      <c r="AO10" s="279" t="n">
        <f aca="false">IF(AND(Projects!$G$7="Yes",Projects!$F$7="Yes",39&gt;=Projects!$C$7,39&lt;Projects!$C$7+Projects!$D$7),Projects!$B$7*(1-SUMPRODUCT((Curves!$B$3:$AO$3)*(COLUMN(Curves!$B$3:$AO$3)-COLUMN(Curves!$B$3)+1&lt;=39-Projects!$C$7+1))),0)</f>
        <v>0</v>
      </c>
      <c r="AP10" s="279" t="n">
        <f aca="false">IF(AND(Projects!$G$7="Yes",Projects!$F$7="Yes",40&gt;=Projects!$C$7,40&lt;Projects!$C$7+Projects!$D$7),Projects!$B$7*(1-SUMPRODUCT((Curves!$B$3:$AO$3)*(COLUMN(Curves!$B$3:$AO$3)-COLUMN(Curves!$B$3)+1&lt;=40-Projects!$C$7+1))),0)</f>
        <v>0</v>
      </c>
      <c r="AQ10" s="279" t="n">
        <f aca="false">IF(AND(Projects!$G$7="Yes",Projects!$F$7="Yes",41&gt;=Projects!$C$7,41&lt;Projects!$C$7+Projects!$D$7),Projects!$B$7*(1-SUMPRODUCT((Curves!$B$3:$AO$3)*(COLUMN(Curves!$B$3:$AO$3)-COLUMN(Curves!$B$3)+1&lt;=41-Projects!$C$7+1))),0)</f>
        <v>0</v>
      </c>
      <c r="AR10" s="279" t="n">
        <f aca="false">IF(AND(Projects!$G$7="Yes",Projects!$F$7="Yes",42&gt;=Projects!$C$7,42&lt;Projects!$C$7+Projects!$D$7),Projects!$B$7*(1-SUMPRODUCT((Curves!$B$3:$AO$3)*(COLUMN(Curves!$B$3:$AO$3)-COLUMN(Curves!$B$3)+1&lt;=42-Projects!$C$7+1))),0)</f>
        <v>0</v>
      </c>
      <c r="AS10" s="279" t="n">
        <f aca="false">IF(AND(Projects!$G$7="Yes",Projects!$F$7="Yes",43&gt;=Projects!$C$7,43&lt;Projects!$C$7+Projects!$D$7),Projects!$B$7*(1-SUMPRODUCT((Curves!$B$3:$AO$3)*(COLUMN(Curves!$B$3:$AO$3)-COLUMN(Curves!$B$3)+1&lt;=43-Projects!$C$7+1))),0)</f>
        <v>0</v>
      </c>
      <c r="AT10" s="279" t="n">
        <f aca="false">IF(AND(Projects!$G$7="Yes",Projects!$F$7="Yes",44&gt;=Projects!$C$7,44&lt;Projects!$C$7+Projects!$D$7),Projects!$B$7*(1-SUMPRODUCT((Curves!$B$3:$AO$3)*(COLUMN(Curves!$B$3:$AO$3)-COLUMN(Curves!$B$3)+1&lt;=44-Projects!$C$7+1))),0)</f>
        <v>0</v>
      </c>
      <c r="AU10" s="279" t="n">
        <f aca="false">IF(AND(Projects!$G$7="Yes",Projects!$F$7="Yes",45&gt;=Projects!$C$7,45&lt;Projects!$C$7+Projects!$D$7),Projects!$B$7*(1-SUMPRODUCT((Curves!$B$3:$AO$3)*(COLUMN(Curves!$B$3:$AO$3)-COLUMN(Curves!$B$3)+1&lt;=45-Projects!$C$7+1))),0)</f>
        <v>0</v>
      </c>
      <c r="AV10" s="279" t="n">
        <f aca="false">IF(AND(Projects!$G$7="Yes",Projects!$F$7="Yes",46&gt;=Projects!$C$7,46&lt;Projects!$C$7+Projects!$D$7),Projects!$B$7*(1-SUMPRODUCT((Curves!$B$3:$AO$3)*(COLUMN(Curves!$B$3:$AO$3)-COLUMN(Curves!$B$3)+1&lt;=46-Projects!$C$7+1))),0)</f>
        <v>0</v>
      </c>
      <c r="AW10" s="279" t="n">
        <f aca="false">IF(AND(Projects!$G$7="Yes",Projects!$F$7="Yes",47&gt;=Projects!$C$7,47&lt;Projects!$C$7+Projects!$D$7),Projects!$B$7*(1-SUMPRODUCT((Curves!$B$3:$AO$3)*(COLUMN(Curves!$B$3:$AO$3)-COLUMN(Curves!$B$3)+1&lt;=47-Projects!$C$7+1))),0)</f>
        <v>0</v>
      </c>
      <c r="AX10" s="279" t="n">
        <f aca="false">IF(AND(Projects!$G$7="Yes",Projects!$F$7="Yes",48&gt;=Projects!$C$7,48&lt;Projects!$C$7+Projects!$D$7),Projects!$B$7*(1-SUMPRODUCT((Curves!$B$3:$AO$3)*(COLUMN(Curves!$B$3:$AO$3)-COLUMN(Curves!$B$3)+1&lt;=48-Projects!$C$7+1))),0)</f>
        <v>0</v>
      </c>
      <c r="AY10" s="279" t="n">
        <f aca="false">IF(AND(Projects!$G$7="Yes",Projects!$F$7="Yes",49&gt;=Projects!$C$7,49&lt;Projects!$C$7+Projects!$D$7),Projects!$B$7*(1-SUMPRODUCT((Curves!$B$3:$AO$3)*(COLUMN(Curves!$B$3:$AO$3)-COLUMN(Curves!$B$3)+1&lt;=49-Projects!$C$7+1))),0)</f>
        <v>0</v>
      </c>
      <c r="AZ10" s="279" t="n">
        <f aca="false">IF(AND(Projects!$G$7="Yes",Projects!$F$7="Yes",50&gt;=Projects!$C$7,50&lt;Projects!$C$7+Projects!$D$7),Projects!$B$7*(1-SUMPRODUCT((Curves!$B$3:$AO$3)*(COLUMN(Curves!$B$3:$AO$3)-COLUMN(Curves!$B$3)+1&lt;=50-Projects!$C$7+1))),0)</f>
        <v>0</v>
      </c>
      <c r="BA10" s="279" t="n">
        <f aca="false">IF(AND(Projects!$G$7="Yes",Projects!$F$7="Yes",51&gt;=Projects!$C$7,51&lt;Projects!$C$7+Projects!$D$7),Projects!$B$7*(1-SUMPRODUCT((Curves!$B$3:$AO$3)*(COLUMN(Curves!$B$3:$AO$3)-COLUMN(Curves!$B$3)+1&lt;=51-Projects!$C$7+1))),0)</f>
        <v>0</v>
      </c>
      <c r="BB10" s="279" t="n">
        <f aca="false">IF(AND(Projects!$G$7="Yes",Projects!$F$7="Yes",52&gt;=Projects!$C$7,52&lt;Projects!$C$7+Projects!$D$7),Projects!$B$7*(1-SUMPRODUCT((Curves!$B$3:$AO$3)*(COLUMN(Curves!$B$3:$AO$3)-COLUMN(Curves!$B$3)+1&lt;=52-Projects!$C$7+1))),0)</f>
        <v>0</v>
      </c>
      <c r="BC10" s="279" t="n">
        <f aca="false">IF(AND(Projects!$G$7="Yes",Projects!$F$7="Yes",53&gt;=Projects!$C$7,53&lt;Projects!$C$7+Projects!$D$7),Projects!$B$7*(1-SUMPRODUCT((Curves!$B$3:$AO$3)*(COLUMN(Curves!$B$3:$AO$3)-COLUMN(Curves!$B$3)+1&lt;=53-Projects!$C$7+1))),0)</f>
        <v>0</v>
      </c>
      <c r="BD10" s="279" t="n">
        <f aca="false">IF(AND(Projects!$G$7="Yes",Projects!$F$7="Yes",54&gt;=Projects!$C$7,54&lt;Projects!$C$7+Projects!$D$7),Projects!$B$7*(1-SUMPRODUCT((Curves!$B$3:$AO$3)*(COLUMN(Curves!$B$3:$AO$3)-COLUMN(Curves!$B$3)+1&lt;=54-Projects!$C$7+1))),0)</f>
        <v>0</v>
      </c>
      <c r="BE10" s="279" t="n">
        <f aca="false">IF(AND(Projects!$G$7="Yes",Projects!$F$7="Yes",55&gt;=Projects!$C$7,55&lt;Projects!$C$7+Projects!$D$7),Projects!$B$7*(1-SUMPRODUCT((Curves!$B$3:$AO$3)*(COLUMN(Curves!$B$3:$AO$3)-COLUMN(Curves!$B$3)+1&lt;=55-Projects!$C$7+1))),0)</f>
        <v>0</v>
      </c>
      <c r="BF10" s="279" t="n">
        <f aca="false">IF(AND(Projects!$G$7="Yes",Projects!$F$7="Yes",56&gt;=Projects!$C$7,56&lt;Projects!$C$7+Projects!$D$7),Projects!$B$7*(1-SUMPRODUCT((Curves!$B$3:$AO$3)*(COLUMN(Curves!$B$3:$AO$3)-COLUMN(Curves!$B$3)+1&lt;=56-Projects!$C$7+1))),0)</f>
        <v>0</v>
      </c>
      <c r="BG10" s="279" t="n">
        <f aca="false">IF(AND(Projects!$G$7="Yes",Projects!$F$7="Yes",57&gt;=Projects!$C$7,57&lt;Projects!$C$7+Projects!$D$7),Projects!$B$7*(1-SUMPRODUCT((Curves!$B$3:$AO$3)*(COLUMN(Curves!$B$3:$AO$3)-COLUMN(Curves!$B$3)+1&lt;=57-Projects!$C$7+1))),0)</f>
        <v>0</v>
      </c>
      <c r="BH10" s="279" t="n">
        <f aca="false">IF(AND(Projects!$G$7="Yes",Projects!$F$7="Yes",58&gt;=Projects!$C$7,58&lt;Projects!$C$7+Projects!$D$7),Projects!$B$7*(1-SUMPRODUCT((Curves!$B$3:$AO$3)*(COLUMN(Curves!$B$3:$AO$3)-COLUMN(Curves!$B$3)+1&lt;=58-Projects!$C$7+1))),0)</f>
        <v>0</v>
      </c>
      <c r="BI10" s="279" t="n">
        <f aca="false">IF(AND(Projects!$G$7="Yes",Projects!$F$7="Yes",59&gt;=Projects!$C$7,59&lt;Projects!$C$7+Projects!$D$7),Projects!$B$7*(1-SUMPRODUCT((Curves!$B$3:$AO$3)*(COLUMN(Curves!$B$3:$AO$3)-COLUMN(Curves!$B$3)+1&lt;=59-Projects!$C$7+1))),0)</f>
        <v>0</v>
      </c>
      <c r="BJ10" s="279" t="n">
        <f aca="false">IF(AND(Projects!$G$7="Yes",Projects!$F$7="Yes",60&gt;=Projects!$C$7,60&lt;Projects!$C$7+Projects!$D$7),Projects!$B$7*(1-SUMPRODUCT((Curves!$B$3:$AO$3)*(COLUMN(Curves!$B$3:$AO$3)-COLUMN(Curves!$B$3)+1&lt;=60-Projects!$C$7+1))),0)</f>
        <v>0</v>
      </c>
      <c r="BK10" s="279" t="n">
        <f aca="false">IF(AND(Projects!$G$7="Yes",Projects!$F$7="Yes",61&gt;=Projects!$C$7,61&lt;Projects!$C$7+Projects!$D$7),Projects!$B$7*(1-SUMPRODUCT((Curves!$B$3:$AO$3)*(COLUMN(Curves!$B$3:$AO$3)-COLUMN(Curves!$B$3)+1&lt;=61-Projects!$C$7+1))),0)</f>
        <v>0</v>
      </c>
      <c r="BL10" s="279" t="n">
        <f aca="false">IF(AND(Projects!$G$7="Yes",Projects!$F$7="Yes",62&gt;=Projects!$C$7,62&lt;Projects!$C$7+Projects!$D$7),Projects!$B$7*(1-SUMPRODUCT((Curves!$B$3:$AO$3)*(COLUMN(Curves!$B$3:$AO$3)-COLUMN(Curves!$B$3)+1&lt;=62-Projects!$C$7+1))),0)</f>
        <v>0</v>
      </c>
      <c r="BM10" s="279" t="n">
        <f aca="false">IF(AND(Projects!$G$7="Yes",Projects!$F$7="Yes",63&gt;=Projects!$C$7,63&lt;Projects!$C$7+Projects!$D$7),Projects!$B$7*(1-SUMPRODUCT((Curves!$B$3:$AO$3)*(COLUMN(Curves!$B$3:$AO$3)-COLUMN(Curves!$B$3)+1&lt;=63-Projects!$C$7+1))),0)</f>
        <v>0</v>
      </c>
      <c r="BN10" s="279" t="n">
        <f aca="false">IF(AND(Projects!$G$7="Yes",Projects!$F$7="Yes",64&gt;=Projects!$C$7,64&lt;Projects!$C$7+Projects!$D$7),Projects!$B$7*(1-SUMPRODUCT((Curves!$B$3:$AO$3)*(COLUMN(Curves!$B$3:$AO$3)-COLUMN(Curves!$B$3)+1&lt;=64-Projects!$C$7+1))),0)</f>
        <v>0</v>
      </c>
      <c r="BO10" s="279" t="n">
        <f aca="false">IF(AND(Projects!$G$7="Yes",Projects!$F$7="Yes",65&gt;=Projects!$C$7,65&lt;Projects!$C$7+Projects!$D$7),Projects!$B$7*(1-SUMPRODUCT((Curves!$B$3:$AO$3)*(COLUMN(Curves!$B$3:$AO$3)-COLUMN(Curves!$B$3)+1&lt;=65-Projects!$C$7+1))),0)</f>
        <v>0</v>
      </c>
      <c r="BP10" s="279" t="n">
        <f aca="false">IF(AND(Projects!$G$7="Yes",Projects!$F$7="Yes",66&gt;=Projects!$C$7,66&lt;Projects!$C$7+Projects!$D$7),Projects!$B$7*(1-SUMPRODUCT((Curves!$B$3:$AO$3)*(COLUMN(Curves!$B$3:$AO$3)-COLUMN(Curves!$B$3)+1&lt;=66-Projects!$C$7+1))),0)</f>
        <v>0</v>
      </c>
      <c r="BQ10" s="279" t="n">
        <f aca="false">IF(AND(Projects!$G$7="Yes",Projects!$F$7="Yes",67&gt;=Projects!$C$7,67&lt;Projects!$C$7+Projects!$D$7),Projects!$B$7*(1-SUMPRODUCT((Curves!$B$3:$AO$3)*(COLUMN(Curves!$B$3:$AO$3)-COLUMN(Curves!$B$3)+1&lt;=67-Projects!$C$7+1))),0)</f>
        <v>0</v>
      </c>
      <c r="BR10" s="279" t="n">
        <f aca="false">IF(AND(Projects!$G$7="Yes",Projects!$F$7="Yes",68&gt;=Projects!$C$7,68&lt;Projects!$C$7+Projects!$D$7),Projects!$B$7*(1-SUMPRODUCT((Curves!$B$3:$AO$3)*(COLUMN(Curves!$B$3:$AO$3)-COLUMN(Curves!$B$3)+1&lt;=68-Projects!$C$7+1))),0)</f>
        <v>0</v>
      </c>
      <c r="BS10" s="279" t="n">
        <f aca="false">IF(AND(Projects!$G$7="Yes",Projects!$F$7="Yes",69&gt;=Projects!$C$7,69&lt;Projects!$C$7+Projects!$D$7),Projects!$B$7*(1-SUMPRODUCT((Curves!$B$3:$AO$3)*(COLUMN(Curves!$B$3:$AO$3)-COLUMN(Curves!$B$3)+1&lt;=69-Projects!$C$7+1))),0)</f>
        <v>0</v>
      </c>
      <c r="BT10" s="279" t="n">
        <f aca="false">IF(AND(Projects!$G$7="Yes",Projects!$F$7="Yes",70&gt;=Projects!$C$7,70&lt;Projects!$C$7+Projects!$D$7),Projects!$B$7*(1-SUMPRODUCT((Curves!$B$3:$AO$3)*(COLUMN(Curves!$B$3:$AO$3)-COLUMN(Curves!$B$3)+1&lt;=70-Projects!$C$7+1))),0)</f>
        <v>0</v>
      </c>
      <c r="BU10" s="279" t="n">
        <f aca="false">IF(AND(Projects!$G$7="Yes",Projects!$F$7="Yes",71&gt;=Projects!$C$7,71&lt;Projects!$C$7+Projects!$D$7),Projects!$B$7*(1-SUMPRODUCT((Curves!$B$3:$AO$3)*(COLUMN(Curves!$B$3:$AO$3)-COLUMN(Curves!$B$3)+1&lt;=71-Projects!$C$7+1))),0)</f>
        <v>0</v>
      </c>
      <c r="BV10" s="279" t="n">
        <f aca="false">IF(AND(Projects!$G$7="Yes",Projects!$F$7="Yes",72&gt;=Projects!$C$7,72&lt;Projects!$C$7+Projects!$D$7),Projects!$B$7*(1-SUMPRODUCT((Curves!$B$3:$AO$3)*(COLUMN(Curves!$B$3:$AO$3)-COLUMN(Curves!$B$3)+1&lt;=72-Projects!$C$7+1))),0)</f>
        <v>0</v>
      </c>
      <c r="BW10" s="279" t="n">
        <f aca="false">IF(AND(Projects!$G$7="Yes",Projects!$F$7="Yes",73&gt;=Projects!$C$7,73&lt;Projects!$C$7+Projects!$D$7),Projects!$B$7*(1-SUMPRODUCT((Curves!$B$3:$AO$3)*(COLUMN(Curves!$B$3:$AO$3)-COLUMN(Curves!$B$3)+1&lt;=73-Projects!$C$7+1))),0)</f>
        <v>0</v>
      </c>
      <c r="BX10" s="279" t="n">
        <f aca="false">IF(AND(Projects!$G$7="Yes",Projects!$F$7="Yes",74&gt;=Projects!$C$7,74&lt;Projects!$C$7+Projects!$D$7),Projects!$B$7*(1-SUMPRODUCT((Curves!$B$3:$AO$3)*(COLUMN(Curves!$B$3:$AO$3)-COLUMN(Curves!$B$3)+1&lt;=74-Projects!$C$7+1))),0)</f>
        <v>0</v>
      </c>
      <c r="BY10" s="279" t="n">
        <f aca="false">IF(AND(Projects!$G$7="Yes",Projects!$F$7="Yes",75&gt;=Projects!$C$7,75&lt;Projects!$C$7+Projects!$D$7),Projects!$B$7*(1-SUMPRODUCT((Curves!$B$3:$AO$3)*(COLUMN(Curves!$B$3:$AO$3)-COLUMN(Curves!$B$3)+1&lt;=75-Projects!$C$7+1))),0)</f>
        <v>0</v>
      </c>
      <c r="BZ10" s="279" t="n">
        <f aca="false">IF(AND(Projects!$G$7="Yes",Projects!$F$7="Yes",76&gt;=Projects!$C$7,76&lt;Projects!$C$7+Projects!$D$7),Projects!$B$7*(1-SUMPRODUCT((Curves!$B$3:$AO$3)*(COLUMN(Curves!$B$3:$AO$3)-COLUMN(Curves!$B$3)+1&lt;=76-Projects!$C$7+1))),0)</f>
        <v>0</v>
      </c>
      <c r="CA10" s="279" t="n">
        <f aca="false">IF(AND(Projects!$G$7="Yes",Projects!$F$7="Yes",77&gt;=Projects!$C$7,77&lt;Projects!$C$7+Projects!$D$7),Projects!$B$7*(1-SUMPRODUCT((Curves!$B$3:$AO$3)*(COLUMN(Curves!$B$3:$AO$3)-COLUMN(Curves!$B$3)+1&lt;=77-Projects!$C$7+1))),0)</f>
        <v>0</v>
      </c>
      <c r="CB10" s="279" t="n">
        <f aca="false">IF(AND(Projects!$G$7="Yes",Projects!$F$7="Yes",78&gt;=Projects!$C$7,78&lt;Projects!$C$7+Projects!$D$7),Projects!$B$7*(1-SUMPRODUCT((Curves!$B$3:$AO$3)*(COLUMN(Curves!$B$3:$AO$3)-COLUMN(Curves!$B$3)+1&lt;=78-Projects!$C$7+1))),0)</f>
        <v>0</v>
      </c>
      <c r="CC10" s="279" t="n">
        <f aca="false">IF(AND(Projects!$G$7="Yes",Projects!$F$7="Yes",79&gt;=Projects!$C$7,79&lt;Projects!$C$7+Projects!$D$7),Projects!$B$7*(1-SUMPRODUCT((Curves!$B$3:$AO$3)*(COLUMN(Curves!$B$3:$AO$3)-COLUMN(Curves!$B$3)+1&lt;=79-Projects!$C$7+1))),0)</f>
        <v>0</v>
      </c>
      <c r="CD10" s="279" t="n">
        <f aca="false">IF(AND(Projects!$G$7="Yes",Projects!$F$7="Yes",80&gt;=Projects!$C$7,80&lt;Projects!$C$7+Projects!$D$7),Projects!$B$7*(1-SUMPRODUCT((Curves!$B$3:$AO$3)*(COLUMN(Curves!$B$3:$AO$3)-COLUMN(Curves!$B$3)+1&lt;=80-Projects!$C$7+1))),0)</f>
        <v>0</v>
      </c>
      <c r="CE10" s="279" t="n">
        <f aca="false">IF(AND(Projects!$G$7="Yes",Projects!$F$7="Yes",81&gt;=Projects!$C$7,81&lt;Projects!$C$7+Projects!$D$7),Projects!$B$7*(1-SUMPRODUCT((Curves!$B$3:$AO$3)*(COLUMN(Curves!$B$3:$AO$3)-COLUMN(Curves!$B$3)+1&lt;=81-Projects!$C$7+1))),0)</f>
        <v>0</v>
      </c>
      <c r="CF10" s="279" t="n">
        <f aca="false">IF(AND(Projects!$G$7="Yes",Projects!$F$7="Yes",82&gt;=Projects!$C$7,82&lt;Projects!$C$7+Projects!$D$7),Projects!$B$7*(1-SUMPRODUCT((Curves!$B$3:$AO$3)*(COLUMN(Curves!$B$3:$AO$3)-COLUMN(Curves!$B$3)+1&lt;=82-Projects!$C$7+1))),0)</f>
        <v>0</v>
      </c>
      <c r="CG10" s="279" t="n">
        <f aca="false">IF(AND(Projects!$G$7="Yes",Projects!$F$7="Yes",83&gt;=Projects!$C$7,83&lt;Projects!$C$7+Projects!$D$7),Projects!$B$7*(1-SUMPRODUCT((Curves!$B$3:$AO$3)*(COLUMN(Curves!$B$3:$AO$3)-COLUMN(Curves!$B$3)+1&lt;=83-Projects!$C$7+1))),0)</f>
        <v>0</v>
      </c>
      <c r="CH10" s="279" t="n">
        <f aca="false">IF(AND(Projects!$G$7="Yes",Projects!$F$7="Yes",84&gt;=Projects!$C$7,84&lt;Projects!$C$7+Projects!$D$7),Projects!$B$7*(1-SUMPRODUCT((Curves!$B$3:$AO$3)*(COLUMN(Curves!$B$3:$AO$3)-COLUMN(Curves!$B$3)+1&lt;=84-Projects!$C$7+1))),0)</f>
        <v>0</v>
      </c>
      <c r="CI10" s="279" t="n">
        <f aca="false">IF(AND(Projects!$G$7="Yes",Projects!$F$7="Yes",85&gt;=Projects!$C$7,85&lt;Projects!$C$7+Projects!$D$7),Projects!$B$7*(1-SUMPRODUCT((Curves!$B$3:$AO$3)*(COLUMN(Curves!$B$3:$AO$3)-COLUMN(Curves!$B$3)+1&lt;=85-Projects!$C$7+1))),0)</f>
        <v>0</v>
      </c>
      <c r="CJ10" s="279" t="n">
        <f aca="false">IF(AND(Projects!$G$7="Yes",Projects!$F$7="Yes",86&gt;=Projects!$C$7,86&lt;Projects!$C$7+Projects!$D$7),Projects!$B$7*(1-SUMPRODUCT((Curves!$B$3:$AO$3)*(COLUMN(Curves!$B$3:$AO$3)-COLUMN(Curves!$B$3)+1&lt;=86-Projects!$C$7+1))),0)</f>
        <v>0</v>
      </c>
      <c r="CK10" s="279" t="n">
        <f aca="false">IF(AND(Projects!$G$7="Yes",Projects!$F$7="Yes",87&gt;=Projects!$C$7,87&lt;Projects!$C$7+Projects!$D$7),Projects!$B$7*(1-SUMPRODUCT((Curves!$B$3:$AO$3)*(COLUMN(Curves!$B$3:$AO$3)-COLUMN(Curves!$B$3)+1&lt;=87-Projects!$C$7+1))),0)</f>
        <v>0</v>
      </c>
      <c r="CL10" s="279" t="n">
        <f aca="false">IF(AND(Projects!$G$7="Yes",Projects!$F$7="Yes",88&gt;=Projects!$C$7,88&lt;Projects!$C$7+Projects!$D$7),Projects!$B$7*(1-SUMPRODUCT((Curves!$B$3:$AO$3)*(COLUMN(Curves!$B$3:$AO$3)-COLUMN(Curves!$B$3)+1&lt;=88-Projects!$C$7+1))),0)</f>
        <v>0</v>
      </c>
      <c r="CM10" s="279" t="n">
        <f aca="false">IF(AND(Projects!$G$7="Yes",Projects!$F$7="Yes",89&gt;=Projects!$C$7,89&lt;Projects!$C$7+Projects!$D$7),Projects!$B$7*(1-SUMPRODUCT((Curves!$B$3:$AO$3)*(COLUMN(Curves!$B$3:$AO$3)-COLUMN(Curves!$B$3)+1&lt;=89-Projects!$C$7+1))),0)</f>
        <v>0</v>
      </c>
      <c r="CN10" s="279" t="n">
        <f aca="false">IF(AND(Projects!$G$7="Yes",Projects!$F$7="Yes",90&gt;=Projects!$C$7,90&lt;Projects!$C$7+Projects!$D$7),Projects!$B$7*(1-SUMPRODUCT((Curves!$B$3:$AO$3)*(COLUMN(Curves!$B$3:$AO$3)-COLUMN(Curves!$B$3)+1&lt;=90-Projects!$C$7+1))),0)</f>
        <v>0</v>
      </c>
      <c r="CO10" s="279" t="n">
        <f aca="false">IF(AND(Projects!$G$7="Yes",Projects!$F$7="Yes",91&gt;=Projects!$C$7,91&lt;Projects!$C$7+Projects!$D$7),Projects!$B$7*(1-SUMPRODUCT((Curves!$B$3:$AO$3)*(COLUMN(Curves!$B$3:$AO$3)-COLUMN(Curves!$B$3)+1&lt;=91-Projects!$C$7+1))),0)</f>
        <v>0</v>
      </c>
      <c r="CP10" s="279" t="n">
        <f aca="false">IF(AND(Projects!$G$7="Yes",Projects!$F$7="Yes",92&gt;=Projects!$C$7,92&lt;Projects!$C$7+Projects!$D$7),Projects!$B$7*(1-SUMPRODUCT((Curves!$B$3:$AO$3)*(COLUMN(Curves!$B$3:$AO$3)-COLUMN(Curves!$B$3)+1&lt;=92-Projects!$C$7+1))),0)</f>
        <v>0</v>
      </c>
      <c r="CQ10" s="279" t="n">
        <f aca="false">IF(AND(Projects!$G$7="Yes",Projects!$F$7="Yes",93&gt;=Projects!$C$7,93&lt;Projects!$C$7+Projects!$D$7),Projects!$B$7*(1-SUMPRODUCT((Curves!$B$3:$AO$3)*(COLUMN(Curves!$B$3:$AO$3)-COLUMN(Curves!$B$3)+1&lt;=93-Projects!$C$7+1))),0)</f>
        <v>0</v>
      </c>
    </row>
    <row r="11" customFormat="false" ht="15" hidden="false" customHeight="true" outlineLevel="0" collapsed="false">
      <c r="A11" s="175" t="s">
        <v>13</v>
      </c>
      <c r="C11" s="279" t="n">
        <f aca="false">IF(AND(Projects!$G$8="Yes",Projects!$F$8="Yes",1&gt;=Projects!$C$8,1&lt;Projects!$C$8+Projects!$D$8),Projects!$B$8*(1-SUMPRODUCT((Curves!$B$4:$AO$4)*(COLUMN(Curves!$B$4:$AO$4)-COLUMN(Curves!$B$4)+1&lt;=1-Projects!$C$8+1))),0)</f>
        <v>0</v>
      </c>
      <c r="D11" s="279" t="n">
        <f aca="false">IF(AND(Projects!$G$8="Yes",Projects!$F$8="Yes",2&gt;=Projects!$C$8,2&lt;Projects!$C$8+Projects!$D$8),Projects!$B$8*(1-SUMPRODUCT((Curves!$B$4:$AO$4)*(COLUMN(Curves!$B$4:$AO$4)-COLUMN(Curves!$B$4)+1&lt;=2-Projects!$C$8+1))),0)</f>
        <v>0</v>
      </c>
      <c r="E11" s="279" t="n">
        <f aca="false">IF(AND(Projects!$G$8="Yes",Projects!$F$8="Yes",3&gt;=Projects!$C$8,3&lt;Projects!$C$8+Projects!$D$8),Projects!$B$8*(1-SUMPRODUCT((Curves!$B$4:$AO$4)*(COLUMN(Curves!$B$4:$AO$4)-COLUMN(Curves!$B$4)+1&lt;=3-Projects!$C$8+1))),0)</f>
        <v>0</v>
      </c>
      <c r="F11" s="279" t="n">
        <f aca="false">IF(AND(Projects!$G$8="Yes",Projects!$F$8="Yes",4&gt;=Projects!$C$8,4&lt;Projects!$C$8+Projects!$D$8),Projects!$B$8*(1-SUMPRODUCT((Curves!$B$4:$AO$4)*(COLUMN(Curves!$B$4:$AO$4)-COLUMN(Curves!$B$4)+1&lt;=4-Projects!$C$8+1))),0)</f>
        <v>0</v>
      </c>
      <c r="G11" s="279" t="n">
        <f aca="false">IF(AND(Projects!$G$8="Yes",Projects!$F$8="Yes",5&gt;=Projects!$C$8,5&lt;Projects!$C$8+Projects!$D$8),Projects!$B$8*(1-SUMPRODUCT((Curves!$B$4:$AO$4)*(COLUMN(Curves!$B$4:$AO$4)-COLUMN(Curves!$B$4)+1&lt;=5-Projects!$C$8+1))),0)</f>
        <v>12649220.0904822</v>
      </c>
      <c r="H11" s="279" t="n">
        <f aca="false">IF(AND(Projects!$G$8="Yes",Projects!$F$8="Yes",6&gt;=Projects!$C$8,6&lt;Projects!$C$8+Projects!$D$8),Projects!$B$8*(1-SUMPRODUCT((Curves!$B$4:$AO$4)*(COLUMN(Curves!$B$4:$AO$4)-COLUMN(Curves!$B$4)+1&lt;=6-Projects!$C$8+1))),0)</f>
        <v>12223530.9933081</v>
      </c>
      <c r="I11" s="279" t="n">
        <f aca="false">IF(AND(Projects!$G$8="Yes",Projects!$F$8="Yes",7&gt;=Projects!$C$8,7&lt;Projects!$C$8+Projects!$D$8),Projects!$B$8*(1-SUMPRODUCT((Curves!$B$4:$AO$4)*(COLUMN(Curves!$B$4:$AO$4)-COLUMN(Curves!$B$4)+1&lt;=7-Projects!$C$8+1))),0)</f>
        <v>11710510.727302</v>
      </c>
      <c r="J11" s="279" t="n">
        <f aca="false">IF(AND(Projects!$G$8="Yes",Projects!$F$8="Yes",8&gt;=Projects!$C$8,8&lt;Projects!$C$8+Projects!$D$8),Projects!$B$8*(1-SUMPRODUCT((Curves!$B$4:$AO$4)*(COLUMN(Curves!$B$4:$AO$4)-COLUMN(Curves!$B$4)+1&lt;=8-Projects!$C$8+1))),0)</f>
        <v>11107443.5932694</v>
      </c>
      <c r="K11" s="279" t="n">
        <f aca="false">IF(AND(Projects!$G$8="Yes",Projects!$F$8="Yes",9&gt;=Projects!$C$8,9&lt;Projects!$C$8+Projects!$D$8),Projects!$B$8*(1-SUMPRODUCT((Curves!$B$4:$AO$4)*(COLUMN(Curves!$B$4:$AO$4)-COLUMN(Curves!$B$4)+1&lt;=9-Projects!$C$8+1))),0)</f>
        <v>10415940.8194405</v>
      </c>
      <c r="L11" s="279" t="n">
        <f aca="false">IF(AND(Projects!$G$8="Yes",Projects!$F$8="Yes",10&gt;=Projects!$C$8,10&lt;Projects!$C$8+Projects!$D$8),Projects!$B$8*(1-SUMPRODUCT((Curves!$B$4:$AO$4)*(COLUMN(Curves!$B$4:$AO$4)-COLUMN(Curves!$B$4)+1&lt;=10-Projects!$C$8+1))),0)</f>
        <v>9642525.2813924</v>
      </c>
      <c r="M11" s="279" t="n">
        <f aca="false">IF(AND(Projects!$G$8="Yes",Projects!$F$8="Yes",11&gt;=Projects!$C$8,11&lt;Projects!$C$8+Projects!$D$8),Projects!$B$8*(1-SUMPRODUCT((Curves!$B$4:$AO$4)*(COLUMN(Curves!$B$4:$AO$4)-COLUMN(Curves!$B$4)+1&lt;=11-Projects!$C$8+1))),0)</f>
        <v>8798748.44603355</v>
      </c>
      <c r="N11" s="279" t="n">
        <f aca="false">IF(AND(Projects!$G$8="Yes",Projects!$F$8="Yes",12&gt;=Projects!$C$8,12&lt;Projects!$C$8+Projects!$D$8),Projects!$B$8*(1-SUMPRODUCT((Curves!$B$4:$AO$4)*(COLUMN(Curves!$B$4:$AO$4)-COLUMN(Curves!$B$4)+1&lt;=12-Projects!$C$8+1))),0)</f>
        <v>7900826.54587435</v>
      </c>
      <c r="O11" s="279" t="n">
        <f aca="false">IF(AND(Projects!$G$8="Yes",Projects!$F$8="Yes",13&gt;=Projects!$C$8,13&lt;Projects!$C$8+Projects!$D$8),Projects!$B$8*(1-SUMPRODUCT((Curves!$B$4:$AO$4)*(COLUMN(Curves!$B$4:$AO$4)-COLUMN(Curves!$B$4)+1&lt;=13-Projects!$C$8+1))),0)</f>
        <v>6968757.00225575</v>
      </c>
      <c r="P11" s="279" t="n">
        <f aca="false">IF(AND(Projects!$G$8="Yes",Projects!$F$8="Yes",14&gt;=Projects!$C$8,14&lt;Projects!$C$8+Projects!$D$8),Projects!$B$8*(1-SUMPRODUCT((Curves!$B$4:$AO$4)*(COLUMN(Curves!$B$4:$AO$4)-COLUMN(Curves!$B$4)+1&lt;=14-Projects!$C$8+1))),0)</f>
        <v>6025019.04774425</v>
      </c>
      <c r="Q11" s="279" t="n">
        <f aca="false">IF(AND(Projects!$G$8="Yes",Projects!$F$8="Yes",15&gt;=Projects!$C$8,15&lt;Projects!$C$8+Projects!$D$8),Projects!$B$8*(1-SUMPRODUCT((Curves!$B$4:$AO$4)*(COLUMN(Curves!$B$4:$AO$4)-COLUMN(Curves!$B$4)+1&lt;=15-Projects!$C$8+1))),0)</f>
        <v>5092949.50412565</v>
      </c>
      <c r="R11" s="279" t="n">
        <f aca="false">IF(AND(Projects!$G$8="Yes",Projects!$F$8="Yes",16&gt;=Projects!$C$8,16&lt;Projects!$C$8+Projects!$D$8),Projects!$B$8*(1-SUMPRODUCT((Curves!$B$4:$AO$4)*(COLUMN(Curves!$B$4:$AO$4)-COLUMN(Curves!$B$4)+1&lt;=16-Projects!$C$8+1))),0)</f>
        <v>4195027.60396645</v>
      </c>
      <c r="S11" s="279" t="n">
        <f aca="false">IF(AND(Projects!$G$8="Yes",Projects!$F$8="Yes",17&gt;=Projects!$C$8,17&lt;Projects!$C$8+Projects!$D$8),Projects!$B$8*(1-SUMPRODUCT((Curves!$B$4:$AO$4)*(COLUMN(Curves!$B$4:$AO$4)-COLUMN(Curves!$B$4)+1&lt;=17-Projects!$C$8+1))),0)</f>
        <v>3351250.7686076</v>
      </c>
      <c r="T11" s="279" t="n">
        <f aca="false">IF(AND(Projects!$G$8="Yes",Projects!$F$8="Yes",18&gt;=Projects!$C$8,18&lt;Projects!$C$8+Projects!$D$8),Projects!$B$8*(1-SUMPRODUCT((Curves!$B$4:$AO$4)*(COLUMN(Curves!$B$4:$AO$4)-COLUMN(Curves!$B$4)+1&lt;=18-Projects!$C$8+1))),0)</f>
        <v>2577835.2305595</v>
      </c>
      <c r="U11" s="279" t="n">
        <f aca="false">IF(AND(Projects!$G$8="Yes",Projects!$F$8="Yes",19&gt;=Projects!$C$8,19&lt;Projects!$C$8+Projects!$D$8),Projects!$B$8*(1-SUMPRODUCT((Curves!$B$4:$AO$4)*(COLUMN(Curves!$B$4:$AO$4)-COLUMN(Curves!$B$4)+1&lt;=19-Projects!$C$8+1))),0)</f>
        <v>1886332.4567306</v>
      </c>
      <c r="V11" s="279" t="n">
        <f aca="false">IF(AND(Projects!$G$8="Yes",Projects!$F$8="Yes",20&gt;=Projects!$C$8,20&lt;Projects!$C$8+Projects!$D$8),Projects!$B$8*(1-SUMPRODUCT((Curves!$B$4:$AO$4)*(COLUMN(Curves!$B$4:$AO$4)-COLUMN(Curves!$B$4)+1&lt;=20-Projects!$C$8+1))),0)</f>
        <v>1283265.322698</v>
      </c>
      <c r="W11" s="279" t="n">
        <f aca="false">IF(AND(Projects!$G$8="Yes",Projects!$F$8="Yes",21&gt;=Projects!$C$8,21&lt;Projects!$C$8+Projects!$D$8),Projects!$B$8*(1-SUMPRODUCT((Curves!$B$4:$AO$4)*(COLUMN(Curves!$B$4:$AO$4)-COLUMN(Curves!$B$4)+1&lt;=21-Projects!$C$8+1))),0)</f>
        <v>770245.056691899</v>
      </c>
      <c r="X11" s="279" t="n">
        <f aca="false">IF(AND(Projects!$G$8="Yes",Projects!$F$8="Yes",22&gt;=Projects!$C$8,22&lt;Projects!$C$8+Projects!$D$8),Projects!$B$8*(1-SUMPRODUCT((Curves!$B$4:$AO$4)*(COLUMN(Curves!$B$4:$AO$4)-COLUMN(Curves!$B$4)+1&lt;=22-Projects!$C$8+1))),0)</f>
        <v>344555.95951785</v>
      </c>
      <c r="Y11" s="279" t="n">
        <f aca="false">IF(AND(Projects!$G$8="Yes",Projects!$F$8="Yes",23&gt;=Projects!$C$8,23&lt;Projects!$C$8+Projects!$D$8),Projects!$B$8*(1-SUMPRODUCT((Curves!$B$4:$AO$4)*(COLUMN(Curves!$B$4:$AO$4)-COLUMN(Curves!$B$4)+1&lt;=23-Projects!$C$8+1))),0)</f>
        <v>0</v>
      </c>
      <c r="Z11" s="279" t="n">
        <f aca="false">IF(AND(Projects!$G$8="Yes",Projects!$F$8="Yes",24&gt;=Projects!$C$8,24&lt;Projects!$C$8+Projects!$D$8),Projects!$B$8*(1-SUMPRODUCT((Curves!$B$4:$AO$4)*(COLUMN(Curves!$B$4:$AO$4)-COLUMN(Curves!$B$4)+1&lt;=24-Projects!$C$8+1))),0)</f>
        <v>0</v>
      </c>
      <c r="AA11" s="279" t="n">
        <f aca="false">IF(AND(Projects!$G$8="Yes",Projects!$F$8="Yes",25&gt;=Projects!$C$8,25&lt;Projects!$C$8+Projects!$D$8),Projects!$B$8*(1-SUMPRODUCT((Curves!$B$4:$AO$4)*(COLUMN(Curves!$B$4:$AO$4)-COLUMN(Curves!$B$4)+1&lt;=25-Projects!$C$8+1))),0)</f>
        <v>0</v>
      </c>
      <c r="AB11" s="279" t="n">
        <f aca="false">IF(AND(Projects!$G$8="Yes",Projects!$F$8="Yes",26&gt;=Projects!$C$8,26&lt;Projects!$C$8+Projects!$D$8),Projects!$B$8*(1-SUMPRODUCT((Curves!$B$4:$AO$4)*(COLUMN(Curves!$B$4:$AO$4)-COLUMN(Curves!$B$4)+1&lt;=26-Projects!$C$8+1))),0)</f>
        <v>0</v>
      </c>
      <c r="AC11" s="279" t="n">
        <f aca="false">IF(AND(Projects!$G$8="Yes",Projects!$F$8="Yes",27&gt;=Projects!$C$8,27&lt;Projects!$C$8+Projects!$D$8),Projects!$B$8*(1-SUMPRODUCT((Curves!$B$4:$AO$4)*(COLUMN(Curves!$B$4:$AO$4)-COLUMN(Curves!$B$4)+1&lt;=27-Projects!$C$8+1))),0)</f>
        <v>0</v>
      </c>
      <c r="AD11" s="279" t="n">
        <f aca="false">IF(AND(Projects!$G$8="Yes",Projects!$F$8="Yes",28&gt;=Projects!$C$8,28&lt;Projects!$C$8+Projects!$D$8),Projects!$B$8*(1-SUMPRODUCT((Curves!$B$4:$AO$4)*(COLUMN(Curves!$B$4:$AO$4)-COLUMN(Curves!$B$4)+1&lt;=28-Projects!$C$8+1))),0)</f>
        <v>0</v>
      </c>
      <c r="AE11" s="279" t="n">
        <f aca="false">IF(AND(Projects!$G$8="Yes",Projects!$F$8="Yes",29&gt;=Projects!$C$8,29&lt;Projects!$C$8+Projects!$D$8),Projects!$B$8*(1-SUMPRODUCT((Curves!$B$4:$AO$4)*(COLUMN(Curves!$B$4:$AO$4)-COLUMN(Curves!$B$4)+1&lt;=29-Projects!$C$8+1))),0)</f>
        <v>0</v>
      </c>
      <c r="AF11" s="279" t="n">
        <f aca="false">IF(AND(Projects!$G$8="Yes",Projects!$F$8="Yes",30&gt;=Projects!$C$8,30&lt;Projects!$C$8+Projects!$D$8),Projects!$B$8*(1-SUMPRODUCT((Curves!$B$4:$AO$4)*(COLUMN(Curves!$B$4:$AO$4)-COLUMN(Curves!$B$4)+1&lt;=30-Projects!$C$8+1))),0)</f>
        <v>0</v>
      </c>
      <c r="AG11" s="279" t="n">
        <f aca="false">IF(AND(Projects!$G$8="Yes",Projects!$F$8="Yes",31&gt;=Projects!$C$8,31&lt;Projects!$C$8+Projects!$D$8),Projects!$B$8*(1-SUMPRODUCT((Curves!$B$4:$AO$4)*(COLUMN(Curves!$B$4:$AO$4)-COLUMN(Curves!$B$4)+1&lt;=31-Projects!$C$8+1))),0)</f>
        <v>0</v>
      </c>
      <c r="AH11" s="279" t="n">
        <f aca="false">IF(AND(Projects!$G$8="Yes",Projects!$F$8="Yes",32&gt;=Projects!$C$8,32&lt;Projects!$C$8+Projects!$D$8),Projects!$B$8*(1-SUMPRODUCT((Curves!$B$4:$AO$4)*(COLUMN(Curves!$B$4:$AO$4)-COLUMN(Curves!$B$4)+1&lt;=32-Projects!$C$8+1))),0)</f>
        <v>0</v>
      </c>
      <c r="AI11" s="279" t="n">
        <f aca="false">IF(AND(Projects!$G$8="Yes",Projects!$F$8="Yes",33&gt;=Projects!$C$8,33&lt;Projects!$C$8+Projects!$D$8),Projects!$B$8*(1-SUMPRODUCT((Curves!$B$4:$AO$4)*(COLUMN(Curves!$B$4:$AO$4)-COLUMN(Curves!$B$4)+1&lt;=33-Projects!$C$8+1))),0)</f>
        <v>0</v>
      </c>
      <c r="AJ11" s="279" t="n">
        <f aca="false">IF(AND(Projects!$G$8="Yes",Projects!$F$8="Yes",34&gt;=Projects!$C$8,34&lt;Projects!$C$8+Projects!$D$8),Projects!$B$8*(1-SUMPRODUCT((Curves!$B$4:$AO$4)*(COLUMN(Curves!$B$4:$AO$4)-COLUMN(Curves!$B$4)+1&lt;=34-Projects!$C$8+1))),0)</f>
        <v>0</v>
      </c>
      <c r="AK11" s="279" t="n">
        <f aca="false">IF(AND(Projects!$G$8="Yes",Projects!$F$8="Yes",35&gt;=Projects!$C$8,35&lt;Projects!$C$8+Projects!$D$8),Projects!$B$8*(1-SUMPRODUCT((Curves!$B$4:$AO$4)*(COLUMN(Curves!$B$4:$AO$4)-COLUMN(Curves!$B$4)+1&lt;=35-Projects!$C$8+1))),0)</f>
        <v>0</v>
      </c>
      <c r="AL11" s="279" t="n">
        <f aca="false">IF(AND(Projects!$G$8="Yes",Projects!$F$8="Yes",36&gt;=Projects!$C$8,36&lt;Projects!$C$8+Projects!$D$8),Projects!$B$8*(1-SUMPRODUCT((Curves!$B$4:$AO$4)*(COLUMN(Curves!$B$4:$AO$4)-COLUMN(Curves!$B$4)+1&lt;=36-Projects!$C$8+1))),0)</f>
        <v>0</v>
      </c>
      <c r="AM11" s="279" t="n">
        <f aca="false">IF(AND(Projects!$G$8="Yes",Projects!$F$8="Yes",37&gt;=Projects!$C$8,37&lt;Projects!$C$8+Projects!$D$8),Projects!$B$8*(1-SUMPRODUCT((Curves!$B$4:$AO$4)*(COLUMN(Curves!$B$4:$AO$4)-COLUMN(Curves!$B$4)+1&lt;=37-Projects!$C$8+1))),0)</f>
        <v>0</v>
      </c>
      <c r="AN11" s="279" t="n">
        <f aca="false">IF(AND(Projects!$G$8="Yes",Projects!$F$8="Yes",38&gt;=Projects!$C$8,38&lt;Projects!$C$8+Projects!$D$8),Projects!$B$8*(1-SUMPRODUCT((Curves!$B$4:$AO$4)*(COLUMN(Curves!$B$4:$AO$4)-COLUMN(Curves!$B$4)+1&lt;=38-Projects!$C$8+1))),0)</f>
        <v>0</v>
      </c>
      <c r="AO11" s="279" t="n">
        <f aca="false">IF(AND(Projects!$G$8="Yes",Projects!$F$8="Yes",39&gt;=Projects!$C$8,39&lt;Projects!$C$8+Projects!$D$8),Projects!$B$8*(1-SUMPRODUCT((Curves!$B$4:$AO$4)*(COLUMN(Curves!$B$4:$AO$4)-COLUMN(Curves!$B$4)+1&lt;=39-Projects!$C$8+1))),0)</f>
        <v>0</v>
      </c>
      <c r="AP11" s="279" t="n">
        <f aca="false">IF(AND(Projects!$G$8="Yes",Projects!$F$8="Yes",40&gt;=Projects!$C$8,40&lt;Projects!$C$8+Projects!$D$8),Projects!$B$8*(1-SUMPRODUCT((Curves!$B$4:$AO$4)*(COLUMN(Curves!$B$4:$AO$4)-COLUMN(Curves!$B$4)+1&lt;=40-Projects!$C$8+1))),0)</f>
        <v>0</v>
      </c>
      <c r="AQ11" s="279" t="n">
        <f aca="false">IF(AND(Projects!$G$8="Yes",Projects!$F$8="Yes",41&gt;=Projects!$C$8,41&lt;Projects!$C$8+Projects!$D$8),Projects!$B$8*(1-SUMPRODUCT((Curves!$B$4:$AO$4)*(COLUMN(Curves!$B$4:$AO$4)-COLUMN(Curves!$B$4)+1&lt;=41-Projects!$C$8+1))),0)</f>
        <v>0</v>
      </c>
      <c r="AR11" s="279" t="n">
        <f aca="false">IF(AND(Projects!$G$8="Yes",Projects!$F$8="Yes",42&gt;=Projects!$C$8,42&lt;Projects!$C$8+Projects!$D$8),Projects!$B$8*(1-SUMPRODUCT((Curves!$B$4:$AO$4)*(COLUMN(Curves!$B$4:$AO$4)-COLUMN(Curves!$B$4)+1&lt;=42-Projects!$C$8+1))),0)</f>
        <v>0</v>
      </c>
      <c r="AS11" s="279" t="n">
        <f aca="false">IF(AND(Projects!$G$8="Yes",Projects!$F$8="Yes",43&gt;=Projects!$C$8,43&lt;Projects!$C$8+Projects!$D$8),Projects!$B$8*(1-SUMPRODUCT((Curves!$B$4:$AO$4)*(COLUMN(Curves!$B$4:$AO$4)-COLUMN(Curves!$B$4)+1&lt;=43-Projects!$C$8+1))),0)</f>
        <v>0</v>
      </c>
      <c r="AT11" s="279" t="n">
        <f aca="false">IF(AND(Projects!$G$8="Yes",Projects!$F$8="Yes",44&gt;=Projects!$C$8,44&lt;Projects!$C$8+Projects!$D$8),Projects!$B$8*(1-SUMPRODUCT((Curves!$B$4:$AO$4)*(COLUMN(Curves!$B$4:$AO$4)-COLUMN(Curves!$B$4)+1&lt;=44-Projects!$C$8+1))),0)</f>
        <v>0</v>
      </c>
      <c r="AU11" s="279" t="n">
        <f aca="false">IF(AND(Projects!$G$8="Yes",Projects!$F$8="Yes",45&gt;=Projects!$C$8,45&lt;Projects!$C$8+Projects!$D$8),Projects!$B$8*(1-SUMPRODUCT((Curves!$B$4:$AO$4)*(COLUMN(Curves!$B$4:$AO$4)-COLUMN(Curves!$B$4)+1&lt;=45-Projects!$C$8+1))),0)</f>
        <v>0</v>
      </c>
      <c r="AV11" s="279" t="n">
        <f aca="false">IF(AND(Projects!$G$8="Yes",Projects!$F$8="Yes",46&gt;=Projects!$C$8,46&lt;Projects!$C$8+Projects!$D$8),Projects!$B$8*(1-SUMPRODUCT((Curves!$B$4:$AO$4)*(COLUMN(Curves!$B$4:$AO$4)-COLUMN(Curves!$B$4)+1&lt;=46-Projects!$C$8+1))),0)</f>
        <v>0</v>
      </c>
      <c r="AW11" s="279" t="n">
        <f aca="false">IF(AND(Projects!$G$8="Yes",Projects!$F$8="Yes",47&gt;=Projects!$C$8,47&lt;Projects!$C$8+Projects!$D$8),Projects!$B$8*(1-SUMPRODUCT((Curves!$B$4:$AO$4)*(COLUMN(Curves!$B$4:$AO$4)-COLUMN(Curves!$B$4)+1&lt;=47-Projects!$C$8+1))),0)</f>
        <v>0</v>
      </c>
      <c r="AX11" s="279" t="n">
        <f aca="false">IF(AND(Projects!$G$8="Yes",Projects!$F$8="Yes",48&gt;=Projects!$C$8,48&lt;Projects!$C$8+Projects!$D$8),Projects!$B$8*(1-SUMPRODUCT((Curves!$B$4:$AO$4)*(COLUMN(Curves!$B$4:$AO$4)-COLUMN(Curves!$B$4)+1&lt;=48-Projects!$C$8+1))),0)</f>
        <v>0</v>
      </c>
      <c r="AY11" s="279" t="n">
        <f aca="false">IF(AND(Projects!$G$8="Yes",Projects!$F$8="Yes",49&gt;=Projects!$C$8,49&lt;Projects!$C$8+Projects!$D$8),Projects!$B$8*(1-SUMPRODUCT((Curves!$B$4:$AO$4)*(COLUMN(Curves!$B$4:$AO$4)-COLUMN(Curves!$B$4)+1&lt;=49-Projects!$C$8+1))),0)</f>
        <v>0</v>
      </c>
      <c r="AZ11" s="279" t="n">
        <f aca="false">IF(AND(Projects!$G$8="Yes",Projects!$F$8="Yes",50&gt;=Projects!$C$8,50&lt;Projects!$C$8+Projects!$D$8),Projects!$B$8*(1-SUMPRODUCT((Curves!$B$4:$AO$4)*(COLUMN(Curves!$B$4:$AO$4)-COLUMN(Curves!$B$4)+1&lt;=50-Projects!$C$8+1))),0)</f>
        <v>0</v>
      </c>
      <c r="BA11" s="279" t="n">
        <f aca="false">IF(AND(Projects!$G$8="Yes",Projects!$F$8="Yes",51&gt;=Projects!$C$8,51&lt;Projects!$C$8+Projects!$D$8),Projects!$B$8*(1-SUMPRODUCT((Curves!$B$4:$AO$4)*(COLUMN(Curves!$B$4:$AO$4)-COLUMN(Curves!$B$4)+1&lt;=51-Projects!$C$8+1))),0)</f>
        <v>0</v>
      </c>
      <c r="BB11" s="279" t="n">
        <f aca="false">IF(AND(Projects!$G$8="Yes",Projects!$F$8="Yes",52&gt;=Projects!$C$8,52&lt;Projects!$C$8+Projects!$D$8),Projects!$B$8*(1-SUMPRODUCT((Curves!$B$4:$AO$4)*(COLUMN(Curves!$B$4:$AO$4)-COLUMN(Curves!$B$4)+1&lt;=52-Projects!$C$8+1))),0)</f>
        <v>0</v>
      </c>
      <c r="BC11" s="279" t="n">
        <f aca="false">IF(AND(Projects!$G$8="Yes",Projects!$F$8="Yes",53&gt;=Projects!$C$8,53&lt;Projects!$C$8+Projects!$D$8),Projects!$B$8*(1-SUMPRODUCT((Curves!$B$4:$AO$4)*(COLUMN(Curves!$B$4:$AO$4)-COLUMN(Curves!$B$4)+1&lt;=53-Projects!$C$8+1))),0)</f>
        <v>0</v>
      </c>
      <c r="BD11" s="279" t="n">
        <f aca="false">IF(AND(Projects!$G$8="Yes",Projects!$F$8="Yes",54&gt;=Projects!$C$8,54&lt;Projects!$C$8+Projects!$D$8),Projects!$B$8*(1-SUMPRODUCT((Curves!$B$4:$AO$4)*(COLUMN(Curves!$B$4:$AO$4)-COLUMN(Curves!$B$4)+1&lt;=54-Projects!$C$8+1))),0)</f>
        <v>0</v>
      </c>
      <c r="BE11" s="279" t="n">
        <f aca="false">IF(AND(Projects!$G$8="Yes",Projects!$F$8="Yes",55&gt;=Projects!$C$8,55&lt;Projects!$C$8+Projects!$D$8),Projects!$B$8*(1-SUMPRODUCT((Curves!$B$4:$AO$4)*(COLUMN(Curves!$B$4:$AO$4)-COLUMN(Curves!$B$4)+1&lt;=55-Projects!$C$8+1))),0)</f>
        <v>0</v>
      </c>
      <c r="BF11" s="279" t="n">
        <f aca="false">IF(AND(Projects!$G$8="Yes",Projects!$F$8="Yes",56&gt;=Projects!$C$8,56&lt;Projects!$C$8+Projects!$D$8),Projects!$B$8*(1-SUMPRODUCT((Curves!$B$4:$AO$4)*(COLUMN(Curves!$B$4:$AO$4)-COLUMN(Curves!$B$4)+1&lt;=56-Projects!$C$8+1))),0)</f>
        <v>0</v>
      </c>
      <c r="BG11" s="279" t="n">
        <f aca="false">IF(AND(Projects!$G$8="Yes",Projects!$F$8="Yes",57&gt;=Projects!$C$8,57&lt;Projects!$C$8+Projects!$D$8),Projects!$B$8*(1-SUMPRODUCT((Curves!$B$4:$AO$4)*(COLUMN(Curves!$B$4:$AO$4)-COLUMN(Curves!$B$4)+1&lt;=57-Projects!$C$8+1))),0)</f>
        <v>0</v>
      </c>
      <c r="BH11" s="279" t="n">
        <f aca="false">IF(AND(Projects!$G$8="Yes",Projects!$F$8="Yes",58&gt;=Projects!$C$8,58&lt;Projects!$C$8+Projects!$D$8),Projects!$B$8*(1-SUMPRODUCT((Curves!$B$4:$AO$4)*(COLUMN(Curves!$B$4:$AO$4)-COLUMN(Curves!$B$4)+1&lt;=58-Projects!$C$8+1))),0)</f>
        <v>0</v>
      </c>
      <c r="BI11" s="279" t="n">
        <f aca="false">IF(AND(Projects!$G$8="Yes",Projects!$F$8="Yes",59&gt;=Projects!$C$8,59&lt;Projects!$C$8+Projects!$D$8),Projects!$B$8*(1-SUMPRODUCT((Curves!$B$4:$AO$4)*(COLUMN(Curves!$B$4:$AO$4)-COLUMN(Curves!$B$4)+1&lt;=59-Projects!$C$8+1))),0)</f>
        <v>0</v>
      </c>
      <c r="BJ11" s="279" t="n">
        <f aca="false">IF(AND(Projects!$G$8="Yes",Projects!$F$8="Yes",60&gt;=Projects!$C$8,60&lt;Projects!$C$8+Projects!$D$8),Projects!$B$8*(1-SUMPRODUCT((Curves!$B$4:$AO$4)*(COLUMN(Curves!$B$4:$AO$4)-COLUMN(Curves!$B$4)+1&lt;=60-Projects!$C$8+1))),0)</f>
        <v>0</v>
      </c>
      <c r="BK11" s="279" t="n">
        <f aca="false">IF(AND(Projects!$G$8="Yes",Projects!$F$8="Yes",61&gt;=Projects!$C$8,61&lt;Projects!$C$8+Projects!$D$8),Projects!$B$8*(1-SUMPRODUCT((Curves!$B$4:$AO$4)*(COLUMN(Curves!$B$4:$AO$4)-COLUMN(Curves!$B$4)+1&lt;=61-Projects!$C$8+1))),0)</f>
        <v>0</v>
      </c>
      <c r="BL11" s="279" t="n">
        <f aca="false">IF(AND(Projects!$G$8="Yes",Projects!$F$8="Yes",62&gt;=Projects!$C$8,62&lt;Projects!$C$8+Projects!$D$8),Projects!$B$8*(1-SUMPRODUCT((Curves!$B$4:$AO$4)*(COLUMN(Curves!$B$4:$AO$4)-COLUMN(Curves!$B$4)+1&lt;=62-Projects!$C$8+1))),0)</f>
        <v>0</v>
      </c>
      <c r="BM11" s="279" t="n">
        <f aca="false">IF(AND(Projects!$G$8="Yes",Projects!$F$8="Yes",63&gt;=Projects!$C$8,63&lt;Projects!$C$8+Projects!$D$8),Projects!$B$8*(1-SUMPRODUCT((Curves!$B$4:$AO$4)*(COLUMN(Curves!$B$4:$AO$4)-COLUMN(Curves!$B$4)+1&lt;=63-Projects!$C$8+1))),0)</f>
        <v>0</v>
      </c>
      <c r="BN11" s="279" t="n">
        <f aca="false">IF(AND(Projects!$G$8="Yes",Projects!$F$8="Yes",64&gt;=Projects!$C$8,64&lt;Projects!$C$8+Projects!$D$8),Projects!$B$8*(1-SUMPRODUCT((Curves!$B$4:$AO$4)*(COLUMN(Curves!$B$4:$AO$4)-COLUMN(Curves!$B$4)+1&lt;=64-Projects!$C$8+1))),0)</f>
        <v>0</v>
      </c>
      <c r="BO11" s="279" t="n">
        <f aca="false">IF(AND(Projects!$G$8="Yes",Projects!$F$8="Yes",65&gt;=Projects!$C$8,65&lt;Projects!$C$8+Projects!$D$8),Projects!$B$8*(1-SUMPRODUCT((Curves!$B$4:$AO$4)*(COLUMN(Curves!$B$4:$AO$4)-COLUMN(Curves!$B$4)+1&lt;=65-Projects!$C$8+1))),0)</f>
        <v>0</v>
      </c>
      <c r="BP11" s="279" t="n">
        <f aca="false">IF(AND(Projects!$G$8="Yes",Projects!$F$8="Yes",66&gt;=Projects!$C$8,66&lt;Projects!$C$8+Projects!$D$8),Projects!$B$8*(1-SUMPRODUCT((Curves!$B$4:$AO$4)*(COLUMN(Curves!$B$4:$AO$4)-COLUMN(Curves!$B$4)+1&lt;=66-Projects!$C$8+1))),0)</f>
        <v>0</v>
      </c>
      <c r="BQ11" s="279" t="n">
        <f aca="false">IF(AND(Projects!$G$8="Yes",Projects!$F$8="Yes",67&gt;=Projects!$C$8,67&lt;Projects!$C$8+Projects!$D$8),Projects!$B$8*(1-SUMPRODUCT((Curves!$B$4:$AO$4)*(COLUMN(Curves!$B$4:$AO$4)-COLUMN(Curves!$B$4)+1&lt;=67-Projects!$C$8+1))),0)</f>
        <v>0</v>
      </c>
      <c r="BR11" s="279" t="n">
        <f aca="false">IF(AND(Projects!$G$8="Yes",Projects!$F$8="Yes",68&gt;=Projects!$C$8,68&lt;Projects!$C$8+Projects!$D$8),Projects!$B$8*(1-SUMPRODUCT((Curves!$B$4:$AO$4)*(COLUMN(Curves!$B$4:$AO$4)-COLUMN(Curves!$B$4)+1&lt;=68-Projects!$C$8+1))),0)</f>
        <v>0</v>
      </c>
      <c r="BS11" s="279" t="n">
        <f aca="false">IF(AND(Projects!$G$8="Yes",Projects!$F$8="Yes",69&gt;=Projects!$C$8,69&lt;Projects!$C$8+Projects!$D$8),Projects!$B$8*(1-SUMPRODUCT((Curves!$B$4:$AO$4)*(COLUMN(Curves!$B$4:$AO$4)-COLUMN(Curves!$B$4)+1&lt;=69-Projects!$C$8+1))),0)</f>
        <v>0</v>
      </c>
      <c r="BT11" s="279" t="n">
        <f aca="false">IF(AND(Projects!$G$8="Yes",Projects!$F$8="Yes",70&gt;=Projects!$C$8,70&lt;Projects!$C$8+Projects!$D$8),Projects!$B$8*(1-SUMPRODUCT((Curves!$B$4:$AO$4)*(COLUMN(Curves!$B$4:$AO$4)-COLUMN(Curves!$B$4)+1&lt;=70-Projects!$C$8+1))),0)</f>
        <v>0</v>
      </c>
      <c r="BU11" s="279" t="n">
        <f aca="false">IF(AND(Projects!$G$8="Yes",Projects!$F$8="Yes",71&gt;=Projects!$C$8,71&lt;Projects!$C$8+Projects!$D$8),Projects!$B$8*(1-SUMPRODUCT((Curves!$B$4:$AO$4)*(COLUMN(Curves!$B$4:$AO$4)-COLUMN(Curves!$B$4)+1&lt;=71-Projects!$C$8+1))),0)</f>
        <v>0</v>
      </c>
      <c r="BV11" s="279" t="n">
        <f aca="false">IF(AND(Projects!$G$8="Yes",Projects!$F$8="Yes",72&gt;=Projects!$C$8,72&lt;Projects!$C$8+Projects!$D$8),Projects!$B$8*(1-SUMPRODUCT((Curves!$B$4:$AO$4)*(COLUMN(Curves!$B$4:$AO$4)-COLUMN(Curves!$B$4)+1&lt;=72-Projects!$C$8+1))),0)</f>
        <v>0</v>
      </c>
      <c r="BW11" s="279" t="n">
        <f aca="false">IF(AND(Projects!$G$8="Yes",Projects!$F$8="Yes",73&gt;=Projects!$C$8,73&lt;Projects!$C$8+Projects!$D$8),Projects!$B$8*(1-SUMPRODUCT((Curves!$B$4:$AO$4)*(COLUMN(Curves!$B$4:$AO$4)-COLUMN(Curves!$B$4)+1&lt;=73-Projects!$C$8+1))),0)</f>
        <v>0</v>
      </c>
      <c r="BX11" s="279" t="n">
        <f aca="false">IF(AND(Projects!$G$8="Yes",Projects!$F$8="Yes",74&gt;=Projects!$C$8,74&lt;Projects!$C$8+Projects!$D$8),Projects!$B$8*(1-SUMPRODUCT((Curves!$B$4:$AO$4)*(COLUMN(Curves!$B$4:$AO$4)-COLUMN(Curves!$B$4)+1&lt;=74-Projects!$C$8+1))),0)</f>
        <v>0</v>
      </c>
      <c r="BY11" s="279" t="n">
        <f aca="false">IF(AND(Projects!$G$8="Yes",Projects!$F$8="Yes",75&gt;=Projects!$C$8,75&lt;Projects!$C$8+Projects!$D$8),Projects!$B$8*(1-SUMPRODUCT((Curves!$B$4:$AO$4)*(COLUMN(Curves!$B$4:$AO$4)-COLUMN(Curves!$B$4)+1&lt;=75-Projects!$C$8+1))),0)</f>
        <v>0</v>
      </c>
      <c r="BZ11" s="279" t="n">
        <f aca="false">IF(AND(Projects!$G$8="Yes",Projects!$F$8="Yes",76&gt;=Projects!$C$8,76&lt;Projects!$C$8+Projects!$D$8),Projects!$B$8*(1-SUMPRODUCT((Curves!$B$4:$AO$4)*(COLUMN(Curves!$B$4:$AO$4)-COLUMN(Curves!$B$4)+1&lt;=76-Projects!$C$8+1))),0)</f>
        <v>0</v>
      </c>
      <c r="CA11" s="279" t="n">
        <f aca="false">IF(AND(Projects!$G$8="Yes",Projects!$F$8="Yes",77&gt;=Projects!$C$8,77&lt;Projects!$C$8+Projects!$D$8),Projects!$B$8*(1-SUMPRODUCT((Curves!$B$4:$AO$4)*(COLUMN(Curves!$B$4:$AO$4)-COLUMN(Curves!$B$4)+1&lt;=77-Projects!$C$8+1))),0)</f>
        <v>0</v>
      </c>
      <c r="CB11" s="279" t="n">
        <f aca="false">IF(AND(Projects!$G$8="Yes",Projects!$F$8="Yes",78&gt;=Projects!$C$8,78&lt;Projects!$C$8+Projects!$D$8),Projects!$B$8*(1-SUMPRODUCT((Curves!$B$4:$AO$4)*(COLUMN(Curves!$B$4:$AO$4)-COLUMN(Curves!$B$4)+1&lt;=78-Projects!$C$8+1))),0)</f>
        <v>0</v>
      </c>
      <c r="CC11" s="279" t="n">
        <f aca="false">IF(AND(Projects!$G$8="Yes",Projects!$F$8="Yes",79&gt;=Projects!$C$8,79&lt;Projects!$C$8+Projects!$D$8),Projects!$B$8*(1-SUMPRODUCT((Curves!$B$4:$AO$4)*(COLUMN(Curves!$B$4:$AO$4)-COLUMN(Curves!$B$4)+1&lt;=79-Projects!$C$8+1))),0)</f>
        <v>0</v>
      </c>
      <c r="CD11" s="279" t="n">
        <f aca="false">IF(AND(Projects!$G$8="Yes",Projects!$F$8="Yes",80&gt;=Projects!$C$8,80&lt;Projects!$C$8+Projects!$D$8),Projects!$B$8*(1-SUMPRODUCT((Curves!$B$4:$AO$4)*(COLUMN(Curves!$B$4:$AO$4)-COLUMN(Curves!$B$4)+1&lt;=80-Projects!$C$8+1))),0)</f>
        <v>0</v>
      </c>
      <c r="CE11" s="279" t="n">
        <f aca="false">IF(AND(Projects!$G$8="Yes",Projects!$F$8="Yes",81&gt;=Projects!$C$8,81&lt;Projects!$C$8+Projects!$D$8),Projects!$B$8*(1-SUMPRODUCT((Curves!$B$4:$AO$4)*(COLUMN(Curves!$B$4:$AO$4)-COLUMN(Curves!$B$4)+1&lt;=81-Projects!$C$8+1))),0)</f>
        <v>0</v>
      </c>
      <c r="CF11" s="279" t="n">
        <f aca="false">IF(AND(Projects!$G$8="Yes",Projects!$F$8="Yes",82&gt;=Projects!$C$8,82&lt;Projects!$C$8+Projects!$D$8),Projects!$B$8*(1-SUMPRODUCT((Curves!$B$4:$AO$4)*(COLUMN(Curves!$B$4:$AO$4)-COLUMN(Curves!$B$4)+1&lt;=82-Projects!$C$8+1))),0)</f>
        <v>0</v>
      </c>
      <c r="CG11" s="279" t="n">
        <f aca="false">IF(AND(Projects!$G$8="Yes",Projects!$F$8="Yes",83&gt;=Projects!$C$8,83&lt;Projects!$C$8+Projects!$D$8),Projects!$B$8*(1-SUMPRODUCT((Curves!$B$4:$AO$4)*(COLUMN(Curves!$B$4:$AO$4)-COLUMN(Curves!$B$4)+1&lt;=83-Projects!$C$8+1))),0)</f>
        <v>0</v>
      </c>
      <c r="CH11" s="279" t="n">
        <f aca="false">IF(AND(Projects!$G$8="Yes",Projects!$F$8="Yes",84&gt;=Projects!$C$8,84&lt;Projects!$C$8+Projects!$D$8),Projects!$B$8*(1-SUMPRODUCT((Curves!$B$4:$AO$4)*(COLUMN(Curves!$B$4:$AO$4)-COLUMN(Curves!$B$4)+1&lt;=84-Projects!$C$8+1))),0)</f>
        <v>0</v>
      </c>
      <c r="CI11" s="279" t="n">
        <f aca="false">IF(AND(Projects!$G$8="Yes",Projects!$F$8="Yes",85&gt;=Projects!$C$8,85&lt;Projects!$C$8+Projects!$D$8),Projects!$B$8*(1-SUMPRODUCT((Curves!$B$4:$AO$4)*(COLUMN(Curves!$B$4:$AO$4)-COLUMN(Curves!$B$4)+1&lt;=85-Projects!$C$8+1))),0)</f>
        <v>0</v>
      </c>
      <c r="CJ11" s="279" t="n">
        <f aca="false">IF(AND(Projects!$G$8="Yes",Projects!$F$8="Yes",86&gt;=Projects!$C$8,86&lt;Projects!$C$8+Projects!$D$8),Projects!$B$8*(1-SUMPRODUCT((Curves!$B$4:$AO$4)*(COLUMN(Curves!$B$4:$AO$4)-COLUMN(Curves!$B$4)+1&lt;=86-Projects!$C$8+1))),0)</f>
        <v>0</v>
      </c>
      <c r="CK11" s="279" t="n">
        <f aca="false">IF(AND(Projects!$G$8="Yes",Projects!$F$8="Yes",87&gt;=Projects!$C$8,87&lt;Projects!$C$8+Projects!$D$8),Projects!$B$8*(1-SUMPRODUCT((Curves!$B$4:$AO$4)*(COLUMN(Curves!$B$4:$AO$4)-COLUMN(Curves!$B$4)+1&lt;=87-Projects!$C$8+1))),0)</f>
        <v>0</v>
      </c>
      <c r="CL11" s="279" t="n">
        <f aca="false">IF(AND(Projects!$G$8="Yes",Projects!$F$8="Yes",88&gt;=Projects!$C$8,88&lt;Projects!$C$8+Projects!$D$8),Projects!$B$8*(1-SUMPRODUCT((Curves!$B$4:$AO$4)*(COLUMN(Curves!$B$4:$AO$4)-COLUMN(Curves!$B$4)+1&lt;=88-Projects!$C$8+1))),0)</f>
        <v>0</v>
      </c>
      <c r="CM11" s="279" t="n">
        <f aca="false">IF(AND(Projects!$G$8="Yes",Projects!$F$8="Yes",89&gt;=Projects!$C$8,89&lt;Projects!$C$8+Projects!$D$8),Projects!$B$8*(1-SUMPRODUCT((Curves!$B$4:$AO$4)*(COLUMN(Curves!$B$4:$AO$4)-COLUMN(Curves!$B$4)+1&lt;=89-Projects!$C$8+1))),0)</f>
        <v>0</v>
      </c>
      <c r="CN11" s="279" t="n">
        <f aca="false">IF(AND(Projects!$G$8="Yes",Projects!$F$8="Yes",90&gt;=Projects!$C$8,90&lt;Projects!$C$8+Projects!$D$8),Projects!$B$8*(1-SUMPRODUCT((Curves!$B$4:$AO$4)*(COLUMN(Curves!$B$4:$AO$4)-COLUMN(Curves!$B$4)+1&lt;=90-Projects!$C$8+1))),0)</f>
        <v>0</v>
      </c>
      <c r="CO11" s="279" t="n">
        <f aca="false">IF(AND(Projects!$G$8="Yes",Projects!$F$8="Yes",91&gt;=Projects!$C$8,91&lt;Projects!$C$8+Projects!$D$8),Projects!$B$8*(1-SUMPRODUCT((Curves!$B$4:$AO$4)*(COLUMN(Curves!$B$4:$AO$4)-COLUMN(Curves!$B$4)+1&lt;=91-Projects!$C$8+1))),0)</f>
        <v>0</v>
      </c>
      <c r="CP11" s="279" t="n">
        <f aca="false">IF(AND(Projects!$G$8="Yes",Projects!$F$8="Yes",92&gt;=Projects!$C$8,92&lt;Projects!$C$8+Projects!$D$8),Projects!$B$8*(1-SUMPRODUCT((Curves!$B$4:$AO$4)*(COLUMN(Curves!$B$4:$AO$4)-COLUMN(Curves!$B$4)+1&lt;=92-Projects!$C$8+1))),0)</f>
        <v>0</v>
      </c>
      <c r="CQ11" s="279" t="n">
        <f aca="false">IF(AND(Projects!$G$8="Yes",Projects!$F$8="Yes",93&gt;=Projects!$C$8,93&lt;Projects!$C$8+Projects!$D$8),Projects!$B$8*(1-SUMPRODUCT((Curves!$B$4:$AO$4)*(COLUMN(Curves!$B$4:$AO$4)-COLUMN(Curves!$B$4)+1&lt;=93-Projects!$C$8+1))),0)</f>
        <v>0</v>
      </c>
    </row>
    <row r="12" customFormat="false" ht="15" hidden="false" customHeight="true" outlineLevel="0" collapsed="false">
      <c r="A12" s="175" t="s">
        <v>14</v>
      </c>
      <c r="C12" s="279" t="n">
        <f aca="false">IF(AND(Projects!$G$9="Yes",Projects!$F$9="Yes",1&gt;=Projects!$C$9,1&lt;Projects!$C$9+Projects!$D$9),Projects!$B$9*(1-SUMPRODUCT((Curves!$B$2:$AO$2)*(COLUMN(Curves!$B$2:$AO$2)-COLUMN(Curves!$B$2)+1&lt;=1-Projects!$C$9+1))),0)</f>
        <v>0</v>
      </c>
      <c r="D12" s="279" t="n">
        <f aca="false">IF(AND(Projects!$G$9="Yes",Projects!$F$9="Yes",2&gt;=Projects!$C$9,2&lt;Projects!$C$9+Projects!$D$9),Projects!$B$9*(1-SUMPRODUCT((Curves!$B$2:$AO$2)*(COLUMN(Curves!$B$2:$AO$2)-COLUMN(Curves!$B$2)+1&lt;=2-Projects!$C$9+1))),0)</f>
        <v>0</v>
      </c>
      <c r="E12" s="279" t="n">
        <f aca="false">IF(AND(Projects!$G$9="Yes",Projects!$F$9="Yes",3&gt;=Projects!$C$9,3&lt;Projects!$C$9+Projects!$D$9),Projects!$B$9*(1-SUMPRODUCT((Curves!$B$2:$AO$2)*(COLUMN(Curves!$B$2:$AO$2)-COLUMN(Curves!$B$2)+1&lt;=3-Projects!$C$9+1))),0)</f>
        <v>0</v>
      </c>
      <c r="F12" s="279" t="n">
        <f aca="false">IF(AND(Projects!$G$9="Yes",Projects!$F$9="Yes",4&gt;=Projects!$C$9,4&lt;Projects!$C$9+Projects!$D$9),Projects!$B$9*(1-SUMPRODUCT((Curves!$B$2:$AO$2)*(COLUMN(Curves!$B$2:$AO$2)-COLUMN(Curves!$B$2)+1&lt;=4-Projects!$C$9+1))),0)</f>
        <v>0</v>
      </c>
      <c r="G12" s="279" t="n">
        <f aca="false">IF(AND(Projects!$G$9="Yes",Projects!$F$9="Yes",5&gt;=Projects!$C$9,5&lt;Projects!$C$9+Projects!$D$9),Projects!$B$9*(1-SUMPRODUCT((Curves!$B$2:$AO$2)*(COLUMN(Curves!$B$2:$AO$2)-COLUMN(Curves!$B$2)+1&lt;=5-Projects!$C$9+1))),0)</f>
        <v>14106170.5891092</v>
      </c>
      <c r="H12" s="279" t="n">
        <f aca="false">IF(AND(Projects!$G$9="Yes",Projects!$F$9="Yes",6&gt;=Projects!$C$9,6&lt;Projects!$C$9+Projects!$D$9),Projects!$B$9*(1-SUMPRODUCT((Curves!$B$2:$AO$2)*(COLUMN(Curves!$B$2:$AO$2)-COLUMN(Curves!$B$2)+1&lt;=6-Projects!$C$9+1))),0)</f>
        <v>13840677.8231148</v>
      </c>
      <c r="I12" s="279" t="n">
        <f aca="false">IF(AND(Projects!$G$9="Yes",Projects!$F$9="Yes",7&gt;=Projects!$C$9,7&lt;Projects!$C$9+Projects!$D$9),Projects!$B$9*(1-SUMPRODUCT((Curves!$B$2:$AO$2)*(COLUMN(Curves!$B$2:$AO$2)-COLUMN(Curves!$B$2)+1&lt;=7-Projects!$C$9+1))),0)</f>
        <v>13538353.2763752</v>
      </c>
      <c r="J12" s="279" t="n">
        <f aca="false">IF(AND(Projects!$G$9="Yes",Projects!$F$9="Yes",8&gt;=Projects!$C$9,8&lt;Projects!$C$9+Projects!$D$9),Projects!$B$9*(1-SUMPRODUCT((Curves!$B$2:$AO$2)*(COLUMN(Curves!$B$2:$AO$2)-COLUMN(Curves!$B$2)+1&lt;=8-Projects!$C$9+1))),0)</f>
        <v>13197519.5186268</v>
      </c>
      <c r="K12" s="279" t="n">
        <f aca="false">IF(AND(Projects!$G$9="Yes",Projects!$F$9="Yes",9&gt;=Projects!$C$9,9&lt;Projects!$C$9+Projects!$D$9),Projects!$B$9*(1-SUMPRODUCT((Curves!$B$2:$AO$2)*(COLUMN(Curves!$B$2:$AO$2)-COLUMN(Curves!$B$2)+1&lt;=9-Projects!$C$9+1))),0)</f>
        <v>12817086.9370488</v>
      </c>
      <c r="L12" s="279" t="n">
        <f aca="false">IF(AND(Projects!$G$9="Yes",Projects!$F$9="Yes",10&gt;=Projects!$C$9,10&lt;Projects!$C$9+Projects!$D$9),Projects!$B$9*(1-SUMPRODUCT((Curves!$B$2:$AO$2)*(COLUMN(Curves!$B$2:$AO$2)-COLUMN(Curves!$B$2)+1&lt;=10-Projects!$C$9+1))),0)</f>
        <v>12396682.7693604</v>
      </c>
      <c r="M12" s="279" t="n">
        <f aca="false">IF(AND(Projects!$G$9="Yes",Projects!$F$9="Yes",11&gt;=Projects!$C$9,11&lt;Projects!$C$9+Projects!$D$9),Projects!$B$9*(1-SUMPRODUCT((Curves!$B$2:$AO$2)*(COLUMN(Curves!$B$2:$AO$2)-COLUMN(Curves!$B$2)+1&lt;=11-Projects!$C$9+1))),0)</f>
        <v>11936722.7888748</v>
      </c>
      <c r="N12" s="279" t="n">
        <f aca="false">IF(AND(Projects!$G$9="Yes",Projects!$F$9="Yes",12&gt;=Projects!$C$9,12&lt;Projects!$C$9+Projects!$D$9),Projects!$B$9*(1-SUMPRODUCT((Curves!$B$2:$AO$2)*(COLUMN(Curves!$B$2:$AO$2)-COLUMN(Curves!$B$2)+1&lt;=12-Projects!$C$9+1))),0)</f>
        <v>11438482.9895532</v>
      </c>
      <c r="O12" s="279" t="n">
        <f aca="false">IF(AND(Projects!$G$9="Yes",Projects!$F$9="Yes",13&gt;=Projects!$C$9,13&lt;Projects!$C$9+Projects!$D$9),Projects!$B$9*(1-SUMPRODUCT((Curves!$B$2:$AO$2)*(COLUMN(Curves!$B$2:$AO$2)-COLUMN(Curves!$B$2)+1&lt;=13-Projects!$C$9+1))),0)</f>
        <v>10904156.934048</v>
      </c>
      <c r="P12" s="279" t="n">
        <f aca="false">IF(AND(Projects!$G$9="Yes",Projects!$F$9="Yes",14&gt;=Projects!$C$9,14&lt;Projects!$C$9+Projects!$D$9),Projects!$B$9*(1-SUMPRODUCT((Curves!$B$2:$AO$2)*(COLUMN(Curves!$B$2:$AO$2)-COLUMN(Curves!$B$2)+1&lt;=14-Projects!$C$9+1))),0)</f>
        <v>10336812.7426704</v>
      </c>
      <c r="Q12" s="279" t="n">
        <f aca="false">IF(AND(Projects!$G$9="Yes",Projects!$F$9="Yes",15&gt;=Projects!$C$9,15&lt;Projects!$C$9+Projects!$D$9),Projects!$B$9*(1-SUMPRODUCT((Curves!$B$2:$AO$2)*(COLUMN(Curves!$B$2:$AO$2)-COLUMN(Curves!$B$2)+1&lt;=15-Projects!$C$9+1))),0)</f>
        <v>9740407.4304012</v>
      </c>
      <c r="R12" s="279" t="n">
        <f aca="false">IF(AND(Projects!$G$9="Yes",Projects!$F$9="Yes",16&gt;=Projects!$C$9,16&lt;Projects!$C$9+Projects!$D$9),Projects!$B$9*(1-SUMPRODUCT((Curves!$B$2:$AO$2)*(COLUMN(Curves!$B$2:$AO$2)-COLUMN(Curves!$B$2)+1&lt;=16-Projects!$C$9+1))),0)</f>
        <v>9119686.5478152</v>
      </c>
      <c r="S12" s="279" t="n">
        <f aca="false">IF(AND(Projects!$G$9="Yes",Projects!$F$9="Yes",17&gt;=Projects!$C$9,17&lt;Projects!$C$9+Projects!$D$9),Projects!$B$9*(1-SUMPRODUCT((Curves!$B$2:$AO$2)*(COLUMN(Curves!$B$2:$AO$2)-COLUMN(Curves!$B$2)+1&lt;=17-Projects!$C$9+1))),0)</f>
        <v>8480069.4849948</v>
      </c>
      <c r="T12" s="279" t="n">
        <f aca="false">IF(AND(Projects!$G$9="Yes",Projects!$F$9="Yes",18&gt;=Projects!$C$9,18&lt;Projects!$C$9+Projects!$D$9),Projects!$B$9*(1-SUMPRODUCT((Curves!$B$2:$AO$2)*(COLUMN(Curves!$B$2:$AO$2)-COLUMN(Curves!$B$2)+1&lt;=18-Projects!$C$9+1))),0)</f>
        <v>7827549.1124544</v>
      </c>
      <c r="U12" s="279" t="n">
        <f aca="false">IF(AND(Projects!$G$9="Yes",Projects!$F$9="Yes",19&gt;=Projects!$C$9,19&lt;Projects!$C$9+Projects!$D$9),Projects!$B$9*(1-SUMPRODUCT((Curves!$B$2:$AO$2)*(COLUMN(Curves!$B$2:$AO$2)-COLUMN(Curves!$B$2)+1&lt;=19-Projects!$C$9+1))),0)</f>
        <v>7168476.7259784</v>
      </c>
      <c r="V12" s="279" t="n">
        <f aca="false">IF(AND(Projects!$G$9="Yes",Projects!$F$9="Yes",20&gt;=Projects!$C$9,20&lt;Projects!$C$9+Projects!$D$9),Projects!$B$9*(1-SUMPRODUCT((Curves!$B$2:$AO$2)*(COLUMN(Curves!$B$2:$AO$2)-COLUMN(Curves!$B$2)+1&lt;=20-Projects!$C$9+1))),0)</f>
        <v>6509404.3395024</v>
      </c>
      <c r="W12" s="279" t="n">
        <f aca="false">IF(AND(Projects!$G$9="Yes",Projects!$F$9="Yes",21&gt;=Projects!$C$9,21&lt;Projects!$C$9+Projects!$D$9),Projects!$B$9*(1-SUMPRODUCT((Curves!$B$2:$AO$2)*(COLUMN(Curves!$B$2:$AO$2)-COLUMN(Curves!$B$2)+1&lt;=21-Projects!$C$9+1))),0)</f>
        <v>5856883.966962</v>
      </c>
      <c r="X12" s="279" t="n">
        <f aca="false">IF(AND(Projects!$G$9="Yes",Projects!$F$9="Yes",22&gt;=Projects!$C$9,22&lt;Projects!$C$9+Projects!$D$9),Projects!$B$9*(1-SUMPRODUCT((Curves!$B$2:$AO$2)*(COLUMN(Curves!$B$2:$AO$2)-COLUMN(Curves!$B$2)+1&lt;=22-Projects!$C$9+1))),0)</f>
        <v>5217266.9041416</v>
      </c>
      <c r="Y12" s="279" t="n">
        <f aca="false">IF(AND(Projects!$G$9="Yes",Projects!$F$9="Yes",23&gt;=Projects!$C$9,23&lt;Projects!$C$9+Projects!$D$9),Projects!$B$9*(1-SUMPRODUCT((Curves!$B$2:$AO$2)*(COLUMN(Curves!$B$2:$AO$2)-COLUMN(Curves!$B$2)+1&lt;=23-Projects!$C$9+1))),0)</f>
        <v>4596546.0215556</v>
      </c>
      <c r="Z12" s="279" t="n">
        <f aca="false">IF(AND(Projects!$G$9="Yes",Projects!$F$9="Yes",24&gt;=Projects!$C$9,24&lt;Projects!$C$9+Projects!$D$9),Projects!$B$9*(1-SUMPRODUCT((Curves!$B$2:$AO$2)*(COLUMN(Curves!$B$2:$AO$2)-COLUMN(Curves!$B$2)+1&lt;=24-Projects!$C$9+1))),0)</f>
        <v>4000140.7092864</v>
      </c>
      <c r="AA12" s="279" t="n">
        <f aca="false">IF(AND(Projects!$G$9="Yes",Projects!$F$9="Yes",25&gt;=Projects!$C$9,25&lt;Projects!$C$9+Projects!$D$9),Projects!$B$9*(1-SUMPRODUCT((Curves!$B$2:$AO$2)*(COLUMN(Curves!$B$2:$AO$2)-COLUMN(Curves!$B$2)+1&lt;=25-Projects!$C$9+1))),0)</f>
        <v>3432796.5179088</v>
      </c>
      <c r="AB12" s="279" t="n">
        <f aca="false">IF(AND(Projects!$G$9="Yes",Projects!$F$9="Yes",26&gt;=Projects!$C$9,26&lt;Projects!$C$9+Projects!$D$9),Projects!$B$9*(1-SUMPRODUCT((Curves!$B$2:$AO$2)*(COLUMN(Curves!$B$2:$AO$2)-COLUMN(Curves!$B$2)+1&lt;=26-Projects!$C$9+1))),0)</f>
        <v>2898470.4624036</v>
      </c>
      <c r="AC12" s="279" t="n">
        <f aca="false">IF(AND(Projects!$G$9="Yes",Projects!$F$9="Yes",27&gt;=Projects!$C$9,27&lt;Projects!$C$9+Projects!$D$9),Projects!$B$9*(1-SUMPRODUCT((Curves!$B$2:$AO$2)*(COLUMN(Curves!$B$2:$AO$2)-COLUMN(Curves!$B$2)+1&lt;=27-Projects!$C$9+1))),0)</f>
        <v>2400230.663082</v>
      </c>
      <c r="AD12" s="279" t="n">
        <f aca="false">IF(AND(Projects!$G$9="Yes",Projects!$F$9="Yes",28&gt;=Projects!$C$9,28&lt;Projects!$C$9+Projects!$D$9),Projects!$B$9*(1-SUMPRODUCT((Curves!$B$2:$AO$2)*(COLUMN(Curves!$B$2:$AO$2)-COLUMN(Curves!$B$2)+1&lt;=28-Projects!$C$9+1))),0)</f>
        <v>1940270.6825964</v>
      </c>
      <c r="AE12" s="279" t="n">
        <f aca="false">IF(AND(Projects!$G$9="Yes",Projects!$F$9="Yes",29&gt;=Projects!$C$9,29&lt;Projects!$C$9+Projects!$D$9),Projects!$B$9*(1-SUMPRODUCT((Curves!$B$2:$AO$2)*(COLUMN(Curves!$B$2:$AO$2)-COLUMN(Curves!$B$2)+1&lt;=29-Projects!$C$9+1))),0)</f>
        <v>1519866.514908</v>
      </c>
      <c r="AF12" s="279" t="n">
        <f aca="false">IF(AND(Projects!$G$9="Yes",Projects!$F$9="Yes",30&gt;=Projects!$C$9,30&lt;Projects!$C$9+Projects!$D$9),Projects!$B$9*(1-SUMPRODUCT((Curves!$B$2:$AO$2)*(COLUMN(Curves!$B$2:$AO$2)-COLUMN(Curves!$B$2)+1&lt;=30-Projects!$C$9+1))),0)</f>
        <v>1139433.93333</v>
      </c>
      <c r="AG12" s="279" t="n">
        <f aca="false">IF(AND(Projects!$G$9="Yes",Projects!$F$9="Yes",31&gt;=Projects!$C$9,31&lt;Projects!$C$9+Projects!$D$9),Projects!$B$9*(1-SUMPRODUCT((Curves!$B$2:$AO$2)*(COLUMN(Curves!$B$2:$AO$2)-COLUMN(Curves!$B$2)+1&lt;=31-Projects!$C$9+1))),0)</f>
        <v>798600.175581601</v>
      </c>
      <c r="AH12" s="279" t="n">
        <f aca="false">IF(AND(Projects!$G$9="Yes",Projects!$F$9="Yes",32&gt;=Projects!$C$9,32&lt;Projects!$C$9+Projects!$D$9),Projects!$B$9*(1-SUMPRODUCT((Curves!$B$2:$AO$2)*(COLUMN(Curves!$B$2:$AO$2)-COLUMN(Curves!$B$2)+1&lt;=32-Projects!$C$9+1))),0)</f>
        <v>496275.628842001</v>
      </c>
      <c r="AI12" s="279" t="n">
        <f aca="false">IF(AND(Projects!$G$9="Yes",Projects!$F$9="Yes",33&gt;=Projects!$C$9,33&lt;Projects!$C$9+Projects!$D$9),Projects!$B$9*(1-SUMPRODUCT((Curves!$B$2:$AO$2)*(COLUMN(Curves!$B$2:$AO$2)-COLUMN(Curves!$B$2)+1&lt;=33-Projects!$C$9+1))),0)</f>
        <v>230782.8628476</v>
      </c>
      <c r="AJ12" s="279" t="n">
        <f aca="false">IF(AND(Projects!$G$9="Yes",Projects!$F$9="Yes",34&gt;=Projects!$C$9,34&lt;Projects!$C$9+Projects!$D$9),Projects!$B$9*(1-SUMPRODUCT((Curves!$B$2:$AO$2)*(COLUMN(Curves!$B$2:$AO$2)-COLUMN(Curves!$B$2)+1&lt;=34-Projects!$C$9+1))),0)</f>
        <v>-57.3480431984656</v>
      </c>
      <c r="AK12" s="279" t="n">
        <f aca="false">IF(AND(Projects!$G$9="Yes",Projects!$F$9="Yes",35&gt;=Projects!$C$9,35&lt;Projects!$C$9+Projects!$D$9),Projects!$B$9*(1-SUMPRODUCT((Curves!$B$2:$AO$2)*(COLUMN(Curves!$B$2:$AO$2)-COLUMN(Curves!$B$2)+1&lt;=35-Projects!$C$9+1))),0)</f>
        <v>0</v>
      </c>
      <c r="AL12" s="279" t="n">
        <f aca="false">IF(AND(Projects!$G$9="Yes",Projects!$F$9="Yes",36&gt;=Projects!$C$9,36&lt;Projects!$C$9+Projects!$D$9),Projects!$B$9*(1-SUMPRODUCT((Curves!$B$2:$AO$2)*(COLUMN(Curves!$B$2:$AO$2)-COLUMN(Curves!$B$2)+1&lt;=36-Projects!$C$9+1))),0)</f>
        <v>0</v>
      </c>
      <c r="AM12" s="279" t="n">
        <f aca="false">IF(AND(Projects!$G$9="Yes",Projects!$F$9="Yes",37&gt;=Projects!$C$9,37&lt;Projects!$C$9+Projects!$D$9),Projects!$B$9*(1-SUMPRODUCT((Curves!$B$2:$AO$2)*(COLUMN(Curves!$B$2:$AO$2)-COLUMN(Curves!$B$2)+1&lt;=37-Projects!$C$9+1))),0)</f>
        <v>0</v>
      </c>
      <c r="AN12" s="279" t="n">
        <f aca="false">IF(AND(Projects!$G$9="Yes",Projects!$F$9="Yes",38&gt;=Projects!$C$9,38&lt;Projects!$C$9+Projects!$D$9),Projects!$B$9*(1-SUMPRODUCT((Curves!$B$2:$AO$2)*(COLUMN(Curves!$B$2:$AO$2)-COLUMN(Curves!$B$2)+1&lt;=38-Projects!$C$9+1))),0)</f>
        <v>0</v>
      </c>
      <c r="AO12" s="279" t="n">
        <f aca="false">IF(AND(Projects!$G$9="Yes",Projects!$F$9="Yes",39&gt;=Projects!$C$9,39&lt;Projects!$C$9+Projects!$D$9),Projects!$B$9*(1-SUMPRODUCT((Curves!$B$2:$AO$2)*(COLUMN(Curves!$B$2:$AO$2)-COLUMN(Curves!$B$2)+1&lt;=39-Projects!$C$9+1))),0)</f>
        <v>0</v>
      </c>
      <c r="AP12" s="279" t="n">
        <f aca="false">IF(AND(Projects!$G$9="Yes",Projects!$F$9="Yes",40&gt;=Projects!$C$9,40&lt;Projects!$C$9+Projects!$D$9),Projects!$B$9*(1-SUMPRODUCT((Curves!$B$2:$AO$2)*(COLUMN(Curves!$B$2:$AO$2)-COLUMN(Curves!$B$2)+1&lt;=40-Projects!$C$9+1))),0)</f>
        <v>0</v>
      </c>
      <c r="AQ12" s="279" t="n">
        <f aca="false">IF(AND(Projects!$G$9="Yes",Projects!$F$9="Yes",41&gt;=Projects!$C$9,41&lt;Projects!$C$9+Projects!$D$9),Projects!$B$9*(1-SUMPRODUCT((Curves!$B$2:$AO$2)*(COLUMN(Curves!$B$2:$AO$2)-COLUMN(Curves!$B$2)+1&lt;=41-Projects!$C$9+1))),0)</f>
        <v>0</v>
      </c>
      <c r="AR12" s="279" t="n">
        <f aca="false">IF(AND(Projects!$G$9="Yes",Projects!$F$9="Yes",42&gt;=Projects!$C$9,42&lt;Projects!$C$9+Projects!$D$9),Projects!$B$9*(1-SUMPRODUCT((Curves!$B$2:$AO$2)*(COLUMN(Curves!$B$2:$AO$2)-COLUMN(Curves!$B$2)+1&lt;=42-Projects!$C$9+1))),0)</f>
        <v>0</v>
      </c>
      <c r="AS12" s="279" t="n">
        <f aca="false">IF(AND(Projects!$G$9="Yes",Projects!$F$9="Yes",43&gt;=Projects!$C$9,43&lt;Projects!$C$9+Projects!$D$9),Projects!$B$9*(1-SUMPRODUCT((Curves!$B$2:$AO$2)*(COLUMN(Curves!$B$2:$AO$2)-COLUMN(Curves!$B$2)+1&lt;=43-Projects!$C$9+1))),0)</f>
        <v>0</v>
      </c>
      <c r="AT12" s="279" t="n">
        <f aca="false">IF(AND(Projects!$G$9="Yes",Projects!$F$9="Yes",44&gt;=Projects!$C$9,44&lt;Projects!$C$9+Projects!$D$9),Projects!$B$9*(1-SUMPRODUCT((Curves!$B$2:$AO$2)*(COLUMN(Curves!$B$2:$AO$2)-COLUMN(Curves!$B$2)+1&lt;=44-Projects!$C$9+1))),0)</f>
        <v>0</v>
      </c>
      <c r="AU12" s="279" t="n">
        <f aca="false">IF(AND(Projects!$G$9="Yes",Projects!$F$9="Yes",45&gt;=Projects!$C$9,45&lt;Projects!$C$9+Projects!$D$9),Projects!$B$9*(1-SUMPRODUCT((Curves!$B$2:$AO$2)*(COLUMN(Curves!$B$2:$AO$2)-COLUMN(Curves!$B$2)+1&lt;=45-Projects!$C$9+1))),0)</f>
        <v>0</v>
      </c>
      <c r="AV12" s="279" t="n">
        <f aca="false">IF(AND(Projects!$G$9="Yes",Projects!$F$9="Yes",46&gt;=Projects!$C$9,46&lt;Projects!$C$9+Projects!$D$9),Projects!$B$9*(1-SUMPRODUCT((Curves!$B$2:$AO$2)*(COLUMN(Curves!$B$2:$AO$2)-COLUMN(Curves!$B$2)+1&lt;=46-Projects!$C$9+1))),0)</f>
        <v>0</v>
      </c>
      <c r="AW12" s="279" t="n">
        <f aca="false">IF(AND(Projects!$G$9="Yes",Projects!$F$9="Yes",47&gt;=Projects!$C$9,47&lt;Projects!$C$9+Projects!$D$9),Projects!$B$9*(1-SUMPRODUCT((Curves!$B$2:$AO$2)*(COLUMN(Curves!$B$2:$AO$2)-COLUMN(Curves!$B$2)+1&lt;=47-Projects!$C$9+1))),0)</f>
        <v>0</v>
      </c>
      <c r="AX12" s="279" t="n">
        <f aca="false">IF(AND(Projects!$G$9="Yes",Projects!$F$9="Yes",48&gt;=Projects!$C$9,48&lt;Projects!$C$9+Projects!$D$9),Projects!$B$9*(1-SUMPRODUCT((Curves!$B$2:$AO$2)*(COLUMN(Curves!$B$2:$AO$2)-COLUMN(Curves!$B$2)+1&lt;=48-Projects!$C$9+1))),0)</f>
        <v>0</v>
      </c>
      <c r="AY12" s="279" t="n">
        <f aca="false">IF(AND(Projects!$G$9="Yes",Projects!$F$9="Yes",49&gt;=Projects!$C$9,49&lt;Projects!$C$9+Projects!$D$9),Projects!$B$9*(1-SUMPRODUCT((Curves!$B$2:$AO$2)*(COLUMN(Curves!$B$2:$AO$2)-COLUMN(Curves!$B$2)+1&lt;=49-Projects!$C$9+1))),0)</f>
        <v>0</v>
      </c>
      <c r="AZ12" s="279" t="n">
        <f aca="false">IF(AND(Projects!$G$9="Yes",Projects!$F$9="Yes",50&gt;=Projects!$C$9,50&lt;Projects!$C$9+Projects!$D$9),Projects!$B$9*(1-SUMPRODUCT((Curves!$B$2:$AO$2)*(COLUMN(Curves!$B$2:$AO$2)-COLUMN(Curves!$B$2)+1&lt;=50-Projects!$C$9+1))),0)</f>
        <v>0</v>
      </c>
      <c r="BA12" s="279" t="n">
        <f aca="false">IF(AND(Projects!$G$9="Yes",Projects!$F$9="Yes",51&gt;=Projects!$C$9,51&lt;Projects!$C$9+Projects!$D$9),Projects!$B$9*(1-SUMPRODUCT((Curves!$B$2:$AO$2)*(COLUMN(Curves!$B$2:$AO$2)-COLUMN(Curves!$B$2)+1&lt;=51-Projects!$C$9+1))),0)</f>
        <v>0</v>
      </c>
      <c r="BB12" s="279" t="n">
        <f aca="false">IF(AND(Projects!$G$9="Yes",Projects!$F$9="Yes",52&gt;=Projects!$C$9,52&lt;Projects!$C$9+Projects!$D$9),Projects!$B$9*(1-SUMPRODUCT((Curves!$B$2:$AO$2)*(COLUMN(Curves!$B$2:$AO$2)-COLUMN(Curves!$B$2)+1&lt;=52-Projects!$C$9+1))),0)</f>
        <v>0</v>
      </c>
      <c r="BC12" s="279" t="n">
        <f aca="false">IF(AND(Projects!$G$9="Yes",Projects!$F$9="Yes",53&gt;=Projects!$C$9,53&lt;Projects!$C$9+Projects!$D$9),Projects!$B$9*(1-SUMPRODUCT((Curves!$B$2:$AO$2)*(COLUMN(Curves!$B$2:$AO$2)-COLUMN(Curves!$B$2)+1&lt;=53-Projects!$C$9+1))),0)</f>
        <v>0</v>
      </c>
      <c r="BD12" s="279" t="n">
        <f aca="false">IF(AND(Projects!$G$9="Yes",Projects!$F$9="Yes",54&gt;=Projects!$C$9,54&lt;Projects!$C$9+Projects!$D$9),Projects!$B$9*(1-SUMPRODUCT((Curves!$B$2:$AO$2)*(COLUMN(Curves!$B$2:$AO$2)-COLUMN(Curves!$B$2)+1&lt;=54-Projects!$C$9+1))),0)</f>
        <v>0</v>
      </c>
      <c r="BE12" s="279" t="n">
        <f aca="false">IF(AND(Projects!$G$9="Yes",Projects!$F$9="Yes",55&gt;=Projects!$C$9,55&lt;Projects!$C$9+Projects!$D$9),Projects!$B$9*(1-SUMPRODUCT((Curves!$B$2:$AO$2)*(COLUMN(Curves!$B$2:$AO$2)-COLUMN(Curves!$B$2)+1&lt;=55-Projects!$C$9+1))),0)</f>
        <v>0</v>
      </c>
      <c r="BF12" s="279" t="n">
        <f aca="false">IF(AND(Projects!$G$9="Yes",Projects!$F$9="Yes",56&gt;=Projects!$C$9,56&lt;Projects!$C$9+Projects!$D$9),Projects!$B$9*(1-SUMPRODUCT((Curves!$B$2:$AO$2)*(COLUMN(Curves!$B$2:$AO$2)-COLUMN(Curves!$B$2)+1&lt;=56-Projects!$C$9+1))),0)</f>
        <v>0</v>
      </c>
      <c r="BG12" s="279" t="n">
        <f aca="false">IF(AND(Projects!$G$9="Yes",Projects!$F$9="Yes",57&gt;=Projects!$C$9,57&lt;Projects!$C$9+Projects!$D$9),Projects!$B$9*(1-SUMPRODUCT((Curves!$B$2:$AO$2)*(COLUMN(Curves!$B$2:$AO$2)-COLUMN(Curves!$B$2)+1&lt;=57-Projects!$C$9+1))),0)</f>
        <v>0</v>
      </c>
      <c r="BH12" s="279" t="n">
        <f aca="false">IF(AND(Projects!$G$9="Yes",Projects!$F$9="Yes",58&gt;=Projects!$C$9,58&lt;Projects!$C$9+Projects!$D$9),Projects!$B$9*(1-SUMPRODUCT((Curves!$B$2:$AO$2)*(COLUMN(Curves!$B$2:$AO$2)-COLUMN(Curves!$B$2)+1&lt;=58-Projects!$C$9+1))),0)</f>
        <v>0</v>
      </c>
      <c r="BI12" s="279" t="n">
        <f aca="false">IF(AND(Projects!$G$9="Yes",Projects!$F$9="Yes",59&gt;=Projects!$C$9,59&lt;Projects!$C$9+Projects!$D$9),Projects!$B$9*(1-SUMPRODUCT((Curves!$B$2:$AO$2)*(COLUMN(Curves!$B$2:$AO$2)-COLUMN(Curves!$B$2)+1&lt;=59-Projects!$C$9+1))),0)</f>
        <v>0</v>
      </c>
      <c r="BJ12" s="279" t="n">
        <f aca="false">IF(AND(Projects!$G$9="Yes",Projects!$F$9="Yes",60&gt;=Projects!$C$9,60&lt;Projects!$C$9+Projects!$D$9),Projects!$B$9*(1-SUMPRODUCT((Curves!$B$2:$AO$2)*(COLUMN(Curves!$B$2:$AO$2)-COLUMN(Curves!$B$2)+1&lt;=60-Projects!$C$9+1))),0)</f>
        <v>0</v>
      </c>
      <c r="BK12" s="279" t="n">
        <f aca="false">IF(AND(Projects!$G$9="Yes",Projects!$F$9="Yes",61&gt;=Projects!$C$9,61&lt;Projects!$C$9+Projects!$D$9),Projects!$B$9*(1-SUMPRODUCT((Curves!$B$2:$AO$2)*(COLUMN(Curves!$B$2:$AO$2)-COLUMN(Curves!$B$2)+1&lt;=61-Projects!$C$9+1))),0)</f>
        <v>0</v>
      </c>
      <c r="BL12" s="279" t="n">
        <f aca="false">IF(AND(Projects!$G$9="Yes",Projects!$F$9="Yes",62&gt;=Projects!$C$9,62&lt;Projects!$C$9+Projects!$D$9),Projects!$B$9*(1-SUMPRODUCT((Curves!$B$2:$AO$2)*(COLUMN(Curves!$B$2:$AO$2)-COLUMN(Curves!$B$2)+1&lt;=62-Projects!$C$9+1))),0)</f>
        <v>0</v>
      </c>
      <c r="BM12" s="279" t="n">
        <f aca="false">IF(AND(Projects!$G$9="Yes",Projects!$F$9="Yes",63&gt;=Projects!$C$9,63&lt;Projects!$C$9+Projects!$D$9),Projects!$B$9*(1-SUMPRODUCT((Curves!$B$2:$AO$2)*(COLUMN(Curves!$B$2:$AO$2)-COLUMN(Curves!$B$2)+1&lt;=63-Projects!$C$9+1))),0)</f>
        <v>0</v>
      </c>
      <c r="BN12" s="279" t="n">
        <f aca="false">IF(AND(Projects!$G$9="Yes",Projects!$F$9="Yes",64&gt;=Projects!$C$9,64&lt;Projects!$C$9+Projects!$D$9),Projects!$B$9*(1-SUMPRODUCT((Curves!$B$2:$AO$2)*(COLUMN(Curves!$B$2:$AO$2)-COLUMN(Curves!$B$2)+1&lt;=64-Projects!$C$9+1))),0)</f>
        <v>0</v>
      </c>
      <c r="BO12" s="279" t="n">
        <f aca="false">IF(AND(Projects!$G$9="Yes",Projects!$F$9="Yes",65&gt;=Projects!$C$9,65&lt;Projects!$C$9+Projects!$D$9),Projects!$B$9*(1-SUMPRODUCT((Curves!$B$2:$AO$2)*(COLUMN(Curves!$B$2:$AO$2)-COLUMN(Curves!$B$2)+1&lt;=65-Projects!$C$9+1))),0)</f>
        <v>0</v>
      </c>
      <c r="BP12" s="279" t="n">
        <f aca="false">IF(AND(Projects!$G$9="Yes",Projects!$F$9="Yes",66&gt;=Projects!$C$9,66&lt;Projects!$C$9+Projects!$D$9),Projects!$B$9*(1-SUMPRODUCT((Curves!$B$2:$AO$2)*(COLUMN(Curves!$B$2:$AO$2)-COLUMN(Curves!$B$2)+1&lt;=66-Projects!$C$9+1))),0)</f>
        <v>0</v>
      </c>
      <c r="BQ12" s="279" t="n">
        <f aca="false">IF(AND(Projects!$G$9="Yes",Projects!$F$9="Yes",67&gt;=Projects!$C$9,67&lt;Projects!$C$9+Projects!$D$9),Projects!$B$9*(1-SUMPRODUCT((Curves!$B$2:$AO$2)*(COLUMN(Curves!$B$2:$AO$2)-COLUMN(Curves!$B$2)+1&lt;=67-Projects!$C$9+1))),0)</f>
        <v>0</v>
      </c>
      <c r="BR12" s="279" t="n">
        <f aca="false">IF(AND(Projects!$G$9="Yes",Projects!$F$9="Yes",68&gt;=Projects!$C$9,68&lt;Projects!$C$9+Projects!$D$9),Projects!$B$9*(1-SUMPRODUCT((Curves!$B$2:$AO$2)*(COLUMN(Curves!$B$2:$AO$2)-COLUMN(Curves!$B$2)+1&lt;=68-Projects!$C$9+1))),0)</f>
        <v>0</v>
      </c>
      <c r="BS12" s="279" t="n">
        <f aca="false">IF(AND(Projects!$G$9="Yes",Projects!$F$9="Yes",69&gt;=Projects!$C$9,69&lt;Projects!$C$9+Projects!$D$9),Projects!$B$9*(1-SUMPRODUCT((Curves!$B$2:$AO$2)*(COLUMN(Curves!$B$2:$AO$2)-COLUMN(Curves!$B$2)+1&lt;=69-Projects!$C$9+1))),0)</f>
        <v>0</v>
      </c>
      <c r="BT12" s="279" t="n">
        <f aca="false">IF(AND(Projects!$G$9="Yes",Projects!$F$9="Yes",70&gt;=Projects!$C$9,70&lt;Projects!$C$9+Projects!$D$9),Projects!$B$9*(1-SUMPRODUCT((Curves!$B$2:$AO$2)*(COLUMN(Curves!$B$2:$AO$2)-COLUMN(Curves!$B$2)+1&lt;=70-Projects!$C$9+1))),0)</f>
        <v>0</v>
      </c>
      <c r="BU12" s="279" t="n">
        <f aca="false">IF(AND(Projects!$G$9="Yes",Projects!$F$9="Yes",71&gt;=Projects!$C$9,71&lt;Projects!$C$9+Projects!$D$9),Projects!$B$9*(1-SUMPRODUCT((Curves!$B$2:$AO$2)*(COLUMN(Curves!$B$2:$AO$2)-COLUMN(Curves!$B$2)+1&lt;=71-Projects!$C$9+1))),0)</f>
        <v>0</v>
      </c>
      <c r="BV12" s="279" t="n">
        <f aca="false">IF(AND(Projects!$G$9="Yes",Projects!$F$9="Yes",72&gt;=Projects!$C$9,72&lt;Projects!$C$9+Projects!$D$9),Projects!$B$9*(1-SUMPRODUCT((Curves!$B$2:$AO$2)*(COLUMN(Curves!$B$2:$AO$2)-COLUMN(Curves!$B$2)+1&lt;=72-Projects!$C$9+1))),0)</f>
        <v>0</v>
      </c>
      <c r="BW12" s="279" t="n">
        <f aca="false">IF(AND(Projects!$G$9="Yes",Projects!$F$9="Yes",73&gt;=Projects!$C$9,73&lt;Projects!$C$9+Projects!$D$9),Projects!$B$9*(1-SUMPRODUCT((Curves!$B$2:$AO$2)*(COLUMN(Curves!$B$2:$AO$2)-COLUMN(Curves!$B$2)+1&lt;=73-Projects!$C$9+1))),0)</f>
        <v>0</v>
      </c>
      <c r="BX12" s="279" t="n">
        <f aca="false">IF(AND(Projects!$G$9="Yes",Projects!$F$9="Yes",74&gt;=Projects!$C$9,74&lt;Projects!$C$9+Projects!$D$9),Projects!$B$9*(1-SUMPRODUCT((Curves!$B$2:$AO$2)*(COLUMN(Curves!$B$2:$AO$2)-COLUMN(Curves!$B$2)+1&lt;=74-Projects!$C$9+1))),0)</f>
        <v>0</v>
      </c>
      <c r="BY12" s="279" t="n">
        <f aca="false">IF(AND(Projects!$G$9="Yes",Projects!$F$9="Yes",75&gt;=Projects!$C$9,75&lt;Projects!$C$9+Projects!$D$9),Projects!$B$9*(1-SUMPRODUCT((Curves!$B$2:$AO$2)*(COLUMN(Curves!$B$2:$AO$2)-COLUMN(Curves!$B$2)+1&lt;=75-Projects!$C$9+1))),0)</f>
        <v>0</v>
      </c>
      <c r="BZ12" s="279" t="n">
        <f aca="false">IF(AND(Projects!$G$9="Yes",Projects!$F$9="Yes",76&gt;=Projects!$C$9,76&lt;Projects!$C$9+Projects!$D$9),Projects!$B$9*(1-SUMPRODUCT((Curves!$B$2:$AO$2)*(COLUMN(Curves!$B$2:$AO$2)-COLUMN(Curves!$B$2)+1&lt;=76-Projects!$C$9+1))),0)</f>
        <v>0</v>
      </c>
      <c r="CA12" s="279" t="n">
        <f aca="false">IF(AND(Projects!$G$9="Yes",Projects!$F$9="Yes",77&gt;=Projects!$C$9,77&lt;Projects!$C$9+Projects!$D$9),Projects!$B$9*(1-SUMPRODUCT((Curves!$B$2:$AO$2)*(COLUMN(Curves!$B$2:$AO$2)-COLUMN(Curves!$B$2)+1&lt;=77-Projects!$C$9+1))),0)</f>
        <v>0</v>
      </c>
      <c r="CB12" s="279" t="n">
        <f aca="false">IF(AND(Projects!$G$9="Yes",Projects!$F$9="Yes",78&gt;=Projects!$C$9,78&lt;Projects!$C$9+Projects!$D$9),Projects!$B$9*(1-SUMPRODUCT((Curves!$B$2:$AO$2)*(COLUMN(Curves!$B$2:$AO$2)-COLUMN(Curves!$B$2)+1&lt;=78-Projects!$C$9+1))),0)</f>
        <v>0</v>
      </c>
      <c r="CC12" s="279" t="n">
        <f aca="false">IF(AND(Projects!$G$9="Yes",Projects!$F$9="Yes",79&gt;=Projects!$C$9,79&lt;Projects!$C$9+Projects!$D$9),Projects!$B$9*(1-SUMPRODUCT((Curves!$B$2:$AO$2)*(COLUMN(Curves!$B$2:$AO$2)-COLUMN(Curves!$B$2)+1&lt;=79-Projects!$C$9+1))),0)</f>
        <v>0</v>
      </c>
      <c r="CD12" s="279" t="n">
        <f aca="false">IF(AND(Projects!$G$9="Yes",Projects!$F$9="Yes",80&gt;=Projects!$C$9,80&lt;Projects!$C$9+Projects!$D$9),Projects!$B$9*(1-SUMPRODUCT((Curves!$B$2:$AO$2)*(COLUMN(Curves!$B$2:$AO$2)-COLUMN(Curves!$B$2)+1&lt;=80-Projects!$C$9+1))),0)</f>
        <v>0</v>
      </c>
      <c r="CE12" s="279" t="n">
        <f aca="false">IF(AND(Projects!$G$9="Yes",Projects!$F$9="Yes",81&gt;=Projects!$C$9,81&lt;Projects!$C$9+Projects!$D$9),Projects!$B$9*(1-SUMPRODUCT((Curves!$B$2:$AO$2)*(COLUMN(Curves!$B$2:$AO$2)-COLUMN(Curves!$B$2)+1&lt;=81-Projects!$C$9+1))),0)</f>
        <v>0</v>
      </c>
      <c r="CF12" s="279" t="n">
        <f aca="false">IF(AND(Projects!$G$9="Yes",Projects!$F$9="Yes",82&gt;=Projects!$C$9,82&lt;Projects!$C$9+Projects!$D$9),Projects!$B$9*(1-SUMPRODUCT((Curves!$B$2:$AO$2)*(COLUMN(Curves!$B$2:$AO$2)-COLUMN(Curves!$B$2)+1&lt;=82-Projects!$C$9+1))),0)</f>
        <v>0</v>
      </c>
      <c r="CG12" s="279" t="n">
        <f aca="false">IF(AND(Projects!$G$9="Yes",Projects!$F$9="Yes",83&gt;=Projects!$C$9,83&lt;Projects!$C$9+Projects!$D$9),Projects!$B$9*(1-SUMPRODUCT((Curves!$B$2:$AO$2)*(COLUMN(Curves!$B$2:$AO$2)-COLUMN(Curves!$B$2)+1&lt;=83-Projects!$C$9+1))),0)</f>
        <v>0</v>
      </c>
      <c r="CH12" s="279" t="n">
        <f aca="false">IF(AND(Projects!$G$9="Yes",Projects!$F$9="Yes",84&gt;=Projects!$C$9,84&lt;Projects!$C$9+Projects!$D$9),Projects!$B$9*(1-SUMPRODUCT((Curves!$B$2:$AO$2)*(COLUMN(Curves!$B$2:$AO$2)-COLUMN(Curves!$B$2)+1&lt;=84-Projects!$C$9+1))),0)</f>
        <v>0</v>
      </c>
      <c r="CI12" s="279" t="n">
        <f aca="false">IF(AND(Projects!$G$9="Yes",Projects!$F$9="Yes",85&gt;=Projects!$C$9,85&lt;Projects!$C$9+Projects!$D$9),Projects!$B$9*(1-SUMPRODUCT((Curves!$B$2:$AO$2)*(COLUMN(Curves!$B$2:$AO$2)-COLUMN(Curves!$B$2)+1&lt;=85-Projects!$C$9+1))),0)</f>
        <v>0</v>
      </c>
      <c r="CJ12" s="279" t="n">
        <f aca="false">IF(AND(Projects!$G$9="Yes",Projects!$F$9="Yes",86&gt;=Projects!$C$9,86&lt;Projects!$C$9+Projects!$D$9),Projects!$B$9*(1-SUMPRODUCT((Curves!$B$2:$AO$2)*(COLUMN(Curves!$B$2:$AO$2)-COLUMN(Curves!$B$2)+1&lt;=86-Projects!$C$9+1))),0)</f>
        <v>0</v>
      </c>
      <c r="CK12" s="279" t="n">
        <f aca="false">IF(AND(Projects!$G$9="Yes",Projects!$F$9="Yes",87&gt;=Projects!$C$9,87&lt;Projects!$C$9+Projects!$D$9),Projects!$B$9*(1-SUMPRODUCT((Curves!$B$2:$AO$2)*(COLUMN(Curves!$B$2:$AO$2)-COLUMN(Curves!$B$2)+1&lt;=87-Projects!$C$9+1))),0)</f>
        <v>0</v>
      </c>
      <c r="CL12" s="279" t="n">
        <f aca="false">IF(AND(Projects!$G$9="Yes",Projects!$F$9="Yes",88&gt;=Projects!$C$9,88&lt;Projects!$C$9+Projects!$D$9),Projects!$B$9*(1-SUMPRODUCT((Curves!$B$2:$AO$2)*(COLUMN(Curves!$B$2:$AO$2)-COLUMN(Curves!$B$2)+1&lt;=88-Projects!$C$9+1))),0)</f>
        <v>0</v>
      </c>
      <c r="CM12" s="279" t="n">
        <f aca="false">IF(AND(Projects!$G$9="Yes",Projects!$F$9="Yes",89&gt;=Projects!$C$9,89&lt;Projects!$C$9+Projects!$D$9),Projects!$B$9*(1-SUMPRODUCT((Curves!$B$2:$AO$2)*(COLUMN(Curves!$B$2:$AO$2)-COLUMN(Curves!$B$2)+1&lt;=89-Projects!$C$9+1))),0)</f>
        <v>0</v>
      </c>
      <c r="CN12" s="279" t="n">
        <f aca="false">IF(AND(Projects!$G$9="Yes",Projects!$F$9="Yes",90&gt;=Projects!$C$9,90&lt;Projects!$C$9+Projects!$D$9),Projects!$B$9*(1-SUMPRODUCT((Curves!$B$2:$AO$2)*(COLUMN(Curves!$B$2:$AO$2)-COLUMN(Curves!$B$2)+1&lt;=90-Projects!$C$9+1))),0)</f>
        <v>0</v>
      </c>
      <c r="CO12" s="279" t="n">
        <f aca="false">IF(AND(Projects!$G$9="Yes",Projects!$F$9="Yes",91&gt;=Projects!$C$9,91&lt;Projects!$C$9+Projects!$D$9),Projects!$B$9*(1-SUMPRODUCT((Curves!$B$2:$AO$2)*(COLUMN(Curves!$B$2:$AO$2)-COLUMN(Curves!$B$2)+1&lt;=91-Projects!$C$9+1))),0)</f>
        <v>0</v>
      </c>
      <c r="CP12" s="279" t="n">
        <f aca="false">IF(AND(Projects!$G$9="Yes",Projects!$F$9="Yes",92&gt;=Projects!$C$9,92&lt;Projects!$C$9+Projects!$D$9),Projects!$B$9*(1-SUMPRODUCT((Curves!$B$2:$AO$2)*(COLUMN(Curves!$B$2:$AO$2)-COLUMN(Curves!$B$2)+1&lt;=92-Projects!$C$9+1))),0)</f>
        <v>0</v>
      </c>
      <c r="CQ12" s="279" t="n">
        <f aca="false">IF(AND(Projects!$G$9="Yes",Projects!$F$9="Yes",93&gt;=Projects!$C$9,93&lt;Projects!$C$9+Projects!$D$9),Projects!$B$9*(1-SUMPRODUCT((Curves!$B$2:$AO$2)*(COLUMN(Curves!$B$2:$AO$2)-COLUMN(Curves!$B$2)+1&lt;=93-Projects!$C$9+1))),0)</f>
        <v>0</v>
      </c>
    </row>
    <row r="13" customFormat="false" ht="15" hidden="false" customHeight="true" outlineLevel="0" collapsed="false">
      <c r="A13" s="175" t="s">
        <v>15</v>
      </c>
      <c r="C13" s="279" t="n">
        <f aca="false">IF(AND(Projects!$G$10="Yes",Projects!$F$10="Yes",1&gt;=Projects!$C$10,1&lt;Projects!$C$10+Projects!$D$10),Projects!$B$10*(1-SUMPRODUCT((Curves!$B$4:$AO$4)*(COLUMN(Curves!$B$4:$AO$4)-COLUMN(Curves!$B$4)+1&lt;=1-Projects!$C$10+1))),0)</f>
        <v>0</v>
      </c>
      <c r="D13" s="279" t="n">
        <f aca="false">IF(AND(Projects!$G$10="Yes",Projects!$F$10="Yes",2&gt;=Projects!$C$10,2&lt;Projects!$C$10+Projects!$D$10),Projects!$B$10*(1-SUMPRODUCT((Curves!$B$4:$AO$4)*(COLUMN(Curves!$B$4:$AO$4)-COLUMN(Curves!$B$4)+1&lt;=2-Projects!$C$10+1))),0)</f>
        <v>0</v>
      </c>
      <c r="E13" s="279" t="n">
        <f aca="false">IF(AND(Projects!$G$10="Yes",Projects!$F$10="Yes",3&gt;=Projects!$C$10,3&lt;Projects!$C$10+Projects!$D$10),Projects!$B$10*(1-SUMPRODUCT((Curves!$B$4:$AO$4)*(COLUMN(Curves!$B$4:$AO$4)-COLUMN(Curves!$B$4)+1&lt;=3-Projects!$C$10+1))),0)</f>
        <v>0</v>
      </c>
      <c r="F13" s="279" t="n">
        <f aca="false">IF(AND(Projects!$G$10="Yes",Projects!$F$10="Yes",4&gt;=Projects!$C$10,4&lt;Projects!$C$10+Projects!$D$10),Projects!$B$10*(1-SUMPRODUCT((Curves!$B$4:$AO$4)*(COLUMN(Curves!$B$4:$AO$4)-COLUMN(Curves!$B$4)+1&lt;=4-Projects!$C$10+1))),0)</f>
        <v>0</v>
      </c>
      <c r="G13" s="279" t="n">
        <f aca="false">IF(AND(Projects!$G$10="Yes",Projects!$F$10="Yes",5&gt;=Projects!$C$10,5&lt;Projects!$C$10+Projects!$D$10),Projects!$B$10*(1-SUMPRODUCT((Curves!$B$4:$AO$4)*(COLUMN(Curves!$B$4:$AO$4)-COLUMN(Curves!$B$4)+1&lt;=5-Projects!$C$10+1))),0)</f>
        <v>0</v>
      </c>
      <c r="H13" s="279" t="n">
        <f aca="false">IF(AND(Projects!$G$10="Yes",Projects!$F$10="Yes",6&gt;=Projects!$C$10,6&lt;Projects!$C$10+Projects!$D$10),Projects!$B$10*(1-SUMPRODUCT((Curves!$B$4:$AO$4)*(COLUMN(Curves!$B$4:$AO$4)-COLUMN(Curves!$B$4)+1&lt;=6-Projects!$C$10+1))),0)</f>
        <v>20699563.289615</v>
      </c>
      <c r="I13" s="279" t="n">
        <f aca="false">IF(AND(Projects!$G$10="Yes",Projects!$F$10="Yes",7&gt;=Projects!$C$10,7&lt;Projects!$C$10+Projects!$D$10),Projects!$B$10*(1-SUMPRODUCT((Curves!$B$4:$AO$4)*(COLUMN(Curves!$B$4:$AO$4)-COLUMN(Curves!$B$4)+1&lt;=7-Projects!$C$10+1))),0)</f>
        <v>20002952.87841</v>
      </c>
      <c r="J13" s="279" t="n">
        <f aca="false">IF(AND(Projects!$G$10="Yes",Projects!$F$10="Yes",8&gt;=Projects!$C$10,8&lt;Projects!$C$10+Projects!$D$10),Projects!$B$10*(1-SUMPRODUCT((Curves!$B$4:$AO$4)*(COLUMN(Curves!$B$4:$AO$4)-COLUMN(Curves!$B$4)+1&lt;=8-Projects!$C$10+1))),0)</f>
        <v>19163431.1222</v>
      </c>
      <c r="K13" s="279" t="n">
        <f aca="false">IF(AND(Projects!$G$10="Yes",Projects!$F$10="Yes",9&gt;=Projects!$C$10,9&lt;Projects!$C$10+Projects!$D$10),Projects!$B$10*(1-SUMPRODUCT((Curves!$B$4:$AO$4)*(COLUMN(Curves!$B$4:$AO$4)-COLUMN(Curves!$B$4)+1&lt;=9-Projects!$C$10+1))),0)</f>
        <v>18176553.96934</v>
      </c>
      <c r="L13" s="279" t="n">
        <f aca="false">IF(AND(Projects!$G$10="Yes",Projects!$F$10="Yes",10&gt;=Projects!$C$10,10&lt;Projects!$C$10+Projects!$D$10),Projects!$B$10*(1-SUMPRODUCT((Curves!$B$4:$AO$4)*(COLUMN(Curves!$B$4:$AO$4)-COLUMN(Curves!$B$4)+1&lt;=10-Projects!$C$10+1))),0)</f>
        <v>17044958.08205</v>
      </c>
      <c r="M13" s="279" t="n">
        <f aca="false">IF(AND(Projects!$G$10="Yes",Projects!$F$10="Yes",11&gt;=Projects!$C$10,11&lt;Projects!$C$10+Projects!$D$10),Projects!$B$10*(1-SUMPRODUCT((Curves!$B$4:$AO$4)*(COLUMN(Curves!$B$4:$AO$4)-COLUMN(Curves!$B$4)+1&lt;=11-Projects!$C$10+1))),0)</f>
        <v>15779317.68964</v>
      </c>
      <c r="N13" s="279" t="n">
        <f aca="false">IF(AND(Projects!$G$10="Yes",Projects!$F$10="Yes",12&gt;=Projects!$C$10,12&lt;Projects!$C$10+Projects!$D$10),Projects!$B$10*(1-SUMPRODUCT((Curves!$B$4:$AO$4)*(COLUMN(Curves!$B$4:$AO$4)-COLUMN(Curves!$B$4)+1&lt;=12-Projects!$C$10+1))),0)</f>
        <v>14398535.959155</v>
      </c>
      <c r="O13" s="279" t="n">
        <f aca="false">IF(AND(Projects!$G$10="Yes",Projects!$F$10="Yes",13&gt;=Projects!$C$10,13&lt;Projects!$C$10+Projects!$D$10),Projects!$B$10*(1-SUMPRODUCT((Curves!$B$4:$AO$4)*(COLUMN(Curves!$B$4:$AO$4)-COLUMN(Curves!$B$4)+1&lt;=13-Projects!$C$10+1))),0)</f>
        <v>12929149.620035</v>
      </c>
      <c r="P13" s="279" t="n">
        <f aca="false">IF(AND(Projects!$G$10="Yes",Projects!$F$10="Yes",14&gt;=Projects!$C$10,14&lt;Projects!$C$10+Projects!$D$10),Projects!$B$10*(1-SUMPRODUCT((Curves!$B$4:$AO$4)*(COLUMN(Curves!$B$4:$AO$4)-COLUMN(Curves!$B$4)+1&lt;=14-Projects!$C$10+1))),0)</f>
        <v>11403883.052575</v>
      </c>
      <c r="Q13" s="279" t="n">
        <f aca="false">IF(AND(Projects!$G$10="Yes",Projects!$F$10="Yes",15&gt;=Projects!$C$10,15&lt;Projects!$C$10+Projects!$D$10),Projects!$B$10*(1-SUMPRODUCT((Curves!$B$4:$AO$4)*(COLUMN(Curves!$B$4:$AO$4)-COLUMN(Curves!$B$4)+1&lt;=15-Projects!$C$10+1))),0)</f>
        <v>9859521.947425</v>
      </c>
      <c r="R13" s="279" t="n">
        <f aca="false">IF(AND(Projects!$G$10="Yes",Projects!$F$10="Yes",16&gt;=Projects!$C$10,16&lt;Projects!$C$10+Projects!$D$10),Projects!$B$10*(1-SUMPRODUCT((Curves!$B$4:$AO$4)*(COLUMN(Curves!$B$4:$AO$4)-COLUMN(Curves!$B$4)+1&lt;=16-Projects!$C$10+1))),0)</f>
        <v>8334255.379965</v>
      </c>
      <c r="S13" s="279" t="n">
        <f aca="false">IF(AND(Projects!$G$10="Yes",Projects!$F$10="Yes",17&gt;=Projects!$C$10,17&lt;Projects!$C$10+Projects!$D$10),Projects!$B$10*(1-SUMPRODUCT((Curves!$B$4:$AO$4)*(COLUMN(Curves!$B$4:$AO$4)-COLUMN(Curves!$B$4)+1&lt;=17-Projects!$C$10+1))),0)</f>
        <v>6864869.040845</v>
      </c>
      <c r="T13" s="279" t="n">
        <f aca="false">IF(AND(Projects!$G$10="Yes",Projects!$F$10="Yes",18&gt;=Projects!$C$10,18&lt;Projects!$C$10+Projects!$D$10),Projects!$B$10*(1-SUMPRODUCT((Curves!$B$4:$AO$4)*(COLUMN(Curves!$B$4:$AO$4)-COLUMN(Curves!$B$4)+1&lt;=18-Projects!$C$10+1))),0)</f>
        <v>5484087.31036</v>
      </c>
      <c r="U13" s="279" t="n">
        <f aca="false">IF(AND(Projects!$G$10="Yes",Projects!$F$10="Yes",19&gt;=Projects!$C$10,19&lt;Projects!$C$10+Projects!$D$10),Projects!$B$10*(1-SUMPRODUCT((Curves!$B$4:$AO$4)*(COLUMN(Curves!$B$4:$AO$4)-COLUMN(Curves!$B$4)+1&lt;=19-Projects!$C$10+1))),0)</f>
        <v>4218446.91795</v>
      </c>
      <c r="V13" s="279" t="n">
        <f aca="false">IF(AND(Projects!$G$10="Yes",Projects!$F$10="Yes",20&gt;=Projects!$C$10,20&lt;Projects!$C$10+Projects!$D$10),Projects!$B$10*(1-SUMPRODUCT((Curves!$B$4:$AO$4)*(COLUMN(Curves!$B$4:$AO$4)-COLUMN(Curves!$B$4)+1&lt;=20-Projects!$C$10+1))),0)</f>
        <v>3086851.03066</v>
      </c>
      <c r="W13" s="279" t="n">
        <f aca="false">IF(AND(Projects!$G$10="Yes",Projects!$F$10="Yes",21&gt;=Projects!$C$10,21&lt;Projects!$C$10+Projects!$D$10),Projects!$B$10*(1-SUMPRODUCT((Curves!$B$4:$AO$4)*(COLUMN(Curves!$B$4:$AO$4)-COLUMN(Curves!$B$4)+1&lt;=21-Projects!$C$10+1))),0)</f>
        <v>2099973.8778</v>
      </c>
      <c r="X13" s="279" t="n">
        <f aca="false">IF(AND(Projects!$G$10="Yes",Projects!$F$10="Yes",22&gt;=Projects!$C$10,22&lt;Projects!$C$10+Projects!$D$10),Projects!$B$10*(1-SUMPRODUCT((Curves!$B$4:$AO$4)*(COLUMN(Curves!$B$4:$AO$4)-COLUMN(Curves!$B$4)+1&lt;=22-Projects!$C$10+1))),0)</f>
        <v>1260452.12159</v>
      </c>
      <c r="Y13" s="279" t="n">
        <f aca="false">IF(AND(Projects!$G$10="Yes",Projects!$F$10="Yes",23&gt;=Projects!$C$10,23&lt;Projects!$C$10+Projects!$D$10),Projects!$B$10*(1-SUMPRODUCT((Curves!$B$4:$AO$4)*(COLUMN(Curves!$B$4:$AO$4)-COLUMN(Curves!$B$4)+1&lt;=23-Projects!$C$10+1))),0)</f>
        <v>563841.710385</v>
      </c>
      <c r="Z13" s="279" t="n">
        <f aca="false">IF(AND(Projects!$G$10="Yes",Projects!$F$10="Yes",24&gt;=Projects!$C$10,24&lt;Projects!$C$10+Projects!$D$10),Projects!$B$10*(1-SUMPRODUCT((Curves!$B$4:$AO$4)*(COLUMN(Curves!$B$4:$AO$4)-COLUMN(Curves!$B$4)+1&lt;=24-Projects!$C$10+1))),0)</f>
        <v>0</v>
      </c>
      <c r="AA13" s="279" t="n">
        <f aca="false">IF(AND(Projects!$G$10="Yes",Projects!$F$10="Yes",25&gt;=Projects!$C$10,25&lt;Projects!$C$10+Projects!$D$10),Projects!$B$10*(1-SUMPRODUCT((Curves!$B$4:$AO$4)*(COLUMN(Curves!$B$4:$AO$4)-COLUMN(Curves!$B$4)+1&lt;=25-Projects!$C$10+1))),0)</f>
        <v>0</v>
      </c>
      <c r="AB13" s="279" t="n">
        <f aca="false">IF(AND(Projects!$G$10="Yes",Projects!$F$10="Yes",26&gt;=Projects!$C$10,26&lt;Projects!$C$10+Projects!$D$10),Projects!$B$10*(1-SUMPRODUCT((Curves!$B$4:$AO$4)*(COLUMN(Curves!$B$4:$AO$4)-COLUMN(Curves!$B$4)+1&lt;=26-Projects!$C$10+1))),0)</f>
        <v>0</v>
      </c>
      <c r="AC13" s="279" t="n">
        <f aca="false">IF(AND(Projects!$G$10="Yes",Projects!$F$10="Yes",27&gt;=Projects!$C$10,27&lt;Projects!$C$10+Projects!$D$10),Projects!$B$10*(1-SUMPRODUCT((Curves!$B$4:$AO$4)*(COLUMN(Curves!$B$4:$AO$4)-COLUMN(Curves!$B$4)+1&lt;=27-Projects!$C$10+1))),0)</f>
        <v>0</v>
      </c>
      <c r="AD13" s="279" t="n">
        <f aca="false">IF(AND(Projects!$G$10="Yes",Projects!$F$10="Yes",28&gt;=Projects!$C$10,28&lt;Projects!$C$10+Projects!$D$10),Projects!$B$10*(1-SUMPRODUCT((Curves!$B$4:$AO$4)*(COLUMN(Curves!$B$4:$AO$4)-COLUMN(Curves!$B$4)+1&lt;=28-Projects!$C$10+1))),0)</f>
        <v>0</v>
      </c>
      <c r="AE13" s="279" t="n">
        <f aca="false">IF(AND(Projects!$G$10="Yes",Projects!$F$10="Yes",29&gt;=Projects!$C$10,29&lt;Projects!$C$10+Projects!$D$10),Projects!$B$10*(1-SUMPRODUCT((Curves!$B$4:$AO$4)*(COLUMN(Curves!$B$4:$AO$4)-COLUMN(Curves!$B$4)+1&lt;=29-Projects!$C$10+1))),0)</f>
        <v>0</v>
      </c>
      <c r="AF13" s="279" t="n">
        <f aca="false">IF(AND(Projects!$G$10="Yes",Projects!$F$10="Yes",30&gt;=Projects!$C$10,30&lt;Projects!$C$10+Projects!$D$10),Projects!$B$10*(1-SUMPRODUCT((Curves!$B$4:$AO$4)*(COLUMN(Curves!$B$4:$AO$4)-COLUMN(Curves!$B$4)+1&lt;=30-Projects!$C$10+1))),0)</f>
        <v>0</v>
      </c>
      <c r="AG13" s="279" t="n">
        <f aca="false">IF(AND(Projects!$G$10="Yes",Projects!$F$10="Yes",31&gt;=Projects!$C$10,31&lt;Projects!$C$10+Projects!$D$10),Projects!$B$10*(1-SUMPRODUCT((Curves!$B$4:$AO$4)*(COLUMN(Curves!$B$4:$AO$4)-COLUMN(Curves!$B$4)+1&lt;=31-Projects!$C$10+1))),0)</f>
        <v>0</v>
      </c>
      <c r="AH13" s="279" t="n">
        <f aca="false">IF(AND(Projects!$G$10="Yes",Projects!$F$10="Yes",32&gt;=Projects!$C$10,32&lt;Projects!$C$10+Projects!$D$10),Projects!$B$10*(1-SUMPRODUCT((Curves!$B$4:$AO$4)*(COLUMN(Curves!$B$4:$AO$4)-COLUMN(Curves!$B$4)+1&lt;=32-Projects!$C$10+1))),0)</f>
        <v>0</v>
      </c>
      <c r="AI13" s="279" t="n">
        <f aca="false">IF(AND(Projects!$G$10="Yes",Projects!$F$10="Yes",33&gt;=Projects!$C$10,33&lt;Projects!$C$10+Projects!$D$10),Projects!$B$10*(1-SUMPRODUCT((Curves!$B$4:$AO$4)*(COLUMN(Curves!$B$4:$AO$4)-COLUMN(Curves!$B$4)+1&lt;=33-Projects!$C$10+1))),0)</f>
        <v>0</v>
      </c>
      <c r="AJ13" s="279" t="n">
        <f aca="false">IF(AND(Projects!$G$10="Yes",Projects!$F$10="Yes",34&gt;=Projects!$C$10,34&lt;Projects!$C$10+Projects!$D$10),Projects!$B$10*(1-SUMPRODUCT((Curves!$B$4:$AO$4)*(COLUMN(Curves!$B$4:$AO$4)-COLUMN(Curves!$B$4)+1&lt;=34-Projects!$C$10+1))),0)</f>
        <v>0</v>
      </c>
      <c r="AK13" s="279" t="n">
        <f aca="false">IF(AND(Projects!$G$10="Yes",Projects!$F$10="Yes",35&gt;=Projects!$C$10,35&lt;Projects!$C$10+Projects!$D$10),Projects!$B$10*(1-SUMPRODUCT((Curves!$B$4:$AO$4)*(COLUMN(Curves!$B$4:$AO$4)-COLUMN(Curves!$B$4)+1&lt;=35-Projects!$C$10+1))),0)</f>
        <v>0</v>
      </c>
      <c r="AL13" s="279" t="n">
        <f aca="false">IF(AND(Projects!$G$10="Yes",Projects!$F$10="Yes",36&gt;=Projects!$C$10,36&lt;Projects!$C$10+Projects!$D$10),Projects!$B$10*(1-SUMPRODUCT((Curves!$B$4:$AO$4)*(COLUMN(Curves!$B$4:$AO$4)-COLUMN(Curves!$B$4)+1&lt;=36-Projects!$C$10+1))),0)</f>
        <v>0</v>
      </c>
      <c r="AM13" s="279" t="n">
        <f aca="false">IF(AND(Projects!$G$10="Yes",Projects!$F$10="Yes",37&gt;=Projects!$C$10,37&lt;Projects!$C$10+Projects!$D$10),Projects!$B$10*(1-SUMPRODUCT((Curves!$B$4:$AO$4)*(COLUMN(Curves!$B$4:$AO$4)-COLUMN(Curves!$B$4)+1&lt;=37-Projects!$C$10+1))),0)</f>
        <v>0</v>
      </c>
      <c r="AN13" s="279" t="n">
        <f aca="false">IF(AND(Projects!$G$10="Yes",Projects!$F$10="Yes",38&gt;=Projects!$C$10,38&lt;Projects!$C$10+Projects!$D$10),Projects!$B$10*(1-SUMPRODUCT((Curves!$B$4:$AO$4)*(COLUMN(Curves!$B$4:$AO$4)-COLUMN(Curves!$B$4)+1&lt;=38-Projects!$C$10+1))),0)</f>
        <v>0</v>
      </c>
      <c r="AO13" s="279" t="n">
        <f aca="false">IF(AND(Projects!$G$10="Yes",Projects!$F$10="Yes",39&gt;=Projects!$C$10,39&lt;Projects!$C$10+Projects!$D$10),Projects!$B$10*(1-SUMPRODUCT((Curves!$B$4:$AO$4)*(COLUMN(Curves!$B$4:$AO$4)-COLUMN(Curves!$B$4)+1&lt;=39-Projects!$C$10+1))),0)</f>
        <v>0</v>
      </c>
      <c r="AP13" s="279" t="n">
        <f aca="false">IF(AND(Projects!$G$10="Yes",Projects!$F$10="Yes",40&gt;=Projects!$C$10,40&lt;Projects!$C$10+Projects!$D$10),Projects!$B$10*(1-SUMPRODUCT((Curves!$B$4:$AO$4)*(COLUMN(Curves!$B$4:$AO$4)-COLUMN(Curves!$B$4)+1&lt;=40-Projects!$C$10+1))),0)</f>
        <v>0</v>
      </c>
      <c r="AQ13" s="279" t="n">
        <f aca="false">IF(AND(Projects!$G$10="Yes",Projects!$F$10="Yes",41&gt;=Projects!$C$10,41&lt;Projects!$C$10+Projects!$D$10),Projects!$B$10*(1-SUMPRODUCT((Curves!$B$4:$AO$4)*(COLUMN(Curves!$B$4:$AO$4)-COLUMN(Curves!$B$4)+1&lt;=41-Projects!$C$10+1))),0)</f>
        <v>0</v>
      </c>
      <c r="AR13" s="279" t="n">
        <f aca="false">IF(AND(Projects!$G$10="Yes",Projects!$F$10="Yes",42&gt;=Projects!$C$10,42&lt;Projects!$C$10+Projects!$D$10),Projects!$B$10*(1-SUMPRODUCT((Curves!$B$4:$AO$4)*(COLUMN(Curves!$B$4:$AO$4)-COLUMN(Curves!$B$4)+1&lt;=42-Projects!$C$10+1))),0)</f>
        <v>0</v>
      </c>
      <c r="AS13" s="279" t="n">
        <f aca="false">IF(AND(Projects!$G$10="Yes",Projects!$F$10="Yes",43&gt;=Projects!$C$10,43&lt;Projects!$C$10+Projects!$D$10),Projects!$B$10*(1-SUMPRODUCT((Curves!$B$4:$AO$4)*(COLUMN(Curves!$B$4:$AO$4)-COLUMN(Curves!$B$4)+1&lt;=43-Projects!$C$10+1))),0)</f>
        <v>0</v>
      </c>
      <c r="AT13" s="279" t="n">
        <f aca="false">IF(AND(Projects!$G$10="Yes",Projects!$F$10="Yes",44&gt;=Projects!$C$10,44&lt;Projects!$C$10+Projects!$D$10),Projects!$B$10*(1-SUMPRODUCT((Curves!$B$4:$AO$4)*(COLUMN(Curves!$B$4:$AO$4)-COLUMN(Curves!$B$4)+1&lt;=44-Projects!$C$10+1))),0)</f>
        <v>0</v>
      </c>
      <c r="AU13" s="279" t="n">
        <f aca="false">IF(AND(Projects!$G$10="Yes",Projects!$F$10="Yes",45&gt;=Projects!$C$10,45&lt;Projects!$C$10+Projects!$D$10),Projects!$B$10*(1-SUMPRODUCT((Curves!$B$4:$AO$4)*(COLUMN(Curves!$B$4:$AO$4)-COLUMN(Curves!$B$4)+1&lt;=45-Projects!$C$10+1))),0)</f>
        <v>0</v>
      </c>
      <c r="AV13" s="279" t="n">
        <f aca="false">IF(AND(Projects!$G$10="Yes",Projects!$F$10="Yes",46&gt;=Projects!$C$10,46&lt;Projects!$C$10+Projects!$D$10),Projects!$B$10*(1-SUMPRODUCT((Curves!$B$4:$AO$4)*(COLUMN(Curves!$B$4:$AO$4)-COLUMN(Curves!$B$4)+1&lt;=46-Projects!$C$10+1))),0)</f>
        <v>0</v>
      </c>
      <c r="AW13" s="279" t="n">
        <f aca="false">IF(AND(Projects!$G$10="Yes",Projects!$F$10="Yes",47&gt;=Projects!$C$10,47&lt;Projects!$C$10+Projects!$D$10),Projects!$B$10*(1-SUMPRODUCT((Curves!$B$4:$AO$4)*(COLUMN(Curves!$B$4:$AO$4)-COLUMN(Curves!$B$4)+1&lt;=47-Projects!$C$10+1))),0)</f>
        <v>0</v>
      </c>
      <c r="AX13" s="279" t="n">
        <f aca="false">IF(AND(Projects!$G$10="Yes",Projects!$F$10="Yes",48&gt;=Projects!$C$10,48&lt;Projects!$C$10+Projects!$D$10),Projects!$B$10*(1-SUMPRODUCT((Curves!$B$4:$AO$4)*(COLUMN(Curves!$B$4:$AO$4)-COLUMN(Curves!$B$4)+1&lt;=48-Projects!$C$10+1))),0)</f>
        <v>0</v>
      </c>
      <c r="AY13" s="279" t="n">
        <f aca="false">IF(AND(Projects!$G$10="Yes",Projects!$F$10="Yes",49&gt;=Projects!$C$10,49&lt;Projects!$C$10+Projects!$D$10),Projects!$B$10*(1-SUMPRODUCT((Curves!$B$4:$AO$4)*(COLUMN(Curves!$B$4:$AO$4)-COLUMN(Curves!$B$4)+1&lt;=49-Projects!$C$10+1))),0)</f>
        <v>0</v>
      </c>
      <c r="AZ13" s="279" t="n">
        <f aca="false">IF(AND(Projects!$G$10="Yes",Projects!$F$10="Yes",50&gt;=Projects!$C$10,50&lt;Projects!$C$10+Projects!$D$10),Projects!$B$10*(1-SUMPRODUCT((Curves!$B$4:$AO$4)*(COLUMN(Curves!$B$4:$AO$4)-COLUMN(Curves!$B$4)+1&lt;=50-Projects!$C$10+1))),0)</f>
        <v>0</v>
      </c>
      <c r="BA13" s="279" t="n">
        <f aca="false">IF(AND(Projects!$G$10="Yes",Projects!$F$10="Yes",51&gt;=Projects!$C$10,51&lt;Projects!$C$10+Projects!$D$10),Projects!$B$10*(1-SUMPRODUCT((Curves!$B$4:$AO$4)*(COLUMN(Curves!$B$4:$AO$4)-COLUMN(Curves!$B$4)+1&lt;=51-Projects!$C$10+1))),0)</f>
        <v>0</v>
      </c>
      <c r="BB13" s="279" t="n">
        <f aca="false">IF(AND(Projects!$G$10="Yes",Projects!$F$10="Yes",52&gt;=Projects!$C$10,52&lt;Projects!$C$10+Projects!$D$10),Projects!$B$10*(1-SUMPRODUCT((Curves!$B$4:$AO$4)*(COLUMN(Curves!$B$4:$AO$4)-COLUMN(Curves!$B$4)+1&lt;=52-Projects!$C$10+1))),0)</f>
        <v>0</v>
      </c>
      <c r="BC13" s="279" t="n">
        <f aca="false">IF(AND(Projects!$G$10="Yes",Projects!$F$10="Yes",53&gt;=Projects!$C$10,53&lt;Projects!$C$10+Projects!$D$10),Projects!$B$10*(1-SUMPRODUCT((Curves!$B$4:$AO$4)*(COLUMN(Curves!$B$4:$AO$4)-COLUMN(Curves!$B$4)+1&lt;=53-Projects!$C$10+1))),0)</f>
        <v>0</v>
      </c>
      <c r="BD13" s="279" t="n">
        <f aca="false">IF(AND(Projects!$G$10="Yes",Projects!$F$10="Yes",54&gt;=Projects!$C$10,54&lt;Projects!$C$10+Projects!$D$10),Projects!$B$10*(1-SUMPRODUCT((Curves!$B$4:$AO$4)*(COLUMN(Curves!$B$4:$AO$4)-COLUMN(Curves!$B$4)+1&lt;=54-Projects!$C$10+1))),0)</f>
        <v>0</v>
      </c>
      <c r="BE13" s="279" t="n">
        <f aca="false">IF(AND(Projects!$G$10="Yes",Projects!$F$10="Yes",55&gt;=Projects!$C$10,55&lt;Projects!$C$10+Projects!$D$10),Projects!$B$10*(1-SUMPRODUCT((Curves!$B$4:$AO$4)*(COLUMN(Curves!$B$4:$AO$4)-COLUMN(Curves!$B$4)+1&lt;=55-Projects!$C$10+1))),0)</f>
        <v>0</v>
      </c>
      <c r="BF13" s="279" t="n">
        <f aca="false">IF(AND(Projects!$G$10="Yes",Projects!$F$10="Yes",56&gt;=Projects!$C$10,56&lt;Projects!$C$10+Projects!$D$10),Projects!$B$10*(1-SUMPRODUCT((Curves!$B$4:$AO$4)*(COLUMN(Curves!$B$4:$AO$4)-COLUMN(Curves!$B$4)+1&lt;=56-Projects!$C$10+1))),0)</f>
        <v>0</v>
      </c>
      <c r="BG13" s="279" t="n">
        <f aca="false">IF(AND(Projects!$G$10="Yes",Projects!$F$10="Yes",57&gt;=Projects!$C$10,57&lt;Projects!$C$10+Projects!$D$10),Projects!$B$10*(1-SUMPRODUCT((Curves!$B$4:$AO$4)*(COLUMN(Curves!$B$4:$AO$4)-COLUMN(Curves!$B$4)+1&lt;=57-Projects!$C$10+1))),0)</f>
        <v>0</v>
      </c>
      <c r="BH13" s="279" t="n">
        <f aca="false">IF(AND(Projects!$G$10="Yes",Projects!$F$10="Yes",58&gt;=Projects!$C$10,58&lt;Projects!$C$10+Projects!$D$10),Projects!$B$10*(1-SUMPRODUCT((Curves!$B$4:$AO$4)*(COLUMN(Curves!$B$4:$AO$4)-COLUMN(Curves!$B$4)+1&lt;=58-Projects!$C$10+1))),0)</f>
        <v>0</v>
      </c>
      <c r="BI13" s="279" t="n">
        <f aca="false">IF(AND(Projects!$G$10="Yes",Projects!$F$10="Yes",59&gt;=Projects!$C$10,59&lt;Projects!$C$10+Projects!$D$10),Projects!$B$10*(1-SUMPRODUCT((Curves!$B$4:$AO$4)*(COLUMN(Curves!$B$4:$AO$4)-COLUMN(Curves!$B$4)+1&lt;=59-Projects!$C$10+1))),0)</f>
        <v>0</v>
      </c>
      <c r="BJ13" s="279" t="n">
        <f aca="false">IF(AND(Projects!$G$10="Yes",Projects!$F$10="Yes",60&gt;=Projects!$C$10,60&lt;Projects!$C$10+Projects!$D$10),Projects!$B$10*(1-SUMPRODUCT((Curves!$B$4:$AO$4)*(COLUMN(Curves!$B$4:$AO$4)-COLUMN(Curves!$B$4)+1&lt;=60-Projects!$C$10+1))),0)</f>
        <v>0</v>
      </c>
      <c r="BK13" s="279" t="n">
        <f aca="false">IF(AND(Projects!$G$10="Yes",Projects!$F$10="Yes",61&gt;=Projects!$C$10,61&lt;Projects!$C$10+Projects!$D$10),Projects!$B$10*(1-SUMPRODUCT((Curves!$B$4:$AO$4)*(COLUMN(Curves!$B$4:$AO$4)-COLUMN(Curves!$B$4)+1&lt;=61-Projects!$C$10+1))),0)</f>
        <v>0</v>
      </c>
      <c r="BL13" s="279" t="n">
        <f aca="false">IF(AND(Projects!$G$10="Yes",Projects!$F$10="Yes",62&gt;=Projects!$C$10,62&lt;Projects!$C$10+Projects!$D$10),Projects!$B$10*(1-SUMPRODUCT((Curves!$B$4:$AO$4)*(COLUMN(Curves!$B$4:$AO$4)-COLUMN(Curves!$B$4)+1&lt;=62-Projects!$C$10+1))),0)</f>
        <v>0</v>
      </c>
      <c r="BM13" s="279" t="n">
        <f aca="false">IF(AND(Projects!$G$10="Yes",Projects!$F$10="Yes",63&gt;=Projects!$C$10,63&lt;Projects!$C$10+Projects!$D$10),Projects!$B$10*(1-SUMPRODUCT((Curves!$B$4:$AO$4)*(COLUMN(Curves!$B$4:$AO$4)-COLUMN(Curves!$B$4)+1&lt;=63-Projects!$C$10+1))),0)</f>
        <v>0</v>
      </c>
      <c r="BN13" s="279" t="n">
        <f aca="false">IF(AND(Projects!$G$10="Yes",Projects!$F$10="Yes",64&gt;=Projects!$C$10,64&lt;Projects!$C$10+Projects!$D$10),Projects!$B$10*(1-SUMPRODUCT((Curves!$B$4:$AO$4)*(COLUMN(Curves!$B$4:$AO$4)-COLUMN(Curves!$B$4)+1&lt;=64-Projects!$C$10+1))),0)</f>
        <v>0</v>
      </c>
      <c r="BO13" s="279" t="n">
        <f aca="false">IF(AND(Projects!$G$10="Yes",Projects!$F$10="Yes",65&gt;=Projects!$C$10,65&lt;Projects!$C$10+Projects!$D$10),Projects!$B$10*(1-SUMPRODUCT((Curves!$B$4:$AO$4)*(COLUMN(Curves!$B$4:$AO$4)-COLUMN(Curves!$B$4)+1&lt;=65-Projects!$C$10+1))),0)</f>
        <v>0</v>
      </c>
      <c r="BP13" s="279" t="n">
        <f aca="false">IF(AND(Projects!$G$10="Yes",Projects!$F$10="Yes",66&gt;=Projects!$C$10,66&lt;Projects!$C$10+Projects!$D$10),Projects!$B$10*(1-SUMPRODUCT((Curves!$B$4:$AO$4)*(COLUMN(Curves!$B$4:$AO$4)-COLUMN(Curves!$B$4)+1&lt;=66-Projects!$C$10+1))),0)</f>
        <v>0</v>
      </c>
      <c r="BQ13" s="279" t="n">
        <f aca="false">IF(AND(Projects!$G$10="Yes",Projects!$F$10="Yes",67&gt;=Projects!$C$10,67&lt;Projects!$C$10+Projects!$D$10),Projects!$B$10*(1-SUMPRODUCT((Curves!$B$4:$AO$4)*(COLUMN(Curves!$B$4:$AO$4)-COLUMN(Curves!$B$4)+1&lt;=67-Projects!$C$10+1))),0)</f>
        <v>0</v>
      </c>
      <c r="BR13" s="279" t="n">
        <f aca="false">IF(AND(Projects!$G$10="Yes",Projects!$F$10="Yes",68&gt;=Projects!$C$10,68&lt;Projects!$C$10+Projects!$D$10),Projects!$B$10*(1-SUMPRODUCT((Curves!$B$4:$AO$4)*(COLUMN(Curves!$B$4:$AO$4)-COLUMN(Curves!$B$4)+1&lt;=68-Projects!$C$10+1))),0)</f>
        <v>0</v>
      </c>
      <c r="BS13" s="279" t="n">
        <f aca="false">IF(AND(Projects!$G$10="Yes",Projects!$F$10="Yes",69&gt;=Projects!$C$10,69&lt;Projects!$C$10+Projects!$D$10),Projects!$B$10*(1-SUMPRODUCT((Curves!$B$4:$AO$4)*(COLUMN(Curves!$B$4:$AO$4)-COLUMN(Curves!$B$4)+1&lt;=69-Projects!$C$10+1))),0)</f>
        <v>0</v>
      </c>
      <c r="BT13" s="279" t="n">
        <f aca="false">IF(AND(Projects!$G$10="Yes",Projects!$F$10="Yes",70&gt;=Projects!$C$10,70&lt;Projects!$C$10+Projects!$D$10),Projects!$B$10*(1-SUMPRODUCT((Curves!$B$4:$AO$4)*(COLUMN(Curves!$B$4:$AO$4)-COLUMN(Curves!$B$4)+1&lt;=70-Projects!$C$10+1))),0)</f>
        <v>0</v>
      </c>
      <c r="BU13" s="279" t="n">
        <f aca="false">IF(AND(Projects!$G$10="Yes",Projects!$F$10="Yes",71&gt;=Projects!$C$10,71&lt;Projects!$C$10+Projects!$D$10),Projects!$B$10*(1-SUMPRODUCT((Curves!$B$4:$AO$4)*(COLUMN(Curves!$B$4:$AO$4)-COLUMN(Curves!$B$4)+1&lt;=71-Projects!$C$10+1))),0)</f>
        <v>0</v>
      </c>
      <c r="BV13" s="279" t="n">
        <f aca="false">IF(AND(Projects!$G$10="Yes",Projects!$F$10="Yes",72&gt;=Projects!$C$10,72&lt;Projects!$C$10+Projects!$D$10),Projects!$B$10*(1-SUMPRODUCT((Curves!$B$4:$AO$4)*(COLUMN(Curves!$B$4:$AO$4)-COLUMN(Curves!$B$4)+1&lt;=72-Projects!$C$10+1))),0)</f>
        <v>0</v>
      </c>
      <c r="BW13" s="279" t="n">
        <f aca="false">IF(AND(Projects!$G$10="Yes",Projects!$F$10="Yes",73&gt;=Projects!$C$10,73&lt;Projects!$C$10+Projects!$D$10),Projects!$B$10*(1-SUMPRODUCT((Curves!$B$4:$AO$4)*(COLUMN(Curves!$B$4:$AO$4)-COLUMN(Curves!$B$4)+1&lt;=73-Projects!$C$10+1))),0)</f>
        <v>0</v>
      </c>
      <c r="BX13" s="279" t="n">
        <f aca="false">IF(AND(Projects!$G$10="Yes",Projects!$F$10="Yes",74&gt;=Projects!$C$10,74&lt;Projects!$C$10+Projects!$D$10),Projects!$B$10*(1-SUMPRODUCT((Curves!$B$4:$AO$4)*(COLUMN(Curves!$B$4:$AO$4)-COLUMN(Curves!$B$4)+1&lt;=74-Projects!$C$10+1))),0)</f>
        <v>0</v>
      </c>
      <c r="BY13" s="279" t="n">
        <f aca="false">IF(AND(Projects!$G$10="Yes",Projects!$F$10="Yes",75&gt;=Projects!$C$10,75&lt;Projects!$C$10+Projects!$D$10),Projects!$B$10*(1-SUMPRODUCT((Curves!$B$4:$AO$4)*(COLUMN(Curves!$B$4:$AO$4)-COLUMN(Curves!$B$4)+1&lt;=75-Projects!$C$10+1))),0)</f>
        <v>0</v>
      </c>
      <c r="BZ13" s="279" t="n">
        <f aca="false">IF(AND(Projects!$G$10="Yes",Projects!$F$10="Yes",76&gt;=Projects!$C$10,76&lt;Projects!$C$10+Projects!$D$10),Projects!$B$10*(1-SUMPRODUCT((Curves!$B$4:$AO$4)*(COLUMN(Curves!$B$4:$AO$4)-COLUMN(Curves!$B$4)+1&lt;=76-Projects!$C$10+1))),0)</f>
        <v>0</v>
      </c>
      <c r="CA13" s="279" t="n">
        <f aca="false">IF(AND(Projects!$G$10="Yes",Projects!$F$10="Yes",77&gt;=Projects!$C$10,77&lt;Projects!$C$10+Projects!$D$10),Projects!$B$10*(1-SUMPRODUCT((Curves!$B$4:$AO$4)*(COLUMN(Curves!$B$4:$AO$4)-COLUMN(Curves!$B$4)+1&lt;=77-Projects!$C$10+1))),0)</f>
        <v>0</v>
      </c>
      <c r="CB13" s="279" t="n">
        <f aca="false">IF(AND(Projects!$G$10="Yes",Projects!$F$10="Yes",78&gt;=Projects!$C$10,78&lt;Projects!$C$10+Projects!$D$10),Projects!$B$10*(1-SUMPRODUCT((Curves!$B$4:$AO$4)*(COLUMN(Curves!$B$4:$AO$4)-COLUMN(Curves!$B$4)+1&lt;=78-Projects!$C$10+1))),0)</f>
        <v>0</v>
      </c>
      <c r="CC13" s="279" t="n">
        <f aca="false">IF(AND(Projects!$G$10="Yes",Projects!$F$10="Yes",79&gt;=Projects!$C$10,79&lt;Projects!$C$10+Projects!$D$10),Projects!$B$10*(1-SUMPRODUCT((Curves!$B$4:$AO$4)*(COLUMN(Curves!$B$4:$AO$4)-COLUMN(Curves!$B$4)+1&lt;=79-Projects!$C$10+1))),0)</f>
        <v>0</v>
      </c>
      <c r="CD13" s="279" t="n">
        <f aca="false">IF(AND(Projects!$G$10="Yes",Projects!$F$10="Yes",80&gt;=Projects!$C$10,80&lt;Projects!$C$10+Projects!$D$10),Projects!$B$10*(1-SUMPRODUCT((Curves!$B$4:$AO$4)*(COLUMN(Curves!$B$4:$AO$4)-COLUMN(Curves!$B$4)+1&lt;=80-Projects!$C$10+1))),0)</f>
        <v>0</v>
      </c>
      <c r="CE13" s="279" t="n">
        <f aca="false">IF(AND(Projects!$G$10="Yes",Projects!$F$10="Yes",81&gt;=Projects!$C$10,81&lt;Projects!$C$10+Projects!$D$10),Projects!$B$10*(1-SUMPRODUCT((Curves!$B$4:$AO$4)*(COLUMN(Curves!$B$4:$AO$4)-COLUMN(Curves!$B$4)+1&lt;=81-Projects!$C$10+1))),0)</f>
        <v>0</v>
      </c>
      <c r="CF13" s="279" t="n">
        <f aca="false">IF(AND(Projects!$G$10="Yes",Projects!$F$10="Yes",82&gt;=Projects!$C$10,82&lt;Projects!$C$10+Projects!$D$10),Projects!$B$10*(1-SUMPRODUCT((Curves!$B$4:$AO$4)*(COLUMN(Curves!$B$4:$AO$4)-COLUMN(Curves!$B$4)+1&lt;=82-Projects!$C$10+1))),0)</f>
        <v>0</v>
      </c>
      <c r="CG13" s="279" t="n">
        <f aca="false">IF(AND(Projects!$G$10="Yes",Projects!$F$10="Yes",83&gt;=Projects!$C$10,83&lt;Projects!$C$10+Projects!$D$10),Projects!$B$10*(1-SUMPRODUCT((Curves!$B$4:$AO$4)*(COLUMN(Curves!$B$4:$AO$4)-COLUMN(Curves!$B$4)+1&lt;=83-Projects!$C$10+1))),0)</f>
        <v>0</v>
      </c>
      <c r="CH13" s="279" t="n">
        <f aca="false">IF(AND(Projects!$G$10="Yes",Projects!$F$10="Yes",84&gt;=Projects!$C$10,84&lt;Projects!$C$10+Projects!$D$10),Projects!$B$10*(1-SUMPRODUCT((Curves!$B$4:$AO$4)*(COLUMN(Curves!$B$4:$AO$4)-COLUMN(Curves!$B$4)+1&lt;=84-Projects!$C$10+1))),0)</f>
        <v>0</v>
      </c>
      <c r="CI13" s="279" t="n">
        <f aca="false">IF(AND(Projects!$G$10="Yes",Projects!$F$10="Yes",85&gt;=Projects!$C$10,85&lt;Projects!$C$10+Projects!$D$10),Projects!$B$10*(1-SUMPRODUCT((Curves!$B$4:$AO$4)*(COLUMN(Curves!$B$4:$AO$4)-COLUMN(Curves!$B$4)+1&lt;=85-Projects!$C$10+1))),0)</f>
        <v>0</v>
      </c>
      <c r="CJ13" s="279" t="n">
        <f aca="false">IF(AND(Projects!$G$10="Yes",Projects!$F$10="Yes",86&gt;=Projects!$C$10,86&lt;Projects!$C$10+Projects!$D$10),Projects!$B$10*(1-SUMPRODUCT((Curves!$B$4:$AO$4)*(COLUMN(Curves!$B$4:$AO$4)-COLUMN(Curves!$B$4)+1&lt;=86-Projects!$C$10+1))),0)</f>
        <v>0</v>
      </c>
      <c r="CK13" s="279" t="n">
        <f aca="false">IF(AND(Projects!$G$10="Yes",Projects!$F$10="Yes",87&gt;=Projects!$C$10,87&lt;Projects!$C$10+Projects!$D$10),Projects!$B$10*(1-SUMPRODUCT((Curves!$B$4:$AO$4)*(COLUMN(Curves!$B$4:$AO$4)-COLUMN(Curves!$B$4)+1&lt;=87-Projects!$C$10+1))),0)</f>
        <v>0</v>
      </c>
      <c r="CL13" s="279" t="n">
        <f aca="false">IF(AND(Projects!$G$10="Yes",Projects!$F$10="Yes",88&gt;=Projects!$C$10,88&lt;Projects!$C$10+Projects!$D$10),Projects!$B$10*(1-SUMPRODUCT((Curves!$B$4:$AO$4)*(COLUMN(Curves!$B$4:$AO$4)-COLUMN(Curves!$B$4)+1&lt;=88-Projects!$C$10+1))),0)</f>
        <v>0</v>
      </c>
      <c r="CM13" s="279" t="n">
        <f aca="false">IF(AND(Projects!$G$10="Yes",Projects!$F$10="Yes",89&gt;=Projects!$C$10,89&lt;Projects!$C$10+Projects!$D$10),Projects!$B$10*(1-SUMPRODUCT((Curves!$B$4:$AO$4)*(COLUMN(Curves!$B$4:$AO$4)-COLUMN(Curves!$B$4)+1&lt;=89-Projects!$C$10+1))),0)</f>
        <v>0</v>
      </c>
      <c r="CN13" s="279" t="n">
        <f aca="false">IF(AND(Projects!$G$10="Yes",Projects!$F$10="Yes",90&gt;=Projects!$C$10,90&lt;Projects!$C$10+Projects!$D$10),Projects!$B$10*(1-SUMPRODUCT((Curves!$B$4:$AO$4)*(COLUMN(Curves!$B$4:$AO$4)-COLUMN(Curves!$B$4)+1&lt;=90-Projects!$C$10+1))),0)</f>
        <v>0</v>
      </c>
      <c r="CO13" s="279" t="n">
        <f aca="false">IF(AND(Projects!$G$10="Yes",Projects!$F$10="Yes",91&gt;=Projects!$C$10,91&lt;Projects!$C$10+Projects!$D$10),Projects!$B$10*(1-SUMPRODUCT((Curves!$B$4:$AO$4)*(COLUMN(Curves!$B$4:$AO$4)-COLUMN(Curves!$B$4)+1&lt;=91-Projects!$C$10+1))),0)</f>
        <v>0</v>
      </c>
      <c r="CP13" s="279" t="n">
        <f aca="false">IF(AND(Projects!$G$10="Yes",Projects!$F$10="Yes",92&gt;=Projects!$C$10,92&lt;Projects!$C$10+Projects!$D$10),Projects!$B$10*(1-SUMPRODUCT((Curves!$B$4:$AO$4)*(COLUMN(Curves!$B$4:$AO$4)-COLUMN(Curves!$B$4)+1&lt;=92-Projects!$C$10+1))),0)</f>
        <v>0</v>
      </c>
      <c r="CQ13" s="279" t="n">
        <f aca="false">IF(AND(Projects!$G$10="Yes",Projects!$F$10="Yes",93&gt;=Projects!$C$10,93&lt;Projects!$C$10+Projects!$D$10),Projects!$B$10*(1-SUMPRODUCT((Curves!$B$4:$AO$4)*(COLUMN(Curves!$B$4:$AO$4)-COLUMN(Curves!$B$4)+1&lt;=93-Projects!$C$10+1))),0)</f>
        <v>0</v>
      </c>
    </row>
    <row r="14" customFormat="false" ht="15" hidden="false" customHeight="true" outlineLevel="0" collapsed="false">
      <c r="A14" s="175" t="s">
        <v>18</v>
      </c>
      <c r="C14" s="279" t="n">
        <f aca="false">IF(AND(Projects!$G$13="Yes",Projects!$F$13="Yes",1&gt;=Projects!$C$13,1&lt;Projects!$C$13+Projects!$D$13),Projects!$B$13*(1-SUMPRODUCT((Curves!$B$2:$AO$2)*(COLUMN(Curves!$B$2:$AO$2)-COLUMN(Curves!$B$2)+1&lt;=1-Projects!$C$13+1))),0)</f>
        <v>0</v>
      </c>
      <c r="D14" s="279" t="n">
        <f aca="false">IF(AND(Projects!$G$13="Yes",Projects!$F$13="Yes",2&gt;=Projects!$C$13,2&lt;Projects!$C$13+Projects!$D$13),Projects!$B$13*(1-SUMPRODUCT((Curves!$B$2:$AO$2)*(COLUMN(Curves!$B$2:$AO$2)-COLUMN(Curves!$B$2)+1&lt;=2-Projects!$C$13+1))),0)</f>
        <v>0</v>
      </c>
      <c r="E14" s="279" t="n">
        <f aca="false">IF(AND(Projects!$G$13="Yes",Projects!$F$13="Yes",3&gt;=Projects!$C$13,3&lt;Projects!$C$13+Projects!$D$13),Projects!$B$13*(1-SUMPRODUCT((Curves!$B$2:$AO$2)*(COLUMN(Curves!$B$2:$AO$2)-COLUMN(Curves!$B$2)+1&lt;=3-Projects!$C$13+1))),0)</f>
        <v>0</v>
      </c>
      <c r="F14" s="279" t="n">
        <f aca="false">IF(AND(Projects!$G$13="Yes",Projects!$F$13="Yes",4&gt;=Projects!$C$13,4&lt;Projects!$C$13+Projects!$D$13),Projects!$B$13*(1-SUMPRODUCT((Curves!$B$2:$AO$2)*(COLUMN(Curves!$B$2:$AO$2)-COLUMN(Curves!$B$2)+1&lt;=4-Projects!$C$13+1))),0)</f>
        <v>0</v>
      </c>
      <c r="G14" s="279" t="n">
        <f aca="false">IF(AND(Projects!$G$13="Yes",Projects!$F$13="Yes",5&gt;=Projects!$C$13,5&lt;Projects!$C$13+Projects!$D$13),Projects!$B$13*(1-SUMPRODUCT((Curves!$B$2:$AO$2)*(COLUMN(Curves!$B$2:$AO$2)-COLUMN(Curves!$B$2)+1&lt;=5-Projects!$C$13+1))),0)</f>
        <v>0</v>
      </c>
      <c r="H14" s="279" t="n">
        <f aca="false">IF(AND(Projects!$G$13="Yes",Projects!$F$13="Yes",6&gt;=Projects!$C$13,6&lt;Projects!$C$13+Projects!$D$13),Projects!$B$13*(1-SUMPRODUCT((Curves!$B$2:$AO$2)*(COLUMN(Curves!$B$2:$AO$2)-COLUMN(Curves!$B$2)+1&lt;=6-Projects!$C$13+1))),0)</f>
        <v>0</v>
      </c>
      <c r="I14" s="279" t="n">
        <f aca="false">IF(AND(Projects!$G$13="Yes",Projects!$F$13="Yes",7&gt;=Projects!$C$13,7&lt;Projects!$C$13+Projects!$D$13),Projects!$B$13*(1-SUMPRODUCT((Curves!$B$2:$AO$2)*(COLUMN(Curves!$B$2:$AO$2)-COLUMN(Curves!$B$2)+1&lt;=7-Projects!$C$13+1))),0)</f>
        <v>0</v>
      </c>
      <c r="J14" s="279" t="n">
        <f aca="false">IF(AND(Projects!$G$13="Yes",Projects!$F$13="Yes",8&gt;=Projects!$C$13,8&lt;Projects!$C$13+Projects!$D$13),Projects!$B$13*(1-SUMPRODUCT((Curves!$B$2:$AO$2)*(COLUMN(Curves!$B$2:$AO$2)-COLUMN(Curves!$B$2)+1&lt;=8-Projects!$C$13+1))),0)</f>
        <v>0</v>
      </c>
      <c r="K14" s="279" t="n">
        <f aca="false">IF(AND(Projects!$G$13="Yes",Projects!$F$13="Yes",9&gt;=Projects!$C$13,9&lt;Projects!$C$13+Projects!$D$13),Projects!$B$13*(1-SUMPRODUCT((Curves!$B$2:$AO$2)*(COLUMN(Curves!$B$2:$AO$2)-COLUMN(Curves!$B$2)+1&lt;=9-Projects!$C$13+1))),0)</f>
        <v>0</v>
      </c>
      <c r="L14" s="279" t="n">
        <f aca="false">IF(AND(Projects!$G$13="Yes",Projects!$F$13="Yes",10&gt;=Projects!$C$13,10&lt;Projects!$C$13+Projects!$D$13),Projects!$B$13*(1-SUMPRODUCT((Curves!$B$2:$AO$2)*(COLUMN(Curves!$B$2:$AO$2)-COLUMN(Curves!$B$2)+1&lt;=10-Projects!$C$13+1))),0)</f>
        <v>0</v>
      </c>
      <c r="M14" s="279" t="n">
        <f aca="false">IF(AND(Projects!$G$13="Yes",Projects!$F$13="Yes",11&gt;=Projects!$C$13,11&lt;Projects!$C$13+Projects!$D$13),Projects!$B$13*(1-SUMPRODUCT((Curves!$B$2:$AO$2)*(COLUMN(Curves!$B$2:$AO$2)-COLUMN(Curves!$B$2)+1&lt;=11-Projects!$C$13+1))),0)</f>
        <v>0</v>
      </c>
      <c r="N14" s="279" t="n">
        <f aca="false">IF(AND(Projects!$G$13="Yes",Projects!$F$13="Yes",12&gt;=Projects!$C$13,12&lt;Projects!$C$13+Projects!$D$13),Projects!$B$13*(1-SUMPRODUCT((Curves!$B$2:$AO$2)*(COLUMN(Curves!$B$2:$AO$2)-COLUMN(Curves!$B$2)+1&lt;=12-Projects!$C$13+1))),0)</f>
        <v>0</v>
      </c>
      <c r="O14" s="279" t="n">
        <f aca="false">IF(AND(Projects!$G$13="Yes",Projects!$F$13="Yes",13&gt;=Projects!$C$13,13&lt;Projects!$C$13+Projects!$D$13),Projects!$B$13*(1-SUMPRODUCT((Curves!$B$2:$AO$2)*(COLUMN(Curves!$B$2:$AO$2)-COLUMN(Curves!$B$2)+1&lt;=13-Projects!$C$13+1))),0)</f>
        <v>44537929.73623</v>
      </c>
      <c r="P14" s="279" t="n">
        <f aca="false">IF(AND(Projects!$G$13="Yes",Projects!$F$13="Yes",14&gt;=Projects!$C$13,14&lt;Projects!$C$13+Projects!$D$13),Projects!$B$13*(1-SUMPRODUCT((Curves!$B$2:$AO$2)*(COLUMN(Curves!$B$2:$AO$2)-COLUMN(Curves!$B$2)+1&lt;=14-Projects!$C$13+1))),0)</f>
        <v>43699679.68937</v>
      </c>
      <c r="Q14" s="279" t="n">
        <f aca="false">IF(AND(Projects!$G$13="Yes",Projects!$F$13="Yes",15&gt;=Projects!$C$13,15&lt;Projects!$C$13+Projects!$D$13),Projects!$B$13*(1-SUMPRODUCT((Curves!$B$2:$AO$2)*(COLUMN(Curves!$B$2:$AO$2)-COLUMN(Curves!$B$2)+1&lt;=15-Projects!$C$13+1))),0)</f>
        <v>42745139.31038</v>
      </c>
      <c r="R14" s="279" t="n">
        <f aca="false">IF(AND(Projects!$G$13="Yes",Projects!$F$13="Yes",16&gt;=Projects!$C$13,16&lt;Projects!$C$13+Projects!$D$13),Projects!$B$13*(1-SUMPRODUCT((Curves!$B$2:$AO$2)*(COLUMN(Curves!$B$2:$AO$2)-COLUMN(Curves!$B$2)+1&lt;=16-Projects!$C$13+1))),0)</f>
        <v>41669012.38717</v>
      </c>
      <c r="S14" s="279" t="n">
        <f aca="false">IF(AND(Projects!$G$13="Yes",Projects!$F$13="Yes",17&gt;=Projects!$C$13,17&lt;Projects!$C$13+Projects!$D$13),Projects!$B$13*(1-SUMPRODUCT((Curves!$B$2:$AO$2)*(COLUMN(Curves!$B$2:$AO$2)-COLUMN(Curves!$B$2)+1&lt;=17-Projects!$C$13+1))),0)</f>
        <v>40467858.64522</v>
      </c>
      <c r="T14" s="279" t="n">
        <f aca="false">IF(AND(Projects!$G$13="Yes",Projects!$F$13="Yes",18&gt;=Projects!$C$13,18&lt;Projects!$C$13+Projects!$D$13),Projects!$B$13*(1-SUMPRODUCT((Curves!$B$2:$AO$2)*(COLUMN(Curves!$B$2:$AO$2)-COLUMN(Curves!$B$2)+1&lt;=18-Projects!$C$13+1))),0)</f>
        <v>39140501.14851</v>
      </c>
      <c r="U14" s="279" t="n">
        <f aca="false">IF(AND(Projects!$G$13="Yes",Projects!$F$13="Yes",19&gt;=Projects!$C$13,19&lt;Projects!$C$13+Projects!$D$13),Projects!$B$13*(1-SUMPRODUCT((Curves!$B$2:$AO$2)*(COLUMN(Curves!$B$2:$AO$2)-COLUMN(Curves!$B$2)+1&lt;=19-Projects!$C$13+1))),0)</f>
        <v>37688252.63337</v>
      </c>
      <c r="V14" s="279" t="n">
        <f aca="false">IF(AND(Projects!$G$13="Yes",Projects!$F$13="Yes",20&gt;=Projects!$C$13,20&lt;Projects!$C$13+Projects!$D$13),Projects!$B$13*(1-SUMPRODUCT((Curves!$B$2:$AO$2)*(COLUMN(Curves!$B$2:$AO$2)-COLUMN(Curves!$B$2)+1&lt;=20-Projects!$C$13+1))),0)</f>
        <v>36115141.84233</v>
      </c>
      <c r="W14" s="279" t="n">
        <f aca="false">IF(AND(Projects!$G$13="Yes",Projects!$F$13="Yes",21&gt;=Projects!$C$13,21&lt;Projects!$C$13+Projects!$D$13),Projects!$B$13*(1-SUMPRODUCT((Curves!$B$2:$AO$2)*(COLUMN(Curves!$B$2:$AO$2)-COLUMN(Curves!$B$2)+1&lt;=21-Projects!$C$13+1))),0)</f>
        <v>34428094.5912</v>
      </c>
      <c r="X14" s="279" t="n">
        <f aca="false">IF(AND(Projects!$G$13="Yes",Projects!$F$13="Yes",22&gt;=Projects!$C$13,22&lt;Projects!$C$13+Projects!$D$13),Projects!$B$13*(1-SUMPRODUCT((Curves!$B$2:$AO$2)*(COLUMN(Curves!$B$2:$AO$2)-COLUMN(Curves!$B$2)+1&lt;=22-Projects!$C$13+1))),0)</f>
        <v>32636797.96876</v>
      </c>
      <c r="Y14" s="279" t="n">
        <f aca="false">IF(AND(Projects!$G$13="Yes",Projects!$F$13="Yes",23&gt;=Projects!$C$13,23&lt;Projects!$C$13+Projects!$D$13),Projects!$B$13*(1-SUMPRODUCT((Curves!$B$2:$AO$2)*(COLUMN(Curves!$B$2:$AO$2)-COLUMN(Curves!$B$2)+1&lt;=23-Projects!$C$13+1))),0)</f>
        <v>30753745.60353</v>
      </c>
      <c r="Z14" s="279" t="n">
        <f aca="false">IF(AND(Projects!$G$13="Yes",Projects!$F$13="Yes",24&gt;=Projects!$C$13,24&lt;Projects!$C$13+Projects!$D$13),Projects!$B$13*(1-SUMPRODUCT((Curves!$B$2:$AO$2)*(COLUMN(Curves!$B$2:$AO$2)-COLUMN(Curves!$B$2)+1&lt;=24-Projects!$C$13+1))),0)</f>
        <v>28793920.79638</v>
      </c>
      <c r="AA14" s="279" t="n">
        <f aca="false">IF(AND(Projects!$G$13="Yes",Projects!$F$13="Yes",25&gt;=Projects!$C$13,25&lt;Projects!$C$13+Projects!$D$13),Projects!$B$13*(1-SUMPRODUCT((Curves!$B$2:$AO$2)*(COLUMN(Curves!$B$2:$AO$2)-COLUMN(Curves!$B$2)+1&lt;=25-Projects!$C$13+1))),0)</f>
        <v>26774434.38637</v>
      </c>
      <c r="AB14" s="279" t="n">
        <f aca="false">IF(AND(Projects!$G$13="Yes",Projects!$F$13="Yes",26&gt;=Projects!$C$13,26&lt;Projects!$C$13+Projects!$D$13),Projects!$B$13*(1-SUMPRODUCT((Curves!$B$2:$AO$2)*(COLUMN(Curves!$B$2:$AO$2)-COLUMN(Curves!$B$2)+1&lt;=26-Projects!$C$13+1))),0)</f>
        <v>24714207.88336</v>
      </c>
      <c r="AC14" s="279" t="n">
        <f aca="false">IF(AND(Projects!$G$13="Yes",Projects!$F$13="Yes",27&gt;=Projects!$C$13,27&lt;Projects!$C$13+Projects!$D$13),Projects!$B$13*(1-SUMPRODUCT((Curves!$B$2:$AO$2)*(COLUMN(Curves!$B$2:$AO$2)-COLUMN(Curves!$B$2)+1&lt;=27-Projects!$C$13+1))),0)</f>
        <v>22633294.46646</v>
      </c>
      <c r="AD14" s="279" t="n">
        <f aca="false">IF(AND(Projects!$G$13="Yes",Projects!$F$13="Yes",28&gt;=Projects!$C$13,28&lt;Projects!$C$13+Projects!$D$13),Projects!$B$13*(1-SUMPRODUCT((Curves!$B$2:$AO$2)*(COLUMN(Curves!$B$2:$AO$2)-COLUMN(Curves!$B$2)+1&lt;=28-Projects!$C$13+1))),0)</f>
        <v>20552381.04956</v>
      </c>
      <c r="AE14" s="279" t="n">
        <f aca="false">IF(AND(Projects!$G$13="Yes",Projects!$F$13="Yes",29&gt;=Projects!$C$13,29&lt;Projects!$C$13+Projects!$D$13),Projects!$B$13*(1-SUMPRODUCT((Curves!$B$2:$AO$2)*(COLUMN(Curves!$B$2:$AO$2)-COLUMN(Curves!$B$2)+1&lt;=29-Projects!$C$13+1))),0)</f>
        <v>18492154.54655</v>
      </c>
      <c r="AF14" s="279" t="n">
        <f aca="false">IF(AND(Projects!$G$13="Yes",Projects!$F$13="Yes",30&gt;=Projects!$C$13,30&lt;Projects!$C$13+Projects!$D$13),Projects!$B$13*(1-SUMPRODUCT((Curves!$B$2:$AO$2)*(COLUMN(Curves!$B$2:$AO$2)-COLUMN(Curves!$B$2)+1&lt;=30-Projects!$C$13+1))),0)</f>
        <v>16472668.13654</v>
      </c>
      <c r="AG14" s="279" t="n">
        <f aca="false">IF(AND(Projects!$G$13="Yes",Projects!$F$13="Yes",31&gt;=Projects!$C$13,31&lt;Projects!$C$13+Projects!$D$13),Projects!$B$13*(1-SUMPRODUCT((Curves!$B$2:$AO$2)*(COLUMN(Curves!$B$2:$AO$2)-COLUMN(Curves!$B$2)+1&lt;=31-Projects!$C$13+1))),0)</f>
        <v>14512843.32939</v>
      </c>
      <c r="AH14" s="279" t="n">
        <f aca="false">IF(AND(Projects!$G$13="Yes",Projects!$F$13="Yes",32&gt;=Projects!$C$13,32&lt;Projects!$C$13+Projects!$D$13),Projects!$B$13*(1-SUMPRODUCT((Curves!$B$2:$AO$2)*(COLUMN(Curves!$B$2:$AO$2)-COLUMN(Curves!$B$2)+1&lt;=32-Projects!$C$13+1))),0)</f>
        <v>12629790.96416</v>
      </c>
      <c r="AI14" s="279" t="n">
        <f aca="false">IF(AND(Projects!$G$13="Yes",Projects!$F$13="Yes",33&gt;=Projects!$C$13,33&lt;Projects!$C$13+Projects!$D$13),Projects!$B$13*(1-SUMPRODUCT((Curves!$B$2:$AO$2)*(COLUMN(Curves!$B$2:$AO$2)-COLUMN(Curves!$B$2)+1&lt;=33-Projects!$C$13+1))),0)</f>
        <v>10838494.34172</v>
      </c>
      <c r="AJ14" s="279" t="n">
        <f aca="false">IF(AND(Projects!$G$13="Yes",Projects!$F$13="Yes",34&gt;=Projects!$C$13,34&lt;Projects!$C$13+Projects!$D$13),Projects!$B$13*(1-SUMPRODUCT((Curves!$B$2:$AO$2)*(COLUMN(Curves!$B$2:$AO$2)-COLUMN(Curves!$B$2)+1&lt;=34-Projects!$C$13+1))),0)</f>
        <v>9151447.09059</v>
      </c>
      <c r="AK14" s="279" t="n">
        <f aca="false">IF(AND(Projects!$G$13="Yes",Projects!$F$13="Yes",35&gt;=Projects!$C$13,35&lt;Projects!$C$13+Projects!$D$13),Projects!$B$13*(1-SUMPRODUCT((Curves!$B$2:$AO$2)*(COLUMN(Curves!$B$2:$AO$2)-COLUMN(Curves!$B$2)+1&lt;=35-Projects!$C$13+1))),0)</f>
        <v>7578336.29955</v>
      </c>
      <c r="AL14" s="279" t="n">
        <f aca="false">IF(AND(Projects!$G$13="Yes",Projects!$F$13="Yes",36&gt;=Projects!$C$13,36&lt;Projects!$C$13+Projects!$D$13),Projects!$B$13*(1-SUMPRODUCT((Curves!$B$2:$AO$2)*(COLUMN(Curves!$B$2:$AO$2)-COLUMN(Curves!$B$2)+1&lt;=36-Projects!$C$13+1))),0)</f>
        <v>6126087.78441</v>
      </c>
      <c r="AM14" s="279" t="n">
        <f aca="false">IF(AND(Projects!$G$13="Yes",Projects!$F$13="Yes",37&gt;=Projects!$C$13,37&lt;Projects!$C$13+Projects!$D$13),Projects!$B$13*(1-SUMPRODUCT((Curves!$B$2:$AO$2)*(COLUMN(Curves!$B$2:$AO$2)-COLUMN(Curves!$B$2)+1&lt;=37-Projects!$C$13+1))),0)</f>
        <v>4798730.2877</v>
      </c>
      <c r="AN14" s="279" t="n">
        <f aca="false">IF(AND(Projects!$G$13="Yes",Projects!$F$13="Yes",38&gt;=Projects!$C$13,38&lt;Projects!$C$13+Projects!$D$13),Projects!$B$13*(1-SUMPRODUCT((Curves!$B$2:$AO$2)*(COLUMN(Curves!$B$2:$AO$2)-COLUMN(Curves!$B$2)+1&lt;=38-Projects!$C$13+1))),0)</f>
        <v>3597576.54575</v>
      </c>
      <c r="AO14" s="279" t="n">
        <f aca="false">IF(AND(Projects!$G$13="Yes",Projects!$F$13="Yes",39&gt;=Projects!$C$13,39&lt;Projects!$C$13+Projects!$D$13),Projects!$B$13*(1-SUMPRODUCT((Curves!$B$2:$AO$2)*(COLUMN(Curves!$B$2:$AO$2)-COLUMN(Curves!$B$2)+1&lt;=39-Projects!$C$13+1))),0)</f>
        <v>2521449.62254</v>
      </c>
      <c r="AP14" s="279" t="n">
        <f aca="false">IF(AND(Projects!$G$13="Yes",Projects!$F$13="Yes",40&gt;=Projects!$C$13,40&lt;Projects!$C$13+Projects!$D$13),Projects!$B$13*(1-SUMPRODUCT((Curves!$B$2:$AO$2)*(COLUMN(Curves!$B$2:$AO$2)-COLUMN(Curves!$B$2)+1&lt;=40-Projects!$C$13+1))),0)</f>
        <v>1566909.24355</v>
      </c>
      <c r="AQ14" s="279" t="n">
        <f aca="false">IF(AND(Projects!$G$13="Yes",Projects!$F$13="Yes",41&gt;=Projects!$C$13,41&lt;Projects!$C$13+Projects!$D$13),Projects!$B$13*(1-SUMPRODUCT((Curves!$B$2:$AO$2)*(COLUMN(Curves!$B$2:$AO$2)-COLUMN(Curves!$B$2)+1&lt;=41-Projects!$C$13+1))),0)</f>
        <v>728659.196690001</v>
      </c>
      <c r="AR14" s="279" t="n">
        <f aca="false">IF(AND(Projects!$G$13="Yes",Projects!$F$13="Yes",42&gt;=Projects!$C$13,42&lt;Projects!$C$13+Projects!$D$13),Projects!$B$13*(1-SUMPRODUCT((Curves!$B$2:$AO$2)*(COLUMN(Curves!$B$2:$AO$2)-COLUMN(Curves!$B$2)+1&lt;=42-Projects!$C$13+1))),0)</f>
        <v>-181.067079995155</v>
      </c>
      <c r="AS14" s="279" t="n">
        <f aca="false">IF(AND(Projects!$G$13="Yes",Projects!$F$13="Yes",43&gt;=Projects!$C$13,43&lt;Projects!$C$13+Projects!$D$13),Projects!$B$13*(1-SUMPRODUCT((Curves!$B$2:$AO$2)*(COLUMN(Curves!$B$2:$AO$2)-COLUMN(Curves!$B$2)+1&lt;=43-Projects!$C$13+1))),0)</f>
        <v>0</v>
      </c>
      <c r="AT14" s="279" t="n">
        <f aca="false">IF(AND(Projects!$G$13="Yes",Projects!$F$13="Yes",44&gt;=Projects!$C$13,44&lt;Projects!$C$13+Projects!$D$13),Projects!$B$13*(1-SUMPRODUCT((Curves!$B$2:$AO$2)*(COLUMN(Curves!$B$2:$AO$2)-COLUMN(Curves!$B$2)+1&lt;=44-Projects!$C$13+1))),0)</f>
        <v>0</v>
      </c>
      <c r="AU14" s="279" t="n">
        <f aca="false">IF(AND(Projects!$G$13="Yes",Projects!$F$13="Yes",45&gt;=Projects!$C$13,45&lt;Projects!$C$13+Projects!$D$13),Projects!$B$13*(1-SUMPRODUCT((Curves!$B$2:$AO$2)*(COLUMN(Curves!$B$2:$AO$2)-COLUMN(Curves!$B$2)+1&lt;=45-Projects!$C$13+1))),0)</f>
        <v>0</v>
      </c>
      <c r="AV14" s="279" t="n">
        <f aca="false">IF(AND(Projects!$G$13="Yes",Projects!$F$13="Yes",46&gt;=Projects!$C$13,46&lt;Projects!$C$13+Projects!$D$13),Projects!$B$13*(1-SUMPRODUCT((Curves!$B$2:$AO$2)*(COLUMN(Curves!$B$2:$AO$2)-COLUMN(Curves!$B$2)+1&lt;=46-Projects!$C$13+1))),0)</f>
        <v>0</v>
      </c>
      <c r="AW14" s="279" t="n">
        <f aca="false">IF(AND(Projects!$G$13="Yes",Projects!$F$13="Yes",47&gt;=Projects!$C$13,47&lt;Projects!$C$13+Projects!$D$13),Projects!$B$13*(1-SUMPRODUCT((Curves!$B$2:$AO$2)*(COLUMN(Curves!$B$2:$AO$2)-COLUMN(Curves!$B$2)+1&lt;=47-Projects!$C$13+1))),0)</f>
        <v>0</v>
      </c>
      <c r="AX14" s="279" t="n">
        <f aca="false">IF(AND(Projects!$G$13="Yes",Projects!$F$13="Yes",48&gt;=Projects!$C$13,48&lt;Projects!$C$13+Projects!$D$13),Projects!$B$13*(1-SUMPRODUCT((Curves!$B$2:$AO$2)*(COLUMN(Curves!$B$2:$AO$2)-COLUMN(Curves!$B$2)+1&lt;=48-Projects!$C$13+1))),0)</f>
        <v>0</v>
      </c>
      <c r="AY14" s="279" t="n">
        <f aca="false">IF(AND(Projects!$G$13="Yes",Projects!$F$13="Yes",49&gt;=Projects!$C$13,49&lt;Projects!$C$13+Projects!$D$13),Projects!$B$13*(1-SUMPRODUCT((Curves!$B$2:$AO$2)*(COLUMN(Curves!$B$2:$AO$2)-COLUMN(Curves!$B$2)+1&lt;=49-Projects!$C$13+1))),0)</f>
        <v>0</v>
      </c>
      <c r="AZ14" s="279" t="n">
        <f aca="false">IF(AND(Projects!$G$13="Yes",Projects!$F$13="Yes",50&gt;=Projects!$C$13,50&lt;Projects!$C$13+Projects!$D$13),Projects!$B$13*(1-SUMPRODUCT((Curves!$B$2:$AO$2)*(COLUMN(Curves!$B$2:$AO$2)-COLUMN(Curves!$B$2)+1&lt;=50-Projects!$C$13+1))),0)</f>
        <v>0</v>
      </c>
      <c r="BA14" s="279" t="n">
        <f aca="false">IF(AND(Projects!$G$13="Yes",Projects!$F$13="Yes",51&gt;=Projects!$C$13,51&lt;Projects!$C$13+Projects!$D$13),Projects!$B$13*(1-SUMPRODUCT((Curves!$B$2:$AO$2)*(COLUMN(Curves!$B$2:$AO$2)-COLUMN(Curves!$B$2)+1&lt;=51-Projects!$C$13+1))),0)</f>
        <v>0</v>
      </c>
      <c r="BB14" s="279" t="n">
        <f aca="false">IF(AND(Projects!$G$13="Yes",Projects!$F$13="Yes",52&gt;=Projects!$C$13,52&lt;Projects!$C$13+Projects!$D$13),Projects!$B$13*(1-SUMPRODUCT((Curves!$B$2:$AO$2)*(COLUMN(Curves!$B$2:$AO$2)-COLUMN(Curves!$B$2)+1&lt;=52-Projects!$C$13+1))),0)</f>
        <v>0</v>
      </c>
      <c r="BC14" s="279" t="n">
        <f aca="false">IF(AND(Projects!$G$13="Yes",Projects!$F$13="Yes",53&gt;=Projects!$C$13,53&lt;Projects!$C$13+Projects!$D$13),Projects!$B$13*(1-SUMPRODUCT((Curves!$B$2:$AO$2)*(COLUMN(Curves!$B$2:$AO$2)-COLUMN(Curves!$B$2)+1&lt;=53-Projects!$C$13+1))),0)</f>
        <v>0</v>
      </c>
      <c r="BD14" s="279" t="n">
        <f aca="false">IF(AND(Projects!$G$13="Yes",Projects!$F$13="Yes",54&gt;=Projects!$C$13,54&lt;Projects!$C$13+Projects!$D$13),Projects!$B$13*(1-SUMPRODUCT((Curves!$B$2:$AO$2)*(COLUMN(Curves!$B$2:$AO$2)-COLUMN(Curves!$B$2)+1&lt;=54-Projects!$C$13+1))),0)</f>
        <v>0</v>
      </c>
      <c r="BE14" s="279" t="n">
        <f aca="false">IF(AND(Projects!$G$13="Yes",Projects!$F$13="Yes",55&gt;=Projects!$C$13,55&lt;Projects!$C$13+Projects!$D$13),Projects!$B$13*(1-SUMPRODUCT((Curves!$B$2:$AO$2)*(COLUMN(Curves!$B$2:$AO$2)-COLUMN(Curves!$B$2)+1&lt;=55-Projects!$C$13+1))),0)</f>
        <v>0</v>
      </c>
      <c r="BF14" s="279" t="n">
        <f aca="false">IF(AND(Projects!$G$13="Yes",Projects!$F$13="Yes",56&gt;=Projects!$C$13,56&lt;Projects!$C$13+Projects!$D$13),Projects!$B$13*(1-SUMPRODUCT((Curves!$B$2:$AO$2)*(COLUMN(Curves!$B$2:$AO$2)-COLUMN(Curves!$B$2)+1&lt;=56-Projects!$C$13+1))),0)</f>
        <v>0</v>
      </c>
      <c r="BG14" s="279" t="n">
        <f aca="false">IF(AND(Projects!$G$13="Yes",Projects!$F$13="Yes",57&gt;=Projects!$C$13,57&lt;Projects!$C$13+Projects!$D$13),Projects!$B$13*(1-SUMPRODUCT((Curves!$B$2:$AO$2)*(COLUMN(Curves!$B$2:$AO$2)-COLUMN(Curves!$B$2)+1&lt;=57-Projects!$C$13+1))),0)</f>
        <v>0</v>
      </c>
      <c r="BH14" s="279" t="n">
        <f aca="false">IF(AND(Projects!$G$13="Yes",Projects!$F$13="Yes",58&gt;=Projects!$C$13,58&lt;Projects!$C$13+Projects!$D$13),Projects!$B$13*(1-SUMPRODUCT((Curves!$B$2:$AO$2)*(COLUMN(Curves!$B$2:$AO$2)-COLUMN(Curves!$B$2)+1&lt;=58-Projects!$C$13+1))),0)</f>
        <v>0</v>
      </c>
      <c r="BI14" s="279" t="n">
        <f aca="false">IF(AND(Projects!$G$13="Yes",Projects!$F$13="Yes",59&gt;=Projects!$C$13,59&lt;Projects!$C$13+Projects!$D$13),Projects!$B$13*(1-SUMPRODUCT((Curves!$B$2:$AO$2)*(COLUMN(Curves!$B$2:$AO$2)-COLUMN(Curves!$B$2)+1&lt;=59-Projects!$C$13+1))),0)</f>
        <v>0</v>
      </c>
      <c r="BJ14" s="279" t="n">
        <f aca="false">IF(AND(Projects!$G$13="Yes",Projects!$F$13="Yes",60&gt;=Projects!$C$13,60&lt;Projects!$C$13+Projects!$D$13),Projects!$B$13*(1-SUMPRODUCT((Curves!$B$2:$AO$2)*(COLUMN(Curves!$B$2:$AO$2)-COLUMN(Curves!$B$2)+1&lt;=60-Projects!$C$13+1))),0)</f>
        <v>0</v>
      </c>
      <c r="BK14" s="279" t="n">
        <f aca="false">IF(AND(Projects!$G$13="Yes",Projects!$F$13="Yes",61&gt;=Projects!$C$13,61&lt;Projects!$C$13+Projects!$D$13),Projects!$B$13*(1-SUMPRODUCT((Curves!$B$2:$AO$2)*(COLUMN(Curves!$B$2:$AO$2)-COLUMN(Curves!$B$2)+1&lt;=61-Projects!$C$13+1))),0)</f>
        <v>0</v>
      </c>
      <c r="BL14" s="279" t="n">
        <f aca="false">IF(AND(Projects!$G$13="Yes",Projects!$F$13="Yes",62&gt;=Projects!$C$13,62&lt;Projects!$C$13+Projects!$D$13),Projects!$B$13*(1-SUMPRODUCT((Curves!$B$2:$AO$2)*(COLUMN(Curves!$B$2:$AO$2)-COLUMN(Curves!$B$2)+1&lt;=62-Projects!$C$13+1))),0)</f>
        <v>0</v>
      </c>
      <c r="BM14" s="279" t="n">
        <f aca="false">IF(AND(Projects!$G$13="Yes",Projects!$F$13="Yes",63&gt;=Projects!$C$13,63&lt;Projects!$C$13+Projects!$D$13),Projects!$B$13*(1-SUMPRODUCT((Curves!$B$2:$AO$2)*(COLUMN(Curves!$B$2:$AO$2)-COLUMN(Curves!$B$2)+1&lt;=63-Projects!$C$13+1))),0)</f>
        <v>0</v>
      </c>
      <c r="BN14" s="279" t="n">
        <f aca="false">IF(AND(Projects!$G$13="Yes",Projects!$F$13="Yes",64&gt;=Projects!$C$13,64&lt;Projects!$C$13+Projects!$D$13),Projects!$B$13*(1-SUMPRODUCT((Curves!$B$2:$AO$2)*(COLUMN(Curves!$B$2:$AO$2)-COLUMN(Curves!$B$2)+1&lt;=64-Projects!$C$13+1))),0)</f>
        <v>0</v>
      </c>
      <c r="BO14" s="279" t="n">
        <f aca="false">IF(AND(Projects!$G$13="Yes",Projects!$F$13="Yes",65&gt;=Projects!$C$13,65&lt;Projects!$C$13+Projects!$D$13),Projects!$B$13*(1-SUMPRODUCT((Curves!$B$2:$AO$2)*(COLUMN(Curves!$B$2:$AO$2)-COLUMN(Curves!$B$2)+1&lt;=65-Projects!$C$13+1))),0)</f>
        <v>0</v>
      </c>
      <c r="BP14" s="279" t="n">
        <f aca="false">IF(AND(Projects!$G$13="Yes",Projects!$F$13="Yes",66&gt;=Projects!$C$13,66&lt;Projects!$C$13+Projects!$D$13),Projects!$B$13*(1-SUMPRODUCT((Curves!$B$2:$AO$2)*(COLUMN(Curves!$B$2:$AO$2)-COLUMN(Curves!$B$2)+1&lt;=66-Projects!$C$13+1))),0)</f>
        <v>0</v>
      </c>
      <c r="BQ14" s="279" t="n">
        <f aca="false">IF(AND(Projects!$G$13="Yes",Projects!$F$13="Yes",67&gt;=Projects!$C$13,67&lt;Projects!$C$13+Projects!$D$13),Projects!$B$13*(1-SUMPRODUCT((Curves!$B$2:$AO$2)*(COLUMN(Curves!$B$2:$AO$2)-COLUMN(Curves!$B$2)+1&lt;=67-Projects!$C$13+1))),0)</f>
        <v>0</v>
      </c>
      <c r="BR14" s="279" t="n">
        <f aca="false">IF(AND(Projects!$G$13="Yes",Projects!$F$13="Yes",68&gt;=Projects!$C$13,68&lt;Projects!$C$13+Projects!$D$13),Projects!$B$13*(1-SUMPRODUCT((Curves!$B$2:$AO$2)*(COLUMN(Curves!$B$2:$AO$2)-COLUMN(Curves!$B$2)+1&lt;=68-Projects!$C$13+1))),0)</f>
        <v>0</v>
      </c>
      <c r="BS14" s="279" t="n">
        <f aca="false">IF(AND(Projects!$G$13="Yes",Projects!$F$13="Yes",69&gt;=Projects!$C$13,69&lt;Projects!$C$13+Projects!$D$13),Projects!$B$13*(1-SUMPRODUCT((Curves!$B$2:$AO$2)*(COLUMN(Curves!$B$2:$AO$2)-COLUMN(Curves!$B$2)+1&lt;=69-Projects!$C$13+1))),0)</f>
        <v>0</v>
      </c>
      <c r="BT14" s="279" t="n">
        <f aca="false">IF(AND(Projects!$G$13="Yes",Projects!$F$13="Yes",70&gt;=Projects!$C$13,70&lt;Projects!$C$13+Projects!$D$13),Projects!$B$13*(1-SUMPRODUCT((Curves!$B$2:$AO$2)*(COLUMN(Curves!$B$2:$AO$2)-COLUMN(Curves!$B$2)+1&lt;=70-Projects!$C$13+1))),0)</f>
        <v>0</v>
      </c>
      <c r="BU14" s="279" t="n">
        <f aca="false">IF(AND(Projects!$G$13="Yes",Projects!$F$13="Yes",71&gt;=Projects!$C$13,71&lt;Projects!$C$13+Projects!$D$13),Projects!$B$13*(1-SUMPRODUCT((Curves!$B$2:$AO$2)*(COLUMN(Curves!$B$2:$AO$2)-COLUMN(Curves!$B$2)+1&lt;=71-Projects!$C$13+1))),0)</f>
        <v>0</v>
      </c>
      <c r="BV14" s="279" t="n">
        <f aca="false">IF(AND(Projects!$G$13="Yes",Projects!$F$13="Yes",72&gt;=Projects!$C$13,72&lt;Projects!$C$13+Projects!$D$13),Projects!$B$13*(1-SUMPRODUCT((Curves!$B$2:$AO$2)*(COLUMN(Curves!$B$2:$AO$2)-COLUMN(Curves!$B$2)+1&lt;=72-Projects!$C$13+1))),0)</f>
        <v>0</v>
      </c>
      <c r="BW14" s="279" t="n">
        <f aca="false">IF(AND(Projects!$G$13="Yes",Projects!$F$13="Yes",73&gt;=Projects!$C$13,73&lt;Projects!$C$13+Projects!$D$13),Projects!$B$13*(1-SUMPRODUCT((Curves!$B$2:$AO$2)*(COLUMN(Curves!$B$2:$AO$2)-COLUMN(Curves!$B$2)+1&lt;=73-Projects!$C$13+1))),0)</f>
        <v>0</v>
      </c>
      <c r="BX14" s="279" t="n">
        <f aca="false">IF(AND(Projects!$G$13="Yes",Projects!$F$13="Yes",74&gt;=Projects!$C$13,74&lt;Projects!$C$13+Projects!$D$13),Projects!$B$13*(1-SUMPRODUCT((Curves!$B$2:$AO$2)*(COLUMN(Curves!$B$2:$AO$2)-COLUMN(Curves!$B$2)+1&lt;=74-Projects!$C$13+1))),0)</f>
        <v>0</v>
      </c>
      <c r="BY14" s="279" t="n">
        <f aca="false">IF(AND(Projects!$G$13="Yes",Projects!$F$13="Yes",75&gt;=Projects!$C$13,75&lt;Projects!$C$13+Projects!$D$13),Projects!$B$13*(1-SUMPRODUCT((Curves!$B$2:$AO$2)*(COLUMN(Curves!$B$2:$AO$2)-COLUMN(Curves!$B$2)+1&lt;=75-Projects!$C$13+1))),0)</f>
        <v>0</v>
      </c>
      <c r="BZ14" s="279" t="n">
        <f aca="false">IF(AND(Projects!$G$13="Yes",Projects!$F$13="Yes",76&gt;=Projects!$C$13,76&lt;Projects!$C$13+Projects!$D$13),Projects!$B$13*(1-SUMPRODUCT((Curves!$B$2:$AO$2)*(COLUMN(Curves!$B$2:$AO$2)-COLUMN(Curves!$B$2)+1&lt;=76-Projects!$C$13+1))),0)</f>
        <v>0</v>
      </c>
      <c r="CA14" s="279" t="n">
        <f aca="false">IF(AND(Projects!$G$13="Yes",Projects!$F$13="Yes",77&gt;=Projects!$C$13,77&lt;Projects!$C$13+Projects!$D$13),Projects!$B$13*(1-SUMPRODUCT((Curves!$B$2:$AO$2)*(COLUMN(Curves!$B$2:$AO$2)-COLUMN(Curves!$B$2)+1&lt;=77-Projects!$C$13+1))),0)</f>
        <v>0</v>
      </c>
      <c r="CB14" s="279" t="n">
        <f aca="false">IF(AND(Projects!$G$13="Yes",Projects!$F$13="Yes",78&gt;=Projects!$C$13,78&lt;Projects!$C$13+Projects!$D$13),Projects!$B$13*(1-SUMPRODUCT((Curves!$B$2:$AO$2)*(COLUMN(Curves!$B$2:$AO$2)-COLUMN(Curves!$B$2)+1&lt;=78-Projects!$C$13+1))),0)</f>
        <v>0</v>
      </c>
      <c r="CC14" s="279" t="n">
        <f aca="false">IF(AND(Projects!$G$13="Yes",Projects!$F$13="Yes",79&gt;=Projects!$C$13,79&lt;Projects!$C$13+Projects!$D$13),Projects!$B$13*(1-SUMPRODUCT((Curves!$B$2:$AO$2)*(COLUMN(Curves!$B$2:$AO$2)-COLUMN(Curves!$B$2)+1&lt;=79-Projects!$C$13+1))),0)</f>
        <v>0</v>
      </c>
      <c r="CD14" s="279" t="n">
        <f aca="false">IF(AND(Projects!$G$13="Yes",Projects!$F$13="Yes",80&gt;=Projects!$C$13,80&lt;Projects!$C$13+Projects!$D$13),Projects!$B$13*(1-SUMPRODUCT((Curves!$B$2:$AO$2)*(COLUMN(Curves!$B$2:$AO$2)-COLUMN(Curves!$B$2)+1&lt;=80-Projects!$C$13+1))),0)</f>
        <v>0</v>
      </c>
      <c r="CE14" s="279" t="n">
        <f aca="false">IF(AND(Projects!$G$13="Yes",Projects!$F$13="Yes",81&gt;=Projects!$C$13,81&lt;Projects!$C$13+Projects!$D$13),Projects!$B$13*(1-SUMPRODUCT((Curves!$B$2:$AO$2)*(COLUMN(Curves!$B$2:$AO$2)-COLUMN(Curves!$B$2)+1&lt;=81-Projects!$C$13+1))),0)</f>
        <v>0</v>
      </c>
      <c r="CF14" s="279" t="n">
        <f aca="false">IF(AND(Projects!$G$13="Yes",Projects!$F$13="Yes",82&gt;=Projects!$C$13,82&lt;Projects!$C$13+Projects!$D$13),Projects!$B$13*(1-SUMPRODUCT((Curves!$B$2:$AO$2)*(COLUMN(Curves!$B$2:$AO$2)-COLUMN(Curves!$B$2)+1&lt;=82-Projects!$C$13+1))),0)</f>
        <v>0</v>
      </c>
      <c r="CG14" s="279" t="n">
        <f aca="false">IF(AND(Projects!$G$13="Yes",Projects!$F$13="Yes",83&gt;=Projects!$C$13,83&lt;Projects!$C$13+Projects!$D$13),Projects!$B$13*(1-SUMPRODUCT((Curves!$B$2:$AO$2)*(COLUMN(Curves!$B$2:$AO$2)-COLUMN(Curves!$B$2)+1&lt;=83-Projects!$C$13+1))),0)</f>
        <v>0</v>
      </c>
      <c r="CH14" s="279" t="n">
        <f aca="false">IF(AND(Projects!$G$13="Yes",Projects!$F$13="Yes",84&gt;=Projects!$C$13,84&lt;Projects!$C$13+Projects!$D$13),Projects!$B$13*(1-SUMPRODUCT((Curves!$B$2:$AO$2)*(COLUMN(Curves!$B$2:$AO$2)-COLUMN(Curves!$B$2)+1&lt;=84-Projects!$C$13+1))),0)</f>
        <v>0</v>
      </c>
      <c r="CI14" s="279" t="n">
        <f aca="false">IF(AND(Projects!$G$13="Yes",Projects!$F$13="Yes",85&gt;=Projects!$C$13,85&lt;Projects!$C$13+Projects!$D$13),Projects!$B$13*(1-SUMPRODUCT((Curves!$B$2:$AO$2)*(COLUMN(Curves!$B$2:$AO$2)-COLUMN(Curves!$B$2)+1&lt;=85-Projects!$C$13+1))),0)</f>
        <v>0</v>
      </c>
      <c r="CJ14" s="279" t="n">
        <f aca="false">IF(AND(Projects!$G$13="Yes",Projects!$F$13="Yes",86&gt;=Projects!$C$13,86&lt;Projects!$C$13+Projects!$D$13),Projects!$B$13*(1-SUMPRODUCT((Curves!$B$2:$AO$2)*(COLUMN(Curves!$B$2:$AO$2)-COLUMN(Curves!$B$2)+1&lt;=86-Projects!$C$13+1))),0)</f>
        <v>0</v>
      </c>
      <c r="CK14" s="279" t="n">
        <f aca="false">IF(AND(Projects!$G$13="Yes",Projects!$F$13="Yes",87&gt;=Projects!$C$13,87&lt;Projects!$C$13+Projects!$D$13),Projects!$B$13*(1-SUMPRODUCT((Curves!$B$2:$AO$2)*(COLUMN(Curves!$B$2:$AO$2)-COLUMN(Curves!$B$2)+1&lt;=87-Projects!$C$13+1))),0)</f>
        <v>0</v>
      </c>
      <c r="CL14" s="279" t="n">
        <f aca="false">IF(AND(Projects!$G$13="Yes",Projects!$F$13="Yes",88&gt;=Projects!$C$13,88&lt;Projects!$C$13+Projects!$D$13),Projects!$B$13*(1-SUMPRODUCT((Curves!$B$2:$AO$2)*(COLUMN(Curves!$B$2:$AO$2)-COLUMN(Curves!$B$2)+1&lt;=88-Projects!$C$13+1))),0)</f>
        <v>0</v>
      </c>
      <c r="CM14" s="279" t="n">
        <f aca="false">IF(AND(Projects!$G$13="Yes",Projects!$F$13="Yes",89&gt;=Projects!$C$13,89&lt;Projects!$C$13+Projects!$D$13),Projects!$B$13*(1-SUMPRODUCT((Curves!$B$2:$AO$2)*(COLUMN(Curves!$B$2:$AO$2)-COLUMN(Curves!$B$2)+1&lt;=89-Projects!$C$13+1))),0)</f>
        <v>0</v>
      </c>
      <c r="CN14" s="279" t="n">
        <f aca="false">IF(AND(Projects!$G$13="Yes",Projects!$F$13="Yes",90&gt;=Projects!$C$13,90&lt;Projects!$C$13+Projects!$D$13),Projects!$B$13*(1-SUMPRODUCT((Curves!$B$2:$AO$2)*(COLUMN(Curves!$B$2:$AO$2)-COLUMN(Curves!$B$2)+1&lt;=90-Projects!$C$13+1))),0)</f>
        <v>0</v>
      </c>
      <c r="CO14" s="279" t="n">
        <f aca="false">IF(AND(Projects!$G$13="Yes",Projects!$F$13="Yes",91&gt;=Projects!$C$13,91&lt;Projects!$C$13+Projects!$D$13),Projects!$B$13*(1-SUMPRODUCT((Curves!$B$2:$AO$2)*(COLUMN(Curves!$B$2:$AO$2)-COLUMN(Curves!$B$2)+1&lt;=91-Projects!$C$13+1))),0)</f>
        <v>0</v>
      </c>
      <c r="CP14" s="279" t="n">
        <f aca="false">IF(AND(Projects!$G$13="Yes",Projects!$F$13="Yes",92&gt;=Projects!$C$13,92&lt;Projects!$C$13+Projects!$D$13),Projects!$B$13*(1-SUMPRODUCT((Curves!$B$2:$AO$2)*(COLUMN(Curves!$B$2:$AO$2)-COLUMN(Curves!$B$2)+1&lt;=92-Projects!$C$13+1))),0)</f>
        <v>0</v>
      </c>
      <c r="CQ14" s="279" t="n">
        <f aca="false">IF(AND(Projects!$G$13="Yes",Projects!$F$13="Yes",93&gt;=Projects!$C$13,93&lt;Projects!$C$13+Projects!$D$13),Projects!$B$13*(1-SUMPRODUCT((Curves!$B$2:$AO$2)*(COLUMN(Curves!$B$2:$AO$2)-COLUMN(Curves!$B$2)+1&lt;=93-Projects!$C$13+1))),0)</f>
        <v>0</v>
      </c>
    </row>
    <row r="15" customFormat="false" ht="15" hidden="false" customHeight="true" outlineLevel="0" collapsed="false">
      <c r="A15" s="175" t="s">
        <v>19</v>
      </c>
      <c r="C15" s="279" t="n">
        <f aca="false">IF(AND(Projects!$G$14="Yes",Projects!$F$14="Yes",1&gt;=Projects!$C$14,1&lt;Projects!$C$14+Projects!$D$14),Projects!$B$14*(1-SUMPRODUCT((Curves!$B$2:$AO$2)*(COLUMN(Curves!$B$2:$AO$2)-COLUMN(Curves!$B$2)+1&lt;=1-Projects!$C$14+1))),0)</f>
        <v>0</v>
      </c>
      <c r="D15" s="279" t="n">
        <f aca="false">IF(AND(Projects!$G$14="Yes",Projects!$F$14="Yes",2&gt;=Projects!$C$14,2&lt;Projects!$C$14+Projects!$D$14),Projects!$B$14*(1-SUMPRODUCT((Curves!$B$2:$AO$2)*(COLUMN(Curves!$B$2:$AO$2)-COLUMN(Curves!$B$2)+1&lt;=2-Projects!$C$14+1))),0)</f>
        <v>0</v>
      </c>
      <c r="E15" s="279" t="n">
        <f aca="false">IF(AND(Projects!$G$14="Yes",Projects!$F$14="Yes",3&gt;=Projects!$C$14,3&lt;Projects!$C$14+Projects!$D$14),Projects!$B$14*(1-SUMPRODUCT((Curves!$B$2:$AO$2)*(COLUMN(Curves!$B$2:$AO$2)-COLUMN(Curves!$B$2)+1&lt;=3-Projects!$C$14+1))),0)</f>
        <v>0</v>
      </c>
      <c r="F15" s="279" t="n">
        <f aca="false">IF(AND(Projects!$G$14="Yes",Projects!$F$14="Yes",4&gt;=Projects!$C$14,4&lt;Projects!$C$14+Projects!$D$14),Projects!$B$14*(1-SUMPRODUCT((Curves!$B$2:$AO$2)*(COLUMN(Curves!$B$2:$AO$2)-COLUMN(Curves!$B$2)+1&lt;=4-Projects!$C$14+1))),0)</f>
        <v>0</v>
      </c>
      <c r="G15" s="279" t="n">
        <f aca="false">IF(AND(Projects!$G$14="Yes",Projects!$F$14="Yes",5&gt;=Projects!$C$14,5&lt;Projects!$C$14+Projects!$D$14),Projects!$B$14*(1-SUMPRODUCT((Curves!$B$2:$AO$2)*(COLUMN(Curves!$B$2:$AO$2)-COLUMN(Curves!$B$2)+1&lt;=5-Projects!$C$14+1))),0)</f>
        <v>0</v>
      </c>
      <c r="H15" s="279" t="n">
        <f aca="false">IF(AND(Projects!$G$14="Yes",Projects!$F$14="Yes",6&gt;=Projects!$C$14,6&lt;Projects!$C$14+Projects!$D$14),Projects!$B$14*(1-SUMPRODUCT((Curves!$B$2:$AO$2)*(COLUMN(Curves!$B$2:$AO$2)-COLUMN(Curves!$B$2)+1&lt;=6-Projects!$C$14+1))),0)</f>
        <v>0</v>
      </c>
      <c r="I15" s="279" t="n">
        <f aca="false">IF(AND(Projects!$G$14="Yes",Projects!$F$14="Yes",7&gt;=Projects!$C$14,7&lt;Projects!$C$14+Projects!$D$14),Projects!$B$14*(1-SUMPRODUCT((Curves!$B$2:$AO$2)*(COLUMN(Curves!$B$2:$AO$2)-COLUMN(Curves!$B$2)+1&lt;=7-Projects!$C$14+1))),0)</f>
        <v>0</v>
      </c>
      <c r="J15" s="279" t="n">
        <f aca="false">IF(AND(Projects!$G$14="Yes",Projects!$F$14="Yes",8&gt;=Projects!$C$14,8&lt;Projects!$C$14+Projects!$D$14),Projects!$B$14*(1-SUMPRODUCT((Curves!$B$2:$AO$2)*(COLUMN(Curves!$B$2:$AO$2)-COLUMN(Curves!$B$2)+1&lt;=8-Projects!$C$14+1))),0)</f>
        <v>0</v>
      </c>
      <c r="K15" s="279" t="n">
        <f aca="false">IF(AND(Projects!$G$14="Yes",Projects!$F$14="Yes",9&gt;=Projects!$C$14,9&lt;Projects!$C$14+Projects!$D$14),Projects!$B$14*(1-SUMPRODUCT((Curves!$B$2:$AO$2)*(COLUMN(Curves!$B$2:$AO$2)-COLUMN(Curves!$B$2)+1&lt;=9-Projects!$C$14+1))),0)</f>
        <v>0</v>
      </c>
      <c r="L15" s="279" t="n">
        <f aca="false">IF(AND(Projects!$G$14="Yes",Projects!$F$14="Yes",10&gt;=Projects!$C$14,10&lt;Projects!$C$14+Projects!$D$14),Projects!$B$14*(1-SUMPRODUCT((Curves!$B$2:$AO$2)*(COLUMN(Curves!$B$2:$AO$2)-COLUMN(Curves!$B$2)+1&lt;=10-Projects!$C$14+1))),0)</f>
        <v>0</v>
      </c>
      <c r="M15" s="279" t="n">
        <f aca="false">IF(AND(Projects!$G$14="Yes",Projects!$F$14="Yes",11&gt;=Projects!$C$14,11&lt;Projects!$C$14+Projects!$D$14),Projects!$B$14*(1-SUMPRODUCT((Curves!$B$2:$AO$2)*(COLUMN(Curves!$B$2:$AO$2)-COLUMN(Curves!$B$2)+1&lt;=11-Projects!$C$14+1))),0)</f>
        <v>0</v>
      </c>
      <c r="N15" s="279" t="n">
        <f aca="false">IF(AND(Projects!$G$14="Yes",Projects!$F$14="Yes",12&gt;=Projects!$C$14,12&lt;Projects!$C$14+Projects!$D$14),Projects!$B$14*(1-SUMPRODUCT((Curves!$B$2:$AO$2)*(COLUMN(Curves!$B$2:$AO$2)-COLUMN(Curves!$B$2)+1&lt;=12-Projects!$C$14+1))),0)</f>
        <v>0</v>
      </c>
      <c r="O15" s="279" t="n">
        <f aca="false">IF(AND(Projects!$G$14="Yes",Projects!$F$14="Yes",13&gt;=Projects!$C$14,13&lt;Projects!$C$14+Projects!$D$14),Projects!$B$14*(1-SUMPRODUCT((Curves!$B$2:$AO$2)*(COLUMN(Curves!$B$2:$AO$2)-COLUMN(Curves!$B$2)+1&lt;=13-Projects!$C$14+1))),0)</f>
        <v>0</v>
      </c>
      <c r="P15" s="279" t="n">
        <f aca="false">IF(AND(Projects!$G$14="Yes",Projects!$F$14="Yes",14&gt;=Projects!$C$14,14&lt;Projects!$C$14+Projects!$D$14),Projects!$B$14*(1-SUMPRODUCT((Curves!$B$2:$AO$2)*(COLUMN(Curves!$B$2:$AO$2)-COLUMN(Curves!$B$2)+1&lt;=14-Projects!$C$14+1))),0)</f>
        <v>0</v>
      </c>
      <c r="Q15" s="279" t="n">
        <f aca="false">IF(AND(Projects!$G$14="Yes",Projects!$F$14="Yes",15&gt;=Projects!$C$14,15&lt;Projects!$C$14+Projects!$D$14),Projects!$B$14*(1-SUMPRODUCT((Curves!$B$2:$AO$2)*(COLUMN(Curves!$B$2:$AO$2)-COLUMN(Curves!$B$2)+1&lt;=15-Projects!$C$14+1))),0)</f>
        <v>0</v>
      </c>
      <c r="R15" s="279" t="n">
        <f aca="false">IF(AND(Projects!$G$14="Yes",Projects!$F$14="Yes",16&gt;=Projects!$C$14,16&lt;Projects!$C$14+Projects!$D$14),Projects!$B$14*(1-SUMPRODUCT((Curves!$B$2:$AO$2)*(COLUMN(Curves!$B$2:$AO$2)-COLUMN(Curves!$B$2)+1&lt;=16-Projects!$C$14+1))),0)</f>
        <v>0</v>
      </c>
      <c r="S15" s="279" t="n">
        <f aca="false">IF(AND(Projects!$G$14="Yes",Projects!$F$14="Yes",17&gt;=Projects!$C$14,17&lt;Projects!$C$14+Projects!$D$14),Projects!$B$14*(1-SUMPRODUCT((Curves!$B$2:$AO$2)*(COLUMN(Curves!$B$2:$AO$2)-COLUMN(Curves!$B$2)+1&lt;=17-Projects!$C$14+1))),0)</f>
        <v>0</v>
      </c>
      <c r="T15" s="279" t="n">
        <f aca="false">IF(AND(Projects!$G$14="Yes",Projects!$F$14="Yes",18&gt;=Projects!$C$14,18&lt;Projects!$C$14+Projects!$D$14),Projects!$B$14*(1-SUMPRODUCT((Curves!$B$2:$AO$2)*(COLUMN(Curves!$B$2:$AO$2)-COLUMN(Curves!$B$2)+1&lt;=18-Projects!$C$14+1))),0)</f>
        <v>0</v>
      </c>
      <c r="U15" s="279" t="n">
        <f aca="false">IF(AND(Projects!$G$14="Yes",Projects!$F$14="Yes",19&gt;=Projects!$C$14,19&lt;Projects!$C$14+Projects!$D$14),Projects!$B$14*(1-SUMPRODUCT((Curves!$B$2:$AO$2)*(COLUMN(Curves!$B$2:$AO$2)-COLUMN(Curves!$B$2)+1&lt;=19-Projects!$C$14+1))),0)</f>
        <v>0</v>
      </c>
      <c r="V15" s="279" t="n">
        <f aca="false">IF(AND(Projects!$G$14="Yes",Projects!$F$14="Yes",20&gt;=Projects!$C$14,20&lt;Projects!$C$14+Projects!$D$14),Projects!$B$14*(1-SUMPRODUCT((Curves!$B$2:$AO$2)*(COLUMN(Curves!$B$2:$AO$2)-COLUMN(Curves!$B$2)+1&lt;=20-Projects!$C$14+1))),0)</f>
        <v>0</v>
      </c>
      <c r="W15" s="279" t="n">
        <f aca="false">IF(AND(Projects!$G$14="Yes",Projects!$F$14="Yes",21&gt;=Projects!$C$14,21&lt;Projects!$C$14+Projects!$D$14),Projects!$B$14*(1-SUMPRODUCT((Curves!$B$2:$AO$2)*(COLUMN(Curves!$B$2:$AO$2)-COLUMN(Curves!$B$2)+1&lt;=21-Projects!$C$14+1))),0)</f>
        <v>0</v>
      </c>
      <c r="X15" s="279" t="n">
        <f aca="false">IF(AND(Projects!$G$14="Yes",Projects!$F$14="Yes",22&gt;=Projects!$C$14,22&lt;Projects!$C$14+Projects!$D$14),Projects!$B$14*(1-SUMPRODUCT((Curves!$B$2:$AO$2)*(COLUMN(Curves!$B$2:$AO$2)-COLUMN(Curves!$B$2)+1&lt;=22-Projects!$C$14+1))),0)</f>
        <v>0</v>
      </c>
      <c r="Y15" s="279" t="n">
        <f aca="false">IF(AND(Projects!$G$14="Yes",Projects!$F$14="Yes",23&gt;=Projects!$C$14,23&lt;Projects!$C$14+Projects!$D$14),Projects!$B$14*(1-SUMPRODUCT((Curves!$B$2:$AO$2)*(COLUMN(Curves!$B$2:$AO$2)-COLUMN(Curves!$B$2)+1&lt;=23-Projects!$C$14+1))),0)</f>
        <v>0</v>
      </c>
      <c r="Z15" s="279" t="n">
        <f aca="false">IF(AND(Projects!$G$14="Yes",Projects!$F$14="Yes",24&gt;=Projects!$C$14,24&lt;Projects!$C$14+Projects!$D$14),Projects!$B$14*(1-SUMPRODUCT((Curves!$B$2:$AO$2)*(COLUMN(Curves!$B$2:$AO$2)-COLUMN(Curves!$B$2)+1&lt;=24-Projects!$C$14+1))),0)</f>
        <v>0</v>
      </c>
      <c r="AA15" s="279" t="n">
        <f aca="false">IF(AND(Projects!$G$14="Yes",Projects!$F$14="Yes",25&gt;=Projects!$C$14,25&lt;Projects!$C$14+Projects!$D$14),Projects!$B$14*(1-SUMPRODUCT((Curves!$B$2:$AO$2)*(COLUMN(Curves!$B$2:$AO$2)-COLUMN(Curves!$B$2)+1&lt;=25-Projects!$C$14+1))),0)</f>
        <v>0</v>
      </c>
      <c r="AB15" s="279" t="n">
        <f aca="false">IF(AND(Projects!$G$14="Yes",Projects!$F$14="Yes",26&gt;=Projects!$C$14,26&lt;Projects!$C$14+Projects!$D$14),Projects!$B$14*(1-SUMPRODUCT((Curves!$B$2:$AO$2)*(COLUMN(Curves!$B$2:$AO$2)-COLUMN(Curves!$B$2)+1&lt;=26-Projects!$C$14+1))),0)</f>
        <v>0</v>
      </c>
      <c r="AC15" s="279" t="n">
        <f aca="false">IF(AND(Projects!$G$14="Yes",Projects!$F$14="Yes",27&gt;=Projects!$C$14,27&lt;Projects!$C$14+Projects!$D$14),Projects!$B$14*(1-SUMPRODUCT((Curves!$B$2:$AO$2)*(COLUMN(Curves!$B$2:$AO$2)-COLUMN(Curves!$B$2)+1&lt;=27-Projects!$C$14+1))),0)</f>
        <v>40688781.070168</v>
      </c>
      <c r="AD15" s="279" t="n">
        <f aca="false">IF(AND(Projects!$G$14="Yes",Projects!$F$14="Yes",28&gt;=Projects!$C$14,28&lt;Projects!$C$14+Projects!$D$14),Projects!$B$14*(1-SUMPRODUCT((Curves!$B$2:$AO$2)*(COLUMN(Curves!$B$2:$AO$2)-COLUMN(Curves!$B$2)+1&lt;=28-Projects!$C$14+1))),0)</f>
        <v>39922975.994792</v>
      </c>
      <c r="AE15" s="279" t="n">
        <f aca="false">IF(AND(Projects!$G$14="Yes",Projects!$F$14="Yes",29&gt;=Projects!$C$14,29&lt;Projects!$C$14+Projects!$D$14),Projects!$B$14*(1-SUMPRODUCT((Curves!$B$2:$AO$2)*(COLUMN(Curves!$B$2:$AO$2)-COLUMN(Curves!$B$2)+1&lt;=29-Projects!$C$14+1))),0)</f>
        <v>39050930.869808</v>
      </c>
      <c r="AF15" s="279" t="n">
        <f aca="false">IF(AND(Projects!$G$14="Yes",Projects!$F$14="Yes",30&gt;=Projects!$C$14,30&lt;Projects!$C$14+Projects!$D$14),Projects!$B$14*(1-SUMPRODUCT((Curves!$B$2:$AO$2)*(COLUMN(Curves!$B$2:$AO$2)-COLUMN(Curves!$B$2)+1&lt;=30-Projects!$C$14+1))),0)</f>
        <v>38067807.203272</v>
      </c>
      <c r="AG15" s="279" t="n">
        <f aca="false">IF(AND(Projects!$G$14="Yes",Projects!$F$14="Yes",31&gt;=Projects!$C$14,31&lt;Projects!$C$14+Projects!$D$14),Projects!$B$14*(1-SUMPRODUCT((Curves!$B$2:$AO$2)*(COLUMN(Curves!$B$2:$AO$2)-COLUMN(Curves!$B$2)+1&lt;=31-Projects!$C$14+1))),0)</f>
        <v>36970462.043152</v>
      </c>
      <c r="AH15" s="279" t="n">
        <f aca="false">IF(AND(Projects!$G$14="Yes",Projects!$F$14="Yes",32&gt;=Projects!$C$14,32&lt;Projects!$C$14+Projects!$D$14),Projects!$B$14*(1-SUMPRODUCT((Curves!$B$2:$AO$2)*(COLUMN(Curves!$B$2:$AO$2)-COLUMN(Curves!$B$2)+1&lt;=32-Projects!$C$14+1))),0)</f>
        <v>35757820.169016</v>
      </c>
      <c r="AI15" s="279" t="n">
        <f aca="false">IF(AND(Projects!$G$14="Yes",Projects!$F$14="Yes",33&gt;=Projects!$C$14,33&lt;Projects!$C$14+Projects!$D$14),Projects!$B$14*(1-SUMPRODUCT((Curves!$B$2:$AO$2)*(COLUMN(Curves!$B$2:$AO$2)-COLUMN(Curves!$B$2)+1&lt;=33-Projects!$C$14+1))),0)</f>
        <v>34431080.865192</v>
      </c>
      <c r="AJ15" s="279" t="n">
        <f aca="false">IF(AND(Projects!$G$14="Yes",Projects!$F$14="Yes",34&gt;=Projects!$C$14,34&lt;Projects!$C$14+Projects!$D$14),Projects!$B$14*(1-SUMPRODUCT((Curves!$B$2:$AO$2)*(COLUMN(Curves!$B$2:$AO$2)-COLUMN(Curves!$B$2)+1&lt;=34-Projects!$C$14+1))),0)</f>
        <v>32993924.693928</v>
      </c>
      <c r="AK15" s="279" t="n">
        <f aca="false">IF(AND(Projects!$G$14="Yes",Projects!$F$14="Yes",35&gt;=Projects!$C$14,35&lt;Projects!$C$14+Projects!$D$14),Projects!$B$14*(1-SUMPRODUCT((Curves!$B$2:$AO$2)*(COLUMN(Curves!$B$2:$AO$2)-COLUMN(Curves!$B$2)+1&lt;=35-Projects!$C$14+1))),0)</f>
        <v>31452678.91392</v>
      </c>
      <c r="AL15" s="279" t="n">
        <f aca="false">IF(AND(Projects!$G$14="Yes",Projects!$F$14="Yes",36&gt;=Projects!$C$14,36&lt;Projects!$C$14+Projects!$D$14),Projects!$B$14*(1-SUMPRODUCT((Curves!$B$2:$AO$2)*(COLUMN(Curves!$B$2:$AO$2)-COLUMN(Curves!$B$2)+1&lt;=36-Projects!$C$14+1))),0)</f>
        <v>29816193.416416</v>
      </c>
      <c r="AM15" s="279" t="n">
        <f aca="false">IF(AND(Projects!$G$14="Yes",Projects!$F$14="Yes",37&gt;=Projects!$C$14,37&lt;Projects!$C$14+Projects!$D$14),Projects!$B$14*(1-SUMPRODUCT((Curves!$B$2:$AO$2)*(COLUMN(Curves!$B$2:$AO$2)-COLUMN(Curves!$B$2)+1&lt;=37-Projects!$C$14+1))),0)</f>
        <v>28095882.079848</v>
      </c>
      <c r="AN15" s="279" t="n">
        <f aca="false">IF(AND(Projects!$G$14="Yes",Projects!$F$14="Yes",38&gt;=Projects!$C$14,38&lt;Projects!$C$14+Projects!$D$14),Projects!$B$14*(1-SUMPRODUCT((Curves!$B$2:$AO$2)*(COLUMN(Curves!$B$2:$AO$2)-COLUMN(Curves!$B$2)+1&lt;=38-Projects!$C$14+1))),0)</f>
        <v>26305433.287408</v>
      </c>
      <c r="AO15" s="279" t="n">
        <f aca="false">IF(AND(Projects!$G$14="Yes",Projects!$F$14="Yes",39&gt;=Projects!$C$14,39&lt;Projects!$C$14+Projects!$D$14),Projects!$B$14*(1-SUMPRODUCT((Curves!$B$2:$AO$2)*(COLUMN(Curves!$B$2:$AO$2)-COLUMN(Curves!$B$2)+1&lt;=39-Projects!$C$14+1))),0)</f>
        <v>24460479.089992</v>
      </c>
      <c r="AP15" s="279" t="n">
        <f aca="false">IF(AND(Projects!$G$14="Yes",Projects!$F$14="Yes",40&gt;=Projects!$C$14,40&lt;Projects!$C$14+Projects!$D$14),Projects!$B$14*(1-SUMPRODUCT((Curves!$B$2:$AO$2)*(COLUMN(Curves!$B$2:$AO$2)-COLUMN(Curves!$B$2)+1&lt;=40-Projects!$C$14+1))),0)</f>
        <v>22578305.723776</v>
      </c>
      <c r="AQ15" s="279" t="n">
        <f aca="false">IF(AND(Projects!$G$14="Yes",Projects!$F$14="Yes",41&gt;=Projects!$C$14,41&lt;Projects!$C$14+Projects!$D$14),Projects!$B$14*(1-SUMPRODUCT((Curves!$B$2:$AO$2)*(COLUMN(Curves!$B$2:$AO$2)-COLUMN(Curves!$B$2)+1&lt;=41-Projects!$C$14+1))),0)</f>
        <v>20677233.290736</v>
      </c>
      <c r="AR15" s="279" t="n">
        <f aca="false">IF(AND(Projects!$G$14="Yes",Projects!$F$14="Yes",42&gt;=Projects!$C$14,42&lt;Projects!$C$14+Projects!$D$14),Projects!$B$14*(1-SUMPRODUCT((Curves!$B$2:$AO$2)*(COLUMN(Curves!$B$2:$AO$2)-COLUMN(Curves!$B$2)+1&lt;=42-Projects!$C$14+1))),0)</f>
        <v>18776160.857696</v>
      </c>
      <c r="AS15" s="279" t="n">
        <f aca="false">IF(AND(Projects!$G$14="Yes",Projects!$F$14="Yes",43&gt;=Projects!$C$14,43&lt;Projects!$C$14+Projects!$D$14),Projects!$B$14*(1-SUMPRODUCT((Curves!$B$2:$AO$2)*(COLUMN(Curves!$B$2:$AO$2)-COLUMN(Curves!$B$2)+1&lt;=43-Projects!$C$14+1))),0)</f>
        <v>16893987.49148</v>
      </c>
      <c r="AT15" s="279" t="n">
        <f aca="false">IF(AND(Projects!$G$14="Yes",Projects!$F$14="Yes",44&gt;=Projects!$C$14,44&lt;Projects!$C$14+Projects!$D$14),Projects!$B$14*(1-SUMPRODUCT((Curves!$B$2:$AO$2)*(COLUMN(Curves!$B$2:$AO$2)-COLUMN(Curves!$B$2)+1&lt;=44-Projects!$C$14+1))),0)</f>
        <v>15049033.294064</v>
      </c>
      <c r="AU15" s="279" t="n">
        <f aca="false">IF(AND(Projects!$G$14="Yes",Projects!$F$14="Yes",45&gt;=Projects!$C$14,45&lt;Projects!$C$14+Projects!$D$14),Projects!$B$14*(1-SUMPRODUCT((Curves!$B$2:$AO$2)*(COLUMN(Curves!$B$2:$AO$2)-COLUMN(Curves!$B$2)+1&lt;=45-Projects!$C$14+1))),0)</f>
        <v>13258584.501624</v>
      </c>
      <c r="AV15" s="279" t="n">
        <f aca="false">IF(AND(Projects!$G$14="Yes",Projects!$F$14="Yes",46&gt;=Projects!$C$14,46&lt;Projects!$C$14+Projects!$D$14),Projects!$B$14*(1-SUMPRODUCT((Curves!$B$2:$AO$2)*(COLUMN(Curves!$B$2:$AO$2)-COLUMN(Curves!$B$2)+1&lt;=46-Projects!$C$14+1))),0)</f>
        <v>11538273.165056</v>
      </c>
      <c r="AW15" s="279" t="n">
        <f aca="false">IF(AND(Projects!$G$14="Yes",Projects!$F$14="Yes",47&gt;=Projects!$C$14,47&lt;Projects!$C$14+Projects!$D$14),Projects!$B$14*(1-SUMPRODUCT((Curves!$B$2:$AO$2)*(COLUMN(Curves!$B$2:$AO$2)-COLUMN(Curves!$B$2)+1&lt;=47-Projects!$C$14+1))),0)</f>
        <v>9901787.667552</v>
      </c>
      <c r="AX15" s="279" t="n">
        <f aca="false">IF(AND(Projects!$G$14="Yes",Projects!$F$14="Yes",48&gt;=Projects!$C$14,48&lt;Projects!$C$14+Projects!$D$14),Projects!$B$14*(1-SUMPRODUCT((Curves!$B$2:$AO$2)*(COLUMN(Curves!$B$2:$AO$2)-COLUMN(Curves!$B$2)+1&lt;=48-Projects!$C$14+1))),0)</f>
        <v>8360541.887544</v>
      </c>
      <c r="AY15" s="279" t="n">
        <f aca="false">IF(AND(Projects!$G$14="Yes",Projects!$F$14="Yes",49&gt;=Projects!$C$14,49&lt;Projects!$C$14+Projects!$D$14),Projects!$B$14*(1-SUMPRODUCT((Curves!$B$2:$AO$2)*(COLUMN(Curves!$B$2:$AO$2)-COLUMN(Curves!$B$2)+1&lt;=49-Projects!$C$14+1))),0)</f>
        <v>6923385.71628</v>
      </c>
      <c r="AZ15" s="279" t="n">
        <f aca="false">IF(AND(Projects!$G$14="Yes",Projects!$F$14="Yes",50&gt;=Projects!$C$14,50&lt;Projects!$C$14+Projects!$D$14),Projects!$B$14*(1-SUMPRODUCT((Curves!$B$2:$AO$2)*(COLUMN(Curves!$B$2:$AO$2)-COLUMN(Curves!$B$2)+1&lt;=50-Projects!$C$14+1))),0)</f>
        <v>5596646.412456</v>
      </c>
      <c r="BA15" s="279" t="n">
        <f aca="false">IF(AND(Projects!$G$14="Yes",Projects!$F$14="Yes",51&gt;=Projects!$C$14,51&lt;Projects!$C$14+Projects!$D$14),Projects!$B$14*(1-SUMPRODUCT((Curves!$B$2:$AO$2)*(COLUMN(Curves!$B$2:$AO$2)-COLUMN(Curves!$B$2)+1&lt;=51-Projects!$C$14+1))),0)</f>
        <v>4384004.53832</v>
      </c>
      <c r="BB15" s="279" t="n">
        <f aca="false">IF(AND(Projects!$G$14="Yes",Projects!$F$14="Yes",52&gt;=Projects!$C$14,52&lt;Projects!$C$14+Projects!$D$14),Projects!$B$14*(1-SUMPRODUCT((Curves!$B$2:$AO$2)*(COLUMN(Curves!$B$2:$AO$2)-COLUMN(Curves!$B$2)+1&lt;=52-Projects!$C$14+1))),0)</f>
        <v>3286659.3782</v>
      </c>
      <c r="BC15" s="279" t="n">
        <f aca="false">IF(AND(Projects!$G$14="Yes",Projects!$F$14="Yes",53&gt;=Projects!$C$14,53&lt;Projects!$C$14+Projects!$D$14),Projects!$B$14*(1-SUMPRODUCT((Curves!$B$2:$AO$2)*(COLUMN(Curves!$B$2:$AO$2)-COLUMN(Curves!$B$2)+1&lt;=53-Projects!$C$14+1))),0)</f>
        <v>2303535.711664</v>
      </c>
      <c r="BD15" s="279" t="n">
        <f aca="false">IF(AND(Projects!$G$14="Yes",Projects!$F$14="Yes",54&gt;=Projects!$C$14,54&lt;Projects!$C$14+Projects!$D$14),Projects!$B$14*(1-SUMPRODUCT((Curves!$B$2:$AO$2)*(COLUMN(Curves!$B$2:$AO$2)-COLUMN(Curves!$B$2)+1&lt;=54-Projects!$C$14+1))),0)</f>
        <v>1431490.58668</v>
      </c>
      <c r="BE15" s="279" t="n">
        <f aca="false">IF(AND(Projects!$G$14="Yes",Projects!$F$14="Yes",55&gt;=Projects!$C$14,55&lt;Projects!$C$14+Projects!$D$14),Projects!$B$14*(1-SUMPRODUCT((Curves!$B$2:$AO$2)*(COLUMN(Curves!$B$2:$AO$2)-COLUMN(Curves!$B$2)+1&lt;=55-Projects!$C$14+1))),0)</f>
        <v>665685.511304001</v>
      </c>
      <c r="BF15" s="279" t="n">
        <f aca="false">IF(AND(Projects!$G$14="Yes",Projects!$F$14="Yes",56&gt;=Projects!$C$14,56&lt;Projects!$C$14+Projects!$D$14),Projects!$B$14*(1-SUMPRODUCT((Curves!$B$2:$AO$2)*(COLUMN(Curves!$B$2:$AO$2)-COLUMN(Curves!$B$2)+1&lt;=56-Projects!$C$14+1))),0)</f>
        <v>-165.418527995574</v>
      </c>
      <c r="BG15" s="279" t="n">
        <f aca="false">IF(AND(Projects!$G$14="Yes",Projects!$F$14="Yes",57&gt;=Projects!$C$14,57&lt;Projects!$C$14+Projects!$D$14),Projects!$B$14*(1-SUMPRODUCT((Curves!$B$2:$AO$2)*(COLUMN(Curves!$B$2:$AO$2)-COLUMN(Curves!$B$2)+1&lt;=57-Projects!$C$14+1))),0)</f>
        <v>0</v>
      </c>
      <c r="BH15" s="279" t="n">
        <f aca="false">IF(AND(Projects!$G$14="Yes",Projects!$F$14="Yes",58&gt;=Projects!$C$14,58&lt;Projects!$C$14+Projects!$D$14),Projects!$B$14*(1-SUMPRODUCT((Curves!$B$2:$AO$2)*(COLUMN(Curves!$B$2:$AO$2)-COLUMN(Curves!$B$2)+1&lt;=58-Projects!$C$14+1))),0)</f>
        <v>0</v>
      </c>
      <c r="BI15" s="279" t="n">
        <f aca="false">IF(AND(Projects!$G$14="Yes",Projects!$F$14="Yes",59&gt;=Projects!$C$14,59&lt;Projects!$C$14+Projects!$D$14),Projects!$B$14*(1-SUMPRODUCT((Curves!$B$2:$AO$2)*(COLUMN(Curves!$B$2:$AO$2)-COLUMN(Curves!$B$2)+1&lt;=59-Projects!$C$14+1))),0)</f>
        <v>0</v>
      </c>
      <c r="BJ15" s="279" t="n">
        <f aca="false">IF(AND(Projects!$G$14="Yes",Projects!$F$14="Yes",60&gt;=Projects!$C$14,60&lt;Projects!$C$14+Projects!$D$14),Projects!$B$14*(1-SUMPRODUCT((Curves!$B$2:$AO$2)*(COLUMN(Curves!$B$2:$AO$2)-COLUMN(Curves!$B$2)+1&lt;=60-Projects!$C$14+1))),0)</f>
        <v>0</v>
      </c>
      <c r="BK15" s="279" t="n">
        <f aca="false">IF(AND(Projects!$G$14="Yes",Projects!$F$14="Yes",61&gt;=Projects!$C$14,61&lt;Projects!$C$14+Projects!$D$14),Projects!$B$14*(1-SUMPRODUCT((Curves!$B$2:$AO$2)*(COLUMN(Curves!$B$2:$AO$2)-COLUMN(Curves!$B$2)+1&lt;=61-Projects!$C$14+1))),0)</f>
        <v>0</v>
      </c>
      <c r="BL15" s="279" t="n">
        <f aca="false">IF(AND(Projects!$G$14="Yes",Projects!$F$14="Yes",62&gt;=Projects!$C$14,62&lt;Projects!$C$14+Projects!$D$14),Projects!$B$14*(1-SUMPRODUCT((Curves!$B$2:$AO$2)*(COLUMN(Curves!$B$2:$AO$2)-COLUMN(Curves!$B$2)+1&lt;=62-Projects!$C$14+1))),0)</f>
        <v>0</v>
      </c>
      <c r="BM15" s="279" t="n">
        <f aca="false">IF(AND(Projects!$G$14="Yes",Projects!$F$14="Yes",63&gt;=Projects!$C$14,63&lt;Projects!$C$14+Projects!$D$14),Projects!$B$14*(1-SUMPRODUCT((Curves!$B$2:$AO$2)*(COLUMN(Curves!$B$2:$AO$2)-COLUMN(Curves!$B$2)+1&lt;=63-Projects!$C$14+1))),0)</f>
        <v>0</v>
      </c>
      <c r="BN15" s="279" t="n">
        <f aca="false">IF(AND(Projects!$G$14="Yes",Projects!$F$14="Yes",64&gt;=Projects!$C$14,64&lt;Projects!$C$14+Projects!$D$14),Projects!$B$14*(1-SUMPRODUCT((Curves!$B$2:$AO$2)*(COLUMN(Curves!$B$2:$AO$2)-COLUMN(Curves!$B$2)+1&lt;=64-Projects!$C$14+1))),0)</f>
        <v>0</v>
      </c>
      <c r="BO15" s="279" t="n">
        <f aca="false">IF(AND(Projects!$G$14="Yes",Projects!$F$14="Yes",65&gt;=Projects!$C$14,65&lt;Projects!$C$14+Projects!$D$14),Projects!$B$14*(1-SUMPRODUCT((Curves!$B$2:$AO$2)*(COLUMN(Curves!$B$2:$AO$2)-COLUMN(Curves!$B$2)+1&lt;=65-Projects!$C$14+1))),0)</f>
        <v>0</v>
      </c>
      <c r="BP15" s="279" t="n">
        <f aca="false">IF(AND(Projects!$G$14="Yes",Projects!$F$14="Yes",66&gt;=Projects!$C$14,66&lt;Projects!$C$14+Projects!$D$14),Projects!$B$14*(1-SUMPRODUCT((Curves!$B$2:$AO$2)*(COLUMN(Curves!$B$2:$AO$2)-COLUMN(Curves!$B$2)+1&lt;=66-Projects!$C$14+1))),0)</f>
        <v>0</v>
      </c>
      <c r="BQ15" s="279" t="n">
        <f aca="false">IF(AND(Projects!$G$14="Yes",Projects!$F$14="Yes",67&gt;=Projects!$C$14,67&lt;Projects!$C$14+Projects!$D$14),Projects!$B$14*(1-SUMPRODUCT((Curves!$B$2:$AO$2)*(COLUMN(Curves!$B$2:$AO$2)-COLUMN(Curves!$B$2)+1&lt;=67-Projects!$C$14+1))),0)</f>
        <v>0</v>
      </c>
      <c r="BR15" s="279" t="n">
        <f aca="false">IF(AND(Projects!$G$14="Yes",Projects!$F$14="Yes",68&gt;=Projects!$C$14,68&lt;Projects!$C$14+Projects!$D$14),Projects!$B$14*(1-SUMPRODUCT((Curves!$B$2:$AO$2)*(COLUMN(Curves!$B$2:$AO$2)-COLUMN(Curves!$B$2)+1&lt;=68-Projects!$C$14+1))),0)</f>
        <v>0</v>
      </c>
      <c r="BS15" s="279" t="n">
        <f aca="false">IF(AND(Projects!$G$14="Yes",Projects!$F$14="Yes",69&gt;=Projects!$C$14,69&lt;Projects!$C$14+Projects!$D$14),Projects!$B$14*(1-SUMPRODUCT((Curves!$B$2:$AO$2)*(COLUMN(Curves!$B$2:$AO$2)-COLUMN(Curves!$B$2)+1&lt;=69-Projects!$C$14+1))),0)</f>
        <v>0</v>
      </c>
      <c r="BT15" s="279" t="n">
        <f aca="false">IF(AND(Projects!$G$14="Yes",Projects!$F$14="Yes",70&gt;=Projects!$C$14,70&lt;Projects!$C$14+Projects!$D$14),Projects!$B$14*(1-SUMPRODUCT((Curves!$B$2:$AO$2)*(COLUMN(Curves!$B$2:$AO$2)-COLUMN(Curves!$B$2)+1&lt;=70-Projects!$C$14+1))),0)</f>
        <v>0</v>
      </c>
      <c r="BU15" s="279" t="n">
        <f aca="false">IF(AND(Projects!$G$14="Yes",Projects!$F$14="Yes",71&gt;=Projects!$C$14,71&lt;Projects!$C$14+Projects!$D$14),Projects!$B$14*(1-SUMPRODUCT((Curves!$B$2:$AO$2)*(COLUMN(Curves!$B$2:$AO$2)-COLUMN(Curves!$B$2)+1&lt;=71-Projects!$C$14+1))),0)</f>
        <v>0</v>
      </c>
      <c r="BV15" s="279" t="n">
        <f aca="false">IF(AND(Projects!$G$14="Yes",Projects!$F$14="Yes",72&gt;=Projects!$C$14,72&lt;Projects!$C$14+Projects!$D$14),Projects!$B$14*(1-SUMPRODUCT((Curves!$B$2:$AO$2)*(COLUMN(Curves!$B$2:$AO$2)-COLUMN(Curves!$B$2)+1&lt;=72-Projects!$C$14+1))),0)</f>
        <v>0</v>
      </c>
      <c r="BW15" s="279" t="n">
        <f aca="false">IF(AND(Projects!$G$14="Yes",Projects!$F$14="Yes",73&gt;=Projects!$C$14,73&lt;Projects!$C$14+Projects!$D$14),Projects!$B$14*(1-SUMPRODUCT((Curves!$B$2:$AO$2)*(COLUMN(Curves!$B$2:$AO$2)-COLUMN(Curves!$B$2)+1&lt;=73-Projects!$C$14+1))),0)</f>
        <v>0</v>
      </c>
      <c r="BX15" s="279" t="n">
        <f aca="false">IF(AND(Projects!$G$14="Yes",Projects!$F$14="Yes",74&gt;=Projects!$C$14,74&lt;Projects!$C$14+Projects!$D$14),Projects!$B$14*(1-SUMPRODUCT((Curves!$B$2:$AO$2)*(COLUMN(Curves!$B$2:$AO$2)-COLUMN(Curves!$B$2)+1&lt;=74-Projects!$C$14+1))),0)</f>
        <v>0</v>
      </c>
      <c r="BY15" s="279" t="n">
        <f aca="false">IF(AND(Projects!$G$14="Yes",Projects!$F$14="Yes",75&gt;=Projects!$C$14,75&lt;Projects!$C$14+Projects!$D$14),Projects!$B$14*(1-SUMPRODUCT((Curves!$B$2:$AO$2)*(COLUMN(Curves!$B$2:$AO$2)-COLUMN(Curves!$B$2)+1&lt;=75-Projects!$C$14+1))),0)</f>
        <v>0</v>
      </c>
      <c r="BZ15" s="279" t="n">
        <f aca="false">IF(AND(Projects!$G$14="Yes",Projects!$F$14="Yes",76&gt;=Projects!$C$14,76&lt;Projects!$C$14+Projects!$D$14),Projects!$B$14*(1-SUMPRODUCT((Curves!$B$2:$AO$2)*(COLUMN(Curves!$B$2:$AO$2)-COLUMN(Curves!$B$2)+1&lt;=76-Projects!$C$14+1))),0)</f>
        <v>0</v>
      </c>
      <c r="CA15" s="279" t="n">
        <f aca="false">IF(AND(Projects!$G$14="Yes",Projects!$F$14="Yes",77&gt;=Projects!$C$14,77&lt;Projects!$C$14+Projects!$D$14),Projects!$B$14*(1-SUMPRODUCT((Curves!$B$2:$AO$2)*(COLUMN(Curves!$B$2:$AO$2)-COLUMN(Curves!$B$2)+1&lt;=77-Projects!$C$14+1))),0)</f>
        <v>0</v>
      </c>
      <c r="CB15" s="279" t="n">
        <f aca="false">IF(AND(Projects!$G$14="Yes",Projects!$F$14="Yes",78&gt;=Projects!$C$14,78&lt;Projects!$C$14+Projects!$D$14),Projects!$B$14*(1-SUMPRODUCT((Curves!$B$2:$AO$2)*(COLUMN(Curves!$B$2:$AO$2)-COLUMN(Curves!$B$2)+1&lt;=78-Projects!$C$14+1))),0)</f>
        <v>0</v>
      </c>
      <c r="CC15" s="279" t="n">
        <f aca="false">IF(AND(Projects!$G$14="Yes",Projects!$F$14="Yes",79&gt;=Projects!$C$14,79&lt;Projects!$C$14+Projects!$D$14),Projects!$B$14*(1-SUMPRODUCT((Curves!$B$2:$AO$2)*(COLUMN(Curves!$B$2:$AO$2)-COLUMN(Curves!$B$2)+1&lt;=79-Projects!$C$14+1))),0)</f>
        <v>0</v>
      </c>
      <c r="CD15" s="279" t="n">
        <f aca="false">IF(AND(Projects!$G$14="Yes",Projects!$F$14="Yes",80&gt;=Projects!$C$14,80&lt;Projects!$C$14+Projects!$D$14),Projects!$B$14*(1-SUMPRODUCT((Curves!$B$2:$AO$2)*(COLUMN(Curves!$B$2:$AO$2)-COLUMN(Curves!$B$2)+1&lt;=80-Projects!$C$14+1))),0)</f>
        <v>0</v>
      </c>
      <c r="CE15" s="279" t="n">
        <f aca="false">IF(AND(Projects!$G$14="Yes",Projects!$F$14="Yes",81&gt;=Projects!$C$14,81&lt;Projects!$C$14+Projects!$D$14),Projects!$B$14*(1-SUMPRODUCT((Curves!$B$2:$AO$2)*(COLUMN(Curves!$B$2:$AO$2)-COLUMN(Curves!$B$2)+1&lt;=81-Projects!$C$14+1))),0)</f>
        <v>0</v>
      </c>
      <c r="CF15" s="279" t="n">
        <f aca="false">IF(AND(Projects!$G$14="Yes",Projects!$F$14="Yes",82&gt;=Projects!$C$14,82&lt;Projects!$C$14+Projects!$D$14),Projects!$B$14*(1-SUMPRODUCT((Curves!$B$2:$AO$2)*(COLUMN(Curves!$B$2:$AO$2)-COLUMN(Curves!$B$2)+1&lt;=82-Projects!$C$14+1))),0)</f>
        <v>0</v>
      </c>
      <c r="CG15" s="279" t="n">
        <f aca="false">IF(AND(Projects!$G$14="Yes",Projects!$F$14="Yes",83&gt;=Projects!$C$14,83&lt;Projects!$C$14+Projects!$D$14),Projects!$B$14*(1-SUMPRODUCT((Curves!$B$2:$AO$2)*(COLUMN(Curves!$B$2:$AO$2)-COLUMN(Curves!$B$2)+1&lt;=83-Projects!$C$14+1))),0)</f>
        <v>0</v>
      </c>
      <c r="CH15" s="279" t="n">
        <f aca="false">IF(AND(Projects!$G$14="Yes",Projects!$F$14="Yes",84&gt;=Projects!$C$14,84&lt;Projects!$C$14+Projects!$D$14),Projects!$B$14*(1-SUMPRODUCT((Curves!$B$2:$AO$2)*(COLUMN(Curves!$B$2:$AO$2)-COLUMN(Curves!$B$2)+1&lt;=84-Projects!$C$14+1))),0)</f>
        <v>0</v>
      </c>
      <c r="CI15" s="279" t="n">
        <f aca="false">IF(AND(Projects!$G$14="Yes",Projects!$F$14="Yes",85&gt;=Projects!$C$14,85&lt;Projects!$C$14+Projects!$D$14),Projects!$B$14*(1-SUMPRODUCT((Curves!$B$2:$AO$2)*(COLUMN(Curves!$B$2:$AO$2)-COLUMN(Curves!$B$2)+1&lt;=85-Projects!$C$14+1))),0)</f>
        <v>0</v>
      </c>
      <c r="CJ15" s="279" t="n">
        <f aca="false">IF(AND(Projects!$G$14="Yes",Projects!$F$14="Yes",86&gt;=Projects!$C$14,86&lt;Projects!$C$14+Projects!$D$14),Projects!$B$14*(1-SUMPRODUCT((Curves!$B$2:$AO$2)*(COLUMN(Curves!$B$2:$AO$2)-COLUMN(Curves!$B$2)+1&lt;=86-Projects!$C$14+1))),0)</f>
        <v>0</v>
      </c>
      <c r="CK15" s="279" t="n">
        <f aca="false">IF(AND(Projects!$G$14="Yes",Projects!$F$14="Yes",87&gt;=Projects!$C$14,87&lt;Projects!$C$14+Projects!$D$14),Projects!$B$14*(1-SUMPRODUCT((Curves!$B$2:$AO$2)*(COLUMN(Curves!$B$2:$AO$2)-COLUMN(Curves!$B$2)+1&lt;=87-Projects!$C$14+1))),0)</f>
        <v>0</v>
      </c>
      <c r="CL15" s="279" t="n">
        <f aca="false">IF(AND(Projects!$G$14="Yes",Projects!$F$14="Yes",88&gt;=Projects!$C$14,88&lt;Projects!$C$14+Projects!$D$14),Projects!$B$14*(1-SUMPRODUCT((Curves!$B$2:$AO$2)*(COLUMN(Curves!$B$2:$AO$2)-COLUMN(Curves!$B$2)+1&lt;=88-Projects!$C$14+1))),0)</f>
        <v>0</v>
      </c>
      <c r="CM15" s="279" t="n">
        <f aca="false">IF(AND(Projects!$G$14="Yes",Projects!$F$14="Yes",89&gt;=Projects!$C$14,89&lt;Projects!$C$14+Projects!$D$14),Projects!$B$14*(1-SUMPRODUCT((Curves!$B$2:$AO$2)*(COLUMN(Curves!$B$2:$AO$2)-COLUMN(Curves!$B$2)+1&lt;=89-Projects!$C$14+1))),0)</f>
        <v>0</v>
      </c>
      <c r="CN15" s="279" t="n">
        <f aca="false">IF(AND(Projects!$G$14="Yes",Projects!$F$14="Yes",90&gt;=Projects!$C$14,90&lt;Projects!$C$14+Projects!$D$14),Projects!$B$14*(1-SUMPRODUCT((Curves!$B$2:$AO$2)*(COLUMN(Curves!$B$2:$AO$2)-COLUMN(Curves!$B$2)+1&lt;=90-Projects!$C$14+1))),0)</f>
        <v>0</v>
      </c>
      <c r="CO15" s="279" t="n">
        <f aca="false">IF(AND(Projects!$G$14="Yes",Projects!$F$14="Yes",91&gt;=Projects!$C$14,91&lt;Projects!$C$14+Projects!$D$14),Projects!$B$14*(1-SUMPRODUCT((Curves!$B$2:$AO$2)*(COLUMN(Curves!$B$2:$AO$2)-COLUMN(Curves!$B$2)+1&lt;=91-Projects!$C$14+1))),0)</f>
        <v>0</v>
      </c>
      <c r="CP15" s="279" t="n">
        <f aca="false">IF(AND(Projects!$G$14="Yes",Projects!$F$14="Yes",92&gt;=Projects!$C$14,92&lt;Projects!$C$14+Projects!$D$14),Projects!$B$14*(1-SUMPRODUCT((Curves!$B$2:$AO$2)*(COLUMN(Curves!$B$2:$AO$2)-COLUMN(Curves!$B$2)+1&lt;=92-Projects!$C$14+1))),0)</f>
        <v>0</v>
      </c>
      <c r="CQ15" s="279" t="n">
        <f aca="false">IF(AND(Projects!$G$14="Yes",Projects!$F$14="Yes",93&gt;=Projects!$C$14,93&lt;Projects!$C$14+Projects!$D$14),Projects!$B$14*(1-SUMPRODUCT((Curves!$B$2:$AO$2)*(COLUMN(Curves!$B$2:$AO$2)-COLUMN(Curves!$B$2)+1&lt;=93-Projects!$C$14+1))),0)</f>
        <v>0</v>
      </c>
    </row>
    <row r="16" customFormat="false" ht="15" hidden="false" customHeight="true" outlineLevel="0" collapsed="false">
      <c r="A16" s="121" t="s">
        <v>169</v>
      </c>
      <c r="C16" s="295" t="n">
        <f aca="false">SUM(C8:C15)</f>
        <v>24716840.3468768</v>
      </c>
      <c r="D16" s="295" t="n">
        <f aca="false">SUM(D8:D15)</f>
        <v>22881539.1765735</v>
      </c>
      <c r="E16" s="295" t="n">
        <f aca="false">SUM(E8:E15)</f>
        <v>20879271.9124362</v>
      </c>
      <c r="F16" s="295" t="n">
        <f aca="false">SUM(F8:F15)</f>
        <v>18748519.382739</v>
      </c>
      <c r="G16" s="295" t="n">
        <f aca="false">SUM(G8:G15)</f>
        <v>85209726.4902737</v>
      </c>
      <c r="H16" s="295" t="n">
        <f aca="false">SUM(H8:H15)</f>
        <v>101937181.31251</v>
      </c>
      <c r="I16" s="295" t="n">
        <f aca="false">SUM(I8:I15)</f>
        <v>96996144.7242823</v>
      </c>
      <c r="J16" s="295" t="n">
        <f aca="false">SUM(J8:J15)</f>
        <v>91681082.9143191</v>
      </c>
      <c r="K16" s="295" t="n">
        <f aca="false">SUM(K8:K15)</f>
        <v>86032873.6923599</v>
      </c>
      <c r="L16" s="295" t="n">
        <f aca="false">SUM(L8:L15)</f>
        <v>80101823.0905101</v>
      </c>
      <c r="M16" s="295" t="n">
        <f aca="false">SUM(M8:M15)</f>
        <v>73947441.6447125</v>
      </c>
      <c r="N16" s="295" t="n">
        <f aca="false">SUM(N8:N15)</f>
        <v>67637608.6570949</v>
      </c>
      <c r="O16" s="295" t="n">
        <f aca="false">SUM(O8:O15)</f>
        <v>105785143.86028</v>
      </c>
      <c r="P16" s="295" t="n">
        <f aca="false">SUM(P8:P15)</f>
        <v>98555966.9128809</v>
      </c>
      <c r="Q16" s="295" t="n">
        <f aca="false">SUM(Q8:Q15)</f>
        <v>91292205.3562169</v>
      </c>
      <c r="R16" s="295" t="n">
        <f aca="false">SUM(R8:R15)</f>
        <v>84715364.4189166</v>
      </c>
      <c r="S16" s="295" t="n">
        <f aca="false">SUM(S8:S15)</f>
        <v>78104625.7757824</v>
      </c>
      <c r="T16" s="295" t="n">
        <f aca="false">SUM(T8:T15)</f>
        <v>71551790.5201989</v>
      </c>
      <c r="U16" s="295" t="n">
        <f aca="false">SUM(U8:U15)</f>
        <v>65138900.841349</v>
      </c>
      <c r="V16" s="295" t="n">
        <f aca="false">SUM(V8:V15)</f>
        <v>58934829.9178404</v>
      </c>
      <c r="W16" s="295" t="n">
        <f aca="false">SUM(W8:W15)</f>
        <v>52993542.7870939</v>
      </c>
      <c r="X16" s="295" t="n">
        <f aca="false">SUM(X8:X15)</f>
        <v>47353337.6640295</v>
      </c>
      <c r="Y16" s="295" t="n">
        <f aca="false">SUM(Y8:Y15)</f>
        <v>42038064.2069706</v>
      </c>
      <c r="Z16" s="295" t="n">
        <f aca="false">SUM(Z8:Z15)</f>
        <v>37330862.9276114</v>
      </c>
      <c r="AA16" s="295" t="n">
        <f aca="false">SUM(AA8:AA15)</f>
        <v>33343145.6939488</v>
      </c>
      <c r="AB16" s="295" t="n">
        <f aca="false">SUM(AB8:AB15)</f>
        <v>29531296.0450086</v>
      </c>
      <c r="AC16" s="295" t="n">
        <f aca="false">SUM(AC8:AC15)</f>
        <v>66599470.497915</v>
      </c>
      <c r="AD16" s="295" t="n">
        <f aca="false">SUM(AD8:AD15)</f>
        <v>62415627.7269484</v>
      </c>
      <c r="AE16" s="295" t="n">
        <f aca="false">SUM(AE8:AE15)</f>
        <v>59062951.931266</v>
      </c>
      <c r="AF16" s="295" t="n">
        <f aca="false">SUM(AF8:AF15)</f>
        <v>55679909.273142</v>
      </c>
      <c r="AG16" s="295" t="n">
        <f aca="false">SUM(AG8:AG15)</f>
        <v>52281905.5481236</v>
      </c>
      <c r="AH16" s="295" t="n">
        <f aca="false">SUM(AH8:AH15)</f>
        <v>48883886.762018</v>
      </c>
      <c r="AI16" s="295" t="n">
        <f aca="false">SUM(AI8:AI15)</f>
        <v>45500358.0697596</v>
      </c>
      <c r="AJ16" s="295" t="n">
        <f aca="false">SUM(AJ8:AJ15)</f>
        <v>42145314.4364748</v>
      </c>
      <c r="AK16" s="295" t="n">
        <f aca="false">SUM(AK8:AK15)</f>
        <v>39031015.21347</v>
      </c>
      <c r="AL16" s="295" t="n">
        <f aca="false">SUM(AL8:AL15)</f>
        <v>35942281.200826</v>
      </c>
      <c r="AM16" s="295" t="n">
        <f aca="false">SUM(AM8:AM15)</f>
        <v>32894612.367548</v>
      </c>
      <c r="AN16" s="295" t="n">
        <f aca="false">SUM(AN8:AN15)</f>
        <v>29903009.833158</v>
      </c>
      <c r="AO16" s="295" t="n">
        <f aca="false">SUM(AO8:AO15)</f>
        <v>26981928.712532</v>
      </c>
      <c r="AP16" s="295" t="n">
        <f aca="false">SUM(AP8:AP15)</f>
        <v>24145214.967326</v>
      </c>
      <c r="AQ16" s="295" t="n">
        <f aca="false">SUM(AQ8:AQ15)</f>
        <v>21405892.487426</v>
      </c>
      <c r="AR16" s="295" t="n">
        <f aca="false">SUM(AR8:AR15)</f>
        <v>18775979.790616</v>
      </c>
      <c r="AS16" s="295" t="n">
        <f aca="false">SUM(AS8:AS15)</f>
        <v>16893987.49148</v>
      </c>
      <c r="AT16" s="295" t="n">
        <f aca="false">SUM(AT8:AT15)</f>
        <v>15049033.294064</v>
      </c>
      <c r="AU16" s="295" t="n">
        <f aca="false">SUM(AU8:AU15)</f>
        <v>13258584.501624</v>
      </c>
      <c r="AV16" s="295" t="n">
        <f aca="false">SUM(AV8:AV15)</f>
        <v>11538273.165056</v>
      </c>
      <c r="AW16" s="295" t="n">
        <f aca="false">SUM(AW8:AW15)</f>
        <v>9901787.667552</v>
      </c>
      <c r="AX16" s="295" t="n">
        <f aca="false">SUM(AX8:AX15)</f>
        <v>8360541.887544</v>
      </c>
      <c r="AY16" s="295" t="n">
        <f aca="false">SUM(AY8:AY15)</f>
        <v>6923385.71628</v>
      </c>
      <c r="AZ16" s="295" t="n">
        <f aca="false">SUM(AZ8:AZ15)</f>
        <v>5596646.412456</v>
      </c>
      <c r="BA16" s="295" t="n">
        <f aca="false">SUM(BA8:BA15)</f>
        <v>4384004.53832</v>
      </c>
      <c r="BB16" s="295" t="n">
        <f aca="false">SUM(BB8:BB15)</f>
        <v>3286659.3782</v>
      </c>
      <c r="BC16" s="295" t="n">
        <f aca="false">SUM(BC8:BC15)</f>
        <v>2303535.711664</v>
      </c>
      <c r="BD16" s="295" t="n">
        <f aca="false">SUM(BD8:BD15)</f>
        <v>1431490.58668</v>
      </c>
      <c r="BE16" s="295" t="n">
        <f aca="false">SUM(BE8:BE15)</f>
        <v>665685.511304001</v>
      </c>
      <c r="BF16" s="295" t="n">
        <f aca="false">SUM(BF8:BF15)</f>
        <v>-165.418527995574</v>
      </c>
      <c r="BG16" s="295" t="n">
        <f aca="false">SUM(BG8:BG15)</f>
        <v>0</v>
      </c>
      <c r="BH16" s="295" t="n">
        <f aca="false">SUM(BH8:BH15)</f>
        <v>0</v>
      </c>
      <c r="BI16" s="295" t="n">
        <f aca="false">SUM(BI8:BI15)</f>
        <v>0</v>
      </c>
      <c r="BJ16" s="295" t="n">
        <f aca="false">SUM(BJ8:BJ15)</f>
        <v>0</v>
      </c>
      <c r="BK16" s="295" t="n">
        <f aca="false">SUM(BK8:BK15)</f>
        <v>0</v>
      </c>
      <c r="BL16" s="295" t="n">
        <f aca="false">SUM(BL8:BL15)</f>
        <v>0</v>
      </c>
      <c r="BM16" s="295" t="n">
        <f aca="false">SUM(BM8:BM15)</f>
        <v>0</v>
      </c>
      <c r="BN16" s="295" t="n">
        <f aca="false">SUM(BN8:BN15)</f>
        <v>0</v>
      </c>
      <c r="BO16" s="295" t="n">
        <f aca="false">SUM(BO8:BO15)</f>
        <v>0</v>
      </c>
      <c r="BP16" s="295" t="n">
        <f aca="false">SUM(BP8:BP15)</f>
        <v>0</v>
      </c>
      <c r="BQ16" s="295" t="n">
        <f aca="false">SUM(BQ8:BQ15)</f>
        <v>0</v>
      </c>
      <c r="BR16" s="295" t="n">
        <f aca="false">SUM(BR8:BR15)</f>
        <v>0</v>
      </c>
      <c r="BS16" s="295" t="n">
        <f aca="false">SUM(BS8:BS15)</f>
        <v>0</v>
      </c>
      <c r="BT16" s="295" t="n">
        <f aca="false">SUM(BT8:BT15)</f>
        <v>0</v>
      </c>
      <c r="BU16" s="295" t="n">
        <f aca="false">SUM(BU8:BU15)</f>
        <v>0</v>
      </c>
      <c r="BV16" s="295" t="n">
        <f aca="false">SUM(BV8:BV15)</f>
        <v>0</v>
      </c>
      <c r="BW16" s="295" t="n">
        <f aca="false">SUM(BW8:BW15)</f>
        <v>0</v>
      </c>
      <c r="BX16" s="295" t="n">
        <f aca="false">SUM(BX8:BX15)</f>
        <v>0</v>
      </c>
      <c r="BY16" s="295" t="n">
        <f aca="false">SUM(BY8:BY15)</f>
        <v>0</v>
      </c>
      <c r="BZ16" s="295" t="n">
        <f aca="false">SUM(BZ8:BZ15)</f>
        <v>0</v>
      </c>
      <c r="CA16" s="295" t="n">
        <f aca="false">SUM(CA8:CA15)</f>
        <v>0</v>
      </c>
      <c r="CB16" s="295" t="n">
        <f aca="false">SUM(CB8:CB15)</f>
        <v>0</v>
      </c>
      <c r="CC16" s="295" t="n">
        <f aca="false">SUM(CC8:CC15)</f>
        <v>0</v>
      </c>
      <c r="CD16" s="295" t="n">
        <f aca="false">SUM(CD8:CD15)</f>
        <v>0</v>
      </c>
      <c r="CE16" s="295" t="n">
        <f aca="false">SUM(CE8:CE15)</f>
        <v>0</v>
      </c>
      <c r="CF16" s="295" t="n">
        <f aca="false">SUM(CF8:CF15)</f>
        <v>0</v>
      </c>
      <c r="CG16" s="295" t="n">
        <f aca="false">SUM(CG8:CG15)</f>
        <v>0</v>
      </c>
      <c r="CH16" s="295" t="n">
        <f aca="false">SUM(CH8:CH15)</f>
        <v>0</v>
      </c>
      <c r="CI16" s="295" t="n">
        <f aca="false">SUM(CI8:CI15)</f>
        <v>0</v>
      </c>
      <c r="CJ16" s="295" t="n">
        <f aca="false">SUM(CJ8:CJ15)</f>
        <v>0</v>
      </c>
      <c r="CK16" s="295" t="n">
        <f aca="false">SUM(CK8:CK15)</f>
        <v>0</v>
      </c>
      <c r="CL16" s="295" t="n">
        <f aca="false">SUM(CL8:CL15)</f>
        <v>0</v>
      </c>
      <c r="CM16" s="295" t="n">
        <f aca="false">SUM(CM8:CM15)</f>
        <v>0</v>
      </c>
      <c r="CN16" s="295" t="n">
        <f aca="false">SUM(CN8:CN15)</f>
        <v>0</v>
      </c>
      <c r="CO16" s="295" t="n">
        <f aca="false">SUM(CO8:CO15)</f>
        <v>0</v>
      </c>
      <c r="CP16" s="295" t="n">
        <f aca="false">SUM(CP8:CP15)</f>
        <v>0</v>
      </c>
      <c r="CQ16" s="295" t="n">
        <f aca="false">SUM(CQ8:CQ15)</f>
        <v>0</v>
      </c>
    </row>
    <row r="18" customFormat="false" ht="15" hidden="false" customHeight="true" outlineLevel="0" collapsed="false">
      <c r="A18" s="38" t="s">
        <v>816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</row>
    <row r="19" customFormat="false" ht="15" hidden="false" customHeight="true" outlineLevel="0" collapsed="false">
      <c r="A19" s="175" t="s">
        <v>817</v>
      </c>
      <c r="C19" s="279" t="n">
        <f aca="false">IF(Projects!$G$7="Yes",Projects!$B$7*Assumptions!$B$47+Assumptions!$B$53*Assumptions!$B$48,0)</f>
        <v>577947.65</v>
      </c>
      <c r="D19" s="279" t="n">
        <f aca="false">C21</f>
        <v>577947.65</v>
      </c>
      <c r="E19" s="279" t="n">
        <f aca="false">D21</f>
        <v>577947.65</v>
      </c>
      <c r="F19" s="279" t="n">
        <f aca="false">E21</f>
        <v>577947.65</v>
      </c>
      <c r="G19" s="279" t="n">
        <f aca="false">F21</f>
        <v>577947.65</v>
      </c>
      <c r="H19" s="279" t="n">
        <f aca="false">G21</f>
        <v>577947.65</v>
      </c>
      <c r="I19" s="279" t="n">
        <f aca="false">H21</f>
        <v>577947.65</v>
      </c>
      <c r="J19" s="279" t="n">
        <f aca="false">I21</f>
        <v>577947.65</v>
      </c>
      <c r="K19" s="279" t="n">
        <f aca="false">J21</f>
        <v>577947.65</v>
      </c>
      <c r="L19" s="279" t="n">
        <f aca="false">K21</f>
        <v>577947.65</v>
      </c>
      <c r="M19" s="279" t="n">
        <f aca="false">L21</f>
        <v>577947.65</v>
      </c>
      <c r="N19" s="279" t="n">
        <f aca="false">M21</f>
        <v>577947.65</v>
      </c>
      <c r="O19" s="279" t="n">
        <f aca="false">N21</f>
        <v>577947.65</v>
      </c>
      <c r="P19" s="279" t="n">
        <f aca="false">O21</f>
        <v>577947.65</v>
      </c>
      <c r="Q19" s="279" t="n">
        <f aca="false">P21</f>
        <v>577947.65</v>
      </c>
      <c r="R19" s="279" t="n">
        <f aca="false">Q21</f>
        <v>577947.65</v>
      </c>
      <c r="S19" s="279" t="n">
        <f aca="false">R21</f>
        <v>577947.65</v>
      </c>
      <c r="T19" s="279" t="n">
        <f aca="false">S21</f>
        <v>577947.65</v>
      </c>
      <c r="U19" s="279" t="n">
        <f aca="false">T21</f>
        <v>577947.65</v>
      </c>
      <c r="V19" s="279" t="n">
        <f aca="false">U21</f>
        <v>577947.65</v>
      </c>
      <c r="W19" s="279" t="n">
        <f aca="false">V21</f>
        <v>577947.65</v>
      </c>
      <c r="X19" s="279" t="n">
        <f aca="false">W21</f>
        <v>577947.65</v>
      </c>
      <c r="Y19" s="279" t="n">
        <f aca="false">X21</f>
        <v>577947.65</v>
      </c>
      <c r="Z19" s="279" t="n">
        <f aca="false">Y21</f>
        <v>577947.65</v>
      </c>
      <c r="AA19" s="279" t="n">
        <f aca="false">Z21</f>
        <v>577947.65</v>
      </c>
      <c r="AB19" s="279" t="n">
        <f aca="false">AA21</f>
        <v>577947.65</v>
      </c>
      <c r="AC19" s="279" t="n">
        <f aca="false">AB21</f>
        <v>577947.65</v>
      </c>
      <c r="AD19" s="279" t="n">
        <f aca="false">AC21</f>
        <v>577947.65</v>
      </c>
      <c r="AE19" s="279" t="n">
        <f aca="false">AD21</f>
        <v>577947.65</v>
      </c>
      <c r="AF19" s="279" t="n">
        <f aca="false">AE21</f>
        <v>577947.65</v>
      </c>
      <c r="AG19" s="279" t="n">
        <f aca="false">AF21</f>
        <v>577947.65</v>
      </c>
      <c r="AH19" s="279" t="n">
        <f aca="false">AG21</f>
        <v>577947.65</v>
      </c>
      <c r="AI19" s="279" t="n">
        <f aca="false">AH21</f>
        <v>577947.65</v>
      </c>
      <c r="AJ19" s="279" t="n">
        <f aca="false">AI21</f>
        <v>577947.65</v>
      </c>
      <c r="AK19" s="279" t="n">
        <f aca="false">AJ21</f>
        <v>577947.65</v>
      </c>
      <c r="AL19" s="279" t="n">
        <f aca="false">AK21</f>
        <v>577947.65</v>
      </c>
      <c r="AM19" s="279" t="n">
        <f aca="false">AL21</f>
        <v>577947.65</v>
      </c>
      <c r="AN19" s="279" t="n">
        <f aca="false">AM21</f>
        <v>577947.65</v>
      </c>
      <c r="AO19" s="279" t="n">
        <f aca="false">AN21</f>
        <v>577947.65</v>
      </c>
      <c r="AP19" s="279" t="n">
        <f aca="false">AO21</f>
        <v>577947.65</v>
      </c>
      <c r="AQ19" s="279" t="n">
        <f aca="false">AP21</f>
        <v>577947.65</v>
      </c>
      <c r="AR19" s="279" t="n">
        <f aca="false">AQ21</f>
        <v>577947.65</v>
      </c>
      <c r="AS19" s="279" t="n">
        <f aca="false">AR21</f>
        <v>496264.65</v>
      </c>
      <c r="AT19" s="279" t="n">
        <f aca="false">AS21</f>
        <v>496264.65</v>
      </c>
      <c r="AU19" s="279" t="n">
        <f aca="false">AT21</f>
        <v>496264.65</v>
      </c>
      <c r="AV19" s="279" t="n">
        <f aca="false">AU21</f>
        <v>414582.65</v>
      </c>
      <c r="AW19" s="279" t="n">
        <f aca="false">AV21</f>
        <v>414582.65</v>
      </c>
      <c r="AX19" s="279" t="n">
        <f aca="false">AW21</f>
        <v>414582.65</v>
      </c>
      <c r="AY19" s="279" t="n">
        <f aca="false">AX21</f>
        <v>332900.65</v>
      </c>
      <c r="AZ19" s="279" t="n">
        <f aca="false">AY21</f>
        <v>332900.65</v>
      </c>
      <c r="BA19" s="279" t="n">
        <f aca="false">AZ21</f>
        <v>332900.65</v>
      </c>
      <c r="BB19" s="279" t="n">
        <f aca="false">BA21</f>
        <v>251218.65</v>
      </c>
      <c r="BC19" s="279" t="n">
        <f aca="false">BB21</f>
        <v>251218.65</v>
      </c>
      <c r="BD19" s="279" t="n">
        <f aca="false">BC21</f>
        <v>251218.65</v>
      </c>
      <c r="BE19" s="279" t="n">
        <f aca="false">BD21</f>
        <v>192040.65</v>
      </c>
      <c r="BF19" s="279" t="n">
        <f aca="false">BE21</f>
        <v>192040.65</v>
      </c>
      <c r="BG19" s="279" t="n">
        <f aca="false">BF21</f>
        <v>192040.65</v>
      </c>
      <c r="BH19" s="279" t="n">
        <f aca="false">BG21</f>
        <v>132864.65</v>
      </c>
      <c r="BI19" s="279" t="n">
        <f aca="false">BH21</f>
        <v>132864.65</v>
      </c>
      <c r="BJ19" s="279" t="n">
        <f aca="false">BI21</f>
        <v>132864.65</v>
      </c>
      <c r="BK19" s="279" t="n">
        <f aca="false">BJ21</f>
        <v>73688.65</v>
      </c>
      <c r="BL19" s="279" t="n">
        <f aca="false">BK21</f>
        <v>73688.65</v>
      </c>
      <c r="BM19" s="279" t="n">
        <f aca="false">BL21</f>
        <v>73688.65</v>
      </c>
      <c r="BN19" s="279" t="n">
        <f aca="false">BM21</f>
        <v>14512.65</v>
      </c>
      <c r="BO19" s="279" t="n">
        <f aca="false">BN21</f>
        <v>14512.65</v>
      </c>
      <c r="BP19" s="279" t="n">
        <f aca="false">BO21</f>
        <v>14512.65</v>
      </c>
      <c r="BQ19" s="279" t="n">
        <f aca="false">BP21</f>
        <v>0</v>
      </c>
      <c r="BR19" s="279" t="n">
        <f aca="false">BQ21</f>
        <v>0</v>
      </c>
      <c r="BS19" s="279" t="n">
        <f aca="false">BR21</f>
        <v>0</v>
      </c>
      <c r="BT19" s="279" t="n">
        <f aca="false">BS21</f>
        <v>0</v>
      </c>
      <c r="BU19" s="279" t="n">
        <f aca="false">BT21</f>
        <v>0</v>
      </c>
      <c r="BV19" s="279" t="n">
        <f aca="false">BU21</f>
        <v>0</v>
      </c>
      <c r="BW19" s="279" t="n">
        <f aca="false">BV21</f>
        <v>0</v>
      </c>
      <c r="BX19" s="279" t="n">
        <f aca="false">BW21</f>
        <v>0</v>
      </c>
      <c r="BY19" s="279" t="n">
        <f aca="false">BX21</f>
        <v>0</v>
      </c>
      <c r="BZ19" s="279" t="n">
        <f aca="false">BY21</f>
        <v>0</v>
      </c>
      <c r="CA19" s="279" t="n">
        <f aca="false">BZ21</f>
        <v>0</v>
      </c>
      <c r="CB19" s="279" t="n">
        <f aca="false">CA21</f>
        <v>0</v>
      </c>
      <c r="CC19" s="279" t="n">
        <f aca="false">CB21</f>
        <v>0</v>
      </c>
      <c r="CD19" s="279" t="n">
        <f aca="false">CC21</f>
        <v>0</v>
      </c>
      <c r="CE19" s="279" t="n">
        <f aca="false">CD21</f>
        <v>0</v>
      </c>
      <c r="CF19" s="279" t="n">
        <f aca="false">CE21</f>
        <v>0</v>
      </c>
      <c r="CG19" s="279" t="n">
        <f aca="false">CF21</f>
        <v>0</v>
      </c>
      <c r="CH19" s="279" t="n">
        <f aca="false">CG21</f>
        <v>0</v>
      </c>
      <c r="CI19" s="279" t="n">
        <f aca="false">CH21</f>
        <v>0</v>
      </c>
      <c r="CJ19" s="279" t="n">
        <f aca="false">CI21</f>
        <v>0</v>
      </c>
      <c r="CK19" s="279" t="n">
        <f aca="false">CJ21</f>
        <v>0</v>
      </c>
      <c r="CL19" s="279" t="n">
        <f aca="false">CK21</f>
        <v>0</v>
      </c>
      <c r="CM19" s="279" t="n">
        <f aca="false">CL21</f>
        <v>0</v>
      </c>
      <c r="CN19" s="279" t="n">
        <f aca="false">CM21</f>
        <v>0</v>
      </c>
      <c r="CO19" s="279" t="n">
        <f aca="false">CN21</f>
        <v>0</v>
      </c>
      <c r="CP19" s="279" t="n">
        <f aca="false">CO21</f>
        <v>0</v>
      </c>
      <c r="CQ19" s="279" t="n">
        <f aca="false">CP21</f>
        <v>0</v>
      </c>
    </row>
    <row r="20" customFormat="false" ht="15" hidden="false" customHeight="true" outlineLevel="0" collapsed="false">
      <c r="A20" s="296" t="s">
        <v>818</v>
      </c>
      <c r="C20" s="297" t="n">
        <f aca="false">MIN(C19,Model!E162)</f>
        <v>0</v>
      </c>
      <c r="D20" s="297" t="n">
        <f aca="false">MIN(D19,Model!F162)</f>
        <v>0</v>
      </c>
      <c r="E20" s="297" t="n">
        <f aca="false">MIN(E19,Model!G162)</f>
        <v>0</v>
      </c>
      <c r="F20" s="297" t="n">
        <f aca="false">MIN(F19,Model!H162)</f>
        <v>0</v>
      </c>
      <c r="G20" s="297" t="n">
        <f aca="false">MIN(G19,Model!I162)</f>
        <v>0</v>
      </c>
      <c r="H20" s="297" t="n">
        <f aca="false">MIN(H19,Model!J162)</f>
        <v>0</v>
      </c>
      <c r="I20" s="297" t="n">
        <f aca="false">MIN(I19,Model!K162)</f>
        <v>0</v>
      </c>
      <c r="J20" s="297" t="n">
        <f aca="false">MIN(J19,Model!L162)</f>
        <v>0</v>
      </c>
      <c r="K20" s="297" t="n">
        <f aca="false">MIN(K19,Model!M162)</f>
        <v>0</v>
      </c>
      <c r="L20" s="297" t="n">
        <f aca="false">MIN(L19,Model!N162)</f>
        <v>0</v>
      </c>
      <c r="M20" s="297" t="n">
        <f aca="false">MIN(M19,Model!O162)</f>
        <v>0</v>
      </c>
      <c r="N20" s="297" t="n">
        <f aca="false">MIN(N19,Model!P162)</f>
        <v>0</v>
      </c>
      <c r="O20" s="297" t="n">
        <f aca="false">MIN(O19,Model!Q162)</f>
        <v>0</v>
      </c>
      <c r="P20" s="297" t="n">
        <f aca="false">MIN(P19,Model!R162)</f>
        <v>0</v>
      </c>
      <c r="Q20" s="297" t="n">
        <f aca="false">MIN(Q19,Model!S162)</f>
        <v>0</v>
      </c>
      <c r="R20" s="297" t="n">
        <f aca="false">MIN(R19,Model!T162)</f>
        <v>0</v>
      </c>
      <c r="S20" s="297" t="n">
        <f aca="false">MIN(S19,Model!U162)</f>
        <v>0</v>
      </c>
      <c r="T20" s="297" t="n">
        <f aca="false">MIN(T19,Model!V162)</f>
        <v>0</v>
      </c>
      <c r="U20" s="297" t="n">
        <f aca="false">MIN(U19,Model!W162)</f>
        <v>0</v>
      </c>
      <c r="V20" s="297" t="n">
        <f aca="false">MIN(V19,Model!X162)</f>
        <v>0</v>
      </c>
      <c r="W20" s="297" t="n">
        <f aca="false">MIN(W19,Model!Y162)</f>
        <v>0</v>
      </c>
      <c r="X20" s="297" t="n">
        <f aca="false">MIN(X19,Model!Z162)</f>
        <v>0</v>
      </c>
      <c r="Y20" s="297" t="n">
        <f aca="false">MIN(Y19,Model!AA162)</f>
        <v>0</v>
      </c>
      <c r="Z20" s="297" t="n">
        <f aca="false">MIN(Z19,Model!AB162)</f>
        <v>0</v>
      </c>
      <c r="AA20" s="297" t="n">
        <f aca="false">MIN(AA19,Model!AC162)</f>
        <v>0</v>
      </c>
      <c r="AB20" s="297" t="n">
        <f aca="false">MIN(AB19,Model!AD162)</f>
        <v>0</v>
      </c>
      <c r="AC20" s="297" t="n">
        <f aca="false">MIN(AC19,Model!AE162)</f>
        <v>0</v>
      </c>
      <c r="AD20" s="297" t="n">
        <f aca="false">MIN(AD19,Model!AF162)</f>
        <v>0</v>
      </c>
      <c r="AE20" s="297" t="n">
        <f aca="false">MIN(AE19,Model!AG162)</f>
        <v>0</v>
      </c>
      <c r="AF20" s="297" t="n">
        <f aca="false">MIN(AF19,Model!AH162)</f>
        <v>0</v>
      </c>
      <c r="AG20" s="297" t="n">
        <f aca="false">MIN(AG19,Model!AI162)</f>
        <v>0</v>
      </c>
      <c r="AH20" s="297" t="n">
        <f aca="false">MIN(AH19,Model!AJ162)</f>
        <v>0</v>
      </c>
      <c r="AI20" s="297" t="n">
        <f aca="false">MIN(AI19,Model!AK162)</f>
        <v>0</v>
      </c>
      <c r="AJ20" s="297" t="n">
        <f aca="false">MIN(AJ19,Model!AL162)</f>
        <v>0</v>
      </c>
      <c r="AK20" s="297" t="n">
        <f aca="false">MIN(AK19,Model!AM162)</f>
        <v>0</v>
      </c>
      <c r="AL20" s="297" t="n">
        <f aca="false">MIN(AL19,Model!AN162)</f>
        <v>0</v>
      </c>
      <c r="AM20" s="297" t="n">
        <f aca="false">MIN(AM19,Model!AO162)</f>
        <v>0</v>
      </c>
      <c r="AN20" s="297" t="n">
        <f aca="false">MIN(AN19,Model!AP162)</f>
        <v>0</v>
      </c>
      <c r="AO20" s="297" t="n">
        <f aca="false">MIN(AO19,Model!AQ162)</f>
        <v>0</v>
      </c>
      <c r="AP20" s="297" t="n">
        <f aca="false">MIN(AP19,Model!AR162)</f>
        <v>0</v>
      </c>
      <c r="AQ20" s="297" t="n">
        <f aca="false">MIN(AQ19,Model!AS162)</f>
        <v>0</v>
      </c>
      <c r="AR20" s="297" t="n">
        <f aca="false">MIN(AR19,Model!AT162)</f>
        <v>81683</v>
      </c>
      <c r="AS20" s="297" t="n">
        <f aca="false">MIN(AS19,Model!AU162)</f>
        <v>0</v>
      </c>
      <c r="AT20" s="297" t="n">
        <f aca="false">MIN(AT19,Model!AV162)</f>
        <v>0</v>
      </c>
      <c r="AU20" s="297" t="n">
        <f aca="false">MIN(AU19,Model!AW162)</f>
        <v>81682</v>
      </c>
      <c r="AV20" s="297" t="n">
        <f aca="false">MIN(AV19,Model!AX162)</f>
        <v>0</v>
      </c>
      <c r="AW20" s="297" t="n">
        <f aca="false">MIN(AW19,Model!AY162)</f>
        <v>0</v>
      </c>
      <c r="AX20" s="297" t="n">
        <f aca="false">MIN(AX19,Model!AZ162)</f>
        <v>81682</v>
      </c>
      <c r="AY20" s="297" t="n">
        <f aca="false">MIN(AY19,Model!BA162)</f>
        <v>0</v>
      </c>
      <c r="AZ20" s="297" t="n">
        <f aca="false">MIN(AZ19,Model!BB162)</f>
        <v>0</v>
      </c>
      <c r="BA20" s="297" t="n">
        <f aca="false">MIN(BA19,Model!BC162)</f>
        <v>81682</v>
      </c>
      <c r="BB20" s="297" t="n">
        <f aca="false">MIN(BB19,Model!BD162)</f>
        <v>0</v>
      </c>
      <c r="BC20" s="297" t="n">
        <f aca="false">MIN(BC19,Model!BE162)</f>
        <v>0</v>
      </c>
      <c r="BD20" s="297" t="n">
        <f aca="false">MIN(BD19,Model!BF162)</f>
        <v>59178</v>
      </c>
      <c r="BE20" s="297" t="n">
        <f aca="false">MIN(BE19,Model!BG162)</f>
        <v>0</v>
      </c>
      <c r="BF20" s="297" t="n">
        <f aca="false">MIN(BF19,Model!BH162)</f>
        <v>0</v>
      </c>
      <c r="BG20" s="297" t="n">
        <f aca="false">MIN(BG19,Model!BI162)</f>
        <v>59176</v>
      </c>
      <c r="BH20" s="297" t="n">
        <f aca="false">MIN(BH19,Model!BJ162)</f>
        <v>0</v>
      </c>
      <c r="BI20" s="297" t="n">
        <f aca="false">MIN(BI19,Model!BK162)</f>
        <v>0</v>
      </c>
      <c r="BJ20" s="297" t="n">
        <f aca="false">MIN(BJ19,Model!BL162)</f>
        <v>59176</v>
      </c>
      <c r="BK20" s="297" t="n">
        <f aca="false">MIN(BK19,Model!BM162)</f>
        <v>0</v>
      </c>
      <c r="BL20" s="297" t="n">
        <f aca="false">MIN(BL19,Model!BN162)</f>
        <v>0</v>
      </c>
      <c r="BM20" s="297" t="n">
        <f aca="false">MIN(BM19,Model!BO162)</f>
        <v>59176</v>
      </c>
      <c r="BN20" s="297" t="n">
        <f aca="false">MIN(BN19,Model!BP162)</f>
        <v>0</v>
      </c>
      <c r="BO20" s="297" t="n">
        <f aca="false">MIN(BO19,Model!BQ162)</f>
        <v>0</v>
      </c>
      <c r="BP20" s="297" t="n">
        <f aca="false">MIN(BP19,Model!BR162)</f>
        <v>14512.65</v>
      </c>
      <c r="BQ20" s="297" t="n">
        <f aca="false">MIN(BQ19,Model!BS162)</f>
        <v>0</v>
      </c>
      <c r="BR20" s="297" t="n">
        <f aca="false">MIN(BR19,Model!BT162)</f>
        <v>0</v>
      </c>
      <c r="BS20" s="297" t="n">
        <f aca="false">MIN(BS19,Model!BU162)</f>
        <v>0</v>
      </c>
      <c r="BT20" s="297" t="n">
        <f aca="false">MIN(BT19,Model!BV162)</f>
        <v>0</v>
      </c>
      <c r="BU20" s="297" t="n">
        <f aca="false">MIN(BU19,Model!BW162)</f>
        <v>0</v>
      </c>
      <c r="BV20" s="297" t="n">
        <f aca="false">MIN(BV19,Model!BX162)</f>
        <v>0</v>
      </c>
      <c r="BW20" s="297" t="n">
        <f aca="false">MIN(BW19,Model!BY162)</f>
        <v>0</v>
      </c>
      <c r="BX20" s="297" t="n">
        <f aca="false">MIN(BX19,Model!BZ162)</f>
        <v>0</v>
      </c>
      <c r="BY20" s="297" t="n">
        <f aca="false">MIN(BY19,Model!CA162)</f>
        <v>0</v>
      </c>
      <c r="BZ20" s="297" t="n">
        <f aca="false">MIN(BZ19,Model!CB162)</f>
        <v>0</v>
      </c>
      <c r="CA20" s="297" t="n">
        <f aca="false">MIN(CA19,Model!CC162)</f>
        <v>0</v>
      </c>
      <c r="CB20" s="297" t="n">
        <f aca="false">MIN(CB19,Model!CD162)</f>
        <v>0</v>
      </c>
      <c r="CC20" s="297" t="n">
        <f aca="false">MIN(CC19,Model!CE162)</f>
        <v>0</v>
      </c>
      <c r="CD20" s="297" t="n">
        <f aca="false">MIN(CD19,Model!CF162)</f>
        <v>0</v>
      </c>
      <c r="CE20" s="297" t="n">
        <f aca="false">MIN(CE19,Model!CG162)</f>
        <v>0</v>
      </c>
      <c r="CF20" s="297" t="n">
        <f aca="false">MIN(CF19,Model!CH162)</f>
        <v>0</v>
      </c>
      <c r="CG20" s="297" t="n">
        <f aca="false">MIN(CG19,Model!CI162)</f>
        <v>0</v>
      </c>
      <c r="CH20" s="297" t="n">
        <f aca="false">MIN(CH19,Model!CJ162)</f>
        <v>0</v>
      </c>
      <c r="CI20" s="297" t="n">
        <f aca="false">MIN(CI19,Model!CK162)</f>
        <v>0</v>
      </c>
      <c r="CJ20" s="297" t="n">
        <f aca="false">MIN(CJ19,Model!CL162)</f>
        <v>0</v>
      </c>
      <c r="CK20" s="297" t="n">
        <f aca="false">MIN(CK19,Model!CM162)</f>
        <v>0</v>
      </c>
      <c r="CL20" s="297" t="n">
        <f aca="false">MIN(CL19,Model!CN162)</f>
        <v>0</v>
      </c>
      <c r="CM20" s="297" t="n">
        <f aca="false">MIN(CM19,Model!CO162)</f>
        <v>0</v>
      </c>
      <c r="CN20" s="297" t="n">
        <f aca="false">MIN(CN19,Model!CP162)</f>
        <v>0</v>
      </c>
      <c r="CO20" s="297" t="n">
        <f aca="false">MIN(CO19,Model!CQ162)</f>
        <v>0</v>
      </c>
      <c r="CP20" s="297" t="n">
        <f aca="false">MIN(CP19,Model!CR162)</f>
        <v>0</v>
      </c>
      <c r="CQ20" s="297" t="n">
        <f aca="false">MIN(CQ19,Model!CS162)</f>
        <v>0</v>
      </c>
    </row>
    <row r="21" customFormat="false" ht="15" hidden="false" customHeight="true" outlineLevel="0" collapsed="false">
      <c r="A21" s="121" t="s">
        <v>819</v>
      </c>
      <c r="C21" s="295" t="n">
        <f aca="false">MAX(0,C19-C20)</f>
        <v>577947.65</v>
      </c>
      <c r="D21" s="295" t="n">
        <f aca="false">MAX(0,D19-D20)</f>
        <v>577947.65</v>
      </c>
      <c r="E21" s="295" t="n">
        <f aca="false">MAX(0,E19-E20)</f>
        <v>577947.65</v>
      </c>
      <c r="F21" s="295" t="n">
        <f aca="false">MAX(0,F19-F20)</f>
        <v>577947.65</v>
      </c>
      <c r="G21" s="295" t="n">
        <f aca="false">MAX(0,G19-G20)</f>
        <v>577947.65</v>
      </c>
      <c r="H21" s="295" t="n">
        <f aca="false">MAX(0,H19-H20)</f>
        <v>577947.65</v>
      </c>
      <c r="I21" s="295" t="n">
        <f aca="false">MAX(0,I19-I20)</f>
        <v>577947.65</v>
      </c>
      <c r="J21" s="295" t="n">
        <f aca="false">MAX(0,J19-J20)</f>
        <v>577947.65</v>
      </c>
      <c r="K21" s="295" t="n">
        <f aca="false">MAX(0,K19-K20)</f>
        <v>577947.65</v>
      </c>
      <c r="L21" s="295" t="n">
        <f aca="false">MAX(0,L19-L20)</f>
        <v>577947.65</v>
      </c>
      <c r="M21" s="295" t="n">
        <f aca="false">MAX(0,M19-M20)</f>
        <v>577947.65</v>
      </c>
      <c r="N21" s="295" t="n">
        <f aca="false">MAX(0,N19-N20)</f>
        <v>577947.65</v>
      </c>
      <c r="O21" s="295" t="n">
        <f aca="false">MAX(0,O19-O20)</f>
        <v>577947.65</v>
      </c>
      <c r="P21" s="295" t="n">
        <f aca="false">MAX(0,P19-P20)</f>
        <v>577947.65</v>
      </c>
      <c r="Q21" s="295" t="n">
        <f aca="false">MAX(0,Q19-Q20)</f>
        <v>577947.65</v>
      </c>
      <c r="R21" s="295" t="n">
        <f aca="false">MAX(0,R19-R20)</f>
        <v>577947.65</v>
      </c>
      <c r="S21" s="295" t="n">
        <f aca="false">MAX(0,S19-S20)</f>
        <v>577947.65</v>
      </c>
      <c r="T21" s="295" t="n">
        <f aca="false">MAX(0,T19-T20)</f>
        <v>577947.65</v>
      </c>
      <c r="U21" s="295" t="n">
        <f aca="false">MAX(0,U19-U20)</f>
        <v>577947.65</v>
      </c>
      <c r="V21" s="295" t="n">
        <f aca="false">MAX(0,V19-V20)</f>
        <v>577947.65</v>
      </c>
      <c r="W21" s="295" t="n">
        <f aca="false">MAX(0,W19-W20)</f>
        <v>577947.65</v>
      </c>
      <c r="X21" s="295" t="n">
        <f aca="false">MAX(0,X19-X20)</f>
        <v>577947.65</v>
      </c>
      <c r="Y21" s="295" t="n">
        <f aca="false">MAX(0,Y19-Y20)</f>
        <v>577947.65</v>
      </c>
      <c r="Z21" s="295" t="n">
        <f aca="false">MAX(0,Z19-Z20)</f>
        <v>577947.65</v>
      </c>
      <c r="AA21" s="295" t="n">
        <f aca="false">MAX(0,AA19-AA20)</f>
        <v>577947.65</v>
      </c>
      <c r="AB21" s="295" t="n">
        <f aca="false">MAX(0,AB19-AB20)</f>
        <v>577947.65</v>
      </c>
      <c r="AC21" s="295" t="n">
        <f aca="false">MAX(0,AC19-AC20)</f>
        <v>577947.65</v>
      </c>
      <c r="AD21" s="295" t="n">
        <f aca="false">MAX(0,AD19-AD20)</f>
        <v>577947.65</v>
      </c>
      <c r="AE21" s="295" t="n">
        <f aca="false">MAX(0,AE19-AE20)</f>
        <v>577947.65</v>
      </c>
      <c r="AF21" s="295" t="n">
        <f aca="false">MAX(0,AF19-AF20)</f>
        <v>577947.65</v>
      </c>
      <c r="AG21" s="295" t="n">
        <f aca="false">MAX(0,AG19-AG20)</f>
        <v>577947.65</v>
      </c>
      <c r="AH21" s="295" t="n">
        <f aca="false">MAX(0,AH19-AH20)</f>
        <v>577947.65</v>
      </c>
      <c r="AI21" s="295" t="n">
        <f aca="false">MAX(0,AI19-AI20)</f>
        <v>577947.65</v>
      </c>
      <c r="AJ21" s="295" t="n">
        <f aca="false">MAX(0,AJ19-AJ20)</f>
        <v>577947.65</v>
      </c>
      <c r="AK21" s="295" t="n">
        <f aca="false">MAX(0,AK19-AK20)</f>
        <v>577947.65</v>
      </c>
      <c r="AL21" s="295" t="n">
        <f aca="false">MAX(0,AL19-AL20)</f>
        <v>577947.65</v>
      </c>
      <c r="AM21" s="295" t="n">
        <f aca="false">MAX(0,AM19-AM20)</f>
        <v>577947.65</v>
      </c>
      <c r="AN21" s="295" t="n">
        <f aca="false">MAX(0,AN19-AN20)</f>
        <v>577947.65</v>
      </c>
      <c r="AO21" s="295" t="n">
        <f aca="false">MAX(0,AO19-AO20)</f>
        <v>577947.65</v>
      </c>
      <c r="AP21" s="295" t="n">
        <f aca="false">MAX(0,AP19-AP20)</f>
        <v>577947.65</v>
      </c>
      <c r="AQ21" s="295" t="n">
        <f aca="false">MAX(0,AQ19-AQ20)</f>
        <v>577947.65</v>
      </c>
      <c r="AR21" s="295" t="n">
        <f aca="false">MAX(0,AR19-AR20)</f>
        <v>496264.65</v>
      </c>
      <c r="AS21" s="295" t="n">
        <f aca="false">MAX(0,AS19-AS20)</f>
        <v>496264.65</v>
      </c>
      <c r="AT21" s="295" t="n">
        <f aca="false">MAX(0,AT19-AT20)</f>
        <v>496264.65</v>
      </c>
      <c r="AU21" s="295" t="n">
        <f aca="false">MAX(0,AU19-AU20)</f>
        <v>414582.65</v>
      </c>
      <c r="AV21" s="295" t="n">
        <f aca="false">MAX(0,AV19-AV20)</f>
        <v>414582.65</v>
      </c>
      <c r="AW21" s="295" t="n">
        <f aca="false">MAX(0,AW19-AW20)</f>
        <v>414582.65</v>
      </c>
      <c r="AX21" s="295" t="n">
        <f aca="false">MAX(0,AX19-AX20)</f>
        <v>332900.65</v>
      </c>
      <c r="AY21" s="295" t="n">
        <f aca="false">MAX(0,AY19-AY20)</f>
        <v>332900.65</v>
      </c>
      <c r="AZ21" s="295" t="n">
        <f aca="false">MAX(0,AZ19-AZ20)</f>
        <v>332900.65</v>
      </c>
      <c r="BA21" s="295" t="n">
        <f aca="false">MAX(0,BA19-BA20)</f>
        <v>251218.65</v>
      </c>
      <c r="BB21" s="295" t="n">
        <f aca="false">MAX(0,BB19-BB20)</f>
        <v>251218.65</v>
      </c>
      <c r="BC21" s="295" t="n">
        <f aca="false">MAX(0,BC19-BC20)</f>
        <v>251218.65</v>
      </c>
      <c r="BD21" s="295" t="n">
        <f aca="false">MAX(0,BD19-BD20)</f>
        <v>192040.65</v>
      </c>
      <c r="BE21" s="295" t="n">
        <f aca="false">MAX(0,BE19-BE20)</f>
        <v>192040.65</v>
      </c>
      <c r="BF21" s="295" t="n">
        <f aca="false">MAX(0,BF19-BF20)</f>
        <v>192040.65</v>
      </c>
      <c r="BG21" s="295" t="n">
        <f aca="false">MAX(0,BG19-BG20)</f>
        <v>132864.65</v>
      </c>
      <c r="BH21" s="295" t="n">
        <f aca="false">MAX(0,BH19-BH20)</f>
        <v>132864.65</v>
      </c>
      <c r="BI21" s="295" t="n">
        <f aca="false">MAX(0,BI19-BI20)</f>
        <v>132864.65</v>
      </c>
      <c r="BJ21" s="295" t="n">
        <f aca="false">MAX(0,BJ19-BJ20)</f>
        <v>73688.65</v>
      </c>
      <c r="BK21" s="295" t="n">
        <f aca="false">MAX(0,BK19-BK20)</f>
        <v>73688.65</v>
      </c>
      <c r="BL21" s="295" t="n">
        <f aca="false">MAX(0,BL19-BL20)</f>
        <v>73688.65</v>
      </c>
      <c r="BM21" s="295" t="n">
        <f aca="false">MAX(0,BM19-BM20)</f>
        <v>14512.65</v>
      </c>
      <c r="BN21" s="295" t="n">
        <f aca="false">MAX(0,BN19-BN20)</f>
        <v>14512.65</v>
      </c>
      <c r="BO21" s="295" t="n">
        <f aca="false">MAX(0,BO19-BO20)</f>
        <v>14512.65</v>
      </c>
      <c r="BP21" s="295" t="n">
        <f aca="false">MAX(0,BP19-BP20)</f>
        <v>0</v>
      </c>
      <c r="BQ21" s="295" t="n">
        <f aca="false">MAX(0,BQ19-BQ20)</f>
        <v>0</v>
      </c>
      <c r="BR21" s="295" t="n">
        <f aca="false">MAX(0,BR19-BR20)</f>
        <v>0</v>
      </c>
      <c r="BS21" s="295" t="n">
        <f aca="false">MAX(0,BS19-BS20)</f>
        <v>0</v>
      </c>
      <c r="BT21" s="295" t="n">
        <f aca="false">MAX(0,BT19-BT20)</f>
        <v>0</v>
      </c>
      <c r="BU21" s="295" t="n">
        <f aca="false">MAX(0,BU19-BU20)</f>
        <v>0</v>
      </c>
      <c r="BV21" s="295" t="n">
        <f aca="false">MAX(0,BV19-BV20)</f>
        <v>0</v>
      </c>
      <c r="BW21" s="295" t="n">
        <f aca="false">MAX(0,BW19-BW20)</f>
        <v>0</v>
      </c>
      <c r="BX21" s="295" t="n">
        <f aca="false">MAX(0,BX19-BX20)</f>
        <v>0</v>
      </c>
      <c r="BY21" s="295" t="n">
        <f aca="false">MAX(0,BY19-BY20)</f>
        <v>0</v>
      </c>
      <c r="BZ21" s="295" t="n">
        <f aca="false">MAX(0,BZ19-BZ20)</f>
        <v>0</v>
      </c>
      <c r="CA21" s="295" t="n">
        <f aca="false">MAX(0,CA19-CA20)</f>
        <v>0</v>
      </c>
      <c r="CB21" s="295" t="n">
        <f aca="false">MAX(0,CB19-CB20)</f>
        <v>0</v>
      </c>
      <c r="CC21" s="295" t="n">
        <f aca="false">MAX(0,CC19-CC20)</f>
        <v>0</v>
      </c>
      <c r="CD21" s="295" t="n">
        <f aca="false">MAX(0,CD19-CD20)</f>
        <v>0</v>
      </c>
      <c r="CE21" s="295" t="n">
        <f aca="false">MAX(0,CE19-CE20)</f>
        <v>0</v>
      </c>
      <c r="CF21" s="295" t="n">
        <f aca="false">MAX(0,CF19-CF20)</f>
        <v>0</v>
      </c>
      <c r="CG21" s="295" t="n">
        <f aca="false">MAX(0,CG19-CG20)</f>
        <v>0</v>
      </c>
      <c r="CH21" s="295" t="n">
        <f aca="false">MAX(0,CH19-CH20)</f>
        <v>0</v>
      </c>
      <c r="CI21" s="295" t="n">
        <f aca="false">MAX(0,CI19-CI20)</f>
        <v>0</v>
      </c>
      <c r="CJ21" s="295" t="n">
        <f aca="false">MAX(0,CJ19-CJ20)</f>
        <v>0</v>
      </c>
      <c r="CK21" s="295" t="n">
        <f aca="false">MAX(0,CK19-CK20)</f>
        <v>0</v>
      </c>
      <c r="CL21" s="295" t="n">
        <f aca="false">MAX(0,CL19-CL20)</f>
        <v>0</v>
      </c>
      <c r="CM21" s="295" t="n">
        <f aca="false">MAX(0,CM19-CM20)</f>
        <v>0</v>
      </c>
      <c r="CN21" s="295" t="n">
        <f aca="false">MAX(0,CN19-CN20)</f>
        <v>0</v>
      </c>
      <c r="CO21" s="295" t="n">
        <f aca="false">MAX(0,CO19-CO20)</f>
        <v>0</v>
      </c>
      <c r="CP21" s="295" t="n">
        <f aca="false">MAX(0,CP19-CP20)</f>
        <v>0</v>
      </c>
      <c r="CQ21" s="295" t="n">
        <f aca="false">MAX(0,CQ19-CQ20)</f>
        <v>0</v>
      </c>
    </row>
    <row r="22" customFormat="false" ht="15" hidden="false" customHeight="true" outlineLevel="0" collapsed="false">
      <c r="A22" s="175" t="s">
        <v>820</v>
      </c>
      <c r="C22" s="279" t="n">
        <f aca="false">IF(Projects!$G$13="Yes",Projects!$B$13*Assumptions!$B$47+Assumptions!$B$54*Assumptions!$B$48,0)</f>
        <v>602667.7</v>
      </c>
      <c r="D22" s="279" t="n">
        <f aca="false">C24</f>
        <v>602667.7</v>
      </c>
      <c r="E22" s="279" t="n">
        <f aca="false">D24</f>
        <v>602667.7</v>
      </c>
      <c r="F22" s="279" t="n">
        <f aca="false">E24</f>
        <v>602667.7</v>
      </c>
      <c r="G22" s="279" t="n">
        <f aca="false">F24</f>
        <v>602667.7</v>
      </c>
      <c r="H22" s="279" t="n">
        <f aca="false">G24</f>
        <v>602667.7</v>
      </c>
      <c r="I22" s="279" t="n">
        <f aca="false">H24</f>
        <v>602667.7</v>
      </c>
      <c r="J22" s="279" t="n">
        <f aca="false">I24</f>
        <v>602667.7</v>
      </c>
      <c r="K22" s="279" t="n">
        <f aca="false">J24</f>
        <v>602667.7</v>
      </c>
      <c r="L22" s="279" t="n">
        <f aca="false">K24</f>
        <v>602667.7</v>
      </c>
      <c r="M22" s="279" t="n">
        <f aca="false">L24</f>
        <v>602667.7</v>
      </c>
      <c r="N22" s="279" t="n">
        <f aca="false">M24</f>
        <v>602667.7</v>
      </c>
      <c r="O22" s="279" t="n">
        <f aca="false">N24</f>
        <v>602667.7</v>
      </c>
      <c r="P22" s="279" t="n">
        <f aca="false">O24</f>
        <v>602667.7</v>
      </c>
      <c r="Q22" s="279" t="n">
        <f aca="false">P24</f>
        <v>602667.7</v>
      </c>
      <c r="R22" s="279" t="n">
        <f aca="false">Q24</f>
        <v>602667.7</v>
      </c>
      <c r="S22" s="279" t="n">
        <f aca="false">R24</f>
        <v>602667.7</v>
      </c>
      <c r="T22" s="279" t="n">
        <f aca="false">S24</f>
        <v>602667.7</v>
      </c>
      <c r="U22" s="279" t="n">
        <f aca="false">T24</f>
        <v>602667.7</v>
      </c>
      <c r="V22" s="279" t="n">
        <f aca="false">U24</f>
        <v>602667.7</v>
      </c>
      <c r="W22" s="279" t="n">
        <f aca="false">V24</f>
        <v>602667.7</v>
      </c>
      <c r="X22" s="279" t="n">
        <f aca="false">W24</f>
        <v>602667.7</v>
      </c>
      <c r="Y22" s="279" t="n">
        <f aca="false">X24</f>
        <v>602667.7</v>
      </c>
      <c r="Z22" s="279" t="n">
        <f aca="false">Y24</f>
        <v>602667.7</v>
      </c>
      <c r="AA22" s="279" t="n">
        <f aca="false">Z24</f>
        <v>602667.7</v>
      </c>
      <c r="AB22" s="279" t="n">
        <f aca="false">AA24</f>
        <v>602667.7</v>
      </c>
      <c r="AC22" s="279" t="n">
        <f aca="false">AB24</f>
        <v>602667.7</v>
      </c>
      <c r="AD22" s="279" t="n">
        <f aca="false">AC24</f>
        <v>602667.7</v>
      </c>
      <c r="AE22" s="279" t="n">
        <f aca="false">AD24</f>
        <v>602667.7</v>
      </c>
      <c r="AF22" s="279" t="n">
        <f aca="false">AE24</f>
        <v>602667.7</v>
      </c>
      <c r="AG22" s="279" t="n">
        <f aca="false">AF24</f>
        <v>602667.7</v>
      </c>
      <c r="AH22" s="279" t="n">
        <f aca="false">AG24</f>
        <v>602667.7</v>
      </c>
      <c r="AI22" s="279" t="n">
        <f aca="false">AH24</f>
        <v>602667.7</v>
      </c>
      <c r="AJ22" s="279" t="n">
        <f aca="false">AI24</f>
        <v>602667.7</v>
      </c>
      <c r="AK22" s="279" t="n">
        <f aca="false">AJ24</f>
        <v>602667.7</v>
      </c>
      <c r="AL22" s="279" t="n">
        <f aca="false">AK24</f>
        <v>602667.7</v>
      </c>
      <c r="AM22" s="279" t="n">
        <f aca="false">AL24</f>
        <v>602667.7</v>
      </c>
      <c r="AN22" s="279" t="n">
        <f aca="false">AM24</f>
        <v>602667.7</v>
      </c>
      <c r="AO22" s="279" t="n">
        <f aca="false">AN24</f>
        <v>602667.7</v>
      </c>
      <c r="AP22" s="279" t="n">
        <f aca="false">AO24</f>
        <v>602667.7</v>
      </c>
      <c r="AQ22" s="279" t="n">
        <f aca="false">AP24</f>
        <v>602667.7</v>
      </c>
      <c r="AR22" s="279" t="n">
        <f aca="false">AQ24</f>
        <v>602667.7</v>
      </c>
      <c r="AS22" s="279" t="n">
        <f aca="false">AR24</f>
        <v>602667.7</v>
      </c>
      <c r="AT22" s="279" t="n">
        <f aca="false">AS24</f>
        <v>602667.7</v>
      </c>
      <c r="AU22" s="279" t="n">
        <f aca="false">AT24</f>
        <v>602667.7</v>
      </c>
      <c r="AV22" s="279" t="n">
        <f aca="false">AU24</f>
        <v>602667.7</v>
      </c>
      <c r="AW22" s="279" t="n">
        <f aca="false">AV24</f>
        <v>602667.7</v>
      </c>
      <c r="AX22" s="279" t="n">
        <f aca="false">AW24</f>
        <v>602667.7</v>
      </c>
      <c r="AY22" s="279" t="n">
        <f aca="false">AX24</f>
        <v>602667.7</v>
      </c>
      <c r="AZ22" s="279" t="n">
        <f aca="false">AY24</f>
        <v>602667.7</v>
      </c>
      <c r="BA22" s="279" t="n">
        <f aca="false">AZ24</f>
        <v>602667.7</v>
      </c>
      <c r="BB22" s="279" t="n">
        <f aca="false">BA24</f>
        <v>0</v>
      </c>
      <c r="BC22" s="279" t="n">
        <f aca="false">BB24</f>
        <v>0</v>
      </c>
      <c r="BD22" s="279" t="n">
        <f aca="false">BC24</f>
        <v>0</v>
      </c>
      <c r="BE22" s="279" t="n">
        <f aca="false">BD24</f>
        <v>0</v>
      </c>
      <c r="BF22" s="279" t="n">
        <f aca="false">BE24</f>
        <v>0</v>
      </c>
      <c r="BG22" s="279" t="n">
        <f aca="false">BF24</f>
        <v>0</v>
      </c>
      <c r="BH22" s="279" t="n">
        <f aca="false">BG24</f>
        <v>0</v>
      </c>
      <c r="BI22" s="279" t="n">
        <f aca="false">BH24</f>
        <v>0</v>
      </c>
      <c r="BJ22" s="279" t="n">
        <f aca="false">BI24</f>
        <v>0</v>
      </c>
      <c r="BK22" s="279" t="n">
        <f aca="false">BJ24</f>
        <v>0</v>
      </c>
      <c r="BL22" s="279" t="n">
        <f aca="false">BK24</f>
        <v>0</v>
      </c>
      <c r="BM22" s="279" t="n">
        <f aca="false">BL24</f>
        <v>0</v>
      </c>
      <c r="BN22" s="279" t="n">
        <f aca="false">BM24</f>
        <v>0</v>
      </c>
      <c r="BO22" s="279" t="n">
        <f aca="false">BN24</f>
        <v>0</v>
      </c>
      <c r="BP22" s="279" t="n">
        <f aca="false">BO24</f>
        <v>0</v>
      </c>
      <c r="BQ22" s="279" t="n">
        <f aca="false">BP24</f>
        <v>0</v>
      </c>
      <c r="BR22" s="279" t="n">
        <f aca="false">BQ24</f>
        <v>0</v>
      </c>
      <c r="BS22" s="279" t="n">
        <f aca="false">BR24</f>
        <v>0</v>
      </c>
      <c r="BT22" s="279" t="n">
        <f aca="false">BS24</f>
        <v>0</v>
      </c>
      <c r="BU22" s="279" t="n">
        <f aca="false">BT24</f>
        <v>0</v>
      </c>
      <c r="BV22" s="279" t="n">
        <f aca="false">BU24</f>
        <v>0</v>
      </c>
      <c r="BW22" s="279" t="n">
        <f aca="false">BV24</f>
        <v>0</v>
      </c>
      <c r="BX22" s="279" t="n">
        <f aca="false">BW24</f>
        <v>0</v>
      </c>
      <c r="BY22" s="279" t="n">
        <f aca="false">BX24</f>
        <v>0</v>
      </c>
      <c r="BZ22" s="279" t="n">
        <f aca="false">BY24</f>
        <v>0</v>
      </c>
      <c r="CA22" s="279" t="n">
        <f aca="false">BZ24</f>
        <v>0</v>
      </c>
      <c r="CB22" s="279" t="n">
        <f aca="false">CA24</f>
        <v>0</v>
      </c>
      <c r="CC22" s="279" t="n">
        <f aca="false">CB24</f>
        <v>0</v>
      </c>
      <c r="CD22" s="279" t="n">
        <f aca="false">CC24</f>
        <v>0</v>
      </c>
      <c r="CE22" s="279" t="n">
        <f aca="false">CD24</f>
        <v>0</v>
      </c>
      <c r="CF22" s="279" t="n">
        <f aca="false">CE24</f>
        <v>0</v>
      </c>
      <c r="CG22" s="279" t="n">
        <f aca="false">CF24</f>
        <v>0</v>
      </c>
      <c r="CH22" s="279" t="n">
        <f aca="false">CG24</f>
        <v>0</v>
      </c>
      <c r="CI22" s="279" t="n">
        <f aca="false">CH24</f>
        <v>0</v>
      </c>
      <c r="CJ22" s="279" t="n">
        <f aca="false">CI24</f>
        <v>0</v>
      </c>
      <c r="CK22" s="279" t="n">
        <f aca="false">CJ24</f>
        <v>0</v>
      </c>
      <c r="CL22" s="279" t="n">
        <f aca="false">CK24</f>
        <v>0</v>
      </c>
      <c r="CM22" s="279" t="n">
        <f aca="false">CL24</f>
        <v>0</v>
      </c>
      <c r="CN22" s="279" t="n">
        <f aca="false">CM24</f>
        <v>0</v>
      </c>
      <c r="CO22" s="279" t="n">
        <f aca="false">CN24</f>
        <v>0</v>
      </c>
      <c r="CP22" s="279" t="n">
        <f aca="false">CO24</f>
        <v>0</v>
      </c>
      <c r="CQ22" s="279" t="n">
        <f aca="false">CP24</f>
        <v>0</v>
      </c>
    </row>
    <row r="23" customFormat="false" ht="15" hidden="false" customHeight="true" outlineLevel="0" collapsed="false">
      <c r="A23" s="296" t="s">
        <v>821</v>
      </c>
      <c r="C23" s="297" t="n">
        <f aca="false">MIN(C22,Model!E163)</f>
        <v>0</v>
      </c>
      <c r="D23" s="297" t="n">
        <f aca="false">MIN(D22,Model!F163)</f>
        <v>0</v>
      </c>
      <c r="E23" s="297" t="n">
        <f aca="false">MIN(E22,Model!G163)</f>
        <v>0</v>
      </c>
      <c r="F23" s="297" t="n">
        <f aca="false">MIN(F22,Model!H163)</f>
        <v>0</v>
      </c>
      <c r="G23" s="297" t="n">
        <f aca="false">MIN(G22,Model!I163)</f>
        <v>0</v>
      </c>
      <c r="H23" s="297" t="n">
        <f aca="false">MIN(H22,Model!J163)</f>
        <v>0</v>
      </c>
      <c r="I23" s="297" t="n">
        <f aca="false">MIN(I22,Model!K163)</f>
        <v>0</v>
      </c>
      <c r="J23" s="297" t="n">
        <f aca="false">MIN(J22,Model!L163)</f>
        <v>0</v>
      </c>
      <c r="K23" s="297" t="n">
        <f aca="false">MIN(K22,Model!M163)</f>
        <v>0</v>
      </c>
      <c r="L23" s="297" t="n">
        <f aca="false">MIN(L22,Model!N163)</f>
        <v>0</v>
      </c>
      <c r="M23" s="297" t="n">
        <f aca="false">MIN(M22,Model!O163)</f>
        <v>0</v>
      </c>
      <c r="N23" s="297" t="n">
        <f aca="false">MIN(N22,Model!P163)</f>
        <v>0</v>
      </c>
      <c r="O23" s="297" t="n">
        <f aca="false">MIN(O22,Model!Q163)</f>
        <v>0</v>
      </c>
      <c r="P23" s="297" t="n">
        <f aca="false">MIN(P22,Model!R163)</f>
        <v>0</v>
      </c>
      <c r="Q23" s="297" t="n">
        <f aca="false">MIN(Q22,Model!S163)</f>
        <v>0</v>
      </c>
      <c r="R23" s="297" t="n">
        <f aca="false">MIN(R22,Model!T163)</f>
        <v>0</v>
      </c>
      <c r="S23" s="297" t="n">
        <f aca="false">MIN(S22,Model!U163)</f>
        <v>0</v>
      </c>
      <c r="T23" s="297" t="n">
        <f aca="false">MIN(T22,Model!V163)</f>
        <v>0</v>
      </c>
      <c r="U23" s="297" t="n">
        <f aca="false">MIN(U22,Model!W163)</f>
        <v>0</v>
      </c>
      <c r="V23" s="297" t="n">
        <f aca="false">MIN(V22,Model!X163)</f>
        <v>0</v>
      </c>
      <c r="W23" s="297" t="n">
        <f aca="false">MIN(W22,Model!Y163)</f>
        <v>0</v>
      </c>
      <c r="X23" s="297" t="n">
        <f aca="false">MIN(X22,Model!Z163)</f>
        <v>0</v>
      </c>
      <c r="Y23" s="297" t="n">
        <f aca="false">MIN(Y22,Model!AA163)</f>
        <v>0</v>
      </c>
      <c r="Z23" s="297" t="n">
        <f aca="false">MIN(Z22,Model!AB163)</f>
        <v>0</v>
      </c>
      <c r="AA23" s="297" t="n">
        <f aca="false">MIN(AA22,Model!AC163)</f>
        <v>0</v>
      </c>
      <c r="AB23" s="297" t="n">
        <f aca="false">MIN(AB22,Model!AD163)</f>
        <v>0</v>
      </c>
      <c r="AC23" s="297" t="n">
        <f aca="false">MIN(AC22,Model!AE163)</f>
        <v>0</v>
      </c>
      <c r="AD23" s="297" t="n">
        <f aca="false">MIN(AD22,Model!AF163)</f>
        <v>0</v>
      </c>
      <c r="AE23" s="297" t="n">
        <f aca="false">MIN(AE22,Model!AG163)</f>
        <v>0</v>
      </c>
      <c r="AF23" s="297" t="n">
        <f aca="false">MIN(AF22,Model!AH163)</f>
        <v>0</v>
      </c>
      <c r="AG23" s="297" t="n">
        <f aca="false">MIN(AG22,Model!AI163)</f>
        <v>0</v>
      </c>
      <c r="AH23" s="297" t="n">
        <f aca="false">MIN(AH22,Model!AJ163)</f>
        <v>0</v>
      </c>
      <c r="AI23" s="297" t="n">
        <f aca="false">MIN(AI22,Model!AK163)</f>
        <v>0</v>
      </c>
      <c r="AJ23" s="297" t="n">
        <f aca="false">MIN(AJ22,Model!AL163)</f>
        <v>0</v>
      </c>
      <c r="AK23" s="297" t="n">
        <f aca="false">MIN(AK22,Model!AM163)</f>
        <v>0</v>
      </c>
      <c r="AL23" s="297" t="n">
        <f aca="false">MIN(AL22,Model!AN163)</f>
        <v>0</v>
      </c>
      <c r="AM23" s="297" t="n">
        <f aca="false">MIN(AM22,Model!AO163)</f>
        <v>0</v>
      </c>
      <c r="AN23" s="297" t="n">
        <f aca="false">MIN(AN22,Model!AP163)</f>
        <v>0</v>
      </c>
      <c r="AO23" s="297" t="n">
        <f aca="false">MIN(AO22,Model!AQ163)</f>
        <v>0</v>
      </c>
      <c r="AP23" s="297" t="n">
        <f aca="false">MIN(AP22,Model!AR163)</f>
        <v>0</v>
      </c>
      <c r="AQ23" s="297" t="n">
        <f aca="false">MIN(AQ22,Model!AS163)</f>
        <v>0</v>
      </c>
      <c r="AR23" s="297" t="n">
        <f aca="false">MIN(AR22,Model!AT163)</f>
        <v>0</v>
      </c>
      <c r="AS23" s="297" t="n">
        <f aca="false">MIN(AS22,Model!AU163)</f>
        <v>0</v>
      </c>
      <c r="AT23" s="297" t="n">
        <f aca="false">MIN(AT22,Model!AV163)</f>
        <v>0</v>
      </c>
      <c r="AU23" s="297" t="n">
        <f aca="false">MIN(AU22,Model!AW163)</f>
        <v>0</v>
      </c>
      <c r="AV23" s="297" t="n">
        <f aca="false">MIN(AV22,Model!AX163)</f>
        <v>0</v>
      </c>
      <c r="AW23" s="297" t="n">
        <f aca="false">MIN(AW22,Model!AY163)</f>
        <v>0</v>
      </c>
      <c r="AX23" s="297" t="n">
        <f aca="false">MIN(AX22,Model!AZ163)</f>
        <v>0</v>
      </c>
      <c r="AY23" s="297" t="n">
        <f aca="false">MIN(AY22,Model!BA163)</f>
        <v>0</v>
      </c>
      <c r="AZ23" s="297" t="n">
        <f aca="false">MIN(AZ22,Model!BB163)</f>
        <v>0</v>
      </c>
      <c r="BA23" s="297" t="n">
        <f aca="false">MIN(BA22,Model!BC163)</f>
        <v>602667.7</v>
      </c>
      <c r="BB23" s="297" t="n">
        <f aca="false">MIN(BB22,Model!BD163)</f>
        <v>0</v>
      </c>
      <c r="BC23" s="297" t="n">
        <f aca="false">MIN(BC22,Model!BE163)</f>
        <v>0</v>
      </c>
      <c r="BD23" s="297" t="n">
        <f aca="false">MIN(BD22,Model!BF163)</f>
        <v>0</v>
      </c>
      <c r="BE23" s="297" t="n">
        <f aca="false">MIN(BE22,Model!BG163)</f>
        <v>0</v>
      </c>
      <c r="BF23" s="297" t="n">
        <f aca="false">MIN(BF22,Model!BH163)</f>
        <v>0</v>
      </c>
      <c r="BG23" s="297" t="n">
        <f aca="false">MIN(BG22,Model!BI163)</f>
        <v>0</v>
      </c>
      <c r="BH23" s="297" t="n">
        <f aca="false">MIN(BH22,Model!BJ163)</f>
        <v>0</v>
      </c>
      <c r="BI23" s="297" t="n">
        <f aca="false">MIN(BI22,Model!BK163)</f>
        <v>0</v>
      </c>
      <c r="BJ23" s="297" t="n">
        <f aca="false">MIN(BJ22,Model!BL163)</f>
        <v>0</v>
      </c>
      <c r="BK23" s="297" t="n">
        <f aca="false">MIN(BK22,Model!BM163)</f>
        <v>0</v>
      </c>
      <c r="BL23" s="297" t="n">
        <f aca="false">MIN(BL22,Model!BN163)</f>
        <v>0</v>
      </c>
      <c r="BM23" s="297" t="n">
        <f aca="false">MIN(BM22,Model!BO163)</f>
        <v>0</v>
      </c>
      <c r="BN23" s="297" t="n">
        <f aca="false">MIN(BN22,Model!BP163)</f>
        <v>0</v>
      </c>
      <c r="BO23" s="297" t="n">
        <f aca="false">MIN(BO22,Model!BQ163)</f>
        <v>0</v>
      </c>
      <c r="BP23" s="297" t="n">
        <f aca="false">MIN(BP22,Model!BR163)</f>
        <v>0</v>
      </c>
      <c r="BQ23" s="297" t="n">
        <f aca="false">MIN(BQ22,Model!BS163)</f>
        <v>0</v>
      </c>
      <c r="BR23" s="297" t="n">
        <f aca="false">MIN(BR22,Model!BT163)</f>
        <v>0</v>
      </c>
      <c r="BS23" s="297" t="n">
        <f aca="false">MIN(BS22,Model!BU163)</f>
        <v>0</v>
      </c>
      <c r="BT23" s="297" t="n">
        <f aca="false">MIN(BT22,Model!BV163)</f>
        <v>0</v>
      </c>
      <c r="BU23" s="297" t="n">
        <f aca="false">MIN(BU22,Model!BW163)</f>
        <v>0</v>
      </c>
      <c r="BV23" s="297" t="n">
        <f aca="false">MIN(BV22,Model!BX163)</f>
        <v>0</v>
      </c>
      <c r="BW23" s="297" t="n">
        <f aca="false">MIN(BW22,Model!BY163)</f>
        <v>0</v>
      </c>
      <c r="BX23" s="297" t="n">
        <f aca="false">MIN(BX22,Model!BZ163)</f>
        <v>0</v>
      </c>
      <c r="BY23" s="297" t="n">
        <f aca="false">MIN(BY22,Model!CA163)</f>
        <v>0</v>
      </c>
      <c r="BZ23" s="297" t="n">
        <f aca="false">MIN(BZ22,Model!CB163)</f>
        <v>0</v>
      </c>
      <c r="CA23" s="297" t="n">
        <f aca="false">MIN(CA22,Model!CC163)</f>
        <v>0</v>
      </c>
      <c r="CB23" s="297" t="n">
        <f aca="false">MIN(CB22,Model!CD163)</f>
        <v>0</v>
      </c>
      <c r="CC23" s="297" t="n">
        <f aca="false">MIN(CC22,Model!CE163)</f>
        <v>0</v>
      </c>
      <c r="CD23" s="297" t="n">
        <f aca="false">MIN(CD22,Model!CF163)</f>
        <v>0</v>
      </c>
      <c r="CE23" s="297" t="n">
        <f aca="false">MIN(CE22,Model!CG163)</f>
        <v>0</v>
      </c>
      <c r="CF23" s="297" t="n">
        <f aca="false">MIN(CF22,Model!CH163)</f>
        <v>0</v>
      </c>
      <c r="CG23" s="297" t="n">
        <f aca="false">MIN(CG22,Model!CI163)</f>
        <v>0</v>
      </c>
      <c r="CH23" s="297" t="n">
        <f aca="false">MIN(CH22,Model!CJ163)</f>
        <v>0</v>
      </c>
      <c r="CI23" s="297" t="n">
        <f aca="false">MIN(CI22,Model!CK163)</f>
        <v>0</v>
      </c>
      <c r="CJ23" s="297" t="n">
        <f aca="false">MIN(CJ22,Model!CL163)</f>
        <v>0</v>
      </c>
      <c r="CK23" s="297" t="n">
        <f aca="false">MIN(CK22,Model!CM163)</f>
        <v>0</v>
      </c>
      <c r="CL23" s="297" t="n">
        <f aca="false">MIN(CL22,Model!CN163)</f>
        <v>0</v>
      </c>
      <c r="CM23" s="297" t="n">
        <f aca="false">MIN(CM22,Model!CO163)</f>
        <v>0</v>
      </c>
      <c r="CN23" s="297" t="n">
        <f aca="false">MIN(CN22,Model!CP163)</f>
        <v>0</v>
      </c>
      <c r="CO23" s="297" t="n">
        <f aca="false">MIN(CO22,Model!CQ163)</f>
        <v>0</v>
      </c>
      <c r="CP23" s="297" t="n">
        <f aca="false">MIN(CP22,Model!CR163)</f>
        <v>0</v>
      </c>
      <c r="CQ23" s="297" t="n">
        <f aca="false">MIN(CQ22,Model!CS163)</f>
        <v>0</v>
      </c>
    </row>
    <row r="24" customFormat="false" ht="15" hidden="false" customHeight="true" outlineLevel="0" collapsed="false">
      <c r="A24" s="121" t="s">
        <v>822</v>
      </c>
      <c r="C24" s="295" t="n">
        <f aca="false">MAX(0,C22-C23)</f>
        <v>602667.7</v>
      </c>
      <c r="D24" s="295" t="n">
        <f aca="false">MAX(0,D22-D23)</f>
        <v>602667.7</v>
      </c>
      <c r="E24" s="295" t="n">
        <f aca="false">MAX(0,E22-E23)</f>
        <v>602667.7</v>
      </c>
      <c r="F24" s="295" t="n">
        <f aca="false">MAX(0,F22-F23)</f>
        <v>602667.7</v>
      </c>
      <c r="G24" s="295" t="n">
        <f aca="false">MAX(0,G22-G23)</f>
        <v>602667.7</v>
      </c>
      <c r="H24" s="295" t="n">
        <f aca="false">MAX(0,H22-H23)</f>
        <v>602667.7</v>
      </c>
      <c r="I24" s="295" t="n">
        <f aca="false">MAX(0,I22-I23)</f>
        <v>602667.7</v>
      </c>
      <c r="J24" s="295" t="n">
        <f aca="false">MAX(0,J22-J23)</f>
        <v>602667.7</v>
      </c>
      <c r="K24" s="295" t="n">
        <f aca="false">MAX(0,K22-K23)</f>
        <v>602667.7</v>
      </c>
      <c r="L24" s="295" t="n">
        <f aca="false">MAX(0,L22-L23)</f>
        <v>602667.7</v>
      </c>
      <c r="M24" s="295" t="n">
        <f aca="false">MAX(0,M22-M23)</f>
        <v>602667.7</v>
      </c>
      <c r="N24" s="295" t="n">
        <f aca="false">MAX(0,N22-N23)</f>
        <v>602667.7</v>
      </c>
      <c r="O24" s="295" t="n">
        <f aca="false">MAX(0,O22-O23)</f>
        <v>602667.7</v>
      </c>
      <c r="P24" s="295" t="n">
        <f aca="false">MAX(0,P22-P23)</f>
        <v>602667.7</v>
      </c>
      <c r="Q24" s="295" t="n">
        <f aca="false">MAX(0,Q22-Q23)</f>
        <v>602667.7</v>
      </c>
      <c r="R24" s="295" t="n">
        <f aca="false">MAX(0,R22-R23)</f>
        <v>602667.7</v>
      </c>
      <c r="S24" s="295" t="n">
        <f aca="false">MAX(0,S22-S23)</f>
        <v>602667.7</v>
      </c>
      <c r="T24" s="295" t="n">
        <f aca="false">MAX(0,T22-T23)</f>
        <v>602667.7</v>
      </c>
      <c r="U24" s="295" t="n">
        <f aca="false">MAX(0,U22-U23)</f>
        <v>602667.7</v>
      </c>
      <c r="V24" s="295" t="n">
        <f aca="false">MAX(0,V22-V23)</f>
        <v>602667.7</v>
      </c>
      <c r="W24" s="295" t="n">
        <f aca="false">MAX(0,W22-W23)</f>
        <v>602667.7</v>
      </c>
      <c r="X24" s="295" t="n">
        <f aca="false">MAX(0,X22-X23)</f>
        <v>602667.7</v>
      </c>
      <c r="Y24" s="295" t="n">
        <f aca="false">MAX(0,Y22-Y23)</f>
        <v>602667.7</v>
      </c>
      <c r="Z24" s="295" t="n">
        <f aca="false">MAX(0,Z22-Z23)</f>
        <v>602667.7</v>
      </c>
      <c r="AA24" s="295" t="n">
        <f aca="false">MAX(0,AA22-AA23)</f>
        <v>602667.7</v>
      </c>
      <c r="AB24" s="295" t="n">
        <f aca="false">MAX(0,AB22-AB23)</f>
        <v>602667.7</v>
      </c>
      <c r="AC24" s="295" t="n">
        <f aca="false">MAX(0,AC22-AC23)</f>
        <v>602667.7</v>
      </c>
      <c r="AD24" s="295" t="n">
        <f aca="false">MAX(0,AD22-AD23)</f>
        <v>602667.7</v>
      </c>
      <c r="AE24" s="295" t="n">
        <f aca="false">MAX(0,AE22-AE23)</f>
        <v>602667.7</v>
      </c>
      <c r="AF24" s="295" t="n">
        <f aca="false">MAX(0,AF22-AF23)</f>
        <v>602667.7</v>
      </c>
      <c r="AG24" s="295" t="n">
        <f aca="false">MAX(0,AG22-AG23)</f>
        <v>602667.7</v>
      </c>
      <c r="AH24" s="295" t="n">
        <f aca="false">MAX(0,AH22-AH23)</f>
        <v>602667.7</v>
      </c>
      <c r="AI24" s="295" t="n">
        <f aca="false">MAX(0,AI22-AI23)</f>
        <v>602667.7</v>
      </c>
      <c r="AJ24" s="295" t="n">
        <f aca="false">MAX(0,AJ22-AJ23)</f>
        <v>602667.7</v>
      </c>
      <c r="AK24" s="295" t="n">
        <f aca="false">MAX(0,AK22-AK23)</f>
        <v>602667.7</v>
      </c>
      <c r="AL24" s="295" t="n">
        <f aca="false">MAX(0,AL22-AL23)</f>
        <v>602667.7</v>
      </c>
      <c r="AM24" s="295" t="n">
        <f aca="false">MAX(0,AM22-AM23)</f>
        <v>602667.7</v>
      </c>
      <c r="AN24" s="295" t="n">
        <f aca="false">MAX(0,AN22-AN23)</f>
        <v>602667.7</v>
      </c>
      <c r="AO24" s="295" t="n">
        <f aca="false">MAX(0,AO22-AO23)</f>
        <v>602667.7</v>
      </c>
      <c r="AP24" s="295" t="n">
        <f aca="false">MAX(0,AP22-AP23)</f>
        <v>602667.7</v>
      </c>
      <c r="AQ24" s="295" t="n">
        <f aca="false">MAX(0,AQ22-AQ23)</f>
        <v>602667.7</v>
      </c>
      <c r="AR24" s="295" t="n">
        <f aca="false">MAX(0,AR22-AR23)</f>
        <v>602667.7</v>
      </c>
      <c r="AS24" s="295" t="n">
        <f aca="false">MAX(0,AS22-AS23)</f>
        <v>602667.7</v>
      </c>
      <c r="AT24" s="295" t="n">
        <f aca="false">MAX(0,AT22-AT23)</f>
        <v>602667.7</v>
      </c>
      <c r="AU24" s="295" t="n">
        <f aca="false">MAX(0,AU22-AU23)</f>
        <v>602667.7</v>
      </c>
      <c r="AV24" s="295" t="n">
        <f aca="false">MAX(0,AV22-AV23)</f>
        <v>602667.7</v>
      </c>
      <c r="AW24" s="295" t="n">
        <f aca="false">MAX(0,AW22-AW23)</f>
        <v>602667.7</v>
      </c>
      <c r="AX24" s="295" t="n">
        <f aca="false">MAX(0,AX22-AX23)</f>
        <v>602667.7</v>
      </c>
      <c r="AY24" s="295" t="n">
        <f aca="false">MAX(0,AY22-AY23)</f>
        <v>602667.7</v>
      </c>
      <c r="AZ24" s="295" t="n">
        <f aca="false">MAX(0,AZ22-AZ23)</f>
        <v>602667.7</v>
      </c>
      <c r="BA24" s="295" t="n">
        <f aca="false">MAX(0,BA22-BA23)</f>
        <v>0</v>
      </c>
      <c r="BB24" s="295" t="n">
        <f aca="false">MAX(0,BB22-BB23)</f>
        <v>0</v>
      </c>
      <c r="BC24" s="295" t="n">
        <f aca="false">MAX(0,BC22-BC23)</f>
        <v>0</v>
      </c>
      <c r="BD24" s="295" t="n">
        <f aca="false">MAX(0,BD22-BD23)</f>
        <v>0</v>
      </c>
      <c r="BE24" s="295" t="n">
        <f aca="false">MAX(0,BE22-BE23)</f>
        <v>0</v>
      </c>
      <c r="BF24" s="295" t="n">
        <f aca="false">MAX(0,BF22-BF23)</f>
        <v>0</v>
      </c>
      <c r="BG24" s="295" t="n">
        <f aca="false">MAX(0,BG22-BG23)</f>
        <v>0</v>
      </c>
      <c r="BH24" s="295" t="n">
        <f aca="false">MAX(0,BH22-BH23)</f>
        <v>0</v>
      </c>
      <c r="BI24" s="295" t="n">
        <f aca="false">MAX(0,BI22-BI23)</f>
        <v>0</v>
      </c>
      <c r="BJ24" s="295" t="n">
        <f aca="false">MAX(0,BJ22-BJ23)</f>
        <v>0</v>
      </c>
      <c r="BK24" s="295" t="n">
        <f aca="false">MAX(0,BK22-BK23)</f>
        <v>0</v>
      </c>
      <c r="BL24" s="295" t="n">
        <f aca="false">MAX(0,BL22-BL23)</f>
        <v>0</v>
      </c>
      <c r="BM24" s="295" t="n">
        <f aca="false">MAX(0,BM22-BM23)</f>
        <v>0</v>
      </c>
      <c r="BN24" s="295" t="n">
        <f aca="false">MAX(0,BN22-BN23)</f>
        <v>0</v>
      </c>
      <c r="BO24" s="295" t="n">
        <f aca="false">MAX(0,BO22-BO23)</f>
        <v>0</v>
      </c>
      <c r="BP24" s="295" t="n">
        <f aca="false">MAX(0,BP22-BP23)</f>
        <v>0</v>
      </c>
      <c r="BQ24" s="295" t="n">
        <f aca="false">MAX(0,BQ22-BQ23)</f>
        <v>0</v>
      </c>
      <c r="BR24" s="295" t="n">
        <f aca="false">MAX(0,BR22-BR23)</f>
        <v>0</v>
      </c>
      <c r="BS24" s="295" t="n">
        <f aca="false">MAX(0,BS22-BS23)</f>
        <v>0</v>
      </c>
      <c r="BT24" s="295" t="n">
        <f aca="false">MAX(0,BT22-BT23)</f>
        <v>0</v>
      </c>
      <c r="BU24" s="295" t="n">
        <f aca="false">MAX(0,BU22-BU23)</f>
        <v>0</v>
      </c>
      <c r="BV24" s="295" t="n">
        <f aca="false">MAX(0,BV22-BV23)</f>
        <v>0</v>
      </c>
      <c r="BW24" s="295" t="n">
        <f aca="false">MAX(0,BW22-BW23)</f>
        <v>0</v>
      </c>
      <c r="BX24" s="295" t="n">
        <f aca="false">MAX(0,BX22-BX23)</f>
        <v>0</v>
      </c>
      <c r="BY24" s="295" t="n">
        <f aca="false">MAX(0,BY22-BY23)</f>
        <v>0</v>
      </c>
      <c r="BZ24" s="295" t="n">
        <f aca="false">MAX(0,BZ22-BZ23)</f>
        <v>0</v>
      </c>
      <c r="CA24" s="295" t="n">
        <f aca="false">MAX(0,CA22-CA23)</f>
        <v>0</v>
      </c>
      <c r="CB24" s="295" t="n">
        <f aca="false">MAX(0,CB22-CB23)</f>
        <v>0</v>
      </c>
      <c r="CC24" s="295" t="n">
        <f aca="false">MAX(0,CC22-CC23)</f>
        <v>0</v>
      </c>
      <c r="CD24" s="295" t="n">
        <f aca="false">MAX(0,CD22-CD23)</f>
        <v>0</v>
      </c>
      <c r="CE24" s="295" t="n">
        <f aca="false">MAX(0,CE22-CE23)</f>
        <v>0</v>
      </c>
      <c r="CF24" s="295" t="n">
        <f aca="false">MAX(0,CF22-CF23)</f>
        <v>0</v>
      </c>
      <c r="CG24" s="295" t="n">
        <f aca="false">MAX(0,CG22-CG23)</f>
        <v>0</v>
      </c>
      <c r="CH24" s="295" t="n">
        <f aca="false">MAX(0,CH22-CH23)</f>
        <v>0</v>
      </c>
      <c r="CI24" s="295" t="n">
        <f aca="false">MAX(0,CI22-CI23)</f>
        <v>0</v>
      </c>
      <c r="CJ24" s="295" t="n">
        <f aca="false">MAX(0,CJ22-CJ23)</f>
        <v>0</v>
      </c>
      <c r="CK24" s="295" t="n">
        <f aca="false">MAX(0,CK22-CK23)</f>
        <v>0</v>
      </c>
      <c r="CL24" s="295" t="n">
        <f aca="false">MAX(0,CL22-CL23)</f>
        <v>0</v>
      </c>
      <c r="CM24" s="295" t="n">
        <f aca="false">MAX(0,CM22-CM23)</f>
        <v>0</v>
      </c>
      <c r="CN24" s="295" t="n">
        <f aca="false">MAX(0,CN22-CN23)</f>
        <v>0</v>
      </c>
      <c r="CO24" s="295" t="n">
        <f aca="false">MAX(0,CO22-CO23)</f>
        <v>0</v>
      </c>
      <c r="CP24" s="295" t="n">
        <f aca="false">MAX(0,CP22-CP23)</f>
        <v>0</v>
      </c>
      <c r="CQ24" s="295" t="n">
        <f aca="false">MAX(0,CQ22-CQ23)</f>
        <v>0</v>
      </c>
    </row>
    <row r="25" customFormat="false" ht="15" hidden="false" customHeight="true" outlineLevel="0" collapsed="false">
      <c r="A25" s="3" t="s">
        <v>823</v>
      </c>
      <c r="B25" s="3" t="s">
        <v>824</v>
      </c>
      <c r="C25" s="298" t="n">
        <f aca="false">IF(Projects!$G$14="Yes",Projects!$B$14*Assumptions!$B$47+Assumptions!$B$55*Assumptions!$B$48,0)</f>
        <v>563546.32</v>
      </c>
      <c r="D25" s="3" t="n">
        <f aca="false">C27</f>
        <v>563546.32</v>
      </c>
      <c r="E25" s="3" t="n">
        <f aca="false">D27</f>
        <v>563546.32</v>
      </c>
      <c r="F25" s="3" t="n">
        <f aca="false">E27</f>
        <v>563546.32</v>
      </c>
      <c r="G25" s="3" t="n">
        <f aca="false">F27</f>
        <v>563546.32</v>
      </c>
      <c r="H25" s="3" t="n">
        <f aca="false">G27</f>
        <v>563546.32</v>
      </c>
      <c r="I25" s="3" t="n">
        <f aca="false">H27</f>
        <v>563546.32</v>
      </c>
      <c r="J25" s="3" t="n">
        <f aca="false">I27</f>
        <v>563546.32</v>
      </c>
      <c r="K25" s="3" t="n">
        <f aca="false">J27</f>
        <v>563546.32</v>
      </c>
      <c r="L25" s="3" t="n">
        <f aca="false">K27</f>
        <v>563546.32</v>
      </c>
      <c r="M25" s="3" t="n">
        <f aca="false">L27</f>
        <v>563546.32</v>
      </c>
      <c r="N25" s="3" t="n">
        <f aca="false">M27</f>
        <v>563546.32</v>
      </c>
      <c r="O25" s="3" t="n">
        <f aca="false">N27</f>
        <v>563546.32</v>
      </c>
      <c r="P25" s="3" t="n">
        <f aca="false">O27</f>
        <v>563546.32</v>
      </c>
      <c r="Q25" s="3" t="n">
        <f aca="false">P27</f>
        <v>563546.32</v>
      </c>
      <c r="R25" s="3" t="n">
        <f aca="false">Q27</f>
        <v>563546.32</v>
      </c>
      <c r="S25" s="3" t="n">
        <f aca="false">R27</f>
        <v>563546.32</v>
      </c>
      <c r="T25" s="3" t="n">
        <f aca="false">S27</f>
        <v>563546.32</v>
      </c>
      <c r="U25" s="3" t="n">
        <f aca="false">T27</f>
        <v>563546.32</v>
      </c>
      <c r="V25" s="3" t="n">
        <f aca="false">U27</f>
        <v>563546.32</v>
      </c>
      <c r="W25" s="3" t="n">
        <f aca="false">V27</f>
        <v>563546.32</v>
      </c>
      <c r="X25" s="3" t="n">
        <f aca="false">W27</f>
        <v>563546.32</v>
      </c>
      <c r="Y25" s="3" t="n">
        <f aca="false">X27</f>
        <v>563546.32</v>
      </c>
      <c r="Z25" s="3" t="n">
        <f aca="false">Y27</f>
        <v>563546.32</v>
      </c>
      <c r="AA25" s="3" t="n">
        <f aca="false">Z27</f>
        <v>563546.32</v>
      </c>
      <c r="AB25" s="3" t="n">
        <f aca="false">AA27</f>
        <v>563546.32</v>
      </c>
      <c r="AC25" s="3" t="n">
        <f aca="false">AB27</f>
        <v>563546.32</v>
      </c>
      <c r="AD25" s="3" t="n">
        <f aca="false">AC27</f>
        <v>563546.32</v>
      </c>
      <c r="AE25" s="3" t="n">
        <f aca="false">AD27</f>
        <v>563546.32</v>
      </c>
      <c r="AF25" s="3" t="n">
        <f aca="false">AE27</f>
        <v>563546.32</v>
      </c>
      <c r="AG25" s="3" t="n">
        <f aca="false">AF27</f>
        <v>563546.32</v>
      </c>
      <c r="AH25" s="3" t="n">
        <f aca="false">AG27</f>
        <v>563546.32</v>
      </c>
      <c r="AI25" s="3" t="n">
        <f aca="false">AH27</f>
        <v>563546.32</v>
      </c>
      <c r="AJ25" s="3" t="n">
        <f aca="false">AI27</f>
        <v>563546.32</v>
      </c>
      <c r="AK25" s="3" t="n">
        <f aca="false">AJ27</f>
        <v>563546.32</v>
      </c>
      <c r="AL25" s="3" t="n">
        <f aca="false">AK27</f>
        <v>563546.32</v>
      </c>
      <c r="AM25" s="3" t="n">
        <f aca="false">AL27</f>
        <v>563546.32</v>
      </c>
      <c r="AN25" s="3" t="n">
        <f aca="false">AM27</f>
        <v>563546.32</v>
      </c>
      <c r="AO25" s="3" t="n">
        <f aca="false">AN27</f>
        <v>563546.32</v>
      </c>
      <c r="AP25" s="3" t="n">
        <f aca="false">AO27</f>
        <v>563546.32</v>
      </c>
      <c r="AQ25" s="3" t="n">
        <f aca="false">AP27</f>
        <v>563546.32</v>
      </c>
      <c r="AR25" s="3" t="n">
        <f aca="false">AQ27</f>
        <v>563546.32</v>
      </c>
      <c r="AS25" s="3" t="n">
        <f aca="false">AR27</f>
        <v>563546.32</v>
      </c>
      <c r="AT25" s="3" t="n">
        <f aca="false">AS27</f>
        <v>563546.32</v>
      </c>
      <c r="AU25" s="3" t="n">
        <f aca="false">AT27</f>
        <v>563546.32</v>
      </c>
      <c r="AV25" s="3" t="n">
        <f aca="false">AU27</f>
        <v>563546.32</v>
      </c>
      <c r="AW25" s="3" t="n">
        <f aca="false">AV27</f>
        <v>563546.32</v>
      </c>
      <c r="AX25" s="3" t="n">
        <f aca="false">AW27</f>
        <v>563546.32</v>
      </c>
      <c r="AY25" s="3" t="n">
        <f aca="false">AX27</f>
        <v>563546.32</v>
      </c>
      <c r="AZ25" s="3" t="n">
        <f aca="false">AY27</f>
        <v>563546.32</v>
      </c>
      <c r="BA25" s="3" t="n">
        <f aca="false">AZ27</f>
        <v>563546.32</v>
      </c>
      <c r="BB25" s="3" t="n">
        <f aca="false">BA27</f>
        <v>563546.32</v>
      </c>
      <c r="BC25" s="3" t="n">
        <f aca="false">BB27</f>
        <v>563546.32</v>
      </c>
      <c r="BD25" s="3" t="n">
        <f aca="false">BC27</f>
        <v>563546.32</v>
      </c>
      <c r="BE25" s="3" t="n">
        <f aca="false">BD27</f>
        <v>563546.32</v>
      </c>
      <c r="BF25" s="3" t="n">
        <f aca="false">BE27</f>
        <v>563546.32</v>
      </c>
      <c r="BG25" s="3" t="n">
        <f aca="false">BF27</f>
        <v>563546.32</v>
      </c>
      <c r="BH25" s="3" t="n">
        <f aca="false">BG27</f>
        <v>563546.32</v>
      </c>
      <c r="BI25" s="3" t="n">
        <f aca="false">BH27</f>
        <v>563546.32</v>
      </c>
      <c r="BJ25" s="3" t="n">
        <f aca="false">BI27</f>
        <v>563546.32</v>
      </c>
      <c r="BK25" s="3" t="n">
        <f aca="false">BJ27</f>
        <v>563546.32</v>
      </c>
      <c r="BL25" s="3" t="n">
        <f aca="false">BK27</f>
        <v>563546.32</v>
      </c>
      <c r="BM25" s="3" t="n">
        <f aca="false">BL27</f>
        <v>563546.32</v>
      </c>
      <c r="BN25" s="3" t="n">
        <f aca="false">BM27</f>
        <v>563546.32</v>
      </c>
      <c r="BO25" s="3" t="n">
        <f aca="false">BN27</f>
        <v>563546.32</v>
      </c>
      <c r="BP25" s="3" t="n">
        <f aca="false">BO27</f>
        <v>563546.32</v>
      </c>
      <c r="BQ25" s="3" t="n">
        <f aca="false">BP27</f>
        <v>563546.32</v>
      </c>
      <c r="BR25" s="3" t="n">
        <f aca="false">BQ27</f>
        <v>563546.32</v>
      </c>
      <c r="BS25" s="3" t="n">
        <f aca="false">BR27</f>
        <v>563546.32</v>
      </c>
      <c r="BT25" s="3" t="n">
        <f aca="false">BS27</f>
        <v>563546.32</v>
      </c>
      <c r="BU25" s="3" t="n">
        <f aca="false">BT27</f>
        <v>563546.32</v>
      </c>
      <c r="BV25" s="3" t="n">
        <f aca="false">BU27</f>
        <v>563546.32</v>
      </c>
      <c r="BW25" s="3" t="n">
        <f aca="false">BV27</f>
        <v>563546.32</v>
      </c>
      <c r="BX25" s="3" t="n">
        <f aca="false">BW27</f>
        <v>563546.32</v>
      </c>
      <c r="BY25" s="3" t="n">
        <f aca="false">BX27</f>
        <v>563546.32</v>
      </c>
      <c r="BZ25" s="3" t="n">
        <f aca="false">BY27</f>
        <v>490390.32</v>
      </c>
      <c r="CA25" s="3" t="n">
        <f aca="false">BZ27</f>
        <v>490390.32</v>
      </c>
      <c r="CB25" s="3" t="n">
        <f aca="false">CA27</f>
        <v>490390.32</v>
      </c>
      <c r="CC25" s="3" t="n">
        <f aca="false">CB27</f>
        <v>417235.32</v>
      </c>
      <c r="CD25" s="3" t="n">
        <f aca="false">CC27</f>
        <v>417235.32</v>
      </c>
      <c r="CE25" s="3" t="n">
        <f aca="false">CD27</f>
        <v>417235.32</v>
      </c>
      <c r="CF25" s="3" t="n">
        <f aca="false">CE27</f>
        <v>344080.32</v>
      </c>
      <c r="CG25" s="3" t="n">
        <f aca="false">CF27</f>
        <v>344080.32</v>
      </c>
      <c r="CH25" s="3" t="n">
        <f aca="false">CG27</f>
        <v>344080.32</v>
      </c>
      <c r="CI25" s="3" t="n">
        <f aca="false">CH27</f>
        <v>270925.32</v>
      </c>
      <c r="CJ25" s="3" t="n">
        <f aca="false">CI27</f>
        <v>197770.32</v>
      </c>
      <c r="CK25" s="3" t="n">
        <f aca="false">CJ27</f>
        <v>124615.32</v>
      </c>
      <c r="CL25" s="3" t="n">
        <f aca="false">CK27</f>
        <v>51460.3200000001</v>
      </c>
      <c r="CM25" s="3" t="n">
        <f aca="false">CL27</f>
        <v>0</v>
      </c>
      <c r="CN25" s="3" t="n">
        <f aca="false">CM27</f>
        <v>0</v>
      </c>
      <c r="CO25" s="3" t="n">
        <f aca="false">CN27</f>
        <v>0</v>
      </c>
      <c r="CP25" s="3" t="n">
        <f aca="false">CO27</f>
        <v>0</v>
      </c>
      <c r="CQ25" s="3" t="n">
        <f aca="false">CP27</f>
        <v>0</v>
      </c>
    </row>
    <row r="26" customFormat="false" ht="15" hidden="false" customHeight="true" outlineLevel="0" collapsed="false">
      <c r="B26" s="3" t="s">
        <v>825</v>
      </c>
      <c r="C26" s="298" t="n">
        <f aca="false">MIN(C25,Model!E164)</f>
        <v>0</v>
      </c>
      <c r="D26" s="3" t="n">
        <f aca="false">MIN(D25,Model!F164)</f>
        <v>0</v>
      </c>
      <c r="E26" s="3" t="n">
        <f aca="false">MIN(E25,Model!G164)</f>
        <v>0</v>
      </c>
      <c r="F26" s="3" t="n">
        <f aca="false">MIN(F25,Model!H164)</f>
        <v>0</v>
      </c>
      <c r="G26" s="3" t="n">
        <f aca="false">MIN(G25,Model!I164)</f>
        <v>0</v>
      </c>
      <c r="H26" s="3" t="n">
        <f aca="false">MIN(H25,Model!J164)</f>
        <v>0</v>
      </c>
      <c r="I26" s="3" t="n">
        <f aca="false">MIN(I25,Model!K164)</f>
        <v>0</v>
      </c>
      <c r="J26" s="3" t="n">
        <f aca="false">MIN(J25,Model!L164)</f>
        <v>0</v>
      </c>
      <c r="K26" s="3" t="n">
        <f aca="false">MIN(K25,Model!M164)</f>
        <v>0</v>
      </c>
      <c r="L26" s="3" t="n">
        <f aca="false">MIN(L25,Model!N164)</f>
        <v>0</v>
      </c>
      <c r="M26" s="3" t="n">
        <f aca="false">MIN(M25,Model!O164)</f>
        <v>0</v>
      </c>
      <c r="N26" s="3" t="n">
        <f aca="false">MIN(N25,Model!P164)</f>
        <v>0</v>
      </c>
      <c r="O26" s="3" t="n">
        <f aca="false">MIN(O25,Model!Q164)</f>
        <v>0</v>
      </c>
      <c r="P26" s="3" t="n">
        <f aca="false">MIN(P25,Model!R164)</f>
        <v>0</v>
      </c>
      <c r="Q26" s="3" t="n">
        <f aca="false">MIN(Q25,Model!S164)</f>
        <v>0</v>
      </c>
      <c r="R26" s="3" t="n">
        <f aca="false">MIN(R25,Model!T164)</f>
        <v>0</v>
      </c>
      <c r="S26" s="3" t="n">
        <f aca="false">MIN(S25,Model!U164)</f>
        <v>0</v>
      </c>
      <c r="T26" s="3" t="n">
        <f aca="false">MIN(T25,Model!V164)</f>
        <v>0</v>
      </c>
      <c r="U26" s="3" t="n">
        <f aca="false">MIN(U25,Model!W164)</f>
        <v>0</v>
      </c>
      <c r="V26" s="3" t="n">
        <f aca="false">MIN(V25,Model!X164)</f>
        <v>0</v>
      </c>
      <c r="W26" s="3" t="n">
        <f aca="false">MIN(W25,Model!Y164)</f>
        <v>0</v>
      </c>
      <c r="X26" s="3" t="n">
        <f aca="false">MIN(X25,Model!Z164)</f>
        <v>0</v>
      </c>
      <c r="Y26" s="3" t="n">
        <f aca="false">MIN(Y25,Model!AA164)</f>
        <v>0</v>
      </c>
      <c r="Z26" s="3" t="n">
        <f aca="false">MIN(Z25,Model!AB164)</f>
        <v>0</v>
      </c>
      <c r="AA26" s="3" t="n">
        <f aca="false">MIN(AA25,Model!AC164)</f>
        <v>0</v>
      </c>
      <c r="AB26" s="3" t="n">
        <f aca="false">MIN(AB25,Model!AD164)</f>
        <v>0</v>
      </c>
      <c r="AC26" s="3" t="n">
        <f aca="false">MIN(AC25,Model!AE164)</f>
        <v>0</v>
      </c>
      <c r="AD26" s="3" t="n">
        <f aca="false">MIN(AD25,Model!AF164)</f>
        <v>0</v>
      </c>
      <c r="AE26" s="3" t="n">
        <f aca="false">MIN(AE25,Model!AG164)</f>
        <v>0</v>
      </c>
      <c r="AF26" s="3" t="n">
        <f aca="false">MIN(AF25,Model!AH164)</f>
        <v>0</v>
      </c>
      <c r="AG26" s="3" t="n">
        <f aca="false">MIN(AG25,Model!AI164)</f>
        <v>0</v>
      </c>
      <c r="AH26" s="3" t="n">
        <f aca="false">MIN(AH25,Model!AJ164)</f>
        <v>0</v>
      </c>
      <c r="AI26" s="3" t="n">
        <f aca="false">MIN(AI25,Model!AK164)</f>
        <v>0</v>
      </c>
      <c r="AJ26" s="3" t="n">
        <f aca="false">MIN(AJ25,Model!AL164)</f>
        <v>0</v>
      </c>
      <c r="AK26" s="3" t="n">
        <f aca="false">MIN(AK25,Model!AM164)</f>
        <v>0</v>
      </c>
      <c r="AL26" s="3" t="n">
        <f aca="false">MIN(AL25,Model!AN164)</f>
        <v>0</v>
      </c>
      <c r="AM26" s="3" t="n">
        <f aca="false">MIN(AM25,Model!AO164)</f>
        <v>0</v>
      </c>
      <c r="AN26" s="3" t="n">
        <f aca="false">MIN(AN25,Model!AP164)</f>
        <v>0</v>
      </c>
      <c r="AO26" s="3" t="n">
        <f aca="false">MIN(AO25,Model!AQ164)</f>
        <v>0</v>
      </c>
      <c r="AP26" s="3" t="n">
        <f aca="false">MIN(AP25,Model!AR164)</f>
        <v>0</v>
      </c>
      <c r="AQ26" s="3" t="n">
        <f aca="false">MIN(AQ25,Model!AS164)</f>
        <v>0</v>
      </c>
      <c r="AR26" s="3" t="n">
        <f aca="false">MIN(AR25,Model!AT164)</f>
        <v>0</v>
      </c>
      <c r="AS26" s="3" t="n">
        <f aca="false">MIN(AS25,Model!AU164)</f>
        <v>0</v>
      </c>
      <c r="AT26" s="3" t="n">
        <f aca="false">MIN(AT25,Model!AV164)</f>
        <v>0</v>
      </c>
      <c r="AU26" s="3" t="n">
        <f aca="false">MIN(AU25,Model!AW164)</f>
        <v>0</v>
      </c>
      <c r="AV26" s="3" t="n">
        <f aca="false">MIN(AV25,Model!AX164)</f>
        <v>0</v>
      </c>
      <c r="AW26" s="3" t="n">
        <f aca="false">MIN(AW25,Model!AY164)</f>
        <v>0</v>
      </c>
      <c r="AX26" s="3" t="n">
        <f aca="false">MIN(AX25,Model!AZ164)</f>
        <v>0</v>
      </c>
      <c r="AY26" s="3" t="n">
        <f aca="false">MIN(AY25,Model!BA164)</f>
        <v>0</v>
      </c>
      <c r="AZ26" s="3" t="n">
        <f aca="false">MIN(AZ25,Model!BB164)</f>
        <v>0</v>
      </c>
      <c r="BA26" s="3" t="n">
        <f aca="false">MIN(BA25,Model!BC164)</f>
        <v>0</v>
      </c>
      <c r="BB26" s="3" t="n">
        <f aca="false">MIN(BB25,Model!BD164)</f>
        <v>0</v>
      </c>
      <c r="BC26" s="3" t="n">
        <f aca="false">MIN(BC25,Model!BE164)</f>
        <v>0</v>
      </c>
      <c r="BD26" s="3" t="n">
        <f aca="false">MIN(BD25,Model!BF164)</f>
        <v>0</v>
      </c>
      <c r="BE26" s="3" t="n">
        <f aca="false">MIN(BE25,Model!BG164)</f>
        <v>0</v>
      </c>
      <c r="BF26" s="3" t="n">
        <f aca="false">MIN(BF25,Model!BH164)</f>
        <v>0</v>
      </c>
      <c r="BG26" s="3" t="n">
        <f aca="false">MIN(BG25,Model!BI164)</f>
        <v>0</v>
      </c>
      <c r="BH26" s="3" t="n">
        <f aca="false">MIN(BH25,Model!BJ164)</f>
        <v>0</v>
      </c>
      <c r="BI26" s="3" t="n">
        <f aca="false">MIN(BI25,Model!BK164)</f>
        <v>0</v>
      </c>
      <c r="BJ26" s="3" t="n">
        <f aca="false">MIN(BJ25,Model!BL164)</f>
        <v>0</v>
      </c>
      <c r="BK26" s="3" t="n">
        <f aca="false">MIN(BK25,Model!BM164)</f>
        <v>0</v>
      </c>
      <c r="BL26" s="3" t="n">
        <f aca="false">MIN(BL25,Model!BN164)</f>
        <v>0</v>
      </c>
      <c r="BM26" s="3" t="n">
        <f aca="false">MIN(BM25,Model!BO164)</f>
        <v>0</v>
      </c>
      <c r="BN26" s="3" t="n">
        <f aca="false">MIN(BN25,Model!BP164)</f>
        <v>0</v>
      </c>
      <c r="BO26" s="3" t="n">
        <f aca="false">MIN(BO25,Model!BQ164)</f>
        <v>0</v>
      </c>
      <c r="BP26" s="3" t="n">
        <f aca="false">MIN(BP25,Model!BR164)</f>
        <v>0</v>
      </c>
      <c r="BQ26" s="3" t="n">
        <f aca="false">MIN(BQ25,Model!BS164)</f>
        <v>0</v>
      </c>
      <c r="BR26" s="3" t="n">
        <f aca="false">MIN(BR25,Model!BT164)</f>
        <v>0</v>
      </c>
      <c r="BS26" s="3" t="n">
        <f aca="false">MIN(BS25,Model!BU164)</f>
        <v>0</v>
      </c>
      <c r="BT26" s="3" t="n">
        <f aca="false">MIN(BT25,Model!BV164)</f>
        <v>0</v>
      </c>
      <c r="BU26" s="3" t="n">
        <f aca="false">MIN(BU25,Model!BW164)</f>
        <v>0</v>
      </c>
      <c r="BV26" s="3" t="n">
        <f aca="false">MIN(BV25,Model!BX164)</f>
        <v>0</v>
      </c>
      <c r="BW26" s="3" t="n">
        <f aca="false">MIN(BW25,Model!BY164)</f>
        <v>0</v>
      </c>
      <c r="BX26" s="3" t="n">
        <f aca="false">MIN(BX25,Model!BZ164)</f>
        <v>0</v>
      </c>
      <c r="BY26" s="3" t="n">
        <f aca="false">MIN(BY25,Model!CA164)</f>
        <v>73156</v>
      </c>
      <c r="BZ26" s="3" t="n">
        <f aca="false">MIN(BZ25,Model!CB164)</f>
        <v>0</v>
      </c>
      <c r="CA26" s="3" t="n">
        <f aca="false">MIN(CA25,Model!CC164)</f>
        <v>0</v>
      </c>
      <c r="CB26" s="3" t="n">
        <f aca="false">MIN(CB25,Model!CD164)</f>
        <v>73155</v>
      </c>
      <c r="CC26" s="3" t="n">
        <f aca="false">MIN(CC25,Model!CE164)</f>
        <v>0</v>
      </c>
      <c r="CD26" s="3" t="n">
        <f aca="false">MIN(CD25,Model!CF164)</f>
        <v>0</v>
      </c>
      <c r="CE26" s="3" t="n">
        <f aca="false">MIN(CE25,Model!CG164)</f>
        <v>73155</v>
      </c>
      <c r="CF26" s="3" t="n">
        <f aca="false">MIN(CF25,Model!CH164)</f>
        <v>0</v>
      </c>
      <c r="CG26" s="3" t="n">
        <f aca="false">MIN(CG25,Model!CI164)</f>
        <v>0</v>
      </c>
      <c r="CH26" s="3" t="n">
        <f aca="false">MIN(CH25,Model!CJ164)</f>
        <v>73155</v>
      </c>
      <c r="CI26" s="3" t="n">
        <f aca="false">MIN(CI25,Model!CK164)</f>
        <v>73155</v>
      </c>
      <c r="CJ26" s="3" t="n">
        <f aca="false">MIN(CJ25,Model!CL164)</f>
        <v>73155</v>
      </c>
      <c r="CK26" s="3" t="n">
        <f aca="false">MIN(CK25,Model!CM164)</f>
        <v>73155</v>
      </c>
      <c r="CL26" s="3" t="n">
        <f aca="false">MIN(CL25,Model!CN164)</f>
        <v>51460.3200000001</v>
      </c>
      <c r="CM26" s="3" t="n">
        <f aca="false">MIN(CM25,Model!CO164)</f>
        <v>0</v>
      </c>
      <c r="CN26" s="3" t="n">
        <f aca="false">MIN(CN25,Model!CP164)</f>
        <v>0</v>
      </c>
      <c r="CO26" s="3" t="n">
        <f aca="false">MIN(CO25,Model!CQ164)</f>
        <v>0</v>
      </c>
      <c r="CP26" s="3" t="n">
        <f aca="false">MIN(CP25,Model!CR164)</f>
        <v>0</v>
      </c>
      <c r="CQ26" s="3" t="n">
        <f aca="false">MIN(CQ25,Model!CS164)</f>
        <v>0</v>
      </c>
    </row>
    <row r="27" customFormat="false" ht="15" hidden="false" customHeight="true" outlineLevel="0" collapsed="false">
      <c r="B27" s="3" t="s">
        <v>826</v>
      </c>
      <c r="C27" s="3" t="n">
        <f aca="false">MAX(0,C25-C26)</f>
        <v>563546.32</v>
      </c>
      <c r="D27" s="3" t="n">
        <f aca="false">MAX(0,D25-D26)</f>
        <v>563546.32</v>
      </c>
      <c r="E27" s="3" t="n">
        <f aca="false">MAX(0,E25-E26)</f>
        <v>563546.32</v>
      </c>
      <c r="F27" s="3" t="n">
        <f aca="false">MAX(0,F25-F26)</f>
        <v>563546.32</v>
      </c>
      <c r="G27" s="3" t="n">
        <f aca="false">MAX(0,G25-G26)</f>
        <v>563546.32</v>
      </c>
      <c r="H27" s="3" t="n">
        <f aca="false">MAX(0,H25-H26)</f>
        <v>563546.32</v>
      </c>
      <c r="I27" s="3" t="n">
        <f aca="false">MAX(0,I25-I26)</f>
        <v>563546.32</v>
      </c>
      <c r="J27" s="3" t="n">
        <f aca="false">MAX(0,J25-J26)</f>
        <v>563546.32</v>
      </c>
      <c r="K27" s="3" t="n">
        <f aca="false">MAX(0,K25-K26)</f>
        <v>563546.32</v>
      </c>
      <c r="L27" s="3" t="n">
        <f aca="false">MAX(0,L25-L26)</f>
        <v>563546.32</v>
      </c>
      <c r="M27" s="3" t="n">
        <f aca="false">MAX(0,M25-M26)</f>
        <v>563546.32</v>
      </c>
      <c r="N27" s="3" t="n">
        <f aca="false">MAX(0,N25-N26)</f>
        <v>563546.32</v>
      </c>
      <c r="O27" s="3" t="n">
        <f aca="false">MAX(0,O25-O26)</f>
        <v>563546.32</v>
      </c>
      <c r="P27" s="3" t="n">
        <f aca="false">MAX(0,P25-P26)</f>
        <v>563546.32</v>
      </c>
      <c r="Q27" s="3" t="n">
        <f aca="false">MAX(0,Q25-Q26)</f>
        <v>563546.32</v>
      </c>
      <c r="R27" s="3" t="n">
        <f aca="false">MAX(0,R25-R26)</f>
        <v>563546.32</v>
      </c>
      <c r="S27" s="3" t="n">
        <f aca="false">MAX(0,S25-S26)</f>
        <v>563546.32</v>
      </c>
      <c r="T27" s="3" t="n">
        <f aca="false">MAX(0,T25-T26)</f>
        <v>563546.32</v>
      </c>
      <c r="U27" s="3" t="n">
        <f aca="false">MAX(0,U25-U26)</f>
        <v>563546.32</v>
      </c>
      <c r="V27" s="3" t="n">
        <f aca="false">MAX(0,V25-V26)</f>
        <v>563546.32</v>
      </c>
      <c r="W27" s="3" t="n">
        <f aca="false">MAX(0,W25-W26)</f>
        <v>563546.32</v>
      </c>
      <c r="X27" s="3" t="n">
        <f aca="false">MAX(0,X25-X26)</f>
        <v>563546.32</v>
      </c>
      <c r="Y27" s="3" t="n">
        <f aca="false">MAX(0,Y25-Y26)</f>
        <v>563546.32</v>
      </c>
      <c r="Z27" s="3" t="n">
        <f aca="false">MAX(0,Z25-Z26)</f>
        <v>563546.32</v>
      </c>
      <c r="AA27" s="3" t="n">
        <f aca="false">MAX(0,AA25-AA26)</f>
        <v>563546.32</v>
      </c>
      <c r="AB27" s="3" t="n">
        <f aca="false">MAX(0,AB25-AB26)</f>
        <v>563546.32</v>
      </c>
      <c r="AC27" s="3" t="n">
        <f aca="false">MAX(0,AC25-AC26)</f>
        <v>563546.32</v>
      </c>
      <c r="AD27" s="3" t="n">
        <f aca="false">MAX(0,AD25-AD26)</f>
        <v>563546.32</v>
      </c>
      <c r="AE27" s="3" t="n">
        <f aca="false">MAX(0,AE25-AE26)</f>
        <v>563546.32</v>
      </c>
      <c r="AF27" s="3" t="n">
        <f aca="false">MAX(0,AF25-AF26)</f>
        <v>563546.32</v>
      </c>
      <c r="AG27" s="3" t="n">
        <f aca="false">MAX(0,AG25-AG26)</f>
        <v>563546.32</v>
      </c>
      <c r="AH27" s="3" t="n">
        <f aca="false">MAX(0,AH25-AH26)</f>
        <v>563546.32</v>
      </c>
      <c r="AI27" s="3" t="n">
        <f aca="false">MAX(0,AI25-AI26)</f>
        <v>563546.32</v>
      </c>
      <c r="AJ27" s="3" t="n">
        <f aca="false">MAX(0,AJ25-AJ26)</f>
        <v>563546.32</v>
      </c>
      <c r="AK27" s="3" t="n">
        <f aca="false">MAX(0,AK25-AK26)</f>
        <v>563546.32</v>
      </c>
      <c r="AL27" s="3" t="n">
        <f aca="false">MAX(0,AL25-AL26)</f>
        <v>563546.32</v>
      </c>
      <c r="AM27" s="3" t="n">
        <f aca="false">MAX(0,AM25-AM26)</f>
        <v>563546.32</v>
      </c>
      <c r="AN27" s="3" t="n">
        <f aca="false">MAX(0,AN25-AN26)</f>
        <v>563546.32</v>
      </c>
      <c r="AO27" s="3" t="n">
        <f aca="false">MAX(0,AO25-AO26)</f>
        <v>563546.32</v>
      </c>
      <c r="AP27" s="3" t="n">
        <f aca="false">MAX(0,AP25-AP26)</f>
        <v>563546.32</v>
      </c>
      <c r="AQ27" s="3" t="n">
        <f aca="false">MAX(0,AQ25-AQ26)</f>
        <v>563546.32</v>
      </c>
      <c r="AR27" s="3" t="n">
        <f aca="false">MAX(0,AR25-AR26)</f>
        <v>563546.32</v>
      </c>
      <c r="AS27" s="3" t="n">
        <f aca="false">MAX(0,AS25-AS26)</f>
        <v>563546.32</v>
      </c>
      <c r="AT27" s="3" t="n">
        <f aca="false">MAX(0,AT25-AT26)</f>
        <v>563546.32</v>
      </c>
      <c r="AU27" s="3" t="n">
        <f aca="false">MAX(0,AU25-AU26)</f>
        <v>563546.32</v>
      </c>
      <c r="AV27" s="3" t="n">
        <f aca="false">MAX(0,AV25-AV26)</f>
        <v>563546.32</v>
      </c>
      <c r="AW27" s="3" t="n">
        <f aca="false">MAX(0,AW25-AW26)</f>
        <v>563546.32</v>
      </c>
      <c r="AX27" s="3" t="n">
        <f aca="false">MAX(0,AX25-AX26)</f>
        <v>563546.32</v>
      </c>
      <c r="AY27" s="3" t="n">
        <f aca="false">MAX(0,AY25-AY26)</f>
        <v>563546.32</v>
      </c>
      <c r="AZ27" s="3" t="n">
        <f aca="false">MAX(0,AZ25-AZ26)</f>
        <v>563546.32</v>
      </c>
      <c r="BA27" s="3" t="n">
        <f aca="false">MAX(0,BA25-BA26)</f>
        <v>563546.32</v>
      </c>
      <c r="BB27" s="3" t="n">
        <f aca="false">MAX(0,BB25-BB26)</f>
        <v>563546.32</v>
      </c>
      <c r="BC27" s="3" t="n">
        <f aca="false">MAX(0,BC25-BC26)</f>
        <v>563546.32</v>
      </c>
      <c r="BD27" s="3" t="n">
        <f aca="false">MAX(0,BD25-BD26)</f>
        <v>563546.32</v>
      </c>
      <c r="BE27" s="3" t="n">
        <f aca="false">MAX(0,BE25-BE26)</f>
        <v>563546.32</v>
      </c>
      <c r="BF27" s="3" t="n">
        <f aca="false">MAX(0,BF25-BF26)</f>
        <v>563546.32</v>
      </c>
      <c r="BG27" s="3" t="n">
        <f aca="false">MAX(0,BG25-BG26)</f>
        <v>563546.32</v>
      </c>
      <c r="BH27" s="3" t="n">
        <f aca="false">MAX(0,BH25-BH26)</f>
        <v>563546.32</v>
      </c>
      <c r="BI27" s="3" t="n">
        <f aca="false">MAX(0,BI25-BI26)</f>
        <v>563546.32</v>
      </c>
      <c r="BJ27" s="3" t="n">
        <f aca="false">MAX(0,BJ25-BJ26)</f>
        <v>563546.32</v>
      </c>
      <c r="BK27" s="3" t="n">
        <f aca="false">MAX(0,BK25-BK26)</f>
        <v>563546.32</v>
      </c>
      <c r="BL27" s="3" t="n">
        <f aca="false">MAX(0,BL25-BL26)</f>
        <v>563546.32</v>
      </c>
      <c r="BM27" s="3" t="n">
        <f aca="false">MAX(0,BM25-BM26)</f>
        <v>563546.32</v>
      </c>
      <c r="BN27" s="3" t="n">
        <f aca="false">MAX(0,BN25-BN26)</f>
        <v>563546.32</v>
      </c>
      <c r="BO27" s="3" t="n">
        <f aca="false">MAX(0,BO25-BO26)</f>
        <v>563546.32</v>
      </c>
      <c r="BP27" s="3" t="n">
        <f aca="false">MAX(0,BP25-BP26)</f>
        <v>563546.32</v>
      </c>
      <c r="BQ27" s="3" t="n">
        <f aca="false">MAX(0,BQ25-BQ26)</f>
        <v>563546.32</v>
      </c>
      <c r="BR27" s="3" t="n">
        <f aca="false">MAX(0,BR25-BR26)</f>
        <v>563546.32</v>
      </c>
      <c r="BS27" s="3" t="n">
        <f aca="false">MAX(0,BS25-BS26)</f>
        <v>563546.32</v>
      </c>
      <c r="BT27" s="3" t="n">
        <f aca="false">MAX(0,BT25-BT26)</f>
        <v>563546.32</v>
      </c>
      <c r="BU27" s="3" t="n">
        <f aca="false">MAX(0,BU25-BU26)</f>
        <v>563546.32</v>
      </c>
      <c r="BV27" s="3" t="n">
        <f aca="false">MAX(0,BV25-BV26)</f>
        <v>563546.32</v>
      </c>
      <c r="BW27" s="3" t="n">
        <f aca="false">MAX(0,BW25-BW26)</f>
        <v>563546.32</v>
      </c>
      <c r="BX27" s="3" t="n">
        <f aca="false">MAX(0,BX25-BX26)</f>
        <v>563546.32</v>
      </c>
      <c r="BY27" s="3" t="n">
        <f aca="false">MAX(0,BY25-BY26)</f>
        <v>490390.32</v>
      </c>
      <c r="BZ27" s="3" t="n">
        <f aca="false">MAX(0,BZ25-BZ26)</f>
        <v>490390.32</v>
      </c>
      <c r="CA27" s="3" t="n">
        <f aca="false">MAX(0,CA25-CA26)</f>
        <v>490390.32</v>
      </c>
      <c r="CB27" s="3" t="n">
        <f aca="false">MAX(0,CB25-CB26)</f>
        <v>417235.32</v>
      </c>
      <c r="CC27" s="3" t="n">
        <f aca="false">MAX(0,CC25-CC26)</f>
        <v>417235.32</v>
      </c>
      <c r="CD27" s="3" t="n">
        <f aca="false">MAX(0,CD25-CD26)</f>
        <v>417235.32</v>
      </c>
      <c r="CE27" s="3" t="n">
        <f aca="false">MAX(0,CE25-CE26)</f>
        <v>344080.32</v>
      </c>
      <c r="CF27" s="3" t="n">
        <f aca="false">MAX(0,CF25-CF26)</f>
        <v>344080.32</v>
      </c>
      <c r="CG27" s="3" t="n">
        <f aca="false">MAX(0,CG25-CG26)</f>
        <v>344080.32</v>
      </c>
      <c r="CH27" s="3" t="n">
        <f aca="false">MAX(0,CH25-CH26)</f>
        <v>270925.32</v>
      </c>
      <c r="CI27" s="3" t="n">
        <f aca="false">MAX(0,CI25-CI26)</f>
        <v>197770.32</v>
      </c>
      <c r="CJ27" s="3" t="n">
        <f aca="false">MAX(0,CJ25-CJ26)</f>
        <v>124615.32</v>
      </c>
      <c r="CK27" s="3" t="n">
        <f aca="false">MAX(0,CK25-CK26)</f>
        <v>51460.3200000001</v>
      </c>
      <c r="CL27" s="3" t="n">
        <f aca="false">MAX(0,CL25-CL26)</f>
        <v>0</v>
      </c>
      <c r="CM27" s="3" t="n">
        <f aca="false">MAX(0,CM25-CM26)</f>
        <v>0</v>
      </c>
      <c r="CN27" s="3" t="n">
        <f aca="false">MAX(0,CN25-CN26)</f>
        <v>0</v>
      </c>
      <c r="CO27" s="3" t="n">
        <f aca="false">MAX(0,CO25-CO26)</f>
        <v>0</v>
      </c>
      <c r="CP27" s="3" t="n">
        <f aca="false">MAX(0,CP25-CP26)</f>
        <v>0</v>
      </c>
      <c r="CQ27" s="3" t="n">
        <f aca="false">MAX(0,CQ25-CQ26)</f>
        <v>0</v>
      </c>
    </row>
    <row r="30" customFormat="false" ht="15" hidden="false" customHeight="true" outlineLevel="0" collapsed="false">
      <c r="A30" s="282" t="s">
        <v>827</v>
      </c>
      <c r="B30" s="282"/>
      <c r="C30" s="282"/>
      <c r="D30" s="282"/>
      <c r="E30" s="282"/>
      <c r="F30" s="282"/>
      <c r="G30" s="282"/>
      <c r="H30" s="282"/>
      <c r="I30" s="282"/>
    </row>
    <row r="31" customFormat="false" ht="15" hidden="false" customHeight="true" outlineLevel="0" collapsed="false">
      <c r="A31" s="299" t="s">
        <v>828</v>
      </c>
    </row>
    <row r="32" customFormat="false" ht="15" hidden="false" customHeight="true" outlineLevel="0" collapsed="false">
      <c r="A32" s="300" t="s">
        <v>12</v>
      </c>
      <c r="B32" s="208" t="n">
        <f aca="false">LOOKUP(2,1/(Model!E162:CG162&gt;0),Model!E162:CG162)</f>
        <v>76499</v>
      </c>
    </row>
    <row r="33" customFormat="false" ht="15" hidden="false" customHeight="true" outlineLevel="0" collapsed="false">
      <c r="A33" s="300" t="s">
        <v>19</v>
      </c>
      <c r="B33" s="208" t="n">
        <f aca="false">LOOKUP(2,1/(Model!E164:CG164&gt;0),Model!E164:CG164)</f>
        <v>73155</v>
      </c>
    </row>
    <row r="34" customFormat="false" ht="15" hidden="false" customHeight="true" outlineLevel="0" collapsed="false">
      <c r="A34" s="300" t="s">
        <v>18</v>
      </c>
      <c r="B34" s="208" t="n">
        <f aca="false">LOOKUP(2,1/(Model!E163:CG163&gt;0),Model!E163:CG163)</f>
        <v>81362</v>
      </c>
    </row>
    <row r="36" customFormat="false" ht="15" hidden="false" customHeight="true" outlineLevel="0" collapsed="false">
      <c r="A36" s="299" t="s">
        <v>829</v>
      </c>
    </row>
    <row r="37" customFormat="false" ht="15" hidden="false" customHeight="true" outlineLevel="0" collapsed="false">
      <c r="A37" s="300" t="s">
        <v>12</v>
      </c>
      <c r="B37" s="140" t="n">
        <f aca="false">SUMPRODUCT((Model!E162:CG162&gt;0)*1)</f>
        <v>14</v>
      </c>
    </row>
    <row r="38" customFormat="false" ht="15" hidden="false" customHeight="true" outlineLevel="0" collapsed="false">
      <c r="A38" s="300" t="s">
        <v>19</v>
      </c>
      <c r="B38" s="140" t="n">
        <f aca="false">SUMPRODUCT((Model!E164:CG164&gt;0)*1)</f>
        <v>3</v>
      </c>
    </row>
    <row r="39" customFormat="false" ht="15" hidden="false" customHeight="true" outlineLevel="0" collapsed="false">
      <c r="A39" s="300" t="s">
        <v>18</v>
      </c>
      <c r="B39" s="140" t="n">
        <f aca="false">SUMPRODUCT((Model!E163:CG163&gt;0)*1)</f>
        <v>11</v>
      </c>
    </row>
    <row r="41" customFormat="false" ht="15" hidden="false" customHeight="true" outlineLevel="0" collapsed="false">
      <c r="A41" s="299" t="s">
        <v>830</v>
      </c>
    </row>
    <row r="42" customFormat="false" ht="15" hidden="false" customHeight="true" outlineLevel="0" collapsed="false">
      <c r="A42" s="300" t="s">
        <v>12</v>
      </c>
      <c r="B42" s="140" t="n">
        <f aca="false">40-B37</f>
        <v>26</v>
      </c>
    </row>
    <row r="43" customFormat="false" ht="15" hidden="false" customHeight="true" outlineLevel="0" collapsed="false">
      <c r="A43" s="300" t="s">
        <v>19</v>
      </c>
      <c r="B43" s="140" t="n">
        <f aca="false">40-B38</f>
        <v>37</v>
      </c>
    </row>
    <row r="44" customFormat="false" ht="15" hidden="false" customHeight="true" outlineLevel="0" collapsed="false">
      <c r="A44" s="300" t="s">
        <v>18</v>
      </c>
      <c r="B44" s="140" t="n">
        <f aca="false">40-B39</f>
        <v>29</v>
      </c>
    </row>
    <row r="46" customFormat="false" ht="15" hidden="false" customHeight="true" outlineLevel="0" collapsed="false">
      <c r="A46" s="299" t="s">
        <v>831</v>
      </c>
    </row>
    <row r="47" customFormat="false" ht="15" hidden="false" customHeight="true" outlineLevel="0" collapsed="false">
      <c r="A47" s="300" t="s">
        <v>12</v>
      </c>
      <c r="B47" s="208" t="n">
        <f aca="false">B32*B42</f>
        <v>1988974</v>
      </c>
    </row>
    <row r="48" customFormat="false" ht="15" hidden="false" customHeight="true" outlineLevel="0" collapsed="false">
      <c r="A48" s="300" t="s">
        <v>19</v>
      </c>
      <c r="B48" s="208" t="n">
        <f aca="false">B33*B43</f>
        <v>2706735</v>
      </c>
    </row>
    <row r="49" customFormat="false" ht="15" hidden="false" customHeight="true" outlineLevel="0" collapsed="false">
      <c r="A49" s="300" t="s">
        <v>18</v>
      </c>
      <c r="B49" s="208" t="n">
        <f aca="false">B34*B44</f>
        <v>2359498</v>
      </c>
    </row>
    <row r="51" customFormat="false" ht="15" hidden="false" customHeight="true" outlineLevel="0" collapsed="false">
      <c r="A51" s="282" t="s">
        <v>832</v>
      </c>
      <c r="B51" s="282"/>
      <c r="C51" s="282"/>
      <c r="D51" s="282"/>
      <c r="E51" s="282"/>
      <c r="F51" s="282"/>
      <c r="G51" s="282"/>
    </row>
    <row r="52" customFormat="false" ht="15" hidden="false" customHeight="true" outlineLevel="0" collapsed="false">
      <c r="A52" s="299" t="s">
        <v>833</v>
      </c>
      <c r="B52" s="299" t="s">
        <v>834</v>
      </c>
      <c r="C52" s="299" t="s">
        <v>835</v>
      </c>
      <c r="D52" s="299" t="s">
        <v>836</v>
      </c>
      <c r="E52" s="299" t="s">
        <v>837</v>
      </c>
      <c r="F52" s="299" t="s">
        <v>838</v>
      </c>
      <c r="G52" s="299" t="s">
        <v>839</v>
      </c>
    </row>
    <row r="53" customFormat="false" ht="15" hidden="false" customHeight="true" outlineLevel="0" collapsed="false">
      <c r="A53" s="140" t="n">
        <v>1</v>
      </c>
      <c r="B53" s="208" t="n">
        <f aca="false">$B$33</f>
        <v>73155</v>
      </c>
      <c r="C53" s="208" t="n">
        <f aca="false">CH27</f>
        <v>270925.32</v>
      </c>
      <c r="D53" s="208" t="n">
        <f aca="false">MIN(C53,B53)</f>
        <v>73155</v>
      </c>
      <c r="E53" s="208" t="n">
        <f aca="false">Model!CJ241</f>
        <v>570021.547005172</v>
      </c>
      <c r="F53" s="208" t="n">
        <f aca="false">E53*Assumptions!$B$59</f>
        <v>21375.8080126939</v>
      </c>
      <c r="G53" s="208" t="n">
        <f aca="false">MIN(E53+F53,MAX(0,B53-D53))</f>
        <v>0</v>
      </c>
    </row>
    <row r="54" customFormat="false" ht="15" hidden="false" customHeight="true" outlineLevel="0" collapsed="false">
      <c r="A54" s="140" t="n">
        <v>2</v>
      </c>
      <c r="B54" s="208" t="n">
        <f aca="false">$B$33</f>
        <v>73155</v>
      </c>
      <c r="C54" s="208" t="n">
        <f aca="false">MAX(0,C53-D53)</f>
        <v>197770.32</v>
      </c>
      <c r="D54" s="208" t="n">
        <f aca="false">MIN(C54,B54)</f>
        <v>73155</v>
      </c>
      <c r="E54" s="208" t="n">
        <f aca="false">MAX(0,E53+F53-G53)</f>
        <v>591397.355017866</v>
      </c>
      <c r="F54" s="208" t="n">
        <f aca="false">E54*Assumptions!$B$59</f>
        <v>22177.40081317</v>
      </c>
      <c r="G54" s="208" t="n">
        <f aca="false">MIN(E54+F54,MAX(0,B54-D54))</f>
        <v>0</v>
      </c>
    </row>
    <row r="55" customFormat="false" ht="15" hidden="false" customHeight="true" outlineLevel="0" collapsed="false">
      <c r="A55" s="140" t="n">
        <v>3</v>
      </c>
      <c r="B55" s="208" t="n">
        <f aca="false">$B$33</f>
        <v>73155</v>
      </c>
      <c r="C55" s="208" t="n">
        <f aca="false">MAX(0,C54-D54)</f>
        <v>124615.32</v>
      </c>
      <c r="D55" s="208" t="n">
        <f aca="false">MIN(C55,B55)</f>
        <v>73155</v>
      </c>
      <c r="E55" s="208" t="n">
        <f aca="false">MAX(0,E54+F54-G54)</f>
        <v>613574.755831036</v>
      </c>
      <c r="F55" s="208" t="n">
        <f aca="false">E55*Assumptions!$B$59</f>
        <v>23009.0533436638</v>
      </c>
      <c r="G55" s="208" t="n">
        <f aca="false">MIN(E55+F55,MAX(0,B55-D55))</f>
        <v>0</v>
      </c>
    </row>
    <row r="56" customFormat="false" ht="15" hidden="false" customHeight="true" outlineLevel="0" collapsed="false">
      <c r="A56" s="140" t="n">
        <v>4</v>
      </c>
      <c r="B56" s="208" t="n">
        <f aca="false">$B$33</f>
        <v>73155</v>
      </c>
      <c r="C56" s="208" t="n">
        <f aca="false">MAX(0,C55-D55)</f>
        <v>51460.3200000001</v>
      </c>
      <c r="D56" s="208" t="n">
        <f aca="false">MIN(C56,B56)</f>
        <v>51460.3200000001</v>
      </c>
      <c r="E56" s="208" t="n">
        <f aca="false">MAX(0,E55+F55-G55)</f>
        <v>636583.8091747</v>
      </c>
      <c r="F56" s="208" t="n">
        <f aca="false">E56*Assumptions!$B$59</f>
        <v>23871.8928440512</v>
      </c>
      <c r="G56" s="208" t="n">
        <f aca="false">MIN(E56+F56,MAX(0,B56-D56))</f>
        <v>21694.6799999999</v>
      </c>
    </row>
    <row r="57" customFormat="false" ht="15" hidden="false" customHeight="true" outlineLevel="0" collapsed="false">
      <c r="A57" s="140" t="n">
        <v>5</v>
      </c>
      <c r="B57" s="208" t="n">
        <f aca="false">$B$33</f>
        <v>73155</v>
      </c>
      <c r="C57" s="208" t="n">
        <f aca="false">MAX(0,C56-D56)</f>
        <v>0</v>
      </c>
      <c r="D57" s="208" t="n">
        <f aca="false">MIN(C57,B57)</f>
        <v>0</v>
      </c>
      <c r="E57" s="208" t="n">
        <f aca="false">MAX(0,E56+F56-G56)</f>
        <v>638761.022018751</v>
      </c>
      <c r="F57" s="208" t="n">
        <f aca="false">E57*Assumptions!$B$59</f>
        <v>23953.5383257032</v>
      </c>
      <c r="G57" s="208" t="n">
        <f aca="false">MIN(E57+F57,MAX(0,B57-D57))</f>
        <v>73155</v>
      </c>
    </row>
    <row r="58" customFormat="false" ht="15" hidden="false" customHeight="true" outlineLevel="0" collapsed="false">
      <c r="A58" s="140" t="n">
        <v>6</v>
      </c>
      <c r="B58" s="208" t="n">
        <f aca="false">$B$33</f>
        <v>73155</v>
      </c>
      <c r="C58" s="208" t="n">
        <f aca="false">MAX(0,C57-D57)</f>
        <v>0</v>
      </c>
      <c r="D58" s="208" t="n">
        <f aca="false">MIN(C58,B58)</f>
        <v>0</v>
      </c>
      <c r="E58" s="208" t="n">
        <f aca="false">MAX(0,E57+F57-G57)</f>
        <v>589559.560344454</v>
      </c>
      <c r="F58" s="208" t="n">
        <f aca="false">E58*Assumptions!$B$59</f>
        <v>22108.483512917</v>
      </c>
      <c r="G58" s="208" t="n">
        <f aca="false">MIN(E58+F58,MAX(0,B58-D58))</f>
        <v>73155</v>
      </c>
    </row>
    <row r="59" customFormat="false" ht="15" hidden="false" customHeight="true" outlineLevel="0" collapsed="false">
      <c r="A59" s="140" t="n">
        <v>7</v>
      </c>
      <c r="B59" s="208" t="n">
        <f aca="false">$B$33</f>
        <v>73155</v>
      </c>
      <c r="C59" s="208" t="n">
        <f aca="false">MAX(0,C58-D58)</f>
        <v>0</v>
      </c>
      <c r="D59" s="208" t="n">
        <f aca="false">MIN(C59,B59)</f>
        <v>0</v>
      </c>
      <c r="E59" s="208" t="n">
        <f aca="false">MAX(0,E58+F58-G58)</f>
        <v>538513.043857371</v>
      </c>
      <c r="F59" s="208" t="n">
        <f aca="false">E59*Assumptions!$B$59</f>
        <v>20194.2391446514</v>
      </c>
      <c r="G59" s="208" t="n">
        <f aca="false">MIN(E59+F59,MAX(0,B59-D59))</f>
        <v>73155</v>
      </c>
    </row>
    <row r="60" customFormat="false" ht="15" hidden="false" customHeight="true" outlineLevel="0" collapsed="false">
      <c r="A60" s="140" t="n">
        <v>8</v>
      </c>
      <c r="B60" s="208" t="n">
        <f aca="false">$B$33</f>
        <v>73155</v>
      </c>
      <c r="C60" s="208" t="n">
        <f aca="false">MAX(0,C59-D59)</f>
        <v>0</v>
      </c>
      <c r="D60" s="208" t="n">
        <f aca="false">MIN(C60,B60)</f>
        <v>0</v>
      </c>
      <c r="E60" s="208" t="n">
        <f aca="false">MAX(0,E59+F59-G59)</f>
        <v>485552.283002023</v>
      </c>
      <c r="F60" s="208" t="n">
        <f aca="false">E60*Assumptions!$B$59</f>
        <v>18208.2106125758</v>
      </c>
      <c r="G60" s="208" t="n">
        <f aca="false">MIN(E60+F60,MAX(0,B60-D60))</f>
        <v>73155</v>
      </c>
    </row>
    <row r="61" customFormat="false" ht="15" hidden="false" customHeight="true" outlineLevel="0" collapsed="false">
      <c r="A61" s="140" t="n">
        <v>9</v>
      </c>
      <c r="B61" s="208" t="n">
        <f aca="false">$B$33</f>
        <v>73155</v>
      </c>
      <c r="C61" s="208" t="n">
        <f aca="false">MAX(0,C60-D60)</f>
        <v>0</v>
      </c>
      <c r="D61" s="208" t="n">
        <f aca="false">MIN(C61,B61)</f>
        <v>0</v>
      </c>
      <c r="E61" s="208" t="n">
        <f aca="false">MAX(0,E60+F60-G60)</f>
        <v>430605.493614598</v>
      </c>
      <c r="F61" s="208" t="n">
        <f aca="false">E61*Assumptions!$B$59</f>
        <v>16147.7060105474</v>
      </c>
      <c r="G61" s="208" t="n">
        <f aca="false">MIN(E61+F61,MAX(0,B61-D61))</f>
        <v>73155</v>
      </c>
    </row>
    <row r="62" customFormat="false" ht="15" hidden="false" customHeight="true" outlineLevel="0" collapsed="false">
      <c r="A62" s="140" t="n">
        <v>10</v>
      </c>
      <c r="B62" s="208" t="n">
        <f aca="false">$B$33</f>
        <v>73155</v>
      </c>
      <c r="C62" s="208" t="n">
        <f aca="false">MAX(0,C61-D61)</f>
        <v>0</v>
      </c>
      <c r="D62" s="208" t="n">
        <f aca="false">MIN(C62,B62)</f>
        <v>0</v>
      </c>
      <c r="E62" s="208" t="n">
        <f aca="false">MAX(0,E61+F61-G61)</f>
        <v>373598.199625146</v>
      </c>
      <c r="F62" s="208" t="n">
        <f aca="false">E62*Assumptions!$B$59</f>
        <v>14009.932485943</v>
      </c>
      <c r="G62" s="208" t="n">
        <f aca="false">MIN(E62+F62,MAX(0,B62-D62))</f>
        <v>73155</v>
      </c>
    </row>
    <row r="63" customFormat="false" ht="15" hidden="false" customHeight="true" outlineLevel="0" collapsed="false">
      <c r="A63" s="140" t="n">
        <v>11</v>
      </c>
      <c r="B63" s="208" t="n">
        <f aca="false">$B$33</f>
        <v>73155</v>
      </c>
      <c r="C63" s="208" t="n">
        <f aca="false">MAX(0,C62-D62)</f>
        <v>0</v>
      </c>
      <c r="D63" s="208" t="n">
        <f aca="false">MIN(C63,B63)</f>
        <v>0</v>
      </c>
      <c r="E63" s="208" t="n">
        <f aca="false">MAX(0,E62+F62-G62)</f>
        <v>314453.132111089</v>
      </c>
      <c r="F63" s="208" t="n">
        <f aca="false">E63*Assumptions!$B$59</f>
        <v>11791.9924541658</v>
      </c>
      <c r="G63" s="208" t="n">
        <f aca="false">MIN(E63+F63,MAX(0,B63-D63))</f>
        <v>73155</v>
      </c>
    </row>
    <row r="64" customFormat="false" ht="15" hidden="false" customHeight="true" outlineLevel="0" collapsed="false">
      <c r="A64" s="140" t="n">
        <v>12</v>
      </c>
      <c r="B64" s="208" t="n">
        <f aca="false">$B$33</f>
        <v>73155</v>
      </c>
      <c r="C64" s="208" t="n">
        <f aca="false">MAX(0,C63-D63)</f>
        <v>0</v>
      </c>
      <c r="D64" s="208" t="n">
        <f aca="false">MIN(C64,B64)</f>
        <v>0</v>
      </c>
      <c r="E64" s="208" t="n">
        <f aca="false">MAX(0,E63+F63-G63)</f>
        <v>253090.124565255</v>
      </c>
      <c r="F64" s="208" t="n">
        <f aca="false">E64*Assumptions!$B$59</f>
        <v>9490.87967119705</v>
      </c>
      <c r="G64" s="208" t="n">
        <f aca="false">MIN(E64+F64,MAX(0,B64-D64))</f>
        <v>73155</v>
      </c>
    </row>
    <row r="65" customFormat="false" ht="15" hidden="false" customHeight="true" outlineLevel="0" collapsed="false">
      <c r="A65" s="140" t="n">
        <v>13</v>
      </c>
      <c r="B65" s="208" t="n">
        <f aca="false">$B$33</f>
        <v>73155</v>
      </c>
      <c r="C65" s="208" t="n">
        <f aca="false">MAX(0,C64-D64)</f>
        <v>0</v>
      </c>
      <c r="D65" s="208" t="n">
        <f aca="false">MIN(C65,B65)</f>
        <v>0</v>
      </c>
      <c r="E65" s="208" t="n">
        <f aca="false">MAX(0,E64+F64-G64)</f>
        <v>189426.004236452</v>
      </c>
      <c r="F65" s="208" t="n">
        <f aca="false">E65*Assumptions!$B$59</f>
        <v>7103.47515886694</v>
      </c>
      <c r="G65" s="208" t="n">
        <f aca="false">MIN(E65+F65,MAX(0,B65-D65))</f>
        <v>73155</v>
      </c>
    </row>
    <row r="66" customFormat="false" ht="15" hidden="false" customHeight="true" outlineLevel="0" collapsed="false">
      <c r="A66" s="140" t="n">
        <v>14</v>
      </c>
      <c r="B66" s="208" t="n">
        <f aca="false">$B$33</f>
        <v>73155</v>
      </c>
      <c r="C66" s="208" t="n">
        <f aca="false">MAX(0,C65-D65)</f>
        <v>0</v>
      </c>
      <c r="D66" s="208" t="n">
        <f aca="false">MIN(C66,B66)</f>
        <v>0</v>
      </c>
      <c r="E66" s="208" t="n">
        <f aca="false">MAX(0,E65+F65-G65)</f>
        <v>123374.479395319</v>
      </c>
      <c r="F66" s="208" t="n">
        <f aca="false">E66*Assumptions!$B$59</f>
        <v>4626.54297732445</v>
      </c>
      <c r="G66" s="208" t="n">
        <f aca="false">MIN(E66+F66,MAX(0,B66-D66))</f>
        <v>73155</v>
      </c>
    </row>
    <row r="67" customFormat="false" ht="15" hidden="false" customHeight="true" outlineLevel="0" collapsed="false">
      <c r="A67" s="140" t="n">
        <v>15</v>
      </c>
      <c r="B67" s="208" t="n">
        <f aca="false">$B$33</f>
        <v>73155</v>
      </c>
      <c r="C67" s="208" t="n">
        <f aca="false">MAX(0,C66-D66)</f>
        <v>0</v>
      </c>
      <c r="D67" s="208" t="n">
        <f aca="false">MIN(C67,B67)</f>
        <v>0</v>
      </c>
      <c r="E67" s="208" t="n">
        <f aca="false">MAX(0,E66+F66-G66)</f>
        <v>54846.0223726431</v>
      </c>
      <c r="F67" s="208" t="n">
        <f aca="false">E67*Assumptions!$B$59</f>
        <v>2056.72583897412</v>
      </c>
      <c r="G67" s="208" t="n">
        <f aca="false">MIN(E67+F67,MAX(0,B67-D67))</f>
        <v>56902.7482116172</v>
      </c>
    </row>
    <row r="68" customFormat="false" ht="15" hidden="false" customHeight="true" outlineLevel="0" collapsed="false">
      <c r="A68" s="140" t="n">
        <v>16</v>
      </c>
      <c r="B68" s="208" t="n">
        <f aca="false">$B$33</f>
        <v>73155</v>
      </c>
      <c r="C68" s="208" t="n">
        <f aca="false">MAX(0,C67-D67)</f>
        <v>0</v>
      </c>
      <c r="D68" s="208" t="n">
        <f aca="false">MIN(C68,B68)</f>
        <v>0</v>
      </c>
      <c r="E68" s="208" t="n">
        <f aca="false">MAX(0,E67+F67-G67)</f>
        <v>0</v>
      </c>
      <c r="F68" s="208" t="n">
        <f aca="false">E68*Assumptions!$B$59</f>
        <v>0</v>
      </c>
      <c r="G68" s="208" t="n">
        <f aca="false">MIN(E68+F68,MAX(0,B68-D68))</f>
        <v>0</v>
      </c>
    </row>
    <row r="69" customFormat="false" ht="15" hidden="false" customHeight="true" outlineLevel="0" collapsed="false">
      <c r="A69" s="140" t="n">
        <v>17</v>
      </c>
      <c r="B69" s="208" t="n">
        <f aca="false">$B$33</f>
        <v>73155</v>
      </c>
      <c r="C69" s="208" t="n">
        <f aca="false">MAX(0,C68-D68)</f>
        <v>0</v>
      </c>
      <c r="D69" s="208" t="n">
        <f aca="false">MIN(C69,B69)</f>
        <v>0</v>
      </c>
      <c r="E69" s="208" t="n">
        <f aca="false">MAX(0,E68+F68-G68)</f>
        <v>0</v>
      </c>
      <c r="F69" s="208" t="n">
        <f aca="false">E69*Assumptions!$B$59</f>
        <v>0</v>
      </c>
      <c r="G69" s="208" t="n">
        <f aca="false">MIN(E69+F69,MAX(0,B69-D69))</f>
        <v>0</v>
      </c>
    </row>
    <row r="70" customFormat="false" ht="15" hidden="false" customHeight="true" outlineLevel="0" collapsed="false">
      <c r="A70" s="140" t="n">
        <v>18</v>
      </c>
      <c r="B70" s="208" t="n">
        <f aca="false">$B$33</f>
        <v>73155</v>
      </c>
      <c r="C70" s="208" t="n">
        <f aca="false">MAX(0,C69-D69)</f>
        <v>0</v>
      </c>
      <c r="D70" s="208" t="n">
        <f aca="false">MIN(C70,B70)</f>
        <v>0</v>
      </c>
      <c r="E70" s="208" t="n">
        <f aca="false">MAX(0,E69+F69-G69)</f>
        <v>0</v>
      </c>
      <c r="F70" s="208" t="n">
        <f aca="false">E70*Assumptions!$B$59</f>
        <v>0</v>
      </c>
      <c r="G70" s="208" t="n">
        <f aca="false">MIN(E70+F70,MAX(0,B70-D70))</f>
        <v>0</v>
      </c>
    </row>
    <row r="71" customFormat="false" ht="15" hidden="false" customHeight="true" outlineLevel="0" collapsed="false">
      <c r="A71" s="140" t="n">
        <v>19</v>
      </c>
      <c r="B71" s="208" t="n">
        <f aca="false">$B$33</f>
        <v>73155</v>
      </c>
      <c r="C71" s="208" t="n">
        <f aca="false">MAX(0,C70-D70)</f>
        <v>0</v>
      </c>
      <c r="D71" s="208" t="n">
        <f aca="false">MIN(C71,B71)</f>
        <v>0</v>
      </c>
      <c r="E71" s="208" t="n">
        <f aca="false">MAX(0,E70+F70-G70)</f>
        <v>0</v>
      </c>
      <c r="F71" s="208" t="n">
        <f aca="false">E71*Assumptions!$B$59</f>
        <v>0</v>
      </c>
      <c r="G71" s="208" t="n">
        <f aca="false">MIN(E71+F71,MAX(0,B71-D71))</f>
        <v>0</v>
      </c>
    </row>
    <row r="72" customFormat="false" ht="15" hidden="false" customHeight="true" outlineLevel="0" collapsed="false">
      <c r="A72" s="140" t="n">
        <v>20</v>
      </c>
      <c r="B72" s="208" t="n">
        <f aca="false">$B$33</f>
        <v>73155</v>
      </c>
      <c r="C72" s="208" t="n">
        <f aca="false">MAX(0,C71-D71)</f>
        <v>0</v>
      </c>
      <c r="D72" s="208" t="n">
        <f aca="false">MIN(C72,B72)</f>
        <v>0</v>
      </c>
      <c r="E72" s="208" t="n">
        <f aca="false">MAX(0,E71+F71-G71)</f>
        <v>0</v>
      </c>
      <c r="F72" s="208" t="n">
        <f aca="false">E72*Assumptions!$B$59</f>
        <v>0</v>
      </c>
      <c r="G72" s="208" t="n">
        <f aca="false">MIN(E72+F72,MAX(0,B72-D72))</f>
        <v>0</v>
      </c>
    </row>
    <row r="73" customFormat="false" ht="15" hidden="false" customHeight="true" outlineLevel="0" collapsed="false">
      <c r="A73" s="140" t="n">
        <v>21</v>
      </c>
      <c r="B73" s="208" t="n">
        <f aca="false">$B$33</f>
        <v>73155</v>
      </c>
      <c r="C73" s="208" t="n">
        <f aca="false">MAX(0,C72-D72)</f>
        <v>0</v>
      </c>
      <c r="D73" s="208" t="n">
        <f aca="false">MIN(C73,B73)</f>
        <v>0</v>
      </c>
      <c r="E73" s="208" t="n">
        <f aca="false">MAX(0,E72+F72-G72)</f>
        <v>0</v>
      </c>
      <c r="F73" s="208" t="n">
        <f aca="false">E73*Assumptions!$B$59</f>
        <v>0</v>
      </c>
      <c r="G73" s="208" t="n">
        <f aca="false">MIN(E73+F73,MAX(0,B73-D73))</f>
        <v>0</v>
      </c>
    </row>
    <row r="74" customFormat="false" ht="15" hidden="false" customHeight="true" outlineLevel="0" collapsed="false">
      <c r="A74" s="140" t="n">
        <v>22</v>
      </c>
      <c r="B74" s="208" t="n">
        <f aca="false">$B$33</f>
        <v>73155</v>
      </c>
      <c r="C74" s="208" t="n">
        <f aca="false">MAX(0,C73-D73)</f>
        <v>0</v>
      </c>
      <c r="D74" s="208" t="n">
        <f aca="false">MIN(C74,B74)</f>
        <v>0</v>
      </c>
      <c r="E74" s="208" t="n">
        <f aca="false">MAX(0,E73+F73-G73)</f>
        <v>0</v>
      </c>
      <c r="F74" s="208" t="n">
        <f aca="false">E74*Assumptions!$B$59</f>
        <v>0</v>
      </c>
      <c r="G74" s="208" t="n">
        <f aca="false">MIN(E74+F74,MAX(0,B74-D74))</f>
        <v>0</v>
      </c>
    </row>
    <row r="75" customFormat="false" ht="15" hidden="false" customHeight="true" outlineLevel="0" collapsed="false">
      <c r="A75" s="140" t="n">
        <v>23</v>
      </c>
      <c r="B75" s="208" t="n">
        <f aca="false">$B$33</f>
        <v>73155</v>
      </c>
      <c r="C75" s="208" t="n">
        <f aca="false">MAX(0,C74-D74)</f>
        <v>0</v>
      </c>
      <c r="D75" s="208" t="n">
        <f aca="false">MIN(C75,B75)</f>
        <v>0</v>
      </c>
      <c r="E75" s="208" t="n">
        <f aca="false">MAX(0,E74+F74-G74)</f>
        <v>0</v>
      </c>
      <c r="F75" s="208" t="n">
        <f aca="false">E75*Assumptions!$B$59</f>
        <v>0</v>
      </c>
      <c r="G75" s="208" t="n">
        <f aca="false">MIN(E75+F75,MAX(0,B75-D75))</f>
        <v>0</v>
      </c>
    </row>
    <row r="76" customFormat="false" ht="15" hidden="false" customHeight="true" outlineLevel="0" collapsed="false">
      <c r="A76" s="140" t="n">
        <v>24</v>
      </c>
      <c r="B76" s="208" t="n">
        <f aca="false">$B$33</f>
        <v>73155</v>
      </c>
      <c r="C76" s="208" t="n">
        <f aca="false">MAX(0,C75-D75)</f>
        <v>0</v>
      </c>
      <c r="D76" s="208" t="n">
        <f aca="false">MIN(C76,B76)</f>
        <v>0</v>
      </c>
      <c r="E76" s="208" t="n">
        <f aca="false">MAX(0,E75+F75-G75)</f>
        <v>0</v>
      </c>
      <c r="F76" s="208" t="n">
        <f aca="false">E76*Assumptions!$B$59</f>
        <v>0</v>
      </c>
      <c r="G76" s="208" t="n">
        <f aca="false">MIN(E76+F76,MAX(0,B76-D76))</f>
        <v>0</v>
      </c>
    </row>
    <row r="77" customFormat="false" ht="15" hidden="false" customHeight="true" outlineLevel="0" collapsed="false">
      <c r="A77" s="140" t="n">
        <v>25</v>
      </c>
      <c r="B77" s="208" t="n">
        <f aca="false">$B$33</f>
        <v>73155</v>
      </c>
      <c r="C77" s="208" t="n">
        <f aca="false">MAX(0,C76-D76)</f>
        <v>0</v>
      </c>
      <c r="D77" s="208" t="n">
        <f aca="false">MIN(C77,B77)</f>
        <v>0</v>
      </c>
      <c r="E77" s="208" t="n">
        <f aca="false">MAX(0,E76+F76-G76)</f>
        <v>0</v>
      </c>
      <c r="F77" s="208" t="n">
        <f aca="false">E77*Assumptions!$B$59</f>
        <v>0</v>
      </c>
      <c r="G77" s="208" t="n">
        <f aca="false">MIN(E77+F77,MAX(0,B77-D77))</f>
        <v>0</v>
      </c>
    </row>
    <row r="78" customFormat="false" ht="15" hidden="false" customHeight="true" outlineLevel="0" collapsed="false">
      <c r="A78" s="140" t="n">
        <v>26</v>
      </c>
      <c r="B78" s="208" t="n">
        <f aca="false">$B$33</f>
        <v>73155</v>
      </c>
      <c r="C78" s="208" t="n">
        <f aca="false">MAX(0,C77-D77)</f>
        <v>0</v>
      </c>
      <c r="D78" s="208" t="n">
        <f aca="false">MIN(C78,B78)</f>
        <v>0</v>
      </c>
      <c r="E78" s="208" t="n">
        <f aca="false">MAX(0,E77+F77-G77)</f>
        <v>0</v>
      </c>
      <c r="F78" s="208" t="n">
        <f aca="false">E78*Assumptions!$B$59</f>
        <v>0</v>
      </c>
      <c r="G78" s="208" t="n">
        <f aca="false">MIN(E78+F78,MAX(0,B78-D78))</f>
        <v>0</v>
      </c>
    </row>
    <row r="79" customFormat="false" ht="15" hidden="false" customHeight="true" outlineLevel="0" collapsed="false">
      <c r="A79" s="140" t="n">
        <v>27</v>
      </c>
      <c r="B79" s="208" t="n">
        <f aca="false">$B$33</f>
        <v>73155</v>
      </c>
      <c r="C79" s="208" t="n">
        <f aca="false">MAX(0,C78-D78)</f>
        <v>0</v>
      </c>
      <c r="D79" s="208" t="n">
        <f aca="false">MIN(C79,B79)</f>
        <v>0</v>
      </c>
      <c r="E79" s="208" t="n">
        <f aca="false">MAX(0,E78+F78-G78)</f>
        <v>0</v>
      </c>
      <c r="F79" s="208" t="n">
        <f aca="false">E79*Assumptions!$B$59</f>
        <v>0</v>
      </c>
      <c r="G79" s="208" t="n">
        <f aca="false">MIN(E79+F79,MAX(0,B79-D79))</f>
        <v>0</v>
      </c>
    </row>
    <row r="80" customFormat="false" ht="15" hidden="false" customHeight="true" outlineLevel="0" collapsed="false">
      <c r="A80" s="140" t="n">
        <v>28</v>
      </c>
      <c r="B80" s="208" t="n">
        <f aca="false">$B$33</f>
        <v>73155</v>
      </c>
      <c r="C80" s="208" t="n">
        <f aca="false">MAX(0,C79-D79)</f>
        <v>0</v>
      </c>
      <c r="D80" s="208" t="n">
        <f aca="false">MIN(C80,B80)</f>
        <v>0</v>
      </c>
      <c r="E80" s="208" t="n">
        <f aca="false">MAX(0,E79+F79-G79)</f>
        <v>0</v>
      </c>
      <c r="F80" s="208" t="n">
        <f aca="false">E80*Assumptions!$B$59</f>
        <v>0</v>
      </c>
      <c r="G80" s="208" t="n">
        <f aca="false">MIN(E80+F80,MAX(0,B80-D80))</f>
        <v>0</v>
      </c>
    </row>
    <row r="81" customFormat="false" ht="15" hidden="false" customHeight="true" outlineLevel="0" collapsed="false">
      <c r="A81" s="140" t="n">
        <v>29</v>
      </c>
      <c r="B81" s="208" t="n">
        <f aca="false">$B$33</f>
        <v>73155</v>
      </c>
      <c r="C81" s="208" t="n">
        <f aca="false">MAX(0,C80-D80)</f>
        <v>0</v>
      </c>
      <c r="D81" s="208" t="n">
        <f aca="false">MIN(C81,B81)</f>
        <v>0</v>
      </c>
      <c r="E81" s="208" t="n">
        <f aca="false">MAX(0,E80+F80-G80)</f>
        <v>0</v>
      </c>
      <c r="F81" s="208" t="n">
        <f aca="false">E81*Assumptions!$B$59</f>
        <v>0</v>
      </c>
      <c r="G81" s="208" t="n">
        <f aca="false">MIN(E81+F81,MAX(0,B81-D81))</f>
        <v>0</v>
      </c>
    </row>
    <row r="82" customFormat="false" ht="15" hidden="false" customHeight="true" outlineLevel="0" collapsed="false">
      <c r="A82" s="140" t="n">
        <v>30</v>
      </c>
      <c r="B82" s="208" t="n">
        <f aca="false">$B$33</f>
        <v>73155</v>
      </c>
      <c r="C82" s="208" t="n">
        <f aca="false">MAX(0,C81-D81)</f>
        <v>0</v>
      </c>
      <c r="D82" s="208" t="n">
        <f aca="false">MIN(C82,B82)</f>
        <v>0</v>
      </c>
      <c r="E82" s="208" t="n">
        <f aca="false">MAX(0,E81+F81-G81)</f>
        <v>0</v>
      </c>
      <c r="F82" s="208" t="n">
        <f aca="false">E82*Assumptions!$B$59</f>
        <v>0</v>
      </c>
      <c r="G82" s="208" t="n">
        <f aca="false">MIN(E82+F82,MAX(0,B82-D82))</f>
        <v>0</v>
      </c>
    </row>
    <row r="83" customFormat="false" ht="15" hidden="false" customHeight="true" outlineLevel="0" collapsed="false">
      <c r="A83" s="140" t="n">
        <v>31</v>
      </c>
      <c r="B83" s="208" t="n">
        <f aca="false">$B$33</f>
        <v>73155</v>
      </c>
      <c r="C83" s="208" t="n">
        <f aca="false">MAX(0,C82-D82)</f>
        <v>0</v>
      </c>
      <c r="D83" s="208" t="n">
        <f aca="false">MIN(C83,B83)</f>
        <v>0</v>
      </c>
      <c r="E83" s="208" t="n">
        <f aca="false">MAX(0,E82+F82-G82)</f>
        <v>0</v>
      </c>
      <c r="F83" s="208" t="n">
        <f aca="false">E83*Assumptions!$B$59</f>
        <v>0</v>
      </c>
      <c r="G83" s="208" t="n">
        <f aca="false">MIN(E83+F83,MAX(0,B83-D83))</f>
        <v>0</v>
      </c>
    </row>
    <row r="84" customFormat="false" ht="15" hidden="false" customHeight="true" outlineLevel="0" collapsed="false">
      <c r="A84" s="140" t="n">
        <v>32</v>
      </c>
      <c r="B84" s="208" t="n">
        <f aca="false">$B$33</f>
        <v>73155</v>
      </c>
      <c r="C84" s="208" t="n">
        <f aca="false">MAX(0,C83-D83)</f>
        <v>0</v>
      </c>
      <c r="D84" s="208" t="n">
        <f aca="false">MIN(C84,B84)</f>
        <v>0</v>
      </c>
      <c r="E84" s="208" t="n">
        <f aca="false">MAX(0,E83+F83-G83)</f>
        <v>0</v>
      </c>
      <c r="F84" s="208" t="n">
        <f aca="false">E84*Assumptions!$B$59</f>
        <v>0</v>
      </c>
      <c r="G84" s="208" t="n">
        <f aca="false">MIN(E84+F84,MAX(0,B84-D84))</f>
        <v>0</v>
      </c>
    </row>
    <row r="85" customFormat="false" ht="15" hidden="false" customHeight="true" outlineLevel="0" collapsed="false">
      <c r="A85" s="140" t="n">
        <v>33</v>
      </c>
      <c r="B85" s="208" t="n">
        <f aca="false">$B$33</f>
        <v>73155</v>
      </c>
      <c r="C85" s="208" t="n">
        <f aca="false">MAX(0,C84-D84)</f>
        <v>0</v>
      </c>
      <c r="D85" s="208" t="n">
        <f aca="false">MIN(C85,B85)</f>
        <v>0</v>
      </c>
      <c r="E85" s="208" t="n">
        <f aca="false">MAX(0,E84+F84-G84)</f>
        <v>0</v>
      </c>
      <c r="F85" s="208" t="n">
        <f aca="false">E85*Assumptions!$B$59</f>
        <v>0</v>
      </c>
      <c r="G85" s="208" t="n">
        <f aca="false">MIN(E85+F85,MAX(0,B85-D85))</f>
        <v>0</v>
      </c>
    </row>
    <row r="86" customFormat="false" ht="15" hidden="false" customHeight="true" outlineLevel="0" collapsed="false">
      <c r="A86" s="140" t="n">
        <v>34</v>
      </c>
      <c r="B86" s="208" t="n">
        <f aca="false">$B$33</f>
        <v>73155</v>
      </c>
      <c r="C86" s="208" t="n">
        <f aca="false">MAX(0,C85-D85)</f>
        <v>0</v>
      </c>
      <c r="D86" s="208" t="n">
        <f aca="false">MIN(C86,B86)</f>
        <v>0</v>
      </c>
      <c r="E86" s="208" t="n">
        <f aca="false">MAX(0,E85+F85-G85)</f>
        <v>0</v>
      </c>
      <c r="F86" s="208" t="n">
        <f aca="false">E86*Assumptions!$B$59</f>
        <v>0</v>
      </c>
      <c r="G86" s="208" t="n">
        <f aca="false">MIN(E86+F86,MAX(0,B86-D86))</f>
        <v>0</v>
      </c>
    </row>
    <row r="87" customFormat="false" ht="15" hidden="false" customHeight="true" outlineLevel="0" collapsed="false">
      <c r="A87" s="140" t="n">
        <v>35</v>
      </c>
      <c r="B87" s="208" t="n">
        <f aca="false">$B$33</f>
        <v>73155</v>
      </c>
      <c r="C87" s="208" t="n">
        <f aca="false">MAX(0,C86-D86)</f>
        <v>0</v>
      </c>
      <c r="D87" s="208" t="n">
        <f aca="false">MIN(C87,B87)</f>
        <v>0</v>
      </c>
      <c r="E87" s="208" t="n">
        <f aca="false">MAX(0,E86+F86-G86)</f>
        <v>0</v>
      </c>
      <c r="F87" s="208" t="n">
        <f aca="false">E87*Assumptions!$B$59</f>
        <v>0</v>
      </c>
      <c r="G87" s="208" t="n">
        <f aca="false">MIN(E87+F87,MAX(0,B87-D87))</f>
        <v>0</v>
      </c>
    </row>
    <row r="88" customFormat="false" ht="15" hidden="false" customHeight="true" outlineLevel="0" collapsed="false">
      <c r="A88" s="140" t="n">
        <v>36</v>
      </c>
      <c r="B88" s="208" t="n">
        <f aca="false">$B$33</f>
        <v>73155</v>
      </c>
      <c r="C88" s="208" t="n">
        <f aca="false">MAX(0,C87-D87)</f>
        <v>0</v>
      </c>
      <c r="D88" s="208" t="n">
        <f aca="false">MIN(C88,B88)</f>
        <v>0</v>
      </c>
      <c r="E88" s="208" t="n">
        <f aca="false">MAX(0,E87+F87-G87)</f>
        <v>0</v>
      </c>
      <c r="F88" s="208" t="n">
        <f aca="false">E88*Assumptions!$B$59</f>
        <v>0</v>
      </c>
      <c r="G88" s="208" t="n">
        <f aca="false">MIN(E88+F88,MAX(0,B88-D88))</f>
        <v>0</v>
      </c>
    </row>
    <row r="89" customFormat="false" ht="15" hidden="false" customHeight="true" outlineLevel="0" collapsed="false">
      <c r="A89" s="140" t="n">
        <v>37</v>
      </c>
      <c r="B89" s="208" t="n">
        <f aca="false">$B$33</f>
        <v>73155</v>
      </c>
      <c r="C89" s="208" t="n">
        <f aca="false">MAX(0,C88-D88)</f>
        <v>0</v>
      </c>
      <c r="D89" s="208" t="n">
        <f aca="false">MIN(C89,B89)</f>
        <v>0</v>
      </c>
      <c r="E89" s="208" t="n">
        <f aca="false">MAX(0,E88+F88-G88)</f>
        <v>0</v>
      </c>
      <c r="F89" s="208" t="n">
        <f aca="false">E89*Assumptions!$B$59</f>
        <v>0</v>
      </c>
      <c r="G89" s="208" t="n">
        <f aca="false">MIN(E89+F89,MAX(0,B89-D89))</f>
        <v>0</v>
      </c>
    </row>
    <row r="90" customFormat="false" ht="15" hidden="false" customHeight="true" outlineLevel="0" collapsed="false">
      <c r="A90" s="140" t="n">
        <v>38</v>
      </c>
      <c r="B90" s="208" t="n">
        <f aca="false">$B$33</f>
        <v>73155</v>
      </c>
      <c r="C90" s="208" t="n">
        <f aca="false">MAX(0,C89-D89)</f>
        <v>0</v>
      </c>
      <c r="D90" s="208" t="n">
        <f aca="false">MIN(C90,B90)</f>
        <v>0</v>
      </c>
      <c r="E90" s="208" t="n">
        <f aca="false">MAX(0,E89+F89-G89)</f>
        <v>0</v>
      </c>
      <c r="F90" s="208" t="n">
        <f aca="false">E90*Assumptions!$B$59</f>
        <v>0</v>
      </c>
      <c r="G90" s="208" t="n">
        <f aca="false">MIN(E90+F90,MAX(0,B90-D90))</f>
        <v>0</v>
      </c>
    </row>
    <row r="91" customFormat="false" ht="15" hidden="false" customHeight="true" outlineLevel="0" collapsed="false">
      <c r="A91" s="140" t="n">
        <v>39</v>
      </c>
      <c r="B91" s="208" t="n">
        <f aca="false">$B$33</f>
        <v>73155</v>
      </c>
      <c r="C91" s="208" t="n">
        <f aca="false">MAX(0,C90-D90)</f>
        <v>0</v>
      </c>
      <c r="D91" s="208" t="n">
        <f aca="false">MIN(C91,B91)</f>
        <v>0</v>
      </c>
      <c r="E91" s="208" t="n">
        <f aca="false">MAX(0,E90+F90-G90)</f>
        <v>0</v>
      </c>
      <c r="F91" s="208" t="n">
        <f aca="false">E91*Assumptions!$B$59</f>
        <v>0</v>
      </c>
      <c r="G91" s="208" t="n">
        <f aca="false">MIN(E91+F91,MAX(0,B91-D91))</f>
        <v>0</v>
      </c>
    </row>
    <row r="92" customFormat="false" ht="15" hidden="false" customHeight="true" outlineLevel="0" collapsed="false">
      <c r="A92" s="140" t="n">
        <v>40</v>
      </c>
      <c r="B92" s="208" t="n">
        <f aca="false">$B$33</f>
        <v>73155</v>
      </c>
      <c r="C92" s="208" t="n">
        <f aca="false">MAX(0,C91-D91)</f>
        <v>0</v>
      </c>
      <c r="D92" s="208" t="n">
        <f aca="false">MIN(C92,B92)</f>
        <v>0</v>
      </c>
      <c r="E92" s="208" t="n">
        <f aca="false">MAX(0,E91+F91-G91)</f>
        <v>0</v>
      </c>
      <c r="F92" s="208" t="n">
        <f aca="false">E92*Assumptions!$B$59</f>
        <v>0</v>
      </c>
      <c r="G92" s="208" t="n">
        <f aca="false">MIN(E92+F92,MAX(0,B92-D92))</f>
        <v>0</v>
      </c>
    </row>
    <row r="93" customFormat="false" ht="15" hidden="false" customHeight="true" outlineLevel="0" collapsed="false">
      <c r="A93" s="299" t="s">
        <v>840</v>
      </c>
      <c r="D93" s="301" t="n">
        <f aca="false">SUM(D53:D92)</f>
        <v>270925.32</v>
      </c>
      <c r="F93" s="301" t="n">
        <f aca="false">SUM(F53:F92)</f>
        <v>240125.881206445</v>
      </c>
      <c r="G93" s="301" t="n">
        <f aca="false">SUM(G53:G92)</f>
        <v>810147.428211617</v>
      </c>
    </row>
    <row r="95" customFormat="false" ht="15" hidden="false" customHeight="true" outlineLevel="0" collapsed="false">
      <c r="A95" s="302" t="s">
        <v>841</v>
      </c>
    </row>
    <row r="96" customFormat="false" ht="15" hidden="false" customHeight="true" outlineLevel="0" collapsed="false">
      <c r="A96" s="82" t="s">
        <v>842</v>
      </c>
      <c r="B96" s="303" t="n">
        <f aca="false">SUM(Actuals!C112:N112)</f>
        <v>-1293870.53</v>
      </c>
      <c r="C96" s="83" t="n">
        <f aca="false">IF(AND(Projects!$G$17="Yes",-2&gt;=Projects!$C$17,-2&lt;Projects!$C$17+Projects!$D$17),Projects!$B$17*INDEX(Curves!$B$4:$AR$4,1,-2-Projects!$C$17+1),0)+IF(AND(Projects!$G$18="Yes",-2&gt;=Projects!$C$18,-2&lt;Projects!$C$18+Projects!$D$18),Projects!$B$18*INDEX(Curves!$B$4:$AR$4,1,-2-Projects!$C$18+1),0)+IF(AND(Projects!$G$19="Yes",-2&gt;=Projects!$C$19,-2&lt;Projects!$C$19+Projects!$D$19),Projects!$B$19*INDEX(Curves!$B$4:$AR$4,1,-2-Projects!$C$19+1),0)+IF(AND(Projects!$G$20="Yes",-2&gt;=Projects!$C$20,-2&lt;Projects!$C$20+Projects!$D$20),Projects!$B$20*INDEX(Curves!$B$4:$AR$4,1,-2-Projects!$C$20+1),0)+IF(AND(Projects!$G$21="Yes",-2&gt;=Projects!$C$21,-2&lt;Projects!$C$21+Projects!$D$21),Projects!$B$21*INDEX(Curves!$B$4:$AR$4,1,-2-Projects!$C$21+1),0)+IF(AND(Projects!$G$22="Yes",-2&gt;=Projects!$C$22,-2&lt;Projects!$C$22+Projects!$D$22),Projects!$B$22*INDEX(Curves!$B$4:$AR$4,1,-2-Projects!$C$22+1),0)+IF(AND(Projects!$G$23="Yes",-2&gt;=Projects!$C$23,-2&lt;Projects!$C$23+Projects!$D$23),Projects!$B$23*INDEX(Curves!$B$4:$AR$4,1,-2-Projects!$C$23+1),0)+IF(AND(Projects!$G$24="Yes",-2&gt;=Projects!$C$24,-2&lt;Projects!$C$24+Projects!$D$24),Projects!$B$24*INDEX(Curves!$B$4:$AR$4,1,-2-Projects!$C$24+1),0)+IF(AND(Projects!$G$25="Yes",-2&gt;=Projects!$C$25,-2&lt;Projects!$C$25+Projects!$D$25),Projects!$B$25*INDEX(Curves!$B$4:$AR$4,1,-2-Projects!$C$25+1),0)+IF(AND(Projects!$G$26="Yes",-2&gt;=Projects!$C$26,-2&lt;Projects!$C$26+Projects!$D$26),Projects!$B$26*INDEX(Curves!$B$4:$AR$4,1,-2-Projects!$C$26+1),0)+IF(AND(Projects!$G$27="Yes",-2&gt;=Projects!$C$27,-2&lt;Projects!$C$27+Projects!$D$27),Projects!$B$27*INDEX(Curves!$B$4:$AR$4,1,-2-Projects!$C$27+1),0)+IF(AND(Projects!$G$28="Yes",-2&gt;=Projects!$C$28,-2&lt;Projects!$C$28+Projects!$D$28),Projects!$B$28*INDEX(Curves!$B$4:$AR$4,1,-2-Projects!$C$28+1),0)+IF(AND(Projects!$G$29="Yes",-2&gt;=Projects!$C$29,-2&lt;Projects!$C$29+Projects!$D$29),Projects!$B$29*INDEX(Curves!$B$4:$AR$4,1,-2-Projects!$C$29+1),0)+IF(AND(Projects!$G$30="Yes",-2&gt;=Projects!$C$30,-2&lt;Projects!$C$30+Projects!$D$30),Projects!$B$30*INDEX(Curves!$B$4:$AR$4,1,-2-Projects!$C$30+1),0)+IF(AND(Projects!$G$31="Yes",-2&gt;=Projects!$C$31,-2&lt;Projects!$C$31+Projects!$D$31),Projects!$B$31*INDEX(Curves!$B$4:$AR$4,1,-2-Projects!$C$31+1),0)+IF(AND(Projects!$G$32="Yes",-2&gt;=Projects!$C$32,-2&lt;Projects!$C$32+Projects!$D$32),Projects!$B$32*INDEX(Curves!$B$4:$AR$4,1,-2-Projects!$C$32+1),0)+IF(AND(Projects!$G$33="Yes",-2&gt;=Projects!$C$33,-2&lt;Projects!$C$33+Projects!$D$33),Projects!$B$33*INDEX(Curves!$B$4:$AR$4,1,-2-Projects!$C$33+1),0)+IF(AND(Projects!$G$34="Yes",-2&gt;=Projects!$C$34,-2&lt;Projects!$C$34+Projects!$D$34),Projects!$B$34*INDEX(Curves!$B$4:$AR$4,1,-2-Projects!$C$34+1),0)+IF(AND(Projects!$G$35="Yes",-2&gt;=Projects!$C$35,-2&lt;Projects!$C$35+Projects!$D$35),Projects!$B$35*INDEX(Curves!$B$4:$AR$4,1,-2-Projects!$C$35+1),0)+IF(AND(Projects!$G$36="Yes",-2&gt;=Projects!$C$36,-2&lt;Projects!$C$36+Projects!$D$36),Projects!$B$36*INDEX(Curves!$B$4:$AR$4,1,-2-Projects!$C$36+1),0)+IF(AND(Projects!$G$37="Yes",-2&gt;=Projects!$C$37,-2&lt;Projects!$C$37+Projects!$D$37),Projects!$B$37*INDEX(Curves!$B$4:$AR$4,1,-2-Projects!$C$37+1),0)+IF(AND(Projects!$G$38="Yes",-2&gt;=Projects!$C$38,-2&lt;Projects!$C$38+Projects!$D$38),Projects!$B$38*INDEX(Curves!$B$4:$AR$4,1,-2-Projects!$C$38+1),0)+IF(AND(Projects!$G$39="Yes",-2&gt;=Projects!$C$39,-2&lt;Projects!$C$39+Projects!$D$39),Projects!$B$39*INDEX(Curves!$B$4:$AR$4,1,-2-Projects!$C$39+1),0)+IF(AND(Projects!$G$40="Yes",-2&gt;=Projects!$C$40,-2&lt;Projects!$C$40+Projects!$D$40),Projects!$B$40*INDEX(Curves!$B$4:$AR$4,1,-2-Projects!$C$40+1),0)+IF(AND(Projects!$G$41="Yes",-2&gt;=Projects!$C$41,-2&lt;Projects!$C$41+Projects!$D$41),Projects!$B$41*INDEX(Curves!$B$4:$AR$4,1,-2-Projects!$C$41+1),0)+IF(AND(Projects!$G$42="Yes",-2&gt;=Projects!$C$42,-2&lt;Projects!$C$42+Projects!$D$42),Projects!$B$42*INDEX(Curves!$B$4:$AR$4,1,-2-Projects!$C$42+1),0)+IF(AND(Projects!$G$43="Yes",-2&gt;=Projects!$C$43,-2&lt;Projects!$C$43+Projects!$D$43),Projects!$B$43*INDEX(Curves!$B$4:$AR$4,1,-2-Projects!$C$43+1),0)+IF(AND(Projects!$G$44="Yes",-2&gt;=Projects!$C$44,-2&lt;Projects!$C$44+Projects!$D$44),Projects!$B$44*INDEX(Curves!$B$4:$AR$4,1,-2-Projects!$C$44+1),0)+IF(AND(Projects!$G$45="Yes",-2&gt;=Projects!$C$45,-2&lt;Projects!$C$45+Projects!$D$45),Projects!$B$45*INDEX(Curves!$B$4:$AR$4,1,-2-Projects!$C$45+1),0)+IF(AND(Projects!$G$46="Yes",-2&gt;=Projects!$C$46,-2&lt;Projects!$C$46+Projects!$D$46),Projects!$B$46*INDEX(Curves!$B$4:$AR$4,1,-2-Projects!$C$46+1),0)</f>
        <v>0</v>
      </c>
      <c r="D96" s="83" t="n">
        <f aca="false">IF(AND(Projects!$G$17="Yes",-1&gt;=Projects!$C$17,-1&lt;Projects!$C$17+Projects!$D$17),Projects!$B$17*INDEX(Curves!$B$4:$AR$4,1,-1-Projects!$C$17+1),0)+IF(AND(Projects!$G$18="Yes",-1&gt;=Projects!$C$18,-1&lt;Projects!$C$18+Projects!$D$18),Projects!$B$18*INDEX(Curves!$B$4:$AR$4,1,-1-Projects!$C$18+1),0)+IF(AND(Projects!$G$19="Yes",-1&gt;=Projects!$C$19,-1&lt;Projects!$C$19+Projects!$D$19),Projects!$B$19*INDEX(Curves!$B$4:$AR$4,1,-1-Projects!$C$19+1),0)+IF(AND(Projects!$G$20="Yes",-1&gt;=Projects!$C$20,-1&lt;Projects!$C$20+Projects!$D$20),Projects!$B$20*INDEX(Curves!$B$4:$AR$4,1,-1-Projects!$C$20+1),0)+IF(AND(Projects!$G$21="Yes",-1&gt;=Projects!$C$21,-1&lt;Projects!$C$21+Projects!$D$21),Projects!$B$21*INDEX(Curves!$B$4:$AR$4,1,-1-Projects!$C$21+1),0)+IF(AND(Projects!$G$22="Yes",-1&gt;=Projects!$C$22,-1&lt;Projects!$C$22+Projects!$D$22),Projects!$B$22*INDEX(Curves!$B$4:$AR$4,1,-1-Projects!$C$22+1),0)+IF(AND(Projects!$G$23="Yes",-1&gt;=Projects!$C$23,-1&lt;Projects!$C$23+Projects!$D$23),Projects!$B$23*INDEX(Curves!$B$4:$AR$4,1,-1-Projects!$C$23+1),0)+IF(AND(Projects!$G$24="Yes",-1&gt;=Projects!$C$24,-1&lt;Projects!$C$24+Projects!$D$24),Projects!$B$24*INDEX(Curves!$B$4:$AR$4,1,-1-Projects!$C$24+1),0)+IF(AND(Projects!$G$25="Yes",-1&gt;=Projects!$C$25,-1&lt;Projects!$C$25+Projects!$D$25),Projects!$B$25*INDEX(Curves!$B$4:$AR$4,1,-1-Projects!$C$25+1),0)+IF(AND(Projects!$G$26="Yes",-1&gt;=Projects!$C$26,-1&lt;Projects!$C$26+Projects!$D$26),Projects!$B$26*INDEX(Curves!$B$4:$AR$4,1,-1-Projects!$C$26+1),0)+IF(AND(Projects!$G$27="Yes",-1&gt;=Projects!$C$27,-1&lt;Projects!$C$27+Projects!$D$27),Projects!$B$27*INDEX(Curves!$B$4:$AR$4,1,-1-Projects!$C$27+1),0)+IF(AND(Projects!$G$28="Yes",-1&gt;=Projects!$C$28,-1&lt;Projects!$C$28+Projects!$D$28),Projects!$B$28*INDEX(Curves!$B$4:$AR$4,1,-1-Projects!$C$28+1),0)+IF(AND(Projects!$G$29="Yes",-1&gt;=Projects!$C$29,-1&lt;Projects!$C$29+Projects!$D$29),Projects!$B$29*INDEX(Curves!$B$4:$AR$4,1,-1-Projects!$C$29+1),0)+IF(AND(Projects!$G$30="Yes",-1&gt;=Projects!$C$30,-1&lt;Projects!$C$30+Projects!$D$30),Projects!$B$30*INDEX(Curves!$B$4:$AR$4,1,-1-Projects!$C$30+1),0)+IF(AND(Projects!$G$31="Yes",-1&gt;=Projects!$C$31,-1&lt;Projects!$C$31+Projects!$D$31),Projects!$B$31*INDEX(Curves!$B$4:$AR$4,1,-1-Projects!$C$31+1),0)+IF(AND(Projects!$G$32="Yes",-1&gt;=Projects!$C$32,-1&lt;Projects!$C$32+Projects!$D$32),Projects!$B$32*INDEX(Curves!$B$4:$AR$4,1,-1-Projects!$C$32+1),0)+IF(AND(Projects!$G$33="Yes",-1&gt;=Projects!$C$33,-1&lt;Projects!$C$33+Projects!$D$33),Projects!$B$33*INDEX(Curves!$B$4:$AR$4,1,-1-Projects!$C$33+1),0)+IF(AND(Projects!$G$34="Yes",-1&gt;=Projects!$C$34,-1&lt;Projects!$C$34+Projects!$D$34),Projects!$B$34*INDEX(Curves!$B$4:$AR$4,1,-1-Projects!$C$34+1),0)+IF(AND(Projects!$G$35="Yes",-1&gt;=Projects!$C$35,-1&lt;Projects!$C$35+Projects!$D$35),Projects!$B$35*INDEX(Curves!$B$4:$AR$4,1,-1-Projects!$C$35+1),0)+IF(AND(Projects!$G$36="Yes",-1&gt;=Projects!$C$36,-1&lt;Projects!$C$36+Projects!$D$36),Projects!$B$36*INDEX(Curves!$B$4:$AR$4,1,-1-Projects!$C$36+1),0)+IF(AND(Projects!$G$37="Yes",-1&gt;=Projects!$C$37,-1&lt;Projects!$C$37+Projects!$D$37),Projects!$B$37*INDEX(Curves!$B$4:$AR$4,1,-1-Projects!$C$37+1),0)+IF(AND(Projects!$G$38="Yes",-1&gt;=Projects!$C$38,-1&lt;Projects!$C$38+Projects!$D$38),Projects!$B$38*INDEX(Curves!$B$4:$AR$4,1,-1-Projects!$C$38+1),0)+IF(AND(Projects!$G$39="Yes",-1&gt;=Projects!$C$39,-1&lt;Projects!$C$39+Projects!$D$39),Projects!$B$39*INDEX(Curves!$B$4:$AR$4,1,-1-Projects!$C$39+1),0)+IF(AND(Projects!$G$40="Yes",-1&gt;=Projects!$C$40,-1&lt;Projects!$C$40+Projects!$D$40),Projects!$B$40*INDEX(Curves!$B$4:$AR$4,1,-1-Projects!$C$40+1),0)+IF(AND(Projects!$G$41="Yes",-1&gt;=Projects!$C$41,-1&lt;Projects!$C$41+Projects!$D$41),Projects!$B$41*INDEX(Curves!$B$4:$AR$4,1,-1-Projects!$C$41+1),0)+IF(AND(Projects!$G$42="Yes",-1&gt;=Projects!$C$42,-1&lt;Projects!$C$42+Projects!$D$42),Projects!$B$42*INDEX(Curves!$B$4:$AR$4,1,-1-Projects!$C$42+1),0)+IF(AND(Projects!$G$43="Yes",-1&gt;=Projects!$C$43,-1&lt;Projects!$C$43+Projects!$D$43),Projects!$B$43*INDEX(Curves!$B$4:$AR$4,1,-1-Projects!$C$43+1),0)+IF(AND(Projects!$G$44="Yes",-1&gt;=Projects!$C$44,-1&lt;Projects!$C$44+Projects!$D$44),Projects!$B$44*INDEX(Curves!$B$4:$AR$4,1,-1-Projects!$C$44+1),0)+IF(AND(Projects!$G$45="Yes",-1&gt;=Projects!$C$45,-1&lt;Projects!$C$45+Projects!$D$45),Projects!$B$45*INDEX(Curves!$B$4:$AR$4,1,-1-Projects!$C$45+1),0)+IF(AND(Projects!$G$46="Yes",-1&gt;=Projects!$C$46,-1&lt;Projects!$C$46+Projects!$D$46),Projects!$B$46*INDEX(Curves!$B$4:$AR$4,1,-1-Projects!$C$46+1),0)</f>
        <v>0</v>
      </c>
      <c r="E96" s="83" t="n">
        <f aca="false">IF(AND(Projects!$G$17="Yes",0&gt;=Projects!$C$17,0&lt;Projects!$C$17+Projects!$D$17),Projects!$B$17*INDEX(Curves!$B$4:$AR$4,1,0-Projects!$C$17+1),0)+IF(AND(Projects!$G$18="Yes",0&gt;=Projects!$C$18,0&lt;Projects!$C$18+Projects!$D$18),Projects!$B$18*INDEX(Curves!$B$4:$AR$4,1,0-Projects!$C$18+1),0)+IF(AND(Projects!$G$19="Yes",0&gt;=Projects!$C$19,0&lt;Projects!$C$19+Projects!$D$19),Projects!$B$19*INDEX(Curves!$B$4:$AR$4,1,0-Projects!$C$19+1),0)+IF(AND(Projects!$G$20="Yes",0&gt;=Projects!$C$20,0&lt;Projects!$C$20+Projects!$D$20),Projects!$B$20*INDEX(Curves!$B$4:$AR$4,1,0-Projects!$C$20+1),0)+IF(AND(Projects!$G$21="Yes",0&gt;=Projects!$C$21,0&lt;Projects!$C$21+Projects!$D$21),Projects!$B$21*INDEX(Curves!$B$4:$AR$4,1,0-Projects!$C$21+1),0)+IF(AND(Projects!$G$22="Yes",0&gt;=Projects!$C$22,0&lt;Projects!$C$22+Projects!$D$22),Projects!$B$22*INDEX(Curves!$B$4:$AR$4,1,0-Projects!$C$22+1),0)+IF(AND(Projects!$G$23="Yes",0&gt;=Projects!$C$23,0&lt;Projects!$C$23+Projects!$D$23),Projects!$B$23*INDEX(Curves!$B$4:$AR$4,1,0-Projects!$C$23+1),0)+IF(AND(Projects!$G$24="Yes",0&gt;=Projects!$C$24,0&lt;Projects!$C$24+Projects!$D$24),Projects!$B$24*INDEX(Curves!$B$4:$AR$4,1,0-Projects!$C$24+1),0)+IF(AND(Projects!$G$25="Yes",0&gt;=Projects!$C$25,0&lt;Projects!$C$25+Projects!$D$25),Projects!$B$25*INDEX(Curves!$B$4:$AR$4,1,0-Projects!$C$25+1),0)+IF(AND(Projects!$G$26="Yes",0&gt;=Projects!$C$26,0&lt;Projects!$C$26+Projects!$D$26),Projects!$B$26*INDEX(Curves!$B$4:$AR$4,1,0-Projects!$C$26+1),0)+IF(AND(Projects!$G$27="Yes",0&gt;=Projects!$C$27,0&lt;Projects!$C$27+Projects!$D$27),Projects!$B$27*INDEX(Curves!$B$4:$AR$4,1,0-Projects!$C$27+1),0)+IF(AND(Projects!$G$28="Yes",0&gt;=Projects!$C$28,0&lt;Projects!$C$28+Projects!$D$28),Projects!$B$28*INDEX(Curves!$B$4:$AR$4,1,0-Projects!$C$28+1),0)+IF(AND(Projects!$G$29="Yes",0&gt;=Projects!$C$29,0&lt;Projects!$C$29+Projects!$D$29),Projects!$B$29*INDEX(Curves!$B$4:$AR$4,1,0-Projects!$C$29+1),0)+IF(AND(Projects!$G$30="Yes",0&gt;=Projects!$C$30,0&lt;Projects!$C$30+Projects!$D$30),Projects!$B$30*INDEX(Curves!$B$4:$AR$4,1,0-Projects!$C$30+1),0)+IF(AND(Projects!$G$31="Yes",0&gt;=Projects!$C$31,0&lt;Projects!$C$31+Projects!$D$31),Projects!$B$31*INDEX(Curves!$B$4:$AR$4,1,0-Projects!$C$31+1),0)+IF(AND(Projects!$G$32="Yes",0&gt;=Projects!$C$32,0&lt;Projects!$C$32+Projects!$D$32),Projects!$B$32*INDEX(Curves!$B$4:$AR$4,1,0-Projects!$C$32+1),0)+IF(AND(Projects!$G$33="Yes",0&gt;=Projects!$C$33,0&lt;Projects!$C$33+Projects!$D$33),Projects!$B$33*INDEX(Curves!$B$4:$AR$4,1,0-Projects!$C$33+1),0)+IF(AND(Projects!$G$34="Yes",0&gt;=Projects!$C$34,0&lt;Projects!$C$34+Projects!$D$34),Projects!$B$34*INDEX(Curves!$B$4:$AR$4,1,0-Projects!$C$34+1),0)+IF(AND(Projects!$G$35="Yes",0&gt;=Projects!$C$35,0&lt;Projects!$C$35+Projects!$D$35),Projects!$B$35*INDEX(Curves!$B$4:$AR$4,1,0-Projects!$C$35+1),0)+IF(AND(Projects!$G$36="Yes",0&gt;=Projects!$C$36,0&lt;Projects!$C$36+Projects!$D$36),Projects!$B$36*INDEX(Curves!$B$4:$AR$4,1,0-Projects!$C$36+1),0)+IF(AND(Projects!$G$37="Yes",0&gt;=Projects!$C$37,0&lt;Projects!$C$37+Projects!$D$37),Projects!$B$37*INDEX(Curves!$B$4:$AR$4,1,0-Projects!$C$37+1),0)+IF(AND(Projects!$G$38="Yes",0&gt;=Projects!$C$38,0&lt;Projects!$C$38+Projects!$D$38),Projects!$B$38*INDEX(Curves!$B$4:$AR$4,1,0-Projects!$C$38+1),0)+IF(AND(Projects!$G$39="Yes",0&gt;=Projects!$C$39,0&lt;Projects!$C$39+Projects!$D$39),Projects!$B$39*INDEX(Curves!$B$4:$AR$4,1,0-Projects!$C$39+1),0)+IF(AND(Projects!$G$40="Yes",0&gt;=Projects!$C$40,0&lt;Projects!$C$40+Projects!$D$40),Projects!$B$40*INDEX(Curves!$B$4:$AR$4,1,0-Projects!$C$40+1),0)+IF(AND(Projects!$G$41="Yes",0&gt;=Projects!$C$41,0&lt;Projects!$C$41+Projects!$D$41),Projects!$B$41*INDEX(Curves!$B$4:$AR$4,1,0-Projects!$C$41+1),0)+IF(AND(Projects!$G$42="Yes",0&gt;=Projects!$C$42,0&lt;Projects!$C$42+Projects!$D$42),Projects!$B$42*INDEX(Curves!$B$4:$AR$4,1,0-Projects!$C$42+1),0)+IF(AND(Projects!$G$43="Yes",0&gt;=Projects!$C$43,0&lt;Projects!$C$43+Projects!$D$43),Projects!$B$43*INDEX(Curves!$B$4:$AR$4,1,0-Projects!$C$43+1),0)+IF(AND(Projects!$G$44="Yes",0&gt;=Projects!$C$44,0&lt;Projects!$C$44+Projects!$D$44),Projects!$B$44*INDEX(Curves!$B$4:$AR$4,1,0-Projects!$C$44+1),0)+IF(AND(Projects!$G$45="Yes",0&gt;=Projects!$C$45,0&lt;Projects!$C$45+Projects!$D$45),Projects!$B$45*INDEX(Curves!$B$4:$AR$4,1,0-Projects!$C$45+1),0)+IF(AND(Projects!$G$46="Yes",0&gt;=Projects!$C$46,0&lt;Projects!$C$46+Projects!$D$46),Projects!$B$46*INDEX(Curves!$B$4:$AR$4,1,0-Projects!$C$46+1),0)</f>
        <v>0</v>
      </c>
      <c r="F96" s="83" t="n">
        <f aca="false">IF(AND(Projects!$G$17="Yes",1&gt;=Projects!$C$17,1&lt;Projects!$C$17+Projects!$D$17),Projects!$B$17*INDEX(Curves!$B$4:$AR$4,1,1-Projects!$C$17+1),0)+IF(AND(Projects!$G$18="Yes",1&gt;=Projects!$C$18,1&lt;Projects!$C$18+Projects!$D$18),Projects!$B$18*INDEX(Curves!$B$4:$AR$4,1,1-Projects!$C$18+1),0)+IF(AND(Projects!$G$19="Yes",1&gt;=Projects!$C$19,1&lt;Projects!$C$19+Projects!$D$19),Projects!$B$19*INDEX(Curves!$B$4:$AR$4,1,1-Projects!$C$19+1),0)+IF(AND(Projects!$G$20="Yes",1&gt;=Projects!$C$20,1&lt;Projects!$C$20+Projects!$D$20),Projects!$B$20*INDEX(Curves!$B$4:$AR$4,1,1-Projects!$C$20+1),0)+IF(AND(Projects!$G$21="Yes",1&gt;=Projects!$C$21,1&lt;Projects!$C$21+Projects!$D$21),Projects!$B$21*INDEX(Curves!$B$4:$AR$4,1,1-Projects!$C$21+1),0)+IF(AND(Projects!$G$22="Yes",1&gt;=Projects!$C$22,1&lt;Projects!$C$22+Projects!$D$22),Projects!$B$22*INDEX(Curves!$B$4:$AR$4,1,1-Projects!$C$22+1),0)+IF(AND(Projects!$G$23="Yes",1&gt;=Projects!$C$23,1&lt;Projects!$C$23+Projects!$D$23),Projects!$B$23*INDEX(Curves!$B$4:$AR$4,1,1-Projects!$C$23+1),0)+IF(AND(Projects!$G$24="Yes",1&gt;=Projects!$C$24,1&lt;Projects!$C$24+Projects!$D$24),Projects!$B$24*INDEX(Curves!$B$4:$AR$4,1,1-Projects!$C$24+1),0)+IF(AND(Projects!$G$25="Yes",1&gt;=Projects!$C$25,1&lt;Projects!$C$25+Projects!$D$25),Projects!$B$25*INDEX(Curves!$B$4:$AR$4,1,1-Projects!$C$25+1),0)+IF(AND(Projects!$G$26="Yes",1&gt;=Projects!$C$26,1&lt;Projects!$C$26+Projects!$D$26),Projects!$B$26*INDEX(Curves!$B$4:$AR$4,1,1-Projects!$C$26+1),0)+IF(AND(Projects!$G$27="Yes",1&gt;=Projects!$C$27,1&lt;Projects!$C$27+Projects!$D$27),Projects!$B$27*INDEX(Curves!$B$4:$AR$4,1,1-Projects!$C$27+1),0)+IF(AND(Projects!$G$28="Yes",1&gt;=Projects!$C$28,1&lt;Projects!$C$28+Projects!$D$28),Projects!$B$28*INDEX(Curves!$B$4:$AR$4,1,1-Projects!$C$28+1),0)+IF(AND(Projects!$G$29="Yes",1&gt;=Projects!$C$29,1&lt;Projects!$C$29+Projects!$D$29),Projects!$B$29*INDEX(Curves!$B$4:$AR$4,1,1-Projects!$C$29+1),0)+IF(AND(Projects!$G$30="Yes",1&gt;=Projects!$C$30,1&lt;Projects!$C$30+Projects!$D$30),Projects!$B$30*INDEX(Curves!$B$4:$AR$4,1,1-Projects!$C$30+1),0)+IF(AND(Projects!$G$31="Yes",1&gt;=Projects!$C$31,1&lt;Projects!$C$31+Projects!$D$31),Projects!$B$31*INDEX(Curves!$B$4:$AR$4,1,1-Projects!$C$31+1),0)+IF(AND(Projects!$G$32="Yes",1&gt;=Projects!$C$32,1&lt;Projects!$C$32+Projects!$D$32),Projects!$B$32*INDEX(Curves!$B$4:$AR$4,1,1-Projects!$C$32+1),0)+IF(AND(Projects!$G$33="Yes",1&gt;=Projects!$C$33,1&lt;Projects!$C$33+Projects!$D$33),Projects!$B$33*INDEX(Curves!$B$4:$AR$4,1,1-Projects!$C$33+1),0)+IF(AND(Projects!$G$34="Yes",1&gt;=Projects!$C$34,1&lt;Projects!$C$34+Projects!$D$34),Projects!$B$34*INDEX(Curves!$B$4:$AR$4,1,1-Projects!$C$34+1),0)+IF(AND(Projects!$G$35="Yes",1&gt;=Projects!$C$35,1&lt;Projects!$C$35+Projects!$D$35),Projects!$B$35*INDEX(Curves!$B$4:$AR$4,1,1-Projects!$C$35+1),0)+IF(AND(Projects!$G$36="Yes",1&gt;=Projects!$C$36,1&lt;Projects!$C$36+Projects!$D$36),Projects!$B$36*INDEX(Curves!$B$4:$AR$4,1,1-Projects!$C$36+1),0)+IF(AND(Projects!$G$37="Yes",1&gt;=Projects!$C$37,1&lt;Projects!$C$37+Projects!$D$37),Projects!$B$37*INDEX(Curves!$B$4:$AR$4,1,1-Projects!$C$37+1),0)+IF(AND(Projects!$G$38="Yes",1&gt;=Projects!$C$38,1&lt;Projects!$C$38+Projects!$D$38),Projects!$B$38*INDEX(Curves!$B$4:$AR$4,1,1-Projects!$C$38+1),0)+IF(AND(Projects!$G$39="Yes",1&gt;=Projects!$C$39,1&lt;Projects!$C$39+Projects!$D$39),Projects!$B$39*INDEX(Curves!$B$4:$AR$4,1,1-Projects!$C$39+1),0)+IF(AND(Projects!$G$40="Yes",1&gt;=Projects!$C$40,1&lt;Projects!$C$40+Projects!$D$40),Projects!$B$40*INDEX(Curves!$B$4:$AR$4,1,1-Projects!$C$40+1),0)+IF(AND(Projects!$G$41="Yes",1&gt;=Projects!$C$41,1&lt;Projects!$C$41+Projects!$D$41),Projects!$B$41*INDEX(Curves!$B$4:$AR$4,1,1-Projects!$C$41+1),0)+IF(AND(Projects!$G$42="Yes",1&gt;=Projects!$C$42,1&lt;Projects!$C$42+Projects!$D$42),Projects!$B$42*INDEX(Curves!$B$4:$AR$4,1,1-Projects!$C$42+1),0)+IF(AND(Projects!$G$43="Yes",1&gt;=Projects!$C$43,1&lt;Projects!$C$43+Projects!$D$43),Projects!$B$43*INDEX(Curves!$B$4:$AR$4,1,1-Projects!$C$43+1),0)+IF(AND(Projects!$G$44="Yes",1&gt;=Projects!$C$44,1&lt;Projects!$C$44+Projects!$D$44),Projects!$B$44*INDEX(Curves!$B$4:$AR$4,1,1-Projects!$C$44+1),0)+IF(AND(Projects!$G$45="Yes",1&gt;=Projects!$C$45,1&lt;Projects!$C$45+Projects!$D$45),Projects!$B$45*INDEX(Curves!$B$4:$AR$4,1,1-Projects!$C$45+1),0)+IF(AND(Projects!$G$46="Yes",1&gt;=Projects!$C$46,1&lt;Projects!$C$46+Projects!$D$46),Projects!$B$46*INDEX(Curves!$B$4:$AR$4,1,1-Projects!$C$46+1),0)</f>
        <v>0</v>
      </c>
      <c r="G96" s="83" t="n">
        <f aca="false">IF(AND(Projects!$G$17="Yes",2&gt;=Projects!$C$17,2&lt;Projects!$C$17+Projects!$D$17),Projects!$B$17*INDEX(Curves!$B$4:$AR$4,1,2-Projects!$C$17+1),0)+IF(AND(Projects!$G$18="Yes",2&gt;=Projects!$C$18,2&lt;Projects!$C$18+Projects!$D$18),Projects!$B$18*INDEX(Curves!$B$4:$AR$4,1,2-Projects!$C$18+1),0)+IF(AND(Projects!$G$19="Yes",2&gt;=Projects!$C$19,2&lt;Projects!$C$19+Projects!$D$19),Projects!$B$19*INDEX(Curves!$B$4:$AR$4,1,2-Projects!$C$19+1),0)+IF(AND(Projects!$G$20="Yes",2&gt;=Projects!$C$20,2&lt;Projects!$C$20+Projects!$D$20),Projects!$B$20*INDEX(Curves!$B$4:$AR$4,1,2-Projects!$C$20+1),0)+IF(AND(Projects!$G$21="Yes",2&gt;=Projects!$C$21,2&lt;Projects!$C$21+Projects!$D$21),Projects!$B$21*INDEX(Curves!$B$4:$AR$4,1,2-Projects!$C$21+1),0)+IF(AND(Projects!$G$22="Yes",2&gt;=Projects!$C$22,2&lt;Projects!$C$22+Projects!$D$22),Projects!$B$22*INDEX(Curves!$B$4:$AR$4,1,2-Projects!$C$22+1),0)+IF(AND(Projects!$G$23="Yes",2&gt;=Projects!$C$23,2&lt;Projects!$C$23+Projects!$D$23),Projects!$B$23*INDEX(Curves!$B$4:$AR$4,1,2-Projects!$C$23+1),0)+IF(AND(Projects!$G$24="Yes",2&gt;=Projects!$C$24,2&lt;Projects!$C$24+Projects!$D$24),Projects!$B$24*INDEX(Curves!$B$4:$AR$4,1,2-Projects!$C$24+1),0)+IF(AND(Projects!$G$25="Yes",2&gt;=Projects!$C$25,2&lt;Projects!$C$25+Projects!$D$25),Projects!$B$25*INDEX(Curves!$B$4:$AR$4,1,2-Projects!$C$25+1),0)+IF(AND(Projects!$G$26="Yes",2&gt;=Projects!$C$26,2&lt;Projects!$C$26+Projects!$D$26),Projects!$B$26*INDEX(Curves!$B$4:$AR$4,1,2-Projects!$C$26+1),0)+IF(AND(Projects!$G$27="Yes",2&gt;=Projects!$C$27,2&lt;Projects!$C$27+Projects!$D$27),Projects!$B$27*INDEX(Curves!$B$4:$AR$4,1,2-Projects!$C$27+1),0)+IF(AND(Projects!$G$28="Yes",2&gt;=Projects!$C$28,2&lt;Projects!$C$28+Projects!$D$28),Projects!$B$28*INDEX(Curves!$B$4:$AR$4,1,2-Projects!$C$28+1),0)+IF(AND(Projects!$G$29="Yes",2&gt;=Projects!$C$29,2&lt;Projects!$C$29+Projects!$D$29),Projects!$B$29*INDEX(Curves!$B$4:$AR$4,1,2-Projects!$C$29+1),0)+IF(AND(Projects!$G$30="Yes",2&gt;=Projects!$C$30,2&lt;Projects!$C$30+Projects!$D$30),Projects!$B$30*INDEX(Curves!$B$4:$AR$4,1,2-Projects!$C$30+1),0)+IF(AND(Projects!$G$31="Yes",2&gt;=Projects!$C$31,2&lt;Projects!$C$31+Projects!$D$31),Projects!$B$31*INDEX(Curves!$B$4:$AR$4,1,2-Projects!$C$31+1),0)+IF(AND(Projects!$G$32="Yes",2&gt;=Projects!$C$32,2&lt;Projects!$C$32+Projects!$D$32),Projects!$B$32*INDEX(Curves!$B$4:$AR$4,1,2-Projects!$C$32+1),0)+IF(AND(Projects!$G$33="Yes",2&gt;=Projects!$C$33,2&lt;Projects!$C$33+Projects!$D$33),Projects!$B$33*INDEX(Curves!$B$4:$AR$4,1,2-Projects!$C$33+1),0)+IF(AND(Projects!$G$34="Yes",2&gt;=Projects!$C$34,2&lt;Projects!$C$34+Projects!$D$34),Projects!$B$34*INDEX(Curves!$B$4:$AR$4,1,2-Projects!$C$34+1),0)+IF(AND(Projects!$G$35="Yes",2&gt;=Projects!$C$35,2&lt;Projects!$C$35+Projects!$D$35),Projects!$B$35*INDEX(Curves!$B$4:$AR$4,1,2-Projects!$C$35+1),0)+IF(AND(Projects!$G$36="Yes",2&gt;=Projects!$C$36,2&lt;Projects!$C$36+Projects!$D$36),Projects!$B$36*INDEX(Curves!$B$4:$AR$4,1,2-Projects!$C$36+1),0)+IF(AND(Projects!$G$37="Yes",2&gt;=Projects!$C$37,2&lt;Projects!$C$37+Projects!$D$37),Projects!$B$37*INDEX(Curves!$B$4:$AR$4,1,2-Projects!$C$37+1),0)+IF(AND(Projects!$G$38="Yes",2&gt;=Projects!$C$38,2&lt;Projects!$C$38+Projects!$D$38),Projects!$B$38*INDEX(Curves!$B$4:$AR$4,1,2-Projects!$C$38+1),0)+IF(AND(Projects!$G$39="Yes",2&gt;=Projects!$C$39,2&lt;Projects!$C$39+Projects!$D$39),Projects!$B$39*INDEX(Curves!$B$4:$AR$4,1,2-Projects!$C$39+1),0)+IF(AND(Projects!$G$40="Yes",2&gt;=Projects!$C$40,2&lt;Projects!$C$40+Projects!$D$40),Projects!$B$40*INDEX(Curves!$B$4:$AR$4,1,2-Projects!$C$40+1),0)+IF(AND(Projects!$G$41="Yes",2&gt;=Projects!$C$41,2&lt;Projects!$C$41+Projects!$D$41),Projects!$B$41*INDEX(Curves!$B$4:$AR$4,1,2-Projects!$C$41+1),0)+IF(AND(Projects!$G$42="Yes",2&gt;=Projects!$C$42,2&lt;Projects!$C$42+Projects!$D$42),Projects!$B$42*INDEX(Curves!$B$4:$AR$4,1,2-Projects!$C$42+1),0)+IF(AND(Projects!$G$43="Yes",2&gt;=Projects!$C$43,2&lt;Projects!$C$43+Projects!$D$43),Projects!$B$43*INDEX(Curves!$B$4:$AR$4,1,2-Projects!$C$43+1),0)+IF(AND(Projects!$G$44="Yes",2&gt;=Projects!$C$44,2&lt;Projects!$C$44+Projects!$D$44),Projects!$B$44*INDEX(Curves!$B$4:$AR$4,1,2-Projects!$C$44+1),0)+IF(AND(Projects!$G$45="Yes",2&gt;=Projects!$C$45,2&lt;Projects!$C$45+Projects!$D$45),Projects!$B$45*INDEX(Curves!$B$4:$AR$4,1,2-Projects!$C$45+1),0)+IF(AND(Projects!$G$46="Yes",2&gt;=Projects!$C$46,2&lt;Projects!$C$46+Projects!$D$46),Projects!$B$46*INDEX(Curves!$B$4:$AR$4,1,2-Projects!$C$46+1),0)</f>
        <v>0</v>
      </c>
      <c r="H96" s="83" t="n">
        <f aca="false">IF(AND(Projects!$G$17="Yes",3&gt;=Projects!$C$17,3&lt;Projects!$C$17+Projects!$D$17),Projects!$B$17*INDEX(Curves!$B$4:$AR$4,1,3-Projects!$C$17+1),0)+IF(AND(Projects!$G$18="Yes",3&gt;=Projects!$C$18,3&lt;Projects!$C$18+Projects!$D$18),Projects!$B$18*INDEX(Curves!$B$4:$AR$4,1,3-Projects!$C$18+1),0)+IF(AND(Projects!$G$19="Yes",3&gt;=Projects!$C$19,3&lt;Projects!$C$19+Projects!$D$19),Projects!$B$19*INDEX(Curves!$B$4:$AR$4,1,3-Projects!$C$19+1),0)+IF(AND(Projects!$G$20="Yes",3&gt;=Projects!$C$20,3&lt;Projects!$C$20+Projects!$D$20),Projects!$B$20*INDEX(Curves!$B$4:$AR$4,1,3-Projects!$C$20+1),0)+IF(AND(Projects!$G$21="Yes",3&gt;=Projects!$C$21,3&lt;Projects!$C$21+Projects!$D$21),Projects!$B$21*INDEX(Curves!$B$4:$AR$4,1,3-Projects!$C$21+1),0)+IF(AND(Projects!$G$22="Yes",3&gt;=Projects!$C$22,3&lt;Projects!$C$22+Projects!$D$22),Projects!$B$22*INDEX(Curves!$B$4:$AR$4,1,3-Projects!$C$22+1),0)+IF(AND(Projects!$G$23="Yes",3&gt;=Projects!$C$23,3&lt;Projects!$C$23+Projects!$D$23),Projects!$B$23*INDEX(Curves!$B$4:$AR$4,1,3-Projects!$C$23+1),0)+IF(AND(Projects!$G$24="Yes",3&gt;=Projects!$C$24,3&lt;Projects!$C$24+Projects!$D$24),Projects!$B$24*INDEX(Curves!$B$4:$AR$4,1,3-Projects!$C$24+1),0)+IF(AND(Projects!$G$25="Yes",3&gt;=Projects!$C$25,3&lt;Projects!$C$25+Projects!$D$25),Projects!$B$25*INDEX(Curves!$B$4:$AR$4,1,3-Projects!$C$25+1),0)+IF(AND(Projects!$G$26="Yes",3&gt;=Projects!$C$26,3&lt;Projects!$C$26+Projects!$D$26),Projects!$B$26*INDEX(Curves!$B$4:$AR$4,1,3-Projects!$C$26+1),0)+IF(AND(Projects!$G$27="Yes",3&gt;=Projects!$C$27,3&lt;Projects!$C$27+Projects!$D$27),Projects!$B$27*INDEX(Curves!$B$4:$AR$4,1,3-Projects!$C$27+1),0)+IF(AND(Projects!$G$28="Yes",3&gt;=Projects!$C$28,3&lt;Projects!$C$28+Projects!$D$28),Projects!$B$28*INDEX(Curves!$B$4:$AR$4,1,3-Projects!$C$28+1),0)+IF(AND(Projects!$G$29="Yes",3&gt;=Projects!$C$29,3&lt;Projects!$C$29+Projects!$D$29),Projects!$B$29*INDEX(Curves!$B$4:$AR$4,1,3-Projects!$C$29+1),0)+IF(AND(Projects!$G$30="Yes",3&gt;=Projects!$C$30,3&lt;Projects!$C$30+Projects!$D$30),Projects!$B$30*INDEX(Curves!$B$4:$AR$4,1,3-Projects!$C$30+1),0)+IF(AND(Projects!$G$31="Yes",3&gt;=Projects!$C$31,3&lt;Projects!$C$31+Projects!$D$31),Projects!$B$31*INDEX(Curves!$B$4:$AR$4,1,3-Projects!$C$31+1),0)+IF(AND(Projects!$G$32="Yes",3&gt;=Projects!$C$32,3&lt;Projects!$C$32+Projects!$D$32),Projects!$B$32*INDEX(Curves!$B$4:$AR$4,1,3-Projects!$C$32+1),0)+IF(AND(Projects!$G$33="Yes",3&gt;=Projects!$C$33,3&lt;Projects!$C$33+Projects!$D$33),Projects!$B$33*INDEX(Curves!$B$4:$AR$4,1,3-Projects!$C$33+1),0)+IF(AND(Projects!$G$34="Yes",3&gt;=Projects!$C$34,3&lt;Projects!$C$34+Projects!$D$34),Projects!$B$34*INDEX(Curves!$B$4:$AR$4,1,3-Projects!$C$34+1),0)+IF(AND(Projects!$G$35="Yes",3&gt;=Projects!$C$35,3&lt;Projects!$C$35+Projects!$D$35),Projects!$B$35*INDEX(Curves!$B$4:$AR$4,1,3-Projects!$C$35+1),0)+IF(AND(Projects!$G$36="Yes",3&gt;=Projects!$C$36,3&lt;Projects!$C$36+Projects!$D$36),Projects!$B$36*INDEX(Curves!$B$4:$AR$4,1,3-Projects!$C$36+1),0)+IF(AND(Projects!$G$37="Yes",3&gt;=Projects!$C$37,3&lt;Projects!$C$37+Projects!$D$37),Projects!$B$37*INDEX(Curves!$B$4:$AR$4,1,3-Projects!$C$37+1),0)+IF(AND(Projects!$G$38="Yes",3&gt;=Projects!$C$38,3&lt;Projects!$C$38+Projects!$D$38),Projects!$B$38*INDEX(Curves!$B$4:$AR$4,1,3-Projects!$C$38+1),0)+IF(AND(Projects!$G$39="Yes",3&gt;=Projects!$C$39,3&lt;Projects!$C$39+Projects!$D$39),Projects!$B$39*INDEX(Curves!$B$4:$AR$4,1,3-Projects!$C$39+1),0)+IF(AND(Projects!$G$40="Yes",3&gt;=Projects!$C$40,3&lt;Projects!$C$40+Projects!$D$40),Projects!$B$40*INDEX(Curves!$B$4:$AR$4,1,3-Projects!$C$40+1),0)+IF(AND(Projects!$G$41="Yes",3&gt;=Projects!$C$41,3&lt;Projects!$C$41+Projects!$D$41),Projects!$B$41*INDEX(Curves!$B$4:$AR$4,1,3-Projects!$C$41+1),0)+IF(AND(Projects!$G$42="Yes",3&gt;=Projects!$C$42,3&lt;Projects!$C$42+Projects!$D$42),Projects!$B$42*INDEX(Curves!$B$4:$AR$4,1,3-Projects!$C$42+1),0)+IF(AND(Projects!$G$43="Yes",3&gt;=Projects!$C$43,3&lt;Projects!$C$43+Projects!$D$43),Projects!$B$43*INDEX(Curves!$B$4:$AR$4,1,3-Projects!$C$43+1),0)+IF(AND(Projects!$G$44="Yes",3&gt;=Projects!$C$44,3&lt;Projects!$C$44+Projects!$D$44),Projects!$B$44*INDEX(Curves!$B$4:$AR$4,1,3-Projects!$C$44+1),0)+IF(AND(Projects!$G$45="Yes",3&gt;=Projects!$C$45,3&lt;Projects!$C$45+Projects!$D$45),Projects!$B$45*INDEX(Curves!$B$4:$AR$4,1,3-Projects!$C$45+1),0)+IF(AND(Projects!$G$46="Yes",3&gt;=Projects!$C$46,3&lt;Projects!$C$46+Projects!$D$46),Projects!$B$46*INDEX(Curves!$B$4:$AR$4,1,3-Projects!$C$46+1),0)</f>
        <v>0</v>
      </c>
      <c r="I96" s="83" t="n">
        <f aca="false">IF(AND(Projects!$G$17="Yes",4&gt;=Projects!$C$17,4&lt;Projects!$C$17+Projects!$D$17),Projects!$B$17*INDEX(Curves!$B$4:$AR$4,1,4-Projects!$C$17+1),0)+IF(AND(Projects!$G$18="Yes",4&gt;=Projects!$C$18,4&lt;Projects!$C$18+Projects!$D$18),Projects!$B$18*INDEX(Curves!$B$4:$AR$4,1,4-Projects!$C$18+1),0)+IF(AND(Projects!$G$19="Yes",4&gt;=Projects!$C$19,4&lt;Projects!$C$19+Projects!$D$19),Projects!$B$19*INDEX(Curves!$B$4:$AR$4,1,4-Projects!$C$19+1),0)+IF(AND(Projects!$G$20="Yes",4&gt;=Projects!$C$20,4&lt;Projects!$C$20+Projects!$D$20),Projects!$B$20*INDEX(Curves!$B$4:$AR$4,1,4-Projects!$C$20+1),0)+IF(AND(Projects!$G$21="Yes",4&gt;=Projects!$C$21,4&lt;Projects!$C$21+Projects!$D$21),Projects!$B$21*INDEX(Curves!$B$4:$AR$4,1,4-Projects!$C$21+1),0)+IF(AND(Projects!$G$22="Yes",4&gt;=Projects!$C$22,4&lt;Projects!$C$22+Projects!$D$22),Projects!$B$22*INDEX(Curves!$B$4:$AR$4,1,4-Projects!$C$22+1),0)+IF(AND(Projects!$G$23="Yes",4&gt;=Projects!$C$23,4&lt;Projects!$C$23+Projects!$D$23),Projects!$B$23*INDEX(Curves!$B$4:$AR$4,1,4-Projects!$C$23+1),0)+IF(AND(Projects!$G$24="Yes",4&gt;=Projects!$C$24,4&lt;Projects!$C$24+Projects!$D$24),Projects!$B$24*INDEX(Curves!$B$4:$AR$4,1,4-Projects!$C$24+1),0)+IF(AND(Projects!$G$25="Yes",4&gt;=Projects!$C$25,4&lt;Projects!$C$25+Projects!$D$25),Projects!$B$25*INDEX(Curves!$B$4:$AR$4,1,4-Projects!$C$25+1),0)+IF(AND(Projects!$G$26="Yes",4&gt;=Projects!$C$26,4&lt;Projects!$C$26+Projects!$D$26),Projects!$B$26*INDEX(Curves!$B$4:$AR$4,1,4-Projects!$C$26+1),0)+IF(AND(Projects!$G$27="Yes",4&gt;=Projects!$C$27,4&lt;Projects!$C$27+Projects!$D$27),Projects!$B$27*INDEX(Curves!$B$4:$AR$4,1,4-Projects!$C$27+1),0)+IF(AND(Projects!$G$28="Yes",4&gt;=Projects!$C$28,4&lt;Projects!$C$28+Projects!$D$28),Projects!$B$28*INDEX(Curves!$B$4:$AR$4,1,4-Projects!$C$28+1),0)+IF(AND(Projects!$G$29="Yes",4&gt;=Projects!$C$29,4&lt;Projects!$C$29+Projects!$D$29),Projects!$B$29*INDEX(Curves!$B$4:$AR$4,1,4-Projects!$C$29+1),0)+IF(AND(Projects!$G$30="Yes",4&gt;=Projects!$C$30,4&lt;Projects!$C$30+Projects!$D$30),Projects!$B$30*INDEX(Curves!$B$4:$AR$4,1,4-Projects!$C$30+1),0)+IF(AND(Projects!$G$31="Yes",4&gt;=Projects!$C$31,4&lt;Projects!$C$31+Projects!$D$31),Projects!$B$31*INDEX(Curves!$B$4:$AR$4,1,4-Projects!$C$31+1),0)+IF(AND(Projects!$G$32="Yes",4&gt;=Projects!$C$32,4&lt;Projects!$C$32+Projects!$D$32),Projects!$B$32*INDEX(Curves!$B$4:$AR$4,1,4-Projects!$C$32+1),0)+IF(AND(Projects!$G$33="Yes",4&gt;=Projects!$C$33,4&lt;Projects!$C$33+Projects!$D$33),Projects!$B$33*INDEX(Curves!$B$4:$AR$4,1,4-Projects!$C$33+1),0)+IF(AND(Projects!$G$34="Yes",4&gt;=Projects!$C$34,4&lt;Projects!$C$34+Projects!$D$34),Projects!$B$34*INDEX(Curves!$B$4:$AR$4,1,4-Projects!$C$34+1),0)+IF(AND(Projects!$G$35="Yes",4&gt;=Projects!$C$35,4&lt;Projects!$C$35+Projects!$D$35),Projects!$B$35*INDEX(Curves!$B$4:$AR$4,1,4-Projects!$C$35+1),0)+IF(AND(Projects!$G$36="Yes",4&gt;=Projects!$C$36,4&lt;Projects!$C$36+Projects!$D$36),Projects!$B$36*INDEX(Curves!$B$4:$AR$4,1,4-Projects!$C$36+1),0)+IF(AND(Projects!$G$37="Yes",4&gt;=Projects!$C$37,4&lt;Projects!$C$37+Projects!$D$37),Projects!$B$37*INDEX(Curves!$B$4:$AR$4,1,4-Projects!$C$37+1),0)+IF(AND(Projects!$G$38="Yes",4&gt;=Projects!$C$38,4&lt;Projects!$C$38+Projects!$D$38),Projects!$B$38*INDEX(Curves!$B$4:$AR$4,1,4-Projects!$C$38+1),0)+IF(AND(Projects!$G$39="Yes",4&gt;=Projects!$C$39,4&lt;Projects!$C$39+Projects!$D$39),Projects!$B$39*INDEX(Curves!$B$4:$AR$4,1,4-Projects!$C$39+1),0)+IF(AND(Projects!$G$40="Yes",4&gt;=Projects!$C$40,4&lt;Projects!$C$40+Projects!$D$40),Projects!$B$40*INDEX(Curves!$B$4:$AR$4,1,4-Projects!$C$40+1),0)+IF(AND(Projects!$G$41="Yes",4&gt;=Projects!$C$41,4&lt;Projects!$C$41+Projects!$D$41),Projects!$B$41*INDEX(Curves!$B$4:$AR$4,1,4-Projects!$C$41+1),0)+IF(AND(Projects!$G$42="Yes",4&gt;=Projects!$C$42,4&lt;Projects!$C$42+Projects!$D$42),Projects!$B$42*INDEX(Curves!$B$4:$AR$4,1,4-Projects!$C$42+1),0)+IF(AND(Projects!$G$43="Yes",4&gt;=Projects!$C$43,4&lt;Projects!$C$43+Projects!$D$43),Projects!$B$43*INDEX(Curves!$B$4:$AR$4,1,4-Projects!$C$43+1),0)+IF(AND(Projects!$G$44="Yes",4&gt;=Projects!$C$44,4&lt;Projects!$C$44+Projects!$D$44),Projects!$B$44*INDEX(Curves!$B$4:$AR$4,1,4-Projects!$C$44+1),0)+IF(AND(Projects!$G$45="Yes",4&gt;=Projects!$C$45,4&lt;Projects!$C$45+Projects!$D$45),Projects!$B$45*INDEX(Curves!$B$4:$AR$4,1,4-Projects!$C$45+1),0)+IF(AND(Projects!$G$46="Yes",4&gt;=Projects!$C$46,4&lt;Projects!$C$46+Projects!$D$46),Projects!$B$46*INDEX(Curves!$B$4:$AR$4,1,4-Projects!$C$46+1),0)</f>
        <v>0</v>
      </c>
      <c r="J96" s="83" t="n">
        <f aca="false">IF(AND(Projects!$G$17="Yes",5&gt;=Projects!$C$17,5&lt;Projects!$C$17+Projects!$D$17),Projects!$B$17*INDEX(Curves!$B$4:$AR$4,1,5-Projects!$C$17+1),0)+IF(AND(Projects!$G$18="Yes",5&gt;=Projects!$C$18,5&lt;Projects!$C$18+Projects!$D$18),Projects!$B$18*INDEX(Curves!$B$4:$AR$4,1,5-Projects!$C$18+1),0)+IF(AND(Projects!$G$19="Yes",5&gt;=Projects!$C$19,5&lt;Projects!$C$19+Projects!$D$19),Projects!$B$19*INDEX(Curves!$B$4:$AR$4,1,5-Projects!$C$19+1),0)+IF(AND(Projects!$G$20="Yes",5&gt;=Projects!$C$20,5&lt;Projects!$C$20+Projects!$D$20),Projects!$B$20*INDEX(Curves!$B$4:$AR$4,1,5-Projects!$C$20+1),0)+IF(AND(Projects!$G$21="Yes",5&gt;=Projects!$C$21,5&lt;Projects!$C$21+Projects!$D$21),Projects!$B$21*INDEX(Curves!$B$4:$AR$4,1,5-Projects!$C$21+1),0)+IF(AND(Projects!$G$22="Yes",5&gt;=Projects!$C$22,5&lt;Projects!$C$22+Projects!$D$22),Projects!$B$22*INDEX(Curves!$B$4:$AR$4,1,5-Projects!$C$22+1),0)+IF(AND(Projects!$G$23="Yes",5&gt;=Projects!$C$23,5&lt;Projects!$C$23+Projects!$D$23),Projects!$B$23*INDEX(Curves!$B$4:$AR$4,1,5-Projects!$C$23+1),0)+IF(AND(Projects!$G$24="Yes",5&gt;=Projects!$C$24,5&lt;Projects!$C$24+Projects!$D$24),Projects!$B$24*INDEX(Curves!$B$4:$AR$4,1,5-Projects!$C$24+1),0)+IF(AND(Projects!$G$25="Yes",5&gt;=Projects!$C$25,5&lt;Projects!$C$25+Projects!$D$25),Projects!$B$25*INDEX(Curves!$B$4:$AR$4,1,5-Projects!$C$25+1),0)+IF(AND(Projects!$G$26="Yes",5&gt;=Projects!$C$26,5&lt;Projects!$C$26+Projects!$D$26),Projects!$B$26*INDEX(Curves!$B$4:$AR$4,1,5-Projects!$C$26+1),0)+IF(AND(Projects!$G$27="Yes",5&gt;=Projects!$C$27,5&lt;Projects!$C$27+Projects!$D$27),Projects!$B$27*INDEX(Curves!$B$4:$AR$4,1,5-Projects!$C$27+1),0)+IF(AND(Projects!$G$28="Yes",5&gt;=Projects!$C$28,5&lt;Projects!$C$28+Projects!$D$28),Projects!$B$28*INDEX(Curves!$B$4:$AR$4,1,5-Projects!$C$28+1),0)+IF(AND(Projects!$G$29="Yes",5&gt;=Projects!$C$29,5&lt;Projects!$C$29+Projects!$D$29),Projects!$B$29*INDEX(Curves!$B$4:$AR$4,1,5-Projects!$C$29+1),0)+IF(AND(Projects!$G$30="Yes",5&gt;=Projects!$C$30,5&lt;Projects!$C$30+Projects!$D$30),Projects!$B$30*INDEX(Curves!$B$4:$AR$4,1,5-Projects!$C$30+1),0)+IF(AND(Projects!$G$31="Yes",5&gt;=Projects!$C$31,5&lt;Projects!$C$31+Projects!$D$31),Projects!$B$31*INDEX(Curves!$B$4:$AR$4,1,5-Projects!$C$31+1),0)+IF(AND(Projects!$G$32="Yes",5&gt;=Projects!$C$32,5&lt;Projects!$C$32+Projects!$D$32),Projects!$B$32*INDEX(Curves!$B$4:$AR$4,1,5-Projects!$C$32+1),0)+IF(AND(Projects!$G$33="Yes",5&gt;=Projects!$C$33,5&lt;Projects!$C$33+Projects!$D$33),Projects!$B$33*INDEX(Curves!$B$4:$AR$4,1,5-Projects!$C$33+1),0)+IF(AND(Projects!$G$34="Yes",5&gt;=Projects!$C$34,5&lt;Projects!$C$34+Projects!$D$34),Projects!$B$34*INDEX(Curves!$B$4:$AR$4,1,5-Projects!$C$34+1),0)+IF(AND(Projects!$G$35="Yes",5&gt;=Projects!$C$35,5&lt;Projects!$C$35+Projects!$D$35),Projects!$B$35*INDEX(Curves!$B$4:$AR$4,1,5-Projects!$C$35+1),0)+IF(AND(Projects!$G$36="Yes",5&gt;=Projects!$C$36,5&lt;Projects!$C$36+Projects!$D$36),Projects!$B$36*INDEX(Curves!$B$4:$AR$4,1,5-Projects!$C$36+1),0)+IF(AND(Projects!$G$37="Yes",5&gt;=Projects!$C$37,5&lt;Projects!$C$37+Projects!$D$37),Projects!$B$37*INDEX(Curves!$B$4:$AR$4,1,5-Projects!$C$37+1),0)+IF(AND(Projects!$G$38="Yes",5&gt;=Projects!$C$38,5&lt;Projects!$C$38+Projects!$D$38),Projects!$B$38*INDEX(Curves!$B$4:$AR$4,1,5-Projects!$C$38+1),0)+IF(AND(Projects!$G$39="Yes",5&gt;=Projects!$C$39,5&lt;Projects!$C$39+Projects!$D$39),Projects!$B$39*INDEX(Curves!$B$4:$AR$4,1,5-Projects!$C$39+1),0)+IF(AND(Projects!$G$40="Yes",5&gt;=Projects!$C$40,5&lt;Projects!$C$40+Projects!$D$40),Projects!$B$40*INDEX(Curves!$B$4:$AR$4,1,5-Projects!$C$40+1),0)+IF(AND(Projects!$G$41="Yes",5&gt;=Projects!$C$41,5&lt;Projects!$C$41+Projects!$D$41),Projects!$B$41*INDEX(Curves!$B$4:$AR$4,1,5-Projects!$C$41+1),0)+IF(AND(Projects!$G$42="Yes",5&gt;=Projects!$C$42,5&lt;Projects!$C$42+Projects!$D$42),Projects!$B$42*INDEX(Curves!$B$4:$AR$4,1,5-Projects!$C$42+1),0)+IF(AND(Projects!$G$43="Yes",5&gt;=Projects!$C$43,5&lt;Projects!$C$43+Projects!$D$43),Projects!$B$43*INDEX(Curves!$B$4:$AR$4,1,5-Projects!$C$43+1),0)+IF(AND(Projects!$G$44="Yes",5&gt;=Projects!$C$44,5&lt;Projects!$C$44+Projects!$D$44),Projects!$B$44*INDEX(Curves!$B$4:$AR$4,1,5-Projects!$C$44+1),0)+IF(AND(Projects!$G$45="Yes",5&gt;=Projects!$C$45,5&lt;Projects!$C$45+Projects!$D$45),Projects!$B$45*INDEX(Curves!$B$4:$AR$4,1,5-Projects!$C$45+1),0)+IF(AND(Projects!$G$46="Yes",5&gt;=Projects!$C$46,5&lt;Projects!$C$46+Projects!$D$46),Projects!$B$46*INDEX(Curves!$B$4:$AR$4,1,5-Projects!$C$46+1),0)</f>
        <v>0</v>
      </c>
      <c r="K96" s="83" t="n">
        <f aca="false">IF(AND(Projects!$G$17="Yes",6&gt;=Projects!$C$17,6&lt;Projects!$C$17+Projects!$D$17),Projects!$B$17*INDEX(Curves!$B$4:$AR$4,1,6-Projects!$C$17+1),0)+IF(AND(Projects!$G$18="Yes",6&gt;=Projects!$C$18,6&lt;Projects!$C$18+Projects!$D$18),Projects!$B$18*INDEX(Curves!$B$4:$AR$4,1,6-Projects!$C$18+1),0)+IF(AND(Projects!$G$19="Yes",6&gt;=Projects!$C$19,6&lt;Projects!$C$19+Projects!$D$19),Projects!$B$19*INDEX(Curves!$B$4:$AR$4,1,6-Projects!$C$19+1),0)+IF(AND(Projects!$G$20="Yes",6&gt;=Projects!$C$20,6&lt;Projects!$C$20+Projects!$D$20),Projects!$B$20*INDEX(Curves!$B$4:$AR$4,1,6-Projects!$C$20+1),0)+IF(AND(Projects!$G$21="Yes",6&gt;=Projects!$C$21,6&lt;Projects!$C$21+Projects!$D$21),Projects!$B$21*INDEX(Curves!$B$4:$AR$4,1,6-Projects!$C$21+1),0)+IF(AND(Projects!$G$22="Yes",6&gt;=Projects!$C$22,6&lt;Projects!$C$22+Projects!$D$22),Projects!$B$22*INDEX(Curves!$B$4:$AR$4,1,6-Projects!$C$22+1),0)+IF(AND(Projects!$G$23="Yes",6&gt;=Projects!$C$23,6&lt;Projects!$C$23+Projects!$D$23),Projects!$B$23*INDEX(Curves!$B$4:$AR$4,1,6-Projects!$C$23+1),0)+IF(AND(Projects!$G$24="Yes",6&gt;=Projects!$C$24,6&lt;Projects!$C$24+Projects!$D$24),Projects!$B$24*INDEX(Curves!$B$4:$AR$4,1,6-Projects!$C$24+1),0)+IF(AND(Projects!$G$25="Yes",6&gt;=Projects!$C$25,6&lt;Projects!$C$25+Projects!$D$25),Projects!$B$25*INDEX(Curves!$B$4:$AR$4,1,6-Projects!$C$25+1),0)+IF(AND(Projects!$G$26="Yes",6&gt;=Projects!$C$26,6&lt;Projects!$C$26+Projects!$D$26),Projects!$B$26*INDEX(Curves!$B$4:$AR$4,1,6-Projects!$C$26+1),0)+IF(AND(Projects!$G$27="Yes",6&gt;=Projects!$C$27,6&lt;Projects!$C$27+Projects!$D$27),Projects!$B$27*INDEX(Curves!$B$4:$AR$4,1,6-Projects!$C$27+1),0)+IF(AND(Projects!$G$28="Yes",6&gt;=Projects!$C$28,6&lt;Projects!$C$28+Projects!$D$28),Projects!$B$28*INDEX(Curves!$B$4:$AR$4,1,6-Projects!$C$28+1),0)+IF(AND(Projects!$G$29="Yes",6&gt;=Projects!$C$29,6&lt;Projects!$C$29+Projects!$D$29),Projects!$B$29*INDEX(Curves!$B$4:$AR$4,1,6-Projects!$C$29+1),0)+IF(AND(Projects!$G$30="Yes",6&gt;=Projects!$C$30,6&lt;Projects!$C$30+Projects!$D$30),Projects!$B$30*INDEX(Curves!$B$4:$AR$4,1,6-Projects!$C$30+1),0)+IF(AND(Projects!$G$31="Yes",6&gt;=Projects!$C$31,6&lt;Projects!$C$31+Projects!$D$31),Projects!$B$31*INDEX(Curves!$B$4:$AR$4,1,6-Projects!$C$31+1),0)+IF(AND(Projects!$G$32="Yes",6&gt;=Projects!$C$32,6&lt;Projects!$C$32+Projects!$D$32),Projects!$B$32*INDEX(Curves!$B$4:$AR$4,1,6-Projects!$C$32+1),0)+IF(AND(Projects!$G$33="Yes",6&gt;=Projects!$C$33,6&lt;Projects!$C$33+Projects!$D$33),Projects!$B$33*INDEX(Curves!$B$4:$AR$4,1,6-Projects!$C$33+1),0)+IF(AND(Projects!$G$34="Yes",6&gt;=Projects!$C$34,6&lt;Projects!$C$34+Projects!$D$34),Projects!$B$34*INDEX(Curves!$B$4:$AR$4,1,6-Projects!$C$34+1),0)+IF(AND(Projects!$G$35="Yes",6&gt;=Projects!$C$35,6&lt;Projects!$C$35+Projects!$D$35),Projects!$B$35*INDEX(Curves!$B$4:$AR$4,1,6-Projects!$C$35+1),0)+IF(AND(Projects!$G$36="Yes",6&gt;=Projects!$C$36,6&lt;Projects!$C$36+Projects!$D$36),Projects!$B$36*INDEX(Curves!$B$4:$AR$4,1,6-Projects!$C$36+1),0)+IF(AND(Projects!$G$37="Yes",6&gt;=Projects!$C$37,6&lt;Projects!$C$37+Projects!$D$37),Projects!$B$37*INDEX(Curves!$B$4:$AR$4,1,6-Projects!$C$37+1),0)+IF(AND(Projects!$G$38="Yes",6&gt;=Projects!$C$38,6&lt;Projects!$C$38+Projects!$D$38),Projects!$B$38*INDEX(Curves!$B$4:$AR$4,1,6-Projects!$C$38+1),0)+IF(AND(Projects!$G$39="Yes",6&gt;=Projects!$C$39,6&lt;Projects!$C$39+Projects!$D$39),Projects!$B$39*INDEX(Curves!$B$4:$AR$4,1,6-Projects!$C$39+1),0)+IF(AND(Projects!$G$40="Yes",6&gt;=Projects!$C$40,6&lt;Projects!$C$40+Projects!$D$40),Projects!$B$40*INDEX(Curves!$B$4:$AR$4,1,6-Projects!$C$40+1),0)+IF(AND(Projects!$G$41="Yes",6&gt;=Projects!$C$41,6&lt;Projects!$C$41+Projects!$D$41),Projects!$B$41*INDEX(Curves!$B$4:$AR$4,1,6-Projects!$C$41+1),0)+IF(AND(Projects!$G$42="Yes",6&gt;=Projects!$C$42,6&lt;Projects!$C$42+Projects!$D$42),Projects!$B$42*INDEX(Curves!$B$4:$AR$4,1,6-Projects!$C$42+1),0)+IF(AND(Projects!$G$43="Yes",6&gt;=Projects!$C$43,6&lt;Projects!$C$43+Projects!$D$43),Projects!$B$43*INDEX(Curves!$B$4:$AR$4,1,6-Projects!$C$43+1),0)+IF(AND(Projects!$G$44="Yes",6&gt;=Projects!$C$44,6&lt;Projects!$C$44+Projects!$D$44),Projects!$B$44*INDEX(Curves!$B$4:$AR$4,1,6-Projects!$C$44+1),0)+IF(AND(Projects!$G$45="Yes",6&gt;=Projects!$C$45,6&lt;Projects!$C$45+Projects!$D$45),Projects!$B$45*INDEX(Curves!$B$4:$AR$4,1,6-Projects!$C$45+1),0)+IF(AND(Projects!$G$46="Yes",6&gt;=Projects!$C$46,6&lt;Projects!$C$46+Projects!$D$46),Projects!$B$46*INDEX(Curves!$B$4:$AR$4,1,6-Projects!$C$46+1),0)</f>
        <v>0</v>
      </c>
      <c r="L96" s="83" t="n">
        <f aca="false">IF(AND(Projects!$G$17="Yes",7&gt;=Projects!$C$17,7&lt;Projects!$C$17+Projects!$D$17),Projects!$B$17*INDEX(Curves!$B$4:$AR$4,1,7-Projects!$C$17+1),0)+IF(AND(Projects!$G$18="Yes",7&gt;=Projects!$C$18,7&lt;Projects!$C$18+Projects!$D$18),Projects!$B$18*INDEX(Curves!$B$4:$AR$4,1,7-Projects!$C$18+1),0)+IF(AND(Projects!$G$19="Yes",7&gt;=Projects!$C$19,7&lt;Projects!$C$19+Projects!$D$19),Projects!$B$19*INDEX(Curves!$B$4:$AR$4,1,7-Projects!$C$19+1),0)+IF(AND(Projects!$G$20="Yes",7&gt;=Projects!$C$20,7&lt;Projects!$C$20+Projects!$D$20),Projects!$B$20*INDEX(Curves!$B$4:$AR$4,1,7-Projects!$C$20+1),0)+IF(AND(Projects!$G$21="Yes",7&gt;=Projects!$C$21,7&lt;Projects!$C$21+Projects!$D$21),Projects!$B$21*INDEX(Curves!$B$4:$AR$4,1,7-Projects!$C$21+1),0)+IF(AND(Projects!$G$22="Yes",7&gt;=Projects!$C$22,7&lt;Projects!$C$22+Projects!$D$22),Projects!$B$22*INDEX(Curves!$B$4:$AR$4,1,7-Projects!$C$22+1),0)+IF(AND(Projects!$G$23="Yes",7&gt;=Projects!$C$23,7&lt;Projects!$C$23+Projects!$D$23),Projects!$B$23*INDEX(Curves!$B$4:$AR$4,1,7-Projects!$C$23+1),0)+IF(AND(Projects!$G$24="Yes",7&gt;=Projects!$C$24,7&lt;Projects!$C$24+Projects!$D$24),Projects!$B$24*INDEX(Curves!$B$4:$AR$4,1,7-Projects!$C$24+1),0)+IF(AND(Projects!$G$25="Yes",7&gt;=Projects!$C$25,7&lt;Projects!$C$25+Projects!$D$25),Projects!$B$25*INDEX(Curves!$B$4:$AR$4,1,7-Projects!$C$25+1),0)+IF(AND(Projects!$G$26="Yes",7&gt;=Projects!$C$26,7&lt;Projects!$C$26+Projects!$D$26),Projects!$B$26*INDEX(Curves!$B$4:$AR$4,1,7-Projects!$C$26+1),0)+IF(AND(Projects!$G$27="Yes",7&gt;=Projects!$C$27,7&lt;Projects!$C$27+Projects!$D$27),Projects!$B$27*INDEX(Curves!$B$4:$AR$4,1,7-Projects!$C$27+1),0)+IF(AND(Projects!$G$28="Yes",7&gt;=Projects!$C$28,7&lt;Projects!$C$28+Projects!$D$28),Projects!$B$28*INDEX(Curves!$B$4:$AR$4,1,7-Projects!$C$28+1),0)+IF(AND(Projects!$G$29="Yes",7&gt;=Projects!$C$29,7&lt;Projects!$C$29+Projects!$D$29),Projects!$B$29*INDEX(Curves!$B$4:$AR$4,1,7-Projects!$C$29+1),0)+IF(AND(Projects!$G$30="Yes",7&gt;=Projects!$C$30,7&lt;Projects!$C$30+Projects!$D$30),Projects!$B$30*INDEX(Curves!$B$4:$AR$4,1,7-Projects!$C$30+1),0)+IF(AND(Projects!$G$31="Yes",7&gt;=Projects!$C$31,7&lt;Projects!$C$31+Projects!$D$31),Projects!$B$31*INDEX(Curves!$B$4:$AR$4,1,7-Projects!$C$31+1),0)+IF(AND(Projects!$G$32="Yes",7&gt;=Projects!$C$32,7&lt;Projects!$C$32+Projects!$D$32),Projects!$B$32*INDEX(Curves!$B$4:$AR$4,1,7-Projects!$C$32+1),0)+IF(AND(Projects!$G$33="Yes",7&gt;=Projects!$C$33,7&lt;Projects!$C$33+Projects!$D$33),Projects!$B$33*INDEX(Curves!$B$4:$AR$4,1,7-Projects!$C$33+1),0)+IF(AND(Projects!$G$34="Yes",7&gt;=Projects!$C$34,7&lt;Projects!$C$34+Projects!$D$34),Projects!$B$34*INDEX(Curves!$B$4:$AR$4,1,7-Projects!$C$34+1),0)+IF(AND(Projects!$G$35="Yes",7&gt;=Projects!$C$35,7&lt;Projects!$C$35+Projects!$D$35),Projects!$B$35*INDEX(Curves!$B$4:$AR$4,1,7-Projects!$C$35+1),0)+IF(AND(Projects!$G$36="Yes",7&gt;=Projects!$C$36,7&lt;Projects!$C$36+Projects!$D$36),Projects!$B$36*INDEX(Curves!$B$4:$AR$4,1,7-Projects!$C$36+1),0)+IF(AND(Projects!$G$37="Yes",7&gt;=Projects!$C$37,7&lt;Projects!$C$37+Projects!$D$37),Projects!$B$37*INDEX(Curves!$B$4:$AR$4,1,7-Projects!$C$37+1),0)+IF(AND(Projects!$G$38="Yes",7&gt;=Projects!$C$38,7&lt;Projects!$C$38+Projects!$D$38),Projects!$B$38*INDEX(Curves!$B$4:$AR$4,1,7-Projects!$C$38+1),0)+IF(AND(Projects!$G$39="Yes",7&gt;=Projects!$C$39,7&lt;Projects!$C$39+Projects!$D$39),Projects!$B$39*INDEX(Curves!$B$4:$AR$4,1,7-Projects!$C$39+1),0)+IF(AND(Projects!$G$40="Yes",7&gt;=Projects!$C$40,7&lt;Projects!$C$40+Projects!$D$40),Projects!$B$40*INDEX(Curves!$B$4:$AR$4,1,7-Projects!$C$40+1),0)+IF(AND(Projects!$G$41="Yes",7&gt;=Projects!$C$41,7&lt;Projects!$C$41+Projects!$D$41),Projects!$B$41*INDEX(Curves!$B$4:$AR$4,1,7-Projects!$C$41+1),0)+IF(AND(Projects!$G$42="Yes",7&gt;=Projects!$C$42,7&lt;Projects!$C$42+Projects!$D$42),Projects!$B$42*INDEX(Curves!$B$4:$AR$4,1,7-Projects!$C$42+1),0)+IF(AND(Projects!$G$43="Yes",7&gt;=Projects!$C$43,7&lt;Projects!$C$43+Projects!$D$43),Projects!$B$43*INDEX(Curves!$B$4:$AR$4,1,7-Projects!$C$43+1),0)+IF(AND(Projects!$G$44="Yes",7&gt;=Projects!$C$44,7&lt;Projects!$C$44+Projects!$D$44),Projects!$B$44*INDEX(Curves!$B$4:$AR$4,1,7-Projects!$C$44+1),0)+IF(AND(Projects!$G$45="Yes",7&gt;=Projects!$C$45,7&lt;Projects!$C$45+Projects!$D$45),Projects!$B$45*INDEX(Curves!$B$4:$AR$4,1,7-Projects!$C$45+1),0)+IF(AND(Projects!$G$46="Yes",7&gt;=Projects!$C$46,7&lt;Projects!$C$46+Projects!$D$46),Projects!$B$46*INDEX(Curves!$B$4:$AR$4,1,7-Projects!$C$46+1),0)</f>
        <v>0</v>
      </c>
      <c r="M96" s="83" t="n">
        <f aca="false">IF(AND(Projects!$G$17="Yes",8&gt;=Projects!$C$17,8&lt;Projects!$C$17+Projects!$D$17),Projects!$B$17*INDEX(Curves!$B$4:$AR$4,1,8-Projects!$C$17+1),0)+IF(AND(Projects!$G$18="Yes",8&gt;=Projects!$C$18,8&lt;Projects!$C$18+Projects!$D$18),Projects!$B$18*INDEX(Curves!$B$4:$AR$4,1,8-Projects!$C$18+1),0)+IF(AND(Projects!$G$19="Yes",8&gt;=Projects!$C$19,8&lt;Projects!$C$19+Projects!$D$19),Projects!$B$19*INDEX(Curves!$B$4:$AR$4,1,8-Projects!$C$19+1),0)+IF(AND(Projects!$G$20="Yes",8&gt;=Projects!$C$20,8&lt;Projects!$C$20+Projects!$D$20),Projects!$B$20*INDEX(Curves!$B$4:$AR$4,1,8-Projects!$C$20+1),0)+IF(AND(Projects!$G$21="Yes",8&gt;=Projects!$C$21,8&lt;Projects!$C$21+Projects!$D$21),Projects!$B$21*INDEX(Curves!$B$4:$AR$4,1,8-Projects!$C$21+1),0)+IF(AND(Projects!$G$22="Yes",8&gt;=Projects!$C$22,8&lt;Projects!$C$22+Projects!$D$22),Projects!$B$22*INDEX(Curves!$B$4:$AR$4,1,8-Projects!$C$22+1),0)+IF(AND(Projects!$G$23="Yes",8&gt;=Projects!$C$23,8&lt;Projects!$C$23+Projects!$D$23),Projects!$B$23*INDEX(Curves!$B$4:$AR$4,1,8-Projects!$C$23+1),0)+IF(AND(Projects!$G$24="Yes",8&gt;=Projects!$C$24,8&lt;Projects!$C$24+Projects!$D$24),Projects!$B$24*INDEX(Curves!$B$4:$AR$4,1,8-Projects!$C$24+1),0)+IF(AND(Projects!$G$25="Yes",8&gt;=Projects!$C$25,8&lt;Projects!$C$25+Projects!$D$25),Projects!$B$25*INDEX(Curves!$B$4:$AR$4,1,8-Projects!$C$25+1),0)+IF(AND(Projects!$G$26="Yes",8&gt;=Projects!$C$26,8&lt;Projects!$C$26+Projects!$D$26),Projects!$B$26*INDEX(Curves!$B$4:$AR$4,1,8-Projects!$C$26+1),0)+IF(AND(Projects!$G$27="Yes",8&gt;=Projects!$C$27,8&lt;Projects!$C$27+Projects!$D$27),Projects!$B$27*INDEX(Curves!$B$4:$AR$4,1,8-Projects!$C$27+1),0)+IF(AND(Projects!$G$28="Yes",8&gt;=Projects!$C$28,8&lt;Projects!$C$28+Projects!$D$28),Projects!$B$28*INDEX(Curves!$B$4:$AR$4,1,8-Projects!$C$28+1),0)+IF(AND(Projects!$G$29="Yes",8&gt;=Projects!$C$29,8&lt;Projects!$C$29+Projects!$D$29),Projects!$B$29*INDEX(Curves!$B$4:$AR$4,1,8-Projects!$C$29+1),0)+IF(AND(Projects!$G$30="Yes",8&gt;=Projects!$C$30,8&lt;Projects!$C$30+Projects!$D$30),Projects!$B$30*INDEX(Curves!$B$4:$AR$4,1,8-Projects!$C$30+1),0)+IF(AND(Projects!$G$31="Yes",8&gt;=Projects!$C$31,8&lt;Projects!$C$31+Projects!$D$31),Projects!$B$31*INDEX(Curves!$B$4:$AR$4,1,8-Projects!$C$31+1),0)+IF(AND(Projects!$G$32="Yes",8&gt;=Projects!$C$32,8&lt;Projects!$C$32+Projects!$D$32),Projects!$B$32*INDEX(Curves!$B$4:$AR$4,1,8-Projects!$C$32+1),0)+IF(AND(Projects!$G$33="Yes",8&gt;=Projects!$C$33,8&lt;Projects!$C$33+Projects!$D$33),Projects!$B$33*INDEX(Curves!$B$4:$AR$4,1,8-Projects!$C$33+1),0)+IF(AND(Projects!$G$34="Yes",8&gt;=Projects!$C$34,8&lt;Projects!$C$34+Projects!$D$34),Projects!$B$34*INDEX(Curves!$B$4:$AR$4,1,8-Projects!$C$34+1),0)+IF(AND(Projects!$G$35="Yes",8&gt;=Projects!$C$35,8&lt;Projects!$C$35+Projects!$D$35),Projects!$B$35*INDEX(Curves!$B$4:$AR$4,1,8-Projects!$C$35+1),0)+IF(AND(Projects!$G$36="Yes",8&gt;=Projects!$C$36,8&lt;Projects!$C$36+Projects!$D$36),Projects!$B$36*INDEX(Curves!$B$4:$AR$4,1,8-Projects!$C$36+1),0)+IF(AND(Projects!$G$37="Yes",8&gt;=Projects!$C$37,8&lt;Projects!$C$37+Projects!$D$37),Projects!$B$37*INDEX(Curves!$B$4:$AR$4,1,8-Projects!$C$37+1),0)+IF(AND(Projects!$G$38="Yes",8&gt;=Projects!$C$38,8&lt;Projects!$C$38+Projects!$D$38),Projects!$B$38*INDEX(Curves!$B$4:$AR$4,1,8-Projects!$C$38+1),0)+IF(AND(Projects!$G$39="Yes",8&gt;=Projects!$C$39,8&lt;Projects!$C$39+Projects!$D$39),Projects!$B$39*INDEX(Curves!$B$4:$AR$4,1,8-Projects!$C$39+1),0)+IF(AND(Projects!$G$40="Yes",8&gt;=Projects!$C$40,8&lt;Projects!$C$40+Projects!$D$40),Projects!$B$40*INDEX(Curves!$B$4:$AR$4,1,8-Projects!$C$40+1),0)+IF(AND(Projects!$G$41="Yes",8&gt;=Projects!$C$41,8&lt;Projects!$C$41+Projects!$D$41),Projects!$B$41*INDEX(Curves!$B$4:$AR$4,1,8-Projects!$C$41+1),0)+IF(AND(Projects!$G$42="Yes",8&gt;=Projects!$C$42,8&lt;Projects!$C$42+Projects!$D$42),Projects!$B$42*INDEX(Curves!$B$4:$AR$4,1,8-Projects!$C$42+1),0)+IF(AND(Projects!$G$43="Yes",8&gt;=Projects!$C$43,8&lt;Projects!$C$43+Projects!$D$43),Projects!$B$43*INDEX(Curves!$B$4:$AR$4,1,8-Projects!$C$43+1),0)+IF(AND(Projects!$G$44="Yes",8&gt;=Projects!$C$44,8&lt;Projects!$C$44+Projects!$D$44),Projects!$B$44*INDEX(Curves!$B$4:$AR$4,1,8-Projects!$C$44+1),0)+IF(AND(Projects!$G$45="Yes",8&gt;=Projects!$C$45,8&lt;Projects!$C$45+Projects!$D$45),Projects!$B$45*INDEX(Curves!$B$4:$AR$4,1,8-Projects!$C$45+1),0)+IF(AND(Projects!$G$46="Yes",8&gt;=Projects!$C$46,8&lt;Projects!$C$46+Projects!$D$46),Projects!$B$46*INDEX(Curves!$B$4:$AR$4,1,8-Projects!$C$46+1),0)</f>
        <v>0</v>
      </c>
      <c r="N96" s="83" t="n">
        <f aca="false">IF(AND(Projects!$G$17="Yes",9&gt;=Projects!$C$17,9&lt;Projects!$C$17+Projects!$D$17),Projects!$B$17*INDEX(Curves!$B$4:$AR$4,1,9-Projects!$C$17+1),0)+IF(AND(Projects!$G$18="Yes",9&gt;=Projects!$C$18,9&lt;Projects!$C$18+Projects!$D$18),Projects!$B$18*INDEX(Curves!$B$4:$AR$4,1,9-Projects!$C$18+1),0)+IF(AND(Projects!$G$19="Yes",9&gt;=Projects!$C$19,9&lt;Projects!$C$19+Projects!$D$19),Projects!$B$19*INDEX(Curves!$B$4:$AR$4,1,9-Projects!$C$19+1),0)+IF(AND(Projects!$G$20="Yes",9&gt;=Projects!$C$20,9&lt;Projects!$C$20+Projects!$D$20),Projects!$B$20*INDEX(Curves!$B$4:$AR$4,1,9-Projects!$C$20+1),0)+IF(AND(Projects!$G$21="Yes",9&gt;=Projects!$C$21,9&lt;Projects!$C$21+Projects!$D$21),Projects!$B$21*INDEX(Curves!$B$4:$AR$4,1,9-Projects!$C$21+1),0)+IF(AND(Projects!$G$22="Yes",9&gt;=Projects!$C$22,9&lt;Projects!$C$22+Projects!$D$22),Projects!$B$22*INDEX(Curves!$B$4:$AR$4,1,9-Projects!$C$22+1),0)+IF(AND(Projects!$G$23="Yes",9&gt;=Projects!$C$23,9&lt;Projects!$C$23+Projects!$D$23),Projects!$B$23*INDEX(Curves!$B$4:$AR$4,1,9-Projects!$C$23+1),0)+IF(AND(Projects!$G$24="Yes",9&gt;=Projects!$C$24,9&lt;Projects!$C$24+Projects!$D$24),Projects!$B$24*INDEX(Curves!$B$4:$AR$4,1,9-Projects!$C$24+1),0)+IF(AND(Projects!$G$25="Yes",9&gt;=Projects!$C$25,9&lt;Projects!$C$25+Projects!$D$25),Projects!$B$25*INDEX(Curves!$B$4:$AR$4,1,9-Projects!$C$25+1),0)+IF(AND(Projects!$G$26="Yes",9&gt;=Projects!$C$26,9&lt;Projects!$C$26+Projects!$D$26),Projects!$B$26*INDEX(Curves!$B$4:$AR$4,1,9-Projects!$C$26+1),0)+IF(AND(Projects!$G$27="Yes",9&gt;=Projects!$C$27,9&lt;Projects!$C$27+Projects!$D$27),Projects!$B$27*INDEX(Curves!$B$4:$AR$4,1,9-Projects!$C$27+1),0)+IF(AND(Projects!$G$28="Yes",9&gt;=Projects!$C$28,9&lt;Projects!$C$28+Projects!$D$28),Projects!$B$28*INDEX(Curves!$B$4:$AR$4,1,9-Projects!$C$28+1),0)+IF(AND(Projects!$G$29="Yes",9&gt;=Projects!$C$29,9&lt;Projects!$C$29+Projects!$D$29),Projects!$B$29*INDEX(Curves!$B$4:$AR$4,1,9-Projects!$C$29+1),0)+IF(AND(Projects!$G$30="Yes",9&gt;=Projects!$C$30,9&lt;Projects!$C$30+Projects!$D$30),Projects!$B$30*INDEX(Curves!$B$4:$AR$4,1,9-Projects!$C$30+1),0)+IF(AND(Projects!$G$31="Yes",9&gt;=Projects!$C$31,9&lt;Projects!$C$31+Projects!$D$31),Projects!$B$31*INDEX(Curves!$B$4:$AR$4,1,9-Projects!$C$31+1),0)+IF(AND(Projects!$G$32="Yes",9&gt;=Projects!$C$32,9&lt;Projects!$C$32+Projects!$D$32),Projects!$B$32*INDEX(Curves!$B$4:$AR$4,1,9-Projects!$C$32+1),0)+IF(AND(Projects!$G$33="Yes",9&gt;=Projects!$C$33,9&lt;Projects!$C$33+Projects!$D$33),Projects!$B$33*INDEX(Curves!$B$4:$AR$4,1,9-Projects!$C$33+1),0)+IF(AND(Projects!$G$34="Yes",9&gt;=Projects!$C$34,9&lt;Projects!$C$34+Projects!$D$34),Projects!$B$34*INDEX(Curves!$B$4:$AR$4,1,9-Projects!$C$34+1),0)+IF(AND(Projects!$G$35="Yes",9&gt;=Projects!$C$35,9&lt;Projects!$C$35+Projects!$D$35),Projects!$B$35*INDEX(Curves!$B$4:$AR$4,1,9-Projects!$C$35+1),0)+IF(AND(Projects!$G$36="Yes",9&gt;=Projects!$C$36,9&lt;Projects!$C$36+Projects!$D$36),Projects!$B$36*INDEX(Curves!$B$4:$AR$4,1,9-Projects!$C$36+1),0)+IF(AND(Projects!$G$37="Yes",9&gt;=Projects!$C$37,9&lt;Projects!$C$37+Projects!$D$37),Projects!$B$37*INDEX(Curves!$B$4:$AR$4,1,9-Projects!$C$37+1),0)+IF(AND(Projects!$G$38="Yes",9&gt;=Projects!$C$38,9&lt;Projects!$C$38+Projects!$D$38),Projects!$B$38*INDEX(Curves!$B$4:$AR$4,1,9-Projects!$C$38+1),0)+IF(AND(Projects!$G$39="Yes",9&gt;=Projects!$C$39,9&lt;Projects!$C$39+Projects!$D$39),Projects!$B$39*INDEX(Curves!$B$4:$AR$4,1,9-Projects!$C$39+1),0)+IF(AND(Projects!$G$40="Yes",9&gt;=Projects!$C$40,9&lt;Projects!$C$40+Projects!$D$40),Projects!$B$40*INDEX(Curves!$B$4:$AR$4,1,9-Projects!$C$40+1),0)+IF(AND(Projects!$G$41="Yes",9&gt;=Projects!$C$41,9&lt;Projects!$C$41+Projects!$D$41),Projects!$B$41*INDEX(Curves!$B$4:$AR$4,1,9-Projects!$C$41+1),0)+IF(AND(Projects!$G$42="Yes",9&gt;=Projects!$C$42,9&lt;Projects!$C$42+Projects!$D$42),Projects!$B$42*INDEX(Curves!$B$4:$AR$4,1,9-Projects!$C$42+1),0)+IF(AND(Projects!$G$43="Yes",9&gt;=Projects!$C$43,9&lt;Projects!$C$43+Projects!$D$43),Projects!$B$43*INDEX(Curves!$B$4:$AR$4,1,9-Projects!$C$43+1),0)+IF(AND(Projects!$G$44="Yes",9&gt;=Projects!$C$44,9&lt;Projects!$C$44+Projects!$D$44),Projects!$B$44*INDEX(Curves!$B$4:$AR$4,1,9-Projects!$C$44+1),0)+IF(AND(Projects!$G$45="Yes",9&gt;=Projects!$C$45,9&lt;Projects!$C$45+Projects!$D$45),Projects!$B$45*INDEX(Curves!$B$4:$AR$4,1,9-Projects!$C$45+1),0)+IF(AND(Projects!$G$46="Yes",9&gt;=Projects!$C$46,9&lt;Projects!$C$46+Projects!$D$46),Projects!$B$46*INDEX(Curves!$B$4:$AR$4,1,9-Projects!$C$46+1),0)</f>
        <v>0</v>
      </c>
      <c r="O96" s="83" t="n">
        <f aca="false">IF(AND(Projects!$G$17="Yes",10&gt;=Projects!$C$17,10&lt;Projects!$C$17+Projects!$D$17),Projects!$B$17*INDEX(Curves!$B$4:$AR$4,1,10-Projects!$C$17+1),0)+IF(AND(Projects!$G$18="Yes",10&gt;=Projects!$C$18,10&lt;Projects!$C$18+Projects!$D$18),Projects!$B$18*INDEX(Curves!$B$4:$AR$4,1,10-Projects!$C$18+1),0)+IF(AND(Projects!$G$19="Yes",10&gt;=Projects!$C$19,10&lt;Projects!$C$19+Projects!$D$19),Projects!$B$19*INDEX(Curves!$B$4:$AR$4,1,10-Projects!$C$19+1),0)+IF(AND(Projects!$G$20="Yes",10&gt;=Projects!$C$20,10&lt;Projects!$C$20+Projects!$D$20),Projects!$B$20*INDEX(Curves!$B$4:$AR$4,1,10-Projects!$C$20+1),0)+IF(AND(Projects!$G$21="Yes",10&gt;=Projects!$C$21,10&lt;Projects!$C$21+Projects!$D$21),Projects!$B$21*INDEX(Curves!$B$4:$AR$4,1,10-Projects!$C$21+1),0)+IF(AND(Projects!$G$22="Yes",10&gt;=Projects!$C$22,10&lt;Projects!$C$22+Projects!$D$22),Projects!$B$22*INDEX(Curves!$B$4:$AR$4,1,10-Projects!$C$22+1),0)+IF(AND(Projects!$G$23="Yes",10&gt;=Projects!$C$23,10&lt;Projects!$C$23+Projects!$D$23),Projects!$B$23*INDEX(Curves!$B$4:$AR$4,1,10-Projects!$C$23+1),0)+IF(AND(Projects!$G$24="Yes",10&gt;=Projects!$C$24,10&lt;Projects!$C$24+Projects!$D$24),Projects!$B$24*INDEX(Curves!$B$4:$AR$4,1,10-Projects!$C$24+1),0)+IF(AND(Projects!$G$25="Yes",10&gt;=Projects!$C$25,10&lt;Projects!$C$25+Projects!$D$25),Projects!$B$25*INDEX(Curves!$B$4:$AR$4,1,10-Projects!$C$25+1),0)+IF(AND(Projects!$G$26="Yes",10&gt;=Projects!$C$26,10&lt;Projects!$C$26+Projects!$D$26),Projects!$B$26*INDEX(Curves!$B$4:$AR$4,1,10-Projects!$C$26+1),0)+IF(AND(Projects!$G$27="Yes",10&gt;=Projects!$C$27,10&lt;Projects!$C$27+Projects!$D$27),Projects!$B$27*INDEX(Curves!$B$4:$AR$4,1,10-Projects!$C$27+1),0)+IF(AND(Projects!$G$28="Yes",10&gt;=Projects!$C$28,10&lt;Projects!$C$28+Projects!$D$28),Projects!$B$28*INDEX(Curves!$B$4:$AR$4,1,10-Projects!$C$28+1),0)+IF(AND(Projects!$G$29="Yes",10&gt;=Projects!$C$29,10&lt;Projects!$C$29+Projects!$D$29),Projects!$B$29*INDEX(Curves!$B$4:$AR$4,1,10-Projects!$C$29+1),0)+IF(AND(Projects!$G$30="Yes",10&gt;=Projects!$C$30,10&lt;Projects!$C$30+Projects!$D$30),Projects!$B$30*INDEX(Curves!$B$4:$AR$4,1,10-Projects!$C$30+1),0)+IF(AND(Projects!$G$31="Yes",10&gt;=Projects!$C$31,10&lt;Projects!$C$31+Projects!$D$31),Projects!$B$31*INDEX(Curves!$B$4:$AR$4,1,10-Projects!$C$31+1),0)+IF(AND(Projects!$G$32="Yes",10&gt;=Projects!$C$32,10&lt;Projects!$C$32+Projects!$D$32),Projects!$B$32*INDEX(Curves!$B$4:$AR$4,1,10-Projects!$C$32+1),0)+IF(AND(Projects!$G$33="Yes",10&gt;=Projects!$C$33,10&lt;Projects!$C$33+Projects!$D$33),Projects!$B$33*INDEX(Curves!$B$4:$AR$4,1,10-Projects!$C$33+1),0)+IF(AND(Projects!$G$34="Yes",10&gt;=Projects!$C$34,10&lt;Projects!$C$34+Projects!$D$34),Projects!$B$34*INDEX(Curves!$B$4:$AR$4,1,10-Projects!$C$34+1),0)+IF(AND(Projects!$G$35="Yes",10&gt;=Projects!$C$35,10&lt;Projects!$C$35+Projects!$D$35),Projects!$B$35*INDEX(Curves!$B$4:$AR$4,1,10-Projects!$C$35+1),0)+IF(AND(Projects!$G$36="Yes",10&gt;=Projects!$C$36,10&lt;Projects!$C$36+Projects!$D$36),Projects!$B$36*INDEX(Curves!$B$4:$AR$4,1,10-Projects!$C$36+1),0)+IF(AND(Projects!$G$37="Yes",10&gt;=Projects!$C$37,10&lt;Projects!$C$37+Projects!$D$37),Projects!$B$37*INDEX(Curves!$B$4:$AR$4,1,10-Projects!$C$37+1),0)+IF(AND(Projects!$G$38="Yes",10&gt;=Projects!$C$38,10&lt;Projects!$C$38+Projects!$D$38),Projects!$B$38*INDEX(Curves!$B$4:$AR$4,1,10-Projects!$C$38+1),0)+IF(AND(Projects!$G$39="Yes",10&gt;=Projects!$C$39,10&lt;Projects!$C$39+Projects!$D$39),Projects!$B$39*INDEX(Curves!$B$4:$AR$4,1,10-Projects!$C$39+1),0)+IF(AND(Projects!$G$40="Yes",10&gt;=Projects!$C$40,10&lt;Projects!$C$40+Projects!$D$40),Projects!$B$40*INDEX(Curves!$B$4:$AR$4,1,10-Projects!$C$40+1),0)+IF(AND(Projects!$G$41="Yes",10&gt;=Projects!$C$41,10&lt;Projects!$C$41+Projects!$D$41),Projects!$B$41*INDEX(Curves!$B$4:$AR$4,1,10-Projects!$C$41+1),0)+IF(AND(Projects!$G$42="Yes",10&gt;=Projects!$C$42,10&lt;Projects!$C$42+Projects!$D$42),Projects!$B$42*INDEX(Curves!$B$4:$AR$4,1,10-Projects!$C$42+1),0)+IF(AND(Projects!$G$43="Yes",10&gt;=Projects!$C$43,10&lt;Projects!$C$43+Projects!$D$43),Projects!$B$43*INDEX(Curves!$B$4:$AR$4,1,10-Projects!$C$43+1),0)+IF(AND(Projects!$G$44="Yes",10&gt;=Projects!$C$44,10&lt;Projects!$C$44+Projects!$D$44),Projects!$B$44*INDEX(Curves!$B$4:$AR$4,1,10-Projects!$C$44+1),0)+IF(AND(Projects!$G$45="Yes",10&gt;=Projects!$C$45,10&lt;Projects!$C$45+Projects!$D$45),Projects!$B$45*INDEX(Curves!$B$4:$AR$4,1,10-Projects!$C$45+1),0)+IF(AND(Projects!$G$46="Yes",10&gt;=Projects!$C$46,10&lt;Projects!$C$46+Projects!$D$46),Projects!$B$46*INDEX(Curves!$B$4:$AR$4,1,10-Projects!$C$46+1),0)</f>
        <v>0</v>
      </c>
      <c r="P96" s="83" t="n">
        <f aca="false">IF(AND(Projects!$G$17="Yes",11&gt;=Projects!$C$17,11&lt;Projects!$C$17+Projects!$D$17),Projects!$B$17*INDEX(Curves!$B$4:$AR$4,1,11-Projects!$C$17+1),0)+IF(AND(Projects!$G$18="Yes",11&gt;=Projects!$C$18,11&lt;Projects!$C$18+Projects!$D$18),Projects!$B$18*INDEX(Curves!$B$4:$AR$4,1,11-Projects!$C$18+1),0)+IF(AND(Projects!$G$19="Yes",11&gt;=Projects!$C$19,11&lt;Projects!$C$19+Projects!$D$19),Projects!$B$19*INDEX(Curves!$B$4:$AR$4,1,11-Projects!$C$19+1),0)+IF(AND(Projects!$G$20="Yes",11&gt;=Projects!$C$20,11&lt;Projects!$C$20+Projects!$D$20),Projects!$B$20*INDEX(Curves!$B$4:$AR$4,1,11-Projects!$C$20+1),0)+IF(AND(Projects!$G$21="Yes",11&gt;=Projects!$C$21,11&lt;Projects!$C$21+Projects!$D$21),Projects!$B$21*INDEX(Curves!$B$4:$AR$4,1,11-Projects!$C$21+1),0)+IF(AND(Projects!$G$22="Yes",11&gt;=Projects!$C$22,11&lt;Projects!$C$22+Projects!$D$22),Projects!$B$22*INDEX(Curves!$B$4:$AR$4,1,11-Projects!$C$22+1),0)+IF(AND(Projects!$G$23="Yes",11&gt;=Projects!$C$23,11&lt;Projects!$C$23+Projects!$D$23),Projects!$B$23*INDEX(Curves!$B$4:$AR$4,1,11-Projects!$C$23+1),0)+IF(AND(Projects!$G$24="Yes",11&gt;=Projects!$C$24,11&lt;Projects!$C$24+Projects!$D$24),Projects!$B$24*INDEX(Curves!$B$4:$AR$4,1,11-Projects!$C$24+1),0)+IF(AND(Projects!$G$25="Yes",11&gt;=Projects!$C$25,11&lt;Projects!$C$25+Projects!$D$25),Projects!$B$25*INDEX(Curves!$B$4:$AR$4,1,11-Projects!$C$25+1),0)+IF(AND(Projects!$G$26="Yes",11&gt;=Projects!$C$26,11&lt;Projects!$C$26+Projects!$D$26),Projects!$B$26*INDEX(Curves!$B$4:$AR$4,1,11-Projects!$C$26+1),0)+IF(AND(Projects!$G$27="Yes",11&gt;=Projects!$C$27,11&lt;Projects!$C$27+Projects!$D$27),Projects!$B$27*INDEX(Curves!$B$4:$AR$4,1,11-Projects!$C$27+1),0)+IF(AND(Projects!$G$28="Yes",11&gt;=Projects!$C$28,11&lt;Projects!$C$28+Projects!$D$28),Projects!$B$28*INDEX(Curves!$B$4:$AR$4,1,11-Projects!$C$28+1),0)+IF(AND(Projects!$G$29="Yes",11&gt;=Projects!$C$29,11&lt;Projects!$C$29+Projects!$D$29),Projects!$B$29*INDEX(Curves!$B$4:$AR$4,1,11-Projects!$C$29+1),0)+IF(AND(Projects!$G$30="Yes",11&gt;=Projects!$C$30,11&lt;Projects!$C$30+Projects!$D$30),Projects!$B$30*INDEX(Curves!$B$4:$AR$4,1,11-Projects!$C$30+1),0)+IF(AND(Projects!$G$31="Yes",11&gt;=Projects!$C$31,11&lt;Projects!$C$31+Projects!$D$31),Projects!$B$31*INDEX(Curves!$B$4:$AR$4,1,11-Projects!$C$31+1),0)+IF(AND(Projects!$G$32="Yes",11&gt;=Projects!$C$32,11&lt;Projects!$C$32+Projects!$D$32),Projects!$B$32*INDEX(Curves!$B$4:$AR$4,1,11-Projects!$C$32+1),0)+IF(AND(Projects!$G$33="Yes",11&gt;=Projects!$C$33,11&lt;Projects!$C$33+Projects!$D$33),Projects!$B$33*INDEX(Curves!$B$4:$AR$4,1,11-Projects!$C$33+1),0)+IF(AND(Projects!$G$34="Yes",11&gt;=Projects!$C$34,11&lt;Projects!$C$34+Projects!$D$34),Projects!$B$34*INDEX(Curves!$B$4:$AR$4,1,11-Projects!$C$34+1),0)+IF(AND(Projects!$G$35="Yes",11&gt;=Projects!$C$35,11&lt;Projects!$C$35+Projects!$D$35),Projects!$B$35*INDEX(Curves!$B$4:$AR$4,1,11-Projects!$C$35+1),0)+IF(AND(Projects!$G$36="Yes",11&gt;=Projects!$C$36,11&lt;Projects!$C$36+Projects!$D$36),Projects!$B$36*INDEX(Curves!$B$4:$AR$4,1,11-Projects!$C$36+1),0)+IF(AND(Projects!$G$37="Yes",11&gt;=Projects!$C$37,11&lt;Projects!$C$37+Projects!$D$37),Projects!$B$37*INDEX(Curves!$B$4:$AR$4,1,11-Projects!$C$37+1),0)+IF(AND(Projects!$G$38="Yes",11&gt;=Projects!$C$38,11&lt;Projects!$C$38+Projects!$D$38),Projects!$B$38*INDEX(Curves!$B$4:$AR$4,1,11-Projects!$C$38+1),0)+IF(AND(Projects!$G$39="Yes",11&gt;=Projects!$C$39,11&lt;Projects!$C$39+Projects!$D$39),Projects!$B$39*INDEX(Curves!$B$4:$AR$4,1,11-Projects!$C$39+1),0)+IF(AND(Projects!$G$40="Yes",11&gt;=Projects!$C$40,11&lt;Projects!$C$40+Projects!$D$40),Projects!$B$40*INDEX(Curves!$B$4:$AR$4,1,11-Projects!$C$40+1),0)+IF(AND(Projects!$G$41="Yes",11&gt;=Projects!$C$41,11&lt;Projects!$C$41+Projects!$D$41),Projects!$B$41*INDEX(Curves!$B$4:$AR$4,1,11-Projects!$C$41+1),0)+IF(AND(Projects!$G$42="Yes",11&gt;=Projects!$C$42,11&lt;Projects!$C$42+Projects!$D$42),Projects!$B$42*INDEX(Curves!$B$4:$AR$4,1,11-Projects!$C$42+1),0)+IF(AND(Projects!$G$43="Yes",11&gt;=Projects!$C$43,11&lt;Projects!$C$43+Projects!$D$43),Projects!$B$43*INDEX(Curves!$B$4:$AR$4,1,11-Projects!$C$43+1),0)+IF(AND(Projects!$G$44="Yes",11&gt;=Projects!$C$44,11&lt;Projects!$C$44+Projects!$D$44),Projects!$B$44*INDEX(Curves!$B$4:$AR$4,1,11-Projects!$C$44+1),0)+IF(AND(Projects!$G$45="Yes",11&gt;=Projects!$C$45,11&lt;Projects!$C$45+Projects!$D$45),Projects!$B$45*INDEX(Curves!$B$4:$AR$4,1,11-Projects!$C$45+1),0)+IF(AND(Projects!$G$46="Yes",11&gt;=Projects!$C$46,11&lt;Projects!$C$46+Projects!$D$46),Projects!$B$46*INDEX(Curves!$B$4:$AR$4,1,11-Projects!$C$46+1),0)</f>
        <v>0</v>
      </c>
      <c r="Q96" s="83" t="n">
        <f aca="false">IF(AND(Projects!$G$17="Yes",12&gt;=Projects!$C$17,12&lt;Projects!$C$17+Projects!$D$17),Projects!$B$17*INDEX(Curves!$B$4:$AR$4,1,12-Projects!$C$17+1),0)+IF(AND(Projects!$G$18="Yes",12&gt;=Projects!$C$18,12&lt;Projects!$C$18+Projects!$D$18),Projects!$B$18*INDEX(Curves!$B$4:$AR$4,1,12-Projects!$C$18+1),0)+IF(AND(Projects!$G$19="Yes",12&gt;=Projects!$C$19,12&lt;Projects!$C$19+Projects!$D$19),Projects!$B$19*INDEX(Curves!$B$4:$AR$4,1,12-Projects!$C$19+1),0)+IF(AND(Projects!$G$20="Yes",12&gt;=Projects!$C$20,12&lt;Projects!$C$20+Projects!$D$20),Projects!$B$20*INDEX(Curves!$B$4:$AR$4,1,12-Projects!$C$20+1),0)+IF(AND(Projects!$G$21="Yes",12&gt;=Projects!$C$21,12&lt;Projects!$C$21+Projects!$D$21),Projects!$B$21*INDEX(Curves!$B$4:$AR$4,1,12-Projects!$C$21+1),0)+IF(AND(Projects!$G$22="Yes",12&gt;=Projects!$C$22,12&lt;Projects!$C$22+Projects!$D$22),Projects!$B$22*INDEX(Curves!$B$4:$AR$4,1,12-Projects!$C$22+1),0)+IF(AND(Projects!$G$23="Yes",12&gt;=Projects!$C$23,12&lt;Projects!$C$23+Projects!$D$23),Projects!$B$23*INDEX(Curves!$B$4:$AR$4,1,12-Projects!$C$23+1),0)+IF(AND(Projects!$G$24="Yes",12&gt;=Projects!$C$24,12&lt;Projects!$C$24+Projects!$D$24),Projects!$B$24*INDEX(Curves!$B$4:$AR$4,1,12-Projects!$C$24+1),0)+IF(AND(Projects!$G$25="Yes",12&gt;=Projects!$C$25,12&lt;Projects!$C$25+Projects!$D$25),Projects!$B$25*INDEX(Curves!$B$4:$AR$4,1,12-Projects!$C$25+1),0)+IF(AND(Projects!$G$26="Yes",12&gt;=Projects!$C$26,12&lt;Projects!$C$26+Projects!$D$26),Projects!$B$26*INDEX(Curves!$B$4:$AR$4,1,12-Projects!$C$26+1),0)+IF(AND(Projects!$G$27="Yes",12&gt;=Projects!$C$27,12&lt;Projects!$C$27+Projects!$D$27),Projects!$B$27*INDEX(Curves!$B$4:$AR$4,1,12-Projects!$C$27+1),0)+IF(AND(Projects!$G$28="Yes",12&gt;=Projects!$C$28,12&lt;Projects!$C$28+Projects!$D$28),Projects!$B$28*INDEX(Curves!$B$4:$AR$4,1,12-Projects!$C$28+1),0)+IF(AND(Projects!$G$29="Yes",12&gt;=Projects!$C$29,12&lt;Projects!$C$29+Projects!$D$29),Projects!$B$29*INDEX(Curves!$B$4:$AR$4,1,12-Projects!$C$29+1),0)+IF(AND(Projects!$G$30="Yes",12&gt;=Projects!$C$30,12&lt;Projects!$C$30+Projects!$D$30),Projects!$B$30*INDEX(Curves!$B$4:$AR$4,1,12-Projects!$C$30+1),0)+IF(AND(Projects!$G$31="Yes",12&gt;=Projects!$C$31,12&lt;Projects!$C$31+Projects!$D$31),Projects!$B$31*INDEX(Curves!$B$4:$AR$4,1,12-Projects!$C$31+1),0)+IF(AND(Projects!$G$32="Yes",12&gt;=Projects!$C$32,12&lt;Projects!$C$32+Projects!$D$32),Projects!$B$32*INDEX(Curves!$B$4:$AR$4,1,12-Projects!$C$32+1),0)+IF(AND(Projects!$G$33="Yes",12&gt;=Projects!$C$33,12&lt;Projects!$C$33+Projects!$D$33),Projects!$B$33*INDEX(Curves!$B$4:$AR$4,1,12-Projects!$C$33+1),0)+IF(AND(Projects!$G$34="Yes",12&gt;=Projects!$C$34,12&lt;Projects!$C$34+Projects!$D$34),Projects!$B$34*INDEX(Curves!$B$4:$AR$4,1,12-Projects!$C$34+1),0)+IF(AND(Projects!$G$35="Yes",12&gt;=Projects!$C$35,12&lt;Projects!$C$35+Projects!$D$35),Projects!$B$35*INDEX(Curves!$B$4:$AR$4,1,12-Projects!$C$35+1),0)+IF(AND(Projects!$G$36="Yes",12&gt;=Projects!$C$36,12&lt;Projects!$C$36+Projects!$D$36),Projects!$B$36*INDEX(Curves!$B$4:$AR$4,1,12-Projects!$C$36+1),0)+IF(AND(Projects!$G$37="Yes",12&gt;=Projects!$C$37,12&lt;Projects!$C$37+Projects!$D$37),Projects!$B$37*INDEX(Curves!$B$4:$AR$4,1,12-Projects!$C$37+1),0)+IF(AND(Projects!$G$38="Yes",12&gt;=Projects!$C$38,12&lt;Projects!$C$38+Projects!$D$38),Projects!$B$38*INDEX(Curves!$B$4:$AR$4,1,12-Projects!$C$38+1),0)+IF(AND(Projects!$G$39="Yes",12&gt;=Projects!$C$39,12&lt;Projects!$C$39+Projects!$D$39),Projects!$B$39*INDEX(Curves!$B$4:$AR$4,1,12-Projects!$C$39+1),0)+IF(AND(Projects!$G$40="Yes",12&gt;=Projects!$C$40,12&lt;Projects!$C$40+Projects!$D$40),Projects!$B$40*INDEX(Curves!$B$4:$AR$4,1,12-Projects!$C$40+1),0)+IF(AND(Projects!$G$41="Yes",12&gt;=Projects!$C$41,12&lt;Projects!$C$41+Projects!$D$41),Projects!$B$41*INDEX(Curves!$B$4:$AR$4,1,12-Projects!$C$41+1),0)+IF(AND(Projects!$G$42="Yes",12&gt;=Projects!$C$42,12&lt;Projects!$C$42+Projects!$D$42),Projects!$B$42*INDEX(Curves!$B$4:$AR$4,1,12-Projects!$C$42+1),0)+IF(AND(Projects!$G$43="Yes",12&gt;=Projects!$C$43,12&lt;Projects!$C$43+Projects!$D$43),Projects!$B$43*INDEX(Curves!$B$4:$AR$4,1,12-Projects!$C$43+1),0)+IF(AND(Projects!$G$44="Yes",12&gt;=Projects!$C$44,12&lt;Projects!$C$44+Projects!$D$44),Projects!$B$44*INDEX(Curves!$B$4:$AR$4,1,12-Projects!$C$44+1),0)+IF(AND(Projects!$G$45="Yes",12&gt;=Projects!$C$45,12&lt;Projects!$C$45+Projects!$D$45),Projects!$B$45*INDEX(Curves!$B$4:$AR$4,1,12-Projects!$C$45+1),0)+IF(AND(Projects!$G$46="Yes",12&gt;=Projects!$C$46,12&lt;Projects!$C$46+Projects!$D$46),Projects!$B$46*INDEX(Curves!$B$4:$AR$4,1,12-Projects!$C$46+1),0)</f>
        <v>0</v>
      </c>
      <c r="R96" s="83" t="n">
        <f aca="false">IF(AND(Projects!$G$17="Yes",13&gt;=Projects!$C$17,13&lt;Projects!$C$17+Projects!$D$17),Projects!$B$17*INDEX(Curves!$B$4:$AR$4,1,13-Projects!$C$17+1),0)+IF(AND(Projects!$G$18="Yes",13&gt;=Projects!$C$18,13&lt;Projects!$C$18+Projects!$D$18),Projects!$B$18*INDEX(Curves!$B$4:$AR$4,1,13-Projects!$C$18+1),0)+IF(AND(Projects!$G$19="Yes",13&gt;=Projects!$C$19,13&lt;Projects!$C$19+Projects!$D$19),Projects!$B$19*INDEX(Curves!$B$4:$AR$4,1,13-Projects!$C$19+1),0)+IF(AND(Projects!$G$20="Yes",13&gt;=Projects!$C$20,13&lt;Projects!$C$20+Projects!$D$20),Projects!$B$20*INDEX(Curves!$B$4:$AR$4,1,13-Projects!$C$20+1),0)+IF(AND(Projects!$G$21="Yes",13&gt;=Projects!$C$21,13&lt;Projects!$C$21+Projects!$D$21),Projects!$B$21*INDEX(Curves!$B$4:$AR$4,1,13-Projects!$C$21+1),0)+IF(AND(Projects!$G$22="Yes",13&gt;=Projects!$C$22,13&lt;Projects!$C$22+Projects!$D$22),Projects!$B$22*INDEX(Curves!$B$4:$AR$4,1,13-Projects!$C$22+1),0)+IF(AND(Projects!$G$23="Yes",13&gt;=Projects!$C$23,13&lt;Projects!$C$23+Projects!$D$23),Projects!$B$23*INDEX(Curves!$B$4:$AR$4,1,13-Projects!$C$23+1),0)+IF(AND(Projects!$G$24="Yes",13&gt;=Projects!$C$24,13&lt;Projects!$C$24+Projects!$D$24),Projects!$B$24*INDEX(Curves!$B$4:$AR$4,1,13-Projects!$C$24+1),0)+IF(AND(Projects!$G$25="Yes",13&gt;=Projects!$C$25,13&lt;Projects!$C$25+Projects!$D$25),Projects!$B$25*INDEX(Curves!$B$4:$AR$4,1,13-Projects!$C$25+1),0)+IF(AND(Projects!$G$26="Yes",13&gt;=Projects!$C$26,13&lt;Projects!$C$26+Projects!$D$26),Projects!$B$26*INDEX(Curves!$B$4:$AR$4,1,13-Projects!$C$26+1),0)+IF(AND(Projects!$G$27="Yes",13&gt;=Projects!$C$27,13&lt;Projects!$C$27+Projects!$D$27),Projects!$B$27*INDEX(Curves!$B$4:$AR$4,1,13-Projects!$C$27+1),0)+IF(AND(Projects!$G$28="Yes",13&gt;=Projects!$C$28,13&lt;Projects!$C$28+Projects!$D$28),Projects!$B$28*INDEX(Curves!$B$4:$AR$4,1,13-Projects!$C$28+1),0)+IF(AND(Projects!$G$29="Yes",13&gt;=Projects!$C$29,13&lt;Projects!$C$29+Projects!$D$29),Projects!$B$29*INDEX(Curves!$B$4:$AR$4,1,13-Projects!$C$29+1),0)+IF(AND(Projects!$G$30="Yes",13&gt;=Projects!$C$30,13&lt;Projects!$C$30+Projects!$D$30),Projects!$B$30*INDEX(Curves!$B$4:$AR$4,1,13-Projects!$C$30+1),0)+IF(AND(Projects!$G$31="Yes",13&gt;=Projects!$C$31,13&lt;Projects!$C$31+Projects!$D$31),Projects!$B$31*INDEX(Curves!$B$4:$AR$4,1,13-Projects!$C$31+1),0)+IF(AND(Projects!$G$32="Yes",13&gt;=Projects!$C$32,13&lt;Projects!$C$32+Projects!$D$32),Projects!$B$32*INDEX(Curves!$B$4:$AR$4,1,13-Projects!$C$32+1),0)+IF(AND(Projects!$G$33="Yes",13&gt;=Projects!$C$33,13&lt;Projects!$C$33+Projects!$D$33),Projects!$B$33*INDEX(Curves!$B$4:$AR$4,1,13-Projects!$C$33+1),0)+IF(AND(Projects!$G$34="Yes",13&gt;=Projects!$C$34,13&lt;Projects!$C$34+Projects!$D$34),Projects!$B$34*INDEX(Curves!$B$4:$AR$4,1,13-Projects!$C$34+1),0)+IF(AND(Projects!$G$35="Yes",13&gt;=Projects!$C$35,13&lt;Projects!$C$35+Projects!$D$35),Projects!$B$35*INDEX(Curves!$B$4:$AR$4,1,13-Projects!$C$35+1),0)+IF(AND(Projects!$G$36="Yes",13&gt;=Projects!$C$36,13&lt;Projects!$C$36+Projects!$D$36),Projects!$B$36*INDEX(Curves!$B$4:$AR$4,1,13-Projects!$C$36+1),0)+IF(AND(Projects!$G$37="Yes",13&gt;=Projects!$C$37,13&lt;Projects!$C$37+Projects!$D$37),Projects!$B$37*INDEX(Curves!$B$4:$AR$4,1,13-Projects!$C$37+1),0)+IF(AND(Projects!$G$38="Yes",13&gt;=Projects!$C$38,13&lt;Projects!$C$38+Projects!$D$38),Projects!$B$38*INDEX(Curves!$B$4:$AR$4,1,13-Projects!$C$38+1),0)+IF(AND(Projects!$G$39="Yes",13&gt;=Projects!$C$39,13&lt;Projects!$C$39+Projects!$D$39),Projects!$B$39*INDEX(Curves!$B$4:$AR$4,1,13-Projects!$C$39+1),0)+IF(AND(Projects!$G$40="Yes",13&gt;=Projects!$C$40,13&lt;Projects!$C$40+Projects!$D$40),Projects!$B$40*INDEX(Curves!$B$4:$AR$4,1,13-Projects!$C$40+1),0)+IF(AND(Projects!$G$41="Yes",13&gt;=Projects!$C$41,13&lt;Projects!$C$41+Projects!$D$41),Projects!$B$41*INDEX(Curves!$B$4:$AR$4,1,13-Projects!$C$41+1),0)+IF(AND(Projects!$G$42="Yes",13&gt;=Projects!$C$42,13&lt;Projects!$C$42+Projects!$D$42),Projects!$B$42*INDEX(Curves!$B$4:$AR$4,1,13-Projects!$C$42+1),0)+IF(AND(Projects!$G$43="Yes",13&gt;=Projects!$C$43,13&lt;Projects!$C$43+Projects!$D$43),Projects!$B$43*INDEX(Curves!$B$4:$AR$4,1,13-Projects!$C$43+1),0)+IF(AND(Projects!$G$44="Yes",13&gt;=Projects!$C$44,13&lt;Projects!$C$44+Projects!$D$44),Projects!$B$44*INDEX(Curves!$B$4:$AR$4,1,13-Projects!$C$44+1),0)+IF(AND(Projects!$G$45="Yes",13&gt;=Projects!$C$45,13&lt;Projects!$C$45+Projects!$D$45),Projects!$B$45*INDEX(Curves!$B$4:$AR$4,1,13-Projects!$C$45+1),0)+IF(AND(Projects!$G$46="Yes",13&gt;=Projects!$C$46,13&lt;Projects!$C$46+Projects!$D$46),Projects!$B$46*INDEX(Curves!$B$4:$AR$4,1,13-Projects!$C$46+1),0)</f>
        <v>0</v>
      </c>
      <c r="S96" s="83" t="n">
        <f aca="false">IF(AND(Projects!$G$17="Yes",14&gt;=Projects!$C$17,14&lt;Projects!$C$17+Projects!$D$17),Projects!$B$17*INDEX(Curves!$B$4:$AR$4,1,14-Projects!$C$17+1),0)+IF(AND(Projects!$G$18="Yes",14&gt;=Projects!$C$18,14&lt;Projects!$C$18+Projects!$D$18),Projects!$B$18*INDEX(Curves!$B$4:$AR$4,1,14-Projects!$C$18+1),0)+IF(AND(Projects!$G$19="Yes",14&gt;=Projects!$C$19,14&lt;Projects!$C$19+Projects!$D$19),Projects!$B$19*INDEX(Curves!$B$4:$AR$4,1,14-Projects!$C$19+1),0)+IF(AND(Projects!$G$20="Yes",14&gt;=Projects!$C$20,14&lt;Projects!$C$20+Projects!$D$20),Projects!$B$20*INDEX(Curves!$B$4:$AR$4,1,14-Projects!$C$20+1),0)+IF(AND(Projects!$G$21="Yes",14&gt;=Projects!$C$21,14&lt;Projects!$C$21+Projects!$D$21),Projects!$B$21*INDEX(Curves!$B$4:$AR$4,1,14-Projects!$C$21+1),0)+IF(AND(Projects!$G$22="Yes",14&gt;=Projects!$C$22,14&lt;Projects!$C$22+Projects!$D$22),Projects!$B$22*INDEX(Curves!$B$4:$AR$4,1,14-Projects!$C$22+1),0)+IF(AND(Projects!$G$23="Yes",14&gt;=Projects!$C$23,14&lt;Projects!$C$23+Projects!$D$23),Projects!$B$23*INDEX(Curves!$B$4:$AR$4,1,14-Projects!$C$23+1),0)+IF(AND(Projects!$G$24="Yes",14&gt;=Projects!$C$24,14&lt;Projects!$C$24+Projects!$D$24),Projects!$B$24*INDEX(Curves!$B$4:$AR$4,1,14-Projects!$C$24+1),0)+IF(AND(Projects!$G$25="Yes",14&gt;=Projects!$C$25,14&lt;Projects!$C$25+Projects!$D$25),Projects!$B$25*INDEX(Curves!$B$4:$AR$4,1,14-Projects!$C$25+1),0)+IF(AND(Projects!$G$26="Yes",14&gt;=Projects!$C$26,14&lt;Projects!$C$26+Projects!$D$26),Projects!$B$26*INDEX(Curves!$B$4:$AR$4,1,14-Projects!$C$26+1),0)+IF(AND(Projects!$G$27="Yes",14&gt;=Projects!$C$27,14&lt;Projects!$C$27+Projects!$D$27),Projects!$B$27*INDEX(Curves!$B$4:$AR$4,1,14-Projects!$C$27+1),0)+IF(AND(Projects!$G$28="Yes",14&gt;=Projects!$C$28,14&lt;Projects!$C$28+Projects!$D$28),Projects!$B$28*INDEX(Curves!$B$4:$AR$4,1,14-Projects!$C$28+1),0)+IF(AND(Projects!$G$29="Yes",14&gt;=Projects!$C$29,14&lt;Projects!$C$29+Projects!$D$29),Projects!$B$29*INDEX(Curves!$B$4:$AR$4,1,14-Projects!$C$29+1),0)+IF(AND(Projects!$G$30="Yes",14&gt;=Projects!$C$30,14&lt;Projects!$C$30+Projects!$D$30),Projects!$B$30*INDEX(Curves!$B$4:$AR$4,1,14-Projects!$C$30+1),0)+IF(AND(Projects!$G$31="Yes",14&gt;=Projects!$C$31,14&lt;Projects!$C$31+Projects!$D$31),Projects!$B$31*INDEX(Curves!$B$4:$AR$4,1,14-Projects!$C$31+1),0)+IF(AND(Projects!$G$32="Yes",14&gt;=Projects!$C$32,14&lt;Projects!$C$32+Projects!$D$32),Projects!$B$32*INDEX(Curves!$B$4:$AR$4,1,14-Projects!$C$32+1),0)+IF(AND(Projects!$G$33="Yes",14&gt;=Projects!$C$33,14&lt;Projects!$C$33+Projects!$D$33),Projects!$B$33*INDEX(Curves!$B$4:$AR$4,1,14-Projects!$C$33+1),0)+IF(AND(Projects!$G$34="Yes",14&gt;=Projects!$C$34,14&lt;Projects!$C$34+Projects!$D$34),Projects!$B$34*INDEX(Curves!$B$4:$AR$4,1,14-Projects!$C$34+1),0)+IF(AND(Projects!$G$35="Yes",14&gt;=Projects!$C$35,14&lt;Projects!$C$35+Projects!$D$35),Projects!$B$35*INDEX(Curves!$B$4:$AR$4,1,14-Projects!$C$35+1),0)+IF(AND(Projects!$G$36="Yes",14&gt;=Projects!$C$36,14&lt;Projects!$C$36+Projects!$D$36),Projects!$B$36*INDEX(Curves!$B$4:$AR$4,1,14-Projects!$C$36+1),0)+IF(AND(Projects!$G$37="Yes",14&gt;=Projects!$C$37,14&lt;Projects!$C$37+Projects!$D$37),Projects!$B$37*INDEX(Curves!$B$4:$AR$4,1,14-Projects!$C$37+1),0)+IF(AND(Projects!$G$38="Yes",14&gt;=Projects!$C$38,14&lt;Projects!$C$38+Projects!$D$38),Projects!$B$38*INDEX(Curves!$B$4:$AR$4,1,14-Projects!$C$38+1),0)+IF(AND(Projects!$G$39="Yes",14&gt;=Projects!$C$39,14&lt;Projects!$C$39+Projects!$D$39),Projects!$B$39*INDEX(Curves!$B$4:$AR$4,1,14-Projects!$C$39+1),0)+IF(AND(Projects!$G$40="Yes",14&gt;=Projects!$C$40,14&lt;Projects!$C$40+Projects!$D$40),Projects!$B$40*INDEX(Curves!$B$4:$AR$4,1,14-Projects!$C$40+1),0)+IF(AND(Projects!$G$41="Yes",14&gt;=Projects!$C$41,14&lt;Projects!$C$41+Projects!$D$41),Projects!$B$41*INDEX(Curves!$B$4:$AR$4,1,14-Projects!$C$41+1),0)+IF(AND(Projects!$G$42="Yes",14&gt;=Projects!$C$42,14&lt;Projects!$C$42+Projects!$D$42),Projects!$B$42*INDEX(Curves!$B$4:$AR$4,1,14-Projects!$C$42+1),0)+IF(AND(Projects!$G$43="Yes",14&gt;=Projects!$C$43,14&lt;Projects!$C$43+Projects!$D$43),Projects!$B$43*INDEX(Curves!$B$4:$AR$4,1,14-Projects!$C$43+1),0)+IF(AND(Projects!$G$44="Yes",14&gt;=Projects!$C$44,14&lt;Projects!$C$44+Projects!$D$44),Projects!$B$44*INDEX(Curves!$B$4:$AR$4,1,14-Projects!$C$44+1),0)+IF(AND(Projects!$G$45="Yes",14&gt;=Projects!$C$45,14&lt;Projects!$C$45+Projects!$D$45),Projects!$B$45*INDEX(Curves!$B$4:$AR$4,1,14-Projects!$C$45+1),0)+IF(AND(Projects!$G$46="Yes",14&gt;=Projects!$C$46,14&lt;Projects!$C$46+Projects!$D$46),Projects!$B$46*INDEX(Curves!$B$4:$AR$4,1,14-Projects!$C$46+1),0)</f>
        <v>0</v>
      </c>
      <c r="T96" s="83" t="n">
        <f aca="false">IF(AND(Projects!$G$17="Yes",15&gt;=Projects!$C$17,15&lt;Projects!$C$17+Projects!$D$17),Projects!$B$17*INDEX(Curves!$B$4:$AR$4,1,15-Projects!$C$17+1),0)+IF(AND(Projects!$G$18="Yes",15&gt;=Projects!$C$18,15&lt;Projects!$C$18+Projects!$D$18),Projects!$B$18*INDEX(Curves!$B$4:$AR$4,1,15-Projects!$C$18+1),0)+IF(AND(Projects!$G$19="Yes",15&gt;=Projects!$C$19,15&lt;Projects!$C$19+Projects!$D$19),Projects!$B$19*INDEX(Curves!$B$4:$AR$4,1,15-Projects!$C$19+1),0)+IF(AND(Projects!$G$20="Yes",15&gt;=Projects!$C$20,15&lt;Projects!$C$20+Projects!$D$20),Projects!$B$20*INDEX(Curves!$B$4:$AR$4,1,15-Projects!$C$20+1),0)+IF(AND(Projects!$G$21="Yes",15&gt;=Projects!$C$21,15&lt;Projects!$C$21+Projects!$D$21),Projects!$B$21*INDEX(Curves!$B$4:$AR$4,1,15-Projects!$C$21+1),0)+IF(AND(Projects!$G$22="Yes",15&gt;=Projects!$C$22,15&lt;Projects!$C$22+Projects!$D$22),Projects!$B$22*INDEX(Curves!$B$4:$AR$4,1,15-Projects!$C$22+1),0)+IF(AND(Projects!$G$23="Yes",15&gt;=Projects!$C$23,15&lt;Projects!$C$23+Projects!$D$23),Projects!$B$23*INDEX(Curves!$B$4:$AR$4,1,15-Projects!$C$23+1),0)+IF(AND(Projects!$G$24="Yes",15&gt;=Projects!$C$24,15&lt;Projects!$C$24+Projects!$D$24),Projects!$B$24*INDEX(Curves!$B$4:$AR$4,1,15-Projects!$C$24+1),0)+IF(AND(Projects!$G$25="Yes",15&gt;=Projects!$C$25,15&lt;Projects!$C$25+Projects!$D$25),Projects!$B$25*INDEX(Curves!$B$4:$AR$4,1,15-Projects!$C$25+1),0)+IF(AND(Projects!$G$26="Yes",15&gt;=Projects!$C$26,15&lt;Projects!$C$26+Projects!$D$26),Projects!$B$26*INDEX(Curves!$B$4:$AR$4,1,15-Projects!$C$26+1),0)+IF(AND(Projects!$G$27="Yes",15&gt;=Projects!$C$27,15&lt;Projects!$C$27+Projects!$D$27),Projects!$B$27*INDEX(Curves!$B$4:$AR$4,1,15-Projects!$C$27+1),0)+IF(AND(Projects!$G$28="Yes",15&gt;=Projects!$C$28,15&lt;Projects!$C$28+Projects!$D$28),Projects!$B$28*INDEX(Curves!$B$4:$AR$4,1,15-Projects!$C$28+1),0)+IF(AND(Projects!$G$29="Yes",15&gt;=Projects!$C$29,15&lt;Projects!$C$29+Projects!$D$29),Projects!$B$29*INDEX(Curves!$B$4:$AR$4,1,15-Projects!$C$29+1),0)+IF(AND(Projects!$G$30="Yes",15&gt;=Projects!$C$30,15&lt;Projects!$C$30+Projects!$D$30),Projects!$B$30*INDEX(Curves!$B$4:$AR$4,1,15-Projects!$C$30+1),0)+IF(AND(Projects!$G$31="Yes",15&gt;=Projects!$C$31,15&lt;Projects!$C$31+Projects!$D$31),Projects!$B$31*INDEX(Curves!$B$4:$AR$4,1,15-Projects!$C$31+1),0)+IF(AND(Projects!$G$32="Yes",15&gt;=Projects!$C$32,15&lt;Projects!$C$32+Projects!$D$32),Projects!$B$32*INDEX(Curves!$B$4:$AR$4,1,15-Projects!$C$32+1),0)+IF(AND(Projects!$G$33="Yes",15&gt;=Projects!$C$33,15&lt;Projects!$C$33+Projects!$D$33),Projects!$B$33*INDEX(Curves!$B$4:$AR$4,1,15-Projects!$C$33+1),0)+IF(AND(Projects!$G$34="Yes",15&gt;=Projects!$C$34,15&lt;Projects!$C$34+Projects!$D$34),Projects!$B$34*INDEX(Curves!$B$4:$AR$4,1,15-Projects!$C$34+1),0)+IF(AND(Projects!$G$35="Yes",15&gt;=Projects!$C$35,15&lt;Projects!$C$35+Projects!$D$35),Projects!$B$35*INDEX(Curves!$B$4:$AR$4,1,15-Projects!$C$35+1),0)+IF(AND(Projects!$G$36="Yes",15&gt;=Projects!$C$36,15&lt;Projects!$C$36+Projects!$D$36),Projects!$B$36*INDEX(Curves!$B$4:$AR$4,1,15-Projects!$C$36+1),0)+IF(AND(Projects!$G$37="Yes",15&gt;=Projects!$C$37,15&lt;Projects!$C$37+Projects!$D$37),Projects!$B$37*INDEX(Curves!$B$4:$AR$4,1,15-Projects!$C$37+1),0)+IF(AND(Projects!$G$38="Yes",15&gt;=Projects!$C$38,15&lt;Projects!$C$38+Projects!$D$38),Projects!$B$38*INDEX(Curves!$B$4:$AR$4,1,15-Projects!$C$38+1),0)+IF(AND(Projects!$G$39="Yes",15&gt;=Projects!$C$39,15&lt;Projects!$C$39+Projects!$D$39),Projects!$B$39*INDEX(Curves!$B$4:$AR$4,1,15-Projects!$C$39+1),0)+IF(AND(Projects!$G$40="Yes",15&gt;=Projects!$C$40,15&lt;Projects!$C$40+Projects!$D$40),Projects!$B$40*INDEX(Curves!$B$4:$AR$4,1,15-Projects!$C$40+1),0)+IF(AND(Projects!$G$41="Yes",15&gt;=Projects!$C$41,15&lt;Projects!$C$41+Projects!$D$41),Projects!$B$41*INDEX(Curves!$B$4:$AR$4,1,15-Projects!$C$41+1),0)+IF(AND(Projects!$G$42="Yes",15&gt;=Projects!$C$42,15&lt;Projects!$C$42+Projects!$D$42),Projects!$B$42*INDEX(Curves!$B$4:$AR$4,1,15-Projects!$C$42+1),0)+IF(AND(Projects!$G$43="Yes",15&gt;=Projects!$C$43,15&lt;Projects!$C$43+Projects!$D$43),Projects!$B$43*INDEX(Curves!$B$4:$AR$4,1,15-Projects!$C$43+1),0)+IF(AND(Projects!$G$44="Yes",15&gt;=Projects!$C$44,15&lt;Projects!$C$44+Projects!$D$44),Projects!$B$44*INDEX(Curves!$B$4:$AR$4,1,15-Projects!$C$44+1),0)+IF(AND(Projects!$G$45="Yes",15&gt;=Projects!$C$45,15&lt;Projects!$C$45+Projects!$D$45),Projects!$B$45*INDEX(Curves!$B$4:$AR$4,1,15-Projects!$C$45+1),0)+IF(AND(Projects!$G$46="Yes",15&gt;=Projects!$C$46,15&lt;Projects!$C$46+Projects!$D$46),Projects!$B$46*INDEX(Curves!$B$4:$AR$4,1,15-Projects!$C$46+1),0)</f>
        <v>0</v>
      </c>
      <c r="U96" s="83" t="n">
        <f aca="false">IF(AND(Projects!$G$17="Yes",16&gt;=Projects!$C$17,16&lt;Projects!$C$17+Projects!$D$17),Projects!$B$17*INDEX(Curves!$B$4:$AR$4,1,16-Projects!$C$17+1),0)+IF(AND(Projects!$G$18="Yes",16&gt;=Projects!$C$18,16&lt;Projects!$C$18+Projects!$D$18),Projects!$B$18*INDEX(Curves!$B$4:$AR$4,1,16-Projects!$C$18+1),0)+IF(AND(Projects!$G$19="Yes",16&gt;=Projects!$C$19,16&lt;Projects!$C$19+Projects!$D$19),Projects!$B$19*INDEX(Curves!$B$4:$AR$4,1,16-Projects!$C$19+1),0)+IF(AND(Projects!$G$20="Yes",16&gt;=Projects!$C$20,16&lt;Projects!$C$20+Projects!$D$20),Projects!$B$20*INDEX(Curves!$B$4:$AR$4,1,16-Projects!$C$20+1),0)+IF(AND(Projects!$G$21="Yes",16&gt;=Projects!$C$21,16&lt;Projects!$C$21+Projects!$D$21),Projects!$B$21*INDEX(Curves!$B$4:$AR$4,1,16-Projects!$C$21+1),0)+IF(AND(Projects!$G$22="Yes",16&gt;=Projects!$C$22,16&lt;Projects!$C$22+Projects!$D$22),Projects!$B$22*INDEX(Curves!$B$4:$AR$4,1,16-Projects!$C$22+1),0)+IF(AND(Projects!$G$23="Yes",16&gt;=Projects!$C$23,16&lt;Projects!$C$23+Projects!$D$23),Projects!$B$23*INDEX(Curves!$B$4:$AR$4,1,16-Projects!$C$23+1),0)+IF(AND(Projects!$G$24="Yes",16&gt;=Projects!$C$24,16&lt;Projects!$C$24+Projects!$D$24),Projects!$B$24*INDEX(Curves!$B$4:$AR$4,1,16-Projects!$C$24+1),0)+IF(AND(Projects!$G$25="Yes",16&gt;=Projects!$C$25,16&lt;Projects!$C$25+Projects!$D$25),Projects!$B$25*INDEX(Curves!$B$4:$AR$4,1,16-Projects!$C$25+1),0)+IF(AND(Projects!$G$26="Yes",16&gt;=Projects!$C$26,16&lt;Projects!$C$26+Projects!$D$26),Projects!$B$26*INDEX(Curves!$B$4:$AR$4,1,16-Projects!$C$26+1),0)+IF(AND(Projects!$G$27="Yes",16&gt;=Projects!$C$27,16&lt;Projects!$C$27+Projects!$D$27),Projects!$B$27*INDEX(Curves!$B$4:$AR$4,1,16-Projects!$C$27+1),0)+IF(AND(Projects!$G$28="Yes",16&gt;=Projects!$C$28,16&lt;Projects!$C$28+Projects!$D$28),Projects!$B$28*INDEX(Curves!$B$4:$AR$4,1,16-Projects!$C$28+1),0)+IF(AND(Projects!$G$29="Yes",16&gt;=Projects!$C$29,16&lt;Projects!$C$29+Projects!$D$29),Projects!$B$29*INDEX(Curves!$B$4:$AR$4,1,16-Projects!$C$29+1),0)+IF(AND(Projects!$G$30="Yes",16&gt;=Projects!$C$30,16&lt;Projects!$C$30+Projects!$D$30),Projects!$B$30*INDEX(Curves!$B$4:$AR$4,1,16-Projects!$C$30+1),0)+IF(AND(Projects!$G$31="Yes",16&gt;=Projects!$C$31,16&lt;Projects!$C$31+Projects!$D$31),Projects!$B$31*INDEX(Curves!$B$4:$AR$4,1,16-Projects!$C$31+1),0)+IF(AND(Projects!$G$32="Yes",16&gt;=Projects!$C$32,16&lt;Projects!$C$32+Projects!$D$32),Projects!$B$32*INDEX(Curves!$B$4:$AR$4,1,16-Projects!$C$32+1),0)+IF(AND(Projects!$G$33="Yes",16&gt;=Projects!$C$33,16&lt;Projects!$C$33+Projects!$D$33),Projects!$B$33*INDEX(Curves!$B$4:$AR$4,1,16-Projects!$C$33+1),0)+IF(AND(Projects!$G$34="Yes",16&gt;=Projects!$C$34,16&lt;Projects!$C$34+Projects!$D$34),Projects!$B$34*INDEX(Curves!$B$4:$AR$4,1,16-Projects!$C$34+1),0)+IF(AND(Projects!$G$35="Yes",16&gt;=Projects!$C$35,16&lt;Projects!$C$35+Projects!$D$35),Projects!$B$35*INDEX(Curves!$B$4:$AR$4,1,16-Projects!$C$35+1),0)+IF(AND(Projects!$G$36="Yes",16&gt;=Projects!$C$36,16&lt;Projects!$C$36+Projects!$D$36),Projects!$B$36*INDEX(Curves!$B$4:$AR$4,1,16-Projects!$C$36+1),0)+IF(AND(Projects!$G$37="Yes",16&gt;=Projects!$C$37,16&lt;Projects!$C$37+Projects!$D$37),Projects!$B$37*INDEX(Curves!$B$4:$AR$4,1,16-Projects!$C$37+1),0)+IF(AND(Projects!$G$38="Yes",16&gt;=Projects!$C$38,16&lt;Projects!$C$38+Projects!$D$38),Projects!$B$38*INDEX(Curves!$B$4:$AR$4,1,16-Projects!$C$38+1),0)+IF(AND(Projects!$G$39="Yes",16&gt;=Projects!$C$39,16&lt;Projects!$C$39+Projects!$D$39),Projects!$B$39*INDEX(Curves!$B$4:$AR$4,1,16-Projects!$C$39+1),0)+IF(AND(Projects!$G$40="Yes",16&gt;=Projects!$C$40,16&lt;Projects!$C$40+Projects!$D$40),Projects!$B$40*INDEX(Curves!$B$4:$AR$4,1,16-Projects!$C$40+1),0)+IF(AND(Projects!$G$41="Yes",16&gt;=Projects!$C$41,16&lt;Projects!$C$41+Projects!$D$41),Projects!$B$41*INDEX(Curves!$B$4:$AR$4,1,16-Projects!$C$41+1),0)+IF(AND(Projects!$G$42="Yes",16&gt;=Projects!$C$42,16&lt;Projects!$C$42+Projects!$D$42),Projects!$B$42*INDEX(Curves!$B$4:$AR$4,1,16-Projects!$C$42+1),0)+IF(AND(Projects!$G$43="Yes",16&gt;=Projects!$C$43,16&lt;Projects!$C$43+Projects!$D$43),Projects!$B$43*INDEX(Curves!$B$4:$AR$4,1,16-Projects!$C$43+1),0)+IF(AND(Projects!$G$44="Yes",16&gt;=Projects!$C$44,16&lt;Projects!$C$44+Projects!$D$44),Projects!$B$44*INDEX(Curves!$B$4:$AR$4,1,16-Projects!$C$44+1),0)+IF(AND(Projects!$G$45="Yes",16&gt;=Projects!$C$45,16&lt;Projects!$C$45+Projects!$D$45),Projects!$B$45*INDEX(Curves!$B$4:$AR$4,1,16-Projects!$C$45+1),0)+IF(AND(Projects!$G$46="Yes",16&gt;=Projects!$C$46,16&lt;Projects!$C$46+Projects!$D$46),Projects!$B$46*INDEX(Curves!$B$4:$AR$4,1,16-Projects!$C$46+1),0)</f>
        <v>0</v>
      </c>
      <c r="V96" s="83" t="n">
        <f aca="false">IF(AND(Projects!$G$17="Yes",17&gt;=Projects!$C$17,17&lt;Projects!$C$17+Projects!$D$17),Projects!$B$17*INDEX(Curves!$B$4:$AR$4,1,17-Projects!$C$17+1),0)+IF(AND(Projects!$G$18="Yes",17&gt;=Projects!$C$18,17&lt;Projects!$C$18+Projects!$D$18),Projects!$B$18*INDEX(Curves!$B$4:$AR$4,1,17-Projects!$C$18+1),0)+IF(AND(Projects!$G$19="Yes",17&gt;=Projects!$C$19,17&lt;Projects!$C$19+Projects!$D$19),Projects!$B$19*INDEX(Curves!$B$4:$AR$4,1,17-Projects!$C$19+1),0)+IF(AND(Projects!$G$20="Yes",17&gt;=Projects!$C$20,17&lt;Projects!$C$20+Projects!$D$20),Projects!$B$20*INDEX(Curves!$B$4:$AR$4,1,17-Projects!$C$20+1),0)+IF(AND(Projects!$G$21="Yes",17&gt;=Projects!$C$21,17&lt;Projects!$C$21+Projects!$D$21),Projects!$B$21*INDEX(Curves!$B$4:$AR$4,1,17-Projects!$C$21+1),0)+IF(AND(Projects!$G$22="Yes",17&gt;=Projects!$C$22,17&lt;Projects!$C$22+Projects!$D$22),Projects!$B$22*INDEX(Curves!$B$4:$AR$4,1,17-Projects!$C$22+1),0)+IF(AND(Projects!$G$23="Yes",17&gt;=Projects!$C$23,17&lt;Projects!$C$23+Projects!$D$23),Projects!$B$23*INDEX(Curves!$B$4:$AR$4,1,17-Projects!$C$23+1),0)+IF(AND(Projects!$G$24="Yes",17&gt;=Projects!$C$24,17&lt;Projects!$C$24+Projects!$D$24),Projects!$B$24*INDEX(Curves!$B$4:$AR$4,1,17-Projects!$C$24+1),0)+IF(AND(Projects!$G$25="Yes",17&gt;=Projects!$C$25,17&lt;Projects!$C$25+Projects!$D$25),Projects!$B$25*INDEX(Curves!$B$4:$AR$4,1,17-Projects!$C$25+1),0)+IF(AND(Projects!$G$26="Yes",17&gt;=Projects!$C$26,17&lt;Projects!$C$26+Projects!$D$26),Projects!$B$26*INDEX(Curves!$B$4:$AR$4,1,17-Projects!$C$26+1),0)+IF(AND(Projects!$G$27="Yes",17&gt;=Projects!$C$27,17&lt;Projects!$C$27+Projects!$D$27),Projects!$B$27*INDEX(Curves!$B$4:$AR$4,1,17-Projects!$C$27+1),0)+IF(AND(Projects!$G$28="Yes",17&gt;=Projects!$C$28,17&lt;Projects!$C$28+Projects!$D$28),Projects!$B$28*INDEX(Curves!$B$4:$AR$4,1,17-Projects!$C$28+1),0)+IF(AND(Projects!$G$29="Yes",17&gt;=Projects!$C$29,17&lt;Projects!$C$29+Projects!$D$29),Projects!$B$29*INDEX(Curves!$B$4:$AR$4,1,17-Projects!$C$29+1),0)+IF(AND(Projects!$G$30="Yes",17&gt;=Projects!$C$30,17&lt;Projects!$C$30+Projects!$D$30),Projects!$B$30*INDEX(Curves!$B$4:$AR$4,1,17-Projects!$C$30+1),0)+IF(AND(Projects!$G$31="Yes",17&gt;=Projects!$C$31,17&lt;Projects!$C$31+Projects!$D$31),Projects!$B$31*INDEX(Curves!$B$4:$AR$4,1,17-Projects!$C$31+1),0)+IF(AND(Projects!$G$32="Yes",17&gt;=Projects!$C$32,17&lt;Projects!$C$32+Projects!$D$32),Projects!$B$32*INDEX(Curves!$B$4:$AR$4,1,17-Projects!$C$32+1),0)+IF(AND(Projects!$G$33="Yes",17&gt;=Projects!$C$33,17&lt;Projects!$C$33+Projects!$D$33),Projects!$B$33*INDEX(Curves!$B$4:$AR$4,1,17-Projects!$C$33+1),0)+IF(AND(Projects!$G$34="Yes",17&gt;=Projects!$C$34,17&lt;Projects!$C$34+Projects!$D$34),Projects!$B$34*INDEX(Curves!$B$4:$AR$4,1,17-Projects!$C$34+1),0)+IF(AND(Projects!$G$35="Yes",17&gt;=Projects!$C$35,17&lt;Projects!$C$35+Projects!$D$35),Projects!$B$35*INDEX(Curves!$B$4:$AR$4,1,17-Projects!$C$35+1),0)+IF(AND(Projects!$G$36="Yes",17&gt;=Projects!$C$36,17&lt;Projects!$C$36+Projects!$D$36),Projects!$B$36*INDEX(Curves!$B$4:$AR$4,1,17-Projects!$C$36+1),0)+IF(AND(Projects!$G$37="Yes",17&gt;=Projects!$C$37,17&lt;Projects!$C$37+Projects!$D$37),Projects!$B$37*INDEX(Curves!$B$4:$AR$4,1,17-Projects!$C$37+1),0)+IF(AND(Projects!$G$38="Yes",17&gt;=Projects!$C$38,17&lt;Projects!$C$38+Projects!$D$38),Projects!$B$38*INDEX(Curves!$B$4:$AR$4,1,17-Projects!$C$38+1),0)+IF(AND(Projects!$G$39="Yes",17&gt;=Projects!$C$39,17&lt;Projects!$C$39+Projects!$D$39),Projects!$B$39*INDEX(Curves!$B$4:$AR$4,1,17-Projects!$C$39+1),0)+IF(AND(Projects!$G$40="Yes",17&gt;=Projects!$C$40,17&lt;Projects!$C$40+Projects!$D$40),Projects!$B$40*INDEX(Curves!$B$4:$AR$4,1,17-Projects!$C$40+1),0)+IF(AND(Projects!$G$41="Yes",17&gt;=Projects!$C$41,17&lt;Projects!$C$41+Projects!$D$41),Projects!$B$41*INDEX(Curves!$B$4:$AR$4,1,17-Projects!$C$41+1),0)+IF(AND(Projects!$G$42="Yes",17&gt;=Projects!$C$42,17&lt;Projects!$C$42+Projects!$D$42),Projects!$B$42*INDEX(Curves!$B$4:$AR$4,1,17-Projects!$C$42+1),0)+IF(AND(Projects!$G$43="Yes",17&gt;=Projects!$C$43,17&lt;Projects!$C$43+Projects!$D$43),Projects!$B$43*INDEX(Curves!$B$4:$AR$4,1,17-Projects!$C$43+1),0)+IF(AND(Projects!$G$44="Yes",17&gt;=Projects!$C$44,17&lt;Projects!$C$44+Projects!$D$44),Projects!$B$44*INDEX(Curves!$B$4:$AR$4,1,17-Projects!$C$44+1),0)+IF(AND(Projects!$G$45="Yes",17&gt;=Projects!$C$45,17&lt;Projects!$C$45+Projects!$D$45),Projects!$B$45*INDEX(Curves!$B$4:$AR$4,1,17-Projects!$C$45+1),0)+IF(AND(Projects!$G$46="Yes",17&gt;=Projects!$C$46,17&lt;Projects!$C$46+Projects!$D$46),Projects!$B$46*INDEX(Curves!$B$4:$AR$4,1,17-Projects!$C$46+1),0)</f>
        <v>0</v>
      </c>
      <c r="W96" s="83" t="n">
        <f aca="false">IF(AND(Projects!$G$17="Yes",18&gt;=Projects!$C$17,18&lt;Projects!$C$17+Projects!$D$17),Projects!$B$17*INDEX(Curves!$B$4:$AR$4,1,18-Projects!$C$17+1),0)+IF(AND(Projects!$G$18="Yes",18&gt;=Projects!$C$18,18&lt;Projects!$C$18+Projects!$D$18),Projects!$B$18*INDEX(Curves!$B$4:$AR$4,1,18-Projects!$C$18+1),0)+IF(AND(Projects!$G$19="Yes",18&gt;=Projects!$C$19,18&lt;Projects!$C$19+Projects!$D$19),Projects!$B$19*INDEX(Curves!$B$4:$AR$4,1,18-Projects!$C$19+1),0)+IF(AND(Projects!$G$20="Yes",18&gt;=Projects!$C$20,18&lt;Projects!$C$20+Projects!$D$20),Projects!$B$20*INDEX(Curves!$B$4:$AR$4,1,18-Projects!$C$20+1),0)+IF(AND(Projects!$G$21="Yes",18&gt;=Projects!$C$21,18&lt;Projects!$C$21+Projects!$D$21),Projects!$B$21*INDEX(Curves!$B$4:$AR$4,1,18-Projects!$C$21+1),0)+IF(AND(Projects!$G$22="Yes",18&gt;=Projects!$C$22,18&lt;Projects!$C$22+Projects!$D$22),Projects!$B$22*INDEX(Curves!$B$4:$AR$4,1,18-Projects!$C$22+1),0)+IF(AND(Projects!$G$23="Yes",18&gt;=Projects!$C$23,18&lt;Projects!$C$23+Projects!$D$23),Projects!$B$23*INDEX(Curves!$B$4:$AR$4,1,18-Projects!$C$23+1),0)+IF(AND(Projects!$G$24="Yes",18&gt;=Projects!$C$24,18&lt;Projects!$C$24+Projects!$D$24),Projects!$B$24*INDEX(Curves!$B$4:$AR$4,1,18-Projects!$C$24+1),0)+IF(AND(Projects!$G$25="Yes",18&gt;=Projects!$C$25,18&lt;Projects!$C$25+Projects!$D$25),Projects!$B$25*INDEX(Curves!$B$4:$AR$4,1,18-Projects!$C$25+1),0)+IF(AND(Projects!$G$26="Yes",18&gt;=Projects!$C$26,18&lt;Projects!$C$26+Projects!$D$26),Projects!$B$26*INDEX(Curves!$B$4:$AR$4,1,18-Projects!$C$26+1),0)+IF(AND(Projects!$G$27="Yes",18&gt;=Projects!$C$27,18&lt;Projects!$C$27+Projects!$D$27),Projects!$B$27*INDEX(Curves!$B$4:$AR$4,1,18-Projects!$C$27+1),0)+IF(AND(Projects!$G$28="Yes",18&gt;=Projects!$C$28,18&lt;Projects!$C$28+Projects!$D$28),Projects!$B$28*INDEX(Curves!$B$4:$AR$4,1,18-Projects!$C$28+1),0)+IF(AND(Projects!$G$29="Yes",18&gt;=Projects!$C$29,18&lt;Projects!$C$29+Projects!$D$29),Projects!$B$29*INDEX(Curves!$B$4:$AR$4,1,18-Projects!$C$29+1),0)+IF(AND(Projects!$G$30="Yes",18&gt;=Projects!$C$30,18&lt;Projects!$C$30+Projects!$D$30),Projects!$B$30*INDEX(Curves!$B$4:$AR$4,1,18-Projects!$C$30+1),0)+IF(AND(Projects!$G$31="Yes",18&gt;=Projects!$C$31,18&lt;Projects!$C$31+Projects!$D$31),Projects!$B$31*INDEX(Curves!$B$4:$AR$4,1,18-Projects!$C$31+1),0)+IF(AND(Projects!$G$32="Yes",18&gt;=Projects!$C$32,18&lt;Projects!$C$32+Projects!$D$32),Projects!$B$32*INDEX(Curves!$B$4:$AR$4,1,18-Projects!$C$32+1),0)+IF(AND(Projects!$G$33="Yes",18&gt;=Projects!$C$33,18&lt;Projects!$C$33+Projects!$D$33),Projects!$B$33*INDEX(Curves!$B$4:$AR$4,1,18-Projects!$C$33+1),0)+IF(AND(Projects!$G$34="Yes",18&gt;=Projects!$C$34,18&lt;Projects!$C$34+Projects!$D$34),Projects!$B$34*INDEX(Curves!$B$4:$AR$4,1,18-Projects!$C$34+1),0)+IF(AND(Projects!$G$35="Yes",18&gt;=Projects!$C$35,18&lt;Projects!$C$35+Projects!$D$35),Projects!$B$35*INDEX(Curves!$B$4:$AR$4,1,18-Projects!$C$35+1),0)+IF(AND(Projects!$G$36="Yes",18&gt;=Projects!$C$36,18&lt;Projects!$C$36+Projects!$D$36),Projects!$B$36*INDEX(Curves!$B$4:$AR$4,1,18-Projects!$C$36+1),0)+IF(AND(Projects!$G$37="Yes",18&gt;=Projects!$C$37,18&lt;Projects!$C$37+Projects!$D$37),Projects!$B$37*INDEX(Curves!$B$4:$AR$4,1,18-Projects!$C$37+1),0)+IF(AND(Projects!$G$38="Yes",18&gt;=Projects!$C$38,18&lt;Projects!$C$38+Projects!$D$38),Projects!$B$38*INDEX(Curves!$B$4:$AR$4,1,18-Projects!$C$38+1),0)+IF(AND(Projects!$G$39="Yes",18&gt;=Projects!$C$39,18&lt;Projects!$C$39+Projects!$D$39),Projects!$B$39*INDEX(Curves!$B$4:$AR$4,1,18-Projects!$C$39+1),0)+IF(AND(Projects!$G$40="Yes",18&gt;=Projects!$C$40,18&lt;Projects!$C$40+Projects!$D$40),Projects!$B$40*INDEX(Curves!$B$4:$AR$4,1,18-Projects!$C$40+1),0)+IF(AND(Projects!$G$41="Yes",18&gt;=Projects!$C$41,18&lt;Projects!$C$41+Projects!$D$41),Projects!$B$41*INDEX(Curves!$B$4:$AR$4,1,18-Projects!$C$41+1),0)+IF(AND(Projects!$G$42="Yes",18&gt;=Projects!$C$42,18&lt;Projects!$C$42+Projects!$D$42),Projects!$B$42*INDEX(Curves!$B$4:$AR$4,1,18-Projects!$C$42+1),0)+IF(AND(Projects!$G$43="Yes",18&gt;=Projects!$C$43,18&lt;Projects!$C$43+Projects!$D$43),Projects!$B$43*INDEX(Curves!$B$4:$AR$4,1,18-Projects!$C$43+1),0)+IF(AND(Projects!$G$44="Yes",18&gt;=Projects!$C$44,18&lt;Projects!$C$44+Projects!$D$44),Projects!$B$44*INDEX(Curves!$B$4:$AR$4,1,18-Projects!$C$44+1),0)+IF(AND(Projects!$G$45="Yes",18&gt;=Projects!$C$45,18&lt;Projects!$C$45+Projects!$D$45),Projects!$B$45*INDEX(Curves!$B$4:$AR$4,1,18-Projects!$C$45+1),0)+IF(AND(Projects!$G$46="Yes",18&gt;=Projects!$C$46,18&lt;Projects!$C$46+Projects!$D$46),Projects!$B$46*INDEX(Curves!$B$4:$AR$4,1,18-Projects!$C$46+1),0)</f>
        <v>0</v>
      </c>
      <c r="X96" s="83" t="n">
        <f aca="false">IF(AND(Projects!$G$17="Yes",19&gt;=Projects!$C$17,19&lt;Projects!$C$17+Projects!$D$17),Projects!$B$17*INDEX(Curves!$B$4:$AR$4,1,19-Projects!$C$17+1),0)+IF(AND(Projects!$G$18="Yes",19&gt;=Projects!$C$18,19&lt;Projects!$C$18+Projects!$D$18),Projects!$B$18*INDEX(Curves!$B$4:$AR$4,1,19-Projects!$C$18+1),0)+IF(AND(Projects!$G$19="Yes",19&gt;=Projects!$C$19,19&lt;Projects!$C$19+Projects!$D$19),Projects!$B$19*INDEX(Curves!$B$4:$AR$4,1,19-Projects!$C$19+1),0)+IF(AND(Projects!$G$20="Yes",19&gt;=Projects!$C$20,19&lt;Projects!$C$20+Projects!$D$20),Projects!$B$20*INDEX(Curves!$B$4:$AR$4,1,19-Projects!$C$20+1),0)+IF(AND(Projects!$G$21="Yes",19&gt;=Projects!$C$21,19&lt;Projects!$C$21+Projects!$D$21),Projects!$B$21*INDEX(Curves!$B$4:$AR$4,1,19-Projects!$C$21+1),0)+IF(AND(Projects!$G$22="Yes",19&gt;=Projects!$C$22,19&lt;Projects!$C$22+Projects!$D$22),Projects!$B$22*INDEX(Curves!$B$4:$AR$4,1,19-Projects!$C$22+1),0)+IF(AND(Projects!$G$23="Yes",19&gt;=Projects!$C$23,19&lt;Projects!$C$23+Projects!$D$23),Projects!$B$23*INDEX(Curves!$B$4:$AR$4,1,19-Projects!$C$23+1),0)+IF(AND(Projects!$G$24="Yes",19&gt;=Projects!$C$24,19&lt;Projects!$C$24+Projects!$D$24),Projects!$B$24*INDEX(Curves!$B$4:$AR$4,1,19-Projects!$C$24+1),0)+IF(AND(Projects!$G$25="Yes",19&gt;=Projects!$C$25,19&lt;Projects!$C$25+Projects!$D$25),Projects!$B$25*INDEX(Curves!$B$4:$AR$4,1,19-Projects!$C$25+1),0)+IF(AND(Projects!$G$26="Yes",19&gt;=Projects!$C$26,19&lt;Projects!$C$26+Projects!$D$26),Projects!$B$26*INDEX(Curves!$B$4:$AR$4,1,19-Projects!$C$26+1),0)+IF(AND(Projects!$G$27="Yes",19&gt;=Projects!$C$27,19&lt;Projects!$C$27+Projects!$D$27),Projects!$B$27*INDEX(Curves!$B$4:$AR$4,1,19-Projects!$C$27+1),0)+IF(AND(Projects!$G$28="Yes",19&gt;=Projects!$C$28,19&lt;Projects!$C$28+Projects!$D$28),Projects!$B$28*INDEX(Curves!$B$4:$AR$4,1,19-Projects!$C$28+1),0)+IF(AND(Projects!$G$29="Yes",19&gt;=Projects!$C$29,19&lt;Projects!$C$29+Projects!$D$29),Projects!$B$29*INDEX(Curves!$B$4:$AR$4,1,19-Projects!$C$29+1),0)+IF(AND(Projects!$G$30="Yes",19&gt;=Projects!$C$30,19&lt;Projects!$C$30+Projects!$D$30),Projects!$B$30*INDEX(Curves!$B$4:$AR$4,1,19-Projects!$C$30+1),0)+IF(AND(Projects!$G$31="Yes",19&gt;=Projects!$C$31,19&lt;Projects!$C$31+Projects!$D$31),Projects!$B$31*INDEX(Curves!$B$4:$AR$4,1,19-Projects!$C$31+1),0)+IF(AND(Projects!$G$32="Yes",19&gt;=Projects!$C$32,19&lt;Projects!$C$32+Projects!$D$32),Projects!$B$32*INDEX(Curves!$B$4:$AR$4,1,19-Projects!$C$32+1),0)+IF(AND(Projects!$G$33="Yes",19&gt;=Projects!$C$33,19&lt;Projects!$C$33+Projects!$D$33),Projects!$B$33*INDEX(Curves!$B$4:$AR$4,1,19-Projects!$C$33+1),0)+IF(AND(Projects!$G$34="Yes",19&gt;=Projects!$C$34,19&lt;Projects!$C$34+Projects!$D$34),Projects!$B$34*INDEX(Curves!$B$4:$AR$4,1,19-Projects!$C$34+1),0)+IF(AND(Projects!$G$35="Yes",19&gt;=Projects!$C$35,19&lt;Projects!$C$35+Projects!$D$35),Projects!$B$35*INDEX(Curves!$B$4:$AR$4,1,19-Projects!$C$35+1),0)+IF(AND(Projects!$G$36="Yes",19&gt;=Projects!$C$36,19&lt;Projects!$C$36+Projects!$D$36),Projects!$B$36*INDEX(Curves!$B$4:$AR$4,1,19-Projects!$C$36+1),0)+IF(AND(Projects!$G$37="Yes",19&gt;=Projects!$C$37,19&lt;Projects!$C$37+Projects!$D$37),Projects!$B$37*INDEX(Curves!$B$4:$AR$4,1,19-Projects!$C$37+1),0)+IF(AND(Projects!$G$38="Yes",19&gt;=Projects!$C$38,19&lt;Projects!$C$38+Projects!$D$38),Projects!$B$38*INDEX(Curves!$B$4:$AR$4,1,19-Projects!$C$38+1),0)+IF(AND(Projects!$G$39="Yes",19&gt;=Projects!$C$39,19&lt;Projects!$C$39+Projects!$D$39),Projects!$B$39*INDEX(Curves!$B$4:$AR$4,1,19-Projects!$C$39+1),0)+IF(AND(Projects!$G$40="Yes",19&gt;=Projects!$C$40,19&lt;Projects!$C$40+Projects!$D$40),Projects!$B$40*INDEX(Curves!$B$4:$AR$4,1,19-Projects!$C$40+1),0)+IF(AND(Projects!$G$41="Yes",19&gt;=Projects!$C$41,19&lt;Projects!$C$41+Projects!$D$41),Projects!$B$41*INDEX(Curves!$B$4:$AR$4,1,19-Projects!$C$41+1),0)+IF(AND(Projects!$G$42="Yes",19&gt;=Projects!$C$42,19&lt;Projects!$C$42+Projects!$D$42),Projects!$B$42*INDEX(Curves!$B$4:$AR$4,1,19-Projects!$C$42+1),0)+IF(AND(Projects!$G$43="Yes",19&gt;=Projects!$C$43,19&lt;Projects!$C$43+Projects!$D$43),Projects!$B$43*INDEX(Curves!$B$4:$AR$4,1,19-Projects!$C$43+1),0)+IF(AND(Projects!$G$44="Yes",19&gt;=Projects!$C$44,19&lt;Projects!$C$44+Projects!$D$44),Projects!$B$44*INDEX(Curves!$B$4:$AR$4,1,19-Projects!$C$44+1),0)+IF(AND(Projects!$G$45="Yes",19&gt;=Projects!$C$45,19&lt;Projects!$C$45+Projects!$D$45),Projects!$B$45*INDEX(Curves!$B$4:$AR$4,1,19-Projects!$C$45+1),0)+IF(AND(Projects!$G$46="Yes",19&gt;=Projects!$C$46,19&lt;Projects!$C$46+Projects!$D$46),Projects!$B$46*INDEX(Curves!$B$4:$AR$4,1,19-Projects!$C$46+1),0)</f>
        <v>0</v>
      </c>
      <c r="Y96" s="83" t="n">
        <f aca="false">IF(AND(Projects!$G$17="Yes",20&gt;=Projects!$C$17,20&lt;Projects!$C$17+Projects!$D$17),Projects!$B$17*INDEX(Curves!$B$4:$AR$4,1,20-Projects!$C$17+1),0)+IF(AND(Projects!$G$18="Yes",20&gt;=Projects!$C$18,20&lt;Projects!$C$18+Projects!$D$18),Projects!$B$18*INDEX(Curves!$B$4:$AR$4,1,20-Projects!$C$18+1),0)+IF(AND(Projects!$G$19="Yes",20&gt;=Projects!$C$19,20&lt;Projects!$C$19+Projects!$D$19),Projects!$B$19*INDEX(Curves!$B$4:$AR$4,1,20-Projects!$C$19+1),0)+IF(AND(Projects!$G$20="Yes",20&gt;=Projects!$C$20,20&lt;Projects!$C$20+Projects!$D$20),Projects!$B$20*INDEX(Curves!$B$4:$AR$4,1,20-Projects!$C$20+1),0)+IF(AND(Projects!$G$21="Yes",20&gt;=Projects!$C$21,20&lt;Projects!$C$21+Projects!$D$21),Projects!$B$21*INDEX(Curves!$B$4:$AR$4,1,20-Projects!$C$21+1),0)+IF(AND(Projects!$G$22="Yes",20&gt;=Projects!$C$22,20&lt;Projects!$C$22+Projects!$D$22),Projects!$B$22*INDEX(Curves!$B$4:$AR$4,1,20-Projects!$C$22+1),0)+IF(AND(Projects!$G$23="Yes",20&gt;=Projects!$C$23,20&lt;Projects!$C$23+Projects!$D$23),Projects!$B$23*INDEX(Curves!$B$4:$AR$4,1,20-Projects!$C$23+1),0)+IF(AND(Projects!$G$24="Yes",20&gt;=Projects!$C$24,20&lt;Projects!$C$24+Projects!$D$24),Projects!$B$24*INDEX(Curves!$B$4:$AR$4,1,20-Projects!$C$24+1),0)+IF(AND(Projects!$G$25="Yes",20&gt;=Projects!$C$25,20&lt;Projects!$C$25+Projects!$D$25),Projects!$B$25*INDEX(Curves!$B$4:$AR$4,1,20-Projects!$C$25+1),0)+IF(AND(Projects!$G$26="Yes",20&gt;=Projects!$C$26,20&lt;Projects!$C$26+Projects!$D$26),Projects!$B$26*INDEX(Curves!$B$4:$AR$4,1,20-Projects!$C$26+1),0)+IF(AND(Projects!$G$27="Yes",20&gt;=Projects!$C$27,20&lt;Projects!$C$27+Projects!$D$27),Projects!$B$27*INDEX(Curves!$B$4:$AR$4,1,20-Projects!$C$27+1),0)+IF(AND(Projects!$G$28="Yes",20&gt;=Projects!$C$28,20&lt;Projects!$C$28+Projects!$D$28),Projects!$B$28*INDEX(Curves!$B$4:$AR$4,1,20-Projects!$C$28+1),0)+IF(AND(Projects!$G$29="Yes",20&gt;=Projects!$C$29,20&lt;Projects!$C$29+Projects!$D$29),Projects!$B$29*INDEX(Curves!$B$4:$AR$4,1,20-Projects!$C$29+1),0)+IF(AND(Projects!$G$30="Yes",20&gt;=Projects!$C$30,20&lt;Projects!$C$30+Projects!$D$30),Projects!$B$30*INDEX(Curves!$B$4:$AR$4,1,20-Projects!$C$30+1),0)+IF(AND(Projects!$G$31="Yes",20&gt;=Projects!$C$31,20&lt;Projects!$C$31+Projects!$D$31),Projects!$B$31*INDEX(Curves!$B$4:$AR$4,1,20-Projects!$C$31+1),0)+IF(AND(Projects!$G$32="Yes",20&gt;=Projects!$C$32,20&lt;Projects!$C$32+Projects!$D$32),Projects!$B$32*INDEX(Curves!$B$4:$AR$4,1,20-Projects!$C$32+1),0)+IF(AND(Projects!$G$33="Yes",20&gt;=Projects!$C$33,20&lt;Projects!$C$33+Projects!$D$33),Projects!$B$33*INDEX(Curves!$B$4:$AR$4,1,20-Projects!$C$33+1),0)+IF(AND(Projects!$G$34="Yes",20&gt;=Projects!$C$34,20&lt;Projects!$C$34+Projects!$D$34),Projects!$B$34*INDEX(Curves!$B$4:$AR$4,1,20-Projects!$C$34+1),0)+IF(AND(Projects!$G$35="Yes",20&gt;=Projects!$C$35,20&lt;Projects!$C$35+Projects!$D$35),Projects!$B$35*INDEX(Curves!$B$4:$AR$4,1,20-Projects!$C$35+1),0)+IF(AND(Projects!$G$36="Yes",20&gt;=Projects!$C$36,20&lt;Projects!$C$36+Projects!$D$36),Projects!$B$36*INDEX(Curves!$B$4:$AR$4,1,20-Projects!$C$36+1),0)+IF(AND(Projects!$G$37="Yes",20&gt;=Projects!$C$37,20&lt;Projects!$C$37+Projects!$D$37),Projects!$B$37*INDEX(Curves!$B$4:$AR$4,1,20-Projects!$C$37+1),0)+IF(AND(Projects!$G$38="Yes",20&gt;=Projects!$C$38,20&lt;Projects!$C$38+Projects!$D$38),Projects!$B$38*INDEX(Curves!$B$4:$AR$4,1,20-Projects!$C$38+1),0)+IF(AND(Projects!$G$39="Yes",20&gt;=Projects!$C$39,20&lt;Projects!$C$39+Projects!$D$39),Projects!$B$39*INDEX(Curves!$B$4:$AR$4,1,20-Projects!$C$39+1),0)+IF(AND(Projects!$G$40="Yes",20&gt;=Projects!$C$40,20&lt;Projects!$C$40+Projects!$D$40),Projects!$B$40*INDEX(Curves!$B$4:$AR$4,1,20-Projects!$C$40+1),0)+IF(AND(Projects!$G$41="Yes",20&gt;=Projects!$C$41,20&lt;Projects!$C$41+Projects!$D$41),Projects!$B$41*INDEX(Curves!$B$4:$AR$4,1,20-Projects!$C$41+1),0)+IF(AND(Projects!$G$42="Yes",20&gt;=Projects!$C$42,20&lt;Projects!$C$42+Projects!$D$42),Projects!$B$42*INDEX(Curves!$B$4:$AR$4,1,20-Projects!$C$42+1),0)+IF(AND(Projects!$G$43="Yes",20&gt;=Projects!$C$43,20&lt;Projects!$C$43+Projects!$D$43),Projects!$B$43*INDEX(Curves!$B$4:$AR$4,1,20-Projects!$C$43+1),0)+IF(AND(Projects!$G$44="Yes",20&gt;=Projects!$C$44,20&lt;Projects!$C$44+Projects!$D$44),Projects!$B$44*INDEX(Curves!$B$4:$AR$4,1,20-Projects!$C$44+1),0)+IF(AND(Projects!$G$45="Yes",20&gt;=Projects!$C$45,20&lt;Projects!$C$45+Projects!$D$45),Projects!$B$45*INDEX(Curves!$B$4:$AR$4,1,20-Projects!$C$45+1),0)+IF(AND(Projects!$G$46="Yes",20&gt;=Projects!$C$46,20&lt;Projects!$C$46+Projects!$D$46),Projects!$B$46*INDEX(Curves!$B$4:$AR$4,1,20-Projects!$C$46+1),0)</f>
        <v>0</v>
      </c>
      <c r="Z96" s="83" t="n">
        <f aca="false">IF(AND(Projects!$G$17="Yes",21&gt;=Projects!$C$17,21&lt;Projects!$C$17+Projects!$D$17),Projects!$B$17*INDEX(Curves!$B$4:$AR$4,1,21-Projects!$C$17+1),0)+IF(AND(Projects!$G$18="Yes",21&gt;=Projects!$C$18,21&lt;Projects!$C$18+Projects!$D$18),Projects!$B$18*INDEX(Curves!$B$4:$AR$4,1,21-Projects!$C$18+1),0)+IF(AND(Projects!$G$19="Yes",21&gt;=Projects!$C$19,21&lt;Projects!$C$19+Projects!$D$19),Projects!$B$19*INDEX(Curves!$B$4:$AR$4,1,21-Projects!$C$19+1),0)+IF(AND(Projects!$G$20="Yes",21&gt;=Projects!$C$20,21&lt;Projects!$C$20+Projects!$D$20),Projects!$B$20*INDEX(Curves!$B$4:$AR$4,1,21-Projects!$C$20+1),0)+IF(AND(Projects!$G$21="Yes",21&gt;=Projects!$C$21,21&lt;Projects!$C$21+Projects!$D$21),Projects!$B$21*INDEX(Curves!$B$4:$AR$4,1,21-Projects!$C$21+1),0)+IF(AND(Projects!$G$22="Yes",21&gt;=Projects!$C$22,21&lt;Projects!$C$22+Projects!$D$22),Projects!$B$22*INDEX(Curves!$B$4:$AR$4,1,21-Projects!$C$22+1),0)+IF(AND(Projects!$G$23="Yes",21&gt;=Projects!$C$23,21&lt;Projects!$C$23+Projects!$D$23),Projects!$B$23*INDEX(Curves!$B$4:$AR$4,1,21-Projects!$C$23+1),0)+IF(AND(Projects!$G$24="Yes",21&gt;=Projects!$C$24,21&lt;Projects!$C$24+Projects!$D$24),Projects!$B$24*INDEX(Curves!$B$4:$AR$4,1,21-Projects!$C$24+1),0)+IF(AND(Projects!$G$25="Yes",21&gt;=Projects!$C$25,21&lt;Projects!$C$25+Projects!$D$25),Projects!$B$25*INDEX(Curves!$B$4:$AR$4,1,21-Projects!$C$25+1),0)+IF(AND(Projects!$G$26="Yes",21&gt;=Projects!$C$26,21&lt;Projects!$C$26+Projects!$D$26),Projects!$B$26*INDEX(Curves!$B$4:$AR$4,1,21-Projects!$C$26+1),0)+IF(AND(Projects!$G$27="Yes",21&gt;=Projects!$C$27,21&lt;Projects!$C$27+Projects!$D$27),Projects!$B$27*INDEX(Curves!$B$4:$AR$4,1,21-Projects!$C$27+1),0)+IF(AND(Projects!$G$28="Yes",21&gt;=Projects!$C$28,21&lt;Projects!$C$28+Projects!$D$28),Projects!$B$28*INDEX(Curves!$B$4:$AR$4,1,21-Projects!$C$28+1),0)+IF(AND(Projects!$G$29="Yes",21&gt;=Projects!$C$29,21&lt;Projects!$C$29+Projects!$D$29),Projects!$B$29*INDEX(Curves!$B$4:$AR$4,1,21-Projects!$C$29+1),0)+IF(AND(Projects!$G$30="Yes",21&gt;=Projects!$C$30,21&lt;Projects!$C$30+Projects!$D$30),Projects!$B$30*INDEX(Curves!$B$4:$AR$4,1,21-Projects!$C$30+1),0)+IF(AND(Projects!$G$31="Yes",21&gt;=Projects!$C$31,21&lt;Projects!$C$31+Projects!$D$31),Projects!$B$31*INDEX(Curves!$B$4:$AR$4,1,21-Projects!$C$31+1),0)+IF(AND(Projects!$G$32="Yes",21&gt;=Projects!$C$32,21&lt;Projects!$C$32+Projects!$D$32),Projects!$B$32*INDEX(Curves!$B$4:$AR$4,1,21-Projects!$C$32+1),0)+IF(AND(Projects!$G$33="Yes",21&gt;=Projects!$C$33,21&lt;Projects!$C$33+Projects!$D$33),Projects!$B$33*INDEX(Curves!$B$4:$AR$4,1,21-Projects!$C$33+1),0)+IF(AND(Projects!$G$34="Yes",21&gt;=Projects!$C$34,21&lt;Projects!$C$34+Projects!$D$34),Projects!$B$34*INDEX(Curves!$B$4:$AR$4,1,21-Projects!$C$34+1),0)+IF(AND(Projects!$G$35="Yes",21&gt;=Projects!$C$35,21&lt;Projects!$C$35+Projects!$D$35),Projects!$B$35*INDEX(Curves!$B$4:$AR$4,1,21-Projects!$C$35+1),0)+IF(AND(Projects!$G$36="Yes",21&gt;=Projects!$C$36,21&lt;Projects!$C$36+Projects!$D$36),Projects!$B$36*INDEX(Curves!$B$4:$AR$4,1,21-Projects!$C$36+1),0)+IF(AND(Projects!$G$37="Yes",21&gt;=Projects!$C$37,21&lt;Projects!$C$37+Projects!$D$37),Projects!$B$37*INDEX(Curves!$B$4:$AR$4,1,21-Projects!$C$37+1),0)+IF(AND(Projects!$G$38="Yes",21&gt;=Projects!$C$38,21&lt;Projects!$C$38+Projects!$D$38),Projects!$B$38*INDEX(Curves!$B$4:$AR$4,1,21-Projects!$C$38+1),0)+IF(AND(Projects!$G$39="Yes",21&gt;=Projects!$C$39,21&lt;Projects!$C$39+Projects!$D$39),Projects!$B$39*INDEX(Curves!$B$4:$AR$4,1,21-Projects!$C$39+1),0)+IF(AND(Projects!$G$40="Yes",21&gt;=Projects!$C$40,21&lt;Projects!$C$40+Projects!$D$40),Projects!$B$40*INDEX(Curves!$B$4:$AR$4,1,21-Projects!$C$40+1),0)+IF(AND(Projects!$G$41="Yes",21&gt;=Projects!$C$41,21&lt;Projects!$C$41+Projects!$D$41),Projects!$B$41*INDEX(Curves!$B$4:$AR$4,1,21-Projects!$C$41+1),0)+IF(AND(Projects!$G$42="Yes",21&gt;=Projects!$C$42,21&lt;Projects!$C$42+Projects!$D$42),Projects!$B$42*INDEX(Curves!$B$4:$AR$4,1,21-Projects!$C$42+1),0)+IF(AND(Projects!$G$43="Yes",21&gt;=Projects!$C$43,21&lt;Projects!$C$43+Projects!$D$43),Projects!$B$43*INDEX(Curves!$B$4:$AR$4,1,21-Projects!$C$43+1),0)+IF(AND(Projects!$G$44="Yes",21&gt;=Projects!$C$44,21&lt;Projects!$C$44+Projects!$D$44),Projects!$B$44*INDEX(Curves!$B$4:$AR$4,1,21-Projects!$C$44+1),0)+IF(AND(Projects!$G$45="Yes",21&gt;=Projects!$C$45,21&lt;Projects!$C$45+Projects!$D$45),Projects!$B$45*INDEX(Curves!$B$4:$AR$4,1,21-Projects!$C$45+1),0)+IF(AND(Projects!$G$46="Yes",21&gt;=Projects!$C$46,21&lt;Projects!$C$46+Projects!$D$46),Projects!$B$46*INDEX(Curves!$B$4:$AR$4,1,21-Projects!$C$46+1),0)</f>
        <v>0</v>
      </c>
      <c r="AA96" s="83" t="n">
        <f aca="false">IF(AND(Projects!$G$17="Yes",22&gt;=Projects!$C$17,22&lt;Projects!$C$17+Projects!$D$17),Projects!$B$17*INDEX(Curves!$B$4:$AR$4,1,22-Projects!$C$17+1),0)+IF(AND(Projects!$G$18="Yes",22&gt;=Projects!$C$18,22&lt;Projects!$C$18+Projects!$D$18),Projects!$B$18*INDEX(Curves!$B$4:$AR$4,1,22-Projects!$C$18+1),0)+IF(AND(Projects!$G$19="Yes",22&gt;=Projects!$C$19,22&lt;Projects!$C$19+Projects!$D$19),Projects!$B$19*INDEX(Curves!$B$4:$AR$4,1,22-Projects!$C$19+1),0)+IF(AND(Projects!$G$20="Yes",22&gt;=Projects!$C$20,22&lt;Projects!$C$20+Projects!$D$20),Projects!$B$20*INDEX(Curves!$B$4:$AR$4,1,22-Projects!$C$20+1),0)+IF(AND(Projects!$G$21="Yes",22&gt;=Projects!$C$21,22&lt;Projects!$C$21+Projects!$D$21),Projects!$B$21*INDEX(Curves!$B$4:$AR$4,1,22-Projects!$C$21+1),0)+IF(AND(Projects!$G$22="Yes",22&gt;=Projects!$C$22,22&lt;Projects!$C$22+Projects!$D$22),Projects!$B$22*INDEX(Curves!$B$4:$AR$4,1,22-Projects!$C$22+1),0)+IF(AND(Projects!$G$23="Yes",22&gt;=Projects!$C$23,22&lt;Projects!$C$23+Projects!$D$23),Projects!$B$23*INDEX(Curves!$B$4:$AR$4,1,22-Projects!$C$23+1),0)+IF(AND(Projects!$G$24="Yes",22&gt;=Projects!$C$24,22&lt;Projects!$C$24+Projects!$D$24),Projects!$B$24*INDEX(Curves!$B$4:$AR$4,1,22-Projects!$C$24+1),0)+IF(AND(Projects!$G$25="Yes",22&gt;=Projects!$C$25,22&lt;Projects!$C$25+Projects!$D$25),Projects!$B$25*INDEX(Curves!$B$4:$AR$4,1,22-Projects!$C$25+1),0)+IF(AND(Projects!$G$26="Yes",22&gt;=Projects!$C$26,22&lt;Projects!$C$26+Projects!$D$26),Projects!$B$26*INDEX(Curves!$B$4:$AR$4,1,22-Projects!$C$26+1),0)+IF(AND(Projects!$G$27="Yes",22&gt;=Projects!$C$27,22&lt;Projects!$C$27+Projects!$D$27),Projects!$B$27*INDEX(Curves!$B$4:$AR$4,1,22-Projects!$C$27+1),0)+IF(AND(Projects!$G$28="Yes",22&gt;=Projects!$C$28,22&lt;Projects!$C$28+Projects!$D$28),Projects!$B$28*INDEX(Curves!$B$4:$AR$4,1,22-Projects!$C$28+1),0)+IF(AND(Projects!$G$29="Yes",22&gt;=Projects!$C$29,22&lt;Projects!$C$29+Projects!$D$29),Projects!$B$29*INDEX(Curves!$B$4:$AR$4,1,22-Projects!$C$29+1),0)+IF(AND(Projects!$G$30="Yes",22&gt;=Projects!$C$30,22&lt;Projects!$C$30+Projects!$D$30),Projects!$B$30*INDEX(Curves!$B$4:$AR$4,1,22-Projects!$C$30+1),0)+IF(AND(Projects!$G$31="Yes",22&gt;=Projects!$C$31,22&lt;Projects!$C$31+Projects!$D$31),Projects!$B$31*INDEX(Curves!$B$4:$AR$4,1,22-Projects!$C$31+1),0)+IF(AND(Projects!$G$32="Yes",22&gt;=Projects!$C$32,22&lt;Projects!$C$32+Projects!$D$32),Projects!$B$32*INDEX(Curves!$B$4:$AR$4,1,22-Projects!$C$32+1),0)+IF(AND(Projects!$G$33="Yes",22&gt;=Projects!$C$33,22&lt;Projects!$C$33+Projects!$D$33),Projects!$B$33*INDEX(Curves!$B$4:$AR$4,1,22-Projects!$C$33+1),0)+IF(AND(Projects!$G$34="Yes",22&gt;=Projects!$C$34,22&lt;Projects!$C$34+Projects!$D$34),Projects!$B$34*INDEX(Curves!$B$4:$AR$4,1,22-Projects!$C$34+1),0)+IF(AND(Projects!$G$35="Yes",22&gt;=Projects!$C$35,22&lt;Projects!$C$35+Projects!$D$35),Projects!$B$35*INDEX(Curves!$B$4:$AR$4,1,22-Projects!$C$35+1),0)+IF(AND(Projects!$G$36="Yes",22&gt;=Projects!$C$36,22&lt;Projects!$C$36+Projects!$D$36),Projects!$B$36*INDEX(Curves!$B$4:$AR$4,1,22-Projects!$C$36+1),0)+IF(AND(Projects!$G$37="Yes",22&gt;=Projects!$C$37,22&lt;Projects!$C$37+Projects!$D$37),Projects!$B$37*INDEX(Curves!$B$4:$AR$4,1,22-Projects!$C$37+1),0)+IF(AND(Projects!$G$38="Yes",22&gt;=Projects!$C$38,22&lt;Projects!$C$38+Projects!$D$38),Projects!$B$38*INDEX(Curves!$B$4:$AR$4,1,22-Projects!$C$38+1),0)+IF(AND(Projects!$G$39="Yes",22&gt;=Projects!$C$39,22&lt;Projects!$C$39+Projects!$D$39),Projects!$B$39*INDEX(Curves!$B$4:$AR$4,1,22-Projects!$C$39+1),0)+IF(AND(Projects!$G$40="Yes",22&gt;=Projects!$C$40,22&lt;Projects!$C$40+Projects!$D$40),Projects!$B$40*INDEX(Curves!$B$4:$AR$4,1,22-Projects!$C$40+1),0)+IF(AND(Projects!$G$41="Yes",22&gt;=Projects!$C$41,22&lt;Projects!$C$41+Projects!$D$41),Projects!$B$41*INDEX(Curves!$B$4:$AR$4,1,22-Projects!$C$41+1),0)+IF(AND(Projects!$G$42="Yes",22&gt;=Projects!$C$42,22&lt;Projects!$C$42+Projects!$D$42),Projects!$B$42*INDEX(Curves!$B$4:$AR$4,1,22-Projects!$C$42+1),0)+IF(AND(Projects!$G$43="Yes",22&gt;=Projects!$C$43,22&lt;Projects!$C$43+Projects!$D$43),Projects!$B$43*INDEX(Curves!$B$4:$AR$4,1,22-Projects!$C$43+1),0)+IF(AND(Projects!$G$44="Yes",22&gt;=Projects!$C$44,22&lt;Projects!$C$44+Projects!$D$44),Projects!$B$44*INDEX(Curves!$B$4:$AR$4,1,22-Projects!$C$44+1),0)+IF(AND(Projects!$G$45="Yes",22&gt;=Projects!$C$45,22&lt;Projects!$C$45+Projects!$D$45),Projects!$B$45*INDEX(Curves!$B$4:$AR$4,1,22-Projects!$C$45+1),0)+IF(AND(Projects!$G$46="Yes",22&gt;=Projects!$C$46,22&lt;Projects!$C$46+Projects!$D$46),Projects!$B$46*INDEX(Curves!$B$4:$AR$4,1,22-Projects!$C$46+1),0)</f>
        <v>0</v>
      </c>
      <c r="AB96" s="83" t="n">
        <f aca="false">IF(AND(Projects!$G$17="Yes",23&gt;=Projects!$C$17,23&lt;Projects!$C$17+Projects!$D$17),Projects!$B$17*INDEX(Curves!$B$4:$AR$4,1,23-Projects!$C$17+1),0)+IF(AND(Projects!$G$18="Yes",23&gt;=Projects!$C$18,23&lt;Projects!$C$18+Projects!$D$18),Projects!$B$18*INDEX(Curves!$B$4:$AR$4,1,23-Projects!$C$18+1),0)+IF(AND(Projects!$G$19="Yes",23&gt;=Projects!$C$19,23&lt;Projects!$C$19+Projects!$D$19),Projects!$B$19*INDEX(Curves!$B$4:$AR$4,1,23-Projects!$C$19+1),0)+IF(AND(Projects!$G$20="Yes",23&gt;=Projects!$C$20,23&lt;Projects!$C$20+Projects!$D$20),Projects!$B$20*INDEX(Curves!$B$4:$AR$4,1,23-Projects!$C$20+1),0)+IF(AND(Projects!$G$21="Yes",23&gt;=Projects!$C$21,23&lt;Projects!$C$21+Projects!$D$21),Projects!$B$21*INDEX(Curves!$B$4:$AR$4,1,23-Projects!$C$21+1),0)+IF(AND(Projects!$G$22="Yes",23&gt;=Projects!$C$22,23&lt;Projects!$C$22+Projects!$D$22),Projects!$B$22*INDEX(Curves!$B$4:$AR$4,1,23-Projects!$C$22+1),0)+IF(AND(Projects!$G$23="Yes",23&gt;=Projects!$C$23,23&lt;Projects!$C$23+Projects!$D$23),Projects!$B$23*INDEX(Curves!$B$4:$AR$4,1,23-Projects!$C$23+1),0)+IF(AND(Projects!$G$24="Yes",23&gt;=Projects!$C$24,23&lt;Projects!$C$24+Projects!$D$24),Projects!$B$24*INDEX(Curves!$B$4:$AR$4,1,23-Projects!$C$24+1),0)+IF(AND(Projects!$G$25="Yes",23&gt;=Projects!$C$25,23&lt;Projects!$C$25+Projects!$D$25),Projects!$B$25*INDEX(Curves!$B$4:$AR$4,1,23-Projects!$C$25+1),0)+IF(AND(Projects!$G$26="Yes",23&gt;=Projects!$C$26,23&lt;Projects!$C$26+Projects!$D$26),Projects!$B$26*INDEX(Curves!$B$4:$AR$4,1,23-Projects!$C$26+1),0)+IF(AND(Projects!$G$27="Yes",23&gt;=Projects!$C$27,23&lt;Projects!$C$27+Projects!$D$27),Projects!$B$27*INDEX(Curves!$B$4:$AR$4,1,23-Projects!$C$27+1),0)+IF(AND(Projects!$G$28="Yes",23&gt;=Projects!$C$28,23&lt;Projects!$C$28+Projects!$D$28),Projects!$B$28*INDEX(Curves!$B$4:$AR$4,1,23-Projects!$C$28+1),0)+IF(AND(Projects!$G$29="Yes",23&gt;=Projects!$C$29,23&lt;Projects!$C$29+Projects!$D$29),Projects!$B$29*INDEX(Curves!$B$4:$AR$4,1,23-Projects!$C$29+1),0)+IF(AND(Projects!$G$30="Yes",23&gt;=Projects!$C$30,23&lt;Projects!$C$30+Projects!$D$30),Projects!$B$30*INDEX(Curves!$B$4:$AR$4,1,23-Projects!$C$30+1),0)+IF(AND(Projects!$G$31="Yes",23&gt;=Projects!$C$31,23&lt;Projects!$C$31+Projects!$D$31),Projects!$B$31*INDEX(Curves!$B$4:$AR$4,1,23-Projects!$C$31+1),0)+IF(AND(Projects!$G$32="Yes",23&gt;=Projects!$C$32,23&lt;Projects!$C$32+Projects!$D$32),Projects!$B$32*INDEX(Curves!$B$4:$AR$4,1,23-Projects!$C$32+1),0)+IF(AND(Projects!$G$33="Yes",23&gt;=Projects!$C$33,23&lt;Projects!$C$33+Projects!$D$33),Projects!$B$33*INDEX(Curves!$B$4:$AR$4,1,23-Projects!$C$33+1),0)+IF(AND(Projects!$G$34="Yes",23&gt;=Projects!$C$34,23&lt;Projects!$C$34+Projects!$D$34),Projects!$B$34*INDEX(Curves!$B$4:$AR$4,1,23-Projects!$C$34+1),0)+IF(AND(Projects!$G$35="Yes",23&gt;=Projects!$C$35,23&lt;Projects!$C$35+Projects!$D$35),Projects!$B$35*INDEX(Curves!$B$4:$AR$4,1,23-Projects!$C$35+1),0)+IF(AND(Projects!$G$36="Yes",23&gt;=Projects!$C$36,23&lt;Projects!$C$36+Projects!$D$36),Projects!$B$36*INDEX(Curves!$B$4:$AR$4,1,23-Projects!$C$36+1),0)+IF(AND(Projects!$G$37="Yes",23&gt;=Projects!$C$37,23&lt;Projects!$C$37+Projects!$D$37),Projects!$B$37*INDEX(Curves!$B$4:$AR$4,1,23-Projects!$C$37+1),0)+IF(AND(Projects!$G$38="Yes",23&gt;=Projects!$C$38,23&lt;Projects!$C$38+Projects!$D$38),Projects!$B$38*INDEX(Curves!$B$4:$AR$4,1,23-Projects!$C$38+1),0)+IF(AND(Projects!$G$39="Yes",23&gt;=Projects!$C$39,23&lt;Projects!$C$39+Projects!$D$39),Projects!$B$39*INDEX(Curves!$B$4:$AR$4,1,23-Projects!$C$39+1),0)+IF(AND(Projects!$G$40="Yes",23&gt;=Projects!$C$40,23&lt;Projects!$C$40+Projects!$D$40),Projects!$B$40*INDEX(Curves!$B$4:$AR$4,1,23-Projects!$C$40+1),0)+IF(AND(Projects!$G$41="Yes",23&gt;=Projects!$C$41,23&lt;Projects!$C$41+Projects!$D$41),Projects!$B$41*INDEX(Curves!$B$4:$AR$4,1,23-Projects!$C$41+1),0)+IF(AND(Projects!$G$42="Yes",23&gt;=Projects!$C$42,23&lt;Projects!$C$42+Projects!$D$42),Projects!$B$42*INDEX(Curves!$B$4:$AR$4,1,23-Projects!$C$42+1),0)+IF(AND(Projects!$G$43="Yes",23&gt;=Projects!$C$43,23&lt;Projects!$C$43+Projects!$D$43),Projects!$B$43*INDEX(Curves!$B$4:$AR$4,1,23-Projects!$C$43+1),0)+IF(AND(Projects!$G$44="Yes",23&gt;=Projects!$C$44,23&lt;Projects!$C$44+Projects!$D$44),Projects!$B$44*INDEX(Curves!$B$4:$AR$4,1,23-Projects!$C$44+1),0)+IF(AND(Projects!$G$45="Yes",23&gt;=Projects!$C$45,23&lt;Projects!$C$45+Projects!$D$45),Projects!$B$45*INDEX(Curves!$B$4:$AR$4,1,23-Projects!$C$45+1),0)+IF(AND(Projects!$G$46="Yes",23&gt;=Projects!$C$46,23&lt;Projects!$C$46+Projects!$D$46),Projects!$B$46*INDEX(Curves!$B$4:$AR$4,1,23-Projects!$C$46+1),0)</f>
        <v>0</v>
      </c>
      <c r="AC96" s="83" t="n">
        <f aca="false">IF(AND(Projects!$G$17="Yes",24&gt;=Projects!$C$17,24&lt;Projects!$C$17+Projects!$D$17),Projects!$B$17*INDEX(Curves!$B$4:$AR$4,1,24-Projects!$C$17+1),0)+IF(AND(Projects!$G$18="Yes",24&gt;=Projects!$C$18,24&lt;Projects!$C$18+Projects!$D$18),Projects!$B$18*INDEX(Curves!$B$4:$AR$4,1,24-Projects!$C$18+1),0)+IF(AND(Projects!$G$19="Yes",24&gt;=Projects!$C$19,24&lt;Projects!$C$19+Projects!$D$19),Projects!$B$19*INDEX(Curves!$B$4:$AR$4,1,24-Projects!$C$19+1),0)+IF(AND(Projects!$G$20="Yes",24&gt;=Projects!$C$20,24&lt;Projects!$C$20+Projects!$D$20),Projects!$B$20*INDEX(Curves!$B$4:$AR$4,1,24-Projects!$C$20+1),0)+IF(AND(Projects!$G$21="Yes",24&gt;=Projects!$C$21,24&lt;Projects!$C$21+Projects!$D$21),Projects!$B$21*INDEX(Curves!$B$4:$AR$4,1,24-Projects!$C$21+1),0)+IF(AND(Projects!$G$22="Yes",24&gt;=Projects!$C$22,24&lt;Projects!$C$22+Projects!$D$22),Projects!$B$22*INDEX(Curves!$B$4:$AR$4,1,24-Projects!$C$22+1),0)+IF(AND(Projects!$G$23="Yes",24&gt;=Projects!$C$23,24&lt;Projects!$C$23+Projects!$D$23),Projects!$B$23*INDEX(Curves!$B$4:$AR$4,1,24-Projects!$C$23+1),0)+IF(AND(Projects!$G$24="Yes",24&gt;=Projects!$C$24,24&lt;Projects!$C$24+Projects!$D$24),Projects!$B$24*INDEX(Curves!$B$4:$AR$4,1,24-Projects!$C$24+1),0)+IF(AND(Projects!$G$25="Yes",24&gt;=Projects!$C$25,24&lt;Projects!$C$25+Projects!$D$25),Projects!$B$25*INDEX(Curves!$B$4:$AR$4,1,24-Projects!$C$25+1),0)+IF(AND(Projects!$G$26="Yes",24&gt;=Projects!$C$26,24&lt;Projects!$C$26+Projects!$D$26),Projects!$B$26*INDEX(Curves!$B$4:$AR$4,1,24-Projects!$C$26+1),0)+IF(AND(Projects!$G$27="Yes",24&gt;=Projects!$C$27,24&lt;Projects!$C$27+Projects!$D$27),Projects!$B$27*INDEX(Curves!$B$4:$AR$4,1,24-Projects!$C$27+1),0)+IF(AND(Projects!$G$28="Yes",24&gt;=Projects!$C$28,24&lt;Projects!$C$28+Projects!$D$28),Projects!$B$28*INDEX(Curves!$B$4:$AR$4,1,24-Projects!$C$28+1),0)+IF(AND(Projects!$G$29="Yes",24&gt;=Projects!$C$29,24&lt;Projects!$C$29+Projects!$D$29),Projects!$B$29*INDEX(Curves!$B$4:$AR$4,1,24-Projects!$C$29+1),0)+IF(AND(Projects!$G$30="Yes",24&gt;=Projects!$C$30,24&lt;Projects!$C$30+Projects!$D$30),Projects!$B$30*INDEX(Curves!$B$4:$AR$4,1,24-Projects!$C$30+1),0)+IF(AND(Projects!$G$31="Yes",24&gt;=Projects!$C$31,24&lt;Projects!$C$31+Projects!$D$31),Projects!$B$31*INDEX(Curves!$B$4:$AR$4,1,24-Projects!$C$31+1),0)+IF(AND(Projects!$G$32="Yes",24&gt;=Projects!$C$32,24&lt;Projects!$C$32+Projects!$D$32),Projects!$B$32*INDEX(Curves!$B$4:$AR$4,1,24-Projects!$C$32+1),0)+IF(AND(Projects!$G$33="Yes",24&gt;=Projects!$C$33,24&lt;Projects!$C$33+Projects!$D$33),Projects!$B$33*INDEX(Curves!$B$4:$AR$4,1,24-Projects!$C$33+1),0)+IF(AND(Projects!$G$34="Yes",24&gt;=Projects!$C$34,24&lt;Projects!$C$34+Projects!$D$34),Projects!$B$34*INDEX(Curves!$B$4:$AR$4,1,24-Projects!$C$34+1),0)+IF(AND(Projects!$G$35="Yes",24&gt;=Projects!$C$35,24&lt;Projects!$C$35+Projects!$D$35),Projects!$B$35*INDEX(Curves!$B$4:$AR$4,1,24-Projects!$C$35+1),0)+IF(AND(Projects!$G$36="Yes",24&gt;=Projects!$C$36,24&lt;Projects!$C$36+Projects!$D$36),Projects!$B$36*INDEX(Curves!$B$4:$AR$4,1,24-Projects!$C$36+1),0)+IF(AND(Projects!$G$37="Yes",24&gt;=Projects!$C$37,24&lt;Projects!$C$37+Projects!$D$37),Projects!$B$37*INDEX(Curves!$B$4:$AR$4,1,24-Projects!$C$37+1),0)+IF(AND(Projects!$G$38="Yes",24&gt;=Projects!$C$38,24&lt;Projects!$C$38+Projects!$D$38),Projects!$B$38*INDEX(Curves!$B$4:$AR$4,1,24-Projects!$C$38+1),0)+IF(AND(Projects!$G$39="Yes",24&gt;=Projects!$C$39,24&lt;Projects!$C$39+Projects!$D$39),Projects!$B$39*INDEX(Curves!$B$4:$AR$4,1,24-Projects!$C$39+1),0)+IF(AND(Projects!$G$40="Yes",24&gt;=Projects!$C$40,24&lt;Projects!$C$40+Projects!$D$40),Projects!$B$40*INDEX(Curves!$B$4:$AR$4,1,24-Projects!$C$40+1),0)+IF(AND(Projects!$G$41="Yes",24&gt;=Projects!$C$41,24&lt;Projects!$C$41+Projects!$D$41),Projects!$B$41*INDEX(Curves!$B$4:$AR$4,1,24-Projects!$C$41+1),0)+IF(AND(Projects!$G$42="Yes",24&gt;=Projects!$C$42,24&lt;Projects!$C$42+Projects!$D$42),Projects!$B$42*INDEX(Curves!$B$4:$AR$4,1,24-Projects!$C$42+1),0)+IF(AND(Projects!$G$43="Yes",24&gt;=Projects!$C$43,24&lt;Projects!$C$43+Projects!$D$43),Projects!$B$43*INDEX(Curves!$B$4:$AR$4,1,24-Projects!$C$43+1),0)+IF(AND(Projects!$G$44="Yes",24&gt;=Projects!$C$44,24&lt;Projects!$C$44+Projects!$D$44),Projects!$B$44*INDEX(Curves!$B$4:$AR$4,1,24-Projects!$C$44+1),0)+IF(AND(Projects!$G$45="Yes",24&gt;=Projects!$C$45,24&lt;Projects!$C$45+Projects!$D$45),Projects!$B$45*INDEX(Curves!$B$4:$AR$4,1,24-Projects!$C$45+1),0)+IF(AND(Projects!$G$46="Yes",24&gt;=Projects!$C$46,24&lt;Projects!$C$46+Projects!$D$46),Projects!$B$46*INDEX(Curves!$B$4:$AR$4,1,24-Projects!$C$46+1),0)</f>
        <v>0</v>
      </c>
      <c r="AD96" s="83" t="n">
        <f aca="false">IF(AND(Projects!$G$17="Yes",25&gt;=Projects!$C$17,25&lt;Projects!$C$17+Projects!$D$17),Projects!$B$17*INDEX(Curves!$B$4:$AR$4,1,25-Projects!$C$17+1),0)+IF(AND(Projects!$G$18="Yes",25&gt;=Projects!$C$18,25&lt;Projects!$C$18+Projects!$D$18),Projects!$B$18*INDEX(Curves!$B$4:$AR$4,1,25-Projects!$C$18+1),0)+IF(AND(Projects!$G$19="Yes",25&gt;=Projects!$C$19,25&lt;Projects!$C$19+Projects!$D$19),Projects!$B$19*INDEX(Curves!$B$4:$AR$4,1,25-Projects!$C$19+1),0)+IF(AND(Projects!$G$20="Yes",25&gt;=Projects!$C$20,25&lt;Projects!$C$20+Projects!$D$20),Projects!$B$20*INDEX(Curves!$B$4:$AR$4,1,25-Projects!$C$20+1),0)+IF(AND(Projects!$G$21="Yes",25&gt;=Projects!$C$21,25&lt;Projects!$C$21+Projects!$D$21),Projects!$B$21*INDEX(Curves!$B$4:$AR$4,1,25-Projects!$C$21+1),0)+IF(AND(Projects!$G$22="Yes",25&gt;=Projects!$C$22,25&lt;Projects!$C$22+Projects!$D$22),Projects!$B$22*INDEX(Curves!$B$4:$AR$4,1,25-Projects!$C$22+1),0)+IF(AND(Projects!$G$23="Yes",25&gt;=Projects!$C$23,25&lt;Projects!$C$23+Projects!$D$23),Projects!$B$23*INDEX(Curves!$B$4:$AR$4,1,25-Projects!$C$23+1),0)+IF(AND(Projects!$G$24="Yes",25&gt;=Projects!$C$24,25&lt;Projects!$C$24+Projects!$D$24),Projects!$B$24*INDEX(Curves!$B$4:$AR$4,1,25-Projects!$C$24+1),0)+IF(AND(Projects!$G$25="Yes",25&gt;=Projects!$C$25,25&lt;Projects!$C$25+Projects!$D$25),Projects!$B$25*INDEX(Curves!$B$4:$AR$4,1,25-Projects!$C$25+1),0)+IF(AND(Projects!$G$26="Yes",25&gt;=Projects!$C$26,25&lt;Projects!$C$26+Projects!$D$26),Projects!$B$26*INDEX(Curves!$B$4:$AR$4,1,25-Projects!$C$26+1),0)+IF(AND(Projects!$G$27="Yes",25&gt;=Projects!$C$27,25&lt;Projects!$C$27+Projects!$D$27),Projects!$B$27*INDEX(Curves!$B$4:$AR$4,1,25-Projects!$C$27+1),0)+IF(AND(Projects!$G$28="Yes",25&gt;=Projects!$C$28,25&lt;Projects!$C$28+Projects!$D$28),Projects!$B$28*INDEX(Curves!$B$4:$AR$4,1,25-Projects!$C$28+1),0)+IF(AND(Projects!$G$29="Yes",25&gt;=Projects!$C$29,25&lt;Projects!$C$29+Projects!$D$29),Projects!$B$29*INDEX(Curves!$B$4:$AR$4,1,25-Projects!$C$29+1),0)+IF(AND(Projects!$G$30="Yes",25&gt;=Projects!$C$30,25&lt;Projects!$C$30+Projects!$D$30),Projects!$B$30*INDEX(Curves!$B$4:$AR$4,1,25-Projects!$C$30+1),0)+IF(AND(Projects!$G$31="Yes",25&gt;=Projects!$C$31,25&lt;Projects!$C$31+Projects!$D$31),Projects!$B$31*INDEX(Curves!$B$4:$AR$4,1,25-Projects!$C$31+1),0)+IF(AND(Projects!$G$32="Yes",25&gt;=Projects!$C$32,25&lt;Projects!$C$32+Projects!$D$32),Projects!$B$32*INDEX(Curves!$B$4:$AR$4,1,25-Projects!$C$32+1),0)+IF(AND(Projects!$G$33="Yes",25&gt;=Projects!$C$33,25&lt;Projects!$C$33+Projects!$D$33),Projects!$B$33*INDEX(Curves!$B$4:$AR$4,1,25-Projects!$C$33+1),0)+IF(AND(Projects!$G$34="Yes",25&gt;=Projects!$C$34,25&lt;Projects!$C$34+Projects!$D$34),Projects!$B$34*INDEX(Curves!$B$4:$AR$4,1,25-Projects!$C$34+1),0)+IF(AND(Projects!$G$35="Yes",25&gt;=Projects!$C$35,25&lt;Projects!$C$35+Projects!$D$35),Projects!$B$35*INDEX(Curves!$B$4:$AR$4,1,25-Projects!$C$35+1),0)+IF(AND(Projects!$G$36="Yes",25&gt;=Projects!$C$36,25&lt;Projects!$C$36+Projects!$D$36),Projects!$B$36*INDEX(Curves!$B$4:$AR$4,1,25-Projects!$C$36+1),0)+IF(AND(Projects!$G$37="Yes",25&gt;=Projects!$C$37,25&lt;Projects!$C$37+Projects!$D$37),Projects!$B$37*INDEX(Curves!$B$4:$AR$4,1,25-Projects!$C$37+1),0)+IF(AND(Projects!$G$38="Yes",25&gt;=Projects!$C$38,25&lt;Projects!$C$38+Projects!$D$38),Projects!$B$38*INDEX(Curves!$B$4:$AR$4,1,25-Projects!$C$38+1),0)+IF(AND(Projects!$G$39="Yes",25&gt;=Projects!$C$39,25&lt;Projects!$C$39+Projects!$D$39),Projects!$B$39*INDEX(Curves!$B$4:$AR$4,1,25-Projects!$C$39+1),0)+IF(AND(Projects!$G$40="Yes",25&gt;=Projects!$C$40,25&lt;Projects!$C$40+Projects!$D$40),Projects!$B$40*INDEX(Curves!$B$4:$AR$4,1,25-Projects!$C$40+1),0)+IF(AND(Projects!$G$41="Yes",25&gt;=Projects!$C$41,25&lt;Projects!$C$41+Projects!$D$41),Projects!$B$41*INDEX(Curves!$B$4:$AR$4,1,25-Projects!$C$41+1),0)+IF(AND(Projects!$G$42="Yes",25&gt;=Projects!$C$42,25&lt;Projects!$C$42+Projects!$D$42),Projects!$B$42*INDEX(Curves!$B$4:$AR$4,1,25-Projects!$C$42+1),0)+IF(AND(Projects!$G$43="Yes",25&gt;=Projects!$C$43,25&lt;Projects!$C$43+Projects!$D$43),Projects!$B$43*INDEX(Curves!$B$4:$AR$4,1,25-Projects!$C$43+1),0)+IF(AND(Projects!$G$44="Yes",25&gt;=Projects!$C$44,25&lt;Projects!$C$44+Projects!$D$44),Projects!$B$44*INDEX(Curves!$B$4:$AR$4,1,25-Projects!$C$44+1),0)+IF(AND(Projects!$G$45="Yes",25&gt;=Projects!$C$45,25&lt;Projects!$C$45+Projects!$D$45),Projects!$B$45*INDEX(Curves!$B$4:$AR$4,1,25-Projects!$C$45+1),0)+IF(AND(Projects!$G$46="Yes",25&gt;=Projects!$C$46,25&lt;Projects!$C$46+Projects!$D$46),Projects!$B$46*INDEX(Curves!$B$4:$AR$4,1,25-Projects!$C$46+1),0)</f>
        <v>0</v>
      </c>
      <c r="AE96" s="83" t="n">
        <f aca="false">IF(AND(Projects!$G$17="Yes",26&gt;=Projects!$C$17,26&lt;Projects!$C$17+Projects!$D$17),Projects!$B$17*INDEX(Curves!$B$4:$AR$4,1,26-Projects!$C$17+1),0)+IF(AND(Projects!$G$18="Yes",26&gt;=Projects!$C$18,26&lt;Projects!$C$18+Projects!$D$18),Projects!$B$18*INDEX(Curves!$B$4:$AR$4,1,26-Projects!$C$18+1),0)+IF(AND(Projects!$G$19="Yes",26&gt;=Projects!$C$19,26&lt;Projects!$C$19+Projects!$D$19),Projects!$B$19*INDEX(Curves!$B$4:$AR$4,1,26-Projects!$C$19+1),0)+IF(AND(Projects!$G$20="Yes",26&gt;=Projects!$C$20,26&lt;Projects!$C$20+Projects!$D$20),Projects!$B$20*INDEX(Curves!$B$4:$AR$4,1,26-Projects!$C$20+1),0)+IF(AND(Projects!$G$21="Yes",26&gt;=Projects!$C$21,26&lt;Projects!$C$21+Projects!$D$21),Projects!$B$21*INDEX(Curves!$B$4:$AR$4,1,26-Projects!$C$21+1),0)+IF(AND(Projects!$G$22="Yes",26&gt;=Projects!$C$22,26&lt;Projects!$C$22+Projects!$D$22),Projects!$B$22*INDEX(Curves!$B$4:$AR$4,1,26-Projects!$C$22+1),0)+IF(AND(Projects!$G$23="Yes",26&gt;=Projects!$C$23,26&lt;Projects!$C$23+Projects!$D$23),Projects!$B$23*INDEX(Curves!$B$4:$AR$4,1,26-Projects!$C$23+1),0)+IF(AND(Projects!$G$24="Yes",26&gt;=Projects!$C$24,26&lt;Projects!$C$24+Projects!$D$24),Projects!$B$24*INDEX(Curves!$B$4:$AR$4,1,26-Projects!$C$24+1),0)+IF(AND(Projects!$G$25="Yes",26&gt;=Projects!$C$25,26&lt;Projects!$C$25+Projects!$D$25),Projects!$B$25*INDEX(Curves!$B$4:$AR$4,1,26-Projects!$C$25+1),0)+IF(AND(Projects!$G$26="Yes",26&gt;=Projects!$C$26,26&lt;Projects!$C$26+Projects!$D$26),Projects!$B$26*INDEX(Curves!$B$4:$AR$4,1,26-Projects!$C$26+1),0)+IF(AND(Projects!$G$27="Yes",26&gt;=Projects!$C$27,26&lt;Projects!$C$27+Projects!$D$27),Projects!$B$27*INDEX(Curves!$B$4:$AR$4,1,26-Projects!$C$27+1),0)+IF(AND(Projects!$G$28="Yes",26&gt;=Projects!$C$28,26&lt;Projects!$C$28+Projects!$D$28),Projects!$B$28*INDEX(Curves!$B$4:$AR$4,1,26-Projects!$C$28+1),0)+IF(AND(Projects!$G$29="Yes",26&gt;=Projects!$C$29,26&lt;Projects!$C$29+Projects!$D$29),Projects!$B$29*INDEX(Curves!$B$4:$AR$4,1,26-Projects!$C$29+1),0)+IF(AND(Projects!$G$30="Yes",26&gt;=Projects!$C$30,26&lt;Projects!$C$30+Projects!$D$30),Projects!$B$30*INDEX(Curves!$B$4:$AR$4,1,26-Projects!$C$30+1),0)+IF(AND(Projects!$G$31="Yes",26&gt;=Projects!$C$31,26&lt;Projects!$C$31+Projects!$D$31),Projects!$B$31*INDEX(Curves!$B$4:$AR$4,1,26-Projects!$C$31+1),0)+IF(AND(Projects!$G$32="Yes",26&gt;=Projects!$C$32,26&lt;Projects!$C$32+Projects!$D$32),Projects!$B$32*INDEX(Curves!$B$4:$AR$4,1,26-Projects!$C$32+1),0)+IF(AND(Projects!$G$33="Yes",26&gt;=Projects!$C$33,26&lt;Projects!$C$33+Projects!$D$33),Projects!$B$33*INDEX(Curves!$B$4:$AR$4,1,26-Projects!$C$33+1),0)+IF(AND(Projects!$G$34="Yes",26&gt;=Projects!$C$34,26&lt;Projects!$C$34+Projects!$D$34),Projects!$B$34*INDEX(Curves!$B$4:$AR$4,1,26-Projects!$C$34+1),0)+IF(AND(Projects!$G$35="Yes",26&gt;=Projects!$C$35,26&lt;Projects!$C$35+Projects!$D$35),Projects!$B$35*INDEX(Curves!$B$4:$AR$4,1,26-Projects!$C$35+1),0)+IF(AND(Projects!$G$36="Yes",26&gt;=Projects!$C$36,26&lt;Projects!$C$36+Projects!$D$36),Projects!$B$36*INDEX(Curves!$B$4:$AR$4,1,26-Projects!$C$36+1),0)+IF(AND(Projects!$G$37="Yes",26&gt;=Projects!$C$37,26&lt;Projects!$C$37+Projects!$D$37),Projects!$B$37*INDEX(Curves!$B$4:$AR$4,1,26-Projects!$C$37+1),0)+IF(AND(Projects!$G$38="Yes",26&gt;=Projects!$C$38,26&lt;Projects!$C$38+Projects!$D$38),Projects!$B$38*INDEX(Curves!$B$4:$AR$4,1,26-Projects!$C$38+1),0)+IF(AND(Projects!$G$39="Yes",26&gt;=Projects!$C$39,26&lt;Projects!$C$39+Projects!$D$39),Projects!$B$39*INDEX(Curves!$B$4:$AR$4,1,26-Projects!$C$39+1),0)+IF(AND(Projects!$G$40="Yes",26&gt;=Projects!$C$40,26&lt;Projects!$C$40+Projects!$D$40),Projects!$B$40*INDEX(Curves!$B$4:$AR$4,1,26-Projects!$C$40+1),0)+IF(AND(Projects!$G$41="Yes",26&gt;=Projects!$C$41,26&lt;Projects!$C$41+Projects!$D$41),Projects!$B$41*INDEX(Curves!$B$4:$AR$4,1,26-Projects!$C$41+1),0)+IF(AND(Projects!$G$42="Yes",26&gt;=Projects!$C$42,26&lt;Projects!$C$42+Projects!$D$42),Projects!$B$42*INDEX(Curves!$B$4:$AR$4,1,26-Projects!$C$42+1),0)+IF(AND(Projects!$G$43="Yes",26&gt;=Projects!$C$43,26&lt;Projects!$C$43+Projects!$D$43),Projects!$B$43*INDEX(Curves!$B$4:$AR$4,1,26-Projects!$C$43+1),0)+IF(AND(Projects!$G$44="Yes",26&gt;=Projects!$C$44,26&lt;Projects!$C$44+Projects!$D$44),Projects!$B$44*INDEX(Curves!$B$4:$AR$4,1,26-Projects!$C$44+1),0)+IF(AND(Projects!$G$45="Yes",26&gt;=Projects!$C$45,26&lt;Projects!$C$45+Projects!$D$45),Projects!$B$45*INDEX(Curves!$B$4:$AR$4,1,26-Projects!$C$45+1),0)+IF(AND(Projects!$G$46="Yes",26&gt;=Projects!$C$46,26&lt;Projects!$C$46+Projects!$D$46),Projects!$B$46*INDEX(Curves!$B$4:$AR$4,1,26-Projects!$C$46+1),0)</f>
        <v>0</v>
      </c>
      <c r="AF96" s="83" t="n">
        <f aca="false">IF(AND(Projects!$G$17="Yes",27&gt;=Projects!$C$17,27&lt;Projects!$C$17+Projects!$D$17),Projects!$B$17*INDEX(Curves!$B$4:$AR$4,1,27-Projects!$C$17+1),0)+IF(AND(Projects!$G$18="Yes",27&gt;=Projects!$C$18,27&lt;Projects!$C$18+Projects!$D$18),Projects!$B$18*INDEX(Curves!$B$4:$AR$4,1,27-Projects!$C$18+1),0)+IF(AND(Projects!$G$19="Yes",27&gt;=Projects!$C$19,27&lt;Projects!$C$19+Projects!$D$19),Projects!$B$19*INDEX(Curves!$B$4:$AR$4,1,27-Projects!$C$19+1),0)+IF(AND(Projects!$G$20="Yes",27&gt;=Projects!$C$20,27&lt;Projects!$C$20+Projects!$D$20),Projects!$B$20*INDEX(Curves!$B$4:$AR$4,1,27-Projects!$C$20+1),0)+IF(AND(Projects!$G$21="Yes",27&gt;=Projects!$C$21,27&lt;Projects!$C$21+Projects!$D$21),Projects!$B$21*INDEX(Curves!$B$4:$AR$4,1,27-Projects!$C$21+1),0)+IF(AND(Projects!$G$22="Yes",27&gt;=Projects!$C$22,27&lt;Projects!$C$22+Projects!$D$22),Projects!$B$22*INDEX(Curves!$B$4:$AR$4,1,27-Projects!$C$22+1),0)+IF(AND(Projects!$G$23="Yes",27&gt;=Projects!$C$23,27&lt;Projects!$C$23+Projects!$D$23),Projects!$B$23*INDEX(Curves!$B$4:$AR$4,1,27-Projects!$C$23+1),0)+IF(AND(Projects!$G$24="Yes",27&gt;=Projects!$C$24,27&lt;Projects!$C$24+Projects!$D$24),Projects!$B$24*INDEX(Curves!$B$4:$AR$4,1,27-Projects!$C$24+1),0)+IF(AND(Projects!$G$25="Yes",27&gt;=Projects!$C$25,27&lt;Projects!$C$25+Projects!$D$25),Projects!$B$25*INDEX(Curves!$B$4:$AR$4,1,27-Projects!$C$25+1),0)+IF(AND(Projects!$G$26="Yes",27&gt;=Projects!$C$26,27&lt;Projects!$C$26+Projects!$D$26),Projects!$B$26*INDEX(Curves!$B$4:$AR$4,1,27-Projects!$C$26+1),0)+IF(AND(Projects!$G$27="Yes",27&gt;=Projects!$C$27,27&lt;Projects!$C$27+Projects!$D$27),Projects!$B$27*INDEX(Curves!$B$4:$AR$4,1,27-Projects!$C$27+1),0)+IF(AND(Projects!$G$28="Yes",27&gt;=Projects!$C$28,27&lt;Projects!$C$28+Projects!$D$28),Projects!$B$28*INDEX(Curves!$B$4:$AR$4,1,27-Projects!$C$28+1),0)+IF(AND(Projects!$G$29="Yes",27&gt;=Projects!$C$29,27&lt;Projects!$C$29+Projects!$D$29),Projects!$B$29*INDEX(Curves!$B$4:$AR$4,1,27-Projects!$C$29+1),0)+IF(AND(Projects!$G$30="Yes",27&gt;=Projects!$C$30,27&lt;Projects!$C$30+Projects!$D$30),Projects!$B$30*INDEX(Curves!$B$4:$AR$4,1,27-Projects!$C$30+1),0)+IF(AND(Projects!$G$31="Yes",27&gt;=Projects!$C$31,27&lt;Projects!$C$31+Projects!$D$31),Projects!$B$31*INDEX(Curves!$B$4:$AR$4,1,27-Projects!$C$31+1),0)+IF(AND(Projects!$G$32="Yes",27&gt;=Projects!$C$32,27&lt;Projects!$C$32+Projects!$D$32),Projects!$B$32*INDEX(Curves!$B$4:$AR$4,1,27-Projects!$C$32+1),0)+IF(AND(Projects!$G$33="Yes",27&gt;=Projects!$C$33,27&lt;Projects!$C$33+Projects!$D$33),Projects!$B$33*INDEX(Curves!$B$4:$AR$4,1,27-Projects!$C$33+1),0)+IF(AND(Projects!$G$34="Yes",27&gt;=Projects!$C$34,27&lt;Projects!$C$34+Projects!$D$34),Projects!$B$34*INDEX(Curves!$B$4:$AR$4,1,27-Projects!$C$34+1),0)+IF(AND(Projects!$G$35="Yes",27&gt;=Projects!$C$35,27&lt;Projects!$C$35+Projects!$D$35),Projects!$B$35*INDEX(Curves!$B$4:$AR$4,1,27-Projects!$C$35+1),0)+IF(AND(Projects!$G$36="Yes",27&gt;=Projects!$C$36,27&lt;Projects!$C$36+Projects!$D$36),Projects!$B$36*INDEX(Curves!$B$4:$AR$4,1,27-Projects!$C$36+1),0)+IF(AND(Projects!$G$37="Yes",27&gt;=Projects!$C$37,27&lt;Projects!$C$37+Projects!$D$37),Projects!$B$37*INDEX(Curves!$B$4:$AR$4,1,27-Projects!$C$37+1),0)+IF(AND(Projects!$G$38="Yes",27&gt;=Projects!$C$38,27&lt;Projects!$C$38+Projects!$D$38),Projects!$B$38*INDEX(Curves!$B$4:$AR$4,1,27-Projects!$C$38+1),0)+IF(AND(Projects!$G$39="Yes",27&gt;=Projects!$C$39,27&lt;Projects!$C$39+Projects!$D$39),Projects!$B$39*INDEX(Curves!$B$4:$AR$4,1,27-Projects!$C$39+1),0)+IF(AND(Projects!$G$40="Yes",27&gt;=Projects!$C$40,27&lt;Projects!$C$40+Projects!$D$40),Projects!$B$40*INDEX(Curves!$B$4:$AR$4,1,27-Projects!$C$40+1),0)+IF(AND(Projects!$G$41="Yes",27&gt;=Projects!$C$41,27&lt;Projects!$C$41+Projects!$D$41),Projects!$B$41*INDEX(Curves!$B$4:$AR$4,1,27-Projects!$C$41+1),0)+IF(AND(Projects!$G$42="Yes",27&gt;=Projects!$C$42,27&lt;Projects!$C$42+Projects!$D$42),Projects!$B$42*INDEX(Curves!$B$4:$AR$4,1,27-Projects!$C$42+1),0)+IF(AND(Projects!$G$43="Yes",27&gt;=Projects!$C$43,27&lt;Projects!$C$43+Projects!$D$43),Projects!$B$43*INDEX(Curves!$B$4:$AR$4,1,27-Projects!$C$43+1),0)+IF(AND(Projects!$G$44="Yes",27&gt;=Projects!$C$44,27&lt;Projects!$C$44+Projects!$D$44),Projects!$B$44*INDEX(Curves!$B$4:$AR$4,1,27-Projects!$C$44+1),0)+IF(AND(Projects!$G$45="Yes",27&gt;=Projects!$C$45,27&lt;Projects!$C$45+Projects!$D$45),Projects!$B$45*INDEX(Curves!$B$4:$AR$4,1,27-Projects!$C$45+1),0)+IF(AND(Projects!$G$46="Yes",27&gt;=Projects!$C$46,27&lt;Projects!$C$46+Projects!$D$46),Projects!$B$46*INDEX(Curves!$B$4:$AR$4,1,27-Projects!$C$46+1),0)</f>
        <v>0</v>
      </c>
      <c r="AG96" s="83" t="n">
        <f aca="false">IF(AND(Projects!$G$17="Yes",28&gt;=Projects!$C$17,28&lt;Projects!$C$17+Projects!$D$17),Projects!$B$17*INDEX(Curves!$B$4:$AR$4,1,28-Projects!$C$17+1),0)+IF(AND(Projects!$G$18="Yes",28&gt;=Projects!$C$18,28&lt;Projects!$C$18+Projects!$D$18),Projects!$B$18*INDEX(Curves!$B$4:$AR$4,1,28-Projects!$C$18+1),0)+IF(AND(Projects!$G$19="Yes",28&gt;=Projects!$C$19,28&lt;Projects!$C$19+Projects!$D$19),Projects!$B$19*INDEX(Curves!$B$4:$AR$4,1,28-Projects!$C$19+1),0)+IF(AND(Projects!$G$20="Yes",28&gt;=Projects!$C$20,28&lt;Projects!$C$20+Projects!$D$20),Projects!$B$20*INDEX(Curves!$B$4:$AR$4,1,28-Projects!$C$20+1),0)+IF(AND(Projects!$G$21="Yes",28&gt;=Projects!$C$21,28&lt;Projects!$C$21+Projects!$D$21),Projects!$B$21*INDEX(Curves!$B$4:$AR$4,1,28-Projects!$C$21+1),0)+IF(AND(Projects!$G$22="Yes",28&gt;=Projects!$C$22,28&lt;Projects!$C$22+Projects!$D$22),Projects!$B$22*INDEX(Curves!$B$4:$AR$4,1,28-Projects!$C$22+1),0)+IF(AND(Projects!$G$23="Yes",28&gt;=Projects!$C$23,28&lt;Projects!$C$23+Projects!$D$23),Projects!$B$23*INDEX(Curves!$B$4:$AR$4,1,28-Projects!$C$23+1),0)+IF(AND(Projects!$G$24="Yes",28&gt;=Projects!$C$24,28&lt;Projects!$C$24+Projects!$D$24),Projects!$B$24*INDEX(Curves!$B$4:$AR$4,1,28-Projects!$C$24+1),0)+IF(AND(Projects!$G$25="Yes",28&gt;=Projects!$C$25,28&lt;Projects!$C$25+Projects!$D$25),Projects!$B$25*INDEX(Curves!$B$4:$AR$4,1,28-Projects!$C$25+1),0)+IF(AND(Projects!$G$26="Yes",28&gt;=Projects!$C$26,28&lt;Projects!$C$26+Projects!$D$26),Projects!$B$26*INDEX(Curves!$B$4:$AR$4,1,28-Projects!$C$26+1),0)+IF(AND(Projects!$G$27="Yes",28&gt;=Projects!$C$27,28&lt;Projects!$C$27+Projects!$D$27),Projects!$B$27*INDEX(Curves!$B$4:$AR$4,1,28-Projects!$C$27+1),0)+IF(AND(Projects!$G$28="Yes",28&gt;=Projects!$C$28,28&lt;Projects!$C$28+Projects!$D$28),Projects!$B$28*INDEX(Curves!$B$4:$AR$4,1,28-Projects!$C$28+1),0)+IF(AND(Projects!$G$29="Yes",28&gt;=Projects!$C$29,28&lt;Projects!$C$29+Projects!$D$29),Projects!$B$29*INDEX(Curves!$B$4:$AR$4,1,28-Projects!$C$29+1),0)+IF(AND(Projects!$G$30="Yes",28&gt;=Projects!$C$30,28&lt;Projects!$C$30+Projects!$D$30),Projects!$B$30*INDEX(Curves!$B$4:$AR$4,1,28-Projects!$C$30+1),0)+IF(AND(Projects!$G$31="Yes",28&gt;=Projects!$C$31,28&lt;Projects!$C$31+Projects!$D$31),Projects!$B$31*INDEX(Curves!$B$4:$AR$4,1,28-Projects!$C$31+1),0)+IF(AND(Projects!$G$32="Yes",28&gt;=Projects!$C$32,28&lt;Projects!$C$32+Projects!$D$32),Projects!$B$32*INDEX(Curves!$B$4:$AR$4,1,28-Projects!$C$32+1),0)+IF(AND(Projects!$G$33="Yes",28&gt;=Projects!$C$33,28&lt;Projects!$C$33+Projects!$D$33),Projects!$B$33*INDEX(Curves!$B$4:$AR$4,1,28-Projects!$C$33+1),0)+IF(AND(Projects!$G$34="Yes",28&gt;=Projects!$C$34,28&lt;Projects!$C$34+Projects!$D$34),Projects!$B$34*INDEX(Curves!$B$4:$AR$4,1,28-Projects!$C$34+1),0)+IF(AND(Projects!$G$35="Yes",28&gt;=Projects!$C$35,28&lt;Projects!$C$35+Projects!$D$35),Projects!$B$35*INDEX(Curves!$B$4:$AR$4,1,28-Projects!$C$35+1),0)+IF(AND(Projects!$G$36="Yes",28&gt;=Projects!$C$36,28&lt;Projects!$C$36+Projects!$D$36),Projects!$B$36*INDEX(Curves!$B$4:$AR$4,1,28-Projects!$C$36+1),0)+IF(AND(Projects!$G$37="Yes",28&gt;=Projects!$C$37,28&lt;Projects!$C$37+Projects!$D$37),Projects!$B$37*INDEX(Curves!$B$4:$AR$4,1,28-Projects!$C$37+1),0)+IF(AND(Projects!$G$38="Yes",28&gt;=Projects!$C$38,28&lt;Projects!$C$38+Projects!$D$38),Projects!$B$38*INDEX(Curves!$B$4:$AR$4,1,28-Projects!$C$38+1),0)+IF(AND(Projects!$G$39="Yes",28&gt;=Projects!$C$39,28&lt;Projects!$C$39+Projects!$D$39),Projects!$B$39*INDEX(Curves!$B$4:$AR$4,1,28-Projects!$C$39+1),0)+IF(AND(Projects!$G$40="Yes",28&gt;=Projects!$C$40,28&lt;Projects!$C$40+Projects!$D$40),Projects!$B$40*INDEX(Curves!$B$4:$AR$4,1,28-Projects!$C$40+1),0)+IF(AND(Projects!$G$41="Yes",28&gt;=Projects!$C$41,28&lt;Projects!$C$41+Projects!$D$41),Projects!$B$41*INDEX(Curves!$B$4:$AR$4,1,28-Projects!$C$41+1),0)+IF(AND(Projects!$G$42="Yes",28&gt;=Projects!$C$42,28&lt;Projects!$C$42+Projects!$D$42),Projects!$B$42*INDEX(Curves!$B$4:$AR$4,1,28-Projects!$C$42+1),0)+IF(AND(Projects!$G$43="Yes",28&gt;=Projects!$C$43,28&lt;Projects!$C$43+Projects!$D$43),Projects!$B$43*INDEX(Curves!$B$4:$AR$4,1,28-Projects!$C$43+1),0)+IF(AND(Projects!$G$44="Yes",28&gt;=Projects!$C$44,28&lt;Projects!$C$44+Projects!$D$44),Projects!$B$44*INDEX(Curves!$B$4:$AR$4,1,28-Projects!$C$44+1),0)+IF(AND(Projects!$G$45="Yes",28&gt;=Projects!$C$45,28&lt;Projects!$C$45+Projects!$D$45),Projects!$B$45*INDEX(Curves!$B$4:$AR$4,1,28-Projects!$C$45+1),0)+IF(AND(Projects!$G$46="Yes",28&gt;=Projects!$C$46,28&lt;Projects!$C$46+Projects!$D$46),Projects!$B$46*INDEX(Curves!$B$4:$AR$4,1,28-Projects!$C$46+1),0)</f>
        <v>0</v>
      </c>
      <c r="AH96" s="83" t="n">
        <f aca="false">IF(AND(Projects!$G$17="Yes",29&gt;=Projects!$C$17,29&lt;Projects!$C$17+Projects!$D$17),Projects!$B$17*INDEX(Curves!$B$4:$AR$4,1,29-Projects!$C$17+1),0)+IF(AND(Projects!$G$18="Yes",29&gt;=Projects!$C$18,29&lt;Projects!$C$18+Projects!$D$18),Projects!$B$18*INDEX(Curves!$B$4:$AR$4,1,29-Projects!$C$18+1),0)+IF(AND(Projects!$G$19="Yes",29&gt;=Projects!$C$19,29&lt;Projects!$C$19+Projects!$D$19),Projects!$B$19*INDEX(Curves!$B$4:$AR$4,1,29-Projects!$C$19+1),0)+IF(AND(Projects!$G$20="Yes",29&gt;=Projects!$C$20,29&lt;Projects!$C$20+Projects!$D$20),Projects!$B$20*INDEX(Curves!$B$4:$AR$4,1,29-Projects!$C$20+1),0)+IF(AND(Projects!$G$21="Yes",29&gt;=Projects!$C$21,29&lt;Projects!$C$21+Projects!$D$21),Projects!$B$21*INDEX(Curves!$B$4:$AR$4,1,29-Projects!$C$21+1),0)+IF(AND(Projects!$G$22="Yes",29&gt;=Projects!$C$22,29&lt;Projects!$C$22+Projects!$D$22),Projects!$B$22*INDEX(Curves!$B$4:$AR$4,1,29-Projects!$C$22+1),0)+IF(AND(Projects!$G$23="Yes",29&gt;=Projects!$C$23,29&lt;Projects!$C$23+Projects!$D$23),Projects!$B$23*INDEX(Curves!$B$4:$AR$4,1,29-Projects!$C$23+1),0)+IF(AND(Projects!$G$24="Yes",29&gt;=Projects!$C$24,29&lt;Projects!$C$24+Projects!$D$24),Projects!$B$24*INDEX(Curves!$B$4:$AR$4,1,29-Projects!$C$24+1),0)+IF(AND(Projects!$G$25="Yes",29&gt;=Projects!$C$25,29&lt;Projects!$C$25+Projects!$D$25),Projects!$B$25*INDEX(Curves!$B$4:$AR$4,1,29-Projects!$C$25+1),0)+IF(AND(Projects!$G$26="Yes",29&gt;=Projects!$C$26,29&lt;Projects!$C$26+Projects!$D$26),Projects!$B$26*INDEX(Curves!$B$4:$AR$4,1,29-Projects!$C$26+1),0)+IF(AND(Projects!$G$27="Yes",29&gt;=Projects!$C$27,29&lt;Projects!$C$27+Projects!$D$27),Projects!$B$27*INDEX(Curves!$B$4:$AR$4,1,29-Projects!$C$27+1),0)+IF(AND(Projects!$G$28="Yes",29&gt;=Projects!$C$28,29&lt;Projects!$C$28+Projects!$D$28),Projects!$B$28*INDEX(Curves!$B$4:$AR$4,1,29-Projects!$C$28+1),0)+IF(AND(Projects!$G$29="Yes",29&gt;=Projects!$C$29,29&lt;Projects!$C$29+Projects!$D$29),Projects!$B$29*INDEX(Curves!$B$4:$AR$4,1,29-Projects!$C$29+1),0)+IF(AND(Projects!$G$30="Yes",29&gt;=Projects!$C$30,29&lt;Projects!$C$30+Projects!$D$30),Projects!$B$30*INDEX(Curves!$B$4:$AR$4,1,29-Projects!$C$30+1),0)+IF(AND(Projects!$G$31="Yes",29&gt;=Projects!$C$31,29&lt;Projects!$C$31+Projects!$D$31),Projects!$B$31*INDEX(Curves!$B$4:$AR$4,1,29-Projects!$C$31+1),0)+IF(AND(Projects!$G$32="Yes",29&gt;=Projects!$C$32,29&lt;Projects!$C$32+Projects!$D$32),Projects!$B$32*INDEX(Curves!$B$4:$AR$4,1,29-Projects!$C$32+1),0)+IF(AND(Projects!$G$33="Yes",29&gt;=Projects!$C$33,29&lt;Projects!$C$33+Projects!$D$33),Projects!$B$33*INDEX(Curves!$B$4:$AR$4,1,29-Projects!$C$33+1),0)+IF(AND(Projects!$G$34="Yes",29&gt;=Projects!$C$34,29&lt;Projects!$C$34+Projects!$D$34),Projects!$B$34*INDEX(Curves!$B$4:$AR$4,1,29-Projects!$C$34+1),0)+IF(AND(Projects!$G$35="Yes",29&gt;=Projects!$C$35,29&lt;Projects!$C$35+Projects!$D$35),Projects!$B$35*INDEX(Curves!$B$4:$AR$4,1,29-Projects!$C$35+1),0)+IF(AND(Projects!$G$36="Yes",29&gt;=Projects!$C$36,29&lt;Projects!$C$36+Projects!$D$36),Projects!$B$36*INDEX(Curves!$B$4:$AR$4,1,29-Projects!$C$36+1),0)+IF(AND(Projects!$G$37="Yes",29&gt;=Projects!$C$37,29&lt;Projects!$C$37+Projects!$D$37),Projects!$B$37*INDEX(Curves!$B$4:$AR$4,1,29-Projects!$C$37+1),0)+IF(AND(Projects!$G$38="Yes",29&gt;=Projects!$C$38,29&lt;Projects!$C$38+Projects!$D$38),Projects!$B$38*INDEX(Curves!$B$4:$AR$4,1,29-Projects!$C$38+1),0)+IF(AND(Projects!$G$39="Yes",29&gt;=Projects!$C$39,29&lt;Projects!$C$39+Projects!$D$39),Projects!$B$39*INDEX(Curves!$B$4:$AR$4,1,29-Projects!$C$39+1),0)+IF(AND(Projects!$G$40="Yes",29&gt;=Projects!$C$40,29&lt;Projects!$C$40+Projects!$D$40),Projects!$B$40*INDEX(Curves!$B$4:$AR$4,1,29-Projects!$C$40+1),0)+IF(AND(Projects!$G$41="Yes",29&gt;=Projects!$C$41,29&lt;Projects!$C$41+Projects!$D$41),Projects!$B$41*INDEX(Curves!$B$4:$AR$4,1,29-Projects!$C$41+1),0)+IF(AND(Projects!$G$42="Yes",29&gt;=Projects!$C$42,29&lt;Projects!$C$42+Projects!$D$42),Projects!$B$42*INDEX(Curves!$B$4:$AR$4,1,29-Projects!$C$42+1),0)+IF(AND(Projects!$G$43="Yes",29&gt;=Projects!$C$43,29&lt;Projects!$C$43+Projects!$D$43),Projects!$B$43*INDEX(Curves!$B$4:$AR$4,1,29-Projects!$C$43+1),0)+IF(AND(Projects!$G$44="Yes",29&gt;=Projects!$C$44,29&lt;Projects!$C$44+Projects!$D$44),Projects!$B$44*INDEX(Curves!$B$4:$AR$4,1,29-Projects!$C$44+1),0)+IF(AND(Projects!$G$45="Yes",29&gt;=Projects!$C$45,29&lt;Projects!$C$45+Projects!$D$45),Projects!$B$45*INDEX(Curves!$B$4:$AR$4,1,29-Projects!$C$45+1),0)+IF(AND(Projects!$G$46="Yes",29&gt;=Projects!$C$46,29&lt;Projects!$C$46+Projects!$D$46),Projects!$B$46*INDEX(Curves!$B$4:$AR$4,1,29-Projects!$C$46+1),0)</f>
        <v>0</v>
      </c>
      <c r="AI96" s="83" t="n">
        <f aca="false">IF(AND(Projects!$G$17="Yes",30&gt;=Projects!$C$17,30&lt;Projects!$C$17+Projects!$D$17),Projects!$B$17*INDEX(Curves!$B$4:$AR$4,1,30-Projects!$C$17+1),0)+IF(AND(Projects!$G$18="Yes",30&gt;=Projects!$C$18,30&lt;Projects!$C$18+Projects!$D$18),Projects!$B$18*INDEX(Curves!$B$4:$AR$4,1,30-Projects!$C$18+1),0)+IF(AND(Projects!$G$19="Yes",30&gt;=Projects!$C$19,30&lt;Projects!$C$19+Projects!$D$19),Projects!$B$19*INDEX(Curves!$B$4:$AR$4,1,30-Projects!$C$19+1),0)+IF(AND(Projects!$G$20="Yes",30&gt;=Projects!$C$20,30&lt;Projects!$C$20+Projects!$D$20),Projects!$B$20*INDEX(Curves!$B$4:$AR$4,1,30-Projects!$C$20+1),0)+IF(AND(Projects!$G$21="Yes",30&gt;=Projects!$C$21,30&lt;Projects!$C$21+Projects!$D$21),Projects!$B$21*INDEX(Curves!$B$4:$AR$4,1,30-Projects!$C$21+1),0)+IF(AND(Projects!$G$22="Yes",30&gt;=Projects!$C$22,30&lt;Projects!$C$22+Projects!$D$22),Projects!$B$22*INDEX(Curves!$B$4:$AR$4,1,30-Projects!$C$22+1),0)+IF(AND(Projects!$G$23="Yes",30&gt;=Projects!$C$23,30&lt;Projects!$C$23+Projects!$D$23),Projects!$B$23*INDEX(Curves!$B$4:$AR$4,1,30-Projects!$C$23+1),0)+IF(AND(Projects!$G$24="Yes",30&gt;=Projects!$C$24,30&lt;Projects!$C$24+Projects!$D$24),Projects!$B$24*INDEX(Curves!$B$4:$AR$4,1,30-Projects!$C$24+1),0)+IF(AND(Projects!$G$25="Yes",30&gt;=Projects!$C$25,30&lt;Projects!$C$25+Projects!$D$25),Projects!$B$25*INDEX(Curves!$B$4:$AR$4,1,30-Projects!$C$25+1),0)+IF(AND(Projects!$G$26="Yes",30&gt;=Projects!$C$26,30&lt;Projects!$C$26+Projects!$D$26),Projects!$B$26*INDEX(Curves!$B$4:$AR$4,1,30-Projects!$C$26+1),0)+IF(AND(Projects!$G$27="Yes",30&gt;=Projects!$C$27,30&lt;Projects!$C$27+Projects!$D$27),Projects!$B$27*INDEX(Curves!$B$4:$AR$4,1,30-Projects!$C$27+1),0)+IF(AND(Projects!$G$28="Yes",30&gt;=Projects!$C$28,30&lt;Projects!$C$28+Projects!$D$28),Projects!$B$28*INDEX(Curves!$B$4:$AR$4,1,30-Projects!$C$28+1),0)+IF(AND(Projects!$G$29="Yes",30&gt;=Projects!$C$29,30&lt;Projects!$C$29+Projects!$D$29),Projects!$B$29*INDEX(Curves!$B$4:$AR$4,1,30-Projects!$C$29+1),0)+IF(AND(Projects!$G$30="Yes",30&gt;=Projects!$C$30,30&lt;Projects!$C$30+Projects!$D$30),Projects!$B$30*INDEX(Curves!$B$4:$AR$4,1,30-Projects!$C$30+1),0)+IF(AND(Projects!$G$31="Yes",30&gt;=Projects!$C$31,30&lt;Projects!$C$31+Projects!$D$31),Projects!$B$31*INDEX(Curves!$B$4:$AR$4,1,30-Projects!$C$31+1),0)+IF(AND(Projects!$G$32="Yes",30&gt;=Projects!$C$32,30&lt;Projects!$C$32+Projects!$D$32),Projects!$B$32*INDEX(Curves!$B$4:$AR$4,1,30-Projects!$C$32+1),0)+IF(AND(Projects!$G$33="Yes",30&gt;=Projects!$C$33,30&lt;Projects!$C$33+Projects!$D$33),Projects!$B$33*INDEX(Curves!$B$4:$AR$4,1,30-Projects!$C$33+1),0)+IF(AND(Projects!$G$34="Yes",30&gt;=Projects!$C$34,30&lt;Projects!$C$34+Projects!$D$34),Projects!$B$34*INDEX(Curves!$B$4:$AR$4,1,30-Projects!$C$34+1),0)+IF(AND(Projects!$G$35="Yes",30&gt;=Projects!$C$35,30&lt;Projects!$C$35+Projects!$D$35),Projects!$B$35*INDEX(Curves!$B$4:$AR$4,1,30-Projects!$C$35+1),0)+IF(AND(Projects!$G$36="Yes",30&gt;=Projects!$C$36,30&lt;Projects!$C$36+Projects!$D$36),Projects!$B$36*INDEX(Curves!$B$4:$AR$4,1,30-Projects!$C$36+1),0)+IF(AND(Projects!$G$37="Yes",30&gt;=Projects!$C$37,30&lt;Projects!$C$37+Projects!$D$37),Projects!$B$37*INDEX(Curves!$B$4:$AR$4,1,30-Projects!$C$37+1),0)+IF(AND(Projects!$G$38="Yes",30&gt;=Projects!$C$38,30&lt;Projects!$C$38+Projects!$D$38),Projects!$B$38*INDEX(Curves!$B$4:$AR$4,1,30-Projects!$C$38+1),0)+IF(AND(Projects!$G$39="Yes",30&gt;=Projects!$C$39,30&lt;Projects!$C$39+Projects!$D$39),Projects!$B$39*INDEX(Curves!$B$4:$AR$4,1,30-Projects!$C$39+1),0)+IF(AND(Projects!$G$40="Yes",30&gt;=Projects!$C$40,30&lt;Projects!$C$40+Projects!$D$40),Projects!$B$40*INDEX(Curves!$B$4:$AR$4,1,30-Projects!$C$40+1),0)+IF(AND(Projects!$G$41="Yes",30&gt;=Projects!$C$41,30&lt;Projects!$C$41+Projects!$D$41),Projects!$B$41*INDEX(Curves!$B$4:$AR$4,1,30-Projects!$C$41+1),0)+IF(AND(Projects!$G$42="Yes",30&gt;=Projects!$C$42,30&lt;Projects!$C$42+Projects!$D$42),Projects!$B$42*INDEX(Curves!$B$4:$AR$4,1,30-Projects!$C$42+1),0)+IF(AND(Projects!$G$43="Yes",30&gt;=Projects!$C$43,30&lt;Projects!$C$43+Projects!$D$43),Projects!$B$43*INDEX(Curves!$B$4:$AR$4,1,30-Projects!$C$43+1),0)+IF(AND(Projects!$G$44="Yes",30&gt;=Projects!$C$44,30&lt;Projects!$C$44+Projects!$D$44),Projects!$B$44*INDEX(Curves!$B$4:$AR$4,1,30-Projects!$C$44+1),0)+IF(AND(Projects!$G$45="Yes",30&gt;=Projects!$C$45,30&lt;Projects!$C$45+Projects!$D$45),Projects!$B$45*INDEX(Curves!$B$4:$AR$4,1,30-Projects!$C$45+1),0)+IF(AND(Projects!$G$46="Yes",30&gt;=Projects!$C$46,30&lt;Projects!$C$46+Projects!$D$46),Projects!$B$46*INDEX(Curves!$B$4:$AR$4,1,30-Projects!$C$46+1),0)</f>
        <v>0</v>
      </c>
      <c r="AJ96" s="83" t="n">
        <f aca="false">IF(AND(Projects!$G$17="Yes",31&gt;=Projects!$C$17,31&lt;Projects!$C$17+Projects!$D$17),Projects!$B$17*INDEX(Curves!$B$4:$AR$4,1,31-Projects!$C$17+1),0)+IF(AND(Projects!$G$18="Yes",31&gt;=Projects!$C$18,31&lt;Projects!$C$18+Projects!$D$18),Projects!$B$18*INDEX(Curves!$B$4:$AR$4,1,31-Projects!$C$18+1),0)+IF(AND(Projects!$G$19="Yes",31&gt;=Projects!$C$19,31&lt;Projects!$C$19+Projects!$D$19),Projects!$B$19*INDEX(Curves!$B$4:$AR$4,1,31-Projects!$C$19+1),0)+IF(AND(Projects!$G$20="Yes",31&gt;=Projects!$C$20,31&lt;Projects!$C$20+Projects!$D$20),Projects!$B$20*INDEX(Curves!$B$4:$AR$4,1,31-Projects!$C$20+1),0)+IF(AND(Projects!$G$21="Yes",31&gt;=Projects!$C$21,31&lt;Projects!$C$21+Projects!$D$21),Projects!$B$21*INDEX(Curves!$B$4:$AR$4,1,31-Projects!$C$21+1),0)+IF(AND(Projects!$G$22="Yes",31&gt;=Projects!$C$22,31&lt;Projects!$C$22+Projects!$D$22),Projects!$B$22*INDEX(Curves!$B$4:$AR$4,1,31-Projects!$C$22+1),0)+IF(AND(Projects!$G$23="Yes",31&gt;=Projects!$C$23,31&lt;Projects!$C$23+Projects!$D$23),Projects!$B$23*INDEX(Curves!$B$4:$AR$4,1,31-Projects!$C$23+1),0)+IF(AND(Projects!$G$24="Yes",31&gt;=Projects!$C$24,31&lt;Projects!$C$24+Projects!$D$24),Projects!$B$24*INDEX(Curves!$B$4:$AR$4,1,31-Projects!$C$24+1),0)+IF(AND(Projects!$G$25="Yes",31&gt;=Projects!$C$25,31&lt;Projects!$C$25+Projects!$D$25),Projects!$B$25*INDEX(Curves!$B$4:$AR$4,1,31-Projects!$C$25+1),0)+IF(AND(Projects!$G$26="Yes",31&gt;=Projects!$C$26,31&lt;Projects!$C$26+Projects!$D$26),Projects!$B$26*INDEX(Curves!$B$4:$AR$4,1,31-Projects!$C$26+1),0)+IF(AND(Projects!$G$27="Yes",31&gt;=Projects!$C$27,31&lt;Projects!$C$27+Projects!$D$27),Projects!$B$27*INDEX(Curves!$B$4:$AR$4,1,31-Projects!$C$27+1),0)+IF(AND(Projects!$G$28="Yes",31&gt;=Projects!$C$28,31&lt;Projects!$C$28+Projects!$D$28),Projects!$B$28*INDEX(Curves!$B$4:$AR$4,1,31-Projects!$C$28+1),0)+IF(AND(Projects!$G$29="Yes",31&gt;=Projects!$C$29,31&lt;Projects!$C$29+Projects!$D$29),Projects!$B$29*INDEX(Curves!$B$4:$AR$4,1,31-Projects!$C$29+1),0)+IF(AND(Projects!$G$30="Yes",31&gt;=Projects!$C$30,31&lt;Projects!$C$30+Projects!$D$30),Projects!$B$30*INDEX(Curves!$B$4:$AR$4,1,31-Projects!$C$30+1),0)+IF(AND(Projects!$G$31="Yes",31&gt;=Projects!$C$31,31&lt;Projects!$C$31+Projects!$D$31),Projects!$B$31*INDEX(Curves!$B$4:$AR$4,1,31-Projects!$C$31+1),0)+IF(AND(Projects!$G$32="Yes",31&gt;=Projects!$C$32,31&lt;Projects!$C$32+Projects!$D$32),Projects!$B$32*INDEX(Curves!$B$4:$AR$4,1,31-Projects!$C$32+1),0)+IF(AND(Projects!$G$33="Yes",31&gt;=Projects!$C$33,31&lt;Projects!$C$33+Projects!$D$33),Projects!$B$33*INDEX(Curves!$B$4:$AR$4,1,31-Projects!$C$33+1),0)+IF(AND(Projects!$G$34="Yes",31&gt;=Projects!$C$34,31&lt;Projects!$C$34+Projects!$D$34),Projects!$B$34*INDEX(Curves!$B$4:$AR$4,1,31-Projects!$C$34+1),0)+IF(AND(Projects!$G$35="Yes",31&gt;=Projects!$C$35,31&lt;Projects!$C$35+Projects!$D$35),Projects!$B$35*INDEX(Curves!$B$4:$AR$4,1,31-Projects!$C$35+1),0)+IF(AND(Projects!$G$36="Yes",31&gt;=Projects!$C$36,31&lt;Projects!$C$36+Projects!$D$36),Projects!$B$36*INDEX(Curves!$B$4:$AR$4,1,31-Projects!$C$36+1),0)+IF(AND(Projects!$G$37="Yes",31&gt;=Projects!$C$37,31&lt;Projects!$C$37+Projects!$D$37),Projects!$B$37*INDEX(Curves!$B$4:$AR$4,1,31-Projects!$C$37+1),0)+IF(AND(Projects!$G$38="Yes",31&gt;=Projects!$C$38,31&lt;Projects!$C$38+Projects!$D$38),Projects!$B$38*INDEX(Curves!$B$4:$AR$4,1,31-Projects!$C$38+1),0)+IF(AND(Projects!$G$39="Yes",31&gt;=Projects!$C$39,31&lt;Projects!$C$39+Projects!$D$39),Projects!$B$39*INDEX(Curves!$B$4:$AR$4,1,31-Projects!$C$39+1),0)+IF(AND(Projects!$G$40="Yes",31&gt;=Projects!$C$40,31&lt;Projects!$C$40+Projects!$D$40),Projects!$B$40*INDEX(Curves!$B$4:$AR$4,1,31-Projects!$C$40+1),0)+IF(AND(Projects!$G$41="Yes",31&gt;=Projects!$C$41,31&lt;Projects!$C$41+Projects!$D$41),Projects!$B$41*INDEX(Curves!$B$4:$AR$4,1,31-Projects!$C$41+1),0)+IF(AND(Projects!$G$42="Yes",31&gt;=Projects!$C$42,31&lt;Projects!$C$42+Projects!$D$42),Projects!$B$42*INDEX(Curves!$B$4:$AR$4,1,31-Projects!$C$42+1),0)+IF(AND(Projects!$G$43="Yes",31&gt;=Projects!$C$43,31&lt;Projects!$C$43+Projects!$D$43),Projects!$B$43*INDEX(Curves!$B$4:$AR$4,1,31-Projects!$C$43+1),0)+IF(AND(Projects!$G$44="Yes",31&gt;=Projects!$C$44,31&lt;Projects!$C$44+Projects!$D$44),Projects!$B$44*INDEX(Curves!$B$4:$AR$4,1,31-Projects!$C$44+1),0)+IF(AND(Projects!$G$45="Yes",31&gt;=Projects!$C$45,31&lt;Projects!$C$45+Projects!$D$45),Projects!$B$45*INDEX(Curves!$B$4:$AR$4,1,31-Projects!$C$45+1),0)+IF(AND(Projects!$G$46="Yes",31&gt;=Projects!$C$46,31&lt;Projects!$C$46+Projects!$D$46),Projects!$B$46*INDEX(Curves!$B$4:$AR$4,1,31-Projects!$C$46+1),0)</f>
        <v>0</v>
      </c>
      <c r="AK96" s="83" t="n">
        <f aca="false">IF(AND(Projects!$G$17="Yes",32&gt;=Projects!$C$17,32&lt;Projects!$C$17+Projects!$D$17),Projects!$B$17*INDEX(Curves!$B$4:$AR$4,1,32-Projects!$C$17+1),0)+IF(AND(Projects!$G$18="Yes",32&gt;=Projects!$C$18,32&lt;Projects!$C$18+Projects!$D$18),Projects!$B$18*INDEX(Curves!$B$4:$AR$4,1,32-Projects!$C$18+1),0)+IF(AND(Projects!$G$19="Yes",32&gt;=Projects!$C$19,32&lt;Projects!$C$19+Projects!$D$19),Projects!$B$19*INDEX(Curves!$B$4:$AR$4,1,32-Projects!$C$19+1),0)+IF(AND(Projects!$G$20="Yes",32&gt;=Projects!$C$20,32&lt;Projects!$C$20+Projects!$D$20),Projects!$B$20*INDEX(Curves!$B$4:$AR$4,1,32-Projects!$C$20+1),0)+IF(AND(Projects!$G$21="Yes",32&gt;=Projects!$C$21,32&lt;Projects!$C$21+Projects!$D$21),Projects!$B$21*INDEX(Curves!$B$4:$AR$4,1,32-Projects!$C$21+1),0)+IF(AND(Projects!$G$22="Yes",32&gt;=Projects!$C$22,32&lt;Projects!$C$22+Projects!$D$22),Projects!$B$22*INDEX(Curves!$B$4:$AR$4,1,32-Projects!$C$22+1),0)+IF(AND(Projects!$G$23="Yes",32&gt;=Projects!$C$23,32&lt;Projects!$C$23+Projects!$D$23),Projects!$B$23*INDEX(Curves!$B$4:$AR$4,1,32-Projects!$C$23+1),0)+IF(AND(Projects!$G$24="Yes",32&gt;=Projects!$C$24,32&lt;Projects!$C$24+Projects!$D$24),Projects!$B$24*INDEX(Curves!$B$4:$AR$4,1,32-Projects!$C$24+1),0)+IF(AND(Projects!$G$25="Yes",32&gt;=Projects!$C$25,32&lt;Projects!$C$25+Projects!$D$25),Projects!$B$25*INDEX(Curves!$B$4:$AR$4,1,32-Projects!$C$25+1),0)+IF(AND(Projects!$G$26="Yes",32&gt;=Projects!$C$26,32&lt;Projects!$C$26+Projects!$D$26),Projects!$B$26*INDEX(Curves!$B$4:$AR$4,1,32-Projects!$C$26+1),0)+IF(AND(Projects!$G$27="Yes",32&gt;=Projects!$C$27,32&lt;Projects!$C$27+Projects!$D$27),Projects!$B$27*INDEX(Curves!$B$4:$AR$4,1,32-Projects!$C$27+1),0)+IF(AND(Projects!$G$28="Yes",32&gt;=Projects!$C$28,32&lt;Projects!$C$28+Projects!$D$28),Projects!$B$28*INDEX(Curves!$B$4:$AR$4,1,32-Projects!$C$28+1),0)+IF(AND(Projects!$G$29="Yes",32&gt;=Projects!$C$29,32&lt;Projects!$C$29+Projects!$D$29),Projects!$B$29*INDEX(Curves!$B$4:$AR$4,1,32-Projects!$C$29+1),0)+IF(AND(Projects!$G$30="Yes",32&gt;=Projects!$C$30,32&lt;Projects!$C$30+Projects!$D$30),Projects!$B$30*INDEX(Curves!$B$4:$AR$4,1,32-Projects!$C$30+1),0)+IF(AND(Projects!$G$31="Yes",32&gt;=Projects!$C$31,32&lt;Projects!$C$31+Projects!$D$31),Projects!$B$31*INDEX(Curves!$B$4:$AR$4,1,32-Projects!$C$31+1),0)+IF(AND(Projects!$G$32="Yes",32&gt;=Projects!$C$32,32&lt;Projects!$C$32+Projects!$D$32),Projects!$B$32*INDEX(Curves!$B$4:$AR$4,1,32-Projects!$C$32+1),0)+IF(AND(Projects!$G$33="Yes",32&gt;=Projects!$C$33,32&lt;Projects!$C$33+Projects!$D$33),Projects!$B$33*INDEX(Curves!$B$4:$AR$4,1,32-Projects!$C$33+1),0)+IF(AND(Projects!$G$34="Yes",32&gt;=Projects!$C$34,32&lt;Projects!$C$34+Projects!$D$34),Projects!$B$34*INDEX(Curves!$B$4:$AR$4,1,32-Projects!$C$34+1),0)+IF(AND(Projects!$G$35="Yes",32&gt;=Projects!$C$35,32&lt;Projects!$C$35+Projects!$D$35),Projects!$B$35*INDEX(Curves!$B$4:$AR$4,1,32-Projects!$C$35+1),0)+IF(AND(Projects!$G$36="Yes",32&gt;=Projects!$C$36,32&lt;Projects!$C$36+Projects!$D$36),Projects!$B$36*INDEX(Curves!$B$4:$AR$4,1,32-Projects!$C$36+1),0)+IF(AND(Projects!$G$37="Yes",32&gt;=Projects!$C$37,32&lt;Projects!$C$37+Projects!$D$37),Projects!$B$37*INDEX(Curves!$B$4:$AR$4,1,32-Projects!$C$37+1),0)+IF(AND(Projects!$G$38="Yes",32&gt;=Projects!$C$38,32&lt;Projects!$C$38+Projects!$D$38),Projects!$B$38*INDEX(Curves!$B$4:$AR$4,1,32-Projects!$C$38+1),0)+IF(AND(Projects!$G$39="Yes",32&gt;=Projects!$C$39,32&lt;Projects!$C$39+Projects!$D$39),Projects!$B$39*INDEX(Curves!$B$4:$AR$4,1,32-Projects!$C$39+1),0)+IF(AND(Projects!$G$40="Yes",32&gt;=Projects!$C$40,32&lt;Projects!$C$40+Projects!$D$40),Projects!$B$40*INDEX(Curves!$B$4:$AR$4,1,32-Projects!$C$40+1),0)+IF(AND(Projects!$G$41="Yes",32&gt;=Projects!$C$41,32&lt;Projects!$C$41+Projects!$D$41),Projects!$B$41*INDEX(Curves!$B$4:$AR$4,1,32-Projects!$C$41+1),0)+IF(AND(Projects!$G$42="Yes",32&gt;=Projects!$C$42,32&lt;Projects!$C$42+Projects!$D$42),Projects!$B$42*INDEX(Curves!$B$4:$AR$4,1,32-Projects!$C$42+1),0)+IF(AND(Projects!$G$43="Yes",32&gt;=Projects!$C$43,32&lt;Projects!$C$43+Projects!$D$43),Projects!$B$43*INDEX(Curves!$B$4:$AR$4,1,32-Projects!$C$43+1),0)+IF(AND(Projects!$G$44="Yes",32&gt;=Projects!$C$44,32&lt;Projects!$C$44+Projects!$D$44),Projects!$B$44*INDEX(Curves!$B$4:$AR$4,1,32-Projects!$C$44+1),0)+IF(AND(Projects!$G$45="Yes",32&gt;=Projects!$C$45,32&lt;Projects!$C$45+Projects!$D$45),Projects!$B$45*INDEX(Curves!$B$4:$AR$4,1,32-Projects!$C$45+1),0)+IF(AND(Projects!$G$46="Yes",32&gt;=Projects!$C$46,32&lt;Projects!$C$46+Projects!$D$46),Projects!$B$46*INDEX(Curves!$B$4:$AR$4,1,32-Projects!$C$46+1),0)</f>
        <v>0</v>
      </c>
      <c r="AL96" s="83" t="n">
        <f aca="false">IF(AND(Projects!$G$17="Yes",33&gt;=Projects!$C$17,33&lt;Projects!$C$17+Projects!$D$17),Projects!$B$17*INDEX(Curves!$B$4:$AR$4,1,33-Projects!$C$17+1),0)+IF(AND(Projects!$G$18="Yes",33&gt;=Projects!$C$18,33&lt;Projects!$C$18+Projects!$D$18),Projects!$B$18*INDEX(Curves!$B$4:$AR$4,1,33-Projects!$C$18+1),0)+IF(AND(Projects!$G$19="Yes",33&gt;=Projects!$C$19,33&lt;Projects!$C$19+Projects!$D$19),Projects!$B$19*INDEX(Curves!$B$4:$AR$4,1,33-Projects!$C$19+1),0)+IF(AND(Projects!$G$20="Yes",33&gt;=Projects!$C$20,33&lt;Projects!$C$20+Projects!$D$20),Projects!$B$20*INDEX(Curves!$B$4:$AR$4,1,33-Projects!$C$20+1),0)+IF(AND(Projects!$G$21="Yes",33&gt;=Projects!$C$21,33&lt;Projects!$C$21+Projects!$D$21),Projects!$B$21*INDEX(Curves!$B$4:$AR$4,1,33-Projects!$C$21+1),0)+IF(AND(Projects!$G$22="Yes",33&gt;=Projects!$C$22,33&lt;Projects!$C$22+Projects!$D$22),Projects!$B$22*INDEX(Curves!$B$4:$AR$4,1,33-Projects!$C$22+1),0)+IF(AND(Projects!$G$23="Yes",33&gt;=Projects!$C$23,33&lt;Projects!$C$23+Projects!$D$23),Projects!$B$23*INDEX(Curves!$B$4:$AR$4,1,33-Projects!$C$23+1),0)+IF(AND(Projects!$G$24="Yes",33&gt;=Projects!$C$24,33&lt;Projects!$C$24+Projects!$D$24),Projects!$B$24*INDEX(Curves!$B$4:$AR$4,1,33-Projects!$C$24+1),0)+IF(AND(Projects!$G$25="Yes",33&gt;=Projects!$C$25,33&lt;Projects!$C$25+Projects!$D$25),Projects!$B$25*INDEX(Curves!$B$4:$AR$4,1,33-Projects!$C$25+1),0)+IF(AND(Projects!$G$26="Yes",33&gt;=Projects!$C$26,33&lt;Projects!$C$26+Projects!$D$26),Projects!$B$26*INDEX(Curves!$B$4:$AR$4,1,33-Projects!$C$26+1),0)+IF(AND(Projects!$G$27="Yes",33&gt;=Projects!$C$27,33&lt;Projects!$C$27+Projects!$D$27),Projects!$B$27*INDEX(Curves!$B$4:$AR$4,1,33-Projects!$C$27+1),0)+IF(AND(Projects!$G$28="Yes",33&gt;=Projects!$C$28,33&lt;Projects!$C$28+Projects!$D$28),Projects!$B$28*INDEX(Curves!$B$4:$AR$4,1,33-Projects!$C$28+1),0)+IF(AND(Projects!$G$29="Yes",33&gt;=Projects!$C$29,33&lt;Projects!$C$29+Projects!$D$29),Projects!$B$29*INDEX(Curves!$B$4:$AR$4,1,33-Projects!$C$29+1),0)+IF(AND(Projects!$G$30="Yes",33&gt;=Projects!$C$30,33&lt;Projects!$C$30+Projects!$D$30),Projects!$B$30*INDEX(Curves!$B$4:$AR$4,1,33-Projects!$C$30+1),0)+IF(AND(Projects!$G$31="Yes",33&gt;=Projects!$C$31,33&lt;Projects!$C$31+Projects!$D$31),Projects!$B$31*INDEX(Curves!$B$4:$AR$4,1,33-Projects!$C$31+1),0)+IF(AND(Projects!$G$32="Yes",33&gt;=Projects!$C$32,33&lt;Projects!$C$32+Projects!$D$32),Projects!$B$32*INDEX(Curves!$B$4:$AR$4,1,33-Projects!$C$32+1),0)+IF(AND(Projects!$G$33="Yes",33&gt;=Projects!$C$33,33&lt;Projects!$C$33+Projects!$D$33),Projects!$B$33*INDEX(Curves!$B$4:$AR$4,1,33-Projects!$C$33+1),0)+IF(AND(Projects!$G$34="Yes",33&gt;=Projects!$C$34,33&lt;Projects!$C$34+Projects!$D$34),Projects!$B$34*INDEX(Curves!$B$4:$AR$4,1,33-Projects!$C$34+1),0)+IF(AND(Projects!$G$35="Yes",33&gt;=Projects!$C$35,33&lt;Projects!$C$35+Projects!$D$35),Projects!$B$35*INDEX(Curves!$B$4:$AR$4,1,33-Projects!$C$35+1),0)+IF(AND(Projects!$G$36="Yes",33&gt;=Projects!$C$36,33&lt;Projects!$C$36+Projects!$D$36),Projects!$B$36*INDEX(Curves!$B$4:$AR$4,1,33-Projects!$C$36+1),0)+IF(AND(Projects!$G$37="Yes",33&gt;=Projects!$C$37,33&lt;Projects!$C$37+Projects!$D$37),Projects!$B$37*INDEX(Curves!$B$4:$AR$4,1,33-Projects!$C$37+1),0)+IF(AND(Projects!$G$38="Yes",33&gt;=Projects!$C$38,33&lt;Projects!$C$38+Projects!$D$38),Projects!$B$38*INDEX(Curves!$B$4:$AR$4,1,33-Projects!$C$38+1),0)+IF(AND(Projects!$G$39="Yes",33&gt;=Projects!$C$39,33&lt;Projects!$C$39+Projects!$D$39),Projects!$B$39*INDEX(Curves!$B$4:$AR$4,1,33-Projects!$C$39+1),0)+IF(AND(Projects!$G$40="Yes",33&gt;=Projects!$C$40,33&lt;Projects!$C$40+Projects!$D$40),Projects!$B$40*INDEX(Curves!$B$4:$AR$4,1,33-Projects!$C$40+1),0)+IF(AND(Projects!$G$41="Yes",33&gt;=Projects!$C$41,33&lt;Projects!$C$41+Projects!$D$41),Projects!$B$41*INDEX(Curves!$B$4:$AR$4,1,33-Projects!$C$41+1),0)+IF(AND(Projects!$G$42="Yes",33&gt;=Projects!$C$42,33&lt;Projects!$C$42+Projects!$D$42),Projects!$B$42*INDEX(Curves!$B$4:$AR$4,1,33-Projects!$C$42+1),0)+IF(AND(Projects!$G$43="Yes",33&gt;=Projects!$C$43,33&lt;Projects!$C$43+Projects!$D$43),Projects!$B$43*INDEX(Curves!$B$4:$AR$4,1,33-Projects!$C$43+1),0)+IF(AND(Projects!$G$44="Yes",33&gt;=Projects!$C$44,33&lt;Projects!$C$44+Projects!$D$44),Projects!$B$44*INDEX(Curves!$B$4:$AR$4,1,33-Projects!$C$44+1),0)+IF(AND(Projects!$G$45="Yes",33&gt;=Projects!$C$45,33&lt;Projects!$C$45+Projects!$D$45),Projects!$B$45*INDEX(Curves!$B$4:$AR$4,1,33-Projects!$C$45+1),0)+IF(AND(Projects!$G$46="Yes",33&gt;=Projects!$C$46,33&lt;Projects!$C$46+Projects!$D$46),Projects!$B$46*INDEX(Curves!$B$4:$AR$4,1,33-Projects!$C$46+1),0)</f>
        <v>0</v>
      </c>
      <c r="AM96" s="83" t="n">
        <f aca="false">IF(AND(Projects!$G$17="Yes",34&gt;=Projects!$C$17,34&lt;Projects!$C$17+Projects!$D$17),Projects!$B$17*INDEX(Curves!$B$4:$AR$4,1,34-Projects!$C$17+1),0)+IF(AND(Projects!$G$18="Yes",34&gt;=Projects!$C$18,34&lt;Projects!$C$18+Projects!$D$18),Projects!$B$18*INDEX(Curves!$B$4:$AR$4,1,34-Projects!$C$18+1),0)+IF(AND(Projects!$G$19="Yes",34&gt;=Projects!$C$19,34&lt;Projects!$C$19+Projects!$D$19),Projects!$B$19*INDEX(Curves!$B$4:$AR$4,1,34-Projects!$C$19+1),0)+IF(AND(Projects!$G$20="Yes",34&gt;=Projects!$C$20,34&lt;Projects!$C$20+Projects!$D$20),Projects!$B$20*INDEX(Curves!$B$4:$AR$4,1,34-Projects!$C$20+1),0)+IF(AND(Projects!$G$21="Yes",34&gt;=Projects!$C$21,34&lt;Projects!$C$21+Projects!$D$21),Projects!$B$21*INDEX(Curves!$B$4:$AR$4,1,34-Projects!$C$21+1),0)+IF(AND(Projects!$G$22="Yes",34&gt;=Projects!$C$22,34&lt;Projects!$C$22+Projects!$D$22),Projects!$B$22*INDEX(Curves!$B$4:$AR$4,1,34-Projects!$C$22+1),0)+IF(AND(Projects!$G$23="Yes",34&gt;=Projects!$C$23,34&lt;Projects!$C$23+Projects!$D$23),Projects!$B$23*INDEX(Curves!$B$4:$AR$4,1,34-Projects!$C$23+1),0)+IF(AND(Projects!$G$24="Yes",34&gt;=Projects!$C$24,34&lt;Projects!$C$24+Projects!$D$24),Projects!$B$24*INDEX(Curves!$B$4:$AR$4,1,34-Projects!$C$24+1),0)+IF(AND(Projects!$G$25="Yes",34&gt;=Projects!$C$25,34&lt;Projects!$C$25+Projects!$D$25),Projects!$B$25*INDEX(Curves!$B$4:$AR$4,1,34-Projects!$C$25+1),0)+IF(AND(Projects!$G$26="Yes",34&gt;=Projects!$C$26,34&lt;Projects!$C$26+Projects!$D$26),Projects!$B$26*INDEX(Curves!$B$4:$AR$4,1,34-Projects!$C$26+1),0)+IF(AND(Projects!$G$27="Yes",34&gt;=Projects!$C$27,34&lt;Projects!$C$27+Projects!$D$27),Projects!$B$27*INDEX(Curves!$B$4:$AR$4,1,34-Projects!$C$27+1),0)+IF(AND(Projects!$G$28="Yes",34&gt;=Projects!$C$28,34&lt;Projects!$C$28+Projects!$D$28),Projects!$B$28*INDEX(Curves!$B$4:$AR$4,1,34-Projects!$C$28+1),0)+IF(AND(Projects!$G$29="Yes",34&gt;=Projects!$C$29,34&lt;Projects!$C$29+Projects!$D$29),Projects!$B$29*INDEX(Curves!$B$4:$AR$4,1,34-Projects!$C$29+1),0)+IF(AND(Projects!$G$30="Yes",34&gt;=Projects!$C$30,34&lt;Projects!$C$30+Projects!$D$30),Projects!$B$30*INDEX(Curves!$B$4:$AR$4,1,34-Projects!$C$30+1),0)+IF(AND(Projects!$G$31="Yes",34&gt;=Projects!$C$31,34&lt;Projects!$C$31+Projects!$D$31),Projects!$B$31*INDEX(Curves!$B$4:$AR$4,1,34-Projects!$C$31+1),0)+IF(AND(Projects!$G$32="Yes",34&gt;=Projects!$C$32,34&lt;Projects!$C$32+Projects!$D$32),Projects!$B$32*INDEX(Curves!$B$4:$AR$4,1,34-Projects!$C$32+1),0)+IF(AND(Projects!$G$33="Yes",34&gt;=Projects!$C$33,34&lt;Projects!$C$33+Projects!$D$33),Projects!$B$33*INDEX(Curves!$B$4:$AR$4,1,34-Projects!$C$33+1),0)+IF(AND(Projects!$G$34="Yes",34&gt;=Projects!$C$34,34&lt;Projects!$C$34+Projects!$D$34),Projects!$B$34*INDEX(Curves!$B$4:$AR$4,1,34-Projects!$C$34+1),0)+IF(AND(Projects!$G$35="Yes",34&gt;=Projects!$C$35,34&lt;Projects!$C$35+Projects!$D$35),Projects!$B$35*INDEX(Curves!$B$4:$AR$4,1,34-Projects!$C$35+1),0)+IF(AND(Projects!$G$36="Yes",34&gt;=Projects!$C$36,34&lt;Projects!$C$36+Projects!$D$36),Projects!$B$36*INDEX(Curves!$B$4:$AR$4,1,34-Projects!$C$36+1),0)+IF(AND(Projects!$G$37="Yes",34&gt;=Projects!$C$37,34&lt;Projects!$C$37+Projects!$D$37),Projects!$B$37*INDEX(Curves!$B$4:$AR$4,1,34-Projects!$C$37+1),0)+IF(AND(Projects!$G$38="Yes",34&gt;=Projects!$C$38,34&lt;Projects!$C$38+Projects!$D$38),Projects!$B$38*INDEX(Curves!$B$4:$AR$4,1,34-Projects!$C$38+1),0)+IF(AND(Projects!$G$39="Yes",34&gt;=Projects!$C$39,34&lt;Projects!$C$39+Projects!$D$39),Projects!$B$39*INDEX(Curves!$B$4:$AR$4,1,34-Projects!$C$39+1),0)+IF(AND(Projects!$G$40="Yes",34&gt;=Projects!$C$40,34&lt;Projects!$C$40+Projects!$D$40),Projects!$B$40*INDEX(Curves!$B$4:$AR$4,1,34-Projects!$C$40+1),0)+IF(AND(Projects!$G$41="Yes",34&gt;=Projects!$C$41,34&lt;Projects!$C$41+Projects!$D$41),Projects!$B$41*INDEX(Curves!$B$4:$AR$4,1,34-Projects!$C$41+1),0)+IF(AND(Projects!$G$42="Yes",34&gt;=Projects!$C$42,34&lt;Projects!$C$42+Projects!$D$42),Projects!$B$42*INDEX(Curves!$B$4:$AR$4,1,34-Projects!$C$42+1),0)+IF(AND(Projects!$G$43="Yes",34&gt;=Projects!$C$43,34&lt;Projects!$C$43+Projects!$D$43),Projects!$B$43*INDEX(Curves!$B$4:$AR$4,1,34-Projects!$C$43+1),0)+IF(AND(Projects!$G$44="Yes",34&gt;=Projects!$C$44,34&lt;Projects!$C$44+Projects!$D$44),Projects!$B$44*INDEX(Curves!$B$4:$AR$4,1,34-Projects!$C$44+1),0)+IF(AND(Projects!$G$45="Yes",34&gt;=Projects!$C$45,34&lt;Projects!$C$45+Projects!$D$45),Projects!$B$45*INDEX(Curves!$B$4:$AR$4,1,34-Projects!$C$45+1),0)+IF(AND(Projects!$G$46="Yes",34&gt;=Projects!$C$46,34&lt;Projects!$C$46+Projects!$D$46),Projects!$B$46*INDEX(Curves!$B$4:$AR$4,1,34-Projects!$C$46+1),0)</f>
        <v>0</v>
      </c>
      <c r="AN96" s="83" t="n">
        <f aca="false">IF(AND(Projects!$G$17="Yes",35&gt;=Projects!$C$17,35&lt;Projects!$C$17+Projects!$D$17),Projects!$B$17*INDEX(Curves!$B$4:$AR$4,1,35-Projects!$C$17+1),0)+IF(AND(Projects!$G$18="Yes",35&gt;=Projects!$C$18,35&lt;Projects!$C$18+Projects!$D$18),Projects!$B$18*INDEX(Curves!$B$4:$AR$4,1,35-Projects!$C$18+1),0)+IF(AND(Projects!$G$19="Yes",35&gt;=Projects!$C$19,35&lt;Projects!$C$19+Projects!$D$19),Projects!$B$19*INDEX(Curves!$B$4:$AR$4,1,35-Projects!$C$19+1),0)+IF(AND(Projects!$G$20="Yes",35&gt;=Projects!$C$20,35&lt;Projects!$C$20+Projects!$D$20),Projects!$B$20*INDEX(Curves!$B$4:$AR$4,1,35-Projects!$C$20+1),0)+IF(AND(Projects!$G$21="Yes",35&gt;=Projects!$C$21,35&lt;Projects!$C$21+Projects!$D$21),Projects!$B$21*INDEX(Curves!$B$4:$AR$4,1,35-Projects!$C$21+1),0)+IF(AND(Projects!$G$22="Yes",35&gt;=Projects!$C$22,35&lt;Projects!$C$22+Projects!$D$22),Projects!$B$22*INDEX(Curves!$B$4:$AR$4,1,35-Projects!$C$22+1),0)+IF(AND(Projects!$G$23="Yes",35&gt;=Projects!$C$23,35&lt;Projects!$C$23+Projects!$D$23),Projects!$B$23*INDEX(Curves!$B$4:$AR$4,1,35-Projects!$C$23+1),0)+IF(AND(Projects!$G$24="Yes",35&gt;=Projects!$C$24,35&lt;Projects!$C$24+Projects!$D$24),Projects!$B$24*INDEX(Curves!$B$4:$AR$4,1,35-Projects!$C$24+1),0)+IF(AND(Projects!$G$25="Yes",35&gt;=Projects!$C$25,35&lt;Projects!$C$25+Projects!$D$25),Projects!$B$25*INDEX(Curves!$B$4:$AR$4,1,35-Projects!$C$25+1),0)+IF(AND(Projects!$G$26="Yes",35&gt;=Projects!$C$26,35&lt;Projects!$C$26+Projects!$D$26),Projects!$B$26*INDEX(Curves!$B$4:$AR$4,1,35-Projects!$C$26+1),0)+IF(AND(Projects!$G$27="Yes",35&gt;=Projects!$C$27,35&lt;Projects!$C$27+Projects!$D$27),Projects!$B$27*INDEX(Curves!$B$4:$AR$4,1,35-Projects!$C$27+1),0)+IF(AND(Projects!$G$28="Yes",35&gt;=Projects!$C$28,35&lt;Projects!$C$28+Projects!$D$28),Projects!$B$28*INDEX(Curves!$B$4:$AR$4,1,35-Projects!$C$28+1),0)+IF(AND(Projects!$G$29="Yes",35&gt;=Projects!$C$29,35&lt;Projects!$C$29+Projects!$D$29),Projects!$B$29*INDEX(Curves!$B$4:$AR$4,1,35-Projects!$C$29+1),0)+IF(AND(Projects!$G$30="Yes",35&gt;=Projects!$C$30,35&lt;Projects!$C$30+Projects!$D$30),Projects!$B$30*INDEX(Curves!$B$4:$AR$4,1,35-Projects!$C$30+1),0)+IF(AND(Projects!$G$31="Yes",35&gt;=Projects!$C$31,35&lt;Projects!$C$31+Projects!$D$31),Projects!$B$31*INDEX(Curves!$B$4:$AR$4,1,35-Projects!$C$31+1),0)+IF(AND(Projects!$G$32="Yes",35&gt;=Projects!$C$32,35&lt;Projects!$C$32+Projects!$D$32),Projects!$B$32*INDEX(Curves!$B$4:$AR$4,1,35-Projects!$C$32+1),0)+IF(AND(Projects!$G$33="Yes",35&gt;=Projects!$C$33,35&lt;Projects!$C$33+Projects!$D$33),Projects!$B$33*INDEX(Curves!$B$4:$AR$4,1,35-Projects!$C$33+1),0)+IF(AND(Projects!$G$34="Yes",35&gt;=Projects!$C$34,35&lt;Projects!$C$34+Projects!$D$34),Projects!$B$34*INDEX(Curves!$B$4:$AR$4,1,35-Projects!$C$34+1),0)+IF(AND(Projects!$G$35="Yes",35&gt;=Projects!$C$35,35&lt;Projects!$C$35+Projects!$D$35),Projects!$B$35*INDEX(Curves!$B$4:$AR$4,1,35-Projects!$C$35+1),0)+IF(AND(Projects!$G$36="Yes",35&gt;=Projects!$C$36,35&lt;Projects!$C$36+Projects!$D$36),Projects!$B$36*INDEX(Curves!$B$4:$AR$4,1,35-Projects!$C$36+1),0)+IF(AND(Projects!$G$37="Yes",35&gt;=Projects!$C$37,35&lt;Projects!$C$37+Projects!$D$37),Projects!$B$37*INDEX(Curves!$B$4:$AR$4,1,35-Projects!$C$37+1),0)+IF(AND(Projects!$G$38="Yes",35&gt;=Projects!$C$38,35&lt;Projects!$C$38+Projects!$D$38),Projects!$B$38*INDEX(Curves!$B$4:$AR$4,1,35-Projects!$C$38+1),0)+IF(AND(Projects!$G$39="Yes",35&gt;=Projects!$C$39,35&lt;Projects!$C$39+Projects!$D$39),Projects!$B$39*INDEX(Curves!$B$4:$AR$4,1,35-Projects!$C$39+1),0)+IF(AND(Projects!$G$40="Yes",35&gt;=Projects!$C$40,35&lt;Projects!$C$40+Projects!$D$40),Projects!$B$40*INDEX(Curves!$B$4:$AR$4,1,35-Projects!$C$40+1),0)+IF(AND(Projects!$G$41="Yes",35&gt;=Projects!$C$41,35&lt;Projects!$C$41+Projects!$D$41),Projects!$B$41*INDEX(Curves!$B$4:$AR$4,1,35-Projects!$C$41+1),0)+IF(AND(Projects!$G$42="Yes",35&gt;=Projects!$C$42,35&lt;Projects!$C$42+Projects!$D$42),Projects!$B$42*INDEX(Curves!$B$4:$AR$4,1,35-Projects!$C$42+1),0)+IF(AND(Projects!$G$43="Yes",35&gt;=Projects!$C$43,35&lt;Projects!$C$43+Projects!$D$43),Projects!$B$43*INDEX(Curves!$B$4:$AR$4,1,35-Projects!$C$43+1),0)+IF(AND(Projects!$G$44="Yes",35&gt;=Projects!$C$44,35&lt;Projects!$C$44+Projects!$D$44),Projects!$B$44*INDEX(Curves!$B$4:$AR$4,1,35-Projects!$C$44+1),0)+IF(AND(Projects!$G$45="Yes",35&gt;=Projects!$C$45,35&lt;Projects!$C$45+Projects!$D$45),Projects!$B$45*INDEX(Curves!$B$4:$AR$4,1,35-Projects!$C$45+1),0)+IF(AND(Projects!$G$46="Yes",35&gt;=Projects!$C$46,35&lt;Projects!$C$46+Projects!$D$46),Projects!$B$46*INDEX(Curves!$B$4:$AR$4,1,35-Projects!$C$46+1),0)</f>
        <v>0</v>
      </c>
      <c r="AO96" s="83" t="n">
        <f aca="false">IF(AND(Projects!$G$17="Yes",36&gt;=Projects!$C$17,36&lt;Projects!$C$17+Projects!$D$17),Projects!$B$17*INDEX(Curves!$B$4:$AR$4,1,36-Projects!$C$17+1),0)+IF(AND(Projects!$G$18="Yes",36&gt;=Projects!$C$18,36&lt;Projects!$C$18+Projects!$D$18),Projects!$B$18*INDEX(Curves!$B$4:$AR$4,1,36-Projects!$C$18+1),0)+IF(AND(Projects!$G$19="Yes",36&gt;=Projects!$C$19,36&lt;Projects!$C$19+Projects!$D$19),Projects!$B$19*INDEX(Curves!$B$4:$AR$4,1,36-Projects!$C$19+1),0)+IF(AND(Projects!$G$20="Yes",36&gt;=Projects!$C$20,36&lt;Projects!$C$20+Projects!$D$20),Projects!$B$20*INDEX(Curves!$B$4:$AR$4,1,36-Projects!$C$20+1),0)+IF(AND(Projects!$G$21="Yes",36&gt;=Projects!$C$21,36&lt;Projects!$C$21+Projects!$D$21),Projects!$B$21*INDEX(Curves!$B$4:$AR$4,1,36-Projects!$C$21+1),0)+IF(AND(Projects!$G$22="Yes",36&gt;=Projects!$C$22,36&lt;Projects!$C$22+Projects!$D$22),Projects!$B$22*INDEX(Curves!$B$4:$AR$4,1,36-Projects!$C$22+1),0)+IF(AND(Projects!$G$23="Yes",36&gt;=Projects!$C$23,36&lt;Projects!$C$23+Projects!$D$23),Projects!$B$23*INDEX(Curves!$B$4:$AR$4,1,36-Projects!$C$23+1),0)+IF(AND(Projects!$G$24="Yes",36&gt;=Projects!$C$24,36&lt;Projects!$C$24+Projects!$D$24),Projects!$B$24*INDEX(Curves!$B$4:$AR$4,1,36-Projects!$C$24+1),0)+IF(AND(Projects!$G$25="Yes",36&gt;=Projects!$C$25,36&lt;Projects!$C$25+Projects!$D$25),Projects!$B$25*INDEX(Curves!$B$4:$AR$4,1,36-Projects!$C$25+1),0)+IF(AND(Projects!$G$26="Yes",36&gt;=Projects!$C$26,36&lt;Projects!$C$26+Projects!$D$26),Projects!$B$26*INDEX(Curves!$B$4:$AR$4,1,36-Projects!$C$26+1),0)+IF(AND(Projects!$G$27="Yes",36&gt;=Projects!$C$27,36&lt;Projects!$C$27+Projects!$D$27),Projects!$B$27*INDEX(Curves!$B$4:$AR$4,1,36-Projects!$C$27+1),0)+IF(AND(Projects!$G$28="Yes",36&gt;=Projects!$C$28,36&lt;Projects!$C$28+Projects!$D$28),Projects!$B$28*INDEX(Curves!$B$4:$AR$4,1,36-Projects!$C$28+1),0)+IF(AND(Projects!$G$29="Yes",36&gt;=Projects!$C$29,36&lt;Projects!$C$29+Projects!$D$29),Projects!$B$29*INDEX(Curves!$B$4:$AR$4,1,36-Projects!$C$29+1),0)+IF(AND(Projects!$G$30="Yes",36&gt;=Projects!$C$30,36&lt;Projects!$C$30+Projects!$D$30),Projects!$B$30*INDEX(Curves!$B$4:$AR$4,1,36-Projects!$C$30+1),0)+IF(AND(Projects!$G$31="Yes",36&gt;=Projects!$C$31,36&lt;Projects!$C$31+Projects!$D$31),Projects!$B$31*INDEX(Curves!$B$4:$AR$4,1,36-Projects!$C$31+1),0)+IF(AND(Projects!$G$32="Yes",36&gt;=Projects!$C$32,36&lt;Projects!$C$32+Projects!$D$32),Projects!$B$32*INDEX(Curves!$B$4:$AR$4,1,36-Projects!$C$32+1),0)+IF(AND(Projects!$G$33="Yes",36&gt;=Projects!$C$33,36&lt;Projects!$C$33+Projects!$D$33),Projects!$B$33*INDEX(Curves!$B$4:$AR$4,1,36-Projects!$C$33+1),0)+IF(AND(Projects!$G$34="Yes",36&gt;=Projects!$C$34,36&lt;Projects!$C$34+Projects!$D$34),Projects!$B$34*INDEX(Curves!$B$4:$AR$4,1,36-Projects!$C$34+1),0)+IF(AND(Projects!$G$35="Yes",36&gt;=Projects!$C$35,36&lt;Projects!$C$35+Projects!$D$35),Projects!$B$35*INDEX(Curves!$B$4:$AR$4,1,36-Projects!$C$35+1),0)+IF(AND(Projects!$G$36="Yes",36&gt;=Projects!$C$36,36&lt;Projects!$C$36+Projects!$D$36),Projects!$B$36*INDEX(Curves!$B$4:$AR$4,1,36-Projects!$C$36+1),0)+IF(AND(Projects!$G$37="Yes",36&gt;=Projects!$C$37,36&lt;Projects!$C$37+Projects!$D$37),Projects!$B$37*INDEX(Curves!$B$4:$AR$4,1,36-Projects!$C$37+1),0)+IF(AND(Projects!$G$38="Yes",36&gt;=Projects!$C$38,36&lt;Projects!$C$38+Projects!$D$38),Projects!$B$38*INDEX(Curves!$B$4:$AR$4,1,36-Projects!$C$38+1),0)+IF(AND(Projects!$G$39="Yes",36&gt;=Projects!$C$39,36&lt;Projects!$C$39+Projects!$D$39),Projects!$B$39*INDEX(Curves!$B$4:$AR$4,1,36-Projects!$C$39+1),0)+IF(AND(Projects!$G$40="Yes",36&gt;=Projects!$C$40,36&lt;Projects!$C$40+Projects!$D$40),Projects!$B$40*INDEX(Curves!$B$4:$AR$4,1,36-Projects!$C$40+1),0)+IF(AND(Projects!$G$41="Yes",36&gt;=Projects!$C$41,36&lt;Projects!$C$41+Projects!$D$41),Projects!$B$41*INDEX(Curves!$B$4:$AR$4,1,36-Projects!$C$41+1),0)+IF(AND(Projects!$G$42="Yes",36&gt;=Projects!$C$42,36&lt;Projects!$C$42+Projects!$D$42),Projects!$B$42*INDEX(Curves!$B$4:$AR$4,1,36-Projects!$C$42+1),0)+IF(AND(Projects!$G$43="Yes",36&gt;=Projects!$C$43,36&lt;Projects!$C$43+Projects!$D$43),Projects!$B$43*INDEX(Curves!$B$4:$AR$4,1,36-Projects!$C$43+1),0)+IF(AND(Projects!$G$44="Yes",36&gt;=Projects!$C$44,36&lt;Projects!$C$44+Projects!$D$44),Projects!$B$44*INDEX(Curves!$B$4:$AR$4,1,36-Projects!$C$44+1),0)+IF(AND(Projects!$G$45="Yes",36&gt;=Projects!$C$45,36&lt;Projects!$C$45+Projects!$D$45),Projects!$B$45*INDEX(Curves!$B$4:$AR$4,1,36-Projects!$C$45+1),0)+IF(AND(Projects!$G$46="Yes",36&gt;=Projects!$C$46,36&lt;Projects!$C$46+Projects!$D$46),Projects!$B$46*INDEX(Curves!$B$4:$AR$4,1,36-Projects!$C$46+1),0)</f>
        <v>0</v>
      </c>
      <c r="AP96" s="83" t="n">
        <f aca="false">IF(AND(Projects!$G$17="Yes",37&gt;=Projects!$C$17,37&lt;Projects!$C$17+Projects!$D$17),Projects!$B$17*INDEX(Curves!$B$4:$AR$4,1,37-Projects!$C$17+1),0)+IF(AND(Projects!$G$18="Yes",37&gt;=Projects!$C$18,37&lt;Projects!$C$18+Projects!$D$18),Projects!$B$18*INDEX(Curves!$B$4:$AR$4,1,37-Projects!$C$18+1),0)+IF(AND(Projects!$G$19="Yes",37&gt;=Projects!$C$19,37&lt;Projects!$C$19+Projects!$D$19),Projects!$B$19*INDEX(Curves!$B$4:$AR$4,1,37-Projects!$C$19+1),0)+IF(AND(Projects!$G$20="Yes",37&gt;=Projects!$C$20,37&lt;Projects!$C$20+Projects!$D$20),Projects!$B$20*INDEX(Curves!$B$4:$AR$4,1,37-Projects!$C$20+1),0)+IF(AND(Projects!$G$21="Yes",37&gt;=Projects!$C$21,37&lt;Projects!$C$21+Projects!$D$21),Projects!$B$21*INDEX(Curves!$B$4:$AR$4,1,37-Projects!$C$21+1),0)+IF(AND(Projects!$G$22="Yes",37&gt;=Projects!$C$22,37&lt;Projects!$C$22+Projects!$D$22),Projects!$B$22*INDEX(Curves!$B$4:$AR$4,1,37-Projects!$C$22+1),0)+IF(AND(Projects!$G$23="Yes",37&gt;=Projects!$C$23,37&lt;Projects!$C$23+Projects!$D$23),Projects!$B$23*INDEX(Curves!$B$4:$AR$4,1,37-Projects!$C$23+1),0)+IF(AND(Projects!$G$24="Yes",37&gt;=Projects!$C$24,37&lt;Projects!$C$24+Projects!$D$24),Projects!$B$24*INDEX(Curves!$B$4:$AR$4,1,37-Projects!$C$24+1),0)+IF(AND(Projects!$G$25="Yes",37&gt;=Projects!$C$25,37&lt;Projects!$C$25+Projects!$D$25),Projects!$B$25*INDEX(Curves!$B$4:$AR$4,1,37-Projects!$C$25+1),0)+IF(AND(Projects!$G$26="Yes",37&gt;=Projects!$C$26,37&lt;Projects!$C$26+Projects!$D$26),Projects!$B$26*INDEX(Curves!$B$4:$AR$4,1,37-Projects!$C$26+1),0)+IF(AND(Projects!$G$27="Yes",37&gt;=Projects!$C$27,37&lt;Projects!$C$27+Projects!$D$27),Projects!$B$27*INDEX(Curves!$B$4:$AR$4,1,37-Projects!$C$27+1),0)+IF(AND(Projects!$G$28="Yes",37&gt;=Projects!$C$28,37&lt;Projects!$C$28+Projects!$D$28),Projects!$B$28*INDEX(Curves!$B$4:$AR$4,1,37-Projects!$C$28+1),0)+IF(AND(Projects!$G$29="Yes",37&gt;=Projects!$C$29,37&lt;Projects!$C$29+Projects!$D$29),Projects!$B$29*INDEX(Curves!$B$4:$AR$4,1,37-Projects!$C$29+1),0)+IF(AND(Projects!$G$30="Yes",37&gt;=Projects!$C$30,37&lt;Projects!$C$30+Projects!$D$30),Projects!$B$30*INDEX(Curves!$B$4:$AR$4,1,37-Projects!$C$30+1),0)+IF(AND(Projects!$G$31="Yes",37&gt;=Projects!$C$31,37&lt;Projects!$C$31+Projects!$D$31),Projects!$B$31*INDEX(Curves!$B$4:$AR$4,1,37-Projects!$C$31+1),0)+IF(AND(Projects!$G$32="Yes",37&gt;=Projects!$C$32,37&lt;Projects!$C$32+Projects!$D$32),Projects!$B$32*INDEX(Curves!$B$4:$AR$4,1,37-Projects!$C$32+1),0)+IF(AND(Projects!$G$33="Yes",37&gt;=Projects!$C$33,37&lt;Projects!$C$33+Projects!$D$33),Projects!$B$33*INDEX(Curves!$B$4:$AR$4,1,37-Projects!$C$33+1),0)+IF(AND(Projects!$G$34="Yes",37&gt;=Projects!$C$34,37&lt;Projects!$C$34+Projects!$D$34),Projects!$B$34*INDEX(Curves!$B$4:$AR$4,1,37-Projects!$C$34+1),0)+IF(AND(Projects!$G$35="Yes",37&gt;=Projects!$C$35,37&lt;Projects!$C$35+Projects!$D$35),Projects!$B$35*INDEX(Curves!$B$4:$AR$4,1,37-Projects!$C$35+1),0)+IF(AND(Projects!$G$36="Yes",37&gt;=Projects!$C$36,37&lt;Projects!$C$36+Projects!$D$36),Projects!$B$36*INDEX(Curves!$B$4:$AR$4,1,37-Projects!$C$36+1),0)+IF(AND(Projects!$G$37="Yes",37&gt;=Projects!$C$37,37&lt;Projects!$C$37+Projects!$D$37),Projects!$B$37*INDEX(Curves!$B$4:$AR$4,1,37-Projects!$C$37+1),0)+IF(AND(Projects!$G$38="Yes",37&gt;=Projects!$C$38,37&lt;Projects!$C$38+Projects!$D$38),Projects!$B$38*INDEX(Curves!$B$4:$AR$4,1,37-Projects!$C$38+1),0)+IF(AND(Projects!$G$39="Yes",37&gt;=Projects!$C$39,37&lt;Projects!$C$39+Projects!$D$39),Projects!$B$39*INDEX(Curves!$B$4:$AR$4,1,37-Projects!$C$39+1),0)+IF(AND(Projects!$G$40="Yes",37&gt;=Projects!$C$40,37&lt;Projects!$C$40+Projects!$D$40),Projects!$B$40*INDEX(Curves!$B$4:$AR$4,1,37-Projects!$C$40+1),0)+IF(AND(Projects!$G$41="Yes",37&gt;=Projects!$C$41,37&lt;Projects!$C$41+Projects!$D$41),Projects!$B$41*INDEX(Curves!$B$4:$AR$4,1,37-Projects!$C$41+1),0)+IF(AND(Projects!$G$42="Yes",37&gt;=Projects!$C$42,37&lt;Projects!$C$42+Projects!$D$42),Projects!$B$42*INDEX(Curves!$B$4:$AR$4,1,37-Projects!$C$42+1),0)+IF(AND(Projects!$G$43="Yes",37&gt;=Projects!$C$43,37&lt;Projects!$C$43+Projects!$D$43),Projects!$B$43*INDEX(Curves!$B$4:$AR$4,1,37-Projects!$C$43+1),0)+IF(AND(Projects!$G$44="Yes",37&gt;=Projects!$C$44,37&lt;Projects!$C$44+Projects!$D$44),Projects!$B$44*INDEX(Curves!$B$4:$AR$4,1,37-Projects!$C$44+1),0)+IF(AND(Projects!$G$45="Yes",37&gt;=Projects!$C$45,37&lt;Projects!$C$45+Projects!$D$45),Projects!$B$45*INDEX(Curves!$B$4:$AR$4,1,37-Projects!$C$45+1),0)+IF(AND(Projects!$G$46="Yes",37&gt;=Projects!$C$46,37&lt;Projects!$C$46+Projects!$D$46),Projects!$B$46*INDEX(Curves!$B$4:$AR$4,1,37-Projects!$C$46+1),0)</f>
        <v>0</v>
      </c>
      <c r="AQ96" s="83" t="n">
        <f aca="false">IF(AND(Projects!$G$17="Yes",38&gt;=Projects!$C$17,38&lt;Projects!$C$17+Projects!$D$17),Projects!$B$17*INDEX(Curves!$B$4:$AR$4,1,38-Projects!$C$17+1),0)+IF(AND(Projects!$G$18="Yes",38&gt;=Projects!$C$18,38&lt;Projects!$C$18+Projects!$D$18),Projects!$B$18*INDEX(Curves!$B$4:$AR$4,1,38-Projects!$C$18+1),0)+IF(AND(Projects!$G$19="Yes",38&gt;=Projects!$C$19,38&lt;Projects!$C$19+Projects!$D$19),Projects!$B$19*INDEX(Curves!$B$4:$AR$4,1,38-Projects!$C$19+1),0)+IF(AND(Projects!$G$20="Yes",38&gt;=Projects!$C$20,38&lt;Projects!$C$20+Projects!$D$20),Projects!$B$20*INDEX(Curves!$B$4:$AR$4,1,38-Projects!$C$20+1),0)+IF(AND(Projects!$G$21="Yes",38&gt;=Projects!$C$21,38&lt;Projects!$C$21+Projects!$D$21),Projects!$B$21*INDEX(Curves!$B$4:$AR$4,1,38-Projects!$C$21+1),0)+IF(AND(Projects!$G$22="Yes",38&gt;=Projects!$C$22,38&lt;Projects!$C$22+Projects!$D$22),Projects!$B$22*INDEX(Curves!$B$4:$AR$4,1,38-Projects!$C$22+1),0)+IF(AND(Projects!$G$23="Yes",38&gt;=Projects!$C$23,38&lt;Projects!$C$23+Projects!$D$23),Projects!$B$23*INDEX(Curves!$B$4:$AR$4,1,38-Projects!$C$23+1),0)+IF(AND(Projects!$G$24="Yes",38&gt;=Projects!$C$24,38&lt;Projects!$C$24+Projects!$D$24),Projects!$B$24*INDEX(Curves!$B$4:$AR$4,1,38-Projects!$C$24+1),0)+IF(AND(Projects!$G$25="Yes",38&gt;=Projects!$C$25,38&lt;Projects!$C$25+Projects!$D$25),Projects!$B$25*INDEX(Curves!$B$4:$AR$4,1,38-Projects!$C$25+1),0)+IF(AND(Projects!$G$26="Yes",38&gt;=Projects!$C$26,38&lt;Projects!$C$26+Projects!$D$26),Projects!$B$26*INDEX(Curves!$B$4:$AR$4,1,38-Projects!$C$26+1),0)+IF(AND(Projects!$G$27="Yes",38&gt;=Projects!$C$27,38&lt;Projects!$C$27+Projects!$D$27),Projects!$B$27*INDEX(Curves!$B$4:$AR$4,1,38-Projects!$C$27+1),0)+IF(AND(Projects!$G$28="Yes",38&gt;=Projects!$C$28,38&lt;Projects!$C$28+Projects!$D$28),Projects!$B$28*INDEX(Curves!$B$4:$AR$4,1,38-Projects!$C$28+1),0)+IF(AND(Projects!$G$29="Yes",38&gt;=Projects!$C$29,38&lt;Projects!$C$29+Projects!$D$29),Projects!$B$29*INDEX(Curves!$B$4:$AR$4,1,38-Projects!$C$29+1),0)+IF(AND(Projects!$G$30="Yes",38&gt;=Projects!$C$30,38&lt;Projects!$C$30+Projects!$D$30),Projects!$B$30*INDEX(Curves!$B$4:$AR$4,1,38-Projects!$C$30+1),0)+IF(AND(Projects!$G$31="Yes",38&gt;=Projects!$C$31,38&lt;Projects!$C$31+Projects!$D$31),Projects!$B$31*INDEX(Curves!$B$4:$AR$4,1,38-Projects!$C$31+1),0)+IF(AND(Projects!$G$32="Yes",38&gt;=Projects!$C$32,38&lt;Projects!$C$32+Projects!$D$32),Projects!$B$32*INDEX(Curves!$B$4:$AR$4,1,38-Projects!$C$32+1),0)+IF(AND(Projects!$G$33="Yes",38&gt;=Projects!$C$33,38&lt;Projects!$C$33+Projects!$D$33),Projects!$B$33*INDEX(Curves!$B$4:$AR$4,1,38-Projects!$C$33+1),0)+IF(AND(Projects!$G$34="Yes",38&gt;=Projects!$C$34,38&lt;Projects!$C$34+Projects!$D$34),Projects!$B$34*INDEX(Curves!$B$4:$AR$4,1,38-Projects!$C$34+1),0)+IF(AND(Projects!$G$35="Yes",38&gt;=Projects!$C$35,38&lt;Projects!$C$35+Projects!$D$35),Projects!$B$35*INDEX(Curves!$B$4:$AR$4,1,38-Projects!$C$35+1),0)+IF(AND(Projects!$G$36="Yes",38&gt;=Projects!$C$36,38&lt;Projects!$C$36+Projects!$D$36),Projects!$B$36*INDEX(Curves!$B$4:$AR$4,1,38-Projects!$C$36+1),0)+IF(AND(Projects!$G$37="Yes",38&gt;=Projects!$C$37,38&lt;Projects!$C$37+Projects!$D$37),Projects!$B$37*INDEX(Curves!$B$4:$AR$4,1,38-Projects!$C$37+1),0)+IF(AND(Projects!$G$38="Yes",38&gt;=Projects!$C$38,38&lt;Projects!$C$38+Projects!$D$38),Projects!$B$38*INDEX(Curves!$B$4:$AR$4,1,38-Projects!$C$38+1),0)+IF(AND(Projects!$G$39="Yes",38&gt;=Projects!$C$39,38&lt;Projects!$C$39+Projects!$D$39),Projects!$B$39*INDEX(Curves!$B$4:$AR$4,1,38-Projects!$C$39+1),0)+IF(AND(Projects!$G$40="Yes",38&gt;=Projects!$C$40,38&lt;Projects!$C$40+Projects!$D$40),Projects!$B$40*INDEX(Curves!$B$4:$AR$4,1,38-Projects!$C$40+1),0)+IF(AND(Projects!$G$41="Yes",38&gt;=Projects!$C$41,38&lt;Projects!$C$41+Projects!$D$41),Projects!$B$41*INDEX(Curves!$B$4:$AR$4,1,38-Projects!$C$41+1),0)+IF(AND(Projects!$G$42="Yes",38&gt;=Projects!$C$42,38&lt;Projects!$C$42+Projects!$D$42),Projects!$B$42*INDEX(Curves!$B$4:$AR$4,1,38-Projects!$C$42+1),0)+IF(AND(Projects!$G$43="Yes",38&gt;=Projects!$C$43,38&lt;Projects!$C$43+Projects!$D$43),Projects!$B$43*INDEX(Curves!$B$4:$AR$4,1,38-Projects!$C$43+1),0)+IF(AND(Projects!$G$44="Yes",38&gt;=Projects!$C$44,38&lt;Projects!$C$44+Projects!$D$44),Projects!$B$44*INDEX(Curves!$B$4:$AR$4,1,38-Projects!$C$44+1),0)+IF(AND(Projects!$G$45="Yes",38&gt;=Projects!$C$45,38&lt;Projects!$C$45+Projects!$D$45),Projects!$B$45*INDEX(Curves!$B$4:$AR$4,1,38-Projects!$C$45+1),0)+IF(AND(Projects!$G$46="Yes",38&gt;=Projects!$C$46,38&lt;Projects!$C$46+Projects!$D$46),Projects!$B$46*INDEX(Curves!$B$4:$AR$4,1,38-Projects!$C$46+1),0)</f>
        <v>0</v>
      </c>
      <c r="AR96" s="83" t="n">
        <f aca="false">IF(AND(Projects!$G$17="Yes",39&gt;=Projects!$C$17,39&lt;Projects!$C$17+Projects!$D$17),Projects!$B$17*INDEX(Curves!$B$4:$AR$4,1,39-Projects!$C$17+1),0)+IF(AND(Projects!$G$18="Yes",39&gt;=Projects!$C$18,39&lt;Projects!$C$18+Projects!$D$18),Projects!$B$18*INDEX(Curves!$B$4:$AR$4,1,39-Projects!$C$18+1),0)+IF(AND(Projects!$G$19="Yes",39&gt;=Projects!$C$19,39&lt;Projects!$C$19+Projects!$D$19),Projects!$B$19*INDEX(Curves!$B$4:$AR$4,1,39-Projects!$C$19+1),0)+IF(AND(Projects!$G$20="Yes",39&gt;=Projects!$C$20,39&lt;Projects!$C$20+Projects!$D$20),Projects!$B$20*INDEX(Curves!$B$4:$AR$4,1,39-Projects!$C$20+1),0)+IF(AND(Projects!$G$21="Yes",39&gt;=Projects!$C$21,39&lt;Projects!$C$21+Projects!$D$21),Projects!$B$21*INDEX(Curves!$B$4:$AR$4,1,39-Projects!$C$21+1),0)+IF(AND(Projects!$G$22="Yes",39&gt;=Projects!$C$22,39&lt;Projects!$C$22+Projects!$D$22),Projects!$B$22*INDEX(Curves!$B$4:$AR$4,1,39-Projects!$C$22+1),0)+IF(AND(Projects!$G$23="Yes",39&gt;=Projects!$C$23,39&lt;Projects!$C$23+Projects!$D$23),Projects!$B$23*INDEX(Curves!$B$4:$AR$4,1,39-Projects!$C$23+1),0)+IF(AND(Projects!$G$24="Yes",39&gt;=Projects!$C$24,39&lt;Projects!$C$24+Projects!$D$24),Projects!$B$24*INDEX(Curves!$B$4:$AR$4,1,39-Projects!$C$24+1),0)+IF(AND(Projects!$G$25="Yes",39&gt;=Projects!$C$25,39&lt;Projects!$C$25+Projects!$D$25),Projects!$B$25*INDEX(Curves!$B$4:$AR$4,1,39-Projects!$C$25+1),0)+IF(AND(Projects!$G$26="Yes",39&gt;=Projects!$C$26,39&lt;Projects!$C$26+Projects!$D$26),Projects!$B$26*INDEX(Curves!$B$4:$AR$4,1,39-Projects!$C$26+1),0)+IF(AND(Projects!$G$27="Yes",39&gt;=Projects!$C$27,39&lt;Projects!$C$27+Projects!$D$27),Projects!$B$27*INDEX(Curves!$B$4:$AR$4,1,39-Projects!$C$27+1),0)+IF(AND(Projects!$G$28="Yes",39&gt;=Projects!$C$28,39&lt;Projects!$C$28+Projects!$D$28),Projects!$B$28*INDEX(Curves!$B$4:$AR$4,1,39-Projects!$C$28+1),0)+IF(AND(Projects!$G$29="Yes",39&gt;=Projects!$C$29,39&lt;Projects!$C$29+Projects!$D$29),Projects!$B$29*INDEX(Curves!$B$4:$AR$4,1,39-Projects!$C$29+1),0)+IF(AND(Projects!$G$30="Yes",39&gt;=Projects!$C$30,39&lt;Projects!$C$30+Projects!$D$30),Projects!$B$30*INDEX(Curves!$B$4:$AR$4,1,39-Projects!$C$30+1),0)+IF(AND(Projects!$G$31="Yes",39&gt;=Projects!$C$31,39&lt;Projects!$C$31+Projects!$D$31),Projects!$B$31*INDEX(Curves!$B$4:$AR$4,1,39-Projects!$C$31+1),0)+IF(AND(Projects!$G$32="Yes",39&gt;=Projects!$C$32,39&lt;Projects!$C$32+Projects!$D$32),Projects!$B$32*INDEX(Curves!$B$4:$AR$4,1,39-Projects!$C$32+1),0)+IF(AND(Projects!$G$33="Yes",39&gt;=Projects!$C$33,39&lt;Projects!$C$33+Projects!$D$33),Projects!$B$33*INDEX(Curves!$B$4:$AR$4,1,39-Projects!$C$33+1),0)+IF(AND(Projects!$G$34="Yes",39&gt;=Projects!$C$34,39&lt;Projects!$C$34+Projects!$D$34),Projects!$B$34*INDEX(Curves!$B$4:$AR$4,1,39-Projects!$C$34+1),0)+IF(AND(Projects!$G$35="Yes",39&gt;=Projects!$C$35,39&lt;Projects!$C$35+Projects!$D$35),Projects!$B$35*INDEX(Curves!$B$4:$AR$4,1,39-Projects!$C$35+1),0)+IF(AND(Projects!$G$36="Yes",39&gt;=Projects!$C$36,39&lt;Projects!$C$36+Projects!$D$36),Projects!$B$36*INDEX(Curves!$B$4:$AR$4,1,39-Projects!$C$36+1),0)+IF(AND(Projects!$G$37="Yes",39&gt;=Projects!$C$37,39&lt;Projects!$C$37+Projects!$D$37),Projects!$B$37*INDEX(Curves!$B$4:$AR$4,1,39-Projects!$C$37+1),0)+IF(AND(Projects!$G$38="Yes",39&gt;=Projects!$C$38,39&lt;Projects!$C$38+Projects!$D$38),Projects!$B$38*INDEX(Curves!$B$4:$AR$4,1,39-Projects!$C$38+1),0)+IF(AND(Projects!$G$39="Yes",39&gt;=Projects!$C$39,39&lt;Projects!$C$39+Projects!$D$39),Projects!$B$39*INDEX(Curves!$B$4:$AR$4,1,39-Projects!$C$39+1),0)+IF(AND(Projects!$G$40="Yes",39&gt;=Projects!$C$40,39&lt;Projects!$C$40+Projects!$D$40),Projects!$B$40*INDEX(Curves!$B$4:$AR$4,1,39-Projects!$C$40+1),0)+IF(AND(Projects!$G$41="Yes",39&gt;=Projects!$C$41,39&lt;Projects!$C$41+Projects!$D$41),Projects!$B$41*INDEX(Curves!$B$4:$AR$4,1,39-Projects!$C$41+1),0)+IF(AND(Projects!$G$42="Yes",39&gt;=Projects!$C$42,39&lt;Projects!$C$42+Projects!$D$42),Projects!$B$42*INDEX(Curves!$B$4:$AR$4,1,39-Projects!$C$42+1),0)+IF(AND(Projects!$G$43="Yes",39&gt;=Projects!$C$43,39&lt;Projects!$C$43+Projects!$D$43),Projects!$B$43*INDEX(Curves!$B$4:$AR$4,1,39-Projects!$C$43+1),0)+IF(AND(Projects!$G$44="Yes",39&gt;=Projects!$C$44,39&lt;Projects!$C$44+Projects!$D$44),Projects!$B$44*INDEX(Curves!$B$4:$AR$4,1,39-Projects!$C$44+1),0)+IF(AND(Projects!$G$45="Yes",39&gt;=Projects!$C$45,39&lt;Projects!$C$45+Projects!$D$45),Projects!$B$45*INDEX(Curves!$B$4:$AR$4,1,39-Projects!$C$45+1),0)+IF(AND(Projects!$G$46="Yes",39&gt;=Projects!$C$46,39&lt;Projects!$C$46+Projects!$D$46),Projects!$B$46*INDEX(Curves!$B$4:$AR$4,1,39-Projects!$C$46+1),0)</f>
        <v>0</v>
      </c>
      <c r="AS96" s="83" t="n">
        <f aca="false">IF(AND(Projects!$G$17="Yes",40&gt;=Projects!$C$17,40&lt;Projects!$C$17+Projects!$D$17),Projects!$B$17*INDEX(Curves!$B$4:$AR$4,1,40-Projects!$C$17+1),0)+IF(AND(Projects!$G$18="Yes",40&gt;=Projects!$C$18,40&lt;Projects!$C$18+Projects!$D$18),Projects!$B$18*INDEX(Curves!$B$4:$AR$4,1,40-Projects!$C$18+1),0)+IF(AND(Projects!$G$19="Yes",40&gt;=Projects!$C$19,40&lt;Projects!$C$19+Projects!$D$19),Projects!$B$19*INDEX(Curves!$B$4:$AR$4,1,40-Projects!$C$19+1),0)+IF(AND(Projects!$G$20="Yes",40&gt;=Projects!$C$20,40&lt;Projects!$C$20+Projects!$D$20),Projects!$B$20*INDEX(Curves!$B$4:$AR$4,1,40-Projects!$C$20+1),0)+IF(AND(Projects!$G$21="Yes",40&gt;=Projects!$C$21,40&lt;Projects!$C$21+Projects!$D$21),Projects!$B$21*INDEX(Curves!$B$4:$AR$4,1,40-Projects!$C$21+1),0)+IF(AND(Projects!$G$22="Yes",40&gt;=Projects!$C$22,40&lt;Projects!$C$22+Projects!$D$22),Projects!$B$22*INDEX(Curves!$B$4:$AR$4,1,40-Projects!$C$22+1),0)+IF(AND(Projects!$G$23="Yes",40&gt;=Projects!$C$23,40&lt;Projects!$C$23+Projects!$D$23),Projects!$B$23*INDEX(Curves!$B$4:$AR$4,1,40-Projects!$C$23+1),0)+IF(AND(Projects!$G$24="Yes",40&gt;=Projects!$C$24,40&lt;Projects!$C$24+Projects!$D$24),Projects!$B$24*INDEX(Curves!$B$4:$AR$4,1,40-Projects!$C$24+1),0)+IF(AND(Projects!$G$25="Yes",40&gt;=Projects!$C$25,40&lt;Projects!$C$25+Projects!$D$25),Projects!$B$25*INDEX(Curves!$B$4:$AR$4,1,40-Projects!$C$25+1),0)+IF(AND(Projects!$G$26="Yes",40&gt;=Projects!$C$26,40&lt;Projects!$C$26+Projects!$D$26),Projects!$B$26*INDEX(Curves!$B$4:$AR$4,1,40-Projects!$C$26+1),0)+IF(AND(Projects!$G$27="Yes",40&gt;=Projects!$C$27,40&lt;Projects!$C$27+Projects!$D$27),Projects!$B$27*INDEX(Curves!$B$4:$AR$4,1,40-Projects!$C$27+1),0)+IF(AND(Projects!$G$28="Yes",40&gt;=Projects!$C$28,40&lt;Projects!$C$28+Projects!$D$28),Projects!$B$28*INDEX(Curves!$B$4:$AR$4,1,40-Projects!$C$28+1),0)+IF(AND(Projects!$G$29="Yes",40&gt;=Projects!$C$29,40&lt;Projects!$C$29+Projects!$D$29),Projects!$B$29*INDEX(Curves!$B$4:$AR$4,1,40-Projects!$C$29+1),0)+IF(AND(Projects!$G$30="Yes",40&gt;=Projects!$C$30,40&lt;Projects!$C$30+Projects!$D$30),Projects!$B$30*INDEX(Curves!$B$4:$AR$4,1,40-Projects!$C$30+1),0)+IF(AND(Projects!$G$31="Yes",40&gt;=Projects!$C$31,40&lt;Projects!$C$31+Projects!$D$31),Projects!$B$31*INDEX(Curves!$B$4:$AR$4,1,40-Projects!$C$31+1),0)+IF(AND(Projects!$G$32="Yes",40&gt;=Projects!$C$32,40&lt;Projects!$C$32+Projects!$D$32),Projects!$B$32*INDEX(Curves!$B$4:$AR$4,1,40-Projects!$C$32+1),0)+IF(AND(Projects!$G$33="Yes",40&gt;=Projects!$C$33,40&lt;Projects!$C$33+Projects!$D$33),Projects!$B$33*INDEX(Curves!$B$4:$AR$4,1,40-Projects!$C$33+1),0)+IF(AND(Projects!$G$34="Yes",40&gt;=Projects!$C$34,40&lt;Projects!$C$34+Projects!$D$34),Projects!$B$34*INDEX(Curves!$B$4:$AR$4,1,40-Projects!$C$34+1),0)+IF(AND(Projects!$G$35="Yes",40&gt;=Projects!$C$35,40&lt;Projects!$C$35+Projects!$D$35),Projects!$B$35*INDEX(Curves!$B$4:$AR$4,1,40-Projects!$C$35+1),0)+IF(AND(Projects!$G$36="Yes",40&gt;=Projects!$C$36,40&lt;Projects!$C$36+Projects!$D$36),Projects!$B$36*INDEX(Curves!$B$4:$AR$4,1,40-Projects!$C$36+1),0)+IF(AND(Projects!$G$37="Yes",40&gt;=Projects!$C$37,40&lt;Projects!$C$37+Projects!$D$37),Projects!$B$37*INDEX(Curves!$B$4:$AR$4,1,40-Projects!$C$37+1),0)+IF(AND(Projects!$G$38="Yes",40&gt;=Projects!$C$38,40&lt;Projects!$C$38+Projects!$D$38),Projects!$B$38*INDEX(Curves!$B$4:$AR$4,1,40-Projects!$C$38+1),0)+IF(AND(Projects!$G$39="Yes",40&gt;=Projects!$C$39,40&lt;Projects!$C$39+Projects!$D$39),Projects!$B$39*INDEX(Curves!$B$4:$AR$4,1,40-Projects!$C$39+1),0)+IF(AND(Projects!$G$40="Yes",40&gt;=Projects!$C$40,40&lt;Projects!$C$40+Projects!$D$40),Projects!$B$40*INDEX(Curves!$B$4:$AR$4,1,40-Projects!$C$40+1),0)+IF(AND(Projects!$G$41="Yes",40&gt;=Projects!$C$41,40&lt;Projects!$C$41+Projects!$D$41),Projects!$B$41*INDEX(Curves!$B$4:$AR$4,1,40-Projects!$C$41+1),0)+IF(AND(Projects!$G$42="Yes",40&gt;=Projects!$C$42,40&lt;Projects!$C$42+Projects!$D$42),Projects!$B$42*INDEX(Curves!$B$4:$AR$4,1,40-Projects!$C$42+1),0)+IF(AND(Projects!$G$43="Yes",40&gt;=Projects!$C$43,40&lt;Projects!$C$43+Projects!$D$43),Projects!$B$43*INDEX(Curves!$B$4:$AR$4,1,40-Projects!$C$43+1),0)+IF(AND(Projects!$G$44="Yes",40&gt;=Projects!$C$44,40&lt;Projects!$C$44+Projects!$D$44),Projects!$B$44*INDEX(Curves!$B$4:$AR$4,1,40-Projects!$C$44+1),0)+IF(AND(Projects!$G$45="Yes",40&gt;=Projects!$C$45,40&lt;Projects!$C$45+Projects!$D$45),Projects!$B$45*INDEX(Curves!$B$4:$AR$4,1,40-Projects!$C$45+1),0)+IF(AND(Projects!$G$46="Yes",40&gt;=Projects!$C$46,40&lt;Projects!$C$46+Projects!$D$46),Projects!$B$46*INDEX(Curves!$B$4:$AR$4,1,40-Projects!$C$46+1),0)</f>
        <v>0</v>
      </c>
      <c r="AT96" s="83" t="n">
        <f aca="false">IF(AND(Projects!$G$17="Yes",41&gt;=Projects!$C$17,41&lt;Projects!$C$17+Projects!$D$17),Projects!$B$17*INDEX(Curves!$B$4:$AR$4,1,41-Projects!$C$17+1),0)+IF(AND(Projects!$G$18="Yes",41&gt;=Projects!$C$18,41&lt;Projects!$C$18+Projects!$D$18),Projects!$B$18*INDEX(Curves!$B$4:$AR$4,1,41-Projects!$C$18+1),0)+IF(AND(Projects!$G$19="Yes",41&gt;=Projects!$C$19,41&lt;Projects!$C$19+Projects!$D$19),Projects!$B$19*INDEX(Curves!$B$4:$AR$4,1,41-Projects!$C$19+1),0)+IF(AND(Projects!$G$20="Yes",41&gt;=Projects!$C$20,41&lt;Projects!$C$20+Projects!$D$20),Projects!$B$20*INDEX(Curves!$B$4:$AR$4,1,41-Projects!$C$20+1),0)+IF(AND(Projects!$G$21="Yes",41&gt;=Projects!$C$21,41&lt;Projects!$C$21+Projects!$D$21),Projects!$B$21*INDEX(Curves!$B$4:$AR$4,1,41-Projects!$C$21+1),0)+IF(AND(Projects!$G$22="Yes",41&gt;=Projects!$C$22,41&lt;Projects!$C$22+Projects!$D$22),Projects!$B$22*INDEX(Curves!$B$4:$AR$4,1,41-Projects!$C$22+1),0)+IF(AND(Projects!$G$23="Yes",41&gt;=Projects!$C$23,41&lt;Projects!$C$23+Projects!$D$23),Projects!$B$23*INDEX(Curves!$B$4:$AR$4,1,41-Projects!$C$23+1),0)+IF(AND(Projects!$G$24="Yes",41&gt;=Projects!$C$24,41&lt;Projects!$C$24+Projects!$D$24),Projects!$B$24*INDEX(Curves!$B$4:$AR$4,1,41-Projects!$C$24+1),0)+IF(AND(Projects!$G$25="Yes",41&gt;=Projects!$C$25,41&lt;Projects!$C$25+Projects!$D$25),Projects!$B$25*INDEX(Curves!$B$4:$AR$4,1,41-Projects!$C$25+1),0)+IF(AND(Projects!$G$26="Yes",41&gt;=Projects!$C$26,41&lt;Projects!$C$26+Projects!$D$26),Projects!$B$26*INDEX(Curves!$B$4:$AR$4,1,41-Projects!$C$26+1),0)+IF(AND(Projects!$G$27="Yes",41&gt;=Projects!$C$27,41&lt;Projects!$C$27+Projects!$D$27),Projects!$B$27*INDEX(Curves!$B$4:$AR$4,1,41-Projects!$C$27+1),0)+IF(AND(Projects!$G$28="Yes",41&gt;=Projects!$C$28,41&lt;Projects!$C$28+Projects!$D$28),Projects!$B$28*INDEX(Curves!$B$4:$AR$4,1,41-Projects!$C$28+1),0)+IF(AND(Projects!$G$29="Yes",41&gt;=Projects!$C$29,41&lt;Projects!$C$29+Projects!$D$29),Projects!$B$29*INDEX(Curves!$B$4:$AR$4,1,41-Projects!$C$29+1),0)+IF(AND(Projects!$G$30="Yes",41&gt;=Projects!$C$30,41&lt;Projects!$C$30+Projects!$D$30),Projects!$B$30*INDEX(Curves!$B$4:$AR$4,1,41-Projects!$C$30+1),0)+IF(AND(Projects!$G$31="Yes",41&gt;=Projects!$C$31,41&lt;Projects!$C$31+Projects!$D$31),Projects!$B$31*INDEX(Curves!$B$4:$AR$4,1,41-Projects!$C$31+1),0)+IF(AND(Projects!$G$32="Yes",41&gt;=Projects!$C$32,41&lt;Projects!$C$32+Projects!$D$32),Projects!$B$32*INDEX(Curves!$B$4:$AR$4,1,41-Projects!$C$32+1),0)+IF(AND(Projects!$G$33="Yes",41&gt;=Projects!$C$33,41&lt;Projects!$C$33+Projects!$D$33),Projects!$B$33*INDEX(Curves!$B$4:$AR$4,1,41-Projects!$C$33+1),0)+IF(AND(Projects!$G$34="Yes",41&gt;=Projects!$C$34,41&lt;Projects!$C$34+Projects!$D$34),Projects!$B$34*INDEX(Curves!$B$4:$AR$4,1,41-Projects!$C$34+1),0)+IF(AND(Projects!$G$35="Yes",41&gt;=Projects!$C$35,41&lt;Projects!$C$35+Projects!$D$35),Projects!$B$35*INDEX(Curves!$B$4:$AR$4,1,41-Projects!$C$35+1),0)+IF(AND(Projects!$G$36="Yes",41&gt;=Projects!$C$36,41&lt;Projects!$C$36+Projects!$D$36),Projects!$B$36*INDEX(Curves!$B$4:$AR$4,1,41-Projects!$C$36+1),0)+IF(AND(Projects!$G$37="Yes",41&gt;=Projects!$C$37,41&lt;Projects!$C$37+Projects!$D$37),Projects!$B$37*INDEX(Curves!$B$4:$AR$4,1,41-Projects!$C$37+1),0)+IF(AND(Projects!$G$38="Yes",41&gt;=Projects!$C$38,41&lt;Projects!$C$38+Projects!$D$38),Projects!$B$38*INDEX(Curves!$B$4:$AR$4,1,41-Projects!$C$38+1),0)+IF(AND(Projects!$G$39="Yes",41&gt;=Projects!$C$39,41&lt;Projects!$C$39+Projects!$D$39),Projects!$B$39*INDEX(Curves!$B$4:$AR$4,1,41-Projects!$C$39+1),0)+IF(AND(Projects!$G$40="Yes",41&gt;=Projects!$C$40,41&lt;Projects!$C$40+Projects!$D$40),Projects!$B$40*INDEX(Curves!$B$4:$AR$4,1,41-Projects!$C$40+1),0)+IF(AND(Projects!$G$41="Yes",41&gt;=Projects!$C$41,41&lt;Projects!$C$41+Projects!$D$41),Projects!$B$41*INDEX(Curves!$B$4:$AR$4,1,41-Projects!$C$41+1),0)+IF(AND(Projects!$G$42="Yes",41&gt;=Projects!$C$42,41&lt;Projects!$C$42+Projects!$D$42),Projects!$B$42*INDEX(Curves!$B$4:$AR$4,1,41-Projects!$C$42+1),0)+IF(AND(Projects!$G$43="Yes",41&gt;=Projects!$C$43,41&lt;Projects!$C$43+Projects!$D$43),Projects!$B$43*INDEX(Curves!$B$4:$AR$4,1,41-Projects!$C$43+1),0)+IF(AND(Projects!$G$44="Yes",41&gt;=Projects!$C$44,41&lt;Projects!$C$44+Projects!$D$44),Projects!$B$44*INDEX(Curves!$B$4:$AR$4,1,41-Projects!$C$44+1),0)+IF(AND(Projects!$G$45="Yes",41&gt;=Projects!$C$45,41&lt;Projects!$C$45+Projects!$D$45),Projects!$B$45*INDEX(Curves!$B$4:$AR$4,1,41-Projects!$C$45+1),0)+IF(AND(Projects!$G$46="Yes",41&gt;=Projects!$C$46,41&lt;Projects!$C$46+Projects!$D$46),Projects!$B$46*INDEX(Curves!$B$4:$AR$4,1,41-Projects!$C$46+1),0)</f>
        <v>0</v>
      </c>
      <c r="AU96" s="83" t="n">
        <f aca="false">IF(AND(Projects!$G$17="Yes",42&gt;=Projects!$C$17,42&lt;Projects!$C$17+Projects!$D$17),Projects!$B$17*INDEX(Curves!$B$4:$AR$4,1,42-Projects!$C$17+1),0)+IF(AND(Projects!$G$18="Yes",42&gt;=Projects!$C$18,42&lt;Projects!$C$18+Projects!$D$18),Projects!$B$18*INDEX(Curves!$B$4:$AR$4,1,42-Projects!$C$18+1),0)+IF(AND(Projects!$G$19="Yes",42&gt;=Projects!$C$19,42&lt;Projects!$C$19+Projects!$D$19),Projects!$B$19*INDEX(Curves!$B$4:$AR$4,1,42-Projects!$C$19+1),0)+IF(AND(Projects!$G$20="Yes",42&gt;=Projects!$C$20,42&lt;Projects!$C$20+Projects!$D$20),Projects!$B$20*INDEX(Curves!$B$4:$AR$4,1,42-Projects!$C$20+1),0)+IF(AND(Projects!$G$21="Yes",42&gt;=Projects!$C$21,42&lt;Projects!$C$21+Projects!$D$21),Projects!$B$21*INDEX(Curves!$B$4:$AR$4,1,42-Projects!$C$21+1),0)+IF(AND(Projects!$G$22="Yes",42&gt;=Projects!$C$22,42&lt;Projects!$C$22+Projects!$D$22),Projects!$B$22*INDEX(Curves!$B$4:$AR$4,1,42-Projects!$C$22+1),0)+IF(AND(Projects!$G$23="Yes",42&gt;=Projects!$C$23,42&lt;Projects!$C$23+Projects!$D$23),Projects!$B$23*INDEX(Curves!$B$4:$AR$4,1,42-Projects!$C$23+1),0)+IF(AND(Projects!$G$24="Yes",42&gt;=Projects!$C$24,42&lt;Projects!$C$24+Projects!$D$24),Projects!$B$24*INDEX(Curves!$B$4:$AR$4,1,42-Projects!$C$24+1),0)+IF(AND(Projects!$G$25="Yes",42&gt;=Projects!$C$25,42&lt;Projects!$C$25+Projects!$D$25),Projects!$B$25*INDEX(Curves!$B$4:$AR$4,1,42-Projects!$C$25+1),0)+IF(AND(Projects!$G$26="Yes",42&gt;=Projects!$C$26,42&lt;Projects!$C$26+Projects!$D$26),Projects!$B$26*INDEX(Curves!$B$4:$AR$4,1,42-Projects!$C$26+1),0)+IF(AND(Projects!$G$27="Yes",42&gt;=Projects!$C$27,42&lt;Projects!$C$27+Projects!$D$27),Projects!$B$27*INDEX(Curves!$B$4:$AR$4,1,42-Projects!$C$27+1),0)+IF(AND(Projects!$G$28="Yes",42&gt;=Projects!$C$28,42&lt;Projects!$C$28+Projects!$D$28),Projects!$B$28*INDEX(Curves!$B$4:$AR$4,1,42-Projects!$C$28+1),0)+IF(AND(Projects!$G$29="Yes",42&gt;=Projects!$C$29,42&lt;Projects!$C$29+Projects!$D$29),Projects!$B$29*INDEX(Curves!$B$4:$AR$4,1,42-Projects!$C$29+1),0)+IF(AND(Projects!$G$30="Yes",42&gt;=Projects!$C$30,42&lt;Projects!$C$30+Projects!$D$30),Projects!$B$30*INDEX(Curves!$B$4:$AR$4,1,42-Projects!$C$30+1),0)+IF(AND(Projects!$G$31="Yes",42&gt;=Projects!$C$31,42&lt;Projects!$C$31+Projects!$D$31),Projects!$B$31*INDEX(Curves!$B$4:$AR$4,1,42-Projects!$C$31+1),0)+IF(AND(Projects!$G$32="Yes",42&gt;=Projects!$C$32,42&lt;Projects!$C$32+Projects!$D$32),Projects!$B$32*INDEX(Curves!$B$4:$AR$4,1,42-Projects!$C$32+1),0)+IF(AND(Projects!$G$33="Yes",42&gt;=Projects!$C$33,42&lt;Projects!$C$33+Projects!$D$33),Projects!$B$33*INDEX(Curves!$B$4:$AR$4,1,42-Projects!$C$33+1),0)+IF(AND(Projects!$G$34="Yes",42&gt;=Projects!$C$34,42&lt;Projects!$C$34+Projects!$D$34),Projects!$B$34*INDEX(Curves!$B$4:$AR$4,1,42-Projects!$C$34+1),0)+IF(AND(Projects!$G$35="Yes",42&gt;=Projects!$C$35,42&lt;Projects!$C$35+Projects!$D$35),Projects!$B$35*INDEX(Curves!$B$4:$AR$4,1,42-Projects!$C$35+1),0)+IF(AND(Projects!$G$36="Yes",42&gt;=Projects!$C$36,42&lt;Projects!$C$36+Projects!$D$36),Projects!$B$36*INDEX(Curves!$B$4:$AR$4,1,42-Projects!$C$36+1),0)+IF(AND(Projects!$G$37="Yes",42&gt;=Projects!$C$37,42&lt;Projects!$C$37+Projects!$D$37),Projects!$B$37*INDEX(Curves!$B$4:$AR$4,1,42-Projects!$C$37+1),0)+IF(AND(Projects!$G$38="Yes",42&gt;=Projects!$C$38,42&lt;Projects!$C$38+Projects!$D$38),Projects!$B$38*INDEX(Curves!$B$4:$AR$4,1,42-Projects!$C$38+1),0)+IF(AND(Projects!$G$39="Yes",42&gt;=Projects!$C$39,42&lt;Projects!$C$39+Projects!$D$39),Projects!$B$39*INDEX(Curves!$B$4:$AR$4,1,42-Projects!$C$39+1),0)+IF(AND(Projects!$G$40="Yes",42&gt;=Projects!$C$40,42&lt;Projects!$C$40+Projects!$D$40),Projects!$B$40*INDEX(Curves!$B$4:$AR$4,1,42-Projects!$C$40+1),0)+IF(AND(Projects!$G$41="Yes",42&gt;=Projects!$C$41,42&lt;Projects!$C$41+Projects!$D$41),Projects!$B$41*INDEX(Curves!$B$4:$AR$4,1,42-Projects!$C$41+1),0)+IF(AND(Projects!$G$42="Yes",42&gt;=Projects!$C$42,42&lt;Projects!$C$42+Projects!$D$42),Projects!$B$42*INDEX(Curves!$B$4:$AR$4,1,42-Projects!$C$42+1),0)+IF(AND(Projects!$G$43="Yes",42&gt;=Projects!$C$43,42&lt;Projects!$C$43+Projects!$D$43),Projects!$B$43*INDEX(Curves!$B$4:$AR$4,1,42-Projects!$C$43+1),0)+IF(AND(Projects!$G$44="Yes",42&gt;=Projects!$C$44,42&lt;Projects!$C$44+Projects!$D$44),Projects!$B$44*INDEX(Curves!$B$4:$AR$4,1,42-Projects!$C$44+1),0)+IF(AND(Projects!$G$45="Yes",42&gt;=Projects!$C$45,42&lt;Projects!$C$45+Projects!$D$45),Projects!$B$45*INDEX(Curves!$B$4:$AR$4,1,42-Projects!$C$45+1),0)+IF(AND(Projects!$G$46="Yes",42&gt;=Projects!$C$46,42&lt;Projects!$C$46+Projects!$D$46),Projects!$B$46*INDEX(Curves!$B$4:$AR$4,1,42-Projects!$C$46+1),0)</f>
        <v>0</v>
      </c>
      <c r="AV96" s="83" t="n">
        <f aca="false">IF(AND(Projects!$G$17="Yes",43&gt;=Projects!$C$17,43&lt;Projects!$C$17+Projects!$D$17),Projects!$B$17*INDEX(Curves!$B$4:$AR$4,1,43-Projects!$C$17+1),0)+IF(AND(Projects!$G$18="Yes",43&gt;=Projects!$C$18,43&lt;Projects!$C$18+Projects!$D$18),Projects!$B$18*INDEX(Curves!$B$4:$AR$4,1,43-Projects!$C$18+1),0)+IF(AND(Projects!$G$19="Yes",43&gt;=Projects!$C$19,43&lt;Projects!$C$19+Projects!$D$19),Projects!$B$19*INDEX(Curves!$B$4:$AR$4,1,43-Projects!$C$19+1),0)+IF(AND(Projects!$G$20="Yes",43&gt;=Projects!$C$20,43&lt;Projects!$C$20+Projects!$D$20),Projects!$B$20*INDEX(Curves!$B$4:$AR$4,1,43-Projects!$C$20+1),0)+IF(AND(Projects!$G$21="Yes",43&gt;=Projects!$C$21,43&lt;Projects!$C$21+Projects!$D$21),Projects!$B$21*INDEX(Curves!$B$4:$AR$4,1,43-Projects!$C$21+1),0)+IF(AND(Projects!$G$22="Yes",43&gt;=Projects!$C$22,43&lt;Projects!$C$22+Projects!$D$22),Projects!$B$22*INDEX(Curves!$B$4:$AR$4,1,43-Projects!$C$22+1),0)+IF(AND(Projects!$G$23="Yes",43&gt;=Projects!$C$23,43&lt;Projects!$C$23+Projects!$D$23),Projects!$B$23*INDEX(Curves!$B$4:$AR$4,1,43-Projects!$C$23+1),0)+IF(AND(Projects!$G$24="Yes",43&gt;=Projects!$C$24,43&lt;Projects!$C$24+Projects!$D$24),Projects!$B$24*INDEX(Curves!$B$4:$AR$4,1,43-Projects!$C$24+1),0)+IF(AND(Projects!$G$25="Yes",43&gt;=Projects!$C$25,43&lt;Projects!$C$25+Projects!$D$25),Projects!$B$25*INDEX(Curves!$B$4:$AR$4,1,43-Projects!$C$25+1),0)+IF(AND(Projects!$G$26="Yes",43&gt;=Projects!$C$26,43&lt;Projects!$C$26+Projects!$D$26),Projects!$B$26*INDEX(Curves!$B$4:$AR$4,1,43-Projects!$C$26+1),0)+IF(AND(Projects!$G$27="Yes",43&gt;=Projects!$C$27,43&lt;Projects!$C$27+Projects!$D$27),Projects!$B$27*INDEX(Curves!$B$4:$AR$4,1,43-Projects!$C$27+1),0)+IF(AND(Projects!$G$28="Yes",43&gt;=Projects!$C$28,43&lt;Projects!$C$28+Projects!$D$28),Projects!$B$28*INDEX(Curves!$B$4:$AR$4,1,43-Projects!$C$28+1),0)+IF(AND(Projects!$G$29="Yes",43&gt;=Projects!$C$29,43&lt;Projects!$C$29+Projects!$D$29),Projects!$B$29*INDEX(Curves!$B$4:$AR$4,1,43-Projects!$C$29+1),0)+IF(AND(Projects!$G$30="Yes",43&gt;=Projects!$C$30,43&lt;Projects!$C$30+Projects!$D$30),Projects!$B$30*INDEX(Curves!$B$4:$AR$4,1,43-Projects!$C$30+1),0)+IF(AND(Projects!$G$31="Yes",43&gt;=Projects!$C$31,43&lt;Projects!$C$31+Projects!$D$31),Projects!$B$31*INDEX(Curves!$B$4:$AR$4,1,43-Projects!$C$31+1),0)+IF(AND(Projects!$G$32="Yes",43&gt;=Projects!$C$32,43&lt;Projects!$C$32+Projects!$D$32),Projects!$B$32*INDEX(Curves!$B$4:$AR$4,1,43-Projects!$C$32+1),0)+IF(AND(Projects!$G$33="Yes",43&gt;=Projects!$C$33,43&lt;Projects!$C$33+Projects!$D$33),Projects!$B$33*INDEX(Curves!$B$4:$AR$4,1,43-Projects!$C$33+1),0)+IF(AND(Projects!$G$34="Yes",43&gt;=Projects!$C$34,43&lt;Projects!$C$34+Projects!$D$34),Projects!$B$34*INDEX(Curves!$B$4:$AR$4,1,43-Projects!$C$34+1),0)+IF(AND(Projects!$G$35="Yes",43&gt;=Projects!$C$35,43&lt;Projects!$C$35+Projects!$D$35),Projects!$B$35*INDEX(Curves!$B$4:$AR$4,1,43-Projects!$C$35+1),0)+IF(AND(Projects!$G$36="Yes",43&gt;=Projects!$C$36,43&lt;Projects!$C$36+Projects!$D$36),Projects!$B$36*INDEX(Curves!$B$4:$AR$4,1,43-Projects!$C$36+1),0)+IF(AND(Projects!$G$37="Yes",43&gt;=Projects!$C$37,43&lt;Projects!$C$37+Projects!$D$37),Projects!$B$37*INDEX(Curves!$B$4:$AR$4,1,43-Projects!$C$37+1),0)+IF(AND(Projects!$G$38="Yes",43&gt;=Projects!$C$38,43&lt;Projects!$C$38+Projects!$D$38),Projects!$B$38*INDEX(Curves!$B$4:$AR$4,1,43-Projects!$C$38+1),0)+IF(AND(Projects!$G$39="Yes",43&gt;=Projects!$C$39,43&lt;Projects!$C$39+Projects!$D$39),Projects!$B$39*INDEX(Curves!$B$4:$AR$4,1,43-Projects!$C$39+1),0)+IF(AND(Projects!$G$40="Yes",43&gt;=Projects!$C$40,43&lt;Projects!$C$40+Projects!$D$40),Projects!$B$40*INDEX(Curves!$B$4:$AR$4,1,43-Projects!$C$40+1),0)+IF(AND(Projects!$G$41="Yes",43&gt;=Projects!$C$41,43&lt;Projects!$C$41+Projects!$D$41),Projects!$B$41*INDEX(Curves!$B$4:$AR$4,1,43-Projects!$C$41+1),0)+IF(AND(Projects!$G$42="Yes",43&gt;=Projects!$C$42,43&lt;Projects!$C$42+Projects!$D$42),Projects!$B$42*INDEX(Curves!$B$4:$AR$4,1,43-Projects!$C$42+1),0)+IF(AND(Projects!$G$43="Yes",43&gt;=Projects!$C$43,43&lt;Projects!$C$43+Projects!$D$43),Projects!$B$43*INDEX(Curves!$B$4:$AR$4,1,43-Projects!$C$43+1),0)+IF(AND(Projects!$G$44="Yes",43&gt;=Projects!$C$44,43&lt;Projects!$C$44+Projects!$D$44),Projects!$B$44*INDEX(Curves!$B$4:$AR$4,1,43-Projects!$C$44+1),0)+IF(AND(Projects!$G$45="Yes",43&gt;=Projects!$C$45,43&lt;Projects!$C$45+Projects!$D$45),Projects!$B$45*INDEX(Curves!$B$4:$AR$4,1,43-Projects!$C$45+1),0)+IF(AND(Projects!$G$46="Yes",43&gt;=Projects!$C$46,43&lt;Projects!$C$46+Projects!$D$46),Projects!$B$46*INDEX(Curves!$B$4:$AR$4,1,43-Projects!$C$46+1),0)</f>
        <v>0</v>
      </c>
      <c r="AW96" s="83" t="n">
        <f aca="false">IF(AND(Projects!$G$17="Yes",44&gt;=Projects!$C$17,44&lt;Projects!$C$17+Projects!$D$17),Projects!$B$17*INDEX(Curves!$B$4:$AR$4,1,44-Projects!$C$17+1),0)+IF(AND(Projects!$G$18="Yes",44&gt;=Projects!$C$18,44&lt;Projects!$C$18+Projects!$D$18),Projects!$B$18*INDEX(Curves!$B$4:$AR$4,1,44-Projects!$C$18+1),0)+IF(AND(Projects!$G$19="Yes",44&gt;=Projects!$C$19,44&lt;Projects!$C$19+Projects!$D$19),Projects!$B$19*INDEX(Curves!$B$4:$AR$4,1,44-Projects!$C$19+1),0)+IF(AND(Projects!$G$20="Yes",44&gt;=Projects!$C$20,44&lt;Projects!$C$20+Projects!$D$20),Projects!$B$20*INDEX(Curves!$B$4:$AR$4,1,44-Projects!$C$20+1),0)+IF(AND(Projects!$G$21="Yes",44&gt;=Projects!$C$21,44&lt;Projects!$C$21+Projects!$D$21),Projects!$B$21*INDEX(Curves!$B$4:$AR$4,1,44-Projects!$C$21+1),0)+IF(AND(Projects!$G$22="Yes",44&gt;=Projects!$C$22,44&lt;Projects!$C$22+Projects!$D$22),Projects!$B$22*INDEX(Curves!$B$4:$AR$4,1,44-Projects!$C$22+1),0)+IF(AND(Projects!$G$23="Yes",44&gt;=Projects!$C$23,44&lt;Projects!$C$23+Projects!$D$23),Projects!$B$23*INDEX(Curves!$B$4:$AR$4,1,44-Projects!$C$23+1),0)+IF(AND(Projects!$G$24="Yes",44&gt;=Projects!$C$24,44&lt;Projects!$C$24+Projects!$D$24),Projects!$B$24*INDEX(Curves!$B$4:$AR$4,1,44-Projects!$C$24+1),0)+IF(AND(Projects!$G$25="Yes",44&gt;=Projects!$C$25,44&lt;Projects!$C$25+Projects!$D$25),Projects!$B$25*INDEX(Curves!$B$4:$AR$4,1,44-Projects!$C$25+1),0)+IF(AND(Projects!$G$26="Yes",44&gt;=Projects!$C$26,44&lt;Projects!$C$26+Projects!$D$26),Projects!$B$26*INDEX(Curves!$B$4:$AR$4,1,44-Projects!$C$26+1),0)+IF(AND(Projects!$G$27="Yes",44&gt;=Projects!$C$27,44&lt;Projects!$C$27+Projects!$D$27),Projects!$B$27*INDEX(Curves!$B$4:$AR$4,1,44-Projects!$C$27+1),0)+IF(AND(Projects!$G$28="Yes",44&gt;=Projects!$C$28,44&lt;Projects!$C$28+Projects!$D$28),Projects!$B$28*INDEX(Curves!$B$4:$AR$4,1,44-Projects!$C$28+1),0)+IF(AND(Projects!$G$29="Yes",44&gt;=Projects!$C$29,44&lt;Projects!$C$29+Projects!$D$29),Projects!$B$29*INDEX(Curves!$B$4:$AR$4,1,44-Projects!$C$29+1),0)+IF(AND(Projects!$G$30="Yes",44&gt;=Projects!$C$30,44&lt;Projects!$C$30+Projects!$D$30),Projects!$B$30*INDEX(Curves!$B$4:$AR$4,1,44-Projects!$C$30+1),0)+IF(AND(Projects!$G$31="Yes",44&gt;=Projects!$C$31,44&lt;Projects!$C$31+Projects!$D$31),Projects!$B$31*INDEX(Curves!$B$4:$AR$4,1,44-Projects!$C$31+1),0)+IF(AND(Projects!$G$32="Yes",44&gt;=Projects!$C$32,44&lt;Projects!$C$32+Projects!$D$32),Projects!$B$32*INDEX(Curves!$B$4:$AR$4,1,44-Projects!$C$32+1),0)+IF(AND(Projects!$G$33="Yes",44&gt;=Projects!$C$33,44&lt;Projects!$C$33+Projects!$D$33),Projects!$B$33*INDEX(Curves!$B$4:$AR$4,1,44-Projects!$C$33+1),0)+IF(AND(Projects!$G$34="Yes",44&gt;=Projects!$C$34,44&lt;Projects!$C$34+Projects!$D$34),Projects!$B$34*INDEX(Curves!$B$4:$AR$4,1,44-Projects!$C$34+1),0)+IF(AND(Projects!$G$35="Yes",44&gt;=Projects!$C$35,44&lt;Projects!$C$35+Projects!$D$35),Projects!$B$35*INDEX(Curves!$B$4:$AR$4,1,44-Projects!$C$35+1),0)+IF(AND(Projects!$G$36="Yes",44&gt;=Projects!$C$36,44&lt;Projects!$C$36+Projects!$D$36),Projects!$B$36*INDEX(Curves!$B$4:$AR$4,1,44-Projects!$C$36+1),0)+IF(AND(Projects!$G$37="Yes",44&gt;=Projects!$C$37,44&lt;Projects!$C$37+Projects!$D$37),Projects!$B$37*INDEX(Curves!$B$4:$AR$4,1,44-Projects!$C$37+1),0)+IF(AND(Projects!$G$38="Yes",44&gt;=Projects!$C$38,44&lt;Projects!$C$38+Projects!$D$38),Projects!$B$38*INDEX(Curves!$B$4:$AR$4,1,44-Projects!$C$38+1),0)+IF(AND(Projects!$G$39="Yes",44&gt;=Projects!$C$39,44&lt;Projects!$C$39+Projects!$D$39),Projects!$B$39*INDEX(Curves!$B$4:$AR$4,1,44-Projects!$C$39+1),0)+IF(AND(Projects!$G$40="Yes",44&gt;=Projects!$C$40,44&lt;Projects!$C$40+Projects!$D$40),Projects!$B$40*INDEX(Curves!$B$4:$AR$4,1,44-Projects!$C$40+1),0)+IF(AND(Projects!$G$41="Yes",44&gt;=Projects!$C$41,44&lt;Projects!$C$41+Projects!$D$41),Projects!$B$41*INDEX(Curves!$B$4:$AR$4,1,44-Projects!$C$41+1),0)+IF(AND(Projects!$G$42="Yes",44&gt;=Projects!$C$42,44&lt;Projects!$C$42+Projects!$D$42),Projects!$B$42*INDEX(Curves!$B$4:$AR$4,1,44-Projects!$C$42+1),0)+IF(AND(Projects!$G$43="Yes",44&gt;=Projects!$C$43,44&lt;Projects!$C$43+Projects!$D$43),Projects!$B$43*INDEX(Curves!$B$4:$AR$4,1,44-Projects!$C$43+1),0)+IF(AND(Projects!$G$44="Yes",44&gt;=Projects!$C$44,44&lt;Projects!$C$44+Projects!$D$44),Projects!$B$44*INDEX(Curves!$B$4:$AR$4,1,44-Projects!$C$44+1),0)+IF(AND(Projects!$G$45="Yes",44&gt;=Projects!$C$45,44&lt;Projects!$C$45+Projects!$D$45),Projects!$B$45*INDEX(Curves!$B$4:$AR$4,1,44-Projects!$C$45+1),0)+IF(AND(Projects!$G$46="Yes",44&gt;=Projects!$C$46,44&lt;Projects!$C$46+Projects!$D$46),Projects!$B$46*INDEX(Curves!$B$4:$AR$4,1,44-Projects!$C$46+1),0)</f>
        <v>0</v>
      </c>
      <c r="AX96" s="83" t="n">
        <f aca="false">IF(AND(Projects!$G$17="Yes",45&gt;=Projects!$C$17,45&lt;Projects!$C$17+Projects!$D$17),Projects!$B$17*INDEX(Curves!$B$4:$AR$4,1,45-Projects!$C$17+1),0)+IF(AND(Projects!$G$18="Yes",45&gt;=Projects!$C$18,45&lt;Projects!$C$18+Projects!$D$18),Projects!$B$18*INDEX(Curves!$B$4:$AR$4,1,45-Projects!$C$18+1),0)+IF(AND(Projects!$G$19="Yes",45&gt;=Projects!$C$19,45&lt;Projects!$C$19+Projects!$D$19),Projects!$B$19*INDEX(Curves!$B$4:$AR$4,1,45-Projects!$C$19+1),0)+IF(AND(Projects!$G$20="Yes",45&gt;=Projects!$C$20,45&lt;Projects!$C$20+Projects!$D$20),Projects!$B$20*INDEX(Curves!$B$4:$AR$4,1,45-Projects!$C$20+1),0)+IF(AND(Projects!$G$21="Yes",45&gt;=Projects!$C$21,45&lt;Projects!$C$21+Projects!$D$21),Projects!$B$21*INDEX(Curves!$B$4:$AR$4,1,45-Projects!$C$21+1),0)+IF(AND(Projects!$G$22="Yes",45&gt;=Projects!$C$22,45&lt;Projects!$C$22+Projects!$D$22),Projects!$B$22*INDEX(Curves!$B$4:$AR$4,1,45-Projects!$C$22+1),0)+IF(AND(Projects!$G$23="Yes",45&gt;=Projects!$C$23,45&lt;Projects!$C$23+Projects!$D$23),Projects!$B$23*INDEX(Curves!$B$4:$AR$4,1,45-Projects!$C$23+1),0)+IF(AND(Projects!$G$24="Yes",45&gt;=Projects!$C$24,45&lt;Projects!$C$24+Projects!$D$24),Projects!$B$24*INDEX(Curves!$B$4:$AR$4,1,45-Projects!$C$24+1),0)+IF(AND(Projects!$G$25="Yes",45&gt;=Projects!$C$25,45&lt;Projects!$C$25+Projects!$D$25),Projects!$B$25*INDEX(Curves!$B$4:$AR$4,1,45-Projects!$C$25+1),0)+IF(AND(Projects!$G$26="Yes",45&gt;=Projects!$C$26,45&lt;Projects!$C$26+Projects!$D$26),Projects!$B$26*INDEX(Curves!$B$4:$AR$4,1,45-Projects!$C$26+1),0)+IF(AND(Projects!$G$27="Yes",45&gt;=Projects!$C$27,45&lt;Projects!$C$27+Projects!$D$27),Projects!$B$27*INDEX(Curves!$B$4:$AR$4,1,45-Projects!$C$27+1),0)+IF(AND(Projects!$G$28="Yes",45&gt;=Projects!$C$28,45&lt;Projects!$C$28+Projects!$D$28),Projects!$B$28*INDEX(Curves!$B$4:$AR$4,1,45-Projects!$C$28+1),0)+IF(AND(Projects!$G$29="Yes",45&gt;=Projects!$C$29,45&lt;Projects!$C$29+Projects!$D$29),Projects!$B$29*INDEX(Curves!$B$4:$AR$4,1,45-Projects!$C$29+1),0)+IF(AND(Projects!$G$30="Yes",45&gt;=Projects!$C$30,45&lt;Projects!$C$30+Projects!$D$30),Projects!$B$30*INDEX(Curves!$B$4:$AR$4,1,45-Projects!$C$30+1),0)+IF(AND(Projects!$G$31="Yes",45&gt;=Projects!$C$31,45&lt;Projects!$C$31+Projects!$D$31),Projects!$B$31*INDEX(Curves!$B$4:$AR$4,1,45-Projects!$C$31+1),0)+IF(AND(Projects!$G$32="Yes",45&gt;=Projects!$C$32,45&lt;Projects!$C$32+Projects!$D$32),Projects!$B$32*INDEX(Curves!$B$4:$AR$4,1,45-Projects!$C$32+1),0)+IF(AND(Projects!$G$33="Yes",45&gt;=Projects!$C$33,45&lt;Projects!$C$33+Projects!$D$33),Projects!$B$33*INDEX(Curves!$B$4:$AR$4,1,45-Projects!$C$33+1),0)+IF(AND(Projects!$G$34="Yes",45&gt;=Projects!$C$34,45&lt;Projects!$C$34+Projects!$D$34),Projects!$B$34*INDEX(Curves!$B$4:$AR$4,1,45-Projects!$C$34+1),0)+IF(AND(Projects!$G$35="Yes",45&gt;=Projects!$C$35,45&lt;Projects!$C$35+Projects!$D$35),Projects!$B$35*INDEX(Curves!$B$4:$AR$4,1,45-Projects!$C$35+1),0)+IF(AND(Projects!$G$36="Yes",45&gt;=Projects!$C$36,45&lt;Projects!$C$36+Projects!$D$36),Projects!$B$36*INDEX(Curves!$B$4:$AR$4,1,45-Projects!$C$36+1),0)+IF(AND(Projects!$G$37="Yes",45&gt;=Projects!$C$37,45&lt;Projects!$C$37+Projects!$D$37),Projects!$B$37*INDEX(Curves!$B$4:$AR$4,1,45-Projects!$C$37+1),0)+IF(AND(Projects!$G$38="Yes",45&gt;=Projects!$C$38,45&lt;Projects!$C$38+Projects!$D$38),Projects!$B$38*INDEX(Curves!$B$4:$AR$4,1,45-Projects!$C$38+1),0)+IF(AND(Projects!$G$39="Yes",45&gt;=Projects!$C$39,45&lt;Projects!$C$39+Projects!$D$39),Projects!$B$39*INDEX(Curves!$B$4:$AR$4,1,45-Projects!$C$39+1),0)+IF(AND(Projects!$G$40="Yes",45&gt;=Projects!$C$40,45&lt;Projects!$C$40+Projects!$D$40),Projects!$B$40*INDEX(Curves!$B$4:$AR$4,1,45-Projects!$C$40+1),0)+IF(AND(Projects!$G$41="Yes",45&gt;=Projects!$C$41,45&lt;Projects!$C$41+Projects!$D$41),Projects!$B$41*INDEX(Curves!$B$4:$AR$4,1,45-Projects!$C$41+1),0)+IF(AND(Projects!$G$42="Yes",45&gt;=Projects!$C$42,45&lt;Projects!$C$42+Projects!$D$42),Projects!$B$42*INDEX(Curves!$B$4:$AR$4,1,45-Projects!$C$42+1),0)+IF(AND(Projects!$G$43="Yes",45&gt;=Projects!$C$43,45&lt;Projects!$C$43+Projects!$D$43),Projects!$B$43*INDEX(Curves!$B$4:$AR$4,1,45-Projects!$C$43+1),0)+IF(AND(Projects!$G$44="Yes",45&gt;=Projects!$C$44,45&lt;Projects!$C$44+Projects!$D$44),Projects!$B$44*INDEX(Curves!$B$4:$AR$4,1,45-Projects!$C$44+1),0)+IF(AND(Projects!$G$45="Yes",45&gt;=Projects!$C$45,45&lt;Projects!$C$45+Projects!$D$45),Projects!$B$45*INDEX(Curves!$B$4:$AR$4,1,45-Projects!$C$45+1),0)+IF(AND(Projects!$G$46="Yes",45&gt;=Projects!$C$46,45&lt;Projects!$C$46+Projects!$D$46),Projects!$B$46*INDEX(Curves!$B$4:$AR$4,1,45-Projects!$C$46+1),0)</f>
        <v>0</v>
      </c>
      <c r="AY96" s="83" t="n">
        <f aca="false">IF(AND(Projects!$G$17="Yes",46&gt;=Projects!$C$17,46&lt;Projects!$C$17+Projects!$D$17),Projects!$B$17*INDEX(Curves!$B$4:$AR$4,1,46-Projects!$C$17+1),0)+IF(AND(Projects!$G$18="Yes",46&gt;=Projects!$C$18,46&lt;Projects!$C$18+Projects!$D$18),Projects!$B$18*INDEX(Curves!$B$4:$AR$4,1,46-Projects!$C$18+1),0)+IF(AND(Projects!$G$19="Yes",46&gt;=Projects!$C$19,46&lt;Projects!$C$19+Projects!$D$19),Projects!$B$19*INDEX(Curves!$B$4:$AR$4,1,46-Projects!$C$19+1),0)+IF(AND(Projects!$G$20="Yes",46&gt;=Projects!$C$20,46&lt;Projects!$C$20+Projects!$D$20),Projects!$B$20*INDEX(Curves!$B$4:$AR$4,1,46-Projects!$C$20+1),0)+IF(AND(Projects!$G$21="Yes",46&gt;=Projects!$C$21,46&lt;Projects!$C$21+Projects!$D$21),Projects!$B$21*INDEX(Curves!$B$4:$AR$4,1,46-Projects!$C$21+1),0)+IF(AND(Projects!$G$22="Yes",46&gt;=Projects!$C$22,46&lt;Projects!$C$22+Projects!$D$22),Projects!$B$22*INDEX(Curves!$B$4:$AR$4,1,46-Projects!$C$22+1),0)+IF(AND(Projects!$G$23="Yes",46&gt;=Projects!$C$23,46&lt;Projects!$C$23+Projects!$D$23),Projects!$B$23*INDEX(Curves!$B$4:$AR$4,1,46-Projects!$C$23+1),0)+IF(AND(Projects!$G$24="Yes",46&gt;=Projects!$C$24,46&lt;Projects!$C$24+Projects!$D$24),Projects!$B$24*INDEX(Curves!$B$4:$AR$4,1,46-Projects!$C$24+1),0)+IF(AND(Projects!$G$25="Yes",46&gt;=Projects!$C$25,46&lt;Projects!$C$25+Projects!$D$25),Projects!$B$25*INDEX(Curves!$B$4:$AR$4,1,46-Projects!$C$25+1),0)+IF(AND(Projects!$G$26="Yes",46&gt;=Projects!$C$26,46&lt;Projects!$C$26+Projects!$D$26),Projects!$B$26*INDEX(Curves!$B$4:$AR$4,1,46-Projects!$C$26+1),0)+IF(AND(Projects!$G$27="Yes",46&gt;=Projects!$C$27,46&lt;Projects!$C$27+Projects!$D$27),Projects!$B$27*INDEX(Curves!$B$4:$AR$4,1,46-Projects!$C$27+1),0)+IF(AND(Projects!$G$28="Yes",46&gt;=Projects!$C$28,46&lt;Projects!$C$28+Projects!$D$28),Projects!$B$28*INDEX(Curves!$B$4:$AR$4,1,46-Projects!$C$28+1),0)+IF(AND(Projects!$G$29="Yes",46&gt;=Projects!$C$29,46&lt;Projects!$C$29+Projects!$D$29),Projects!$B$29*INDEX(Curves!$B$4:$AR$4,1,46-Projects!$C$29+1),0)+IF(AND(Projects!$G$30="Yes",46&gt;=Projects!$C$30,46&lt;Projects!$C$30+Projects!$D$30),Projects!$B$30*INDEX(Curves!$B$4:$AR$4,1,46-Projects!$C$30+1),0)+IF(AND(Projects!$G$31="Yes",46&gt;=Projects!$C$31,46&lt;Projects!$C$31+Projects!$D$31),Projects!$B$31*INDEX(Curves!$B$4:$AR$4,1,46-Projects!$C$31+1),0)+IF(AND(Projects!$G$32="Yes",46&gt;=Projects!$C$32,46&lt;Projects!$C$32+Projects!$D$32),Projects!$B$32*INDEX(Curves!$B$4:$AR$4,1,46-Projects!$C$32+1),0)+IF(AND(Projects!$G$33="Yes",46&gt;=Projects!$C$33,46&lt;Projects!$C$33+Projects!$D$33),Projects!$B$33*INDEX(Curves!$B$4:$AR$4,1,46-Projects!$C$33+1),0)+IF(AND(Projects!$G$34="Yes",46&gt;=Projects!$C$34,46&lt;Projects!$C$34+Projects!$D$34),Projects!$B$34*INDEX(Curves!$B$4:$AR$4,1,46-Projects!$C$34+1),0)+IF(AND(Projects!$G$35="Yes",46&gt;=Projects!$C$35,46&lt;Projects!$C$35+Projects!$D$35),Projects!$B$35*INDEX(Curves!$B$4:$AR$4,1,46-Projects!$C$35+1),0)+IF(AND(Projects!$G$36="Yes",46&gt;=Projects!$C$36,46&lt;Projects!$C$36+Projects!$D$36),Projects!$B$36*INDEX(Curves!$B$4:$AR$4,1,46-Projects!$C$36+1),0)+IF(AND(Projects!$G$37="Yes",46&gt;=Projects!$C$37,46&lt;Projects!$C$37+Projects!$D$37),Projects!$B$37*INDEX(Curves!$B$4:$AR$4,1,46-Projects!$C$37+1),0)+IF(AND(Projects!$G$38="Yes",46&gt;=Projects!$C$38,46&lt;Projects!$C$38+Projects!$D$38),Projects!$B$38*INDEX(Curves!$B$4:$AR$4,1,46-Projects!$C$38+1),0)+IF(AND(Projects!$G$39="Yes",46&gt;=Projects!$C$39,46&lt;Projects!$C$39+Projects!$D$39),Projects!$B$39*INDEX(Curves!$B$4:$AR$4,1,46-Projects!$C$39+1),0)+IF(AND(Projects!$G$40="Yes",46&gt;=Projects!$C$40,46&lt;Projects!$C$40+Projects!$D$40),Projects!$B$40*INDEX(Curves!$B$4:$AR$4,1,46-Projects!$C$40+1),0)+IF(AND(Projects!$G$41="Yes",46&gt;=Projects!$C$41,46&lt;Projects!$C$41+Projects!$D$41),Projects!$B$41*INDEX(Curves!$B$4:$AR$4,1,46-Projects!$C$41+1),0)+IF(AND(Projects!$G$42="Yes",46&gt;=Projects!$C$42,46&lt;Projects!$C$42+Projects!$D$42),Projects!$B$42*INDEX(Curves!$B$4:$AR$4,1,46-Projects!$C$42+1),0)+IF(AND(Projects!$G$43="Yes",46&gt;=Projects!$C$43,46&lt;Projects!$C$43+Projects!$D$43),Projects!$B$43*INDEX(Curves!$B$4:$AR$4,1,46-Projects!$C$43+1),0)+IF(AND(Projects!$G$44="Yes",46&gt;=Projects!$C$44,46&lt;Projects!$C$44+Projects!$D$44),Projects!$B$44*INDEX(Curves!$B$4:$AR$4,1,46-Projects!$C$44+1),0)+IF(AND(Projects!$G$45="Yes",46&gt;=Projects!$C$45,46&lt;Projects!$C$45+Projects!$D$45),Projects!$B$45*INDEX(Curves!$B$4:$AR$4,1,46-Projects!$C$45+1),0)+IF(AND(Projects!$G$46="Yes",46&gt;=Projects!$C$46,46&lt;Projects!$C$46+Projects!$D$46),Projects!$B$46*INDEX(Curves!$B$4:$AR$4,1,46-Projects!$C$46+1),0)</f>
        <v>0</v>
      </c>
      <c r="AZ96" s="83" t="n">
        <f aca="false">IF(AND(Projects!$G$17="Yes",47&gt;=Projects!$C$17,47&lt;Projects!$C$17+Projects!$D$17),Projects!$B$17*INDEX(Curves!$B$4:$AR$4,1,47-Projects!$C$17+1),0)+IF(AND(Projects!$G$18="Yes",47&gt;=Projects!$C$18,47&lt;Projects!$C$18+Projects!$D$18),Projects!$B$18*INDEX(Curves!$B$4:$AR$4,1,47-Projects!$C$18+1),0)+IF(AND(Projects!$G$19="Yes",47&gt;=Projects!$C$19,47&lt;Projects!$C$19+Projects!$D$19),Projects!$B$19*INDEX(Curves!$B$4:$AR$4,1,47-Projects!$C$19+1),0)+IF(AND(Projects!$G$20="Yes",47&gt;=Projects!$C$20,47&lt;Projects!$C$20+Projects!$D$20),Projects!$B$20*INDEX(Curves!$B$4:$AR$4,1,47-Projects!$C$20+1),0)+IF(AND(Projects!$G$21="Yes",47&gt;=Projects!$C$21,47&lt;Projects!$C$21+Projects!$D$21),Projects!$B$21*INDEX(Curves!$B$4:$AR$4,1,47-Projects!$C$21+1),0)+IF(AND(Projects!$G$22="Yes",47&gt;=Projects!$C$22,47&lt;Projects!$C$22+Projects!$D$22),Projects!$B$22*INDEX(Curves!$B$4:$AR$4,1,47-Projects!$C$22+1),0)+IF(AND(Projects!$G$23="Yes",47&gt;=Projects!$C$23,47&lt;Projects!$C$23+Projects!$D$23),Projects!$B$23*INDEX(Curves!$B$4:$AR$4,1,47-Projects!$C$23+1),0)+IF(AND(Projects!$G$24="Yes",47&gt;=Projects!$C$24,47&lt;Projects!$C$24+Projects!$D$24),Projects!$B$24*INDEX(Curves!$B$4:$AR$4,1,47-Projects!$C$24+1),0)+IF(AND(Projects!$G$25="Yes",47&gt;=Projects!$C$25,47&lt;Projects!$C$25+Projects!$D$25),Projects!$B$25*INDEX(Curves!$B$4:$AR$4,1,47-Projects!$C$25+1),0)+IF(AND(Projects!$G$26="Yes",47&gt;=Projects!$C$26,47&lt;Projects!$C$26+Projects!$D$26),Projects!$B$26*INDEX(Curves!$B$4:$AR$4,1,47-Projects!$C$26+1),0)+IF(AND(Projects!$G$27="Yes",47&gt;=Projects!$C$27,47&lt;Projects!$C$27+Projects!$D$27),Projects!$B$27*INDEX(Curves!$B$4:$AR$4,1,47-Projects!$C$27+1),0)+IF(AND(Projects!$G$28="Yes",47&gt;=Projects!$C$28,47&lt;Projects!$C$28+Projects!$D$28),Projects!$B$28*INDEX(Curves!$B$4:$AR$4,1,47-Projects!$C$28+1),0)+IF(AND(Projects!$G$29="Yes",47&gt;=Projects!$C$29,47&lt;Projects!$C$29+Projects!$D$29),Projects!$B$29*INDEX(Curves!$B$4:$AR$4,1,47-Projects!$C$29+1),0)+IF(AND(Projects!$G$30="Yes",47&gt;=Projects!$C$30,47&lt;Projects!$C$30+Projects!$D$30),Projects!$B$30*INDEX(Curves!$B$4:$AR$4,1,47-Projects!$C$30+1),0)+IF(AND(Projects!$G$31="Yes",47&gt;=Projects!$C$31,47&lt;Projects!$C$31+Projects!$D$31),Projects!$B$31*INDEX(Curves!$B$4:$AR$4,1,47-Projects!$C$31+1),0)+IF(AND(Projects!$G$32="Yes",47&gt;=Projects!$C$32,47&lt;Projects!$C$32+Projects!$D$32),Projects!$B$32*INDEX(Curves!$B$4:$AR$4,1,47-Projects!$C$32+1),0)+IF(AND(Projects!$G$33="Yes",47&gt;=Projects!$C$33,47&lt;Projects!$C$33+Projects!$D$33),Projects!$B$33*INDEX(Curves!$B$4:$AR$4,1,47-Projects!$C$33+1),0)+IF(AND(Projects!$G$34="Yes",47&gt;=Projects!$C$34,47&lt;Projects!$C$34+Projects!$D$34),Projects!$B$34*INDEX(Curves!$B$4:$AR$4,1,47-Projects!$C$34+1),0)+IF(AND(Projects!$G$35="Yes",47&gt;=Projects!$C$35,47&lt;Projects!$C$35+Projects!$D$35),Projects!$B$35*INDEX(Curves!$B$4:$AR$4,1,47-Projects!$C$35+1),0)+IF(AND(Projects!$G$36="Yes",47&gt;=Projects!$C$36,47&lt;Projects!$C$36+Projects!$D$36),Projects!$B$36*INDEX(Curves!$B$4:$AR$4,1,47-Projects!$C$36+1),0)+IF(AND(Projects!$G$37="Yes",47&gt;=Projects!$C$37,47&lt;Projects!$C$37+Projects!$D$37),Projects!$B$37*INDEX(Curves!$B$4:$AR$4,1,47-Projects!$C$37+1),0)+IF(AND(Projects!$G$38="Yes",47&gt;=Projects!$C$38,47&lt;Projects!$C$38+Projects!$D$38),Projects!$B$38*INDEX(Curves!$B$4:$AR$4,1,47-Projects!$C$38+1),0)+IF(AND(Projects!$G$39="Yes",47&gt;=Projects!$C$39,47&lt;Projects!$C$39+Projects!$D$39),Projects!$B$39*INDEX(Curves!$B$4:$AR$4,1,47-Projects!$C$39+1),0)+IF(AND(Projects!$G$40="Yes",47&gt;=Projects!$C$40,47&lt;Projects!$C$40+Projects!$D$40),Projects!$B$40*INDEX(Curves!$B$4:$AR$4,1,47-Projects!$C$40+1),0)+IF(AND(Projects!$G$41="Yes",47&gt;=Projects!$C$41,47&lt;Projects!$C$41+Projects!$D$41),Projects!$B$41*INDEX(Curves!$B$4:$AR$4,1,47-Projects!$C$41+1),0)+IF(AND(Projects!$G$42="Yes",47&gt;=Projects!$C$42,47&lt;Projects!$C$42+Projects!$D$42),Projects!$B$42*INDEX(Curves!$B$4:$AR$4,1,47-Projects!$C$42+1),0)+IF(AND(Projects!$G$43="Yes",47&gt;=Projects!$C$43,47&lt;Projects!$C$43+Projects!$D$43),Projects!$B$43*INDEX(Curves!$B$4:$AR$4,1,47-Projects!$C$43+1),0)+IF(AND(Projects!$G$44="Yes",47&gt;=Projects!$C$44,47&lt;Projects!$C$44+Projects!$D$44),Projects!$B$44*INDEX(Curves!$B$4:$AR$4,1,47-Projects!$C$44+1),0)+IF(AND(Projects!$G$45="Yes",47&gt;=Projects!$C$45,47&lt;Projects!$C$45+Projects!$D$45),Projects!$B$45*INDEX(Curves!$B$4:$AR$4,1,47-Projects!$C$45+1),0)+IF(AND(Projects!$G$46="Yes",47&gt;=Projects!$C$46,47&lt;Projects!$C$46+Projects!$D$46),Projects!$B$46*INDEX(Curves!$B$4:$AR$4,1,47-Projects!$C$46+1),0)</f>
        <v>0</v>
      </c>
      <c r="BA96" s="83" t="n">
        <f aca="false">IF(AND(Projects!$G$17="Yes",48&gt;=Projects!$C$17,48&lt;Projects!$C$17+Projects!$D$17),Projects!$B$17*INDEX(Curves!$B$4:$AR$4,1,48-Projects!$C$17+1),0)+IF(AND(Projects!$G$18="Yes",48&gt;=Projects!$C$18,48&lt;Projects!$C$18+Projects!$D$18),Projects!$B$18*INDEX(Curves!$B$4:$AR$4,1,48-Projects!$C$18+1),0)+IF(AND(Projects!$G$19="Yes",48&gt;=Projects!$C$19,48&lt;Projects!$C$19+Projects!$D$19),Projects!$B$19*INDEX(Curves!$B$4:$AR$4,1,48-Projects!$C$19+1),0)+IF(AND(Projects!$G$20="Yes",48&gt;=Projects!$C$20,48&lt;Projects!$C$20+Projects!$D$20),Projects!$B$20*INDEX(Curves!$B$4:$AR$4,1,48-Projects!$C$20+1),0)+IF(AND(Projects!$G$21="Yes",48&gt;=Projects!$C$21,48&lt;Projects!$C$21+Projects!$D$21),Projects!$B$21*INDEX(Curves!$B$4:$AR$4,1,48-Projects!$C$21+1),0)+IF(AND(Projects!$G$22="Yes",48&gt;=Projects!$C$22,48&lt;Projects!$C$22+Projects!$D$22),Projects!$B$22*INDEX(Curves!$B$4:$AR$4,1,48-Projects!$C$22+1),0)+IF(AND(Projects!$G$23="Yes",48&gt;=Projects!$C$23,48&lt;Projects!$C$23+Projects!$D$23),Projects!$B$23*INDEX(Curves!$B$4:$AR$4,1,48-Projects!$C$23+1),0)+IF(AND(Projects!$G$24="Yes",48&gt;=Projects!$C$24,48&lt;Projects!$C$24+Projects!$D$24),Projects!$B$24*INDEX(Curves!$B$4:$AR$4,1,48-Projects!$C$24+1),0)+IF(AND(Projects!$G$25="Yes",48&gt;=Projects!$C$25,48&lt;Projects!$C$25+Projects!$D$25),Projects!$B$25*INDEX(Curves!$B$4:$AR$4,1,48-Projects!$C$25+1),0)+IF(AND(Projects!$G$26="Yes",48&gt;=Projects!$C$26,48&lt;Projects!$C$26+Projects!$D$26),Projects!$B$26*INDEX(Curves!$B$4:$AR$4,1,48-Projects!$C$26+1),0)+IF(AND(Projects!$G$27="Yes",48&gt;=Projects!$C$27,48&lt;Projects!$C$27+Projects!$D$27),Projects!$B$27*INDEX(Curves!$B$4:$AR$4,1,48-Projects!$C$27+1),0)+IF(AND(Projects!$G$28="Yes",48&gt;=Projects!$C$28,48&lt;Projects!$C$28+Projects!$D$28),Projects!$B$28*INDEX(Curves!$B$4:$AR$4,1,48-Projects!$C$28+1),0)+IF(AND(Projects!$G$29="Yes",48&gt;=Projects!$C$29,48&lt;Projects!$C$29+Projects!$D$29),Projects!$B$29*INDEX(Curves!$B$4:$AR$4,1,48-Projects!$C$29+1),0)+IF(AND(Projects!$G$30="Yes",48&gt;=Projects!$C$30,48&lt;Projects!$C$30+Projects!$D$30),Projects!$B$30*INDEX(Curves!$B$4:$AR$4,1,48-Projects!$C$30+1),0)+IF(AND(Projects!$G$31="Yes",48&gt;=Projects!$C$31,48&lt;Projects!$C$31+Projects!$D$31),Projects!$B$31*INDEX(Curves!$B$4:$AR$4,1,48-Projects!$C$31+1),0)+IF(AND(Projects!$G$32="Yes",48&gt;=Projects!$C$32,48&lt;Projects!$C$32+Projects!$D$32),Projects!$B$32*INDEX(Curves!$B$4:$AR$4,1,48-Projects!$C$32+1),0)+IF(AND(Projects!$G$33="Yes",48&gt;=Projects!$C$33,48&lt;Projects!$C$33+Projects!$D$33),Projects!$B$33*INDEX(Curves!$B$4:$AR$4,1,48-Projects!$C$33+1),0)+IF(AND(Projects!$G$34="Yes",48&gt;=Projects!$C$34,48&lt;Projects!$C$34+Projects!$D$34),Projects!$B$34*INDEX(Curves!$B$4:$AR$4,1,48-Projects!$C$34+1),0)+IF(AND(Projects!$G$35="Yes",48&gt;=Projects!$C$35,48&lt;Projects!$C$35+Projects!$D$35),Projects!$B$35*INDEX(Curves!$B$4:$AR$4,1,48-Projects!$C$35+1),0)+IF(AND(Projects!$G$36="Yes",48&gt;=Projects!$C$36,48&lt;Projects!$C$36+Projects!$D$36),Projects!$B$36*INDEX(Curves!$B$4:$AR$4,1,48-Projects!$C$36+1),0)+IF(AND(Projects!$G$37="Yes",48&gt;=Projects!$C$37,48&lt;Projects!$C$37+Projects!$D$37),Projects!$B$37*INDEX(Curves!$B$4:$AR$4,1,48-Projects!$C$37+1),0)+IF(AND(Projects!$G$38="Yes",48&gt;=Projects!$C$38,48&lt;Projects!$C$38+Projects!$D$38),Projects!$B$38*INDEX(Curves!$B$4:$AR$4,1,48-Projects!$C$38+1),0)+IF(AND(Projects!$G$39="Yes",48&gt;=Projects!$C$39,48&lt;Projects!$C$39+Projects!$D$39),Projects!$B$39*INDEX(Curves!$B$4:$AR$4,1,48-Projects!$C$39+1),0)+IF(AND(Projects!$G$40="Yes",48&gt;=Projects!$C$40,48&lt;Projects!$C$40+Projects!$D$40),Projects!$B$40*INDEX(Curves!$B$4:$AR$4,1,48-Projects!$C$40+1),0)+IF(AND(Projects!$G$41="Yes",48&gt;=Projects!$C$41,48&lt;Projects!$C$41+Projects!$D$41),Projects!$B$41*INDEX(Curves!$B$4:$AR$4,1,48-Projects!$C$41+1),0)+IF(AND(Projects!$G$42="Yes",48&gt;=Projects!$C$42,48&lt;Projects!$C$42+Projects!$D$42),Projects!$B$42*INDEX(Curves!$B$4:$AR$4,1,48-Projects!$C$42+1),0)+IF(AND(Projects!$G$43="Yes",48&gt;=Projects!$C$43,48&lt;Projects!$C$43+Projects!$D$43),Projects!$B$43*INDEX(Curves!$B$4:$AR$4,1,48-Projects!$C$43+1),0)+IF(AND(Projects!$G$44="Yes",48&gt;=Projects!$C$44,48&lt;Projects!$C$44+Projects!$D$44),Projects!$B$44*INDEX(Curves!$B$4:$AR$4,1,48-Projects!$C$44+1),0)+IF(AND(Projects!$G$45="Yes",48&gt;=Projects!$C$45,48&lt;Projects!$C$45+Projects!$D$45),Projects!$B$45*INDEX(Curves!$B$4:$AR$4,1,48-Projects!$C$45+1),0)+IF(AND(Projects!$G$46="Yes",48&gt;=Projects!$C$46,48&lt;Projects!$C$46+Projects!$D$46),Projects!$B$46*INDEX(Curves!$B$4:$AR$4,1,48-Projects!$C$46+1),0)</f>
        <v>0</v>
      </c>
      <c r="BB96" s="83" t="n">
        <f aca="false">IF(AND(Projects!$G$17="Yes",49&gt;=Projects!$C$17,49&lt;Projects!$C$17+Projects!$D$17),Projects!$B$17*INDEX(Curves!$B$4:$AR$4,1,49-Projects!$C$17+1),0)+IF(AND(Projects!$G$18="Yes",49&gt;=Projects!$C$18,49&lt;Projects!$C$18+Projects!$D$18),Projects!$B$18*INDEX(Curves!$B$4:$AR$4,1,49-Projects!$C$18+1),0)+IF(AND(Projects!$G$19="Yes",49&gt;=Projects!$C$19,49&lt;Projects!$C$19+Projects!$D$19),Projects!$B$19*INDEX(Curves!$B$4:$AR$4,1,49-Projects!$C$19+1),0)+IF(AND(Projects!$G$20="Yes",49&gt;=Projects!$C$20,49&lt;Projects!$C$20+Projects!$D$20),Projects!$B$20*INDEX(Curves!$B$4:$AR$4,1,49-Projects!$C$20+1),0)+IF(AND(Projects!$G$21="Yes",49&gt;=Projects!$C$21,49&lt;Projects!$C$21+Projects!$D$21),Projects!$B$21*INDEX(Curves!$B$4:$AR$4,1,49-Projects!$C$21+1),0)+IF(AND(Projects!$G$22="Yes",49&gt;=Projects!$C$22,49&lt;Projects!$C$22+Projects!$D$22),Projects!$B$22*INDEX(Curves!$B$4:$AR$4,1,49-Projects!$C$22+1),0)+IF(AND(Projects!$G$23="Yes",49&gt;=Projects!$C$23,49&lt;Projects!$C$23+Projects!$D$23),Projects!$B$23*INDEX(Curves!$B$4:$AR$4,1,49-Projects!$C$23+1),0)+IF(AND(Projects!$G$24="Yes",49&gt;=Projects!$C$24,49&lt;Projects!$C$24+Projects!$D$24),Projects!$B$24*INDEX(Curves!$B$4:$AR$4,1,49-Projects!$C$24+1),0)+IF(AND(Projects!$G$25="Yes",49&gt;=Projects!$C$25,49&lt;Projects!$C$25+Projects!$D$25),Projects!$B$25*INDEX(Curves!$B$4:$AR$4,1,49-Projects!$C$25+1),0)+IF(AND(Projects!$G$26="Yes",49&gt;=Projects!$C$26,49&lt;Projects!$C$26+Projects!$D$26),Projects!$B$26*INDEX(Curves!$B$4:$AR$4,1,49-Projects!$C$26+1),0)+IF(AND(Projects!$G$27="Yes",49&gt;=Projects!$C$27,49&lt;Projects!$C$27+Projects!$D$27),Projects!$B$27*INDEX(Curves!$B$4:$AR$4,1,49-Projects!$C$27+1),0)+IF(AND(Projects!$G$28="Yes",49&gt;=Projects!$C$28,49&lt;Projects!$C$28+Projects!$D$28),Projects!$B$28*INDEX(Curves!$B$4:$AR$4,1,49-Projects!$C$28+1),0)+IF(AND(Projects!$G$29="Yes",49&gt;=Projects!$C$29,49&lt;Projects!$C$29+Projects!$D$29),Projects!$B$29*INDEX(Curves!$B$4:$AR$4,1,49-Projects!$C$29+1),0)+IF(AND(Projects!$G$30="Yes",49&gt;=Projects!$C$30,49&lt;Projects!$C$30+Projects!$D$30),Projects!$B$30*INDEX(Curves!$B$4:$AR$4,1,49-Projects!$C$30+1),0)+IF(AND(Projects!$G$31="Yes",49&gt;=Projects!$C$31,49&lt;Projects!$C$31+Projects!$D$31),Projects!$B$31*INDEX(Curves!$B$4:$AR$4,1,49-Projects!$C$31+1),0)+IF(AND(Projects!$G$32="Yes",49&gt;=Projects!$C$32,49&lt;Projects!$C$32+Projects!$D$32),Projects!$B$32*INDEX(Curves!$B$4:$AR$4,1,49-Projects!$C$32+1),0)+IF(AND(Projects!$G$33="Yes",49&gt;=Projects!$C$33,49&lt;Projects!$C$33+Projects!$D$33),Projects!$B$33*INDEX(Curves!$B$4:$AR$4,1,49-Projects!$C$33+1),0)+IF(AND(Projects!$G$34="Yes",49&gt;=Projects!$C$34,49&lt;Projects!$C$34+Projects!$D$34),Projects!$B$34*INDEX(Curves!$B$4:$AR$4,1,49-Projects!$C$34+1),0)+IF(AND(Projects!$G$35="Yes",49&gt;=Projects!$C$35,49&lt;Projects!$C$35+Projects!$D$35),Projects!$B$35*INDEX(Curves!$B$4:$AR$4,1,49-Projects!$C$35+1),0)+IF(AND(Projects!$G$36="Yes",49&gt;=Projects!$C$36,49&lt;Projects!$C$36+Projects!$D$36),Projects!$B$36*INDEX(Curves!$B$4:$AR$4,1,49-Projects!$C$36+1),0)+IF(AND(Projects!$G$37="Yes",49&gt;=Projects!$C$37,49&lt;Projects!$C$37+Projects!$D$37),Projects!$B$37*INDEX(Curves!$B$4:$AR$4,1,49-Projects!$C$37+1),0)+IF(AND(Projects!$G$38="Yes",49&gt;=Projects!$C$38,49&lt;Projects!$C$38+Projects!$D$38),Projects!$B$38*INDEX(Curves!$B$4:$AR$4,1,49-Projects!$C$38+1),0)+IF(AND(Projects!$G$39="Yes",49&gt;=Projects!$C$39,49&lt;Projects!$C$39+Projects!$D$39),Projects!$B$39*INDEX(Curves!$B$4:$AR$4,1,49-Projects!$C$39+1),0)+IF(AND(Projects!$G$40="Yes",49&gt;=Projects!$C$40,49&lt;Projects!$C$40+Projects!$D$40),Projects!$B$40*INDEX(Curves!$B$4:$AR$4,1,49-Projects!$C$40+1),0)+IF(AND(Projects!$G$41="Yes",49&gt;=Projects!$C$41,49&lt;Projects!$C$41+Projects!$D$41),Projects!$B$41*INDEX(Curves!$B$4:$AR$4,1,49-Projects!$C$41+1),0)+IF(AND(Projects!$G$42="Yes",49&gt;=Projects!$C$42,49&lt;Projects!$C$42+Projects!$D$42),Projects!$B$42*INDEX(Curves!$B$4:$AR$4,1,49-Projects!$C$42+1),0)+IF(AND(Projects!$G$43="Yes",49&gt;=Projects!$C$43,49&lt;Projects!$C$43+Projects!$D$43),Projects!$B$43*INDEX(Curves!$B$4:$AR$4,1,49-Projects!$C$43+1),0)+IF(AND(Projects!$G$44="Yes",49&gt;=Projects!$C$44,49&lt;Projects!$C$44+Projects!$D$44),Projects!$B$44*INDEX(Curves!$B$4:$AR$4,1,49-Projects!$C$44+1),0)+IF(AND(Projects!$G$45="Yes",49&gt;=Projects!$C$45,49&lt;Projects!$C$45+Projects!$D$45),Projects!$B$45*INDEX(Curves!$B$4:$AR$4,1,49-Projects!$C$45+1),0)+IF(AND(Projects!$G$46="Yes",49&gt;=Projects!$C$46,49&lt;Projects!$C$46+Projects!$D$46),Projects!$B$46*INDEX(Curves!$B$4:$AR$4,1,49-Projects!$C$46+1),0)</f>
        <v>0</v>
      </c>
      <c r="BC96" s="83" t="n">
        <f aca="false">IF(AND(Projects!$G$17="Yes",50&gt;=Projects!$C$17,50&lt;Projects!$C$17+Projects!$D$17),Projects!$B$17*INDEX(Curves!$B$4:$AR$4,1,50-Projects!$C$17+1),0)+IF(AND(Projects!$G$18="Yes",50&gt;=Projects!$C$18,50&lt;Projects!$C$18+Projects!$D$18),Projects!$B$18*INDEX(Curves!$B$4:$AR$4,1,50-Projects!$C$18+1),0)+IF(AND(Projects!$G$19="Yes",50&gt;=Projects!$C$19,50&lt;Projects!$C$19+Projects!$D$19),Projects!$B$19*INDEX(Curves!$B$4:$AR$4,1,50-Projects!$C$19+1),0)+IF(AND(Projects!$G$20="Yes",50&gt;=Projects!$C$20,50&lt;Projects!$C$20+Projects!$D$20),Projects!$B$20*INDEX(Curves!$B$4:$AR$4,1,50-Projects!$C$20+1),0)+IF(AND(Projects!$G$21="Yes",50&gt;=Projects!$C$21,50&lt;Projects!$C$21+Projects!$D$21),Projects!$B$21*INDEX(Curves!$B$4:$AR$4,1,50-Projects!$C$21+1),0)+IF(AND(Projects!$G$22="Yes",50&gt;=Projects!$C$22,50&lt;Projects!$C$22+Projects!$D$22),Projects!$B$22*INDEX(Curves!$B$4:$AR$4,1,50-Projects!$C$22+1),0)+IF(AND(Projects!$G$23="Yes",50&gt;=Projects!$C$23,50&lt;Projects!$C$23+Projects!$D$23),Projects!$B$23*INDEX(Curves!$B$4:$AR$4,1,50-Projects!$C$23+1),0)+IF(AND(Projects!$G$24="Yes",50&gt;=Projects!$C$24,50&lt;Projects!$C$24+Projects!$D$24),Projects!$B$24*INDEX(Curves!$B$4:$AR$4,1,50-Projects!$C$24+1),0)+IF(AND(Projects!$G$25="Yes",50&gt;=Projects!$C$25,50&lt;Projects!$C$25+Projects!$D$25),Projects!$B$25*INDEX(Curves!$B$4:$AR$4,1,50-Projects!$C$25+1),0)+IF(AND(Projects!$G$26="Yes",50&gt;=Projects!$C$26,50&lt;Projects!$C$26+Projects!$D$26),Projects!$B$26*INDEX(Curves!$B$4:$AR$4,1,50-Projects!$C$26+1),0)+IF(AND(Projects!$G$27="Yes",50&gt;=Projects!$C$27,50&lt;Projects!$C$27+Projects!$D$27),Projects!$B$27*INDEX(Curves!$B$4:$AR$4,1,50-Projects!$C$27+1),0)+IF(AND(Projects!$G$28="Yes",50&gt;=Projects!$C$28,50&lt;Projects!$C$28+Projects!$D$28),Projects!$B$28*INDEX(Curves!$B$4:$AR$4,1,50-Projects!$C$28+1),0)+IF(AND(Projects!$G$29="Yes",50&gt;=Projects!$C$29,50&lt;Projects!$C$29+Projects!$D$29),Projects!$B$29*INDEX(Curves!$B$4:$AR$4,1,50-Projects!$C$29+1),0)+IF(AND(Projects!$G$30="Yes",50&gt;=Projects!$C$30,50&lt;Projects!$C$30+Projects!$D$30),Projects!$B$30*INDEX(Curves!$B$4:$AR$4,1,50-Projects!$C$30+1),0)+IF(AND(Projects!$G$31="Yes",50&gt;=Projects!$C$31,50&lt;Projects!$C$31+Projects!$D$31),Projects!$B$31*INDEX(Curves!$B$4:$AR$4,1,50-Projects!$C$31+1),0)+IF(AND(Projects!$G$32="Yes",50&gt;=Projects!$C$32,50&lt;Projects!$C$32+Projects!$D$32),Projects!$B$32*INDEX(Curves!$B$4:$AR$4,1,50-Projects!$C$32+1),0)+IF(AND(Projects!$G$33="Yes",50&gt;=Projects!$C$33,50&lt;Projects!$C$33+Projects!$D$33),Projects!$B$33*INDEX(Curves!$B$4:$AR$4,1,50-Projects!$C$33+1),0)+IF(AND(Projects!$G$34="Yes",50&gt;=Projects!$C$34,50&lt;Projects!$C$34+Projects!$D$34),Projects!$B$34*INDEX(Curves!$B$4:$AR$4,1,50-Projects!$C$34+1),0)+IF(AND(Projects!$G$35="Yes",50&gt;=Projects!$C$35,50&lt;Projects!$C$35+Projects!$D$35),Projects!$B$35*INDEX(Curves!$B$4:$AR$4,1,50-Projects!$C$35+1),0)+IF(AND(Projects!$G$36="Yes",50&gt;=Projects!$C$36,50&lt;Projects!$C$36+Projects!$D$36),Projects!$B$36*INDEX(Curves!$B$4:$AR$4,1,50-Projects!$C$36+1),0)+IF(AND(Projects!$G$37="Yes",50&gt;=Projects!$C$37,50&lt;Projects!$C$37+Projects!$D$37),Projects!$B$37*INDEX(Curves!$B$4:$AR$4,1,50-Projects!$C$37+1),0)+IF(AND(Projects!$G$38="Yes",50&gt;=Projects!$C$38,50&lt;Projects!$C$38+Projects!$D$38),Projects!$B$38*INDEX(Curves!$B$4:$AR$4,1,50-Projects!$C$38+1),0)+IF(AND(Projects!$G$39="Yes",50&gt;=Projects!$C$39,50&lt;Projects!$C$39+Projects!$D$39),Projects!$B$39*INDEX(Curves!$B$4:$AR$4,1,50-Projects!$C$39+1),0)+IF(AND(Projects!$G$40="Yes",50&gt;=Projects!$C$40,50&lt;Projects!$C$40+Projects!$D$40),Projects!$B$40*INDEX(Curves!$B$4:$AR$4,1,50-Projects!$C$40+1),0)+IF(AND(Projects!$G$41="Yes",50&gt;=Projects!$C$41,50&lt;Projects!$C$41+Projects!$D$41),Projects!$B$41*INDEX(Curves!$B$4:$AR$4,1,50-Projects!$C$41+1),0)+IF(AND(Projects!$G$42="Yes",50&gt;=Projects!$C$42,50&lt;Projects!$C$42+Projects!$D$42),Projects!$B$42*INDEX(Curves!$B$4:$AR$4,1,50-Projects!$C$42+1),0)+IF(AND(Projects!$G$43="Yes",50&gt;=Projects!$C$43,50&lt;Projects!$C$43+Projects!$D$43),Projects!$B$43*INDEX(Curves!$B$4:$AR$4,1,50-Projects!$C$43+1),0)+IF(AND(Projects!$G$44="Yes",50&gt;=Projects!$C$44,50&lt;Projects!$C$44+Projects!$D$44),Projects!$B$44*INDEX(Curves!$B$4:$AR$4,1,50-Projects!$C$44+1),0)+IF(AND(Projects!$G$45="Yes",50&gt;=Projects!$C$45,50&lt;Projects!$C$45+Projects!$D$45),Projects!$B$45*INDEX(Curves!$B$4:$AR$4,1,50-Projects!$C$45+1),0)+IF(AND(Projects!$G$46="Yes",50&gt;=Projects!$C$46,50&lt;Projects!$C$46+Projects!$D$46),Projects!$B$46*INDEX(Curves!$B$4:$AR$4,1,50-Projects!$C$46+1),0)</f>
        <v>0</v>
      </c>
      <c r="BD96" s="83" t="n">
        <f aca="false">IF(AND(Projects!$G$17="Yes",51&gt;=Projects!$C$17,51&lt;Projects!$C$17+Projects!$D$17),Projects!$B$17*INDEX(Curves!$B$4:$AR$4,1,51-Projects!$C$17+1),0)+IF(AND(Projects!$G$18="Yes",51&gt;=Projects!$C$18,51&lt;Projects!$C$18+Projects!$D$18),Projects!$B$18*INDEX(Curves!$B$4:$AR$4,1,51-Projects!$C$18+1),0)+IF(AND(Projects!$G$19="Yes",51&gt;=Projects!$C$19,51&lt;Projects!$C$19+Projects!$D$19),Projects!$B$19*INDEX(Curves!$B$4:$AR$4,1,51-Projects!$C$19+1),0)+IF(AND(Projects!$G$20="Yes",51&gt;=Projects!$C$20,51&lt;Projects!$C$20+Projects!$D$20),Projects!$B$20*INDEX(Curves!$B$4:$AR$4,1,51-Projects!$C$20+1),0)+IF(AND(Projects!$G$21="Yes",51&gt;=Projects!$C$21,51&lt;Projects!$C$21+Projects!$D$21),Projects!$B$21*INDEX(Curves!$B$4:$AR$4,1,51-Projects!$C$21+1),0)+IF(AND(Projects!$G$22="Yes",51&gt;=Projects!$C$22,51&lt;Projects!$C$22+Projects!$D$22),Projects!$B$22*INDEX(Curves!$B$4:$AR$4,1,51-Projects!$C$22+1),0)+IF(AND(Projects!$G$23="Yes",51&gt;=Projects!$C$23,51&lt;Projects!$C$23+Projects!$D$23),Projects!$B$23*INDEX(Curves!$B$4:$AR$4,1,51-Projects!$C$23+1),0)+IF(AND(Projects!$G$24="Yes",51&gt;=Projects!$C$24,51&lt;Projects!$C$24+Projects!$D$24),Projects!$B$24*INDEX(Curves!$B$4:$AR$4,1,51-Projects!$C$24+1),0)+IF(AND(Projects!$G$25="Yes",51&gt;=Projects!$C$25,51&lt;Projects!$C$25+Projects!$D$25),Projects!$B$25*INDEX(Curves!$B$4:$AR$4,1,51-Projects!$C$25+1),0)+IF(AND(Projects!$G$26="Yes",51&gt;=Projects!$C$26,51&lt;Projects!$C$26+Projects!$D$26),Projects!$B$26*INDEX(Curves!$B$4:$AR$4,1,51-Projects!$C$26+1),0)+IF(AND(Projects!$G$27="Yes",51&gt;=Projects!$C$27,51&lt;Projects!$C$27+Projects!$D$27),Projects!$B$27*INDEX(Curves!$B$4:$AR$4,1,51-Projects!$C$27+1),0)+IF(AND(Projects!$G$28="Yes",51&gt;=Projects!$C$28,51&lt;Projects!$C$28+Projects!$D$28),Projects!$B$28*INDEX(Curves!$B$4:$AR$4,1,51-Projects!$C$28+1),0)+IF(AND(Projects!$G$29="Yes",51&gt;=Projects!$C$29,51&lt;Projects!$C$29+Projects!$D$29),Projects!$B$29*INDEX(Curves!$B$4:$AR$4,1,51-Projects!$C$29+1),0)+IF(AND(Projects!$G$30="Yes",51&gt;=Projects!$C$30,51&lt;Projects!$C$30+Projects!$D$30),Projects!$B$30*INDEX(Curves!$B$4:$AR$4,1,51-Projects!$C$30+1),0)+IF(AND(Projects!$G$31="Yes",51&gt;=Projects!$C$31,51&lt;Projects!$C$31+Projects!$D$31),Projects!$B$31*INDEX(Curves!$B$4:$AR$4,1,51-Projects!$C$31+1),0)+IF(AND(Projects!$G$32="Yes",51&gt;=Projects!$C$32,51&lt;Projects!$C$32+Projects!$D$32),Projects!$B$32*INDEX(Curves!$B$4:$AR$4,1,51-Projects!$C$32+1),0)+IF(AND(Projects!$G$33="Yes",51&gt;=Projects!$C$33,51&lt;Projects!$C$33+Projects!$D$33),Projects!$B$33*INDEX(Curves!$B$4:$AR$4,1,51-Projects!$C$33+1),0)+IF(AND(Projects!$G$34="Yes",51&gt;=Projects!$C$34,51&lt;Projects!$C$34+Projects!$D$34),Projects!$B$34*INDEX(Curves!$B$4:$AR$4,1,51-Projects!$C$34+1),0)+IF(AND(Projects!$G$35="Yes",51&gt;=Projects!$C$35,51&lt;Projects!$C$35+Projects!$D$35),Projects!$B$35*INDEX(Curves!$B$4:$AR$4,1,51-Projects!$C$35+1),0)+IF(AND(Projects!$G$36="Yes",51&gt;=Projects!$C$36,51&lt;Projects!$C$36+Projects!$D$36),Projects!$B$36*INDEX(Curves!$B$4:$AR$4,1,51-Projects!$C$36+1),0)+IF(AND(Projects!$G$37="Yes",51&gt;=Projects!$C$37,51&lt;Projects!$C$37+Projects!$D$37),Projects!$B$37*INDEX(Curves!$B$4:$AR$4,1,51-Projects!$C$37+1),0)+IF(AND(Projects!$G$38="Yes",51&gt;=Projects!$C$38,51&lt;Projects!$C$38+Projects!$D$38),Projects!$B$38*INDEX(Curves!$B$4:$AR$4,1,51-Projects!$C$38+1),0)+IF(AND(Projects!$G$39="Yes",51&gt;=Projects!$C$39,51&lt;Projects!$C$39+Projects!$D$39),Projects!$B$39*INDEX(Curves!$B$4:$AR$4,1,51-Projects!$C$39+1),0)+IF(AND(Projects!$G$40="Yes",51&gt;=Projects!$C$40,51&lt;Projects!$C$40+Projects!$D$40),Projects!$B$40*INDEX(Curves!$B$4:$AR$4,1,51-Projects!$C$40+1),0)+IF(AND(Projects!$G$41="Yes",51&gt;=Projects!$C$41,51&lt;Projects!$C$41+Projects!$D$41),Projects!$B$41*INDEX(Curves!$B$4:$AR$4,1,51-Projects!$C$41+1),0)+IF(AND(Projects!$G$42="Yes",51&gt;=Projects!$C$42,51&lt;Projects!$C$42+Projects!$D$42),Projects!$B$42*INDEX(Curves!$B$4:$AR$4,1,51-Projects!$C$42+1),0)+IF(AND(Projects!$G$43="Yes",51&gt;=Projects!$C$43,51&lt;Projects!$C$43+Projects!$D$43),Projects!$B$43*INDEX(Curves!$B$4:$AR$4,1,51-Projects!$C$43+1),0)+IF(AND(Projects!$G$44="Yes",51&gt;=Projects!$C$44,51&lt;Projects!$C$44+Projects!$D$44),Projects!$B$44*INDEX(Curves!$B$4:$AR$4,1,51-Projects!$C$44+1),0)+IF(AND(Projects!$G$45="Yes",51&gt;=Projects!$C$45,51&lt;Projects!$C$45+Projects!$D$45),Projects!$B$45*INDEX(Curves!$B$4:$AR$4,1,51-Projects!$C$45+1),0)+IF(AND(Projects!$G$46="Yes",51&gt;=Projects!$C$46,51&lt;Projects!$C$46+Projects!$D$46),Projects!$B$46*INDEX(Curves!$B$4:$AR$4,1,51-Projects!$C$46+1),0)</f>
        <v>0</v>
      </c>
      <c r="BE96" s="83" t="n">
        <f aca="false">IF(AND(Projects!$G$17="Yes",52&gt;=Projects!$C$17,52&lt;Projects!$C$17+Projects!$D$17),Projects!$B$17*INDEX(Curves!$B$4:$AR$4,1,52-Projects!$C$17+1),0)+IF(AND(Projects!$G$18="Yes",52&gt;=Projects!$C$18,52&lt;Projects!$C$18+Projects!$D$18),Projects!$B$18*INDEX(Curves!$B$4:$AR$4,1,52-Projects!$C$18+1),0)+IF(AND(Projects!$G$19="Yes",52&gt;=Projects!$C$19,52&lt;Projects!$C$19+Projects!$D$19),Projects!$B$19*INDEX(Curves!$B$4:$AR$4,1,52-Projects!$C$19+1),0)+IF(AND(Projects!$G$20="Yes",52&gt;=Projects!$C$20,52&lt;Projects!$C$20+Projects!$D$20),Projects!$B$20*INDEX(Curves!$B$4:$AR$4,1,52-Projects!$C$20+1),0)+IF(AND(Projects!$G$21="Yes",52&gt;=Projects!$C$21,52&lt;Projects!$C$21+Projects!$D$21),Projects!$B$21*INDEX(Curves!$B$4:$AR$4,1,52-Projects!$C$21+1),0)+IF(AND(Projects!$G$22="Yes",52&gt;=Projects!$C$22,52&lt;Projects!$C$22+Projects!$D$22),Projects!$B$22*INDEX(Curves!$B$4:$AR$4,1,52-Projects!$C$22+1),0)+IF(AND(Projects!$G$23="Yes",52&gt;=Projects!$C$23,52&lt;Projects!$C$23+Projects!$D$23),Projects!$B$23*INDEX(Curves!$B$4:$AR$4,1,52-Projects!$C$23+1),0)+IF(AND(Projects!$G$24="Yes",52&gt;=Projects!$C$24,52&lt;Projects!$C$24+Projects!$D$24),Projects!$B$24*INDEX(Curves!$B$4:$AR$4,1,52-Projects!$C$24+1),0)+IF(AND(Projects!$G$25="Yes",52&gt;=Projects!$C$25,52&lt;Projects!$C$25+Projects!$D$25),Projects!$B$25*INDEX(Curves!$B$4:$AR$4,1,52-Projects!$C$25+1),0)+IF(AND(Projects!$G$26="Yes",52&gt;=Projects!$C$26,52&lt;Projects!$C$26+Projects!$D$26),Projects!$B$26*INDEX(Curves!$B$4:$AR$4,1,52-Projects!$C$26+1),0)+IF(AND(Projects!$G$27="Yes",52&gt;=Projects!$C$27,52&lt;Projects!$C$27+Projects!$D$27),Projects!$B$27*INDEX(Curves!$B$4:$AR$4,1,52-Projects!$C$27+1),0)+IF(AND(Projects!$G$28="Yes",52&gt;=Projects!$C$28,52&lt;Projects!$C$28+Projects!$D$28),Projects!$B$28*INDEX(Curves!$B$4:$AR$4,1,52-Projects!$C$28+1),0)+IF(AND(Projects!$G$29="Yes",52&gt;=Projects!$C$29,52&lt;Projects!$C$29+Projects!$D$29),Projects!$B$29*INDEX(Curves!$B$4:$AR$4,1,52-Projects!$C$29+1),0)+IF(AND(Projects!$G$30="Yes",52&gt;=Projects!$C$30,52&lt;Projects!$C$30+Projects!$D$30),Projects!$B$30*INDEX(Curves!$B$4:$AR$4,1,52-Projects!$C$30+1),0)+IF(AND(Projects!$G$31="Yes",52&gt;=Projects!$C$31,52&lt;Projects!$C$31+Projects!$D$31),Projects!$B$31*INDEX(Curves!$B$4:$AR$4,1,52-Projects!$C$31+1),0)+IF(AND(Projects!$G$32="Yes",52&gt;=Projects!$C$32,52&lt;Projects!$C$32+Projects!$D$32),Projects!$B$32*INDEX(Curves!$B$4:$AR$4,1,52-Projects!$C$32+1),0)+IF(AND(Projects!$G$33="Yes",52&gt;=Projects!$C$33,52&lt;Projects!$C$33+Projects!$D$33),Projects!$B$33*INDEX(Curves!$B$4:$AR$4,1,52-Projects!$C$33+1),0)+IF(AND(Projects!$G$34="Yes",52&gt;=Projects!$C$34,52&lt;Projects!$C$34+Projects!$D$34),Projects!$B$34*INDEX(Curves!$B$4:$AR$4,1,52-Projects!$C$34+1),0)+IF(AND(Projects!$G$35="Yes",52&gt;=Projects!$C$35,52&lt;Projects!$C$35+Projects!$D$35),Projects!$B$35*INDEX(Curves!$B$4:$AR$4,1,52-Projects!$C$35+1),0)+IF(AND(Projects!$G$36="Yes",52&gt;=Projects!$C$36,52&lt;Projects!$C$36+Projects!$D$36),Projects!$B$36*INDEX(Curves!$B$4:$AR$4,1,52-Projects!$C$36+1),0)+IF(AND(Projects!$G$37="Yes",52&gt;=Projects!$C$37,52&lt;Projects!$C$37+Projects!$D$37),Projects!$B$37*INDEX(Curves!$B$4:$AR$4,1,52-Projects!$C$37+1),0)+IF(AND(Projects!$G$38="Yes",52&gt;=Projects!$C$38,52&lt;Projects!$C$38+Projects!$D$38),Projects!$B$38*INDEX(Curves!$B$4:$AR$4,1,52-Projects!$C$38+1),0)+IF(AND(Projects!$G$39="Yes",52&gt;=Projects!$C$39,52&lt;Projects!$C$39+Projects!$D$39),Projects!$B$39*INDEX(Curves!$B$4:$AR$4,1,52-Projects!$C$39+1),0)+IF(AND(Projects!$G$40="Yes",52&gt;=Projects!$C$40,52&lt;Projects!$C$40+Projects!$D$40),Projects!$B$40*INDEX(Curves!$B$4:$AR$4,1,52-Projects!$C$40+1),0)+IF(AND(Projects!$G$41="Yes",52&gt;=Projects!$C$41,52&lt;Projects!$C$41+Projects!$D$41),Projects!$B$41*INDEX(Curves!$B$4:$AR$4,1,52-Projects!$C$41+1),0)+IF(AND(Projects!$G$42="Yes",52&gt;=Projects!$C$42,52&lt;Projects!$C$42+Projects!$D$42),Projects!$B$42*INDEX(Curves!$B$4:$AR$4,1,52-Projects!$C$42+1),0)+IF(AND(Projects!$G$43="Yes",52&gt;=Projects!$C$43,52&lt;Projects!$C$43+Projects!$D$43),Projects!$B$43*INDEX(Curves!$B$4:$AR$4,1,52-Projects!$C$43+1),0)+IF(AND(Projects!$G$44="Yes",52&gt;=Projects!$C$44,52&lt;Projects!$C$44+Projects!$D$44),Projects!$B$44*INDEX(Curves!$B$4:$AR$4,1,52-Projects!$C$44+1),0)+IF(AND(Projects!$G$45="Yes",52&gt;=Projects!$C$45,52&lt;Projects!$C$45+Projects!$D$45),Projects!$B$45*INDEX(Curves!$B$4:$AR$4,1,52-Projects!$C$45+1),0)+IF(AND(Projects!$G$46="Yes",52&gt;=Projects!$C$46,52&lt;Projects!$C$46+Projects!$D$46),Projects!$B$46*INDEX(Curves!$B$4:$AR$4,1,52-Projects!$C$46+1),0)</f>
        <v>0</v>
      </c>
      <c r="BF96" s="83" t="n">
        <f aca="false">IF(AND(Projects!$G$17="Yes",53&gt;=Projects!$C$17,53&lt;Projects!$C$17+Projects!$D$17),Projects!$B$17*INDEX(Curves!$B$4:$AR$4,1,53-Projects!$C$17+1),0)+IF(AND(Projects!$G$18="Yes",53&gt;=Projects!$C$18,53&lt;Projects!$C$18+Projects!$D$18),Projects!$B$18*INDEX(Curves!$B$4:$AR$4,1,53-Projects!$C$18+1),0)+IF(AND(Projects!$G$19="Yes",53&gt;=Projects!$C$19,53&lt;Projects!$C$19+Projects!$D$19),Projects!$B$19*INDEX(Curves!$B$4:$AR$4,1,53-Projects!$C$19+1),0)+IF(AND(Projects!$G$20="Yes",53&gt;=Projects!$C$20,53&lt;Projects!$C$20+Projects!$D$20),Projects!$B$20*INDEX(Curves!$B$4:$AR$4,1,53-Projects!$C$20+1),0)+IF(AND(Projects!$G$21="Yes",53&gt;=Projects!$C$21,53&lt;Projects!$C$21+Projects!$D$21),Projects!$B$21*INDEX(Curves!$B$4:$AR$4,1,53-Projects!$C$21+1),0)+IF(AND(Projects!$G$22="Yes",53&gt;=Projects!$C$22,53&lt;Projects!$C$22+Projects!$D$22),Projects!$B$22*INDEX(Curves!$B$4:$AR$4,1,53-Projects!$C$22+1),0)+IF(AND(Projects!$G$23="Yes",53&gt;=Projects!$C$23,53&lt;Projects!$C$23+Projects!$D$23),Projects!$B$23*INDEX(Curves!$B$4:$AR$4,1,53-Projects!$C$23+1),0)+IF(AND(Projects!$G$24="Yes",53&gt;=Projects!$C$24,53&lt;Projects!$C$24+Projects!$D$24),Projects!$B$24*INDEX(Curves!$B$4:$AR$4,1,53-Projects!$C$24+1),0)+IF(AND(Projects!$G$25="Yes",53&gt;=Projects!$C$25,53&lt;Projects!$C$25+Projects!$D$25),Projects!$B$25*INDEX(Curves!$B$4:$AR$4,1,53-Projects!$C$25+1),0)+IF(AND(Projects!$G$26="Yes",53&gt;=Projects!$C$26,53&lt;Projects!$C$26+Projects!$D$26),Projects!$B$26*INDEX(Curves!$B$4:$AR$4,1,53-Projects!$C$26+1),0)+IF(AND(Projects!$G$27="Yes",53&gt;=Projects!$C$27,53&lt;Projects!$C$27+Projects!$D$27),Projects!$B$27*INDEX(Curves!$B$4:$AR$4,1,53-Projects!$C$27+1),0)+IF(AND(Projects!$G$28="Yes",53&gt;=Projects!$C$28,53&lt;Projects!$C$28+Projects!$D$28),Projects!$B$28*INDEX(Curves!$B$4:$AR$4,1,53-Projects!$C$28+1),0)+IF(AND(Projects!$G$29="Yes",53&gt;=Projects!$C$29,53&lt;Projects!$C$29+Projects!$D$29),Projects!$B$29*INDEX(Curves!$B$4:$AR$4,1,53-Projects!$C$29+1),0)+IF(AND(Projects!$G$30="Yes",53&gt;=Projects!$C$30,53&lt;Projects!$C$30+Projects!$D$30),Projects!$B$30*INDEX(Curves!$B$4:$AR$4,1,53-Projects!$C$30+1),0)+IF(AND(Projects!$G$31="Yes",53&gt;=Projects!$C$31,53&lt;Projects!$C$31+Projects!$D$31),Projects!$B$31*INDEX(Curves!$B$4:$AR$4,1,53-Projects!$C$31+1),0)+IF(AND(Projects!$G$32="Yes",53&gt;=Projects!$C$32,53&lt;Projects!$C$32+Projects!$D$32),Projects!$B$32*INDEX(Curves!$B$4:$AR$4,1,53-Projects!$C$32+1),0)+IF(AND(Projects!$G$33="Yes",53&gt;=Projects!$C$33,53&lt;Projects!$C$33+Projects!$D$33),Projects!$B$33*INDEX(Curves!$B$4:$AR$4,1,53-Projects!$C$33+1),0)+IF(AND(Projects!$G$34="Yes",53&gt;=Projects!$C$34,53&lt;Projects!$C$34+Projects!$D$34),Projects!$B$34*INDEX(Curves!$B$4:$AR$4,1,53-Projects!$C$34+1),0)+IF(AND(Projects!$G$35="Yes",53&gt;=Projects!$C$35,53&lt;Projects!$C$35+Projects!$D$35),Projects!$B$35*INDEX(Curves!$B$4:$AR$4,1,53-Projects!$C$35+1),0)+IF(AND(Projects!$G$36="Yes",53&gt;=Projects!$C$36,53&lt;Projects!$C$36+Projects!$D$36),Projects!$B$36*INDEX(Curves!$B$4:$AR$4,1,53-Projects!$C$36+1),0)+IF(AND(Projects!$G$37="Yes",53&gt;=Projects!$C$37,53&lt;Projects!$C$37+Projects!$D$37),Projects!$B$37*INDEX(Curves!$B$4:$AR$4,1,53-Projects!$C$37+1),0)+IF(AND(Projects!$G$38="Yes",53&gt;=Projects!$C$38,53&lt;Projects!$C$38+Projects!$D$38),Projects!$B$38*INDEX(Curves!$B$4:$AR$4,1,53-Projects!$C$38+1),0)+IF(AND(Projects!$G$39="Yes",53&gt;=Projects!$C$39,53&lt;Projects!$C$39+Projects!$D$39),Projects!$B$39*INDEX(Curves!$B$4:$AR$4,1,53-Projects!$C$39+1),0)+IF(AND(Projects!$G$40="Yes",53&gt;=Projects!$C$40,53&lt;Projects!$C$40+Projects!$D$40),Projects!$B$40*INDEX(Curves!$B$4:$AR$4,1,53-Projects!$C$40+1),0)+IF(AND(Projects!$G$41="Yes",53&gt;=Projects!$C$41,53&lt;Projects!$C$41+Projects!$D$41),Projects!$B$41*INDEX(Curves!$B$4:$AR$4,1,53-Projects!$C$41+1),0)+IF(AND(Projects!$G$42="Yes",53&gt;=Projects!$C$42,53&lt;Projects!$C$42+Projects!$D$42),Projects!$B$42*INDEX(Curves!$B$4:$AR$4,1,53-Projects!$C$42+1),0)+IF(AND(Projects!$G$43="Yes",53&gt;=Projects!$C$43,53&lt;Projects!$C$43+Projects!$D$43),Projects!$B$43*INDEX(Curves!$B$4:$AR$4,1,53-Projects!$C$43+1),0)+IF(AND(Projects!$G$44="Yes",53&gt;=Projects!$C$44,53&lt;Projects!$C$44+Projects!$D$44),Projects!$B$44*INDEX(Curves!$B$4:$AR$4,1,53-Projects!$C$44+1),0)+IF(AND(Projects!$G$45="Yes",53&gt;=Projects!$C$45,53&lt;Projects!$C$45+Projects!$D$45),Projects!$B$45*INDEX(Curves!$B$4:$AR$4,1,53-Projects!$C$45+1),0)+IF(AND(Projects!$G$46="Yes",53&gt;=Projects!$C$46,53&lt;Projects!$C$46+Projects!$D$46),Projects!$B$46*INDEX(Curves!$B$4:$AR$4,1,53-Projects!$C$46+1),0)</f>
        <v>0</v>
      </c>
      <c r="BG96" s="83" t="n">
        <f aca="false">IF(AND(Projects!$G$17="Yes",54&gt;=Projects!$C$17,54&lt;Projects!$C$17+Projects!$D$17),Projects!$B$17*INDEX(Curves!$B$4:$AR$4,1,54-Projects!$C$17+1),0)+IF(AND(Projects!$G$18="Yes",54&gt;=Projects!$C$18,54&lt;Projects!$C$18+Projects!$D$18),Projects!$B$18*INDEX(Curves!$B$4:$AR$4,1,54-Projects!$C$18+1),0)+IF(AND(Projects!$G$19="Yes",54&gt;=Projects!$C$19,54&lt;Projects!$C$19+Projects!$D$19),Projects!$B$19*INDEX(Curves!$B$4:$AR$4,1,54-Projects!$C$19+1),0)+IF(AND(Projects!$G$20="Yes",54&gt;=Projects!$C$20,54&lt;Projects!$C$20+Projects!$D$20),Projects!$B$20*INDEX(Curves!$B$4:$AR$4,1,54-Projects!$C$20+1),0)+IF(AND(Projects!$G$21="Yes",54&gt;=Projects!$C$21,54&lt;Projects!$C$21+Projects!$D$21),Projects!$B$21*INDEX(Curves!$B$4:$AR$4,1,54-Projects!$C$21+1),0)+IF(AND(Projects!$G$22="Yes",54&gt;=Projects!$C$22,54&lt;Projects!$C$22+Projects!$D$22),Projects!$B$22*INDEX(Curves!$B$4:$AR$4,1,54-Projects!$C$22+1),0)+IF(AND(Projects!$G$23="Yes",54&gt;=Projects!$C$23,54&lt;Projects!$C$23+Projects!$D$23),Projects!$B$23*INDEX(Curves!$B$4:$AR$4,1,54-Projects!$C$23+1),0)+IF(AND(Projects!$G$24="Yes",54&gt;=Projects!$C$24,54&lt;Projects!$C$24+Projects!$D$24),Projects!$B$24*INDEX(Curves!$B$4:$AR$4,1,54-Projects!$C$24+1),0)+IF(AND(Projects!$G$25="Yes",54&gt;=Projects!$C$25,54&lt;Projects!$C$25+Projects!$D$25),Projects!$B$25*INDEX(Curves!$B$4:$AR$4,1,54-Projects!$C$25+1),0)+IF(AND(Projects!$G$26="Yes",54&gt;=Projects!$C$26,54&lt;Projects!$C$26+Projects!$D$26),Projects!$B$26*INDEX(Curves!$B$4:$AR$4,1,54-Projects!$C$26+1),0)+IF(AND(Projects!$G$27="Yes",54&gt;=Projects!$C$27,54&lt;Projects!$C$27+Projects!$D$27),Projects!$B$27*INDEX(Curves!$B$4:$AR$4,1,54-Projects!$C$27+1),0)+IF(AND(Projects!$G$28="Yes",54&gt;=Projects!$C$28,54&lt;Projects!$C$28+Projects!$D$28),Projects!$B$28*INDEX(Curves!$B$4:$AR$4,1,54-Projects!$C$28+1),0)+IF(AND(Projects!$G$29="Yes",54&gt;=Projects!$C$29,54&lt;Projects!$C$29+Projects!$D$29),Projects!$B$29*INDEX(Curves!$B$4:$AR$4,1,54-Projects!$C$29+1),0)+IF(AND(Projects!$G$30="Yes",54&gt;=Projects!$C$30,54&lt;Projects!$C$30+Projects!$D$30),Projects!$B$30*INDEX(Curves!$B$4:$AR$4,1,54-Projects!$C$30+1),0)+IF(AND(Projects!$G$31="Yes",54&gt;=Projects!$C$31,54&lt;Projects!$C$31+Projects!$D$31),Projects!$B$31*INDEX(Curves!$B$4:$AR$4,1,54-Projects!$C$31+1),0)+IF(AND(Projects!$G$32="Yes",54&gt;=Projects!$C$32,54&lt;Projects!$C$32+Projects!$D$32),Projects!$B$32*INDEX(Curves!$B$4:$AR$4,1,54-Projects!$C$32+1),0)+IF(AND(Projects!$G$33="Yes",54&gt;=Projects!$C$33,54&lt;Projects!$C$33+Projects!$D$33),Projects!$B$33*INDEX(Curves!$B$4:$AR$4,1,54-Projects!$C$33+1),0)+IF(AND(Projects!$G$34="Yes",54&gt;=Projects!$C$34,54&lt;Projects!$C$34+Projects!$D$34),Projects!$B$34*INDEX(Curves!$B$4:$AR$4,1,54-Projects!$C$34+1),0)+IF(AND(Projects!$G$35="Yes",54&gt;=Projects!$C$35,54&lt;Projects!$C$35+Projects!$D$35),Projects!$B$35*INDEX(Curves!$B$4:$AR$4,1,54-Projects!$C$35+1),0)+IF(AND(Projects!$G$36="Yes",54&gt;=Projects!$C$36,54&lt;Projects!$C$36+Projects!$D$36),Projects!$B$36*INDEX(Curves!$B$4:$AR$4,1,54-Projects!$C$36+1),0)+IF(AND(Projects!$G$37="Yes",54&gt;=Projects!$C$37,54&lt;Projects!$C$37+Projects!$D$37),Projects!$B$37*INDEX(Curves!$B$4:$AR$4,1,54-Projects!$C$37+1),0)+IF(AND(Projects!$G$38="Yes",54&gt;=Projects!$C$38,54&lt;Projects!$C$38+Projects!$D$38),Projects!$B$38*INDEX(Curves!$B$4:$AR$4,1,54-Projects!$C$38+1),0)+IF(AND(Projects!$G$39="Yes",54&gt;=Projects!$C$39,54&lt;Projects!$C$39+Projects!$D$39),Projects!$B$39*INDEX(Curves!$B$4:$AR$4,1,54-Projects!$C$39+1),0)+IF(AND(Projects!$G$40="Yes",54&gt;=Projects!$C$40,54&lt;Projects!$C$40+Projects!$D$40),Projects!$B$40*INDEX(Curves!$B$4:$AR$4,1,54-Projects!$C$40+1),0)+IF(AND(Projects!$G$41="Yes",54&gt;=Projects!$C$41,54&lt;Projects!$C$41+Projects!$D$41),Projects!$B$41*INDEX(Curves!$B$4:$AR$4,1,54-Projects!$C$41+1),0)+IF(AND(Projects!$G$42="Yes",54&gt;=Projects!$C$42,54&lt;Projects!$C$42+Projects!$D$42),Projects!$B$42*INDEX(Curves!$B$4:$AR$4,1,54-Projects!$C$42+1),0)+IF(AND(Projects!$G$43="Yes",54&gt;=Projects!$C$43,54&lt;Projects!$C$43+Projects!$D$43),Projects!$B$43*INDEX(Curves!$B$4:$AR$4,1,54-Projects!$C$43+1),0)+IF(AND(Projects!$G$44="Yes",54&gt;=Projects!$C$44,54&lt;Projects!$C$44+Projects!$D$44),Projects!$B$44*INDEX(Curves!$B$4:$AR$4,1,54-Projects!$C$44+1),0)+IF(AND(Projects!$G$45="Yes",54&gt;=Projects!$C$45,54&lt;Projects!$C$45+Projects!$D$45),Projects!$B$45*INDEX(Curves!$B$4:$AR$4,1,54-Projects!$C$45+1),0)+IF(AND(Projects!$G$46="Yes",54&gt;=Projects!$C$46,54&lt;Projects!$C$46+Projects!$D$46),Projects!$B$46*INDEX(Curves!$B$4:$AR$4,1,54-Projects!$C$46+1),0)</f>
        <v>0</v>
      </c>
      <c r="BH96" s="83" t="n">
        <f aca="false">IF(AND(Projects!$G$17="Yes",55&gt;=Projects!$C$17,55&lt;Projects!$C$17+Projects!$D$17),Projects!$B$17*INDEX(Curves!$B$4:$AR$4,1,55-Projects!$C$17+1),0)+IF(AND(Projects!$G$18="Yes",55&gt;=Projects!$C$18,55&lt;Projects!$C$18+Projects!$D$18),Projects!$B$18*INDEX(Curves!$B$4:$AR$4,1,55-Projects!$C$18+1),0)+IF(AND(Projects!$G$19="Yes",55&gt;=Projects!$C$19,55&lt;Projects!$C$19+Projects!$D$19),Projects!$B$19*INDEX(Curves!$B$4:$AR$4,1,55-Projects!$C$19+1),0)+IF(AND(Projects!$G$20="Yes",55&gt;=Projects!$C$20,55&lt;Projects!$C$20+Projects!$D$20),Projects!$B$20*INDEX(Curves!$B$4:$AR$4,1,55-Projects!$C$20+1),0)+IF(AND(Projects!$G$21="Yes",55&gt;=Projects!$C$21,55&lt;Projects!$C$21+Projects!$D$21),Projects!$B$21*INDEX(Curves!$B$4:$AR$4,1,55-Projects!$C$21+1),0)+IF(AND(Projects!$G$22="Yes",55&gt;=Projects!$C$22,55&lt;Projects!$C$22+Projects!$D$22),Projects!$B$22*INDEX(Curves!$B$4:$AR$4,1,55-Projects!$C$22+1),0)+IF(AND(Projects!$G$23="Yes",55&gt;=Projects!$C$23,55&lt;Projects!$C$23+Projects!$D$23),Projects!$B$23*INDEX(Curves!$B$4:$AR$4,1,55-Projects!$C$23+1),0)+IF(AND(Projects!$G$24="Yes",55&gt;=Projects!$C$24,55&lt;Projects!$C$24+Projects!$D$24),Projects!$B$24*INDEX(Curves!$B$4:$AR$4,1,55-Projects!$C$24+1),0)+IF(AND(Projects!$G$25="Yes",55&gt;=Projects!$C$25,55&lt;Projects!$C$25+Projects!$D$25),Projects!$B$25*INDEX(Curves!$B$4:$AR$4,1,55-Projects!$C$25+1),0)+IF(AND(Projects!$G$26="Yes",55&gt;=Projects!$C$26,55&lt;Projects!$C$26+Projects!$D$26),Projects!$B$26*INDEX(Curves!$B$4:$AR$4,1,55-Projects!$C$26+1),0)+IF(AND(Projects!$G$27="Yes",55&gt;=Projects!$C$27,55&lt;Projects!$C$27+Projects!$D$27),Projects!$B$27*INDEX(Curves!$B$4:$AR$4,1,55-Projects!$C$27+1),0)+IF(AND(Projects!$G$28="Yes",55&gt;=Projects!$C$28,55&lt;Projects!$C$28+Projects!$D$28),Projects!$B$28*INDEX(Curves!$B$4:$AR$4,1,55-Projects!$C$28+1),0)+IF(AND(Projects!$G$29="Yes",55&gt;=Projects!$C$29,55&lt;Projects!$C$29+Projects!$D$29),Projects!$B$29*INDEX(Curves!$B$4:$AR$4,1,55-Projects!$C$29+1),0)+IF(AND(Projects!$G$30="Yes",55&gt;=Projects!$C$30,55&lt;Projects!$C$30+Projects!$D$30),Projects!$B$30*INDEX(Curves!$B$4:$AR$4,1,55-Projects!$C$30+1),0)+IF(AND(Projects!$G$31="Yes",55&gt;=Projects!$C$31,55&lt;Projects!$C$31+Projects!$D$31),Projects!$B$31*INDEX(Curves!$B$4:$AR$4,1,55-Projects!$C$31+1),0)+IF(AND(Projects!$G$32="Yes",55&gt;=Projects!$C$32,55&lt;Projects!$C$32+Projects!$D$32),Projects!$B$32*INDEX(Curves!$B$4:$AR$4,1,55-Projects!$C$32+1),0)+IF(AND(Projects!$G$33="Yes",55&gt;=Projects!$C$33,55&lt;Projects!$C$33+Projects!$D$33),Projects!$B$33*INDEX(Curves!$B$4:$AR$4,1,55-Projects!$C$33+1),0)+IF(AND(Projects!$G$34="Yes",55&gt;=Projects!$C$34,55&lt;Projects!$C$34+Projects!$D$34),Projects!$B$34*INDEX(Curves!$B$4:$AR$4,1,55-Projects!$C$34+1),0)+IF(AND(Projects!$G$35="Yes",55&gt;=Projects!$C$35,55&lt;Projects!$C$35+Projects!$D$35),Projects!$B$35*INDEX(Curves!$B$4:$AR$4,1,55-Projects!$C$35+1),0)+IF(AND(Projects!$G$36="Yes",55&gt;=Projects!$C$36,55&lt;Projects!$C$36+Projects!$D$36),Projects!$B$36*INDEX(Curves!$B$4:$AR$4,1,55-Projects!$C$36+1),0)+IF(AND(Projects!$G$37="Yes",55&gt;=Projects!$C$37,55&lt;Projects!$C$37+Projects!$D$37),Projects!$B$37*INDEX(Curves!$B$4:$AR$4,1,55-Projects!$C$37+1),0)+IF(AND(Projects!$G$38="Yes",55&gt;=Projects!$C$38,55&lt;Projects!$C$38+Projects!$D$38),Projects!$B$38*INDEX(Curves!$B$4:$AR$4,1,55-Projects!$C$38+1),0)+IF(AND(Projects!$G$39="Yes",55&gt;=Projects!$C$39,55&lt;Projects!$C$39+Projects!$D$39),Projects!$B$39*INDEX(Curves!$B$4:$AR$4,1,55-Projects!$C$39+1),0)+IF(AND(Projects!$G$40="Yes",55&gt;=Projects!$C$40,55&lt;Projects!$C$40+Projects!$D$40),Projects!$B$40*INDEX(Curves!$B$4:$AR$4,1,55-Projects!$C$40+1),0)+IF(AND(Projects!$G$41="Yes",55&gt;=Projects!$C$41,55&lt;Projects!$C$41+Projects!$D$41),Projects!$B$41*INDEX(Curves!$B$4:$AR$4,1,55-Projects!$C$41+1),0)+IF(AND(Projects!$G$42="Yes",55&gt;=Projects!$C$42,55&lt;Projects!$C$42+Projects!$D$42),Projects!$B$42*INDEX(Curves!$B$4:$AR$4,1,55-Projects!$C$42+1),0)+IF(AND(Projects!$G$43="Yes",55&gt;=Projects!$C$43,55&lt;Projects!$C$43+Projects!$D$43),Projects!$B$43*INDEX(Curves!$B$4:$AR$4,1,55-Projects!$C$43+1),0)+IF(AND(Projects!$G$44="Yes",55&gt;=Projects!$C$44,55&lt;Projects!$C$44+Projects!$D$44),Projects!$B$44*INDEX(Curves!$B$4:$AR$4,1,55-Projects!$C$44+1),0)+IF(AND(Projects!$G$45="Yes",55&gt;=Projects!$C$45,55&lt;Projects!$C$45+Projects!$D$45),Projects!$B$45*INDEX(Curves!$B$4:$AR$4,1,55-Projects!$C$45+1),0)+IF(AND(Projects!$G$46="Yes",55&gt;=Projects!$C$46,55&lt;Projects!$C$46+Projects!$D$46),Projects!$B$46*INDEX(Curves!$B$4:$AR$4,1,55-Projects!$C$46+1),0)</f>
        <v>0</v>
      </c>
      <c r="BI96" s="83" t="n">
        <f aca="false">IF(AND(Projects!$G$17="Yes",56&gt;=Projects!$C$17,56&lt;Projects!$C$17+Projects!$D$17),Projects!$B$17*INDEX(Curves!$B$4:$AR$4,1,56-Projects!$C$17+1),0)+IF(AND(Projects!$G$18="Yes",56&gt;=Projects!$C$18,56&lt;Projects!$C$18+Projects!$D$18),Projects!$B$18*INDEX(Curves!$B$4:$AR$4,1,56-Projects!$C$18+1),0)+IF(AND(Projects!$G$19="Yes",56&gt;=Projects!$C$19,56&lt;Projects!$C$19+Projects!$D$19),Projects!$B$19*INDEX(Curves!$B$4:$AR$4,1,56-Projects!$C$19+1),0)+IF(AND(Projects!$G$20="Yes",56&gt;=Projects!$C$20,56&lt;Projects!$C$20+Projects!$D$20),Projects!$B$20*INDEX(Curves!$B$4:$AR$4,1,56-Projects!$C$20+1),0)+IF(AND(Projects!$G$21="Yes",56&gt;=Projects!$C$21,56&lt;Projects!$C$21+Projects!$D$21),Projects!$B$21*INDEX(Curves!$B$4:$AR$4,1,56-Projects!$C$21+1),0)+IF(AND(Projects!$G$22="Yes",56&gt;=Projects!$C$22,56&lt;Projects!$C$22+Projects!$D$22),Projects!$B$22*INDEX(Curves!$B$4:$AR$4,1,56-Projects!$C$22+1),0)+IF(AND(Projects!$G$23="Yes",56&gt;=Projects!$C$23,56&lt;Projects!$C$23+Projects!$D$23),Projects!$B$23*INDEX(Curves!$B$4:$AR$4,1,56-Projects!$C$23+1),0)+IF(AND(Projects!$G$24="Yes",56&gt;=Projects!$C$24,56&lt;Projects!$C$24+Projects!$D$24),Projects!$B$24*INDEX(Curves!$B$4:$AR$4,1,56-Projects!$C$24+1),0)+IF(AND(Projects!$G$25="Yes",56&gt;=Projects!$C$25,56&lt;Projects!$C$25+Projects!$D$25),Projects!$B$25*INDEX(Curves!$B$4:$AR$4,1,56-Projects!$C$25+1),0)+IF(AND(Projects!$G$26="Yes",56&gt;=Projects!$C$26,56&lt;Projects!$C$26+Projects!$D$26),Projects!$B$26*INDEX(Curves!$B$4:$AR$4,1,56-Projects!$C$26+1),0)+IF(AND(Projects!$G$27="Yes",56&gt;=Projects!$C$27,56&lt;Projects!$C$27+Projects!$D$27),Projects!$B$27*INDEX(Curves!$B$4:$AR$4,1,56-Projects!$C$27+1),0)+IF(AND(Projects!$G$28="Yes",56&gt;=Projects!$C$28,56&lt;Projects!$C$28+Projects!$D$28),Projects!$B$28*INDEX(Curves!$B$4:$AR$4,1,56-Projects!$C$28+1),0)+IF(AND(Projects!$G$29="Yes",56&gt;=Projects!$C$29,56&lt;Projects!$C$29+Projects!$D$29),Projects!$B$29*INDEX(Curves!$B$4:$AR$4,1,56-Projects!$C$29+1),0)+IF(AND(Projects!$G$30="Yes",56&gt;=Projects!$C$30,56&lt;Projects!$C$30+Projects!$D$30),Projects!$B$30*INDEX(Curves!$B$4:$AR$4,1,56-Projects!$C$30+1),0)+IF(AND(Projects!$G$31="Yes",56&gt;=Projects!$C$31,56&lt;Projects!$C$31+Projects!$D$31),Projects!$B$31*INDEX(Curves!$B$4:$AR$4,1,56-Projects!$C$31+1),0)+IF(AND(Projects!$G$32="Yes",56&gt;=Projects!$C$32,56&lt;Projects!$C$32+Projects!$D$32),Projects!$B$32*INDEX(Curves!$B$4:$AR$4,1,56-Projects!$C$32+1),0)+IF(AND(Projects!$G$33="Yes",56&gt;=Projects!$C$33,56&lt;Projects!$C$33+Projects!$D$33),Projects!$B$33*INDEX(Curves!$B$4:$AR$4,1,56-Projects!$C$33+1),0)+IF(AND(Projects!$G$34="Yes",56&gt;=Projects!$C$34,56&lt;Projects!$C$34+Projects!$D$34),Projects!$B$34*INDEX(Curves!$B$4:$AR$4,1,56-Projects!$C$34+1),0)+IF(AND(Projects!$G$35="Yes",56&gt;=Projects!$C$35,56&lt;Projects!$C$35+Projects!$D$35),Projects!$B$35*INDEX(Curves!$B$4:$AR$4,1,56-Projects!$C$35+1),0)+IF(AND(Projects!$G$36="Yes",56&gt;=Projects!$C$36,56&lt;Projects!$C$36+Projects!$D$36),Projects!$B$36*INDEX(Curves!$B$4:$AR$4,1,56-Projects!$C$36+1),0)+IF(AND(Projects!$G$37="Yes",56&gt;=Projects!$C$37,56&lt;Projects!$C$37+Projects!$D$37),Projects!$B$37*INDEX(Curves!$B$4:$AR$4,1,56-Projects!$C$37+1),0)+IF(AND(Projects!$G$38="Yes",56&gt;=Projects!$C$38,56&lt;Projects!$C$38+Projects!$D$38),Projects!$B$38*INDEX(Curves!$B$4:$AR$4,1,56-Projects!$C$38+1),0)+IF(AND(Projects!$G$39="Yes",56&gt;=Projects!$C$39,56&lt;Projects!$C$39+Projects!$D$39),Projects!$B$39*INDEX(Curves!$B$4:$AR$4,1,56-Projects!$C$39+1),0)+IF(AND(Projects!$G$40="Yes",56&gt;=Projects!$C$40,56&lt;Projects!$C$40+Projects!$D$40),Projects!$B$40*INDEX(Curves!$B$4:$AR$4,1,56-Projects!$C$40+1),0)+IF(AND(Projects!$G$41="Yes",56&gt;=Projects!$C$41,56&lt;Projects!$C$41+Projects!$D$41),Projects!$B$41*INDEX(Curves!$B$4:$AR$4,1,56-Projects!$C$41+1),0)+IF(AND(Projects!$G$42="Yes",56&gt;=Projects!$C$42,56&lt;Projects!$C$42+Projects!$D$42),Projects!$B$42*INDEX(Curves!$B$4:$AR$4,1,56-Projects!$C$42+1),0)+IF(AND(Projects!$G$43="Yes",56&gt;=Projects!$C$43,56&lt;Projects!$C$43+Projects!$D$43),Projects!$B$43*INDEX(Curves!$B$4:$AR$4,1,56-Projects!$C$43+1),0)+IF(AND(Projects!$G$44="Yes",56&gt;=Projects!$C$44,56&lt;Projects!$C$44+Projects!$D$44),Projects!$B$44*INDEX(Curves!$B$4:$AR$4,1,56-Projects!$C$44+1),0)+IF(AND(Projects!$G$45="Yes",56&gt;=Projects!$C$45,56&lt;Projects!$C$45+Projects!$D$45),Projects!$B$45*INDEX(Curves!$B$4:$AR$4,1,56-Projects!$C$45+1),0)+IF(AND(Projects!$G$46="Yes",56&gt;=Projects!$C$46,56&lt;Projects!$C$46+Projects!$D$46),Projects!$B$46*INDEX(Curves!$B$4:$AR$4,1,56-Projects!$C$46+1),0)</f>
        <v>0</v>
      </c>
      <c r="BJ96" s="83" t="n">
        <f aca="false">IF(AND(Projects!$G$17="Yes",57&gt;=Projects!$C$17,57&lt;Projects!$C$17+Projects!$D$17),Projects!$B$17*INDEX(Curves!$B$4:$AR$4,1,57-Projects!$C$17+1),0)+IF(AND(Projects!$G$18="Yes",57&gt;=Projects!$C$18,57&lt;Projects!$C$18+Projects!$D$18),Projects!$B$18*INDEX(Curves!$B$4:$AR$4,1,57-Projects!$C$18+1),0)+IF(AND(Projects!$G$19="Yes",57&gt;=Projects!$C$19,57&lt;Projects!$C$19+Projects!$D$19),Projects!$B$19*INDEX(Curves!$B$4:$AR$4,1,57-Projects!$C$19+1),0)+IF(AND(Projects!$G$20="Yes",57&gt;=Projects!$C$20,57&lt;Projects!$C$20+Projects!$D$20),Projects!$B$20*INDEX(Curves!$B$4:$AR$4,1,57-Projects!$C$20+1),0)+IF(AND(Projects!$G$21="Yes",57&gt;=Projects!$C$21,57&lt;Projects!$C$21+Projects!$D$21),Projects!$B$21*INDEX(Curves!$B$4:$AR$4,1,57-Projects!$C$21+1),0)+IF(AND(Projects!$G$22="Yes",57&gt;=Projects!$C$22,57&lt;Projects!$C$22+Projects!$D$22),Projects!$B$22*INDEX(Curves!$B$4:$AR$4,1,57-Projects!$C$22+1),0)+IF(AND(Projects!$G$23="Yes",57&gt;=Projects!$C$23,57&lt;Projects!$C$23+Projects!$D$23),Projects!$B$23*INDEX(Curves!$B$4:$AR$4,1,57-Projects!$C$23+1),0)+IF(AND(Projects!$G$24="Yes",57&gt;=Projects!$C$24,57&lt;Projects!$C$24+Projects!$D$24),Projects!$B$24*INDEX(Curves!$B$4:$AR$4,1,57-Projects!$C$24+1),0)+IF(AND(Projects!$G$25="Yes",57&gt;=Projects!$C$25,57&lt;Projects!$C$25+Projects!$D$25),Projects!$B$25*INDEX(Curves!$B$4:$AR$4,1,57-Projects!$C$25+1),0)+IF(AND(Projects!$G$26="Yes",57&gt;=Projects!$C$26,57&lt;Projects!$C$26+Projects!$D$26),Projects!$B$26*INDEX(Curves!$B$4:$AR$4,1,57-Projects!$C$26+1),0)+IF(AND(Projects!$G$27="Yes",57&gt;=Projects!$C$27,57&lt;Projects!$C$27+Projects!$D$27),Projects!$B$27*INDEX(Curves!$B$4:$AR$4,1,57-Projects!$C$27+1),0)+IF(AND(Projects!$G$28="Yes",57&gt;=Projects!$C$28,57&lt;Projects!$C$28+Projects!$D$28),Projects!$B$28*INDEX(Curves!$B$4:$AR$4,1,57-Projects!$C$28+1),0)+IF(AND(Projects!$G$29="Yes",57&gt;=Projects!$C$29,57&lt;Projects!$C$29+Projects!$D$29),Projects!$B$29*INDEX(Curves!$B$4:$AR$4,1,57-Projects!$C$29+1),0)+IF(AND(Projects!$G$30="Yes",57&gt;=Projects!$C$30,57&lt;Projects!$C$30+Projects!$D$30),Projects!$B$30*INDEX(Curves!$B$4:$AR$4,1,57-Projects!$C$30+1),0)+IF(AND(Projects!$G$31="Yes",57&gt;=Projects!$C$31,57&lt;Projects!$C$31+Projects!$D$31),Projects!$B$31*INDEX(Curves!$B$4:$AR$4,1,57-Projects!$C$31+1),0)+IF(AND(Projects!$G$32="Yes",57&gt;=Projects!$C$32,57&lt;Projects!$C$32+Projects!$D$32),Projects!$B$32*INDEX(Curves!$B$4:$AR$4,1,57-Projects!$C$32+1),0)+IF(AND(Projects!$G$33="Yes",57&gt;=Projects!$C$33,57&lt;Projects!$C$33+Projects!$D$33),Projects!$B$33*INDEX(Curves!$B$4:$AR$4,1,57-Projects!$C$33+1),0)+IF(AND(Projects!$G$34="Yes",57&gt;=Projects!$C$34,57&lt;Projects!$C$34+Projects!$D$34),Projects!$B$34*INDEX(Curves!$B$4:$AR$4,1,57-Projects!$C$34+1),0)+IF(AND(Projects!$G$35="Yes",57&gt;=Projects!$C$35,57&lt;Projects!$C$35+Projects!$D$35),Projects!$B$35*INDEX(Curves!$B$4:$AR$4,1,57-Projects!$C$35+1),0)+IF(AND(Projects!$G$36="Yes",57&gt;=Projects!$C$36,57&lt;Projects!$C$36+Projects!$D$36),Projects!$B$36*INDEX(Curves!$B$4:$AR$4,1,57-Projects!$C$36+1),0)+IF(AND(Projects!$G$37="Yes",57&gt;=Projects!$C$37,57&lt;Projects!$C$37+Projects!$D$37),Projects!$B$37*INDEX(Curves!$B$4:$AR$4,1,57-Projects!$C$37+1),0)+IF(AND(Projects!$G$38="Yes",57&gt;=Projects!$C$38,57&lt;Projects!$C$38+Projects!$D$38),Projects!$B$38*INDEX(Curves!$B$4:$AR$4,1,57-Projects!$C$38+1),0)+IF(AND(Projects!$G$39="Yes",57&gt;=Projects!$C$39,57&lt;Projects!$C$39+Projects!$D$39),Projects!$B$39*INDEX(Curves!$B$4:$AR$4,1,57-Projects!$C$39+1),0)+IF(AND(Projects!$G$40="Yes",57&gt;=Projects!$C$40,57&lt;Projects!$C$40+Projects!$D$40),Projects!$B$40*INDEX(Curves!$B$4:$AR$4,1,57-Projects!$C$40+1),0)+IF(AND(Projects!$G$41="Yes",57&gt;=Projects!$C$41,57&lt;Projects!$C$41+Projects!$D$41),Projects!$B$41*INDEX(Curves!$B$4:$AR$4,1,57-Projects!$C$41+1),0)+IF(AND(Projects!$G$42="Yes",57&gt;=Projects!$C$42,57&lt;Projects!$C$42+Projects!$D$42),Projects!$B$42*INDEX(Curves!$B$4:$AR$4,1,57-Projects!$C$42+1),0)+IF(AND(Projects!$G$43="Yes",57&gt;=Projects!$C$43,57&lt;Projects!$C$43+Projects!$D$43),Projects!$B$43*INDEX(Curves!$B$4:$AR$4,1,57-Projects!$C$43+1),0)+IF(AND(Projects!$G$44="Yes",57&gt;=Projects!$C$44,57&lt;Projects!$C$44+Projects!$D$44),Projects!$B$44*INDEX(Curves!$B$4:$AR$4,1,57-Projects!$C$44+1),0)+IF(AND(Projects!$G$45="Yes",57&gt;=Projects!$C$45,57&lt;Projects!$C$45+Projects!$D$45),Projects!$B$45*INDEX(Curves!$B$4:$AR$4,1,57-Projects!$C$45+1),0)+IF(AND(Projects!$G$46="Yes",57&gt;=Projects!$C$46,57&lt;Projects!$C$46+Projects!$D$46),Projects!$B$46*INDEX(Curves!$B$4:$AR$4,1,57-Projects!$C$46+1),0)</f>
        <v>0</v>
      </c>
      <c r="BK96" s="83" t="n">
        <f aca="false">IF(AND(Projects!$G$17="Yes",58&gt;=Projects!$C$17,58&lt;Projects!$C$17+Projects!$D$17),Projects!$B$17*INDEX(Curves!$B$4:$AR$4,1,58-Projects!$C$17+1),0)+IF(AND(Projects!$G$18="Yes",58&gt;=Projects!$C$18,58&lt;Projects!$C$18+Projects!$D$18),Projects!$B$18*INDEX(Curves!$B$4:$AR$4,1,58-Projects!$C$18+1),0)+IF(AND(Projects!$G$19="Yes",58&gt;=Projects!$C$19,58&lt;Projects!$C$19+Projects!$D$19),Projects!$B$19*INDEX(Curves!$B$4:$AR$4,1,58-Projects!$C$19+1),0)+IF(AND(Projects!$G$20="Yes",58&gt;=Projects!$C$20,58&lt;Projects!$C$20+Projects!$D$20),Projects!$B$20*INDEX(Curves!$B$4:$AR$4,1,58-Projects!$C$20+1),0)+IF(AND(Projects!$G$21="Yes",58&gt;=Projects!$C$21,58&lt;Projects!$C$21+Projects!$D$21),Projects!$B$21*INDEX(Curves!$B$4:$AR$4,1,58-Projects!$C$21+1),0)+IF(AND(Projects!$G$22="Yes",58&gt;=Projects!$C$22,58&lt;Projects!$C$22+Projects!$D$22),Projects!$B$22*INDEX(Curves!$B$4:$AR$4,1,58-Projects!$C$22+1),0)+IF(AND(Projects!$G$23="Yes",58&gt;=Projects!$C$23,58&lt;Projects!$C$23+Projects!$D$23),Projects!$B$23*INDEX(Curves!$B$4:$AR$4,1,58-Projects!$C$23+1),0)+IF(AND(Projects!$G$24="Yes",58&gt;=Projects!$C$24,58&lt;Projects!$C$24+Projects!$D$24),Projects!$B$24*INDEX(Curves!$B$4:$AR$4,1,58-Projects!$C$24+1),0)+IF(AND(Projects!$G$25="Yes",58&gt;=Projects!$C$25,58&lt;Projects!$C$25+Projects!$D$25),Projects!$B$25*INDEX(Curves!$B$4:$AR$4,1,58-Projects!$C$25+1),0)+IF(AND(Projects!$G$26="Yes",58&gt;=Projects!$C$26,58&lt;Projects!$C$26+Projects!$D$26),Projects!$B$26*INDEX(Curves!$B$4:$AR$4,1,58-Projects!$C$26+1),0)+IF(AND(Projects!$G$27="Yes",58&gt;=Projects!$C$27,58&lt;Projects!$C$27+Projects!$D$27),Projects!$B$27*INDEX(Curves!$B$4:$AR$4,1,58-Projects!$C$27+1),0)+IF(AND(Projects!$G$28="Yes",58&gt;=Projects!$C$28,58&lt;Projects!$C$28+Projects!$D$28),Projects!$B$28*INDEX(Curves!$B$4:$AR$4,1,58-Projects!$C$28+1),0)+IF(AND(Projects!$G$29="Yes",58&gt;=Projects!$C$29,58&lt;Projects!$C$29+Projects!$D$29),Projects!$B$29*INDEX(Curves!$B$4:$AR$4,1,58-Projects!$C$29+1),0)+IF(AND(Projects!$G$30="Yes",58&gt;=Projects!$C$30,58&lt;Projects!$C$30+Projects!$D$30),Projects!$B$30*INDEX(Curves!$B$4:$AR$4,1,58-Projects!$C$30+1),0)+IF(AND(Projects!$G$31="Yes",58&gt;=Projects!$C$31,58&lt;Projects!$C$31+Projects!$D$31),Projects!$B$31*INDEX(Curves!$B$4:$AR$4,1,58-Projects!$C$31+1),0)+IF(AND(Projects!$G$32="Yes",58&gt;=Projects!$C$32,58&lt;Projects!$C$32+Projects!$D$32),Projects!$B$32*INDEX(Curves!$B$4:$AR$4,1,58-Projects!$C$32+1),0)+IF(AND(Projects!$G$33="Yes",58&gt;=Projects!$C$33,58&lt;Projects!$C$33+Projects!$D$33),Projects!$B$33*INDEX(Curves!$B$4:$AR$4,1,58-Projects!$C$33+1),0)+IF(AND(Projects!$G$34="Yes",58&gt;=Projects!$C$34,58&lt;Projects!$C$34+Projects!$D$34),Projects!$B$34*INDEX(Curves!$B$4:$AR$4,1,58-Projects!$C$34+1),0)+IF(AND(Projects!$G$35="Yes",58&gt;=Projects!$C$35,58&lt;Projects!$C$35+Projects!$D$35),Projects!$B$35*INDEX(Curves!$B$4:$AR$4,1,58-Projects!$C$35+1),0)+IF(AND(Projects!$G$36="Yes",58&gt;=Projects!$C$36,58&lt;Projects!$C$36+Projects!$D$36),Projects!$B$36*INDEX(Curves!$B$4:$AR$4,1,58-Projects!$C$36+1),0)+IF(AND(Projects!$G$37="Yes",58&gt;=Projects!$C$37,58&lt;Projects!$C$37+Projects!$D$37),Projects!$B$37*INDEX(Curves!$B$4:$AR$4,1,58-Projects!$C$37+1),0)+IF(AND(Projects!$G$38="Yes",58&gt;=Projects!$C$38,58&lt;Projects!$C$38+Projects!$D$38),Projects!$B$38*INDEX(Curves!$B$4:$AR$4,1,58-Projects!$C$38+1),0)+IF(AND(Projects!$G$39="Yes",58&gt;=Projects!$C$39,58&lt;Projects!$C$39+Projects!$D$39),Projects!$B$39*INDEX(Curves!$B$4:$AR$4,1,58-Projects!$C$39+1),0)+IF(AND(Projects!$G$40="Yes",58&gt;=Projects!$C$40,58&lt;Projects!$C$40+Projects!$D$40),Projects!$B$40*INDEX(Curves!$B$4:$AR$4,1,58-Projects!$C$40+1),0)+IF(AND(Projects!$G$41="Yes",58&gt;=Projects!$C$41,58&lt;Projects!$C$41+Projects!$D$41),Projects!$B$41*INDEX(Curves!$B$4:$AR$4,1,58-Projects!$C$41+1),0)+IF(AND(Projects!$G$42="Yes",58&gt;=Projects!$C$42,58&lt;Projects!$C$42+Projects!$D$42),Projects!$B$42*INDEX(Curves!$B$4:$AR$4,1,58-Projects!$C$42+1),0)+IF(AND(Projects!$G$43="Yes",58&gt;=Projects!$C$43,58&lt;Projects!$C$43+Projects!$D$43),Projects!$B$43*INDEX(Curves!$B$4:$AR$4,1,58-Projects!$C$43+1),0)+IF(AND(Projects!$G$44="Yes",58&gt;=Projects!$C$44,58&lt;Projects!$C$44+Projects!$D$44),Projects!$B$44*INDEX(Curves!$B$4:$AR$4,1,58-Projects!$C$44+1),0)+IF(AND(Projects!$G$45="Yes",58&gt;=Projects!$C$45,58&lt;Projects!$C$45+Projects!$D$45),Projects!$B$45*INDEX(Curves!$B$4:$AR$4,1,58-Projects!$C$45+1),0)+IF(AND(Projects!$G$46="Yes",58&gt;=Projects!$C$46,58&lt;Projects!$C$46+Projects!$D$46),Projects!$B$46*INDEX(Curves!$B$4:$AR$4,1,58-Projects!$C$46+1),0)</f>
        <v>0</v>
      </c>
      <c r="BL96" s="83" t="n">
        <f aca="false">IF(AND(Projects!$G$17="Yes",59&gt;=Projects!$C$17,59&lt;Projects!$C$17+Projects!$D$17),Projects!$B$17*INDEX(Curves!$B$4:$AR$4,1,59-Projects!$C$17+1),0)+IF(AND(Projects!$G$18="Yes",59&gt;=Projects!$C$18,59&lt;Projects!$C$18+Projects!$D$18),Projects!$B$18*INDEX(Curves!$B$4:$AR$4,1,59-Projects!$C$18+1),0)+IF(AND(Projects!$G$19="Yes",59&gt;=Projects!$C$19,59&lt;Projects!$C$19+Projects!$D$19),Projects!$B$19*INDEX(Curves!$B$4:$AR$4,1,59-Projects!$C$19+1),0)+IF(AND(Projects!$G$20="Yes",59&gt;=Projects!$C$20,59&lt;Projects!$C$20+Projects!$D$20),Projects!$B$20*INDEX(Curves!$B$4:$AR$4,1,59-Projects!$C$20+1),0)+IF(AND(Projects!$G$21="Yes",59&gt;=Projects!$C$21,59&lt;Projects!$C$21+Projects!$D$21),Projects!$B$21*INDEX(Curves!$B$4:$AR$4,1,59-Projects!$C$21+1),0)+IF(AND(Projects!$G$22="Yes",59&gt;=Projects!$C$22,59&lt;Projects!$C$22+Projects!$D$22),Projects!$B$22*INDEX(Curves!$B$4:$AR$4,1,59-Projects!$C$22+1),0)+IF(AND(Projects!$G$23="Yes",59&gt;=Projects!$C$23,59&lt;Projects!$C$23+Projects!$D$23),Projects!$B$23*INDEX(Curves!$B$4:$AR$4,1,59-Projects!$C$23+1),0)+IF(AND(Projects!$G$24="Yes",59&gt;=Projects!$C$24,59&lt;Projects!$C$24+Projects!$D$24),Projects!$B$24*INDEX(Curves!$B$4:$AR$4,1,59-Projects!$C$24+1),0)+IF(AND(Projects!$G$25="Yes",59&gt;=Projects!$C$25,59&lt;Projects!$C$25+Projects!$D$25),Projects!$B$25*INDEX(Curves!$B$4:$AR$4,1,59-Projects!$C$25+1),0)+IF(AND(Projects!$G$26="Yes",59&gt;=Projects!$C$26,59&lt;Projects!$C$26+Projects!$D$26),Projects!$B$26*INDEX(Curves!$B$4:$AR$4,1,59-Projects!$C$26+1),0)+IF(AND(Projects!$G$27="Yes",59&gt;=Projects!$C$27,59&lt;Projects!$C$27+Projects!$D$27),Projects!$B$27*INDEX(Curves!$B$4:$AR$4,1,59-Projects!$C$27+1),0)+IF(AND(Projects!$G$28="Yes",59&gt;=Projects!$C$28,59&lt;Projects!$C$28+Projects!$D$28),Projects!$B$28*INDEX(Curves!$B$4:$AR$4,1,59-Projects!$C$28+1),0)+IF(AND(Projects!$G$29="Yes",59&gt;=Projects!$C$29,59&lt;Projects!$C$29+Projects!$D$29),Projects!$B$29*INDEX(Curves!$B$4:$AR$4,1,59-Projects!$C$29+1),0)+IF(AND(Projects!$G$30="Yes",59&gt;=Projects!$C$30,59&lt;Projects!$C$30+Projects!$D$30),Projects!$B$30*INDEX(Curves!$B$4:$AR$4,1,59-Projects!$C$30+1),0)+IF(AND(Projects!$G$31="Yes",59&gt;=Projects!$C$31,59&lt;Projects!$C$31+Projects!$D$31),Projects!$B$31*INDEX(Curves!$B$4:$AR$4,1,59-Projects!$C$31+1),0)+IF(AND(Projects!$G$32="Yes",59&gt;=Projects!$C$32,59&lt;Projects!$C$32+Projects!$D$32),Projects!$B$32*INDEX(Curves!$B$4:$AR$4,1,59-Projects!$C$32+1),0)+IF(AND(Projects!$G$33="Yes",59&gt;=Projects!$C$33,59&lt;Projects!$C$33+Projects!$D$33),Projects!$B$33*INDEX(Curves!$B$4:$AR$4,1,59-Projects!$C$33+1),0)+IF(AND(Projects!$G$34="Yes",59&gt;=Projects!$C$34,59&lt;Projects!$C$34+Projects!$D$34),Projects!$B$34*INDEX(Curves!$B$4:$AR$4,1,59-Projects!$C$34+1),0)+IF(AND(Projects!$G$35="Yes",59&gt;=Projects!$C$35,59&lt;Projects!$C$35+Projects!$D$35),Projects!$B$35*INDEX(Curves!$B$4:$AR$4,1,59-Projects!$C$35+1),0)+IF(AND(Projects!$G$36="Yes",59&gt;=Projects!$C$36,59&lt;Projects!$C$36+Projects!$D$36),Projects!$B$36*INDEX(Curves!$B$4:$AR$4,1,59-Projects!$C$36+1),0)+IF(AND(Projects!$G$37="Yes",59&gt;=Projects!$C$37,59&lt;Projects!$C$37+Projects!$D$37),Projects!$B$37*INDEX(Curves!$B$4:$AR$4,1,59-Projects!$C$37+1),0)+IF(AND(Projects!$G$38="Yes",59&gt;=Projects!$C$38,59&lt;Projects!$C$38+Projects!$D$38),Projects!$B$38*INDEX(Curves!$B$4:$AR$4,1,59-Projects!$C$38+1),0)+IF(AND(Projects!$G$39="Yes",59&gt;=Projects!$C$39,59&lt;Projects!$C$39+Projects!$D$39),Projects!$B$39*INDEX(Curves!$B$4:$AR$4,1,59-Projects!$C$39+1),0)+IF(AND(Projects!$G$40="Yes",59&gt;=Projects!$C$40,59&lt;Projects!$C$40+Projects!$D$40),Projects!$B$40*INDEX(Curves!$B$4:$AR$4,1,59-Projects!$C$40+1),0)+IF(AND(Projects!$G$41="Yes",59&gt;=Projects!$C$41,59&lt;Projects!$C$41+Projects!$D$41),Projects!$B$41*INDEX(Curves!$B$4:$AR$4,1,59-Projects!$C$41+1),0)+IF(AND(Projects!$G$42="Yes",59&gt;=Projects!$C$42,59&lt;Projects!$C$42+Projects!$D$42),Projects!$B$42*INDEX(Curves!$B$4:$AR$4,1,59-Projects!$C$42+1),0)+IF(AND(Projects!$G$43="Yes",59&gt;=Projects!$C$43,59&lt;Projects!$C$43+Projects!$D$43),Projects!$B$43*INDEX(Curves!$B$4:$AR$4,1,59-Projects!$C$43+1),0)+IF(AND(Projects!$G$44="Yes",59&gt;=Projects!$C$44,59&lt;Projects!$C$44+Projects!$D$44),Projects!$B$44*INDEX(Curves!$B$4:$AR$4,1,59-Projects!$C$44+1),0)+IF(AND(Projects!$G$45="Yes",59&gt;=Projects!$C$45,59&lt;Projects!$C$45+Projects!$D$45),Projects!$B$45*INDEX(Curves!$B$4:$AR$4,1,59-Projects!$C$45+1),0)+IF(AND(Projects!$G$46="Yes",59&gt;=Projects!$C$46,59&lt;Projects!$C$46+Projects!$D$46),Projects!$B$46*INDEX(Curves!$B$4:$AR$4,1,59-Projects!$C$46+1),0)</f>
        <v>0</v>
      </c>
      <c r="BM96" s="83" t="n">
        <f aca="false">IF(AND(Projects!$G$17="Yes",60&gt;=Projects!$C$17,60&lt;Projects!$C$17+Projects!$D$17),Projects!$B$17*INDEX(Curves!$B$4:$AR$4,1,60-Projects!$C$17+1),0)+IF(AND(Projects!$G$18="Yes",60&gt;=Projects!$C$18,60&lt;Projects!$C$18+Projects!$D$18),Projects!$B$18*INDEX(Curves!$B$4:$AR$4,1,60-Projects!$C$18+1),0)+IF(AND(Projects!$G$19="Yes",60&gt;=Projects!$C$19,60&lt;Projects!$C$19+Projects!$D$19),Projects!$B$19*INDEX(Curves!$B$4:$AR$4,1,60-Projects!$C$19+1),0)+IF(AND(Projects!$G$20="Yes",60&gt;=Projects!$C$20,60&lt;Projects!$C$20+Projects!$D$20),Projects!$B$20*INDEX(Curves!$B$4:$AR$4,1,60-Projects!$C$20+1),0)+IF(AND(Projects!$G$21="Yes",60&gt;=Projects!$C$21,60&lt;Projects!$C$21+Projects!$D$21),Projects!$B$21*INDEX(Curves!$B$4:$AR$4,1,60-Projects!$C$21+1),0)+IF(AND(Projects!$G$22="Yes",60&gt;=Projects!$C$22,60&lt;Projects!$C$22+Projects!$D$22),Projects!$B$22*INDEX(Curves!$B$4:$AR$4,1,60-Projects!$C$22+1),0)+IF(AND(Projects!$G$23="Yes",60&gt;=Projects!$C$23,60&lt;Projects!$C$23+Projects!$D$23),Projects!$B$23*INDEX(Curves!$B$4:$AR$4,1,60-Projects!$C$23+1),0)+IF(AND(Projects!$G$24="Yes",60&gt;=Projects!$C$24,60&lt;Projects!$C$24+Projects!$D$24),Projects!$B$24*INDEX(Curves!$B$4:$AR$4,1,60-Projects!$C$24+1),0)+IF(AND(Projects!$G$25="Yes",60&gt;=Projects!$C$25,60&lt;Projects!$C$25+Projects!$D$25),Projects!$B$25*INDEX(Curves!$B$4:$AR$4,1,60-Projects!$C$25+1),0)+IF(AND(Projects!$G$26="Yes",60&gt;=Projects!$C$26,60&lt;Projects!$C$26+Projects!$D$26),Projects!$B$26*INDEX(Curves!$B$4:$AR$4,1,60-Projects!$C$26+1),0)+IF(AND(Projects!$G$27="Yes",60&gt;=Projects!$C$27,60&lt;Projects!$C$27+Projects!$D$27),Projects!$B$27*INDEX(Curves!$B$4:$AR$4,1,60-Projects!$C$27+1),0)+IF(AND(Projects!$G$28="Yes",60&gt;=Projects!$C$28,60&lt;Projects!$C$28+Projects!$D$28),Projects!$B$28*INDEX(Curves!$B$4:$AR$4,1,60-Projects!$C$28+1),0)+IF(AND(Projects!$G$29="Yes",60&gt;=Projects!$C$29,60&lt;Projects!$C$29+Projects!$D$29),Projects!$B$29*INDEX(Curves!$B$4:$AR$4,1,60-Projects!$C$29+1),0)+IF(AND(Projects!$G$30="Yes",60&gt;=Projects!$C$30,60&lt;Projects!$C$30+Projects!$D$30),Projects!$B$30*INDEX(Curves!$B$4:$AR$4,1,60-Projects!$C$30+1),0)+IF(AND(Projects!$G$31="Yes",60&gt;=Projects!$C$31,60&lt;Projects!$C$31+Projects!$D$31),Projects!$B$31*INDEX(Curves!$B$4:$AR$4,1,60-Projects!$C$31+1),0)+IF(AND(Projects!$G$32="Yes",60&gt;=Projects!$C$32,60&lt;Projects!$C$32+Projects!$D$32),Projects!$B$32*INDEX(Curves!$B$4:$AR$4,1,60-Projects!$C$32+1),0)+IF(AND(Projects!$G$33="Yes",60&gt;=Projects!$C$33,60&lt;Projects!$C$33+Projects!$D$33),Projects!$B$33*INDEX(Curves!$B$4:$AR$4,1,60-Projects!$C$33+1),0)+IF(AND(Projects!$G$34="Yes",60&gt;=Projects!$C$34,60&lt;Projects!$C$34+Projects!$D$34),Projects!$B$34*INDEX(Curves!$B$4:$AR$4,1,60-Projects!$C$34+1),0)+IF(AND(Projects!$G$35="Yes",60&gt;=Projects!$C$35,60&lt;Projects!$C$35+Projects!$D$35),Projects!$B$35*INDEX(Curves!$B$4:$AR$4,1,60-Projects!$C$35+1),0)+IF(AND(Projects!$G$36="Yes",60&gt;=Projects!$C$36,60&lt;Projects!$C$36+Projects!$D$36),Projects!$B$36*INDEX(Curves!$B$4:$AR$4,1,60-Projects!$C$36+1),0)+IF(AND(Projects!$G$37="Yes",60&gt;=Projects!$C$37,60&lt;Projects!$C$37+Projects!$D$37),Projects!$B$37*INDEX(Curves!$B$4:$AR$4,1,60-Projects!$C$37+1),0)+IF(AND(Projects!$G$38="Yes",60&gt;=Projects!$C$38,60&lt;Projects!$C$38+Projects!$D$38),Projects!$B$38*INDEX(Curves!$B$4:$AR$4,1,60-Projects!$C$38+1),0)+IF(AND(Projects!$G$39="Yes",60&gt;=Projects!$C$39,60&lt;Projects!$C$39+Projects!$D$39),Projects!$B$39*INDEX(Curves!$B$4:$AR$4,1,60-Projects!$C$39+1),0)+IF(AND(Projects!$G$40="Yes",60&gt;=Projects!$C$40,60&lt;Projects!$C$40+Projects!$D$40),Projects!$B$40*INDEX(Curves!$B$4:$AR$4,1,60-Projects!$C$40+1),0)+IF(AND(Projects!$G$41="Yes",60&gt;=Projects!$C$41,60&lt;Projects!$C$41+Projects!$D$41),Projects!$B$41*INDEX(Curves!$B$4:$AR$4,1,60-Projects!$C$41+1),0)+IF(AND(Projects!$G$42="Yes",60&gt;=Projects!$C$42,60&lt;Projects!$C$42+Projects!$D$42),Projects!$B$42*INDEX(Curves!$B$4:$AR$4,1,60-Projects!$C$42+1),0)+IF(AND(Projects!$G$43="Yes",60&gt;=Projects!$C$43,60&lt;Projects!$C$43+Projects!$D$43),Projects!$B$43*INDEX(Curves!$B$4:$AR$4,1,60-Projects!$C$43+1),0)+IF(AND(Projects!$G$44="Yes",60&gt;=Projects!$C$44,60&lt;Projects!$C$44+Projects!$D$44),Projects!$B$44*INDEX(Curves!$B$4:$AR$4,1,60-Projects!$C$44+1),0)+IF(AND(Projects!$G$45="Yes",60&gt;=Projects!$C$45,60&lt;Projects!$C$45+Projects!$D$45),Projects!$B$45*INDEX(Curves!$B$4:$AR$4,1,60-Projects!$C$45+1),0)+IF(AND(Projects!$G$46="Yes",60&gt;=Projects!$C$46,60&lt;Projects!$C$46+Projects!$D$46),Projects!$B$46*INDEX(Curves!$B$4:$AR$4,1,60-Projects!$C$46+1),0)</f>
        <v>0</v>
      </c>
      <c r="BN96" s="83" t="n">
        <f aca="false">IF(AND(Projects!$G$17="Yes",61&gt;=Projects!$C$17,61&lt;Projects!$C$17+Projects!$D$17),Projects!$B$17*INDEX(Curves!$B$4:$AR$4,1,61-Projects!$C$17+1),0)+IF(AND(Projects!$G$18="Yes",61&gt;=Projects!$C$18,61&lt;Projects!$C$18+Projects!$D$18),Projects!$B$18*INDEX(Curves!$B$4:$AR$4,1,61-Projects!$C$18+1),0)+IF(AND(Projects!$G$19="Yes",61&gt;=Projects!$C$19,61&lt;Projects!$C$19+Projects!$D$19),Projects!$B$19*INDEX(Curves!$B$4:$AR$4,1,61-Projects!$C$19+1),0)+IF(AND(Projects!$G$20="Yes",61&gt;=Projects!$C$20,61&lt;Projects!$C$20+Projects!$D$20),Projects!$B$20*INDEX(Curves!$B$4:$AR$4,1,61-Projects!$C$20+1),0)+IF(AND(Projects!$G$21="Yes",61&gt;=Projects!$C$21,61&lt;Projects!$C$21+Projects!$D$21),Projects!$B$21*INDEX(Curves!$B$4:$AR$4,1,61-Projects!$C$21+1),0)+IF(AND(Projects!$G$22="Yes",61&gt;=Projects!$C$22,61&lt;Projects!$C$22+Projects!$D$22),Projects!$B$22*INDEX(Curves!$B$4:$AR$4,1,61-Projects!$C$22+1),0)+IF(AND(Projects!$G$23="Yes",61&gt;=Projects!$C$23,61&lt;Projects!$C$23+Projects!$D$23),Projects!$B$23*INDEX(Curves!$B$4:$AR$4,1,61-Projects!$C$23+1),0)+IF(AND(Projects!$G$24="Yes",61&gt;=Projects!$C$24,61&lt;Projects!$C$24+Projects!$D$24),Projects!$B$24*INDEX(Curves!$B$4:$AR$4,1,61-Projects!$C$24+1),0)+IF(AND(Projects!$G$25="Yes",61&gt;=Projects!$C$25,61&lt;Projects!$C$25+Projects!$D$25),Projects!$B$25*INDEX(Curves!$B$4:$AR$4,1,61-Projects!$C$25+1),0)+IF(AND(Projects!$G$26="Yes",61&gt;=Projects!$C$26,61&lt;Projects!$C$26+Projects!$D$26),Projects!$B$26*INDEX(Curves!$B$4:$AR$4,1,61-Projects!$C$26+1),0)+IF(AND(Projects!$G$27="Yes",61&gt;=Projects!$C$27,61&lt;Projects!$C$27+Projects!$D$27),Projects!$B$27*INDEX(Curves!$B$4:$AR$4,1,61-Projects!$C$27+1),0)+IF(AND(Projects!$G$28="Yes",61&gt;=Projects!$C$28,61&lt;Projects!$C$28+Projects!$D$28),Projects!$B$28*INDEX(Curves!$B$4:$AR$4,1,61-Projects!$C$28+1),0)+IF(AND(Projects!$G$29="Yes",61&gt;=Projects!$C$29,61&lt;Projects!$C$29+Projects!$D$29),Projects!$B$29*INDEX(Curves!$B$4:$AR$4,1,61-Projects!$C$29+1),0)+IF(AND(Projects!$G$30="Yes",61&gt;=Projects!$C$30,61&lt;Projects!$C$30+Projects!$D$30),Projects!$B$30*INDEX(Curves!$B$4:$AR$4,1,61-Projects!$C$30+1),0)+IF(AND(Projects!$G$31="Yes",61&gt;=Projects!$C$31,61&lt;Projects!$C$31+Projects!$D$31),Projects!$B$31*INDEX(Curves!$B$4:$AR$4,1,61-Projects!$C$31+1),0)+IF(AND(Projects!$G$32="Yes",61&gt;=Projects!$C$32,61&lt;Projects!$C$32+Projects!$D$32),Projects!$B$32*INDEX(Curves!$B$4:$AR$4,1,61-Projects!$C$32+1),0)+IF(AND(Projects!$G$33="Yes",61&gt;=Projects!$C$33,61&lt;Projects!$C$33+Projects!$D$33),Projects!$B$33*INDEX(Curves!$B$4:$AR$4,1,61-Projects!$C$33+1),0)+IF(AND(Projects!$G$34="Yes",61&gt;=Projects!$C$34,61&lt;Projects!$C$34+Projects!$D$34),Projects!$B$34*INDEX(Curves!$B$4:$AR$4,1,61-Projects!$C$34+1),0)+IF(AND(Projects!$G$35="Yes",61&gt;=Projects!$C$35,61&lt;Projects!$C$35+Projects!$D$35),Projects!$B$35*INDEX(Curves!$B$4:$AR$4,1,61-Projects!$C$35+1),0)+IF(AND(Projects!$G$36="Yes",61&gt;=Projects!$C$36,61&lt;Projects!$C$36+Projects!$D$36),Projects!$B$36*INDEX(Curves!$B$4:$AR$4,1,61-Projects!$C$36+1),0)+IF(AND(Projects!$G$37="Yes",61&gt;=Projects!$C$37,61&lt;Projects!$C$37+Projects!$D$37),Projects!$B$37*INDEX(Curves!$B$4:$AR$4,1,61-Projects!$C$37+1),0)+IF(AND(Projects!$G$38="Yes",61&gt;=Projects!$C$38,61&lt;Projects!$C$38+Projects!$D$38),Projects!$B$38*INDEX(Curves!$B$4:$AR$4,1,61-Projects!$C$38+1),0)+IF(AND(Projects!$G$39="Yes",61&gt;=Projects!$C$39,61&lt;Projects!$C$39+Projects!$D$39),Projects!$B$39*INDEX(Curves!$B$4:$AR$4,1,61-Projects!$C$39+1),0)+IF(AND(Projects!$G$40="Yes",61&gt;=Projects!$C$40,61&lt;Projects!$C$40+Projects!$D$40),Projects!$B$40*INDEX(Curves!$B$4:$AR$4,1,61-Projects!$C$40+1),0)+IF(AND(Projects!$G$41="Yes",61&gt;=Projects!$C$41,61&lt;Projects!$C$41+Projects!$D$41),Projects!$B$41*INDEX(Curves!$B$4:$AR$4,1,61-Projects!$C$41+1),0)+IF(AND(Projects!$G$42="Yes",61&gt;=Projects!$C$42,61&lt;Projects!$C$42+Projects!$D$42),Projects!$B$42*INDEX(Curves!$B$4:$AR$4,1,61-Projects!$C$42+1),0)+IF(AND(Projects!$G$43="Yes",61&gt;=Projects!$C$43,61&lt;Projects!$C$43+Projects!$D$43),Projects!$B$43*INDEX(Curves!$B$4:$AR$4,1,61-Projects!$C$43+1),0)+IF(AND(Projects!$G$44="Yes",61&gt;=Projects!$C$44,61&lt;Projects!$C$44+Projects!$D$44),Projects!$B$44*INDEX(Curves!$B$4:$AR$4,1,61-Projects!$C$44+1),0)+IF(AND(Projects!$G$45="Yes",61&gt;=Projects!$C$45,61&lt;Projects!$C$45+Projects!$D$45),Projects!$B$45*INDEX(Curves!$B$4:$AR$4,1,61-Projects!$C$45+1),0)+IF(AND(Projects!$G$46="Yes",61&gt;=Projects!$C$46,61&lt;Projects!$C$46+Projects!$D$46),Projects!$B$46*INDEX(Curves!$B$4:$AR$4,1,61-Projects!$C$46+1),0)</f>
        <v>0</v>
      </c>
      <c r="BO96" s="83" t="n">
        <f aca="false">IF(AND(Projects!$G$17="Yes",62&gt;=Projects!$C$17,62&lt;Projects!$C$17+Projects!$D$17),Projects!$B$17*INDEX(Curves!$B$4:$AR$4,1,62-Projects!$C$17+1),0)+IF(AND(Projects!$G$18="Yes",62&gt;=Projects!$C$18,62&lt;Projects!$C$18+Projects!$D$18),Projects!$B$18*INDEX(Curves!$B$4:$AR$4,1,62-Projects!$C$18+1),0)+IF(AND(Projects!$G$19="Yes",62&gt;=Projects!$C$19,62&lt;Projects!$C$19+Projects!$D$19),Projects!$B$19*INDEX(Curves!$B$4:$AR$4,1,62-Projects!$C$19+1),0)+IF(AND(Projects!$G$20="Yes",62&gt;=Projects!$C$20,62&lt;Projects!$C$20+Projects!$D$20),Projects!$B$20*INDEX(Curves!$B$4:$AR$4,1,62-Projects!$C$20+1),0)+IF(AND(Projects!$G$21="Yes",62&gt;=Projects!$C$21,62&lt;Projects!$C$21+Projects!$D$21),Projects!$B$21*INDEX(Curves!$B$4:$AR$4,1,62-Projects!$C$21+1),0)+IF(AND(Projects!$G$22="Yes",62&gt;=Projects!$C$22,62&lt;Projects!$C$22+Projects!$D$22),Projects!$B$22*INDEX(Curves!$B$4:$AR$4,1,62-Projects!$C$22+1),0)+IF(AND(Projects!$G$23="Yes",62&gt;=Projects!$C$23,62&lt;Projects!$C$23+Projects!$D$23),Projects!$B$23*INDEX(Curves!$B$4:$AR$4,1,62-Projects!$C$23+1),0)+IF(AND(Projects!$G$24="Yes",62&gt;=Projects!$C$24,62&lt;Projects!$C$24+Projects!$D$24),Projects!$B$24*INDEX(Curves!$B$4:$AR$4,1,62-Projects!$C$24+1),0)+IF(AND(Projects!$G$25="Yes",62&gt;=Projects!$C$25,62&lt;Projects!$C$25+Projects!$D$25),Projects!$B$25*INDEX(Curves!$B$4:$AR$4,1,62-Projects!$C$25+1),0)+IF(AND(Projects!$G$26="Yes",62&gt;=Projects!$C$26,62&lt;Projects!$C$26+Projects!$D$26),Projects!$B$26*INDEX(Curves!$B$4:$AR$4,1,62-Projects!$C$26+1),0)+IF(AND(Projects!$G$27="Yes",62&gt;=Projects!$C$27,62&lt;Projects!$C$27+Projects!$D$27),Projects!$B$27*INDEX(Curves!$B$4:$AR$4,1,62-Projects!$C$27+1),0)+IF(AND(Projects!$G$28="Yes",62&gt;=Projects!$C$28,62&lt;Projects!$C$28+Projects!$D$28),Projects!$B$28*INDEX(Curves!$B$4:$AR$4,1,62-Projects!$C$28+1),0)+IF(AND(Projects!$G$29="Yes",62&gt;=Projects!$C$29,62&lt;Projects!$C$29+Projects!$D$29),Projects!$B$29*INDEX(Curves!$B$4:$AR$4,1,62-Projects!$C$29+1),0)+IF(AND(Projects!$G$30="Yes",62&gt;=Projects!$C$30,62&lt;Projects!$C$30+Projects!$D$30),Projects!$B$30*INDEX(Curves!$B$4:$AR$4,1,62-Projects!$C$30+1),0)+IF(AND(Projects!$G$31="Yes",62&gt;=Projects!$C$31,62&lt;Projects!$C$31+Projects!$D$31),Projects!$B$31*INDEX(Curves!$B$4:$AR$4,1,62-Projects!$C$31+1),0)+IF(AND(Projects!$G$32="Yes",62&gt;=Projects!$C$32,62&lt;Projects!$C$32+Projects!$D$32),Projects!$B$32*INDEX(Curves!$B$4:$AR$4,1,62-Projects!$C$32+1),0)+IF(AND(Projects!$G$33="Yes",62&gt;=Projects!$C$33,62&lt;Projects!$C$33+Projects!$D$33),Projects!$B$33*INDEX(Curves!$B$4:$AR$4,1,62-Projects!$C$33+1),0)+IF(AND(Projects!$G$34="Yes",62&gt;=Projects!$C$34,62&lt;Projects!$C$34+Projects!$D$34),Projects!$B$34*INDEX(Curves!$B$4:$AR$4,1,62-Projects!$C$34+1),0)+IF(AND(Projects!$G$35="Yes",62&gt;=Projects!$C$35,62&lt;Projects!$C$35+Projects!$D$35),Projects!$B$35*INDEX(Curves!$B$4:$AR$4,1,62-Projects!$C$35+1),0)+IF(AND(Projects!$G$36="Yes",62&gt;=Projects!$C$36,62&lt;Projects!$C$36+Projects!$D$36),Projects!$B$36*INDEX(Curves!$B$4:$AR$4,1,62-Projects!$C$36+1),0)+IF(AND(Projects!$G$37="Yes",62&gt;=Projects!$C$37,62&lt;Projects!$C$37+Projects!$D$37),Projects!$B$37*INDEX(Curves!$B$4:$AR$4,1,62-Projects!$C$37+1),0)+IF(AND(Projects!$G$38="Yes",62&gt;=Projects!$C$38,62&lt;Projects!$C$38+Projects!$D$38),Projects!$B$38*INDEX(Curves!$B$4:$AR$4,1,62-Projects!$C$38+1),0)+IF(AND(Projects!$G$39="Yes",62&gt;=Projects!$C$39,62&lt;Projects!$C$39+Projects!$D$39),Projects!$B$39*INDEX(Curves!$B$4:$AR$4,1,62-Projects!$C$39+1),0)+IF(AND(Projects!$G$40="Yes",62&gt;=Projects!$C$40,62&lt;Projects!$C$40+Projects!$D$40),Projects!$B$40*INDEX(Curves!$B$4:$AR$4,1,62-Projects!$C$40+1),0)+IF(AND(Projects!$G$41="Yes",62&gt;=Projects!$C$41,62&lt;Projects!$C$41+Projects!$D$41),Projects!$B$41*INDEX(Curves!$B$4:$AR$4,1,62-Projects!$C$41+1),0)+IF(AND(Projects!$G$42="Yes",62&gt;=Projects!$C$42,62&lt;Projects!$C$42+Projects!$D$42),Projects!$B$42*INDEX(Curves!$B$4:$AR$4,1,62-Projects!$C$42+1),0)+IF(AND(Projects!$G$43="Yes",62&gt;=Projects!$C$43,62&lt;Projects!$C$43+Projects!$D$43),Projects!$B$43*INDEX(Curves!$B$4:$AR$4,1,62-Projects!$C$43+1),0)+IF(AND(Projects!$G$44="Yes",62&gt;=Projects!$C$44,62&lt;Projects!$C$44+Projects!$D$44),Projects!$B$44*INDEX(Curves!$B$4:$AR$4,1,62-Projects!$C$44+1),0)+IF(AND(Projects!$G$45="Yes",62&gt;=Projects!$C$45,62&lt;Projects!$C$45+Projects!$D$45),Projects!$B$45*INDEX(Curves!$B$4:$AR$4,1,62-Projects!$C$45+1),0)+IF(AND(Projects!$G$46="Yes",62&gt;=Projects!$C$46,62&lt;Projects!$C$46+Projects!$D$46),Projects!$B$46*INDEX(Curves!$B$4:$AR$4,1,62-Projects!$C$46+1),0)</f>
        <v>0</v>
      </c>
      <c r="BP96" s="83" t="n">
        <f aca="false">IF(AND(Projects!$G$17="Yes",63&gt;=Projects!$C$17,63&lt;Projects!$C$17+Projects!$D$17),Projects!$B$17*INDEX(Curves!$B$4:$AR$4,1,63-Projects!$C$17+1),0)+IF(AND(Projects!$G$18="Yes",63&gt;=Projects!$C$18,63&lt;Projects!$C$18+Projects!$D$18),Projects!$B$18*INDEX(Curves!$B$4:$AR$4,1,63-Projects!$C$18+1),0)+IF(AND(Projects!$G$19="Yes",63&gt;=Projects!$C$19,63&lt;Projects!$C$19+Projects!$D$19),Projects!$B$19*INDEX(Curves!$B$4:$AR$4,1,63-Projects!$C$19+1),0)+IF(AND(Projects!$G$20="Yes",63&gt;=Projects!$C$20,63&lt;Projects!$C$20+Projects!$D$20),Projects!$B$20*INDEX(Curves!$B$4:$AR$4,1,63-Projects!$C$20+1),0)+IF(AND(Projects!$G$21="Yes",63&gt;=Projects!$C$21,63&lt;Projects!$C$21+Projects!$D$21),Projects!$B$21*INDEX(Curves!$B$4:$AR$4,1,63-Projects!$C$21+1),0)+IF(AND(Projects!$G$22="Yes",63&gt;=Projects!$C$22,63&lt;Projects!$C$22+Projects!$D$22),Projects!$B$22*INDEX(Curves!$B$4:$AR$4,1,63-Projects!$C$22+1),0)+IF(AND(Projects!$G$23="Yes",63&gt;=Projects!$C$23,63&lt;Projects!$C$23+Projects!$D$23),Projects!$B$23*INDEX(Curves!$B$4:$AR$4,1,63-Projects!$C$23+1),0)+IF(AND(Projects!$G$24="Yes",63&gt;=Projects!$C$24,63&lt;Projects!$C$24+Projects!$D$24),Projects!$B$24*INDEX(Curves!$B$4:$AR$4,1,63-Projects!$C$24+1),0)+IF(AND(Projects!$G$25="Yes",63&gt;=Projects!$C$25,63&lt;Projects!$C$25+Projects!$D$25),Projects!$B$25*INDEX(Curves!$B$4:$AR$4,1,63-Projects!$C$25+1),0)+IF(AND(Projects!$G$26="Yes",63&gt;=Projects!$C$26,63&lt;Projects!$C$26+Projects!$D$26),Projects!$B$26*INDEX(Curves!$B$4:$AR$4,1,63-Projects!$C$26+1),0)+IF(AND(Projects!$G$27="Yes",63&gt;=Projects!$C$27,63&lt;Projects!$C$27+Projects!$D$27),Projects!$B$27*INDEX(Curves!$B$4:$AR$4,1,63-Projects!$C$27+1),0)+IF(AND(Projects!$G$28="Yes",63&gt;=Projects!$C$28,63&lt;Projects!$C$28+Projects!$D$28),Projects!$B$28*INDEX(Curves!$B$4:$AR$4,1,63-Projects!$C$28+1),0)+IF(AND(Projects!$G$29="Yes",63&gt;=Projects!$C$29,63&lt;Projects!$C$29+Projects!$D$29),Projects!$B$29*INDEX(Curves!$B$4:$AR$4,1,63-Projects!$C$29+1),0)+IF(AND(Projects!$G$30="Yes",63&gt;=Projects!$C$30,63&lt;Projects!$C$30+Projects!$D$30),Projects!$B$30*INDEX(Curves!$B$4:$AR$4,1,63-Projects!$C$30+1),0)+IF(AND(Projects!$G$31="Yes",63&gt;=Projects!$C$31,63&lt;Projects!$C$31+Projects!$D$31),Projects!$B$31*INDEX(Curves!$B$4:$AR$4,1,63-Projects!$C$31+1),0)+IF(AND(Projects!$G$32="Yes",63&gt;=Projects!$C$32,63&lt;Projects!$C$32+Projects!$D$32),Projects!$B$32*INDEX(Curves!$B$4:$AR$4,1,63-Projects!$C$32+1),0)+IF(AND(Projects!$G$33="Yes",63&gt;=Projects!$C$33,63&lt;Projects!$C$33+Projects!$D$33),Projects!$B$33*INDEX(Curves!$B$4:$AR$4,1,63-Projects!$C$33+1),0)+IF(AND(Projects!$G$34="Yes",63&gt;=Projects!$C$34,63&lt;Projects!$C$34+Projects!$D$34),Projects!$B$34*INDEX(Curves!$B$4:$AR$4,1,63-Projects!$C$34+1),0)+IF(AND(Projects!$G$35="Yes",63&gt;=Projects!$C$35,63&lt;Projects!$C$35+Projects!$D$35),Projects!$B$35*INDEX(Curves!$B$4:$AR$4,1,63-Projects!$C$35+1),0)+IF(AND(Projects!$G$36="Yes",63&gt;=Projects!$C$36,63&lt;Projects!$C$36+Projects!$D$36),Projects!$B$36*INDEX(Curves!$B$4:$AR$4,1,63-Projects!$C$36+1),0)+IF(AND(Projects!$G$37="Yes",63&gt;=Projects!$C$37,63&lt;Projects!$C$37+Projects!$D$37),Projects!$B$37*INDEX(Curves!$B$4:$AR$4,1,63-Projects!$C$37+1),0)+IF(AND(Projects!$G$38="Yes",63&gt;=Projects!$C$38,63&lt;Projects!$C$38+Projects!$D$38),Projects!$B$38*INDEX(Curves!$B$4:$AR$4,1,63-Projects!$C$38+1),0)+IF(AND(Projects!$G$39="Yes",63&gt;=Projects!$C$39,63&lt;Projects!$C$39+Projects!$D$39),Projects!$B$39*INDEX(Curves!$B$4:$AR$4,1,63-Projects!$C$39+1),0)+IF(AND(Projects!$G$40="Yes",63&gt;=Projects!$C$40,63&lt;Projects!$C$40+Projects!$D$40),Projects!$B$40*INDEX(Curves!$B$4:$AR$4,1,63-Projects!$C$40+1),0)+IF(AND(Projects!$G$41="Yes",63&gt;=Projects!$C$41,63&lt;Projects!$C$41+Projects!$D$41),Projects!$B$41*INDEX(Curves!$B$4:$AR$4,1,63-Projects!$C$41+1),0)+IF(AND(Projects!$G$42="Yes",63&gt;=Projects!$C$42,63&lt;Projects!$C$42+Projects!$D$42),Projects!$B$42*INDEX(Curves!$B$4:$AR$4,1,63-Projects!$C$42+1),0)+IF(AND(Projects!$G$43="Yes",63&gt;=Projects!$C$43,63&lt;Projects!$C$43+Projects!$D$43),Projects!$B$43*INDEX(Curves!$B$4:$AR$4,1,63-Projects!$C$43+1),0)+IF(AND(Projects!$G$44="Yes",63&gt;=Projects!$C$44,63&lt;Projects!$C$44+Projects!$D$44),Projects!$B$44*INDEX(Curves!$B$4:$AR$4,1,63-Projects!$C$44+1),0)+IF(AND(Projects!$G$45="Yes",63&gt;=Projects!$C$45,63&lt;Projects!$C$45+Projects!$D$45),Projects!$B$45*INDEX(Curves!$B$4:$AR$4,1,63-Projects!$C$45+1),0)+IF(AND(Projects!$G$46="Yes",63&gt;=Projects!$C$46,63&lt;Projects!$C$46+Projects!$D$46),Projects!$B$46*INDEX(Curves!$B$4:$AR$4,1,63-Projects!$C$46+1),0)</f>
        <v>0</v>
      </c>
      <c r="BQ96" s="83" t="n">
        <f aca="false">IF(AND(Projects!$G$17="Yes",64&gt;=Projects!$C$17,64&lt;Projects!$C$17+Projects!$D$17),Projects!$B$17*INDEX(Curves!$B$4:$AR$4,1,64-Projects!$C$17+1),0)+IF(AND(Projects!$G$18="Yes",64&gt;=Projects!$C$18,64&lt;Projects!$C$18+Projects!$D$18),Projects!$B$18*INDEX(Curves!$B$4:$AR$4,1,64-Projects!$C$18+1),0)+IF(AND(Projects!$G$19="Yes",64&gt;=Projects!$C$19,64&lt;Projects!$C$19+Projects!$D$19),Projects!$B$19*INDEX(Curves!$B$4:$AR$4,1,64-Projects!$C$19+1),0)+IF(AND(Projects!$G$20="Yes",64&gt;=Projects!$C$20,64&lt;Projects!$C$20+Projects!$D$20),Projects!$B$20*INDEX(Curves!$B$4:$AR$4,1,64-Projects!$C$20+1),0)+IF(AND(Projects!$G$21="Yes",64&gt;=Projects!$C$21,64&lt;Projects!$C$21+Projects!$D$21),Projects!$B$21*INDEX(Curves!$B$4:$AR$4,1,64-Projects!$C$21+1),0)+IF(AND(Projects!$G$22="Yes",64&gt;=Projects!$C$22,64&lt;Projects!$C$22+Projects!$D$22),Projects!$B$22*INDEX(Curves!$B$4:$AR$4,1,64-Projects!$C$22+1),0)+IF(AND(Projects!$G$23="Yes",64&gt;=Projects!$C$23,64&lt;Projects!$C$23+Projects!$D$23),Projects!$B$23*INDEX(Curves!$B$4:$AR$4,1,64-Projects!$C$23+1),0)+IF(AND(Projects!$G$24="Yes",64&gt;=Projects!$C$24,64&lt;Projects!$C$24+Projects!$D$24),Projects!$B$24*INDEX(Curves!$B$4:$AR$4,1,64-Projects!$C$24+1),0)+IF(AND(Projects!$G$25="Yes",64&gt;=Projects!$C$25,64&lt;Projects!$C$25+Projects!$D$25),Projects!$B$25*INDEX(Curves!$B$4:$AR$4,1,64-Projects!$C$25+1),0)+IF(AND(Projects!$G$26="Yes",64&gt;=Projects!$C$26,64&lt;Projects!$C$26+Projects!$D$26),Projects!$B$26*INDEX(Curves!$B$4:$AR$4,1,64-Projects!$C$26+1),0)+IF(AND(Projects!$G$27="Yes",64&gt;=Projects!$C$27,64&lt;Projects!$C$27+Projects!$D$27),Projects!$B$27*INDEX(Curves!$B$4:$AR$4,1,64-Projects!$C$27+1),0)+IF(AND(Projects!$G$28="Yes",64&gt;=Projects!$C$28,64&lt;Projects!$C$28+Projects!$D$28),Projects!$B$28*INDEX(Curves!$B$4:$AR$4,1,64-Projects!$C$28+1),0)+IF(AND(Projects!$G$29="Yes",64&gt;=Projects!$C$29,64&lt;Projects!$C$29+Projects!$D$29),Projects!$B$29*INDEX(Curves!$B$4:$AR$4,1,64-Projects!$C$29+1),0)+IF(AND(Projects!$G$30="Yes",64&gt;=Projects!$C$30,64&lt;Projects!$C$30+Projects!$D$30),Projects!$B$30*INDEX(Curves!$B$4:$AR$4,1,64-Projects!$C$30+1),0)+IF(AND(Projects!$G$31="Yes",64&gt;=Projects!$C$31,64&lt;Projects!$C$31+Projects!$D$31),Projects!$B$31*INDEX(Curves!$B$4:$AR$4,1,64-Projects!$C$31+1),0)+IF(AND(Projects!$G$32="Yes",64&gt;=Projects!$C$32,64&lt;Projects!$C$32+Projects!$D$32),Projects!$B$32*INDEX(Curves!$B$4:$AR$4,1,64-Projects!$C$32+1),0)+IF(AND(Projects!$G$33="Yes",64&gt;=Projects!$C$33,64&lt;Projects!$C$33+Projects!$D$33),Projects!$B$33*INDEX(Curves!$B$4:$AR$4,1,64-Projects!$C$33+1),0)+IF(AND(Projects!$G$34="Yes",64&gt;=Projects!$C$34,64&lt;Projects!$C$34+Projects!$D$34),Projects!$B$34*INDEX(Curves!$B$4:$AR$4,1,64-Projects!$C$34+1),0)+IF(AND(Projects!$G$35="Yes",64&gt;=Projects!$C$35,64&lt;Projects!$C$35+Projects!$D$35),Projects!$B$35*INDEX(Curves!$B$4:$AR$4,1,64-Projects!$C$35+1),0)+IF(AND(Projects!$G$36="Yes",64&gt;=Projects!$C$36,64&lt;Projects!$C$36+Projects!$D$36),Projects!$B$36*INDEX(Curves!$B$4:$AR$4,1,64-Projects!$C$36+1),0)+IF(AND(Projects!$G$37="Yes",64&gt;=Projects!$C$37,64&lt;Projects!$C$37+Projects!$D$37),Projects!$B$37*INDEX(Curves!$B$4:$AR$4,1,64-Projects!$C$37+1),0)+IF(AND(Projects!$G$38="Yes",64&gt;=Projects!$C$38,64&lt;Projects!$C$38+Projects!$D$38),Projects!$B$38*INDEX(Curves!$B$4:$AR$4,1,64-Projects!$C$38+1),0)+IF(AND(Projects!$G$39="Yes",64&gt;=Projects!$C$39,64&lt;Projects!$C$39+Projects!$D$39),Projects!$B$39*INDEX(Curves!$B$4:$AR$4,1,64-Projects!$C$39+1),0)+IF(AND(Projects!$G$40="Yes",64&gt;=Projects!$C$40,64&lt;Projects!$C$40+Projects!$D$40),Projects!$B$40*INDEX(Curves!$B$4:$AR$4,1,64-Projects!$C$40+1),0)+IF(AND(Projects!$G$41="Yes",64&gt;=Projects!$C$41,64&lt;Projects!$C$41+Projects!$D$41),Projects!$B$41*INDEX(Curves!$B$4:$AR$4,1,64-Projects!$C$41+1),0)+IF(AND(Projects!$G$42="Yes",64&gt;=Projects!$C$42,64&lt;Projects!$C$42+Projects!$D$42),Projects!$B$42*INDEX(Curves!$B$4:$AR$4,1,64-Projects!$C$42+1),0)+IF(AND(Projects!$G$43="Yes",64&gt;=Projects!$C$43,64&lt;Projects!$C$43+Projects!$D$43),Projects!$B$43*INDEX(Curves!$B$4:$AR$4,1,64-Projects!$C$43+1),0)+IF(AND(Projects!$G$44="Yes",64&gt;=Projects!$C$44,64&lt;Projects!$C$44+Projects!$D$44),Projects!$B$44*INDEX(Curves!$B$4:$AR$4,1,64-Projects!$C$44+1),0)+IF(AND(Projects!$G$45="Yes",64&gt;=Projects!$C$45,64&lt;Projects!$C$45+Projects!$D$45),Projects!$B$45*INDEX(Curves!$B$4:$AR$4,1,64-Projects!$C$45+1),0)+IF(AND(Projects!$G$46="Yes",64&gt;=Projects!$C$46,64&lt;Projects!$C$46+Projects!$D$46),Projects!$B$46*INDEX(Curves!$B$4:$AR$4,1,64-Projects!$C$46+1),0)</f>
        <v>0</v>
      </c>
      <c r="BR96" s="83" t="n">
        <f aca="false">IF(AND(Projects!$G$17="Yes",65&gt;=Projects!$C$17,65&lt;Projects!$C$17+Projects!$D$17),Projects!$B$17*INDEX(Curves!$B$4:$AR$4,1,65-Projects!$C$17+1),0)+IF(AND(Projects!$G$18="Yes",65&gt;=Projects!$C$18,65&lt;Projects!$C$18+Projects!$D$18),Projects!$B$18*INDEX(Curves!$B$4:$AR$4,1,65-Projects!$C$18+1),0)+IF(AND(Projects!$G$19="Yes",65&gt;=Projects!$C$19,65&lt;Projects!$C$19+Projects!$D$19),Projects!$B$19*INDEX(Curves!$B$4:$AR$4,1,65-Projects!$C$19+1),0)+IF(AND(Projects!$G$20="Yes",65&gt;=Projects!$C$20,65&lt;Projects!$C$20+Projects!$D$20),Projects!$B$20*INDEX(Curves!$B$4:$AR$4,1,65-Projects!$C$20+1),0)+IF(AND(Projects!$G$21="Yes",65&gt;=Projects!$C$21,65&lt;Projects!$C$21+Projects!$D$21),Projects!$B$21*INDEX(Curves!$B$4:$AR$4,1,65-Projects!$C$21+1),0)+IF(AND(Projects!$G$22="Yes",65&gt;=Projects!$C$22,65&lt;Projects!$C$22+Projects!$D$22),Projects!$B$22*INDEX(Curves!$B$4:$AR$4,1,65-Projects!$C$22+1),0)+IF(AND(Projects!$G$23="Yes",65&gt;=Projects!$C$23,65&lt;Projects!$C$23+Projects!$D$23),Projects!$B$23*INDEX(Curves!$B$4:$AR$4,1,65-Projects!$C$23+1),0)+IF(AND(Projects!$G$24="Yes",65&gt;=Projects!$C$24,65&lt;Projects!$C$24+Projects!$D$24),Projects!$B$24*INDEX(Curves!$B$4:$AR$4,1,65-Projects!$C$24+1),0)+IF(AND(Projects!$G$25="Yes",65&gt;=Projects!$C$25,65&lt;Projects!$C$25+Projects!$D$25),Projects!$B$25*INDEX(Curves!$B$4:$AR$4,1,65-Projects!$C$25+1),0)+IF(AND(Projects!$G$26="Yes",65&gt;=Projects!$C$26,65&lt;Projects!$C$26+Projects!$D$26),Projects!$B$26*INDEX(Curves!$B$4:$AR$4,1,65-Projects!$C$26+1),0)+IF(AND(Projects!$G$27="Yes",65&gt;=Projects!$C$27,65&lt;Projects!$C$27+Projects!$D$27),Projects!$B$27*INDEX(Curves!$B$4:$AR$4,1,65-Projects!$C$27+1),0)+IF(AND(Projects!$G$28="Yes",65&gt;=Projects!$C$28,65&lt;Projects!$C$28+Projects!$D$28),Projects!$B$28*INDEX(Curves!$B$4:$AR$4,1,65-Projects!$C$28+1),0)+IF(AND(Projects!$G$29="Yes",65&gt;=Projects!$C$29,65&lt;Projects!$C$29+Projects!$D$29),Projects!$B$29*INDEX(Curves!$B$4:$AR$4,1,65-Projects!$C$29+1),0)+IF(AND(Projects!$G$30="Yes",65&gt;=Projects!$C$30,65&lt;Projects!$C$30+Projects!$D$30),Projects!$B$30*INDEX(Curves!$B$4:$AR$4,1,65-Projects!$C$30+1),0)+IF(AND(Projects!$G$31="Yes",65&gt;=Projects!$C$31,65&lt;Projects!$C$31+Projects!$D$31),Projects!$B$31*INDEX(Curves!$B$4:$AR$4,1,65-Projects!$C$31+1),0)+IF(AND(Projects!$G$32="Yes",65&gt;=Projects!$C$32,65&lt;Projects!$C$32+Projects!$D$32),Projects!$B$32*INDEX(Curves!$B$4:$AR$4,1,65-Projects!$C$32+1),0)+IF(AND(Projects!$G$33="Yes",65&gt;=Projects!$C$33,65&lt;Projects!$C$33+Projects!$D$33),Projects!$B$33*INDEX(Curves!$B$4:$AR$4,1,65-Projects!$C$33+1),0)+IF(AND(Projects!$G$34="Yes",65&gt;=Projects!$C$34,65&lt;Projects!$C$34+Projects!$D$34),Projects!$B$34*INDEX(Curves!$B$4:$AR$4,1,65-Projects!$C$34+1),0)+IF(AND(Projects!$G$35="Yes",65&gt;=Projects!$C$35,65&lt;Projects!$C$35+Projects!$D$35),Projects!$B$35*INDEX(Curves!$B$4:$AR$4,1,65-Projects!$C$35+1),0)+IF(AND(Projects!$G$36="Yes",65&gt;=Projects!$C$36,65&lt;Projects!$C$36+Projects!$D$36),Projects!$B$36*INDEX(Curves!$B$4:$AR$4,1,65-Projects!$C$36+1),0)+IF(AND(Projects!$G$37="Yes",65&gt;=Projects!$C$37,65&lt;Projects!$C$37+Projects!$D$37),Projects!$B$37*INDEX(Curves!$B$4:$AR$4,1,65-Projects!$C$37+1),0)+IF(AND(Projects!$G$38="Yes",65&gt;=Projects!$C$38,65&lt;Projects!$C$38+Projects!$D$38),Projects!$B$38*INDEX(Curves!$B$4:$AR$4,1,65-Projects!$C$38+1),0)+IF(AND(Projects!$G$39="Yes",65&gt;=Projects!$C$39,65&lt;Projects!$C$39+Projects!$D$39),Projects!$B$39*INDEX(Curves!$B$4:$AR$4,1,65-Projects!$C$39+1),0)+IF(AND(Projects!$G$40="Yes",65&gt;=Projects!$C$40,65&lt;Projects!$C$40+Projects!$D$40),Projects!$B$40*INDEX(Curves!$B$4:$AR$4,1,65-Projects!$C$40+1),0)+IF(AND(Projects!$G$41="Yes",65&gt;=Projects!$C$41,65&lt;Projects!$C$41+Projects!$D$41),Projects!$B$41*INDEX(Curves!$B$4:$AR$4,1,65-Projects!$C$41+1),0)+IF(AND(Projects!$G$42="Yes",65&gt;=Projects!$C$42,65&lt;Projects!$C$42+Projects!$D$42),Projects!$B$42*INDEX(Curves!$B$4:$AR$4,1,65-Projects!$C$42+1),0)+IF(AND(Projects!$G$43="Yes",65&gt;=Projects!$C$43,65&lt;Projects!$C$43+Projects!$D$43),Projects!$B$43*INDEX(Curves!$B$4:$AR$4,1,65-Projects!$C$43+1),0)+IF(AND(Projects!$G$44="Yes",65&gt;=Projects!$C$44,65&lt;Projects!$C$44+Projects!$D$44),Projects!$B$44*INDEX(Curves!$B$4:$AR$4,1,65-Projects!$C$44+1),0)+IF(AND(Projects!$G$45="Yes",65&gt;=Projects!$C$45,65&lt;Projects!$C$45+Projects!$D$45),Projects!$B$45*INDEX(Curves!$B$4:$AR$4,1,65-Projects!$C$45+1),0)+IF(AND(Projects!$G$46="Yes",65&gt;=Projects!$C$46,65&lt;Projects!$C$46+Projects!$D$46),Projects!$B$46*INDEX(Curves!$B$4:$AR$4,1,65-Projects!$C$46+1),0)</f>
        <v>0</v>
      </c>
      <c r="BS96" s="83" t="n">
        <f aca="false">IF(AND(Projects!$G$17="Yes",66&gt;=Projects!$C$17,66&lt;Projects!$C$17+Projects!$D$17),Projects!$B$17*INDEX(Curves!$B$4:$AR$4,1,66-Projects!$C$17+1),0)+IF(AND(Projects!$G$18="Yes",66&gt;=Projects!$C$18,66&lt;Projects!$C$18+Projects!$D$18),Projects!$B$18*INDEX(Curves!$B$4:$AR$4,1,66-Projects!$C$18+1),0)+IF(AND(Projects!$G$19="Yes",66&gt;=Projects!$C$19,66&lt;Projects!$C$19+Projects!$D$19),Projects!$B$19*INDEX(Curves!$B$4:$AR$4,1,66-Projects!$C$19+1),0)+IF(AND(Projects!$G$20="Yes",66&gt;=Projects!$C$20,66&lt;Projects!$C$20+Projects!$D$20),Projects!$B$20*INDEX(Curves!$B$4:$AR$4,1,66-Projects!$C$20+1),0)+IF(AND(Projects!$G$21="Yes",66&gt;=Projects!$C$21,66&lt;Projects!$C$21+Projects!$D$21),Projects!$B$21*INDEX(Curves!$B$4:$AR$4,1,66-Projects!$C$21+1),0)+IF(AND(Projects!$G$22="Yes",66&gt;=Projects!$C$22,66&lt;Projects!$C$22+Projects!$D$22),Projects!$B$22*INDEX(Curves!$B$4:$AR$4,1,66-Projects!$C$22+1),0)+IF(AND(Projects!$G$23="Yes",66&gt;=Projects!$C$23,66&lt;Projects!$C$23+Projects!$D$23),Projects!$B$23*INDEX(Curves!$B$4:$AR$4,1,66-Projects!$C$23+1),0)+IF(AND(Projects!$G$24="Yes",66&gt;=Projects!$C$24,66&lt;Projects!$C$24+Projects!$D$24),Projects!$B$24*INDEX(Curves!$B$4:$AR$4,1,66-Projects!$C$24+1),0)+IF(AND(Projects!$G$25="Yes",66&gt;=Projects!$C$25,66&lt;Projects!$C$25+Projects!$D$25),Projects!$B$25*INDEX(Curves!$B$4:$AR$4,1,66-Projects!$C$25+1),0)+IF(AND(Projects!$G$26="Yes",66&gt;=Projects!$C$26,66&lt;Projects!$C$26+Projects!$D$26),Projects!$B$26*INDEX(Curves!$B$4:$AR$4,1,66-Projects!$C$26+1),0)+IF(AND(Projects!$G$27="Yes",66&gt;=Projects!$C$27,66&lt;Projects!$C$27+Projects!$D$27),Projects!$B$27*INDEX(Curves!$B$4:$AR$4,1,66-Projects!$C$27+1),0)+IF(AND(Projects!$G$28="Yes",66&gt;=Projects!$C$28,66&lt;Projects!$C$28+Projects!$D$28),Projects!$B$28*INDEX(Curves!$B$4:$AR$4,1,66-Projects!$C$28+1),0)+IF(AND(Projects!$G$29="Yes",66&gt;=Projects!$C$29,66&lt;Projects!$C$29+Projects!$D$29),Projects!$B$29*INDEX(Curves!$B$4:$AR$4,1,66-Projects!$C$29+1),0)+IF(AND(Projects!$G$30="Yes",66&gt;=Projects!$C$30,66&lt;Projects!$C$30+Projects!$D$30),Projects!$B$30*INDEX(Curves!$B$4:$AR$4,1,66-Projects!$C$30+1),0)+IF(AND(Projects!$G$31="Yes",66&gt;=Projects!$C$31,66&lt;Projects!$C$31+Projects!$D$31),Projects!$B$31*INDEX(Curves!$B$4:$AR$4,1,66-Projects!$C$31+1),0)+IF(AND(Projects!$G$32="Yes",66&gt;=Projects!$C$32,66&lt;Projects!$C$32+Projects!$D$32),Projects!$B$32*INDEX(Curves!$B$4:$AR$4,1,66-Projects!$C$32+1),0)+IF(AND(Projects!$G$33="Yes",66&gt;=Projects!$C$33,66&lt;Projects!$C$33+Projects!$D$33),Projects!$B$33*INDEX(Curves!$B$4:$AR$4,1,66-Projects!$C$33+1),0)+IF(AND(Projects!$G$34="Yes",66&gt;=Projects!$C$34,66&lt;Projects!$C$34+Projects!$D$34),Projects!$B$34*INDEX(Curves!$B$4:$AR$4,1,66-Projects!$C$34+1),0)+IF(AND(Projects!$G$35="Yes",66&gt;=Projects!$C$35,66&lt;Projects!$C$35+Projects!$D$35),Projects!$B$35*INDEX(Curves!$B$4:$AR$4,1,66-Projects!$C$35+1),0)+IF(AND(Projects!$G$36="Yes",66&gt;=Projects!$C$36,66&lt;Projects!$C$36+Projects!$D$36),Projects!$B$36*INDEX(Curves!$B$4:$AR$4,1,66-Projects!$C$36+1),0)+IF(AND(Projects!$G$37="Yes",66&gt;=Projects!$C$37,66&lt;Projects!$C$37+Projects!$D$37),Projects!$B$37*INDEX(Curves!$B$4:$AR$4,1,66-Projects!$C$37+1),0)+IF(AND(Projects!$G$38="Yes",66&gt;=Projects!$C$38,66&lt;Projects!$C$38+Projects!$D$38),Projects!$B$38*INDEX(Curves!$B$4:$AR$4,1,66-Projects!$C$38+1),0)+IF(AND(Projects!$G$39="Yes",66&gt;=Projects!$C$39,66&lt;Projects!$C$39+Projects!$D$39),Projects!$B$39*INDEX(Curves!$B$4:$AR$4,1,66-Projects!$C$39+1),0)+IF(AND(Projects!$G$40="Yes",66&gt;=Projects!$C$40,66&lt;Projects!$C$40+Projects!$D$40),Projects!$B$40*INDEX(Curves!$B$4:$AR$4,1,66-Projects!$C$40+1),0)+IF(AND(Projects!$G$41="Yes",66&gt;=Projects!$C$41,66&lt;Projects!$C$41+Projects!$D$41),Projects!$B$41*INDEX(Curves!$B$4:$AR$4,1,66-Projects!$C$41+1),0)+IF(AND(Projects!$G$42="Yes",66&gt;=Projects!$C$42,66&lt;Projects!$C$42+Projects!$D$42),Projects!$B$42*INDEX(Curves!$B$4:$AR$4,1,66-Projects!$C$42+1),0)+IF(AND(Projects!$G$43="Yes",66&gt;=Projects!$C$43,66&lt;Projects!$C$43+Projects!$D$43),Projects!$B$43*INDEX(Curves!$B$4:$AR$4,1,66-Projects!$C$43+1),0)+IF(AND(Projects!$G$44="Yes",66&gt;=Projects!$C$44,66&lt;Projects!$C$44+Projects!$D$44),Projects!$B$44*INDEX(Curves!$B$4:$AR$4,1,66-Projects!$C$44+1),0)+IF(AND(Projects!$G$45="Yes",66&gt;=Projects!$C$45,66&lt;Projects!$C$45+Projects!$D$45),Projects!$B$45*INDEX(Curves!$B$4:$AR$4,1,66-Projects!$C$45+1),0)+IF(AND(Projects!$G$46="Yes",66&gt;=Projects!$C$46,66&lt;Projects!$C$46+Projects!$D$46),Projects!$B$46*INDEX(Curves!$B$4:$AR$4,1,66-Projects!$C$46+1),0)</f>
        <v>0</v>
      </c>
      <c r="BT96" s="83" t="n">
        <f aca="false">IF(AND(Projects!$G$17="Yes",67&gt;=Projects!$C$17,67&lt;Projects!$C$17+Projects!$D$17),Projects!$B$17*INDEX(Curves!$B$4:$AR$4,1,67-Projects!$C$17+1),0)+IF(AND(Projects!$G$18="Yes",67&gt;=Projects!$C$18,67&lt;Projects!$C$18+Projects!$D$18),Projects!$B$18*INDEX(Curves!$B$4:$AR$4,1,67-Projects!$C$18+1),0)+IF(AND(Projects!$G$19="Yes",67&gt;=Projects!$C$19,67&lt;Projects!$C$19+Projects!$D$19),Projects!$B$19*INDEX(Curves!$B$4:$AR$4,1,67-Projects!$C$19+1),0)+IF(AND(Projects!$G$20="Yes",67&gt;=Projects!$C$20,67&lt;Projects!$C$20+Projects!$D$20),Projects!$B$20*INDEX(Curves!$B$4:$AR$4,1,67-Projects!$C$20+1),0)+IF(AND(Projects!$G$21="Yes",67&gt;=Projects!$C$21,67&lt;Projects!$C$21+Projects!$D$21),Projects!$B$21*INDEX(Curves!$B$4:$AR$4,1,67-Projects!$C$21+1),0)+IF(AND(Projects!$G$22="Yes",67&gt;=Projects!$C$22,67&lt;Projects!$C$22+Projects!$D$22),Projects!$B$22*INDEX(Curves!$B$4:$AR$4,1,67-Projects!$C$22+1),0)+IF(AND(Projects!$G$23="Yes",67&gt;=Projects!$C$23,67&lt;Projects!$C$23+Projects!$D$23),Projects!$B$23*INDEX(Curves!$B$4:$AR$4,1,67-Projects!$C$23+1),0)+IF(AND(Projects!$G$24="Yes",67&gt;=Projects!$C$24,67&lt;Projects!$C$24+Projects!$D$24),Projects!$B$24*INDEX(Curves!$B$4:$AR$4,1,67-Projects!$C$24+1),0)+IF(AND(Projects!$G$25="Yes",67&gt;=Projects!$C$25,67&lt;Projects!$C$25+Projects!$D$25),Projects!$B$25*INDEX(Curves!$B$4:$AR$4,1,67-Projects!$C$25+1),0)+IF(AND(Projects!$G$26="Yes",67&gt;=Projects!$C$26,67&lt;Projects!$C$26+Projects!$D$26),Projects!$B$26*INDEX(Curves!$B$4:$AR$4,1,67-Projects!$C$26+1),0)+IF(AND(Projects!$G$27="Yes",67&gt;=Projects!$C$27,67&lt;Projects!$C$27+Projects!$D$27),Projects!$B$27*INDEX(Curves!$B$4:$AR$4,1,67-Projects!$C$27+1),0)+IF(AND(Projects!$G$28="Yes",67&gt;=Projects!$C$28,67&lt;Projects!$C$28+Projects!$D$28),Projects!$B$28*INDEX(Curves!$B$4:$AR$4,1,67-Projects!$C$28+1),0)+IF(AND(Projects!$G$29="Yes",67&gt;=Projects!$C$29,67&lt;Projects!$C$29+Projects!$D$29),Projects!$B$29*INDEX(Curves!$B$4:$AR$4,1,67-Projects!$C$29+1),0)+IF(AND(Projects!$G$30="Yes",67&gt;=Projects!$C$30,67&lt;Projects!$C$30+Projects!$D$30),Projects!$B$30*INDEX(Curves!$B$4:$AR$4,1,67-Projects!$C$30+1),0)+IF(AND(Projects!$G$31="Yes",67&gt;=Projects!$C$31,67&lt;Projects!$C$31+Projects!$D$31),Projects!$B$31*INDEX(Curves!$B$4:$AR$4,1,67-Projects!$C$31+1),0)+IF(AND(Projects!$G$32="Yes",67&gt;=Projects!$C$32,67&lt;Projects!$C$32+Projects!$D$32),Projects!$B$32*INDEX(Curves!$B$4:$AR$4,1,67-Projects!$C$32+1),0)+IF(AND(Projects!$G$33="Yes",67&gt;=Projects!$C$33,67&lt;Projects!$C$33+Projects!$D$33),Projects!$B$33*INDEX(Curves!$B$4:$AR$4,1,67-Projects!$C$33+1),0)+IF(AND(Projects!$G$34="Yes",67&gt;=Projects!$C$34,67&lt;Projects!$C$34+Projects!$D$34),Projects!$B$34*INDEX(Curves!$B$4:$AR$4,1,67-Projects!$C$34+1),0)+IF(AND(Projects!$G$35="Yes",67&gt;=Projects!$C$35,67&lt;Projects!$C$35+Projects!$D$35),Projects!$B$35*INDEX(Curves!$B$4:$AR$4,1,67-Projects!$C$35+1),0)+IF(AND(Projects!$G$36="Yes",67&gt;=Projects!$C$36,67&lt;Projects!$C$36+Projects!$D$36),Projects!$B$36*INDEX(Curves!$B$4:$AR$4,1,67-Projects!$C$36+1),0)+IF(AND(Projects!$G$37="Yes",67&gt;=Projects!$C$37,67&lt;Projects!$C$37+Projects!$D$37),Projects!$B$37*INDEX(Curves!$B$4:$AR$4,1,67-Projects!$C$37+1),0)+IF(AND(Projects!$G$38="Yes",67&gt;=Projects!$C$38,67&lt;Projects!$C$38+Projects!$D$38),Projects!$B$38*INDEX(Curves!$B$4:$AR$4,1,67-Projects!$C$38+1),0)+IF(AND(Projects!$G$39="Yes",67&gt;=Projects!$C$39,67&lt;Projects!$C$39+Projects!$D$39),Projects!$B$39*INDEX(Curves!$B$4:$AR$4,1,67-Projects!$C$39+1),0)+IF(AND(Projects!$G$40="Yes",67&gt;=Projects!$C$40,67&lt;Projects!$C$40+Projects!$D$40),Projects!$B$40*INDEX(Curves!$B$4:$AR$4,1,67-Projects!$C$40+1),0)+IF(AND(Projects!$G$41="Yes",67&gt;=Projects!$C$41,67&lt;Projects!$C$41+Projects!$D$41),Projects!$B$41*INDEX(Curves!$B$4:$AR$4,1,67-Projects!$C$41+1),0)+IF(AND(Projects!$G$42="Yes",67&gt;=Projects!$C$42,67&lt;Projects!$C$42+Projects!$D$42),Projects!$B$42*INDEX(Curves!$B$4:$AR$4,1,67-Projects!$C$42+1),0)+IF(AND(Projects!$G$43="Yes",67&gt;=Projects!$C$43,67&lt;Projects!$C$43+Projects!$D$43),Projects!$B$43*INDEX(Curves!$B$4:$AR$4,1,67-Projects!$C$43+1),0)+IF(AND(Projects!$G$44="Yes",67&gt;=Projects!$C$44,67&lt;Projects!$C$44+Projects!$D$44),Projects!$B$44*INDEX(Curves!$B$4:$AR$4,1,67-Projects!$C$44+1),0)+IF(AND(Projects!$G$45="Yes",67&gt;=Projects!$C$45,67&lt;Projects!$C$45+Projects!$D$45),Projects!$B$45*INDEX(Curves!$B$4:$AR$4,1,67-Projects!$C$45+1),0)+IF(AND(Projects!$G$46="Yes",67&gt;=Projects!$C$46,67&lt;Projects!$C$46+Projects!$D$46),Projects!$B$46*INDEX(Curves!$B$4:$AR$4,1,67-Projects!$C$46+1),0)</f>
        <v>0</v>
      </c>
      <c r="BU96" s="83" t="n">
        <f aca="false">IF(AND(Projects!$G$17="Yes",68&gt;=Projects!$C$17,68&lt;Projects!$C$17+Projects!$D$17),Projects!$B$17*INDEX(Curves!$B$4:$AR$4,1,68-Projects!$C$17+1),0)+IF(AND(Projects!$G$18="Yes",68&gt;=Projects!$C$18,68&lt;Projects!$C$18+Projects!$D$18),Projects!$B$18*INDEX(Curves!$B$4:$AR$4,1,68-Projects!$C$18+1),0)+IF(AND(Projects!$G$19="Yes",68&gt;=Projects!$C$19,68&lt;Projects!$C$19+Projects!$D$19),Projects!$B$19*INDEX(Curves!$B$4:$AR$4,1,68-Projects!$C$19+1),0)+IF(AND(Projects!$G$20="Yes",68&gt;=Projects!$C$20,68&lt;Projects!$C$20+Projects!$D$20),Projects!$B$20*INDEX(Curves!$B$4:$AR$4,1,68-Projects!$C$20+1),0)+IF(AND(Projects!$G$21="Yes",68&gt;=Projects!$C$21,68&lt;Projects!$C$21+Projects!$D$21),Projects!$B$21*INDEX(Curves!$B$4:$AR$4,1,68-Projects!$C$21+1),0)+IF(AND(Projects!$G$22="Yes",68&gt;=Projects!$C$22,68&lt;Projects!$C$22+Projects!$D$22),Projects!$B$22*INDEX(Curves!$B$4:$AR$4,1,68-Projects!$C$22+1),0)+IF(AND(Projects!$G$23="Yes",68&gt;=Projects!$C$23,68&lt;Projects!$C$23+Projects!$D$23),Projects!$B$23*INDEX(Curves!$B$4:$AR$4,1,68-Projects!$C$23+1),0)+IF(AND(Projects!$G$24="Yes",68&gt;=Projects!$C$24,68&lt;Projects!$C$24+Projects!$D$24),Projects!$B$24*INDEX(Curves!$B$4:$AR$4,1,68-Projects!$C$24+1),0)+IF(AND(Projects!$G$25="Yes",68&gt;=Projects!$C$25,68&lt;Projects!$C$25+Projects!$D$25),Projects!$B$25*INDEX(Curves!$B$4:$AR$4,1,68-Projects!$C$25+1),0)+IF(AND(Projects!$G$26="Yes",68&gt;=Projects!$C$26,68&lt;Projects!$C$26+Projects!$D$26),Projects!$B$26*INDEX(Curves!$B$4:$AR$4,1,68-Projects!$C$26+1),0)+IF(AND(Projects!$G$27="Yes",68&gt;=Projects!$C$27,68&lt;Projects!$C$27+Projects!$D$27),Projects!$B$27*INDEX(Curves!$B$4:$AR$4,1,68-Projects!$C$27+1),0)+IF(AND(Projects!$G$28="Yes",68&gt;=Projects!$C$28,68&lt;Projects!$C$28+Projects!$D$28),Projects!$B$28*INDEX(Curves!$B$4:$AR$4,1,68-Projects!$C$28+1),0)+IF(AND(Projects!$G$29="Yes",68&gt;=Projects!$C$29,68&lt;Projects!$C$29+Projects!$D$29),Projects!$B$29*INDEX(Curves!$B$4:$AR$4,1,68-Projects!$C$29+1),0)+IF(AND(Projects!$G$30="Yes",68&gt;=Projects!$C$30,68&lt;Projects!$C$30+Projects!$D$30),Projects!$B$30*INDEX(Curves!$B$4:$AR$4,1,68-Projects!$C$30+1),0)+IF(AND(Projects!$G$31="Yes",68&gt;=Projects!$C$31,68&lt;Projects!$C$31+Projects!$D$31),Projects!$B$31*INDEX(Curves!$B$4:$AR$4,1,68-Projects!$C$31+1),0)+IF(AND(Projects!$G$32="Yes",68&gt;=Projects!$C$32,68&lt;Projects!$C$32+Projects!$D$32),Projects!$B$32*INDEX(Curves!$B$4:$AR$4,1,68-Projects!$C$32+1),0)+IF(AND(Projects!$G$33="Yes",68&gt;=Projects!$C$33,68&lt;Projects!$C$33+Projects!$D$33),Projects!$B$33*INDEX(Curves!$B$4:$AR$4,1,68-Projects!$C$33+1),0)+IF(AND(Projects!$G$34="Yes",68&gt;=Projects!$C$34,68&lt;Projects!$C$34+Projects!$D$34),Projects!$B$34*INDEX(Curves!$B$4:$AR$4,1,68-Projects!$C$34+1),0)+IF(AND(Projects!$G$35="Yes",68&gt;=Projects!$C$35,68&lt;Projects!$C$35+Projects!$D$35),Projects!$B$35*INDEX(Curves!$B$4:$AR$4,1,68-Projects!$C$35+1),0)+IF(AND(Projects!$G$36="Yes",68&gt;=Projects!$C$36,68&lt;Projects!$C$36+Projects!$D$36),Projects!$B$36*INDEX(Curves!$B$4:$AR$4,1,68-Projects!$C$36+1),0)+IF(AND(Projects!$G$37="Yes",68&gt;=Projects!$C$37,68&lt;Projects!$C$37+Projects!$D$37),Projects!$B$37*INDEX(Curves!$B$4:$AR$4,1,68-Projects!$C$37+1),0)+IF(AND(Projects!$G$38="Yes",68&gt;=Projects!$C$38,68&lt;Projects!$C$38+Projects!$D$38),Projects!$B$38*INDEX(Curves!$B$4:$AR$4,1,68-Projects!$C$38+1),0)+IF(AND(Projects!$G$39="Yes",68&gt;=Projects!$C$39,68&lt;Projects!$C$39+Projects!$D$39),Projects!$B$39*INDEX(Curves!$B$4:$AR$4,1,68-Projects!$C$39+1),0)+IF(AND(Projects!$G$40="Yes",68&gt;=Projects!$C$40,68&lt;Projects!$C$40+Projects!$D$40),Projects!$B$40*INDEX(Curves!$B$4:$AR$4,1,68-Projects!$C$40+1),0)+IF(AND(Projects!$G$41="Yes",68&gt;=Projects!$C$41,68&lt;Projects!$C$41+Projects!$D$41),Projects!$B$41*INDEX(Curves!$B$4:$AR$4,1,68-Projects!$C$41+1),0)+IF(AND(Projects!$G$42="Yes",68&gt;=Projects!$C$42,68&lt;Projects!$C$42+Projects!$D$42),Projects!$B$42*INDEX(Curves!$B$4:$AR$4,1,68-Projects!$C$42+1),0)+IF(AND(Projects!$G$43="Yes",68&gt;=Projects!$C$43,68&lt;Projects!$C$43+Projects!$D$43),Projects!$B$43*INDEX(Curves!$B$4:$AR$4,1,68-Projects!$C$43+1),0)+IF(AND(Projects!$G$44="Yes",68&gt;=Projects!$C$44,68&lt;Projects!$C$44+Projects!$D$44),Projects!$B$44*INDEX(Curves!$B$4:$AR$4,1,68-Projects!$C$44+1),0)+IF(AND(Projects!$G$45="Yes",68&gt;=Projects!$C$45,68&lt;Projects!$C$45+Projects!$D$45),Projects!$B$45*INDEX(Curves!$B$4:$AR$4,1,68-Projects!$C$45+1),0)+IF(AND(Projects!$G$46="Yes",68&gt;=Projects!$C$46,68&lt;Projects!$C$46+Projects!$D$46),Projects!$B$46*INDEX(Curves!$B$4:$AR$4,1,68-Projects!$C$46+1),0)</f>
        <v>0</v>
      </c>
      <c r="BV96" s="83" t="n">
        <f aca="false">IF(AND(Projects!$G$17="Yes",69&gt;=Projects!$C$17,69&lt;Projects!$C$17+Projects!$D$17),Projects!$B$17*INDEX(Curves!$B$4:$AR$4,1,69-Projects!$C$17+1),0)+IF(AND(Projects!$G$18="Yes",69&gt;=Projects!$C$18,69&lt;Projects!$C$18+Projects!$D$18),Projects!$B$18*INDEX(Curves!$B$4:$AR$4,1,69-Projects!$C$18+1),0)+IF(AND(Projects!$G$19="Yes",69&gt;=Projects!$C$19,69&lt;Projects!$C$19+Projects!$D$19),Projects!$B$19*INDEX(Curves!$B$4:$AR$4,1,69-Projects!$C$19+1),0)+IF(AND(Projects!$G$20="Yes",69&gt;=Projects!$C$20,69&lt;Projects!$C$20+Projects!$D$20),Projects!$B$20*INDEX(Curves!$B$4:$AR$4,1,69-Projects!$C$20+1),0)+IF(AND(Projects!$G$21="Yes",69&gt;=Projects!$C$21,69&lt;Projects!$C$21+Projects!$D$21),Projects!$B$21*INDEX(Curves!$B$4:$AR$4,1,69-Projects!$C$21+1),0)+IF(AND(Projects!$G$22="Yes",69&gt;=Projects!$C$22,69&lt;Projects!$C$22+Projects!$D$22),Projects!$B$22*INDEX(Curves!$B$4:$AR$4,1,69-Projects!$C$22+1),0)+IF(AND(Projects!$G$23="Yes",69&gt;=Projects!$C$23,69&lt;Projects!$C$23+Projects!$D$23),Projects!$B$23*INDEX(Curves!$B$4:$AR$4,1,69-Projects!$C$23+1),0)+IF(AND(Projects!$G$24="Yes",69&gt;=Projects!$C$24,69&lt;Projects!$C$24+Projects!$D$24),Projects!$B$24*INDEX(Curves!$B$4:$AR$4,1,69-Projects!$C$24+1),0)+IF(AND(Projects!$G$25="Yes",69&gt;=Projects!$C$25,69&lt;Projects!$C$25+Projects!$D$25),Projects!$B$25*INDEX(Curves!$B$4:$AR$4,1,69-Projects!$C$25+1),0)+IF(AND(Projects!$G$26="Yes",69&gt;=Projects!$C$26,69&lt;Projects!$C$26+Projects!$D$26),Projects!$B$26*INDEX(Curves!$B$4:$AR$4,1,69-Projects!$C$26+1),0)+IF(AND(Projects!$G$27="Yes",69&gt;=Projects!$C$27,69&lt;Projects!$C$27+Projects!$D$27),Projects!$B$27*INDEX(Curves!$B$4:$AR$4,1,69-Projects!$C$27+1),0)+IF(AND(Projects!$G$28="Yes",69&gt;=Projects!$C$28,69&lt;Projects!$C$28+Projects!$D$28),Projects!$B$28*INDEX(Curves!$B$4:$AR$4,1,69-Projects!$C$28+1),0)+IF(AND(Projects!$G$29="Yes",69&gt;=Projects!$C$29,69&lt;Projects!$C$29+Projects!$D$29),Projects!$B$29*INDEX(Curves!$B$4:$AR$4,1,69-Projects!$C$29+1),0)+IF(AND(Projects!$G$30="Yes",69&gt;=Projects!$C$30,69&lt;Projects!$C$30+Projects!$D$30),Projects!$B$30*INDEX(Curves!$B$4:$AR$4,1,69-Projects!$C$30+1),0)+IF(AND(Projects!$G$31="Yes",69&gt;=Projects!$C$31,69&lt;Projects!$C$31+Projects!$D$31),Projects!$B$31*INDEX(Curves!$B$4:$AR$4,1,69-Projects!$C$31+1),0)+IF(AND(Projects!$G$32="Yes",69&gt;=Projects!$C$32,69&lt;Projects!$C$32+Projects!$D$32),Projects!$B$32*INDEX(Curves!$B$4:$AR$4,1,69-Projects!$C$32+1),0)+IF(AND(Projects!$G$33="Yes",69&gt;=Projects!$C$33,69&lt;Projects!$C$33+Projects!$D$33),Projects!$B$33*INDEX(Curves!$B$4:$AR$4,1,69-Projects!$C$33+1),0)+IF(AND(Projects!$G$34="Yes",69&gt;=Projects!$C$34,69&lt;Projects!$C$34+Projects!$D$34),Projects!$B$34*INDEX(Curves!$B$4:$AR$4,1,69-Projects!$C$34+1),0)+IF(AND(Projects!$G$35="Yes",69&gt;=Projects!$C$35,69&lt;Projects!$C$35+Projects!$D$35),Projects!$B$35*INDEX(Curves!$B$4:$AR$4,1,69-Projects!$C$35+1),0)+IF(AND(Projects!$G$36="Yes",69&gt;=Projects!$C$36,69&lt;Projects!$C$36+Projects!$D$36),Projects!$B$36*INDEX(Curves!$B$4:$AR$4,1,69-Projects!$C$36+1),0)+IF(AND(Projects!$G$37="Yes",69&gt;=Projects!$C$37,69&lt;Projects!$C$37+Projects!$D$37),Projects!$B$37*INDEX(Curves!$B$4:$AR$4,1,69-Projects!$C$37+1),0)+IF(AND(Projects!$G$38="Yes",69&gt;=Projects!$C$38,69&lt;Projects!$C$38+Projects!$D$38),Projects!$B$38*INDEX(Curves!$B$4:$AR$4,1,69-Projects!$C$38+1),0)+IF(AND(Projects!$G$39="Yes",69&gt;=Projects!$C$39,69&lt;Projects!$C$39+Projects!$D$39),Projects!$B$39*INDEX(Curves!$B$4:$AR$4,1,69-Projects!$C$39+1),0)+IF(AND(Projects!$G$40="Yes",69&gt;=Projects!$C$40,69&lt;Projects!$C$40+Projects!$D$40),Projects!$B$40*INDEX(Curves!$B$4:$AR$4,1,69-Projects!$C$40+1),0)+IF(AND(Projects!$G$41="Yes",69&gt;=Projects!$C$41,69&lt;Projects!$C$41+Projects!$D$41),Projects!$B$41*INDEX(Curves!$B$4:$AR$4,1,69-Projects!$C$41+1),0)+IF(AND(Projects!$G$42="Yes",69&gt;=Projects!$C$42,69&lt;Projects!$C$42+Projects!$D$42),Projects!$B$42*INDEX(Curves!$B$4:$AR$4,1,69-Projects!$C$42+1),0)+IF(AND(Projects!$G$43="Yes",69&gt;=Projects!$C$43,69&lt;Projects!$C$43+Projects!$D$43),Projects!$B$43*INDEX(Curves!$B$4:$AR$4,1,69-Projects!$C$43+1),0)+IF(AND(Projects!$G$44="Yes",69&gt;=Projects!$C$44,69&lt;Projects!$C$44+Projects!$D$44),Projects!$B$44*INDEX(Curves!$B$4:$AR$4,1,69-Projects!$C$44+1),0)+IF(AND(Projects!$G$45="Yes",69&gt;=Projects!$C$45,69&lt;Projects!$C$45+Projects!$D$45),Projects!$B$45*INDEX(Curves!$B$4:$AR$4,1,69-Projects!$C$45+1),0)+IF(AND(Projects!$G$46="Yes",69&gt;=Projects!$C$46,69&lt;Projects!$C$46+Projects!$D$46),Projects!$B$46*INDEX(Curves!$B$4:$AR$4,1,69-Projects!$C$46+1),0)</f>
        <v>0</v>
      </c>
      <c r="BW96" s="83" t="n">
        <f aca="false">IF(AND(Projects!$G$17="Yes",70&gt;=Projects!$C$17,70&lt;Projects!$C$17+Projects!$D$17),Projects!$B$17*INDEX(Curves!$B$4:$AR$4,1,70-Projects!$C$17+1),0)+IF(AND(Projects!$G$18="Yes",70&gt;=Projects!$C$18,70&lt;Projects!$C$18+Projects!$D$18),Projects!$B$18*INDEX(Curves!$B$4:$AR$4,1,70-Projects!$C$18+1),0)+IF(AND(Projects!$G$19="Yes",70&gt;=Projects!$C$19,70&lt;Projects!$C$19+Projects!$D$19),Projects!$B$19*INDEX(Curves!$B$4:$AR$4,1,70-Projects!$C$19+1),0)+IF(AND(Projects!$G$20="Yes",70&gt;=Projects!$C$20,70&lt;Projects!$C$20+Projects!$D$20),Projects!$B$20*INDEX(Curves!$B$4:$AR$4,1,70-Projects!$C$20+1),0)+IF(AND(Projects!$G$21="Yes",70&gt;=Projects!$C$21,70&lt;Projects!$C$21+Projects!$D$21),Projects!$B$21*INDEX(Curves!$B$4:$AR$4,1,70-Projects!$C$21+1),0)+IF(AND(Projects!$G$22="Yes",70&gt;=Projects!$C$22,70&lt;Projects!$C$22+Projects!$D$22),Projects!$B$22*INDEX(Curves!$B$4:$AR$4,1,70-Projects!$C$22+1),0)+IF(AND(Projects!$G$23="Yes",70&gt;=Projects!$C$23,70&lt;Projects!$C$23+Projects!$D$23),Projects!$B$23*INDEX(Curves!$B$4:$AR$4,1,70-Projects!$C$23+1),0)+IF(AND(Projects!$G$24="Yes",70&gt;=Projects!$C$24,70&lt;Projects!$C$24+Projects!$D$24),Projects!$B$24*INDEX(Curves!$B$4:$AR$4,1,70-Projects!$C$24+1),0)+IF(AND(Projects!$G$25="Yes",70&gt;=Projects!$C$25,70&lt;Projects!$C$25+Projects!$D$25),Projects!$B$25*INDEX(Curves!$B$4:$AR$4,1,70-Projects!$C$25+1),0)+IF(AND(Projects!$G$26="Yes",70&gt;=Projects!$C$26,70&lt;Projects!$C$26+Projects!$D$26),Projects!$B$26*INDEX(Curves!$B$4:$AR$4,1,70-Projects!$C$26+1),0)+IF(AND(Projects!$G$27="Yes",70&gt;=Projects!$C$27,70&lt;Projects!$C$27+Projects!$D$27),Projects!$B$27*INDEX(Curves!$B$4:$AR$4,1,70-Projects!$C$27+1),0)+IF(AND(Projects!$G$28="Yes",70&gt;=Projects!$C$28,70&lt;Projects!$C$28+Projects!$D$28),Projects!$B$28*INDEX(Curves!$B$4:$AR$4,1,70-Projects!$C$28+1),0)+IF(AND(Projects!$G$29="Yes",70&gt;=Projects!$C$29,70&lt;Projects!$C$29+Projects!$D$29),Projects!$B$29*INDEX(Curves!$B$4:$AR$4,1,70-Projects!$C$29+1),0)+IF(AND(Projects!$G$30="Yes",70&gt;=Projects!$C$30,70&lt;Projects!$C$30+Projects!$D$30),Projects!$B$30*INDEX(Curves!$B$4:$AR$4,1,70-Projects!$C$30+1),0)+IF(AND(Projects!$G$31="Yes",70&gt;=Projects!$C$31,70&lt;Projects!$C$31+Projects!$D$31),Projects!$B$31*INDEX(Curves!$B$4:$AR$4,1,70-Projects!$C$31+1),0)+IF(AND(Projects!$G$32="Yes",70&gt;=Projects!$C$32,70&lt;Projects!$C$32+Projects!$D$32),Projects!$B$32*INDEX(Curves!$B$4:$AR$4,1,70-Projects!$C$32+1),0)+IF(AND(Projects!$G$33="Yes",70&gt;=Projects!$C$33,70&lt;Projects!$C$33+Projects!$D$33),Projects!$B$33*INDEX(Curves!$B$4:$AR$4,1,70-Projects!$C$33+1),0)+IF(AND(Projects!$G$34="Yes",70&gt;=Projects!$C$34,70&lt;Projects!$C$34+Projects!$D$34),Projects!$B$34*INDEX(Curves!$B$4:$AR$4,1,70-Projects!$C$34+1),0)+IF(AND(Projects!$G$35="Yes",70&gt;=Projects!$C$35,70&lt;Projects!$C$35+Projects!$D$35),Projects!$B$35*INDEX(Curves!$B$4:$AR$4,1,70-Projects!$C$35+1),0)+IF(AND(Projects!$G$36="Yes",70&gt;=Projects!$C$36,70&lt;Projects!$C$36+Projects!$D$36),Projects!$B$36*INDEX(Curves!$B$4:$AR$4,1,70-Projects!$C$36+1),0)+IF(AND(Projects!$G$37="Yes",70&gt;=Projects!$C$37,70&lt;Projects!$C$37+Projects!$D$37),Projects!$B$37*INDEX(Curves!$B$4:$AR$4,1,70-Projects!$C$37+1),0)+IF(AND(Projects!$G$38="Yes",70&gt;=Projects!$C$38,70&lt;Projects!$C$38+Projects!$D$38),Projects!$B$38*INDEX(Curves!$B$4:$AR$4,1,70-Projects!$C$38+1),0)+IF(AND(Projects!$G$39="Yes",70&gt;=Projects!$C$39,70&lt;Projects!$C$39+Projects!$D$39),Projects!$B$39*INDEX(Curves!$B$4:$AR$4,1,70-Projects!$C$39+1),0)+IF(AND(Projects!$G$40="Yes",70&gt;=Projects!$C$40,70&lt;Projects!$C$40+Projects!$D$40),Projects!$B$40*INDEX(Curves!$B$4:$AR$4,1,70-Projects!$C$40+1),0)+IF(AND(Projects!$G$41="Yes",70&gt;=Projects!$C$41,70&lt;Projects!$C$41+Projects!$D$41),Projects!$B$41*INDEX(Curves!$B$4:$AR$4,1,70-Projects!$C$41+1),0)+IF(AND(Projects!$G$42="Yes",70&gt;=Projects!$C$42,70&lt;Projects!$C$42+Projects!$D$42),Projects!$B$42*INDEX(Curves!$B$4:$AR$4,1,70-Projects!$C$42+1),0)+IF(AND(Projects!$G$43="Yes",70&gt;=Projects!$C$43,70&lt;Projects!$C$43+Projects!$D$43),Projects!$B$43*INDEX(Curves!$B$4:$AR$4,1,70-Projects!$C$43+1),0)+IF(AND(Projects!$G$44="Yes",70&gt;=Projects!$C$44,70&lt;Projects!$C$44+Projects!$D$44),Projects!$B$44*INDEX(Curves!$B$4:$AR$4,1,70-Projects!$C$44+1),0)+IF(AND(Projects!$G$45="Yes",70&gt;=Projects!$C$45,70&lt;Projects!$C$45+Projects!$D$45),Projects!$B$45*INDEX(Curves!$B$4:$AR$4,1,70-Projects!$C$45+1),0)+IF(AND(Projects!$G$46="Yes",70&gt;=Projects!$C$46,70&lt;Projects!$C$46+Projects!$D$46),Projects!$B$46*INDEX(Curves!$B$4:$AR$4,1,70-Projects!$C$46+1),0)</f>
        <v>0</v>
      </c>
      <c r="BX96" s="83" t="n">
        <f aca="false">IF(AND(Projects!$G$17="Yes",71&gt;=Projects!$C$17,71&lt;Projects!$C$17+Projects!$D$17),Projects!$B$17*INDEX(Curves!$B$4:$AR$4,1,71-Projects!$C$17+1),0)+IF(AND(Projects!$G$18="Yes",71&gt;=Projects!$C$18,71&lt;Projects!$C$18+Projects!$D$18),Projects!$B$18*INDEX(Curves!$B$4:$AR$4,1,71-Projects!$C$18+1),0)+IF(AND(Projects!$G$19="Yes",71&gt;=Projects!$C$19,71&lt;Projects!$C$19+Projects!$D$19),Projects!$B$19*INDEX(Curves!$B$4:$AR$4,1,71-Projects!$C$19+1),0)+IF(AND(Projects!$G$20="Yes",71&gt;=Projects!$C$20,71&lt;Projects!$C$20+Projects!$D$20),Projects!$B$20*INDEX(Curves!$B$4:$AR$4,1,71-Projects!$C$20+1),0)+IF(AND(Projects!$G$21="Yes",71&gt;=Projects!$C$21,71&lt;Projects!$C$21+Projects!$D$21),Projects!$B$21*INDEX(Curves!$B$4:$AR$4,1,71-Projects!$C$21+1),0)+IF(AND(Projects!$G$22="Yes",71&gt;=Projects!$C$22,71&lt;Projects!$C$22+Projects!$D$22),Projects!$B$22*INDEX(Curves!$B$4:$AR$4,1,71-Projects!$C$22+1),0)+IF(AND(Projects!$G$23="Yes",71&gt;=Projects!$C$23,71&lt;Projects!$C$23+Projects!$D$23),Projects!$B$23*INDEX(Curves!$B$4:$AR$4,1,71-Projects!$C$23+1),0)+IF(AND(Projects!$G$24="Yes",71&gt;=Projects!$C$24,71&lt;Projects!$C$24+Projects!$D$24),Projects!$B$24*INDEX(Curves!$B$4:$AR$4,1,71-Projects!$C$24+1),0)+IF(AND(Projects!$G$25="Yes",71&gt;=Projects!$C$25,71&lt;Projects!$C$25+Projects!$D$25),Projects!$B$25*INDEX(Curves!$B$4:$AR$4,1,71-Projects!$C$25+1),0)+IF(AND(Projects!$G$26="Yes",71&gt;=Projects!$C$26,71&lt;Projects!$C$26+Projects!$D$26),Projects!$B$26*INDEX(Curves!$B$4:$AR$4,1,71-Projects!$C$26+1),0)+IF(AND(Projects!$G$27="Yes",71&gt;=Projects!$C$27,71&lt;Projects!$C$27+Projects!$D$27),Projects!$B$27*INDEX(Curves!$B$4:$AR$4,1,71-Projects!$C$27+1),0)+IF(AND(Projects!$G$28="Yes",71&gt;=Projects!$C$28,71&lt;Projects!$C$28+Projects!$D$28),Projects!$B$28*INDEX(Curves!$B$4:$AR$4,1,71-Projects!$C$28+1),0)+IF(AND(Projects!$G$29="Yes",71&gt;=Projects!$C$29,71&lt;Projects!$C$29+Projects!$D$29),Projects!$B$29*INDEX(Curves!$B$4:$AR$4,1,71-Projects!$C$29+1),0)+IF(AND(Projects!$G$30="Yes",71&gt;=Projects!$C$30,71&lt;Projects!$C$30+Projects!$D$30),Projects!$B$30*INDEX(Curves!$B$4:$AR$4,1,71-Projects!$C$30+1),0)+IF(AND(Projects!$G$31="Yes",71&gt;=Projects!$C$31,71&lt;Projects!$C$31+Projects!$D$31),Projects!$B$31*INDEX(Curves!$B$4:$AR$4,1,71-Projects!$C$31+1),0)+IF(AND(Projects!$G$32="Yes",71&gt;=Projects!$C$32,71&lt;Projects!$C$32+Projects!$D$32),Projects!$B$32*INDEX(Curves!$B$4:$AR$4,1,71-Projects!$C$32+1),0)+IF(AND(Projects!$G$33="Yes",71&gt;=Projects!$C$33,71&lt;Projects!$C$33+Projects!$D$33),Projects!$B$33*INDEX(Curves!$B$4:$AR$4,1,71-Projects!$C$33+1),0)+IF(AND(Projects!$G$34="Yes",71&gt;=Projects!$C$34,71&lt;Projects!$C$34+Projects!$D$34),Projects!$B$34*INDEX(Curves!$B$4:$AR$4,1,71-Projects!$C$34+1),0)+IF(AND(Projects!$G$35="Yes",71&gt;=Projects!$C$35,71&lt;Projects!$C$35+Projects!$D$35),Projects!$B$35*INDEX(Curves!$B$4:$AR$4,1,71-Projects!$C$35+1),0)+IF(AND(Projects!$G$36="Yes",71&gt;=Projects!$C$36,71&lt;Projects!$C$36+Projects!$D$36),Projects!$B$36*INDEX(Curves!$B$4:$AR$4,1,71-Projects!$C$36+1),0)+IF(AND(Projects!$G$37="Yes",71&gt;=Projects!$C$37,71&lt;Projects!$C$37+Projects!$D$37),Projects!$B$37*INDEX(Curves!$B$4:$AR$4,1,71-Projects!$C$37+1),0)+IF(AND(Projects!$G$38="Yes",71&gt;=Projects!$C$38,71&lt;Projects!$C$38+Projects!$D$38),Projects!$B$38*INDEX(Curves!$B$4:$AR$4,1,71-Projects!$C$38+1),0)+IF(AND(Projects!$G$39="Yes",71&gt;=Projects!$C$39,71&lt;Projects!$C$39+Projects!$D$39),Projects!$B$39*INDEX(Curves!$B$4:$AR$4,1,71-Projects!$C$39+1),0)+IF(AND(Projects!$G$40="Yes",71&gt;=Projects!$C$40,71&lt;Projects!$C$40+Projects!$D$40),Projects!$B$40*INDEX(Curves!$B$4:$AR$4,1,71-Projects!$C$40+1),0)+IF(AND(Projects!$G$41="Yes",71&gt;=Projects!$C$41,71&lt;Projects!$C$41+Projects!$D$41),Projects!$B$41*INDEX(Curves!$B$4:$AR$4,1,71-Projects!$C$41+1),0)+IF(AND(Projects!$G$42="Yes",71&gt;=Projects!$C$42,71&lt;Projects!$C$42+Projects!$D$42),Projects!$B$42*INDEX(Curves!$B$4:$AR$4,1,71-Projects!$C$42+1),0)+IF(AND(Projects!$G$43="Yes",71&gt;=Projects!$C$43,71&lt;Projects!$C$43+Projects!$D$43),Projects!$B$43*INDEX(Curves!$B$4:$AR$4,1,71-Projects!$C$43+1),0)+IF(AND(Projects!$G$44="Yes",71&gt;=Projects!$C$44,71&lt;Projects!$C$44+Projects!$D$44),Projects!$B$44*INDEX(Curves!$B$4:$AR$4,1,71-Projects!$C$44+1),0)+IF(AND(Projects!$G$45="Yes",71&gt;=Projects!$C$45,71&lt;Projects!$C$45+Projects!$D$45),Projects!$B$45*INDEX(Curves!$B$4:$AR$4,1,71-Projects!$C$45+1),0)+IF(AND(Projects!$G$46="Yes",71&gt;=Projects!$C$46,71&lt;Projects!$C$46+Projects!$D$46),Projects!$B$46*INDEX(Curves!$B$4:$AR$4,1,71-Projects!$C$46+1),0)</f>
        <v>0</v>
      </c>
      <c r="BY96" s="83" t="n">
        <f aca="false">IF(AND(Projects!$G$17="Yes",72&gt;=Projects!$C$17,72&lt;Projects!$C$17+Projects!$D$17),Projects!$B$17*INDEX(Curves!$B$4:$AR$4,1,72-Projects!$C$17+1),0)+IF(AND(Projects!$G$18="Yes",72&gt;=Projects!$C$18,72&lt;Projects!$C$18+Projects!$D$18),Projects!$B$18*INDEX(Curves!$B$4:$AR$4,1,72-Projects!$C$18+1),0)+IF(AND(Projects!$G$19="Yes",72&gt;=Projects!$C$19,72&lt;Projects!$C$19+Projects!$D$19),Projects!$B$19*INDEX(Curves!$B$4:$AR$4,1,72-Projects!$C$19+1),0)+IF(AND(Projects!$G$20="Yes",72&gt;=Projects!$C$20,72&lt;Projects!$C$20+Projects!$D$20),Projects!$B$20*INDEX(Curves!$B$4:$AR$4,1,72-Projects!$C$20+1),0)+IF(AND(Projects!$G$21="Yes",72&gt;=Projects!$C$21,72&lt;Projects!$C$21+Projects!$D$21),Projects!$B$21*INDEX(Curves!$B$4:$AR$4,1,72-Projects!$C$21+1),0)+IF(AND(Projects!$G$22="Yes",72&gt;=Projects!$C$22,72&lt;Projects!$C$22+Projects!$D$22),Projects!$B$22*INDEX(Curves!$B$4:$AR$4,1,72-Projects!$C$22+1),0)+IF(AND(Projects!$G$23="Yes",72&gt;=Projects!$C$23,72&lt;Projects!$C$23+Projects!$D$23),Projects!$B$23*INDEX(Curves!$B$4:$AR$4,1,72-Projects!$C$23+1),0)+IF(AND(Projects!$G$24="Yes",72&gt;=Projects!$C$24,72&lt;Projects!$C$24+Projects!$D$24),Projects!$B$24*INDEX(Curves!$B$4:$AR$4,1,72-Projects!$C$24+1),0)+IF(AND(Projects!$G$25="Yes",72&gt;=Projects!$C$25,72&lt;Projects!$C$25+Projects!$D$25),Projects!$B$25*INDEX(Curves!$B$4:$AR$4,1,72-Projects!$C$25+1),0)+IF(AND(Projects!$G$26="Yes",72&gt;=Projects!$C$26,72&lt;Projects!$C$26+Projects!$D$26),Projects!$B$26*INDEX(Curves!$B$4:$AR$4,1,72-Projects!$C$26+1),0)+IF(AND(Projects!$G$27="Yes",72&gt;=Projects!$C$27,72&lt;Projects!$C$27+Projects!$D$27),Projects!$B$27*INDEX(Curves!$B$4:$AR$4,1,72-Projects!$C$27+1),0)+IF(AND(Projects!$G$28="Yes",72&gt;=Projects!$C$28,72&lt;Projects!$C$28+Projects!$D$28),Projects!$B$28*INDEX(Curves!$B$4:$AR$4,1,72-Projects!$C$28+1),0)+IF(AND(Projects!$G$29="Yes",72&gt;=Projects!$C$29,72&lt;Projects!$C$29+Projects!$D$29),Projects!$B$29*INDEX(Curves!$B$4:$AR$4,1,72-Projects!$C$29+1),0)+IF(AND(Projects!$G$30="Yes",72&gt;=Projects!$C$30,72&lt;Projects!$C$30+Projects!$D$30),Projects!$B$30*INDEX(Curves!$B$4:$AR$4,1,72-Projects!$C$30+1),0)+IF(AND(Projects!$G$31="Yes",72&gt;=Projects!$C$31,72&lt;Projects!$C$31+Projects!$D$31),Projects!$B$31*INDEX(Curves!$B$4:$AR$4,1,72-Projects!$C$31+1),0)+IF(AND(Projects!$G$32="Yes",72&gt;=Projects!$C$32,72&lt;Projects!$C$32+Projects!$D$32),Projects!$B$32*INDEX(Curves!$B$4:$AR$4,1,72-Projects!$C$32+1),0)+IF(AND(Projects!$G$33="Yes",72&gt;=Projects!$C$33,72&lt;Projects!$C$33+Projects!$D$33),Projects!$B$33*INDEX(Curves!$B$4:$AR$4,1,72-Projects!$C$33+1),0)+IF(AND(Projects!$G$34="Yes",72&gt;=Projects!$C$34,72&lt;Projects!$C$34+Projects!$D$34),Projects!$B$34*INDEX(Curves!$B$4:$AR$4,1,72-Projects!$C$34+1),0)+IF(AND(Projects!$G$35="Yes",72&gt;=Projects!$C$35,72&lt;Projects!$C$35+Projects!$D$35),Projects!$B$35*INDEX(Curves!$B$4:$AR$4,1,72-Projects!$C$35+1),0)+IF(AND(Projects!$G$36="Yes",72&gt;=Projects!$C$36,72&lt;Projects!$C$36+Projects!$D$36),Projects!$B$36*INDEX(Curves!$B$4:$AR$4,1,72-Projects!$C$36+1),0)+IF(AND(Projects!$G$37="Yes",72&gt;=Projects!$C$37,72&lt;Projects!$C$37+Projects!$D$37),Projects!$B$37*INDEX(Curves!$B$4:$AR$4,1,72-Projects!$C$37+1),0)+IF(AND(Projects!$G$38="Yes",72&gt;=Projects!$C$38,72&lt;Projects!$C$38+Projects!$D$38),Projects!$B$38*INDEX(Curves!$B$4:$AR$4,1,72-Projects!$C$38+1),0)+IF(AND(Projects!$G$39="Yes",72&gt;=Projects!$C$39,72&lt;Projects!$C$39+Projects!$D$39),Projects!$B$39*INDEX(Curves!$B$4:$AR$4,1,72-Projects!$C$39+1),0)+IF(AND(Projects!$G$40="Yes",72&gt;=Projects!$C$40,72&lt;Projects!$C$40+Projects!$D$40),Projects!$B$40*INDEX(Curves!$B$4:$AR$4,1,72-Projects!$C$40+1),0)+IF(AND(Projects!$G$41="Yes",72&gt;=Projects!$C$41,72&lt;Projects!$C$41+Projects!$D$41),Projects!$B$41*INDEX(Curves!$B$4:$AR$4,1,72-Projects!$C$41+1),0)+IF(AND(Projects!$G$42="Yes",72&gt;=Projects!$C$42,72&lt;Projects!$C$42+Projects!$D$42),Projects!$B$42*INDEX(Curves!$B$4:$AR$4,1,72-Projects!$C$42+1),0)+IF(AND(Projects!$G$43="Yes",72&gt;=Projects!$C$43,72&lt;Projects!$C$43+Projects!$D$43),Projects!$B$43*INDEX(Curves!$B$4:$AR$4,1,72-Projects!$C$43+1),0)+IF(AND(Projects!$G$44="Yes",72&gt;=Projects!$C$44,72&lt;Projects!$C$44+Projects!$D$44),Projects!$B$44*INDEX(Curves!$B$4:$AR$4,1,72-Projects!$C$44+1),0)+IF(AND(Projects!$G$45="Yes",72&gt;=Projects!$C$45,72&lt;Projects!$C$45+Projects!$D$45),Projects!$B$45*INDEX(Curves!$B$4:$AR$4,1,72-Projects!$C$45+1),0)+IF(AND(Projects!$G$46="Yes",72&gt;=Projects!$C$46,72&lt;Projects!$C$46+Projects!$D$46),Projects!$B$46*INDEX(Curves!$B$4:$AR$4,1,72-Projects!$C$46+1),0)</f>
        <v>0</v>
      </c>
      <c r="BZ96" s="83" t="n">
        <f aca="false">IF(AND(Projects!$G$17="Yes",73&gt;=Projects!$C$17,73&lt;Projects!$C$17+Projects!$D$17),Projects!$B$17*INDEX(Curves!$B$4:$AR$4,1,73-Projects!$C$17+1),0)+IF(AND(Projects!$G$18="Yes",73&gt;=Projects!$C$18,73&lt;Projects!$C$18+Projects!$D$18),Projects!$B$18*INDEX(Curves!$B$4:$AR$4,1,73-Projects!$C$18+1),0)+IF(AND(Projects!$G$19="Yes",73&gt;=Projects!$C$19,73&lt;Projects!$C$19+Projects!$D$19),Projects!$B$19*INDEX(Curves!$B$4:$AR$4,1,73-Projects!$C$19+1),0)+IF(AND(Projects!$G$20="Yes",73&gt;=Projects!$C$20,73&lt;Projects!$C$20+Projects!$D$20),Projects!$B$20*INDEX(Curves!$B$4:$AR$4,1,73-Projects!$C$20+1),0)+IF(AND(Projects!$G$21="Yes",73&gt;=Projects!$C$21,73&lt;Projects!$C$21+Projects!$D$21),Projects!$B$21*INDEX(Curves!$B$4:$AR$4,1,73-Projects!$C$21+1),0)+IF(AND(Projects!$G$22="Yes",73&gt;=Projects!$C$22,73&lt;Projects!$C$22+Projects!$D$22),Projects!$B$22*INDEX(Curves!$B$4:$AR$4,1,73-Projects!$C$22+1),0)+IF(AND(Projects!$G$23="Yes",73&gt;=Projects!$C$23,73&lt;Projects!$C$23+Projects!$D$23),Projects!$B$23*INDEX(Curves!$B$4:$AR$4,1,73-Projects!$C$23+1),0)+IF(AND(Projects!$G$24="Yes",73&gt;=Projects!$C$24,73&lt;Projects!$C$24+Projects!$D$24),Projects!$B$24*INDEX(Curves!$B$4:$AR$4,1,73-Projects!$C$24+1),0)+IF(AND(Projects!$G$25="Yes",73&gt;=Projects!$C$25,73&lt;Projects!$C$25+Projects!$D$25),Projects!$B$25*INDEX(Curves!$B$4:$AR$4,1,73-Projects!$C$25+1),0)+IF(AND(Projects!$G$26="Yes",73&gt;=Projects!$C$26,73&lt;Projects!$C$26+Projects!$D$26),Projects!$B$26*INDEX(Curves!$B$4:$AR$4,1,73-Projects!$C$26+1),0)+IF(AND(Projects!$G$27="Yes",73&gt;=Projects!$C$27,73&lt;Projects!$C$27+Projects!$D$27),Projects!$B$27*INDEX(Curves!$B$4:$AR$4,1,73-Projects!$C$27+1),0)+IF(AND(Projects!$G$28="Yes",73&gt;=Projects!$C$28,73&lt;Projects!$C$28+Projects!$D$28),Projects!$B$28*INDEX(Curves!$B$4:$AR$4,1,73-Projects!$C$28+1),0)+IF(AND(Projects!$G$29="Yes",73&gt;=Projects!$C$29,73&lt;Projects!$C$29+Projects!$D$29),Projects!$B$29*INDEX(Curves!$B$4:$AR$4,1,73-Projects!$C$29+1),0)+IF(AND(Projects!$G$30="Yes",73&gt;=Projects!$C$30,73&lt;Projects!$C$30+Projects!$D$30),Projects!$B$30*INDEX(Curves!$B$4:$AR$4,1,73-Projects!$C$30+1),0)+IF(AND(Projects!$G$31="Yes",73&gt;=Projects!$C$31,73&lt;Projects!$C$31+Projects!$D$31),Projects!$B$31*INDEX(Curves!$B$4:$AR$4,1,73-Projects!$C$31+1),0)+IF(AND(Projects!$G$32="Yes",73&gt;=Projects!$C$32,73&lt;Projects!$C$32+Projects!$D$32),Projects!$B$32*INDEX(Curves!$B$4:$AR$4,1,73-Projects!$C$32+1),0)+IF(AND(Projects!$G$33="Yes",73&gt;=Projects!$C$33,73&lt;Projects!$C$33+Projects!$D$33),Projects!$B$33*INDEX(Curves!$B$4:$AR$4,1,73-Projects!$C$33+1),0)+IF(AND(Projects!$G$34="Yes",73&gt;=Projects!$C$34,73&lt;Projects!$C$34+Projects!$D$34),Projects!$B$34*INDEX(Curves!$B$4:$AR$4,1,73-Projects!$C$34+1),0)+IF(AND(Projects!$G$35="Yes",73&gt;=Projects!$C$35,73&lt;Projects!$C$35+Projects!$D$35),Projects!$B$35*INDEX(Curves!$B$4:$AR$4,1,73-Projects!$C$35+1),0)+IF(AND(Projects!$G$36="Yes",73&gt;=Projects!$C$36,73&lt;Projects!$C$36+Projects!$D$36),Projects!$B$36*INDEX(Curves!$B$4:$AR$4,1,73-Projects!$C$36+1),0)+IF(AND(Projects!$G$37="Yes",73&gt;=Projects!$C$37,73&lt;Projects!$C$37+Projects!$D$37),Projects!$B$37*INDEX(Curves!$B$4:$AR$4,1,73-Projects!$C$37+1),0)+IF(AND(Projects!$G$38="Yes",73&gt;=Projects!$C$38,73&lt;Projects!$C$38+Projects!$D$38),Projects!$B$38*INDEX(Curves!$B$4:$AR$4,1,73-Projects!$C$38+1),0)+IF(AND(Projects!$G$39="Yes",73&gt;=Projects!$C$39,73&lt;Projects!$C$39+Projects!$D$39),Projects!$B$39*INDEX(Curves!$B$4:$AR$4,1,73-Projects!$C$39+1),0)+IF(AND(Projects!$G$40="Yes",73&gt;=Projects!$C$40,73&lt;Projects!$C$40+Projects!$D$40),Projects!$B$40*INDEX(Curves!$B$4:$AR$4,1,73-Projects!$C$40+1),0)+IF(AND(Projects!$G$41="Yes",73&gt;=Projects!$C$41,73&lt;Projects!$C$41+Projects!$D$41),Projects!$B$41*INDEX(Curves!$B$4:$AR$4,1,73-Projects!$C$41+1),0)+IF(AND(Projects!$G$42="Yes",73&gt;=Projects!$C$42,73&lt;Projects!$C$42+Projects!$D$42),Projects!$B$42*INDEX(Curves!$B$4:$AR$4,1,73-Projects!$C$42+1),0)+IF(AND(Projects!$G$43="Yes",73&gt;=Projects!$C$43,73&lt;Projects!$C$43+Projects!$D$43),Projects!$B$43*INDEX(Curves!$B$4:$AR$4,1,73-Projects!$C$43+1),0)+IF(AND(Projects!$G$44="Yes",73&gt;=Projects!$C$44,73&lt;Projects!$C$44+Projects!$D$44),Projects!$B$44*INDEX(Curves!$B$4:$AR$4,1,73-Projects!$C$44+1),0)+IF(AND(Projects!$G$45="Yes",73&gt;=Projects!$C$45,73&lt;Projects!$C$45+Projects!$D$45),Projects!$B$45*INDEX(Curves!$B$4:$AR$4,1,73-Projects!$C$45+1),0)+IF(AND(Projects!$G$46="Yes",73&gt;=Projects!$C$46,73&lt;Projects!$C$46+Projects!$D$46),Projects!$B$46*INDEX(Curves!$B$4:$AR$4,1,73-Projects!$C$46+1),0)</f>
        <v>0</v>
      </c>
      <c r="CA96" s="83" t="n">
        <f aca="false">IF(AND(Projects!$G$17="Yes",74&gt;=Projects!$C$17,74&lt;Projects!$C$17+Projects!$D$17),Projects!$B$17*INDEX(Curves!$B$4:$AR$4,1,74-Projects!$C$17+1),0)+IF(AND(Projects!$G$18="Yes",74&gt;=Projects!$C$18,74&lt;Projects!$C$18+Projects!$D$18),Projects!$B$18*INDEX(Curves!$B$4:$AR$4,1,74-Projects!$C$18+1),0)+IF(AND(Projects!$G$19="Yes",74&gt;=Projects!$C$19,74&lt;Projects!$C$19+Projects!$D$19),Projects!$B$19*INDEX(Curves!$B$4:$AR$4,1,74-Projects!$C$19+1),0)+IF(AND(Projects!$G$20="Yes",74&gt;=Projects!$C$20,74&lt;Projects!$C$20+Projects!$D$20),Projects!$B$20*INDEX(Curves!$B$4:$AR$4,1,74-Projects!$C$20+1),0)+IF(AND(Projects!$G$21="Yes",74&gt;=Projects!$C$21,74&lt;Projects!$C$21+Projects!$D$21),Projects!$B$21*INDEX(Curves!$B$4:$AR$4,1,74-Projects!$C$21+1),0)+IF(AND(Projects!$G$22="Yes",74&gt;=Projects!$C$22,74&lt;Projects!$C$22+Projects!$D$22),Projects!$B$22*INDEX(Curves!$B$4:$AR$4,1,74-Projects!$C$22+1),0)+IF(AND(Projects!$G$23="Yes",74&gt;=Projects!$C$23,74&lt;Projects!$C$23+Projects!$D$23),Projects!$B$23*INDEX(Curves!$B$4:$AR$4,1,74-Projects!$C$23+1),0)+IF(AND(Projects!$G$24="Yes",74&gt;=Projects!$C$24,74&lt;Projects!$C$24+Projects!$D$24),Projects!$B$24*INDEX(Curves!$B$4:$AR$4,1,74-Projects!$C$24+1),0)+IF(AND(Projects!$G$25="Yes",74&gt;=Projects!$C$25,74&lt;Projects!$C$25+Projects!$D$25),Projects!$B$25*INDEX(Curves!$B$4:$AR$4,1,74-Projects!$C$25+1),0)+IF(AND(Projects!$G$26="Yes",74&gt;=Projects!$C$26,74&lt;Projects!$C$26+Projects!$D$26),Projects!$B$26*INDEX(Curves!$B$4:$AR$4,1,74-Projects!$C$26+1),0)+IF(AND(Projects!$G$27="Yes",74&gt;=Projects!$C$27,74&lt;Projects!$C$27+Projects!$D$27),Projects!$B$27*INDEX(Curves!$B$4:$AR$4,1,74-Projects!$C$27+1),0)+IF(AND(Projects!$G$28="Yes",74&gt;=Projects!$C$28,74&lt;Projects!$C$28+Projects!$D$28),Projects!$B$28*INDEX(Curves!$B$4:$AR$4,1,74-Projects!$C$28+1),0)+IF(AND(Projects!$G$29="Yes",74&gt;=Projects!$C$29,74&lt;Projects!$C$29+Projects!$D$29),Projects!$B$29*INDEX(Curves!$B$4:$AR$4,1,74-Projects!$C$29+1),0)+IF(AND(Projects!$G$30="Yes",74&gt;=Projects!$C$30,74&lt;Projects!$C$30+Projects!$D$30),Projects!$B$30*INDEX(Curves!$B$4:$AR$4,1,74-Projects!$C$30+1),0)+IF(AND(Projects!$G$31="Yes",74&gt;=Projects!$C$31,74&lt;Projects!$C$31+Projects!$D$31),Projects!$B$31*INDEX(Curves!$B$4:$AR$4,1,74-Projects!$C$31+1),0)+IF(AND(Projects!$G$32="Yes",74&gt;=Projects!$C$32,74&lt;Projects!$C$32+Projects!$D$32),Projects!$B$32*INDEX(Curves!$B$4:$AR$4,1,74-Projects!$C$32+1),0)+IF(AND(Projects!$G$33="Yes",74&gt;=Projects!$C$33,74&lt;Projects!$C$33+Projects!$D$33),Projects!$B$33*INDEX(Curves!$B$4:$AR$4,1,74-Projects!$C$33+1),0)+IF(AND(Projects!$G$34="Yes",74&gt;=Projects!$C$34,74&lt;Projects!$C$34+Projects!$D$34),Projects!$B$34*INDEX(Curves!$B$4:$AR$4,1,74-Projects!$C$34+1),0)+IF(AND(Projects!$G$35="Yes",74&gt;=Projects!$C$35,74&lt;Projects!$C$35+Projects!$D$35),Projects!$B$35*INDEX(Curves!$B$4:$AR$4,1,74-Projects!$C$35+1),0)+IF(AND(Projects!$G$36="Yes",74&gt;=Projects!$C$36,74&lt;Projects!$C$36+Projects!$D$36),Projects!$B$36*INDEX(Curves!$B$4:$AR$4,1,74-Projects!$C$36+1),0)+IF(AND(Projects!$G$37="Yes",74&gt;=Projects!$C$37,74&lt;Projects!$C$37+Projects!$D$37),Projects!$B$37*INDEX(Curves!$B$4:$AR$4,1,74-Projects!$C$37+1),0)+IF(AND(Projects!$G$38="Yes",74&gt;=Projects!$C$38,74&lt;Projects!$C$38+Projects!$D$38),Projects!$B$38*INDEX(Curves!$B$4:$AR$4,1,74-Projects!$C$38+1),0)+IF(AND(Projects!$G$39="Yes",74&gt;=Projects!$C$39,74&lt;Projects!$C$39+Projects!$D$39),Projects!$B$39*INDEX(Curves!$B$4:$AR$4,1,74-Projects!$C$39+1),0)+IF(AND(Projects!$G$40="Yes",74&gt;=Projects!$C$40,74&lt;Projects!$C$40+Projects!$D$40),Projects!$B$40*INDEX(Curves!$B$4:$AR$4,1,74-Projects!$C$40+1),0)+IF(AND(Projects!$G$41="Yes",74&gt;=Projects!$C$41,74&lt;Projects!$C$41+Projects!$D$41),Projects!$B$41*INDEX(Curves!$B$4:$AR$4,1,74-Projects!$C$41+1),0)+IF(AND(Projects!$G$42="Yes",74&gt;=Projects!$C$42,74&lt;Projects!$C$42+Projects!$D$42),Projects!$B$42*INDEX(Curves!$B$4:$AR$4,1,74-Projects!$C$42+1),0)+IF(AND(Projects!$G$43="Yes",74&gt;=Projects!$C$43,74&lt;Projects!$C$43+Projects!$D$43),Projects!$B$43*INDEX(Curves!$B$4:$AR$4,1,74-Projects!$C$43+1),0)+IF(AND(Projects!$G$44="Yes",74&gt;=Projects!$C$44,74&lt;Projects!$C$44+Projects!$D$44),Projects!$B$44*INDEX(Curves!$B$4:$AR$4,1,74-Projects!$C$44+1),0)+IF(AND(Projects!$G$45="Yes",74&gt;=Projects!$C$45,74&lt;Projects!$C$45+Projects!$D$45),Projects!$B$45*INDEX(Curves!$B$4:$AR$4,1,74-Projects!$C$45+1),0)+IF(AND(Projects!$G$46="Yes",74&gt;=Projects!$C$46,74&lt;Projects!$C$46+Projects!$D$46),Projects!$B$46*INDEX(Curves!$B$4:$AR$4,1,74-Projects!$C$46+1),0)</f>
        <v>0</v>
      </c>
      <c r="CB96" s="83" t="n">
        <f aca="false">IF(AND(Projects!$G$17="Yes",75&gt;=Projects!$C$17,75&lt;Projects!$C$17+Projects!$D$17),Projects!$B$17*INDEX(Curves!$B$4:$AR$4,1,75-Projects!$C$17+1),0)+IF(AND(Projects!$G$18="Yes",75&gt;=Projects!$C$18,75&lt;Projects!$C$18+Projects!$D$18),Projects!$B$18*INDEX(Curves!$B$4:$AR$4,1,75-Projects!$C$18+1),0)+IF(AND(Projects!$G$19="Yes",75&gt;=Projects!$C$19,75&lt;Projects!$C$19+Projects!$D$19),Projects!$B$19*INDEX(Curves!$B$4:$AR$4,1,75-Projects!$C$19+1),0)+IF(AND(Projects!$G$20="Yes",75&gt;=Projects!$C$20,75&lt;Projects!$C$20+Projects!$D$20),Projects!$B$20*INDEX(Curves!$B$4:$AR$4,1,75-Projects!$C$20+1),0)+IF(AND(Projects!$G$21="Yes",75&gt;=Projects!$C$21,75&lt;Projects!$C$21+Projects!$D$21),Projects!$B$21*INDEX(Curves!$B$4:$AR$4,1,75-Projects!$C$21+1),0)+IF(AND(Projects!$G$22="Yes",75&gt;=Projects!$C$22,75&lt;Projects!$C$22+Projects!$D$22),Projects!$B$22*INDEX(Curves!$B$4:$AR$4,1,75-Projects!$C$22+1),0)+IF(AND(Projects!$G$23="Yes",75&gt;=Projects!$C$23,75&lt;Projects!$C$23+Projects!$D$23),Projects!$B$23*INDEX(Curves!$B$4:$AR$4,1,75-Projects!$C$23+1),0)+IF(AND(Projects!$G$24="Yes",75&gt;=Projects!$C$24,75&lt;Projects!$C$24+Projects!$D$24),Projects!$B$24*INDEX(Curves!$B$4:$AR$4,1,75-Projects!$C$24+1),0)+IF(AND(Projects!$G$25="Yes",75&gt;=Projects!$C$25,75&lt;Projects!$C$25+Projects!$D$25),Projects!$B$25*INDEX(Curves!$B$4:$AR$4,1,75-Projects!$C$25+1),0)+IF(AND(Projects!$G$26="Yes",75&gt;=Projects!$C$26,75&lt;Projects!$C$26+Projects!$D$26),Projects!$B$26*INDEX(Curves!$B$4:$AR$4,1,75-Projects!$C$26+1),0)+IF(AND(Projects!$G$27="Yes",75&gt;=Projects!$C$27,75&lt;Projects!$C$27+Projects!$D$27),Projects!$B$27*INDEX(Curves!$B$4:$AR$4,1,75-Projects!$C$27+1),0)+IF(AND(Projects!$G$28="Yes",75&gt;=Projects!$C$28,75&lt;Projects!$C$28+Projects!$D$28),Projects!$B$28*INDEX(Curves!$B$4:$AR$4,1,75-Projects!$C$28+1),0)+IF(AND(Projects!$G$29="Yes",75&gt;=Projects!$C$29,75&lt;Projects!$C$29+Projects!$D$29),Projects!$B$29*INDEX(Curves!$B$4:$AR$4,1,75-Projects!$C$29+1),0)+IF(AND(Projects!$G$30="Yes",75&gt;=Projects!$C$30,75&lt;Projects!$C$30+Projects!$D$30),Projects!$B$30*INDEX(Curves!$B$4:$AR$4,1,75-Projects!$C$30+1),0)+IF(AND(Projects!$G$31="Yes",75&gt;=Projects!$C$31,75&lt;Projects!$C$31+Projects!$D$31),Projects!$B$31*INDEX(Curves!$B$4:$AR$4,1,75-Projects!$C$31+1),0)+IF(AND(Projects!$G$32="Yes",75&gt;=Projects!$C$32,75&lt;Projects!$C$32+Projects!$D$32),Projects!$B$32*INDEX(Curves!$B$4:$AR$4,1,75-Projects!$C$32+1),0)+IF(AND(Projects!$G$33="Yes",75&gt;=Projects!$C$33,75&lt;Projects!$C$33+Projects!$D$33),Projects!$B$33*INDEX(Curves!$B$4:$AR$4,1,75-Projects!$C$33+1),0)+IF(AND(Projects!$G$34="Yes",75&gt;=Projects!$C$34,75&lt;Projects!$C$34+Projects!$D$34),Projects!$B$34*INDEX(Curves!$B$4:$AR$4,1,75-Projects!$C$34+1),0)+IF(AND(Projects!$G$35="Yes",75&gt;=Projects!$C$35,75&lt;Projects!$C$35+Projects!$D$35),Projects!$B$35*INDEX(Curves!$B$4:$AR$4,1,75-Projects!$C$35+1),0)+IF(AND(Projects!$G$36="Yes",75&gt;=Projects!$C$36,75&lt;Projects!$C$36+Projects!$D$36),Projects!$B$36*INDEX(Curves!$B$4:$AR$4,1,75-Projects!$C$36+1),0)+IF(AND(Projects!$G$37="Yes",75&gt;=Projects!$C$37,75&lt;Projects!$C$37+Projects!$D$37),Projects!$B$37*INDEX(Curves!$B$4:$AR$4,1,75-Projects!$C$37+1),0)+IF(AND(Projects!$G$38="Yes",75&gt;=Projects!$C$38,75&lt;Projects!$C$38+Projects!$D$38),Projects!$B$38*INDEX(Curves!$B$4:$AR$4,1,75-Projects!$C$38+1),0)+IF(AND(Projects!$G$39="Yes",75&gt;=Projects!$C$39,75&lt;Projects!$C$39+Projects!$D$39),Projects!$B$39*INDEX(Curves!$B$4:$AR$4,1,75-Projects!$C$39+1),0)+IF(AND(Projects!$G$40="Yes",75&gt;=Projects!$C$40,75&lt;Projects!$C$40+Projects!$D$40),Projects!$B$40*INDEX(Curves!$B$4:$AR$4,1,75-Projects!$C$40+1),0)+IF(AND(Projects!$G$41="Yes",75&gt;=Projects!$C$41,75&lt;Projects!$C$41+Projects!$D$41),Projects!$B$41*INDEX(Curves!$B$4:$AR$4,1,75-Projects!$C$41+1),0)+IF(AND(Projects!$G$42="Yes",75&gt;=Projects!$C$42,75&lt;Projects!$C$42+Projects!$D$42),Projects!$B$42*INDEX(Curves!$B$4:$AR$4,1,75-Projects!$C$42+1),0)+IF(AND(Projects!$G$43="Yes",75&gt;=Projects!$C$43,75&lt;Projects!$C$43+Projects!$D$43),Projects!$B$43*INDEX(Curves!$B$4:$AR$4,1,75-Projects!$C$43+1),0)+IF(AND(Projects!$G$44="Yes",75&gt;=Projects!$C$44,75&lt;Projects!$C$44+Projects!$D$44),Projects!$B$44*INDEX(Curves!$B$4:$AR$4,1,75-Projects!$C$44+1),0)+IF(AND(Projects!$G$45="Yes",75&gt;=Projects!$C$45,75&lt;Projects!$C$45+Projects!$D$45),Projects!$B$45*INDEX(Curves!$B$4:$AR$4,1,75-Projects!$C$45+1),0)+IF(AND(Projects!$G$46="Yes",75&gt;=Projects!$C$46,75&lt;Projects!$C$46+Projects!$D$46),Projects!$B$46*INDEX(Curves!$B$4:$AR$4,1,75-Projects!$C$46+1),0)</f>
        <v>0</v>
      </c>
      <c r="CC96" s="83" t="n">
        <f aca="false">IF(AND(Projects!$G$17="Yes",76&gt;=Projects!$C$17,76&lt;Projects!$C$17+Projects!$D$17),Projects!$B$17*INDEX(Curves!$B$4:$AR$4,1,76-Projects!$C$17+1),0)+IF(AND(Projects!$G$18="Yes",76&gt;=Projects!$C$18,76&lt;Projects!$C$18+Projects!$D$18),Projects!$B$18*INDEX(Curves!$B$4:$AR$4,1,76-Projects!$C$18+1),0)+IF(AND(Projects!$G$19="Yes",76&gt;=Projects!$C$19,76&lt;Projects!$C$19+Projects!$D$19),Projects!$B$19*INDEX(Curves!$B$4:$AR$4,1,76-Projects!$C$19+1),0)+IF(AND(Projects!$G$20="Yes",76&gt;=Projects!$C$20,76&lt;Projects!$C$20+Projects!$D$20),Projects!$B$20*INDEX(Curves!$B$4:$AR$4,1,76-Projects!$C$20+1),0)+IF(AND(Projects!$G$21="Yes",76&gt;=Projects!$C$21,76&lt;Projects!$C$21+Projects!$D$21),Projects!$B$21*INDEX(Curves!$B$4:$AR$4,1,76-Projects!$C$21+1),0)+IF(AND(Projects!$G$22="Yes",76&gt;=Projects!$C$22,76&lt;Projects!$C$22+Projects!$D$22),Projects!$B$22*INDEX(Curves!$B$4:$AR$4,1,76-Projects!$C$22+1),0)+IF(AND(Projects!$G$23="Yes",76&gt;=Projects!$C$23,76&lt;Projects!$C$23+Projects!$D$23),Projects!$B$23*INDEX(Curves!$B$4:$AR$4,1,76-Projects!$C$23+1),0)+IF(AND(Projects!$G$24="Yes",76&gt;=Projects!$C$24,76&lt;Projects!$C$24+Projects!$D$24),Projects!$B$24*INDEX(Curves!$B$4:$AR$4,1,76-Projects!$C$24+1),0)+IF(AND(Projects!$G$25="Yes",76&gt;=Projects!$C$25,76&lt;Projects!$C$25+Projects!$D$25),Projects!$B$25*INDEX(Curves!$B$4:$AR$4,1,76-Projects!$C$25+1),0)+IF(AND(Projects!$G$26="Yes",76&gt;=Projects!$C$26,76&lt;Projects!$C$26+Projects!$D$26),Projects!$B$26*INDEX(Curves!$B$4:$AR$4,1,76-Projects!$C$26+1),0)+IF(AND(Projects!$G$27="Yes",76&gt;=Projects!$C$27,76&lt;Projects!$C$27+Projects!$D$27),Projects!$B$27*INDEX(Curves!$B$4:$AR$4,1,76-Projects!$C$27+1),0)+IF(AND(Projects!$G$28="Yes",76&gt;=Projects!$C$28,76&lt;Projects!$C$28+Projects!$D$28),Projects!$B$28*INDEX(Curves!$B$4:$AR$4,1,76-Projects!$C$28+1),0)+IF(AND(Projects!$G$29="Yes",76&gt;=Projects!$C$29,76&lt;Projects!$C$29+Projects!$D$29),Projects!$B$29*INDEX(Curves!$B$4:$AR$4,1,76-Projects!$C$29+1),0)+IF(AND(Projects!$G$30="Yes",76&gt;=Projects!$C$30,76&lt;Projects!$C$30+Projects!$D$30),Projects!$B$30*INDEX(Curves!$B$4:$AR$4,1,76-Projects!$C$30+1),0)+IF(AND(Projects!$G$31="Yes",76&gt;=Projects!$C$31,76&lt;Projects!$C$31+Projects!$D$31),Projects!$B$31*INDEX(Curves!$B$4:$AR$4,1,76-Projects!$C$31+1),0)+IF(AND(Projects!$G$32="Yes",76&gt;=Projects!$C$32,76&lt;Projects!$C$32+Projects!$D$32),Projects!$B$32*INDEX(Curves!$B$4:$AR$4,1,76-Projects!$C$32+1),0)+IF(AND(Projects!$G$33="Yes",76&gt;=Projects!$C$33,76&lt;Projects!$C$33+Projects!$D$33),Projects!$B$33*INDEX(Curves!$B$4:$AR$4,1,76-Projects!$C$33+1),0)+IF(AND(Projects!$G$34="Yes",76&gt;=Projects!$C$34,76&lt;Projects!$C$34+Projects!$D$34),Projects!$B$34*INDEX(Curves!$B$4:$AR$4,1,76-Projects!$C$34+1),0)+IF(AND(Projects!$G$35="Yes",76&gt;=Projects!$C$35,76&lt;Projects!$C$35+Projects!$D$35),Projects!$B$35*INDEX(Curves!$B$4:$AR$4,1,76-Projects!$C$35+1),0)+IF(AND(Projects!$G$36="Yes",76&gt;=Projects!$C$36,76&lt;Projects!$C$36+Projects!$D$36),Projects!$B$36*INDEX(Curves!$B$4:$AR$4,1,76-Projects!$C$36+1),0)+IF(AND(Projects!$G$37="Yes",76&gt;=Projects!$C$37,76&lt;Projects!$C$37+Projects!$D$37),Projects!$B$37*INDEX(Curves!$B$4:$AR$4,1,76-Projects!$C$37+1),0)+IF(AND(Projects!$G$38="Yes",76&gt;=Projects!$C$38,76&lt;Projects!$C$38+Projects!$D$38),Projects!$B$38*INDEX(Curves!$B$4:$AR$4,1,76-Projects!$C$38+1),0)+IF(AND(Projects!$G$39="Yes",76&gt;=Projects!$C$39,76&lt;Projects!$C$39+Projects!$D$39),Projects!$B$39*INDEX(Curves!$B$4:$AR$4,1,76-Projects!$C$39+1),0)+IF(AND(Projects!$G$40="Yes",76&gt;=Projects!$C$40,76&lt;Projects!$C$40+Projects!$D$40),Projects!$B$40*INDEX(Curves!$B$4:$AR$4,1,76-Projects!$C$40+1),0)+IF(AND(Projects!$G$41="Yes",76&gt;=Projects!$C$41,76&lt;Projects!$C$41+Projects!$D$41),Projects!$B$41*INDEX(Curves!$B$4:$AR$4,1,76-Projects!$C$41+1),0)+IF(AND(Projects!$G$42="Yes",76&gt;=Projects!$C$42,76&lt;Projects!$C$42+Projects!$D$42),Projects!$B$42*INDEX(Curves!$B$4:$AR$4,1,76-Projects!$C$42+1),0)+IF(AND(Projects!$G$43="Yes",76&gt;=Projects!$C$43,76&lt;Projects!$C$43+Projects!$D$43),Projects!$B$43*INDEX(Curves!$B$4:$AR$4,1,76-Projects!$C$43+1),0)+IF(AND(Projects!$G$44="Yes",76&gt;=Projects!$C$44,76&lt;Projects!$C$44+Projects!$D$44),Projects!$B$44*INDEX(Curves!$B$4:$AR$4,1,76-Projects!$C$44+1),0)+IF(AND(Projects!$G$45="Yes",76&gt;=Projects!$C$45,76&lt;Projects!$C$45+Projects!$D$45),Projects!$B$45*INDEX(Curves!$B$4:$AR$4,1,76-Projects!$C$45+1),0)+IF(AND(Projects!$G$46="Yes",76&gt;=Projects!$C$46,76&lt;Projects!$C$46+Projects!$D$46),Projects!$B$46*INDEX(Curves!$B$4:$AR$4,1,76-Projects!$C$46+1),0)</f>
        <v>0</v>
      </c>
      <c r="CD96" s="83" t="n">
        <f aca="false">IF(AND(Projects!$G$17="Yes",77&gt;=Projects!$C$17,77&lt;Projects!$C$17+Projects!$D$17),Projects!$B$17*INDEX(Curves!$B$4:$AR$4,1,77-Projects!$C$17+1),0)+IF(AND(Projects!$G$18="Yes",77&gt;=Projects!$C$18,77&lt;Projects!$C$18+Projects!$D$18),Projects!$B$18*INDEX(Curves!$B$4:$AR$4,1,77-Projects!$C$18+1),0)+IF(AND(Projects!$G$19="Yes",77&gt;=Projects!$C$19,77&lt;Projects!$C$19+Projects!$D$19),Projects!$B$19*INDEX(Curves!$B$4:$AR$4,1,77-Projects!$C$19+1),0)+IF(AND(Projects!$G$20="Yes",77&gt;=Projects!$C$20,77&lt;Projects!$C$20+Projects!$D$20),Projects!$B$20*INDEX(Curves!$B$4:$AR$4,1,77-Projects!$C$20+1),0)+IF(AND(Projects!$G$21="Yes",77&gt;=Projects!$C$21,77&lt;Projects!$C$21+Projects!$D$21),Projects!$B$21*INDEX(Curves!$B$4:$AR$4,1,77-Projects!$C$21+1),0)+IF(AND(Projects!$G$22="Yes",77&gt;=Projects!$C$22,77&lt;Projects!$C$22+Projects!$D$22),Projects!$B$22*INDEX(Curves!$B$4:$AR$4,1,77-Projects!$C$22+1),0)+IF(AND(Projects!$G$23="Yes",77&gt;=Projects!$C$23,77&lt;Projects!$C$23+Projects!$D$23),Projects!$B$23*INDEX(Curves!$B$4:$AR$4,1,77-Projects!$C$23+1),0)+IF(AND(Projects!$G$24="Yes",77&gt;=Projects!$C$24,77&lt;Projects!$C$24+Projects!$D$24),Projects!$B$24*INDEX(Curves!$B$4:$AR$4,1,77-Projects!$C$24+1),0)+IF(AND(Projects!$G$25="Yes",77&gt;=Projects!$C$25,77&lt;Projects!$C$25+Projects!$D$25),Projects!$B$25*INDEX(Curves!$B$4:$AR$4,1,77-Projects!$C$25+1),0)+IF(AND(Projects!$G$26="Yes",77&gt;=Projects!$C$26,77&lt;Projects!$C$26+Projects!$D$26),Projects!$B$26*INDEX(Curves!$B$4:$AR$4,1,77-Projects!$C$26+1),0)+IF(AND(Projects!$G$27="Yes",77&gt;=Projects!$C$27,77&lt;Projects!$C$27+Projects!$D$27),Projects!$B$27*INDEX(Curves!$B$4:$AR$4,1,77-Projects!$C$27+1),0)+IF(AND(Projects!$G$28="Yes",77&gt;=Projects!$C$28,77&lt;Projects!$C$28+Projects!$D$28),Projects!$B$28*INDEX(Curves!$B$4:$AR$4,1,77-Projects!$C$28+1),0)+IF(AND(Projects!$G$29="Yes",77&gt;=Projects!$C$29,77&lt;Projects!$C$29+Projects!$D$29),Projects!$B$29*INDEX(Curves!$B$4:$AR$4,1,77-Projects!$C$29+1),0)+IF(AND(Projects!$G$30="Yes",77&gt;=Projects!$C$30,77&lt;Projects!$C$30+Projects!$D$30),Projects!$B$30*INDEX(Curves!$B$4:$AR$4,1,77-Projects!$C$30+1),0)+IF(AND(Projects!$G$31="Yes",77&gt;=Projects!$C$31,77&lt;Projects!$C$31+Projects!$D$31),Projects!$B$31*INDEX(Curves!$B$4:$AR$4,1,77-Projects!$C$31+1),0)+IF(AND(Projects!$G$32="Yes",77&gt;=Projects!$C$32,77&lt;Projects!$C$32+Projects!$D$32),Projects!$B$32*INDEX(Curves!$B$4:$AR$4,1,77-Projects!$C$32+1),0)+IF(AND(Projects!$G$33="Yes",77&gt;=Projects!$C$33,77&lt;Projects!$C$33+Projects!$D$33),Projects!$B$33*INDEX(Curves!$B$4:$AR$4,1,77-Projects!$C$33+1),0)+IF(AND(Projects!$G$34="Yes",77&gt;=Projects!$C$34,77&lt;Projects!$C$34+Projects!$D$34),Projects!$B$34*INDEX(Curves!$B$4:$AR$4,1,77-Projects!$C$34+1),0)+IF(AND(Projects!$G$35="Yes",77&gt;=Projects!$C$35,77&lt;Projects!$C$35+Projects!$D$35),Projects!$B$35*INDEX(Curves!$B$4:$AR$4,1,77-Projects!$C$35+1),0)+IF(AND(Projects!$G$36="Yes",77&gt;=Projects!$C$36,77&lt;Projects!$C$36+Projects!$D$36),Projects!$B$36*INDEX(Curves!$B$4:$AR$4,1,77-Projects!$C$36+1),0)+IF(AND(Projects!$G$37="Yes",77&gt;=Projects!$C$37,77&lt;Projects!$C$37+Projects!$D$37),Projects!$B$37*INDEX(Curves!$B$4:$AR$4,1,77-Projects!$C$37+1),0)+IF(AND(Projects!$G$38="Yes",77&gt;=Projects!$C$38,77&lt;Projects!$C$38+Projects!$D$38),Projects!$B$38*INDEX(Curves!$B$4:$AR$4,1,77-Projects!$C$38+1),0)+IF(AND(Projects!$G$39="Yes",77&gt;=Projects!$C$39,77&lt;Projects!$C$39+Projects!$D$39),Projects!$B$39*INDEX(Curves!$B$4:$AR$4,1,77-Projects!$C$39+1),0)+IF(AND(Projects!$G$40="Yes",77&gt;=Projects!$C$40,77&lt;Projects!$C$40+Projects!$D$40),Projects!$B$40*INDEX(Curves!$B$4:$AR$4,1,77-Projects!$C$40+1),0)+IF(AND(Projects!$G$41="Yes",77&gt;=Projects!$C$41,77&lt;Projects!$C$41+Projects!$D$41),Projects!$B$41*INDEX(Curves!$B$4:$AR$4,1,77-Projects!$C$41+1),0)+IF(AND(Projects!$G$42="Yes",77&gt;=Projects!$C$42,77&lt;Projects!$C$42+Projects!$D$42),Projects!$B$42*INDEX(Curves!$B$4:$AR$4,1,77-Projects!$C$42+1),0)+IF(AND(Projects!$G$43="Yes",77&gt;=Projects!$C$43,77&lt;Projects!$C$43+Projects!$D$43),Projects!$B$43*INDEX(Curves!$B$4:$AR$4,1,77-Projects!$C$43+1),0)+IF(AND(Projects!$G$44="Yes",77&gt;=Projects!$C$44,77&lt;Projects!$C$44+Projects!$D$44),Projects!$B$44*INDEX(Curves!$B$4:$AR$4,1,77-Projects!$C$44+1),0)+IF(AND(Projects!$G$45="Yes",77&gt;=Projects!$C$45,77&lt;Projects!$C$45+Projects!$D$45),Projects!$B$45*INDEX(Curves!$B$4:$AR$4,1,77-Projects!$C$45+1),0)+IF(AND(Projects!$G$46="Yes",77&gt;=Projects!$C$46,77&lt;Projects!$C$46+Projects!$D$46),Projects!$B$46*INDEX(Curves!$B$4:$AR$4,1,77-Projects!$C$46+1),0)</f>
        <v>0</v>
      </c>
      <c r="CE96" s="83" t="n">
        <f aca="false">IF(AND(Projects!$G$17="Yes",78&gt;=Projects!$C$17,78&lt;Projects!$C$17+Projects!$D$17),Projects!$B$17*INDEX(Curves!$B$4:$AR$4,1,78-Projects!$C$17+1),0)+IF(AND(Projects!$G$18="Yes",78&gt;=Projects!$C$18,78&lt;Projects!$C$18+Projects!$D$18),Projects!$B$18*INDEX(Curves!$B$4:$AR$4,1,78-Projects!$C$18+1),0)+IF(AND(Projects!$G$19="Yes",78&gt;=Projects!$C$19,78&lt;Projects!$C$19+Projects!$D$19),Projects!$B$19*INDEX(Curves!$B$4:$AR$4,1,78-Projects!$C$19+1),0)+IF(AND(Projects!$G$20="Yes",78&gt;=Projects!$C$20,78&lt;Projects!$C$20+Projects!$D$20),Projects!$B$20*INDEX(Curves!$B$4:$AR$4,1,78-Projects!$C$20+1),0)+IF(AND(Projects!$G$21="Yes",78&gt;=Projects!$C$21,78&lt;Projects!$C$21+Projects!$D$21),Projects!$B$21*INDEX(Curves!$B$4:$AR$4,1,78-Projects!$C$21+1),0)+IF(AND(Projects!$G$22="Yes",78&gt;=Projects!$C$22,78&lt;Projects!$C$22+Projects!$D$22),Projects!$B$22*INDEX(Curves!$B$4:$AR$4,1,78-Projects!$C$22+1),0)+IF(AND(Projects!$G$23="Yes",78&gt;=Projects!$C$23,78&lt;Projects!$C$23+Projects!$D$23),Projects!$B$23*INDEX(Curves!$B$4:$AR$4,1,78-Projects!$C$23+1),0)+IF(AND(Projects!$G$24="Yes",78&gt;=Projects!$C$24,78&lt;Projects!$C$24+Projects!$D$24),Projects!$B$24*INDEX(Curves!$B$4:$AR$4,1,78-Projects!$C$24+1),0)+IF(AND(Projects!$G$25="Yes",78&gt;=Projects!$C$25,78&lt;Projects!$C$25+Projects!$D$25),Projects!$B$25*INDEX(Curves!$B$4:$AR$4,1,78-Projects!$C$25+1),0)+IF(AND(Projects!$G$26="Yes",78&gt;=Projects!$C$26,78&lt;Projects!$C$26+Projects!$D$26),Projects!$B$26*INDEX(Curves!$B$4:$AR$4,1,78-Projects!$C$26+1),0)+IF(AND(Projects!$G$27="Yes",78&gt;=Projects!$C$27,78&lt;Projects!$C$27+Projects!$D$27),Projects!$B$27*INDEX(Curves!$B$4:$AR$4,1,78-Projects!$C$27+1),0)+IF(AND(Projects!$G$28="Yes",78&gt;=Projects!$C$28,78&lt;Projects!$C$28+Projects!$D$28),Projects!$B$28*INDEX(Curves!$B$4:$AR$4,1,78-Projects!$C$28+1),0)+IF(AND(Projects!$G$29="Yes",78&gt;=Projects!$C$29,78&lt;Projects!$C$29+Projects!$D$29),Projects!$B$29*INDEX(Curves!$B$4:$AR$4,1,78-Projects!$C$29+1),0)+IF(AND(Projects!$G$30="Yes",78&gt;=Projects!$C$30,78&lt;Projects!$C$30+Projects!$D$30),Projects!$B$30*INDEX(Curves!$B$4:$AR$4,1,78-Projects!$C$30+1),0)+IF(AND(Projects!$G$31="Yes",78&gt;=Projects!$C$31,78&lt;Projects!$C$31+Projects!$D$31),Projects!$B$31*INDEX(Curves!$B$4:$AR$4,1,78-Projects!$C$31+1),0)+IF(AND(Projects!$G$32="Yes",78&gt;=Projects!$C$32,78&lt;Projects!$C$32+Projects!$D$32),Projects!$B$32*INDEX(Curves!$B$4:$AR$4,1,78-Projects!$C$32+1),0)+IF(AND(Projects!$G$33="Yes",78&gt;=Projects!$C$33,78&lt;Projects!$C$33+Projects!$D$33),Projects!$B$33*INDEX(Curves!$B$4:$AR$4,1,78-Projects!$C$33+1),0)+IF(AND(Projects!$G$34="Yes",78&gt;=Projects!$C$34,78&lt;Projects!$C$34+Projects!$D$34),Projects!$B$34*INDEX(Curves!$B$4:$AR$4,1,78-Projects!$C$34+1),0)+IF(AND(Projects!$G$35="Yes",78&gt;=Projects!$C$35,78&lt;Projects!$C$35+Projects!$D$35),Projects!$B$35*INDEX(Curves!$B$4:$AR$4,1,78-Projects!$C$35+1),0)+IF(AND(Projects!$G$36="Yes",78&gt;=Projects!$C$36,78&lt;Projects!$C$36+Projects!$D$36),Projects!$B$36*INDEX(Curves!$B$4:$AR$4,1,78-Projects!$C$36+1),0)+IF(AND(Projects!$G$37="Yes",78&gt;=Projects!$C$37,78&lt;Projects!$C$37+Projects!$D$37),Projects!$B$37*INDEX(Curves!$B$4:$AR$4,1,78-Projects!$C$37+1),0)+IF(AND(Projects!$G$38="Yes",78&gt;=Projects!$C$38,78&lt;Projects!$C$38+Projects!$D$38),Projects!$B$38*INDEX(Curves!$B$4:$AR$4,1,78-Projects!$C$38+1),0)+IF(AND(Projects!$G$39="Yes",78&gt;=Projects!$C$39,78&lt;Projects!$C$39+Projects!$D$39),Projects!$B$39*INDEX(Curves!$B$4:$AR$4,1,78-Projects!$C$39+1),0)+IF(AND(Projects!$G$40="Yes",78&gt;=Projects!$C$40,78&lt;Projects!$C$40+Projects!$D$40),Projects!$B$40*INDEX(Curves!$B$4:$AR$4,1,78-Projects!$C$40+1),0)+IF(AND(Projects!$G$41="Yes",78&gt;=Projects!$C$41,78&lt;Projects!$C$41+Projects!$D$41),Projects!$B$41*INDEX(Curves!$B$4:$AR$4,1,78-Projects!$C$41+1),0)+IF(AND(Projects!$G$42="Yes",78&gt;=Projects!$C$42,78&lt;Projects!$C$42+Projects!$D$42),Projects!$B$42*INDEX(Curves!$B$4:$AR$4,1,78-Projects!$C$42+1),0)+IF(AND(Projects!$G$43="Yes",78&gt;=Projects!$C$43,78&lt;Projects!$C$43+Projects!$D$43),Projects!$B$43*INDEX(Curves!$B$4:$AR$4,1,78-Projects!$C$43+1),0)+IF(AND(Projects!$G$44="Yes",78&gt;=Projects!$C$44,78&lt;Projects!$C$44+Projects!$D$44),Projects!$B$44*INDEX(Curves!$B$4:$AR$4,1,78-Projects!$C$44+1),0)+IF(AND(Projects!$G$45="Yes",78&gt;=Projects!$C$45,78&lt;Projects!$C$45+Projects!$D$45),Projects!$B$45*INDEX(Curves!$B$4:$AR$4,1,78-Projects!$C$45+1),0)+IF(AND(Projects!$G$46="Yes",78&gt;=Projects!$C$46,78&lt;Projects!$C$46+Projects!$D$46),Projects!$B$46*INDEX(Curves!$B$4:$AR$4,1,78-Projects!$C$46+1),0)</f>
        <v>0</v>
      </c>
      <c r="CF96" s="83" t="n">
        <f aca="false">IF(AND(Projects!$G$17="Yes",79&gt;=Projects!$C$17,79&lt;Projects!$C$17+Projects!$D$17),Projects!$B$17*INDEX(Curves!$B$4:$AR$4,1,79-Projects!$C$17+1),0)+IF(AND(Projects!$G$18="Yes",79&gt;=Projects!$C$18,79&lt;Projects!$C$18+Projects!$D$18),Projects!$B$18*INDEX(Curves!$B$4:$AR$4,1,79-Projects!$C$18+1),0)+IF(AND(Projects!$G$19="Yes",79&gt;=Projects!$C$19,79&lt;Projects!$C$19+Projects!$D$19),Projects!$B$19*INDEX(Curves!$B$4:$AR$4,1,79-Projects!$C$19+1),0)+IF(AND(Projects!$G$20="Yes",79&gt;=Projects!$C$20,79&lt;Projects!$C$20+Projects!$D$20),Projects!$B$20*INDEX(Curves!$B$4:$AR$4,1,79-Projects!$C$20+1),0)+IF(AND(Projects!$G$21="Yes",79&gt;=Projects!$C$21,79&lt;Projects!$C$21+Projects!$D$21),Projects!$B$21*INDEX(Curves!$B$4:$AR$4,1,79-Projects!$C$21+1),0)+IF(AND(Projects!$G$22="Yes",79&gt;=Projects!$C$22,79&lt;Projects!$C$22+Projects!$D$22),Projects!$B$22*INDEX(Curves!$B$4:$AR$4,1,79-Projects!$C$22+1),0)+IF(AND(Projects!$G$23="Yes",79&gt;=Projects!$C$23,79&lt;Projects!$C$23+Projects!$D$23),Projects!$B$23*INDEX(Curves!$B$4:$AR$4,1,79-Projects!$C$23+1),0)+IF(AND(Projects!$G$24="Yes",79&gt;=Projects!$C$24,79&lt;Projects!$C$24+Projects!$D$24),Projects!$B$24*INDEX(Curves!$B$4:$AR$4,1,79-Projects!$C$24+1),0)+IF(AND(Projects!$G$25="Yes",79&gt;=Projects!$C$25,79&lt;Projects!$C$25+Projects!$D$25),Projects!$B$25*INDEX(Curves!$B$4:$AR$4,1,79-Projects!$C$25+1),0)+IF(AND(Projects!$G$26="Yes",79&gt;=Projects!$C$26,79&lt;Projects!$C$26+Projects!$D$26),Projects!$B$26*INDEX(Curves!$B$4:$AR$4,1,79-Projects!$C$26+1),0)+IF(AND(Projects!$G$27="Yes",79&gt;=Projects!$C$27,79&lt;Projects!$C$27+Projects!$D$27),Projects!$B$27*INDEX(Curves!$B$4:$AR$4,1,79-Projects!$C$27+1),0)+IF(AND(Projects!$G$28="Yes",79&gt;=Projects!$C$28,79&lt;Projects!$C$28+Projects!$D$28),Projects!$B$28*INDEX(Curves!$B$4:$AR$4,1,79-Projects!$C$28+1),0)+IF(AND(Projects!$G$29="Yes",79&gt;=Projects!$C$29,79&lt;Projects!$C$29+Projects!$D$29),Projects!$B$29*INDEX(Curves!$B$4:$AR$4,1,79-Projects!$C$29+1),0)+IF(AND(Projects!$G$30="Yes",79&gt;=Projects!$C$30,79&lt;Projects!$C$30+Projects!$D$30),Projects!$B$30*INDEX(Curves!$B$4:$AR$4,1,79-Projects!$C$30+1),0)+IF(AND(Projects!$G$31="Yes",79&gt;=Projects!$C$31,79&lt;Projects!$C$31+Projects!$D$31),Projects!$B$31*INDEX(Curves!$B$4:$AR$4,1,79-Projects!$C$31+1),0)+IF(AND(Projects!$G$32="Yes",79&gt;=Projects!$C$32,79&lt;Projects!$C$32+Projects!$D$32),Projects!$B$32*INDEX(Curves!$B$4:$AR$4,1,79-Projects!$C$32+1),0)+IF(AND(Projects!$G$33="Yes",79&gt;=Projects!$C$33,79&lt;Projects!$C$33+Projects!$D$33),Projects!$B$33*INDEX(Curves!$B$4:$AR$4,1,79-Projects!$C$33+1),0)+IF(AND(Projects!$G$34="Yes",79&gt;=Projects!$C$34,79&lt;Projects!$C$34+Projects!$D$34),Projects!$B$34*INDEX(Curves!$B$4:$AR$4,1,79-Projects!$C$34+1),0)+IF(AND(Projects!$G$35="Yes",79&gt;=Projects!$C$35,79&lt;Projects!$C$35+Projects!$D$35),Projects!$B$35*INDEX(Curves!$B$4:$AR$4,1,79-Projects!$C$35+1),0)+IF(AND(Projects!$G$36="Yes",79&gt;=Projects!$C$36,79&lt;Projects!$C$36+Projects!$D$36),Projects!$B$36*INDEX(Curves!$B$4:$AR$4,1,79-Projects!$C$36+1),0)+IF(AND(Projects!$G$37="Yes",79&gt;=Projects!$C$37,79&lt;Projects!$C$37+Projects!$D$37),Projects!$B$37*INDEX(Curves!$B$4:$AR$4,1,79-Projects!$C$37+1),0)+IF(AND(Projects!$G$38="Yes",79&gt;=Projects!$C$38,79&lt;Projects!$C$38+Projects!$D$38),Projects!$B$38*INDEX(Curves!$B$4:$AR$4,1,79-Projects!$C$38+1),0)+IF(AND(Projects!$G$39="Yes",79&gt;=Projects!$C$39,79&lt;Projects!$C$39+Projects!$D$39),Projects!$B$39*INDEX(Curves!$B$4:$AR$4,1,79-Projects!$C$39+1),0)+IF(AND(Projects!$G$40="Yes",79&gt;=Projects!$C$40,79&lt;Projects!$C$40+Projects!$D$40),Projects!$B$40*INDEX(Curves!$B$4:$AR$4,1,79-Projects!$C$40+1),0)+IF(AND(Projects!$G$41="Yes",79&gt;=Projects!$C$41,79&lt;Projects!$C$41+Projects!$D$41),Projects!$B$41*INDEX(Curves!$B$4:$AR$4,1,79-Projects!$C$41+1),0)+IF(AND(Projects!$G$42="Yes",79&gt;=Projects!$C$42,79&lt;Projects!$C$42+Projects!$D$42),Projects!$B$42*INDEX(Curves!$B$4:$AR$4,1,79-Projects!$C$42+1),0)+IF(AND(Projects!$G$43="Yes",79&gt;=Projects!$C$43,79&lt;Projects!$C$43+Projects!$D$43),Projects!$B$43*INDEX(Curves!$B$4:$AR$4,1,79-Projects!$C$43+1),0)+IF(AND(Projects!$G$44="Yes",79&gt;=Projects!$C$44,79&lt;Projects!$C$44+Projects!$D$44),Projects!$B$44*INDEX(Curves!$B$4:$AR$4,1,79-Projects!$C$44+1),0)+IF(AND(Projects!$G$45="Yes",79&gt;=Projects!$C$45,79&lt;Projects!$C$45+Projects!$D$45),Projects!$B$45*INDEX(Curves!$B$4:$AR$4,1,79-Projects!$C$45+1),0)+IF(AND(Projects!$G$46="Yes",79&gt;=Projects!$C$46,79&lt;Projects!$C$46+Projects!$D$46),Projects!$B$46*INDEX(Curves!$B$4:$AR$4,1,79-Projects!$C$46+1),0)</f>
        <v>0</v>
      </c>
      <c r="CG96" s="83" t="n">
        <f aca="false">IF(AND(Projects!$G$17="Yes",80&gt;=Projects!$C$17,80&lt;Projects!$C$17+Projects!$D$17),Projects!$B$17*INDEX(Curves!$B$4:$AR$4,1,80-Projects!$C$17+1),0)+IF(AND(Projects!$G$18="Yes",80&gt;=Projects!$C$18,80&lt;Projects!$C$18+Projects!$D$18),Projects!$B$18*INDEX(Curves!$B$4:$AR$4,1,80-Projects!$C$18+1),0)+IF(AND(Projects!$G$19="Yes",80&gt;=Projects!$C$19,80&lt;Projects!$C$19+Projects!$D$19),Projects!$B$19*INDEX(Curves!$B$4:$AR$4,1,80-Projects!$C$19+1),0)+IF(AND(Projects!$G$20="Yes",80&gt;=Projects!$C$20,80&lt;Projects!$C$20+Projects!$D$20),Projects!$B$20*INDEX(Curves!$B$4:$AR$4,1,80-Projects!$C$20+1),0)+IF(AND(Projects!$G$21="Yes",80&gt;=Projects!$C$21,80&lt;Projects!$C$21+Projects!$D$21),Projects!$B$21*INDEX(Curves!$B$4:$AR$4,1,80-Projects!$C$21+1),0)+IF(AND(Projects!$G$22="Yes",80&gt;=Projects!$C$22,80&lt;Projects!$C$22+Projects!$D$22),Projects!$B$22*INDEX(Curves!$B$4:$AR$4,1,80-Projects!$C$22+1),0)+IF(AND(Projects!$G$23="Yes",80&gt;=Projects!$C$23,80&lt;Projects!$C$23+Projects!$D$23),Projects!$B$23*INDEX(Curves!$B$4:$AR$4,1,80-Projects!$C$23+1),0)+IF(AND(Projects!$G$24="Yes",80&gt;=Projects!$C$24,80&lt;Projects!$C$24+Projects!$D$24),Projects!$B$24*INDEX(Curves!$B$4:$AR$4,1,80-Projects!$C$24+1),0)+IF(AND(Projects!$G$25="Yes",80&gt;=Projects!$C$25,80&lt;Projects!$C$25+Projects!$D$25),Projects!$B$25*INDEX(Curves!$B$4:$AR$4,1,80-Projects!$C$25+1),0)+IF(AND(Projects!$G$26="Yes",80&gt;=Projects!$C$26,80&lt;Projects!$C$26+Projects!$D$26),Projects!$B$26*INDEX(Curves!$B$4:$AR$4,1,80-Projects!$C$26+1),0)+IF(AND(Projects!$G$27="Yes",80&gt;=Projects!$C$27,80&lt;Projects!$C$27+Projects!$D$27),Projects!$B$27*INDEX(Curves!$B$4:$AR$4,1,80-Projects!$C$27+1),0)+IF(AND(Projects!$G$28="Yes",80&gt;=Projects!$C$28,80&lt;Projects!$C$28+Projects!$D$28),Projects!$B$28*INDEX(Curves!$B$4:$AR$4,1,80-Projects!$C$28+1),0)+IF(AND(Projects!$G$29="Yes",80&gt;=Projects!$C$29,80&lt;Projects!$C$29+Projects!$D$29),Projects!$B$29*INDEX(Curves!$B$4:$AR$4,1,80-Projects!$C$29+1),0)+IF(AND(Projects!$G$30="Yes",80&gt;=Projects!$C$30,80&lt;Projects!$C$30+Projects!$D$30),Projects!$B$30*INDEX(Curves!$B$4:$AR$4,1,80-Projects!$C$30+1),0)+IF(AND(Projects!$G$31="Yes",80&gt;=Projects!$C$31,80&lt;Projects!$C$31+Projects!$D$31),Projects!$B$31*INDEX(Curves!$B$4:$AR$4,1,80-Projects!$C$31+1),0)+IF(AND(Projects!$G$32="Yes",80&gt;=Projects!$C$32,80&lt;Projects!$C$32+Projects!$D$32),Projects!$B$32*INDEX(Curves!$B$4:$AR$4,1,80-Projects!$C$32+1),0)+IF(AND(Projects!$G$33="Yes",80&gt;=Projects!$C$33,80&lt;Projects!$C$33+Projects!$D$33),Projects!$B$33*INDEX(Curves!$B$4:$AR$4,1,80-Projects!$C$33+1),0)+IF(AND(Projects!$G$34="Yes",80&gt;=Projects!$C$34,80&lt;Projects!$C$34+Projects!$D$34),Projects!$B$34*INDEX(Curves!$B$4:$AR$4,1,80-Projects!$C$34+1),0)+IF(AND(Projects!$G$35="Yes",80&gt;=Projects!$C$35,80&lt;Projects!$C$35+Projects!$D$35),Projects!$B$35*INDEX(Curves!$B$4:$AR$4,1,80-Projects!$C$35+1),0)+IF(AND(Projects!$G$36="Yes",80&gt;=Projects!$C$36,80&lt;Projects!$C$36+Projects!$D$36),Projects!$B$36*INDEX(Curves!$B$4:$AR$4,1,80-Projects!$C$36+1),0)+IF(AND(Projects!$G$37="Yes",80&gt;=Projects!$C$37,80&lt;Projects!$C$37+Projects!$D$37),Projects!$B$37*INDEX(Curves!$B$4:$AR$4,1,80-Projects!$C$37+1),0)+IF(AND(Projects!$G$38="Yes",80&gt;=Projects!$C$38,80&lt;Projects!$C$38+Projects!$D$38),Projects!$B$38*INDEX(Curves!$B$4:$AR$4,1,80-Projects!$C$38+1),0)+IF(AND(Projects!$G$39="Yes",80&gt;=Projects!$C$39,80&lt;Projects!$C$39+Projects!$D$39),Projects!$B$39*INDEX(Curves!$B$4:$AR$4,1,80-Projects!$C$39+1),0)+IF(AND(Projects!$G$40="Yes",80&gt;=Projects!$C$40,80&lt;Projects!$C$40+Projects!$D$40),Projects!$B$40*INDEX(Curves!$B$4:$AR$4,1,80-Projects!$C$40+1),0)+IF(AND(Projects!$G$41="Yes",80&gt;=Projects!$C$41,80&lt;Projects!$C$41+Projects!$D$41),Projects!$B$41*INDEX(Curves!$B$4:$AR$4,1,80-Projects!$C$41+1),0)+IF(AND(Projects!$G$42="Yes",80&gt;=Projects!$C$42,80&lt;Projects!$C$42+Projects!$D$42),Projects!$B$42*INDEX(Curves!$B$4:$AR$4,1,80-Projects!$C$42+1),0)+IF(AND(Projects!$G$43="Yes",80&gt;=Projects!$C$43,80&lt;Projects!$C$43+Projects!$D$43),Projects!$B$43*INDEX(Curves!$B$4:$AR$4,1,80-Projects!$C$43+1),0)+IF(AND(Projects!$G$44="Yes",80&gt;=Projects!$C$44,80&lt;Projects!$C$44+Projects!$D$44),Projects!$B$44*INDEX(Curves!$B$4:$AR$4,1,80-Projects!$C$44+1),0)+IF(AND(Projects!$G$45="Yes",80&gt;=Projects!$C$45,80&lt;Projects!$C$45+Projects!$D$45),Projects!$B$45*INDEX(Curves!$B$4:$AR$4,1,80-Projects!$C$45+1),0)+IF(AND(Projects!$G$46="Yes",80&gt;=Projects!$C$46,80&lt;Projects!$C$46+Projects!$D$46),Projects!$B$46*INDEX(Curves!$B$4:$AR$4,1,80-Projects!$C$46+1),0)</f>
        <v>0</v>
      </c>
      <c r="CH96" s="83" t="n">
        <f aca="false">IF(AND(Projects!$G$17="Yes",81&gt;=Projects!$C$17,81&lt;Projects!$C$17+Projects!$D$17),Projects!$B$17*INDEX(Curves!$B$4:$AR$4,1,81-Projects!$C$17+1),0)+IF(AND(Projects!$G$18="Yes",81&gt;=Projects!$C$18,81&lt;Projects!$C$18+Projects!$D$18),Projects!$B$18*INDEX(Curves!$B$4:$AR$4,1,81-Projects!$C$18+1),0)+IF(AND(Projects!$G$19="Yes",81&gt;=Projects!$C$19,81&lt;Projects!$C$19+Projects!$D$19),Projects!$B$19*INDEX(Curves!$B$4:$AR$4,1,81-Projects!$C$19+1),0)+IF(AND(Projects!$G$20="Yes",81&gt;=Projects!$C$20,81&lt;Projects!$C$20+Projects!$D$20),Projects!$B$20*INDEX(Curves!$B$4:$AR$4,1,81-Projects!$C$20+1),0)+IF(AND(Projects!$G$21="Yes",81&gt;=Projects!$C$21,81&lt;Projects!$C$21+Projects!$D$21),Projects!$B$21*INDEX(Curves!$B$4:$AR$4,1,81-Projects!$C$21+1),0)+IF(AND(Projects!$G$22="Yes",81&gt;=Projects!$C$22,81&lt;Projects!$C$22+Projects!$D$22),Projects!$B$22*INDEX(Curves!$B$4:$AR$4,1,81-Projects!$C$22+1),0)+IF(AND(Projects!$G$23="Yes",81&gt;=Projects!$C$23,81&lt;Projects!$C$23+Projects!$D$23),Projects!$B$23*INDEX(Curves!$B$4:$AR$4,1,81-Projects!$C$23+1),0)+IF(AND(Projects!$G$24="Yes",81&gt;=Projects!$C$24,81&lt;Projects!$C$24+Projects!$D$24),Projects!$B$24*INDEX(Curves!$B$4:$AR$4,1,81-Projects!$C$24+1),0)+IF(AND(Projects!$G$25="Yes",81&gt;=Projects!$C$25,81&lt;Projects!$C$25+Projects!$D$25),Projects!$B$25*INDEX(Curves!$B$4:$AR$4,1,81-Projects!$C$25+1),0)+IF(AND(Projects!$G$26="Yes",81&gt;=Projects!$C$26,81&lt;Projects!$C$26+Projects!$D$26),Projects!$B$26*INDEX(Curves!$B$4:$AR$4,1,81-Projects!$C$26+1),0)+IF(AND(Projects!$G$27="Yes",81&gt;=Projects!$C$27,81&lt;Projects!$C$27+Projects!$D$27),Projects!$B$27*INDEX(Curves!$B$4:$AR$4,1,81-Projects!$C$27+1),0)+IF(AND(Projects!$G$28="Yes",81&gt;=Projects!$C$28,81&lt;Projects!$C$28+Projects!$D$28),Projects!$B$28*INDEX(Curves!$B$4:$AR$4,1,81-Projects!$C$28+1),0)+IF(AND(Projects!$G$29="Yes",81&gt;=Projects!$C$29,81&lt;Projects!$C$29+Projects!$D$29),Projects!$B$29*INDEX(Curves!$B$4:$AR$4,1,81-Projects!$C$29+1),0)+IF(AND(Projects!$G$30="Yes",81&gt;=Projects!$C$30,81&lt;Projects!$C$30+Projects!$D$30),Projects!$B$30*INDEX(Curves!$B$4:$AR$4,1,81-Projects!$C$30+1),0)+IF(AND(Projects!$G$31="Yes",81&gt;=Projects!$C$31,81&lt;Projects!$C$31+Projects!$D$31),Projects!$B$31*INDEX(Curves!$B$4:$AR$4,1,81-Projects!$C$31+1),0)+IF(AND(Projects!$G$32="Yes",81&gt;=Projects!$C$32,81&lt;Projects!$C$32+Projects!$D$32),Projects!$B$32*INDEX(Curves!$B$4:$AR$4,1,81-Projects!$C$32+1),0)+IF(AND(Projects!$G$33="Yes",81&gt;=Projects!$C$33,81&lt;Projects!$C$33+Projects!$D$33),Projects!$B$33*INDEX(Curves!$B$4:$AR$4,1,81-Projects!$C$33+1),0)+IF(AND(Projects!$G$34="Yes",81&gt;=Projects!$C$34,81&lt;Projects!$C$34+Projects!$D$34),Projects!$B$34*INDEX(Curves!$B$4:$AR$4,1,81-Projects!$C$34+1),0)+IF(AND(Projects!$G$35="Yes",81&gt;=Projects!$C$35,81&lt;Projects!$C$35+Projects!$D$35),Projects!$B$35*INDEX(Curves!$B$4:$AR$4,1,81-Projects!$C$35+1),0)+IF(AND(Projects!$G$36="Yes",81&gt;=Projects!$C$36,81&lt;Projects!$C$36+Projects!$D$36),Projects!$B$36*INDEX(Curves!$B$4:$AR$4,1,81-Projects!$C$36+1),0)+IF(AND(Projects!$G$37="Yes",81&gt;=Projects!$C$37,81&lt;Projects!$C$37+Projects!$D$37),Projects!$B$37*INDEX(Curves!$B$4:$AR$4,1,81-Projects!$C$37+1),0)+IF(AND(Projects!$G$38="Yes",81&gt;=Projects!$C$38,81&lt;Projects!$C$38+Projects!$D$38),Projects!$B$38*INDEX(Curves!$B$4:$AR$4,1,81-Projects!$C$38+1),0)+IF(AND(Projects!$G$39="Yes",81&gt;=Projects!$C$39,81&lt;Projects!$C$39+Projects!$D$39),Projects!$B$39*INDEX(Curves!$B$4:$AR$4,1,81-Projects!$C$39+1),0)+IF(AND(Projects!$G$40="Yes",81&gt;=Projects!$C$40,81&lt;Projects!$C$40+Projects!$D$40),Projects!$B$40*INDEX(Curves!$B$4:$AR$4,1,81-Projects!$C$40+1),0)+IF(AND(Projects!$G$41="Yes",81&gt;=Projects!$C$41,81&lt;Projects!$C$41+Projects!$D$41),Projects!$B$41*INDEX(Curves!$B$4:$AR$4,1,81-Projects!$C$41+1),0)+IF(AND(Projects!$G$42="Yes",81&gt;=Projects!$C$42,81&lt;Projects!$C$42+Projects!$D$42),Projects!$B$42*INDEX(Curves!$B$4:$AR$4,1,81-Projects!$C$42+1),0)+IF(AND(Projects!$G$43="Yes",81&gt;=Projects!$C$43,81&lt;Projects!$C$43+Projects!$D$43),Projects!$B$43*INDEX(Curves!$B$4:$AR$4,1,81-Projects!$C$43+1),0)+IF(AND(Projects!$G$44="Yes",81&gt;=Projects!$C$44,81&lt;Projects!$C$44+Projects!$D$44),Projects!$B$44*INDEX(Curves!$B$4:$AR$4,1,81-Projects!$C$44+1),0)+IF(AND(Projects!$G$45="Yes",81&gt;=Projects!$C$45,81&lt;Projects!$C$45+Projects!$D$45),Projects!$B$45*INDEX(Curves!$B$4:$AR$4,1,81-Projects!$C$45+1),0)+IF(AND(Projects!$G$46="Yes",81&gt;=Projects!$C$46,81&lt;Projects!$C$46+Projects!$D$46),Projects!$B$46*INDEX(Curves!$B$4:$AR$4,1,81-Projects!$C$46+1),0)</f>
        <v>0</v>
      </c>
      <c r="CI96" s="83" t="n">
        <f aca="false">IF(AND(Projects!$G$17="Yes",82&gt;=Projects!$C$17,82&lt;Projects!$C$17+Projects!$D$17),Projects!$B$17*INDEX(Curves!$B$4:$AR$4,1,82-Projects!$C$17+1),0)+IF(AND(Projects!$G$18="Yes",82&gt;=Projects!$C$18,82&lt;Projects!$C$18+Projects!$D$18),Projects!$B$18*INDEX(Curves!$B$4:$AR$4,1,82-Projects!$C$18+1),0)+IF(AND(Projects!$G$19="Yes",82&gt;=Projects!$C$19,82&lt;Projects!$C$19+Projects!$D$19),Projects!$B$19*INDEX(Curves!$B$4:$AR$4,1,82-Projects!$C$19+1),0)+IF(AND(Projects!$G$20="Yes",82&gt;=Projects!$C$20,82&lt;Projects!$C$20+Projects!$D$20),Projects!$B$20*INDEX(Curves!$B$4:$AR$4,1,82-Projects!$C$20+1),0)+IF(AND(Projects!$G$21="Yes",82&gt;=Projects!$C$21,82&lt;Projects!$C$21+Projects!$D$21),Projects!$B$21*INDEX(Curves!$B$4:$AR$4,1,82-Projects!$C$21+1),0)+IF(AND(Projects!$G$22="Yes",82&gt;=Projects!$C$22,82&lt;Projects!$C$22+Projects!$D$22),Projects!$B$22*INDEX(Curves!$B$4:$AR$4,1,82-Projects!$C$22+1),0)+IF(AND(Projects!$G$23="Yes",82&gt;=Projects!$C$23,82&lt;Projects!$C$23+Projects!$D$23),Projects!$B$23*INDEX(Curves!$B$4:$AR$4,1,82-Projects!$C$23+1),0)+IF(AND(Projects!$G$24="Yes",82&gt;=Projects!$C$24,82&lt;Projects!$C$24+Projects!$D$24),Projects!$B$24*INDEX(Curves!$B$4:$AR$4,1,82-Projects!$C$24+1),0)+IF(AND(Projects!$G$25="Yes",82&gt;=Projects!$C$25,82&lt;Projects!$C$25+Projects!$D$25),Projects!$B$25*INDEX(Curves!$B$4:$AR$4,1,82-Projects!$C$25+1),0)+IF(AND(Projects!$G$26="Yes",82&gt;=Projects!$C$26,82&lt;Projects!$C$26+Projects!$D$26),Projects!$B$26*INDEX(Curves!$B$4:$AR$4,1,82-Projects!$C$26+1),0)+IF(AND(Projects!$G$27="Yes",82&gt;=Projects!$C$27,82&lt;Projects!$C$27+Projects!$D$27),Projects!$B$27*INDEX(Curves!$B$4:$AR$4,1,82-Projects!$C$27+1),0)+IF(AND(Projects!$G$28="Yes",82&gt;=Projects!$C$28,82&lt;Projects!$C$28+Projects!$D$28),Projects!$B$28*INDEX(Curves!$B$4:$AR$4,1,82-Projects!$C$28+1),0)+IF(AND(Projects!$G$29="Yes",82&gt;=Projects!$C$29,82&lt;Projects!$C$29+Projects!$D$29),Projects!$B$29*INDEX(Curves!$B$4:$AR$4,1,82-Projects!$C$29+1),0)+IF(AND(Projects!$G$30="Yes",82&gt;=Projects!$C$30,82&lt;Projects!$C$30+Projects!$D$30),Projects!$B$30*INDEX(Curves!$B$4:$AR$4,1,82-Projects!$C$30+1),0)+IF(AND(Projects!$G$31="Yes",82&gt;=Projects!$C$31,82&lt;Projects!$C$31+Projects!$D$31),Projects!$B$31*INDEX(Curves!$B$4:$AR$4,1,82-Projects!$C$31+1),0)+IF(AND(Projects!$G$32="Yes",82&gt;=Projects!$C$32,82&lt;Projects!$C$32+Projects!$D$32),Projects!$B$32*INDEX(Curves!$B$4:$AR$4,1,82-Projects!$C$32+1),0)+IF(AND(Projects!$G$33="Yes",82&gt;=Projects!$C$33,82&lt;Projects!$C$33+Projects!$D$33),Projects!$B$33*INDEX(Curves!$B$4:$AR$4,1,82-Projects!$C$33+1),0)+IF(AND(Projects!$G$34="Yes",82&gt;=Projects!$C$34,82&lt;Projects!$C$34+Projects!$D$34),Projects!$B$34*INDEX(Curves!$B$4:$AR$4,1,82-Projects!$C$34+1),0)+IF(AND(Projects!$G$35="Yes",82&gt;=Projects!$C$35,82&lt;Projects!$C$35+Projects!$D$35),Projects!$B$35*INDEX(Curves!$B$4:$AR$4,1,82-Projects!$C$35+1),0)+IF(AND(Projects!$G$36="Yes",82&gt;=Projects!$C$36,82&lt;Projects!$C$36+Projects!$D$36),Projects!$B$36*INDEX(Curves!$B$4:$AR$4,1,82-Projects!$C$36+1),0)+IF(AND(Projects!$G$37="Yes",82&gt;=Projects!$C$37,82&lt;Projects!$C$37+Projects!$D$37),Projects!$B$37*INDEX(Curves!$B$4:$AR$4,1,82-Projects!$C$37+1),0)+IF(AND(Projects!$G$38="Yes",82&gt;=Projects!$C$38,82&lt;Projects!$C$38+Projects!$D$38),Projects!$B$38*INDEX(Curves!$B$4:$AR$4,1,82-Projects!$C$38+1),0)+IF(AND(Projects!$G$39="Yes",82&gt;=Projects!$C$39,82&lt;Projects!$C$39+Projects!$D$39),Projects!$B$39*INDEX(Curves!$B$4:$AR$4,1,82-Projects!$C$39+1),0)+IF(AND(Projects!$G$40="Yes",82&gt;=Projects!$C$40,82&lt;Projects!$C$40+Projects!$D$40),Projects!$B$40*INDEX(Curves!$B$4:$AR$4,1,82-Projects!$C$40+1),0)+IF(AND(Projects!$G$41="Yes",82&gt;=Projects!$C$41,82&lt;Projects!$C$41+Projects!$D$41),Projects!$B$41*INDEX(Curves!$B$4:$AR$4,1,82-Projects!$C$41+1),0)+IF(AND(Projects!$G$42="Yes",82&gt;=Projects!$C$42,82&lt;Projects!$C$42+Projects!$D$42),Projects!$B$42*INDEX(Curves!$B$4:$AR$4,1,82-Projects!$C$42+1),0)+IF(AND(Projects!$G$43="Yes",82&gt;=Projects!$C$43,82&lt;Projects!$C$43+Projects!$D$43),Projects!$B$43*INDEX(Curves!$B$4:$AR$4,1,82-Projects!$C$43+1),0)+IF(AND(Projects!$G$44="Yes",82&gt;=Projects!$C$44,82&lt;Projects!$C$44+Projects!$D$44),Projects!$B$44*INDEX(Curves!$B$4:$AR$4,1,82-Projects!$C$44+1),0)+IF(AND(Projects!$G$45="Yes",82&gt;=Projects!$C$45,82&lt;Projects!$C$45+Projects!$D$45),Projects!$B$45*INDEX(Curves!$B$4:$AR$4,1,82-Projects!$C$45+1),0)+IF(AND(Projects!$G$46="Yes",82&gt;=Projects!$C$46,82&lt;Projects!$C$46+Projects!$D$46),Projects!$B$46*INDEX(Curves!$B$4:$AR$4,1,82-Projects!$C$46+1),0)</f>
        <v>0</v>
      </c>
      <c r="CJ96" s="83" t="n">
        <f aca="false">IF(AND(Projects!$G$17="Yes",83&gt;=Projects!$C$17,83&lt;Projects!$C$17+Projects!$D$17),Projects!$B$17*INDEX(Curves!$B$4:$AR$4,1,83-Projects!$C$17+1),0)+IF(AND(Projects!$G$18="Yes",83&gt;=Projects!$C$18,83&lt;Projects!$C$18+Projects!$D$18),Projects!$B$18*INDEX(Curves!$B$4:$AR$4,1,83-Projects!$C$18+1),0)+IF(AND(Projects!$G$19="Yes",83&gt;=Projects!$C$19,83&lt;Projects!$C$19+Projects!$D$19),Projects!$B$19*INDEX(Curves!$B$4:$AR$4,1,83-Projects!$C$19+1),0)+IF(AND(Projects!$G$20="Yes",83&gt;=Projects!$C$20,83&lt;Projects!$C$20+Projects!$D$20),Projects!$B$20*INDEX(Curves!$B$4:$AR$4,1,83-Projects!$C$20+1),0)+IF(AND(Projects!$G$21="Yes",83&gt;=Projects!$C$21,83&lt;Projects!$C$21+Projects!$D$21),Projects!$B$21*INDEX(Curves!$B$4:$AR$4,1,83-Projects!$C$21+1),0)+IF(AND(Projects!$G$22="Yes",83&gt;=Projects!$C$22,83&lt;Projects!$C$22+Projects!$D$22),Projects!$B$22*INDEX(Curves!$B$4:$AR$4,1,83-Projects!$C$22+1),0)+IF(AND(Projects!$G$23="Yes",83&gt;=Projects!$C$23,83&lt;Projects!$C$23+Projects!$D$23),Projects!$B$23*INDEX(Curves!$B$4:$AR$4,1,83-Projects!$C$23+1),0)+IF(AND(Projects!$G$24="Yes",83&gt;=Projects!$C$24,83&lt;Projects!$C$24+Projects!$D$24),Projects!$B$24*INDEX(Curves!$B$4:$AR$4,1,83-Projects!$C$24+1),0)+IF(AND(Projects!$G$25="Yes",83&gt;=Projects!$C$25,83&lt;Projects!$C$25+Projects!$D$25),Projects!$B$25*INDEX(Curves!$B$4:$AR$4,1,83-Projects!$C$25+1),0)+IF(AND(Projects!$G$26="Yes",83&gt;=Projects!$C$26,83&lt;Projects!$C$26+Projects!$D$26),Projects!$B$26*INDEX(Curves!$B$4:$AR$4,1,83-Projects!$C$26+1),0)+IF(AND(Projects!$G$27="Yes",83&gt;=Projects!$C$27,83&lt;Projects!$C$27+Projects!$D$27),Projects!$B$27*INDEX(Curves!$B$4:$AR$4,1,83-Projects!$C$27+1),0)+IF(AND(Projects!$G$28="Yes",83&gt;=Projects!$C$28,83&lt;Projects!$C$28+Projects!$D$28),Projects!$B$28*INDEX(Curves!$B$4:$AR$4,1,83-Projects!$C$28+1),0)+IF(AND(Projects!$G$29="Yes",83&gt;=Projects!$C$29,83&lt;Projects!$C$29+Projects!$D$29),Projects!$B$29*INDEX(Curves!$B$4:$AR$4,1,83-Projects!$C$29+1),0)+IF(AND(Projects!$G$30="Yes",83&gt;=Projects!$C$30,83&lt;Projects!$C$30+Projects!$D$30),Projects!$B$30*INDEX(Curves!$B$4:$AR$4,1,83-Projects!$C$30+1),0)+IF(AND(Projects!$G$31="Yes",83&gt;=Projects!$C$31,83&lt;Projects!$C$31+Projects!$D$31),Projects!$B$31*INDEX(Curves!$B$4:$AR$4,1,83-Projects!$C$31+1),0)+IF(AND(Projects!$G$32="Yes",83&gt;=Projects!$C$32,83&lt;Projects!$C$32+Projects!$D$32),Projects!$B$32*INDEX(Curves!$B$4:$AR$4,1,83-Projects!$C$32+1),0)+IF(AND(Projects!$G$33="Yes",83&gt;=Projects!$C$33,83&lt;Projects!$C$33+Projects!$D$33),Projects!$B$33*INDEX(Curves!$B$4:$AR$4,1,83-Projects!$C$33+1),0)+IF(AND(Projects!$G$34="Yes",83&gt;=Projects!$C$34,83&lt;Projects!$C$34+Projects!$D$34),Projects!$B$34*INDEX(Curves!$B$4:$AR$4,1,83-Projects!$C$34+1),0)+IF(AND(Projects!$G$35="Yes",83&gt;=Projects!$C$35,83&lt;Projects!$C$35+Projects!$D$35),Projects!$B$35*INDEX(Curves!$B$4:$AR$4,1,83-Projects!$C$35+1),0)+IF(AND(Projects!$G$36="Yes",83&gt;=Projects!$C$36,83&lt;Projects!$C$36+Projects!$D$36),Projects!$B$36*INDEX(Curves!$B$4:$AR$4,1,83-Projects!$C$36+1),0)+IF(AND(Projects!$G$37="Yes",83&gt;=Projects!$C$37,83&lt;Projects!$C$37+Projects!$D$37),Projects!$B$37*INDEX(Curves!$B$4:$AR$4,1,83-Projects!$C$37+1),0)+IF(AND(Projects!$G$38="Yes",83&gt;=Projects!$C$38,83&lt;Projects!$C$38+Projects!$D$38),Projects!$B$38*INDEX(Curves!$B$4:$AR$4,1,83-Projects!$C$38+1),0)+IF(AND(Projects!$G$39="Yes",83&gt;=Projects!$C$39,83&lt;Projects!$C$39+Projects!$D$39),Projects!$B$39*INDEX(Curves!$B$4:$AR$4,1,83-Projects!$C$39+1),0)+IF(AND(Projects!$G$40="Yes",83&gt;=Projects!$C$40,83&lt;Projects!$C$40+Projects!$D$40),Projects!$B$40*INDEX(Curves!$B$4:$AR$4,1,83-Projects!$C$40+1),0)+IF(AND(Projects!$G$41="Yes",83&gt;=Projects!$C$41,83&lt;Projects!$C$41+Projects!$D$41),Projects!$B$41*INDEX(Curves!$B$4:$AR$4,1,83-Projects!$C$41+1),0)+IF(AND(Projects!$G$42="Yes",83&gt;=Projects!$C$42,83&lt;Projects!$C$42+Projects!$D$42),Projects!$B$42*INDEX(Curves!$B$4:$AR$4,1,83-Projects!$C$42+1),0)+IF(AND(Projects!$G$43="Yes",83&gt;=Projects!$C$43,83&lt;Projects!$C$43+Projects!$D$43),Projects!$B$43*INDEX(Curves!$B$4:$AR$4,1,83-Projects!$C$43+1),0)+IF(AND(Projects!$G$44="Yes",83&gt;=Projects!$C$44,83&lt;Projects!$C$44+Projects!$D$44),Projects!$B$44*INDEX(Curves!$B$4:$AR$4,1,83-Projects!$C$44+1),0)+IF(AND(Projects!$G$45="Yes",83&gt;=Projects!$C$45,83&lt;Projects!$C$45+Projects!$D$45),Projects!$B$45*INDEX(Curves!$B$4:$AR$4,1,83-Projects!$C$45+1),0)+IF(AND(Projects!$G$46="Yes",83&gt;=Projects!$C$46,83&lt;Projects!$C$46+Projects!$D$46),Projects!$B$46*INDEX(Curves!$B$4:$AR$4,1,83-Projects!$C$46+1),0)</f>
        <v>0</v>
      </c>
      <c r="CK96" s="83" t="n">
        <f aca="false">IF(AND(Projects!$G$17="Yes",84&gt;=Projects!$C$17,84&lt;Projects!$C$17+Projects!$D$17),Projects!$B$17*INDEX(Curves!$B$4:$AR$4,1,84-Projects!$C$17+1),0)+IF(AND(Projects!$G$18="Yes",84&gt;=Projects!$C$18,84&lt;Projects!$C$18+Projects!$D$18),Projects!$B$18*INDEX(Curves!$B$4:$AR$4,1,84-Projects!$C$18+1),0)+IF(AND(Projects!$G$19="Yes",84&gt;=Projects!$C$19,84&lt;Projects!$C$19+Projects!$D$19),Projects!$B$19*INDEX(Curves!$B$4:$AR$4,1,84-Projects!$C$19+1),0)+IF(AND(Projects!$G$20="Yes",84&gt;=Projects!$C$20,84&lt;Projects!$C$20+Projects!$D$20),Projects!$B$20*INDEX(Curves!$B$4:$AR$4,1,84-Projects!$C$20+1),0)+IF(AND(Projects!$G$21="Yes",84&gt;=Projects!$C$21,84&lt;Projects!$C$21+Projects!$D$21),Projects!$B$21*INDEX(Curves!$B$4:$AR$4,1,84-Projects!$C$21+1),0)+IF(AND(Projects!$G$22="Yes",84&gt;=Projects!$C$22,84&lt;Projects!$C$22+Projects!$D$22),Projects!$B$22*INDEX(Curves!$B$4:$AR$4,1,84-Projects!$C$22+1),0)+IF(AND(Projects!$G$23="Yes",84&gt;=Projects!$C$23,84&lt;Projects!$C$23+Projects!$D$23),Projects!$B$23*INDEX(Curves!$B$4:$AR$4,1,84-Projects!$C$23+1),0)+IF(AND(Projects!$G$24="Yes",84&gt;=Projects!$C$24,84&lt;Projects!$C$24+Projects!$D$24),Projects!$B$24*INDEX(Curves!$B$4:$AR$4,1,84-Projects!$C$24+1),0)+IF(AND(Projects!$G$25="Yes",84&gt;=Projects!$C$25,84&lt;Projects!$C$25+Projects!$D$25),Projects!$B$25*INDEX(Curves!$B$4:$AR$4,1,84-Projects!$C$25+1),0)+IF(AND(Projects!$G$26="Yes",84&gt;=Projects!$C$26,84&lt;Projects!$C$26+Projects!$D$26),Projects!$B$26*INDEX(Curves!$B$4:$AR$4,1,84-Projects!$C$26+1),0)+IF(AND(Projects!$G$27="Yes",84&gt;=Projects!$C$27,84&lt;Projects!$C$27+Projects!$D$27),Projects!$B$27*INDEX(Curves!$B$4:$AR$4,1,84-Projects!$C$27+1),0)+IF(AND(Projects!$G$28="Yes",84&gt;=Projects!$C$28,84&lt;Projects!$C$28+Projects!$D$28),Projects!$B$28*INDEX(Curves!$B$4:$AR$4,1,84-Projects!$C$28+1),0)+IF(AND(Projects!$G$29="Yes",84&gt;=Projects!$C$29,84&lt;Projects!$C$29+Projects!$D$29),Projects!$B$29*INDEX(Curves!$B$4:$AR$4,1,84-Projects!$C$29+1),0)+IF(AND(Projects!$G$30="Yes",84&gt;=Projects!$C$30,84&lt;Projects!$C$30+Projects!$D$30),Projects!$B$30*INDEX(Curves!$B$4:$AR$4,1,84-Projects!$C$30+1),0)+IF(AND(Projects!$G$31="Yes",84&gt;=Projects!$C$31,84&lt;Projects!$C$31+Projects!$D$31),Projects!$B$31*INDEX(Curves!$B$4:$AR$4,1,84-Projects!$C$31+1),0)+IF(AND(Projects!$G$32="Yes",84&gt;=Projects!$C$32,84&lt;Projects!$C$32+Projects!$D$32),Projects!$B$32*INDEX(Curves!$B$4:$AR$4,1,84-Projects!$C$32+1),0)+IF(AND(Projects!$G$33="Yes",84&gt;=Projects!$C$33,84&lt;Projects!$C$33+Projects!$D$33),Projects!$B$33*INDEX(Curves!$B$4:$AR$4,1,84-Projects!$C$33+1),0)+IF(AND(Projects!$G$34="Yes",84&gt;=Projects!$C$34,84&lt;Projects!$C$34+Projects!$D$34),Projects!$B$34*INDEX(Curves!$B$4:$AR$4,1,84-Projects!$C$34+1),0)+IF(AND(Projects!$G$35="Yes",84&gt;=Projects!$C$35,84&lt;Projects!$C$35+Projects!$D$35),Projects!$B$35*INDEX(Curves!$B$4:$AR$4,1,84-Projects!$C$35+1),0)+IF(AND(Projects!$G$36="Yes",84&gt;=Projects!$C$36,84&lt;Projects!$C$36+Projects!$D$36),Projects!$B$36*INDEX(Curves!$B$4:$AR$4,1,84-Projects!$C$36+1),0)+IF(AND(Projects!$G$37="Yes",84&gt;=Projects!$C$37,84&lt;Projects!$C$37+Projects!$D$37),Projects!$B$37*INDEX(Curves!$B$4:$AR$4,1,84-Projects!$C$37+1),0)+IF(AND(Projects!$G$38="Yes",84&gt;=Projects!$C$38,84&lt;Projects!$C$38+Projects!$D$38),Projects!$B$38*INDEX(Curves!$B$4:$AR$4,1,84-Projects!$C$38+1),0)+IF(AND(Projects!$G$39="Yes",84&gt;=Projects!$C$39,84&lt;Projects!$C$39+Projects!$D$39),Projects!$B$39*INDEX(Curves!$B$4:$AR$4,1,84-Projects!$C$39+1),0)+IF(AND(Projects!$G$40="Yes",84&gt;=Projects!$C$40,84&lt;Projects!$C$40+Projects!$D$40),Projects!$B$40*INDEX(Curves!$B$4:$AR$4,1,84-Projects!$C$40+1),0)+IF(AND(Projects!$G$41="Yes",84&gt;=Projects!$C$41,84&lt;Projects!$C$41+Projects!$D$41),Projects!$B$41*INDEX(Curves!$B$4:$AR$4,1,84-Projects!$C$41+1),0)+IF(AND(Projects!$G$42="Yes",84&gt;=Projects!$C$42,84&lt;Projects!$C$42+Projects!$D$42),Projects!$B$42*INDEX(Curves!$B$4:$AR$4,1,84-Projects!$C$42+1),0)+IF(AND(Projects!$G$43="Yes",84&gt;=Projects!$C$43,84&lt;Projects!$C$43+Projects!$D$43),Projects!$B$43*INDEX(Curves!$B$4:$AR$4,1,84-Projects!$C$43+1),0)+IF(AND(Projects!$G$44="Yes",84&gt;=Projects!$C$44,84&lt;Projects!$C$44+Projects!$D$44),Projects!$B$44*INDEX(Curves!$B$4:$AR$4,1,84-Projects!$C$44+1),0)+IF(AND(Projects!$G$45="Yes",84&gt;=Projects!$C$45,84&lt;Projects!$C$45+Projects!$D$45),Projects!$B$45*INDEX(Curves!$B$4:$AR$4,1,84-Projects!$C$45+1),0)+IF(AND(Projects!$G$46="Yes",84&gt;=Projects!$C$46,84&lt;Projects!$C$46+Projects!$D$46),Projects!$B$46*INDEX(Curves!$B$4:$AR$4,1,84-Projects!$C$46+1),0)</f>
        <v>0</v>
      </c>
      <c r="CL96" s="83" t="n">
        <f aca="false">IF(AND(Projects!$G$17="Yes",85&gt;=Projects!$C$17,85&lt;Projects!$C$17+Projects!$D$17),Projects!$B$17*INDEX(Curves!$B$4:$AR$4,1,85-Projects!$C$17+1),0)+IF(AND(Projects!$G$18="Yes",85&gt;=Projects!$C$18,85&lt;Projects!$C$18+Projects!$D$18),Projects!$B$18*INDEX(Curves!$B$4:$AR$4,1,85-Projects!$C$18+1),0)+IF(AND(Projects!$G$19="Yes",85&gt;=Projects!$C$19,85&lt;Projects!$C$19+Projects!$D$19),Projects!$B$19*INDEX(Curves!$B$4:$AR$4,1,85-Projects!$C$19+1),0)+IF(AND(Projects!$G$20="Yes",85&gt;=Projects!$C$20,85&lt;Projects!$C$20+Projects!$D$20),Projects!$B$20*INDEX(Curves!$B$4:$AR$4,1,85-Projects!$C$20+1),0)+IF(AND(Projects!$G$21="Yes",85&gt;=Projects!$C$21,85&lt;Projects!$C$21+Projects!$D$21),Projects!$B$21*INDEX(Curves!$B$4:$AR$4,1,85-Projects!$C$21+1),0)+IF(AND(Projects!$G$22="Yes",85&gt;=Projects!$C$22,85&lt;Projects!$C$22+Projects!$D$22),Projects!$B$22*INDEX(Curves!$B$4:$AR$4,1,85-Projects!$C$22+1),0)+IF(AND(Projects!$G$23="Yes",85&gt;=Projects!$C$23,85&lt;Projects!$C$23+Projects!$D$23),Projects!$B$23*INDEX(Curves!$B$4:$AR$4,1,85-Projects!$C$23+1),0)+IF(AND(Projects!$G$24="Yes",85&gt;=Projects!$C$24,85&lt;Projects!$C$24+Projects!$D$24),Projects!$B$24*INDEX(Curves!$B$4:$AR$4,1,85-Projects!$C$24+1),0)+IF(AND(Projects!$G$25="Yes",85&gt;=Projects!$C$25,85&lt;Projects!$C$25+Projects!$D$25),Projects!$B$25*INDEX(Curves!$B$4:$AR$4,1,85-Projects!$C$25+1),0)+IF(AND(Projects!$G$26="Yes",85&gt;=Projects!$C$26,85&lt;Projects!$C$26+Projects!$D$26),Projects!$B$26*INDEX(Curves!$B$4:$AR$4,1,85-Projects!$C$26+1),0)+IF(AND(Projects!$G$27="Yes",85&gt;=Projects!$C$27,85&lt;Projects!$C$27+Projects!$D$27),Projects!$B$27*INDEX(Curves!$B$4:$AR$4,1,85-Projects!$C$27+1),0)+IF(AND(Projects!$G$28="Yes",85&gt;=Projects!$C$28,85&lt;Projects!$C$28+Projects!$D$28),Projects!$B$28*INDEX(Curves!$B$4:$AR$4,1,85-Projects!$C$28+1),0)+IF(AND(Projects!$G$29="Yes",85&gt;=Projects!$C$29,85&lt;Projects!$C$29+Projects!$D$29),Projects!$B$29*INDEX(Curves!$B$4:$AR$4,1,85-Projects!$C$29+1),0)+IF(AND(Projects!$G$30="Yes",85&gt;=Projects!$C$30,85&lt;Projects!$C$30+Projects!$D$30),Projects!$B$30*INDEX(Curves!$B$4:$AR$4,1,85-Projects!$C$30+1),0)+IF(AND(Projects!$G$31="Yes",85&gt;=Projects!$C$31,85&lt;Projects!$C$31+Projects!$D$31),Projects!$B$31*INDEX(Curves!$B$4:$AR$4,1,85-Projects!$C$31+1),0)+IF(AND(Projects!$G$32="Yes",85&gt;=Projects!$C$32,85&lt;Projects!$C$32+Projects!$D$32),Projects!$B$32*INDEX(Curves!$B$4:$AR$4,1,85-Projects!$C$32+1),0)+IF(AND(Projects!$G$33="Yes",85&gt;=Projects!$C$33,85&lt;Projects!$C$33+Projects!$D$33),Projects!$B$33*INDEX(Curves!$B$4:$AR$4,1,85-Projects!$C$33+1),0)+IF(AND(Projects!$G$34="Yes",85&gt;=Projects!$C$34,85&lt;Projects!$C$34+Projects!$D$34),Projects!$B$34*INDEX(Curves!$B$4:$AR$4,1,85-Projects!$C$34+1),0)+IF(AND(Projects!$G$35="Yes",85&gt;=Projects!$C$35,85&lt;Projects!$C$35+Projects!$D$35),Projects!$B$35*INDEX(Curves!$B$4:$AR$4,1,85-Projects!$C$35+1),0)+IF(AND(Projects!$G$36="Yes",85&gt;=Projects!$C$36,85&lt;Projects!$C$36+Projects!$D$36),Projects!$B$36*INDEX(Curves!$B$4:$AR$4,1,85-Projects!$C$36+1),0)+IF(AND(Projects!$G$37="Yes",85&gt;=Projects!$C$37,85&lt;Projects!$C$37+Projects!$D$37),Projects!$B$37*INDEX(Curves!$B$4:$AR$4,1,85-Projects!$C$37+1),0)+IF(AND(Projects!$G$38="Yes",85&gt;=Projects!$C$38,85&lt;Projects!$C$38+Projects!$D$38),Projects!$B$38*INDEX(Curves!$B$4:$AR$4,1,85-Projects!$C$38+1),0)+IF(AND(Projects!$G$39="Yes",85&gt;=Projects!$C$39,85&lt;Projects!$C$39+Projects!$D$39),Projects!$B$39*INDEX(Curves!$B$4:$AR$4,1,85-Projects!$C$39+1),0)+IF(AND(Projects!$G$40="Yes",85&gt;=Projects!$C$40,85&lt;Projects!$C$40+Projects!$D$40),Projects!$B$40*INDEX(Curves!$B$4:$AR$4,1,85-Projects!$C$40+1),0)+IF(AND(Projects!$G$41="Yes",85&gt;=Projects!$C$41,85&lt;Projects!$C$41+Projects!$D$41),Projects!$B$41*INDEX(Curves!$B$4:$AR$4,1,85-Projects!$C$41+1),0)+IF(AND(Projects!$G$42="Yes",85&gt;=Projects!$C$42,85&lt;Projects!$C$42+Projects!$D$42),Projects!$B$42*INDEX(Curves!$B$4:$AR$4,1,85-Projects!$C$42+1),0)+IF(AND(Projects!$G$43="Yes",85&gt;=Projects!$C$43,85&lt;Projects!$C$43+Projects!$D$43),Projects!$B$43*INDEX(Curves!$B$4:$AR$4,1,85-Projects!$C$43+1),0)+IF(AND(Projects!$G$44="Yes",85&gt;=Projects!$C$44,85&lt;Projects!$C$44+Projects!$D$44),Projects!$B$44*INDEX(Curves!$B$4:$AR$4,1,85-Projects!$C$44+1),0)+IF(AND(Projects!$G$45="Yes",85&gt;=Projects!$C$45,85&lt;Projects!$C$45+Projects!$D$45),Projects!$B$45*INDEX(Curves!$B$4:$AR$4,1,85-Projects!$C$45+1),0)+IF(AND(Projects!$G$46="Yes",85&gt;=Projects!$C$46,85&lt;Projects!$C$46+Projects!$D$46),Projects!$B$46*INDEX(Curves!$B$4:$AR$4,1,85-Projects!$C$46+1),0)</f>
        <v>0</v>
      </c>
      <c r="CM96" s="83" t="n">
        <f aca="false">IF(AND(Projects!$G$17="Yes",86&gt;=Projects!$C$17,86&lt;Projects!$C$17+Projects!$D$17),Projects!$B$17*INDEX(Curves!$B$4:$AR$4,1,86-Projects!$C$17+1),0)+IF(AND(Projects!$G$18="Yes",86&gt;=Projects!$C$18,86&lt;Projects!$C$18+Projects!$D$18),Projects!$B$18*INDEX(Curves!$B$4:$AR$4,1,86-Projects!$C$18+1),0)+IF(AND(Projects!$G$19="Yes",86&gt;=Projects!$C$19,86&lt;Projects!$C$19+Projects!$D$19),Projects!$B$19*INDEX(Curves!$B$4:$AR$4,1,86-Projects!$C$19+1),0)+IF(AND(Projects!$G$20="Yes",86&gt;=Projects!$C$20,86&lt;Projects!$C$20+Projects!$D$20),Projects!$B$20*INDEX(Curves!$B$4:$AR$4,1,86-Projects!$C$20+1),0)+IF(AND(Projects!$G$21="Yes",86&gt;=Projects!$C$21,86&lt;Projects!$C$21+Projects!$D$21),Projects!$B$21*INDEX(Curves!$B$4:$AR$4,1,86-Projects!$C$21+1),0)+IF(AND(Projects!$G$22="Yes",86&gt;=Projects!$C$22,86&lt;Projects!$C$22+Projects!$D$22),Projects!$B$22*INDEX(Curves!$B$4:$AR$4,1,86-Projects!$C$22+1),0)+IF(AND(Projects!$G$23="Yes",86&gt;=Projects!$C$23,86&lt;Projects!$C$23+Projects!$D$23),Projects!$B$23*INDEX(Curves!$B$4:$AR$4,1,86-Projects!$C$23+1),0)+IF(AND(Projects!$G$24="Yes",86&gt;=Projects!$C$24,86&lt;Projects!$C$24+Projects!$D$24),Projects!$B$24*INDEX(Curves!$B$4:$AR$4,1,86-Projects!$C$24+1),0)+IF(AND(Projects!$G$25="Yes",86&gt;=Projects!$C$25,86&lt;Projects!$C$25+Projects!$D$25),Projects!$B$25*INDEX(Curves!$B$4:$AR$4,1,86-Projects!$C$25+1),0)+IF(AND(Projects!$G$26="Yes",86&gt;=Projects!$C$26,86&lt;Projects!$C$26+Projects!$D$26),Projects!$B$26*INDEX(Curves!$B$4:$AR$4,1,86-Projects!$C$26+1),0)+IF(AND(Projects!$G$27="Yes",86&gt;=Projects!$C$27,86&lt;Projects!$C$27+Projects!$D$27),Projects!$B$27*INDEX(Curves!$B$4:$AR$4,1,86-Projects!$C$27+1),0)+IF(AND(Projects!$G$28="Yes",86&gt;=Projects!$C$28,86&lt;Projects!$C$28+Projects!$D$28),Projects!$B$28*INDEX(Curves!$B$4:$AR$4,1,86-Projects!$C$28+1),0)+IF(AND(Projects!$G$29="Yes",86&gt;=Projects!$C$29,86&lt;Projects!$C$29+Projects!$D$29),Projects!$B$29*INDEX(Curves!$B$4:$AR$4,1,86-Projects!$C$29+1),0)+IF(AND(Projects!$G$30="Yes",86&gt;=Projects!$C$30,86&lt;Projects!$C$30+Projects!$D$30),Projects!$B$30*INDEX(Curves!$B$4:$AR$4,1,86-Projects!$C$30+1),0)+IF(AND(Projects!$G$31="Yes",86&gt;=Projects!$C$31,86&lt;Projects!$C$31+Projects!$D$31),Projects!$B$31*INDEX(Curves!$B$4:$AR$4,1,86-Projects!$C$31+1),0)+IF(AND(Projects!$G$32="Yes",86&gt;=Projects!$C$32,86&lt;Projects!$C$32+Projects!$D$32),Projects!$B$32*INDEX(Curves!$B$4:$AR$4,1,86-Projects!$C$32+1),0)+IF(AND(Projects!$G$33="Yes",86&gt;=Projects!$C$33,86&lt;Projects!$C$33+Projects!$D$33),Projects!$B$33*INDEX(Curves!$B$4:$AR$4,1,86-Projects!$C$33+1),0)+IF(AND(Projects!$G$34="Yes",86&gt;=Projects!$C$34,86&lt;Projects!$C$34+Projects!$D$34),Projects!$B$34*INDEX(Curves!$B$4:$AR$4,1,86-Projects!$C$34+1),0)+IF(AND(Projects!$G$35="Yes",86&gt;=Projects!$C$35,86&lt;Projects!$C$35+Projects!$D$35),Projects!$B$35*INDEX(Curves!$B$4:$AR$4,1,86-Projects!$C$35+1),0)+IF(AND(Projects!$G$36="Yes",86&gt;=Projects!$C$36,86&lt;Projects!$C$36+Projects!$D$36),Projects!$B$36*INDEX(Curves!$B$4:$AR$4,1,86-Projects!$C$36+1),0)+IF(AND(Projects!$G$37="Yes",86&gt;=Projects!$C$37,86&lt;Projects!$C$37+Projects!$D$37),Projects!$B$37*INDEX(Curves!$B$4:$AR$4,1,86-Projects!$C$37+1),0)+IF(AND(Projects!$G$38="Yes",86&gt;=Projects!$C$38,86&lt;Projects!$C$38+Projects!$D$38),Projects!$B$38*INDEX(Curves!$B$4:$AR$4,1,86-Projects!$C$38+1),0)+IF(AND(Projects!$G$39="Yes",86&gt;=Projects!$C$39,86&lt;Projects!$C$39+Projects!$D$39),Projects!$B$39*INDEX(Curves!$B$4:$AR$4,1,86-Projects!$C$39+1),0)+IF(AND(Projects!$G$40="Yes",86&gt;=Projects!$C$40,86&lt;Projects!$C$40+Projects!$D$40),Projects!$B$40*INDEX(Curves!$B$4:$AR$4,1,86-Projects!$C$40+1),0)+IF(AND(Projects!$G$41="Yes",86&gt;=Projects!$C$41,86&lt;Projects!$C$41+Projects!$D$41),Projects!$B$41*INDEX(Curves!$B$4:$AR$4,1,86-Projects!$C$41+1),0)+IF(AND(Projects!$G$42="Yes",86&gt;=Projects!$C$42,86&lt;Projects!$C$42+Projects!$D$42),Projects!$B$42*INDEX(Curves!$B$4:$AR$4,1,86-Projects!$C$42+1),0)+IF(AND(Projects!$G$43="Yes",86&gt;=Projects!$C$43,86&lt;Projects!$C$43+Projects!$D$43),Projects!$B$43*INDEX(Curves!$B$4:$AR$4,1,86-Projects!$C$43+1),0)+IF(AND(Projects!$G$44="Yes",86&gt;=Projects!$C$44,86&lt;Projects!$C$44+Projects!$D$44),Projects!$B$44*INDEX(Curves!$B$4:$AR$4,1,86-Projects!$C$44+1),0)+IF(AND(Projects!$G$45="Yes",86&gt;=Projects!$C$45,86&lt;Projects!$C$45+Projects!$D$45),Projects!$B$45*INDEX(Curves!$B$4:$AR$4,1,86-Projects!$C$45+1),0)+IF(AND(Projects!$G$46="Yes",86&gt;=Projects!$C$46,86&lt;Projects!$C$46+Projects!$D$46),Projects!$B$46*INDEX(Curves!$B$4:$AR$4,1,86-Projects!$C$46+1),0)</f>
        <v>0</v>
      </c>
      <c r="CN96" s="83" t="n">
        <f aca="false">IF(AND(Projects!$G$17="Yes",87&gt;=Projects!$C$17,87&lt;Projects!$C$17+Projects!$D$17),Projects!$B$17*INDEX(Curves!$B$4:$AR$4,1,87-Projects!$C$17+1),0)+IF(AND(Projects!$G$18="Yes",87&gt;=Projects!$C$18,87&lt;Projects!$C$18+Projects!$D$18),Projects!$B$18*INDEX(Curves!$B$4:$AR$4,1,87-Projects!$C$18+1),0)+IF(AND(Projects!$G$19="Yes",87&gt;=Projects!$C$19,87&lt;Projects!$C$19+Projects!$D$19),Projects!$B$19*INDEX(Curves!$B$4:$AR$4,1,87-Projects!$C$19+1),0)+IF(AND(Projects!$G$20="Yes",87&gt;=Projects!$C$20,87&lt;Projects!$C$20+Projects!$D$20),Projects!$B$20*INDEX(Curves!$B$4:$AR$4,1,87-Projects!$C$20+1),0)+IF(AND(Projects!$G$21="Yes",87&gt;=Projects!$C$21,87&lt;Projects!$C$21+Projects!$D$21),Projects!$B$21*INDEX(Curves!$B$4:$AR$4,1,87-Projects!$C$21+1),0)+IF(AND(Projects!$G$22="Yes",87&gt;=Projects!$C$22,87&lt;Projects!$C$22+Projects!$D$22),Projects!$B$22*INDEX(Curves!$B$4:$AR$4,1,87-Projects!$C$22+1),0)+IF(AND(Projects!$G$23="Yes",87&gt;=Projects!$C$23,87&lt;Projects!$C$23+Projects!$D$23),Projects!$B$23*INDEX(Curves!$B$4:$AR$4,1,87-Projects!$C$23+1),0)+IF(AND(Projects!$G$24="Yes",87&gt;=Projects!$C$24,87&lt;Projects!$C$24+Projects!$D$24),Projects!$B$24*INDEX(Curves!$B$4:$AR$4,1,87-Projects!$C$24+1),0)+IF(AND(Projects!$G$25="Yes",87&gt;=Projects!$C$25,87&lt;Projects!$C$25+Projects!$D$25),Projects!$B$25*INDEX(Curves!$B$4:$AR$4,1,87-Projects!$C$25+1),0)+IF(AND(Projects!$G$26="Yes",87&gt;=Projects!$C$26,87&lt;Projects!$C$26+Projects!$D$26),Projects!$B$26*INDEX(Curves!$B$4:$AR$4,1,87-Projects!$C$26+1),0)+IF(AND(Projects!$G$27="Yes",87&gt;=Projects!$C$27,87&lt;Projects!$C$27+Projects!$D$27),Projects!$B$27*INDEX(Curves!$B$4:$AR$4,1,87-Projects!$C$27+1),0)+IF(AND(Projects!$G$28="Yes",87&gt;=Projects!$C$28,87&lt;Projects!$C$28+Projects!$D$28),Projects!$B$28*INDEX(Curves!$B$4:$AR$4,1,87-Projects!$C$28+1),0)+IF(AND(Projects!$G$29="Yes",87&gt;=Projects!$C$29,87&lt;Projects!$C$29+Projects!$D$29),Projects!$B$29*INDEX(Curves!$B$4:$AR$4,1,87-Projects!$C$29+1),0)+IF(AND(Projects!$G$30="Yes",87&gt;=Projects!$C$30,87&lt;Projects!$C$30+Projects!$D$30),Projects!$B$30*INDEX(Curves!$B$4:$AR$4,1,87-Projects!$C$30+1),0)+IF(AND(Projects!$G$31="Yes",87&gt;=Projects!$C$31,87&lt;Projects!$C$31+Projects!$D$31),Projects!$B$31*INDEX(Curves!$B$4:$AR$4,1,87-Projects!$C$31+1),0)+IF(AND(Projects!$G$32="Yes",87&gt;=Projects!$C$32,87&lt;Projects!$C$32+Projects!$D$32),Projects!$B$32*INDEX(Curves!$B$4:$AR$4,1,87-Projects!$C$32+1),0)+IF(AND(Projects!$G$33="Yes",87&gt;=Projects!$C$33,87&lt;Projects!$C$33+Projects!$D$33),Projects!$B$33*INDEX(Curves!$B$4:$AR$4,1,87-Projects!$C$33+1),0)+IF(AND(Projects!$G$34="Yes",87&gt;=Projects!$C$34,87&lt;Projects!$C$34+Projects!$D$34),Projects!$B$34*INDEX(Curves!$B$4:$AR$4,1,87-Projects!$C$34+1),0)+IF(AND(Projects!$G$35="Yes",87&gt;=Projects!$C$35,87&lt;Projects!$C$35+Projects!$D$35),Projects!$B$35*INDEX(Curves!$B$4:$AR$4,1,87-Projects!$C$35+1),0)+IF(AND(Projects!$G$36="Yes",87&gt;=Projects!$C$36,87&lt;Projects!$C$36+Projects!$D$36),Projects!$B$36*INDEX(Curves!$B$4:$AR$4,1,87-Projects!$C$36+1),0)+IF(AND(Projects!$G$37="Yes",87&gt;=Projects!$C$37,87&lt;Projects!$C$37+Projects!$D$37),Projects!$B$37*INDEX(Curves!$B$4:$AR$4,1,87-Projects!$C$37+1),0)+IF(AND(Projects!$G$38="Yes",87&gt;=Projects!$C$38,87&lt;Projects!$C$38+Projects!$D$38),Projects!$B$38*INDEX(Curves!$B$4:$AR$4,1,87-Projects!$C$38+1),0)+IF(AND(Projects!$G$39="Yes",87&gt;=Projects!$C$39,87&lt;Projects!$C$39+Projects!$D$39),Projects!$B$39*INDEX(Curves!$B$4:$AR$4,1,87-Projects!$C$39+1),0)+IF(AND(Projects!$G$40="Yes",87&gt;=Projects!$C$40,87&lt;Projects!$C$40+Projects!$D$40),Projects!$B$40*INDEX(Curves!$B$4:$AR$4,1,87-Projects!$C$40+1),0)+IF(AND(Projects!$G$41="Yes",87&gt;=Projects!$C$41,87&lt;Projects!$C$41+Projects!$D$41),Projects!$B$41*INDEX(Curves!$B$4:$AR$4,1,87-Projects!$C$41+1),0)+IF(AND(Projects!$G$42="Yes",87&gt;=Projects!$C$42,87&lt;Projects!$C$42+Projects!$D$42),Projects!$B$42*INDEX(Curves!$B$4:$AR$4,1,87-Projects!$C$42+1),0)+IF(AND(Projects!$G$43="Yes",87&gt;=Projects!$C$43,87&lt;Projects!$C$43+Projects!$D$43),Projects!$B$43*INDEX(Curves!$B$4:$AR$4,1,87-Projects!$C$43+1),0)+IF(AND(Projects!$G$44="Yes",87&gt;=Projects!$C$44,87&lt;Projects!$C$44+Projects!$D$44),Projects!$B$44*INDEX(Curves!$B$4:$AR$4,1,87-Projects!$C$44+1),0)+IF(AND(Projects!$G$45="Yes",87&gt;=Projects!$C$45,87&lt;Projects!$C$45+Projects!$D$45),Projects!$B$45*INDEX(Curves!$B$4:$AR$4,1,87-Projects!$C$45+1),0)+IF(AND(Projects!$G$46="Yes",87&gt;=Projects!$C$46,87&lt;Projects!$C$46+Projects!$D$46),Projects!$B$46*INDEX(Curves!$B$4:$AR$4,1,87-Projects!$C$46+1),0)</f>
        <v>0</v>
      </c>
      <c r="CO96" s="83" t="n">
        <f aca="false">IF(AND(Projects!$G$17="Yes",88&gt;=Projects!$C$17,88&lt;Projects!$C$17+Projects!$D$17),Projects!$B$17*INDEX(Curves!$B$4:$AR$4,1,88-Projects!$C$17+1),0)+IF(AND(Projects!$G$18="Yes",88&gt;=Projects!$C$18,88&lt;Projects!$C$18+Projects!$D$18),Projects!$B$18*INDEX(Curves!$B$4:$AR$4,1,88-Projects!$C$18+1),0)+IF(AND(Projects!$G$19="Yes",88&gt;=Projects!$C$19,88&lt;Projects!$C$19+Projects!$D$19),Projects!$B$19*INDEX(Curves!$B$4:$AR$4,1,88-Projects!$C$19+1),0)+IF(AND(Projects!$G$20="Yes",88&gt;=Projects!$C$20,88&lt;Projects!$C$20+Projects!$D$20),Projects!$B$20*INDEX(Curves!$B$4:$AR$4,1,88-Projects!$C$20+1),0)+IF(AND(Projects!$G$21="Yes",88&gt;=Projects!$C$21,88&lt;Projects!$C$21+Projects!$D$21),Projects!$B$21*INDEX(Curves!$B$4:$AR$4,1,88-Projects!$C$21+1),0)+IF(AND(Projects!$G$22="Yes",88&gt;=Projects!$C$22,88&lt;Projects!$C$22+Projects!$D$22),Projects!$B$22*INDEX(Curves!$B$4:$AR$4,1,88-Projects!$C$22+1),0)+IF(AND(Projects!$G$23="Yes",88&gt;=Projects!$C$23,88&lt;Projects!$C$23+Projects!$D$23),Projects!$B$23*INDEX(Curves!$B$4:$AR$4,1,88-Projects!$C$23+1),0)+IF(AND(Projects!$G$24="Yes",88&gt;=Projects!$C$24,88&lt;Projects!$C$24+Projects!$D$24),Projects!$B$24*INDEX(Curves!$B$4:$AR$4,1,88-Projects!$C$24+1),0)+IF(AND(Projects!$G$25="Yes",88&gt;=Projects!$C$25,88&lt;Projects!$C$25+Projects!$D$25),Projects!$B$25*INDEX(Curves!$B$4:$AR$4,1,88-Projects!$C$25+1),0)+IF(AND(Projects!$G$26="Yes",88&gt;=Projects!$C$26,88&lt;Projects!$C$26+Projects!$D$26),Projects!$B$26*INDEX(Curves!$B$4:$AR$4,1,88-Projects!$C$26+1),0)+IF(AND(Projects!$G$27="Yes",88&gt;=Projects!$C$27,88&lt;Projects!$C$27+Projects!$D$27),Projects!$B$27*INDEX(Curves!$B$4:$AR$4,1,88-Projects!$C$27+1),0)+IF(AND(Projects!$G$28="Yes",88&gt;=Projects!$C$28,88&lt;Projects!$C$28+Projects!$D$28),Projects!$B$28*INDEX(Curves!$B$4:$AR$4,1,88-Projects!$C$28+1),0)+IF(AND(Projects!$G$29="Yes",88&gt;=Projects!$C$29,88&lt;Projects!$C$29+Projects!$D$29),Projects!$B$29*INDEX(Curves!$B$4:$AR$4,1,88-Projects!$C$29+1),0)+IF(AND(Projects!$G$30="Yes",88&gt;=Projects!$C$30,88&lt;Projects!$C$30+Projects!$D$30),Projects!$B$30*INDEX(Curves!$B$4:$AR$4,1,88-Projects!$C$30+1),0)+IF(AND(Projects!$G$31="Yes",88&gt;=Projects!$C$31,88&lt;Projects!$C$31+Projects!$D$31),Projects!$B$31*INDEX(Curves!$B$4:$AR$4,1,88-Projects!$C$31+1),0)+IF(AND(Projects!$G$32="Yes",88&gt;=Projects!$C$32,88&lt;Projects!$C$32+Projects!$D$32),Projects!$B$32*INDEX(Curves!$B$4:$AR$4,1,88-Projects!$C$32+1),0)+IF(AND(Projects!$G$33="Yes",88&gt;=Projects!$C$33,88&lt;Projects!$C$33+Projects!$D$33),Projects!$B$33*INDEX(Curves!$B$4:$AR$4,1,88-Projects!$C$33+1),0)+IF(AND(Projects!$G$34="Yes",88&gt;=Projects!$C$34,88&lt;Projects!$C$34+Projects!$D$34),Projects!$B$34*INDEX(Curves!$B$4:$AR$4,1,88-Projects!$C$34+1),0)+IF(AND(Projects!$G$35="Yes",88&gt;=Projects!$C$35,88&lt;Projects!$C$35+Projects!$D$35),Projects!$B$35*INDEX(Curves!$B$4:$AR$4,1,88-Projects!$C$35+1),0)+IF(AND(Projects!$G$36="Yes",88&gt;=Projects!$C$36,88&lt;Projects!$C$36+Projects!$D$36),Projects!$B$36*INDEX(Curves!$B$4:$AR$4,1,88-Projects!$C$36+1),0)+IF(AND(Projects!$G$37="Yes",88&gt;=Projects!$C$37,88&lt;Projects!$C$37+Projects!$D$37),Projects!$B$37*INDEX(Curves!$B$4:$AR$4,1,88-Projects!$C$37+1),0)+IF(AND(Projects!$G$38="Yes",88&gt;=Projects!$C$38,88&lt;Projects!$C$38+Projects!$D$38),Projects!$B$38*INDEX(Curves!$B$4:$AR$4,1,88-Projects!$C$38+1),0)+IF(AND(Projects!$G$39="Yes",88&gt;=Projects!$C$39,88&lt;Projects!$C$39+Projects!$D$39),Projects!$B$39*INDEX(Curves!$B$4:$AR$4,1,88-Projects!$C$39+1),0)+IF(AND(Projects!$G$40="Yes",88&gt;=Projects!$C$40,88&lt;Projects!$C$40+Projects!$D$40),Projects!$B$40*INDEX(Curves!$B$4:$AR$4,1,88-Projects!$C$40+1),0)+IF(AND(Projects!$G$41="Yes",88&gt;=Projects!$C$41,88&lt;Projects!$C$41+Projects!$D$41),Projects!$B$41*INDEX(Curves!$B$4:$AR$4,1,88-Projects!$C$41+1),0)+IF(AND(Projects!$G$42="Yes",88&gt;=Projects!$C$42,88&lt;Projects!$C$42+Projects!$D$42),Projects!$B$42*INDEX(Curves!$B$4:$AR$4,1,88-Projects!$C$42+1),0)+IF(AND(Projects!$G$43="Yes",88&gt;=Projects!$C$43,88&lt;Projects!$C$43+Projects!$D$43),Projects!$B$43*INDEX(Curves!$B$4:$AR$4,1,88-Projects!$C$43+1),0)+IF(AND(Projects!$G$44="Yes",88&gt;=Projects!$C$44,88&lt;Projects!$C$44+Projects!$D$44),Projects!$B$44*INDEX(Curves!$B$4:$AR$4,1,88-Projects!$C$44+1),0)+IF(AND(Projects!$G$45="Yes",88&gt;=Projects!$C$45,88&lt;Projects!$C$45+Projects!$D$45),Projects!$B$45*INDEX(Curves!$B$4:$AR$4,1,88-Projects!$C$45+1),0)+IF(AND(Projects!$G$46="Yes",88&gt;=Projects!$C$46,88&lt;Projects!$C$46+Projects!$D$46),Projects!$B$46*INDEX(Curves!$B$4:$AR$4,1,88-Projects!$C$46+1),0)</f>
        <v>0</v>
      </c>
      <c r="CP96" s="83" t="n">
        <f aca="false">IF(AND(Projects!$G$17="Yes",89&gt;=Projects!$C$17,89&lt;Projects!$C$17+Projects!$D$17),Projects!$B$17*INDEX(Curves!$B$4:$AR$4,1,89-Projects!$C$17+1),0)+IF(AND(Projects!$G$18="Yes",89&gt;=Projects!$C$18,89&lt;Projects!$C$18+Projects!$D$18),Projects!$B$18*INDEX(Curves!$B$4:$AR$4,1,89-Projects!$C$18+1),0)+IF(AND(Projects!$G$19="Yes",89&gt;=Projects!$C$19,89&lt;Projects!$C$19+Projects!$D$19),Projects!$B$19*INDEX(Curves!$B$4:$AR$4,1,89-Projects!$C$19+1),0)+IF(AND(Projects!$G$20="Yes",89&gt;=Projects!$C$20,89&lt;Projects!$C$20+Projects!$D$20),Projects!$B$20*INDEX(Curves!$B$4:$AR$4,1,89-Projects!$C$20+1),0)+IF(AND(Projects!$G$21="Yes",89&gt;=Projects!$C$21,89&lt;Projects!$C$21+Projects!$D$21),Projects!$B$21*INDEX(Curves!$B$4:$AR$4,1,89-Projects!$C$21+1),0)+IF(AND(Projects!$G$22="Yes",89&gt;=Projects!$C$22,89&lt;Projects!$C$22+Projects!$D$22),Projects!$B$22*INDEX(Curves!$B$4:$AR$4,1,89-Projects!$C$22+1),0)+IF(AND(Projects!$G$23="Yes",89&gt;=Projects!$C$23,89&lt;Projects!$C$23+Projects!$D$23),Projects!$B$23*INDEX(Curves!$B$4:$AR$4,1,89-Projects!$C$23+1),0)+IF(AND(Projects!$G$24="Yes",89&gt;=Projects!$C$24,89&lt;Projects!$C$24+Projects!$D$24),Projects!$B$24*INDEX(Curves!$B$4:$AR$4,1,89-Projects!$C$24+1),0)+IF(AND(Projects!$G$25="Yes",89&gt;=Projects!$C$25,89&lt;Projects!$C$25+Projects!$D$25),Projects!$B$25*INDEX(Curves!$B$4:$AR$4,1,89-Projects!$C$25+1),0)+IF(AND(Projects!$G$26="Yes",89&gt;=Projects!$C$26,89&lt;Projects!$C$26+Projects!$D$26),Projects!$B$26*INDEX(Curves!$B$4:$AR$4,1,89-Projects!$C$26+1),0)+IF(AND(Projects!$G$27="Yes",89&gt;=Projects!$C$27,89&lt;Projects!$C$27+Projects!$D$27),Projects!$B$27*INDEX(Curves!$B$4:$AR$4,1,89-Projects!$C$27+1),0)+IF(AND(Projects!$G$28="Yes",89&gt;=Projects!$C$28,89&lt;Projects!$C$28+Projects!$D$28),Projects!$B$28*INDEX(Curves!$B$4:$AR$4,1,89-Projects!$C$28+1),0)+IF(AND(Projects!$G$29="Yes",89&gt;=Projects!$C$29,89&lt;Projects!$C$29+Projects!$D$29),Projects!$B$29*INDEX(Curves!$B$4:$AR$4,1,89-Projects!$C$29+1),0)+IF(AND(Projects!$G$30="Yes",89&gt;=Projects!$C$30,89&lt;Projects!$C$30+Projects!$D$30),Projects!$B$30*INDEX(Curves!$B$4:$AR$4,1,89-Projects!$C$30+1),0)+IF(AND(Projects!$G$31="Yes",89&gt;=Projects!$C$31,89&lt;Projects!$C$31+Projects!$D$31),Projects!$B$31*INDEX(Curves!$B$4:$AR$4,1,89-Projects!$C$31+1),0)+IF(AND(Projects!$G$32="Yes",89&gt;=Projects!$C$32,89&lt;Projects!$C$32+Projects!$D$32),Projects!$B$32*INDEX(Curves!$B$4:$AR$4,1,89-Projects!$C$32+1),0)+IF(AND(Projects!$G$33="Yes",89&gt;=Projects!$C$33,89&lt;Projects!$C$33+Projects!$D$33),Projects!$B$33*INDEX(Curves!$B$4:$AR$4,1,89-Projects!$C$33+1),0)+IF(AND(Projects!$G$34="Yes",89&gt;=Projects!$C$34,89&lt;Projects!$C$34+Projects!$D$34),Projects!$B$34*INDEX(Curves!$B$4:$AR$4,1,89-Projects!$C$34+1),0)+IF(AND(Projects!$G$35="Yes",89&gt;=Projects!$C$35,89&lt;Projects!$C$35+Projects!$D$35),Projects!$B$35*INDEX(Curves!$B$4:$AR$4,1,89-Projects!$C$35+1),0)+IF(AND(Projects!$G$36="Yes",89&gt;=Projects!$C$36,89&lt;Projects!$C$36+Projects!$D$36),Projects!$B$36*INDEX(Curves!$B$4:$AR$4,1,89-Projects!$C$36+1),0)+IF(AND(Projects!$G$37="Yes",89&gt;=Projects!$C$37,89&lt;Projects!$C$37+Projects!$D$37),Projects!$B$37*INDEX(Curves!$B$4:$AR$4,1,89-Projects!$C$37+1),0)+IF(AND(Projects!$G$38="Yes",89&gt;=Projects!$C$38,89&lt;Projects!$C$38+Projects!$D$38),Projects!$B$38*INDEX(Curves!$B$4:$AR$4,1,89-Projects!$C$38+1),0)+IF(AND(Projects!$G$39="Yes",89&gt;=Projects!$C$39,89&lt;Projects!$C$39+Projects!$D$39),Projects!$B$39*INDEX(Curves!$B$4:$AR$4,1,89-Projects!$C$39+1),0)+IF(AND(Projects!$G$40="Yes",89&gt;=Projects!$C$40,89&lt;Projects!$C$40+Projects!$D$40),Projects!$B$40*INDEX(Curves!$B$4:$AR$4,1,89-Projects!$C$40+1),0)+IF(AND(Projects!$G$41="Yes",89&gt;=Projects!$C$41,89&lt;Projects!$C$41+Projects!$D$41),Projects!$B$41*INDEX(Curves!$B$4:$AR$4,1,89-Projects!$C$41+1),0)+IF(AND(Projects!$G$42="Yes",89&gt;=Projects!$C$42,89&lt;Projects!$C$42+Projects!$D$42),Projects!$B$42*INDEX(Curves!$B$4:$AR$4,1,89-Projects!$C$42+1),0)+IF(AND(Projects!$G$43="Yes",89&gt;=Projects!$C$43,89&lt;Projects!$C$43+Projects!$D$43),Projects!$B$43*INDEX(Curves!$B$4:$AR$4,1,89-Projects!$C$43+1),0)+IF(AND(Projects!$G$44="Yes",89&gt;=Projects!$C$44,89&lt;Projects!$C$44+Projects!$D$44),Projects!$B$44*INDEX(Curves!$B$4:$AR$4,1,89-Projects!$C$44+1),0)+IF(AND(Projects!$G$45="Yes",89&gt;=Projects!$C$45,89&lt;Projects!$C$45+Projects!$D$45),Projects!$B$45*INDEX(Curves!$B$4:$AR$4,1,89-Projects!$C$45+1),0)+IF(AND(Projects!$G$46="Yes",89&gt;=Projects!$C$46,89&lt;Projects!$C$46+Projects!$D$46),Projects!$B$46*INDEX(Curves!$B$4:$AR$4,1,89-Projects!$C$46+1),0)</f>
        <v>0</v>
      </c>
      <c r="CQ96" s="83" t="n">
        <f aca="false">IF(AND(Projects!$G$17="Yes",90&gt;=Projects!$C$17,90&lt;Projects!$C$17+Projects!$D$17),Projects!$B$17*INDEX(Curves!$B$4:$AR$4,1,90-Projects!$C$17+1),0)+IF(AND(Projects!$G$18="Yes",90&gt;=Projects!$C$18,90&lt;Projects!$C$18+Projects!$D$18),Projects!$B$18*INDEX(Curves!$B$4:$AR$4,1,90-Projects!$C$18+1),0)+IF(AND(Projects!$G$19="Yes",90&gt;=Projects!$C$19,90&lt;Projects!$C$19+Projects!$D$19),Projects!$B$19*INDEX(Curves!$B$4:$AR$4,1,90-Projects!$C$19+1),0)+IF(AND(Projects!$G$20="Yes",90&gt;=Projects!$C$20,90&lt;Projects!$C$20+Projects!$D$20),Projects!$B$20*INDEX(Curves!$B$4:$AR$4,1,90-Projects!$C$20+1),0)+IF(AND(Projects!$G$21="Yes",90&gt;=Projects!$C$21,90&lt;Projects!$C$21+Projects!$D$21),Projects!$B$21*INDEX(Curves!$B$4:$AR$4,1,90-Projects!$C$21+1),0)+IF(AND(Projects!$G$22="Yes",90&gt;=Projects!$C$22,90&lt;Projects!$C$22+Projects!$D$22),Projects!$B$22*INDEX(Curves!$B$4:$AR$4,1,90-Projects!$C$22+1),0)+IF(AND(Projects!$G$23="Yes",90&gt;=Projects!$C$23,90&lt;Projects!$C$23+Projects!$D$23),Projects!$B$23*INDEX(Curves!$B$4:$AR$4,1,90-Projects!$C$23+1),0)+IF(AND(Projects!$G$24="Yes",90&gt;=Projects!$C$24,90&lt;Projects!$C$24+Projects!$D$24),Projects!$B$24*INDEX(Curves!$B$4:$AR$4,1,90-Projects!$C$24+1),0)+IF(AND(Projects!$G$25="Yes",90&gt;=Projects!$C$25,90&lt;Projects!$C$25+Projects!$D$25),Projects!$B$25*INDEX(Curves!$B$4:$AR$4,1,90-Projects!$C$25+1),0)+IF(AND(Projects!$G$26="Yes",90&gt;=Projects!$C$26,90&lt;Projects!$C$26+Projects!$D$26),Projects!$B$26*INDEX(Curves!$B$4:$AR$4,1,90-Projects!$C$26+1),0)+IF(AND(Projects!$G$27="Yes",90&gt;=Projects!$C$27,90&lt;Projects!$C$27+Projects!$D$27),Projects!$B$27*INDEX(Curves!$B$4:$AR$4,1,90-Projects!$C$27+1),0)+IF(AND(Projects!$G$28="Yes",90&gt;=Projects!$C$28,90&lt;Projects!$C$28+Projects!$D$28),Projects!$B$28*INDEX(Curves!$B$4:$AR$4,1,90-Projects!$C$28+1),0)+IF(AND(Projects!$G$29="Yes",90&gt;=Projects!$C$29,90&lt;Projects!$C$29+Projects!$D$29),Projects!$B$29*INDEX(Curves!$B$4:$AR$4,1,90-Projects!$C$29+1),0)+IF(AND(Projects!$G$30="Yes",90&gt;=Projects!$C$30,90&lt;Projects!$C$30+Projects!$D$30),Projects!$B$30*INDEX(Curves!$B$4:$AR$4,1,90-Projects!$C$30+1),0)+IF(AND(Projects!$G$31="Yes",90&gt;=Projects!$C$31,90&lt;Projects!$C$31+Projects!$D$31),Projects!$B$31*INDEX(Curves!$B$4:$AR$4,1,90-Projects!$C$31+1),0)+IF(AND(Projects!$G$32="Yes",90&gt;=Projects!$C$32,90&lt;Projects!$C$32+Projects!$D$32),Projects!$B$32*INDEX(Curves!$B$4:$AR$4,1,90-Projects!$C$32+1),0)+IF(AND(Projects!$G$33="Yes",90&gt;=Projects!$C$33,90&lt;Projects!$C$33+Projects!$D$33),Projects!$B$33*INDEX(Curves!$B$4:$AR$4,1,90-Projects!$C$33+1),0)+IF(AND(Projects!$G$34="Yes",90&gt;=Projects!$C$34,90&lt;Projects!$C$34+Projects!$D$34),Projects!$B$34*INDEX(Curves!$B$4:$AR$4,1,90-Projects!$C$34+1),0)+IF(AND(Projects!$G$35="Yes",90&gt;=Projects!$C$35,90&lt;Projects!$C$35+Projects!$D$35),Projects!$B$35*INDEX(Curves!$B$4:$AR$4,1,90-Projects!$C$35+1),0)+IF(AND(Projects!$G$36="Yes",90&gt;=Projects!$C$36,90&lt;Projects!$C$36+Projects!$D$36),Projects!$B$36*INDEX(Curves!$B$4:$AR$4,1,90-Projects!$C$36+1),0)+IF(AND(Projects!$G$37="Yes",90&gt;=Projects!$C$37,90&lt;Projects!$C$37+Projects!$D$37),Projects!$B$37*INDEX(Curves!$B$4:$AR$4,1,90-Projects!$C$37+1),0)+IF(AND(Projects!$G$38="Yes",90&gt;=Projects!$C$38,90&lt;Projects!$C$38+Projects!$D$38),Projects!$B$38*INDEX(Curves!$B$4:$AR$4,1,90-Projects!$C$38+1),0)+IF(AND(Projects!$G$39="Yes",90&gt;=Projects!$C$39,90&lt;Projects!$C$39+Projects!$D$39),Projects!$B$39*INDEX(Curves!$B$4:$AR$4,1,90-Projects!$C$39+1),0)+IF(AND(Projects!$G$40="Yes",90&gt;=Projects!$C$40,90&lt;Projects!$C$40+Projects!$D$40),Projects!$B$40*INDEX(Curves!$B$4:$AR$4,1,90-Projects!$C$40+1),0)+IF(AND(Projects!$G$41="Yes",90&gt;=Projects!$C$41,90&lt;Projects!$C$41+Projects!$D$41),Projects!$B$41*INDEX(Curves!$B$4:$AR$4,1,90-Projects!$C$41+1),0)+IF(AND(Projects!$G$42="Yes",90&gt;=Projects!$C$42,90&lt;Projects!$C$42+Projects!$D$42),Projects!$B$42*INDEX(Curves!$B$4:$AR$4,1,90-Projects!$C$42+1),0)+IF(AND(Projects!$G$43="Yes",90&gt;=Projects!$C$43,90&lt;Projects!$C$43+Projects!$D$43),Projects!$B$43*INDEX(Curves!$B$4:$AR$4,1,90-Projects!$C$43+1),0)+IF(AND(Projects!$G$44="Yes",90&gt;=Projects!$C$44,90&lt;Projects!$C$44+Projects!$D$44),Projects!$B$44*INDEX(Curves!$B$4:$AR$4,1,90-Projects!$C$44+1),0)+IF(AND(Projects!$G$45="Yes",90&gt;=Projects!$C$45,90&lt;Projects!$C$45+Projects!$D$45),Projects!$B$45*INDEX(Curves!$B$4:$AR$4,1,90-Projects!$C$45+1),0)+IF(AND(Projects!$G$46="Yes",90&gt;=Projects!$C$46,90&lt;Projects!$C$46+Projects!$D$46),Projects!$B$46*INDEX(Curves!$B$4:$AR$4,1,90-Projects!$C$46+1),0)</f>
        <v>0</v>
      </c>
      <c r="CR96" s="83" t="n">
        <f aca="false">IF(AND(Projects!$G$17="Yes",91&gt;=Projects!$C$17,91&lt;Projects!$C$17+Projects!$D$17),Projects!$B$17*INDEX(Curves!$B$4:$AR$4,1,91-Projects!$C$17+1),0)+IF(AND(Projects!$G$18="Yes",91&gt;=Projects!$C$18,91&lt;Projects!$C$18+Projects!$D$18),Projects!$B$18*INDEX(Curves!$B$4:$AR$4,1,91-Projects!$C$18+1),0)+IF(AND(Projects!$G$19="Yes",91&gt;=Projects!$C$19,91&lt;Projects!$C$19+Projects!$D$19),Projects!$B$19*INDEX(Curves!$B$4:$AR$4,1,91-Projects!$C$19+1),0)+IF(AND(Projects!$G$20="Yes",91&gt;=Projects!$C$20,91&lt;Projects!$C$20+Projects!$D$20),Projects!$B$20*INDEX(Curves!$B$4:$AR$4,1,91-Projects!$C$20+1),0)+IF(AND(Projects!$G$21="Yes",91&gt;=Projects!$C$21,91&lt;Projects!$C$21+Projects!$D$21),Projects!$B$21*INDEX(Curves!$B$4:$AR$4,1,91-Projects!$C$21+1),0)+IF(AND(Projects!$G$22="Yes",91&gt;=Projects!$C$22,91&lt;Projects!$C$22+Projects!$D$22),Projects!$B$22*INDEX(Curves!$B$4:$AR$4,1,91-Projects!$C$22+1),0)+IF(AND(Projects!$G$23="Yes",91&gt;=Projects!$C$23,91&lt;Projects!$C$23+Projects!$D$23),Projects!$B$23*INDEX(Curves!$B$4:$AR$4,1,91-Projects!$C$23+1),0)+IF(AND(Projects!$G$24="Yes",91&gt;=Projects!$C$24,91&lt;Projects!$C$24+Projects!$D$24),Projects!$B$24*INDEX(Curves!$B$4:$AR$4,1,91-Projects!$C$24+1),0)+IF(AND(Projects!$G$25="Yes",91&gt;=Projects!$C$25,91&lt;Projects!$C$25+Projects!$D$25),Projects!$B$25*INDEX(Curves!$B$4:$AR$4,1,91-Projects!$C$25+1),0)+IF(AND(Projects!$G$26="Yes",91&gt;=Projects!$C$26,91&lt;Projects!$C$26+Projects!$D$26),Projects!$B$26*INDEX(Curves!$B$4:$AR$4,1,91-Projects!$C$26+1),0)+IF(AND(Projects!$G$27="Yes",91&gt;=Projects!$C$27,91&lt;Projects!$C$27+Projects!$D$27),Projects!$B$27*INDEX(Curves!$B$4:$AR$4,1,91-Projects!$C$27+1),0)+IF(AND(Projects!$G$28="Yes",91&gt;=Projects!$C$28,91&lt;Projects!$C$28+Projects!$D$28),Projects!$B$28*INDEX(Curves!$B$4:$AR$4,1,91-Projects!$C$28+1),0)+IF(AND(Projects!$G$29="Yes",91&gt;=Projects!$C$29,91&lt;Projects!$C$29+Projects!$D$29),Projects!$B$29*INDEX(Curves!$B$4:$AR$4,1,91-Projects!$C$29+1),0)+IF(AND(Projects!$G$30="Yes",91&gt;=Projects!$C$30,91&lt;Projects!$C$30+Projects!$D$30),Projects!$B$30*INDEX(Curves!$B$4:$AR$4,1,91-Projects!$C$30+1),0)+IF(AND(Projects!$G$31="Yes",91&gt;=Projects!$C$31,91&lt;Projects!$C$31+Projects!$D$31),Projects!$B$31*INDEX(Curves!$B$4:$AR$4,1,91-Projects!$C$31+1),0)+IF(AND(Projects!$G$32="Yes",91&gt;=Projects!$C$32,91&lt;Projects!$C$32+Projects!$D$32),Projects!$B$32*INDEX(Curves!$B$4:$AR$4,1,91-Projects!$C$32+1),0)+IF(AND(Projects!$G$33="Yes",91&gt;=Projects!$C$33,91&lt;Projects!$C$33+Projects!$D$33),Projects!$B$33*INDEX(Curves!$B$4:$AR$4,1,91-Projects!$C$33+1),0)+IF(AND(Projects!$G$34="Yes",91&gt;=Projects!$C$34,91&lt;Projects!$C$34+Projects!$D$34),Projects!$B$34*INDEX(Curves!$B$4:$AR$4,1,91-Projects!$C$34+1),0)+IF(AND(Projects!$G$35="Yes",91&gt;=Projects!$C$35,91&lt;Projects!$C$35+Projects!$D$35),Projects!$B$35*INDEX(Curves!$B$4:$AR$4,1,91-Projects!$C$35+1),0)+IF(AND(Projects!$G$36="Yes",91&gt;=Projects!$C$36,91&lt;Projects!$C$36+Projects!$D$36),Projects!$B$36*INDEX(Curves!$B$4:$AR$4,1,91-Projects!$C$36+1),0)+IF(AND(Projects!$G$37="Yes",91&gt;=Projects!$C$37,91&lt;Projects!$C$37+Projects!$D$37),Projects!$B$37*INDEX(Curves!$B$4:$AR$4,1,91-Projects!$C$37+1),0)+IF(AND(Projects!$G$38="Yes",91&gt;=Projects!$C$38,91&lt;Projects!$C$38+Projects!$D$38),Projects!$B$38*INDEX(Curves!$B$4:$AR$4,1,91-Projects!$C$38+1),0)+IF(AND(Projects!$G$39="Yes",91&gt;=Projects!$C$39,91&lt;Projects!$C$39+Projects!$D$39),Projects!$B$39*INDEX(Curves!$B$4:$AR$4,1,91-Projects!$C$39+1),0)+IF(AND(Projects!$G$40="Yes",91&gt;=Projects!$C$40,91&lt;Projects!$C$40+Projects!$D$40),Projects!$B$40*INDEX(Curves!$B$4:$AR$4,1,91-Projects!$C$40+1),0)+IF(AND(Projects!$G$41="Yes",91&gt;=Projects!$C$41,91&lt;Projects!$C$41+Projects!$D$41),Projects!$B$41*INDEX(Curves!$B$4:$AR$4,1,91-Projects!$C$41+1),0)+IF(AND(Projects!$G$42="Yes",91&gt;=Projects!$C$42,91&lt;Projects!$C$42+Projects!$D$42),Projects!$B$42*INDEX(Curves!$B$4:$AR$4,1,91-Projects!$C$42+1),0)+IF(AND(Projects!$G$43="Yes",91&gt;=Projects!$C$43,91&lt;Projects!$C$43+Projects!$D$43),Projects!$B$43*INDEX(Curves!$B$4:$AR$4,1,91-Projects!$C$43+1),0)+IF(AND(Projects!$G$44="Yes",91&gt;=Projects!$C$44,91&lt;Projects!$C$44+Projects!$D$44),Projects!$B$44*INDEX(Curves!$B$4:$AR$4,1,91-Projects!$C$44+1),0)+IF(AND(Projects!$G$45="Yes",91&gt;=Projects!$C$45,91&lt;Projects!$C$45+Projects!$D$45),Projects!$B$45*INDEX(Curves!$B$4:$AR$4,1,91-Projects!$C$45+1),0)+IF(AND(Projects!$G$46="Yes",91&gt;=Projects!$C$46,91&lt;Projects!$C$46+Projects!$D$46),Projects!$B$46*INDEX(Curves!$B$4:$AR$4,1,91-Projects!$C$46+1),0)</f>
        <v>0</v>
      </c>
      <c r="CS96" s="83" t="n">
        <f aca="false">IF(AND(Projects!$G$17="Yes",92&gt;=Projects!$C$17,92&lt;Projects!$C$17+Projects!$D$17),Projects!$B$17*INDEX(Curves!$B$4:$AR$4,1,92-Projects!$C$17+1),0)+IF(AND(Projects!$G$18="Yes",92&gt;=Projects!$C$18,92&lt;Projects!$C$18+Projects!$D$18),Projects!$B$18*INDEX(Curves!$B$4:$AR$4,1,92-Projects!$C$18+1),0)+IF(AND(Projects!$G$19="Yes",92&gt;=Projects!$C$19,92&lt;Projects!$C$19+Projects!$D$19),Projects!$B$19*INDEX(Curves!$B$4:$AR$4,1,92-Projects!$C$19+1),0)+IF(AND(Projects!$G$20="Yes",92&gt;=Projects!$C$20,92&lt;Projects!$C$20+Projects!$D$20),Projects!$B$20*INDEX(Curves!$B$4:$AR$4,1,92-Projects!$C$20+1),0)+IF(AND(Projects!$G$21="Yes",92&gt;=Projects!$C$21,92&lt;Projects!$C$21+Projects!$D$21),Projects!$B$21*INDEX(Curves!$B$4:$AR$4,1,92-Projects!$C$21+1),0)+IF(AND(Projects!$G$22="Yes",92&gt;=Projects!$C$22,92&lt;Projects!$C$22+Projects!$D$22),Projects!$B$22*INDEX(Curves!$B$4:$AR$4,1,92-Projects!$C$22+1),0)+IF(AND(Projects!$G$23="Yes",92&gt;=Projects!$C$23,92&lt;Projects!$C$23+Projects!$D$23),Projects!$B$23*INDEX(Curves!$B$4:$AR$4,1,92-Projects!$C$23+1),0)+IF(AND(Projects!$G$24="Yes",92&gt;=Projects!$C$24,92&lt;Projects!$C$24+Projects!$D$24),Projects!$B$24*INDEX(Curves!$B$4:$AR$4,1,92-Projects!$C$24+1),0)+IF(AND(Projects!$G$25="Yes",92&gt;=Projects!$C$25,92&lt;Projects!$C$25+Projects!$D$25),Projects!$B$25*INDEX(Curves!$B$4:$AR$4,1,92-Projects!$C$25+1),0)+IF(AND(Projects!$G$26="Yes",92&gt;=Projects!$C$26,92&lt;Projects!$C$26+Projects!$D$26),Projects!$B$26*INDEX(Curves!$B$4:$AR$4,1,92-Projects!$C$26+1),0)+IF(AND(Projects!$G$27="Yes",92&gt;=Projects!$C$27,92&lt;Projects!$C$27+Projects!$D$27),Projects!$B$27*INDEX(Curves!$B$4:$AR$4,1,92-Projects!$C$27+1),0)+IF(AND(Projects!$G$28="Yes",92&gt;=Projects!$C$28,92&lt;Projects!$C$28+Projects!$D$28),Projects!$B$28*INDEX(Curves!$B$4:$AR$4,1,92-Projects!$C$28+1),0)+IF(AND(Projects!$G$29="Yes",92&gt;=Projects!$C$29,92&lt;Projects!$C$29+Projects!$D$29),Projects!$B$29*INDEX(Curves!$B$4:$AR$4,1,92-Projects!$C$29+1),0)+IF(AND(Projects!$G$30="Yes",92&gt;=Projects!$C$30,92&lt;Projects!$C$30+Projects!$D$30),Projects!$B$30*INDEX(Curves!$B$4:$AR$4,1,92-Projects!$C$30+1),0)+IF(AND(Projects!$G$31="Yes",92&gt;=Projects!$C$31,92&lt;Projects!$C$31+Projects!$D$31),Projects!$B$31*INDEX(Curves!$B$4:$AR$4,1,92-Projects!$C$31+1),0)+IF(AND(Projects!$G$32="Yes",92&gt;=Projects!$C$32,92&lt;Projects!$C$32+Projects!$D$32),Projects!$B$32*INDEX(Curves!$B$4:$AR$4,1,92-Projects!$C$32+1),0)+IF(AND(Projects!$G$33="Yes",92&gt;=Projects!$C$33,92&lt;Projects!$C$33+Projects!$D$33),Projects!$B$33*INDEX(Curves!$B$4:$AR$4,1,92-Projects!$C$33+1),0)+IF(AND(Projects!$G$34="Yes",92&gt;=Projects!$C$34,92&lt;Projects!$C$34+Projects!$D$34),Projects!$B$34*INDEX(Curves!$B$4:$AR$4,1,92-Projects!$C$34+1),0)+IF(AND(Projects!$G$35="Yes",92&gt;=Projects!$C$35,92&lt;Projects!$C$35+Projects!$D$35),Projects!$B$35*INDEX(Curves!$B$4:$AR$4,1,92-Projects!$C$35+1),0)+IF(AND(Projects!$G$36="Yes",92&gt;=Projects!$C$36,92&lt;Projects!$C$36+Projects!$D$36),Projects!$B$36*INDEX(Curves!$B$4:$AR$4,1,92-Projects!$C$36+1),0)+IF(AND(Projects!$G$37="Yes",92&gt;=Projects!$C$37,92&lt;Projects!$C$37+Projects!$D$37),Projects!$B$37*INDEX(Curves!$B$4:$AR$4,1,92-Projects!$C$37+1),0)+IF(AND(Projects!$G$38="Yes",92&gt;=Projects!$C$38,92&lt;Projects!$C$38+Projects!$D$38),Projects!$B$38*INDEX(Curves!$B$4:$AR$4,1,92-Projects!$C$38+1),0)+IF(AND(Projects!$G$39="Yes",92&gt;=Projects!$C$39,92&lt;Projects!$C$39+Projects!$D$39),Projects!$B$39*INDEX(Curves!$B$4:$AR$4,1,92-Projects!$C$39+1),0)+IF(AND(Projects!$G$40="Yes",92&gt;=Projects!$C$40,92&lt;Projects!$C$40+Projects!$D$40),Projects!$B$40*INDEX(Curves!$B$4:$AR$4,1,92-Projects!$C$40+1),0)+IF(AND(Projects!$G$41="Yes",92&gt;=Projects!$C$41,92&lt;Projects!$C$41+Projects!$D$41),Projects!$B$41*INDEX(Curves!$B$4:$AR$4,1,92-Projects!$C$41+1),0)+IF(AND(Projects!$G$42="Yes",92&gt;=Projects!$C$42,92&lt;Projects!$C$42+Projects!$D$42),Projects!$B$42*INDEX(Curves!$B$4:$AR$4,1,92-Projects!$C$42+1),0)+IF(AND(Projects!$G$43="Yes",92&gt;=Projects!$C$43,92&lt;Projects!$C$43+Projects!$D$43),Projects!$B$43*INDEX(Curves!$B$4:$AR$4,1,92-Projects!$C$43+1),0)+IF(AND(Projects!$G$44="Yes",92&gt;=Projects!$C$44,92&lt;Projects!$C$44+Projects!$D$44),Projects!$B$44*INDEX(Curves!$B$4:$AR$4,1,92-Projects!$C$44+1),0)+IF(AND(Projects!$G$45="Yes",92&gt;=Projects!$C$45,92&lt;Projects!$C$45+Projects!$D$45),Projects!$B$45*INDEX(Curves!$B$4:$AR$4,1,92-Projects!$C$45+1),0)+IF(AND(Projects!$G$46="Yes",92&gt;=Projects!$C$46,92&lt;Projects!$C$46+Projects!$D$46),Projects!$B$46*INDEX(Curves!$B$4:$AR$4,1,92-Projects!$C$46+1),0)</f>
        <v>0</v>
      </c>
      <c r="CT96" s="83" t="n">
        <f aca="false">IF(AND(Projects!$G$17="Yes",93&gt;=Projects!$C$17,93&lt;Projects!$C$17+Projects!$D$17),Projects!$B$17*INDEX(Curves!$B$4:$AR$4,1,93-Projects!$C$17+1),0)+IF(AND(Projects!$G$18="Yes",93&gt;=Projects!$C$18,93&lt;Projects!$C$18+Projects!$D$18),Projects!$B$18*INDEX(Curves!$B$4:$AR$4,1,93-Projects!$C$18+1),0)+IF(AND(Projects!$G$19="Yes",93&gt;=Projects!$C$19,93&lt;Projects!$C$19+Projects!$D$19),Projects!$B$19*INDEX(Curves!$B$4:$AR$4,1,93-Projects!$C$19+1),0)+IF(AND(Projects!$G$20="Yes",93&gt;=Projects!$C$20,93&lt;Projects!$C$20+Projects!$D$20),Projects!$B$20*INDEX(Curves!$B$4:$AR$4,1,93-Projects!$C$20+1),0)+IF(AND(Projects!$G$21="Yes",93&gt;=Projects!$C$21,93&lt;Projects!$C$21+Projects!$D$21),Projects!$B$21*INDEX(Curves!$B$4:$AR$4,1,93-Projects!$C$21+1),0)+IF(AND(Projects!$G$22="Yes",93&gt;=Projects!$C$22,93&lt;Projects!$C$22+Projects!$D$22),Projects!$B$22*INDEX(Curves!$B$4:$AR$4,1,93-Projects!$C$22+1),0)+IF(AND(Projects!$G$23="Yes",93&gt;=Projects!$C$23,93&lt;Projects!$C$23+Projects!$D$23),Projects!$B$23*INDEX(Curves!$B$4:$AR$4,1,93-Projects!$C$23+1),0)+IF(AND(Projects!$G$24="Yes",93&gt;=Projects!$C$24,93&lt;Projects!$C$24+Projects!$D$24),Projects!$B$24*INDEX(Curves!$B$4:$AR$4,1,93-Projects!$C$24+1),0)+IF(AND(Projects!$G$25="Yes",93&gt;=Projects!$C$25,93&lt;Projects!$C$25+Projects!$D$25),Projects!$B$25*INDEX(Curves!$B$4:$AR$4,1,93-Projects!$C$25+1),0)+IF(AND(Projects!$G$26="Yes",93&gt;=Projects!$C$26,93&lt;Projects!$C$26+Projects!$D$26),Projects!$B$26*INDEX(Curves!$B$4:$AR$4,1,93-Projects!$C$26+1),0)+IF(AND(Projects!$G$27="Yes",93&gt;=Projects!$C$27,93&lt;Projects!$C$27+Projects!$D$27),Projects!$B$27*INDEX(Curves!$B$4:$AR$4,1,93-Projects!$C$27+1),0)+IF(AND(Projects!$G$28="Yes",93&gt;=Projects!$C$28,93&lt;Projects!$C$28+Projects!$D$28),Projects!$B$28*INDEX(Curves!$B$4:$AR$4,1,93-Projects!$C$28+1),0)+IF(AND(Projects!$G$29="Yes",93&gt;=Projects!$C$29,93&lt;Projects!$C$29+Projects!$D$29),Projects!$B$29*INDEX(Curves!$B$4:$AR$4,1,93-Projects!$C$29+1),0)+IF(AND(Projects!$G$30="Yes",93&gt;=Projects!$C$30,93&lt;Projects!$C$30+Projects!$D$30),Projects!$B$30*INDEX(Curves!$B$4:$AR$4,1,93-Projects!$C$30+1),0)+IF(AND(Projects!$G$31="Yes",93&gt;=Projects!$C$31,93&lt;Projects!$C$31+Projects!$D$31),Projects!$B$31*INDEX(Curves!$B$4:$AR$4,1,93-Projects!$C$31+1),0)+IF(AND(Projects!$G$32="Yes",93&gt;=Projects!$C$32,93&lt;Projects!$C$32+Projects!$D$32),Projects!$B$32*INDEX(Curves!$B$4:$AR$4,1,93-Projects!$C$32+1),0)+IF(AND(Projects!$G$33="Yes",93&gt;=Projects!$C$33,93&lt;Projects!$C$33+Projects!$D$33),Projects!$B$33*INDEX(Curves!$B$4:$AR$4,1,93-Projects!$C$33+1),0)+IF(AND(Projects!$G$34="Yes",93&gt;=Projects!$C$34,93&lt;Projects!$C$34+Projects!$D$34),Projects!$B$34*INDEX(Curves!$B$4:$AR$4,1,93-Projects!$C$34+1),0)+IF(AND(Projects!$G$35="Yes",93&gt;=Projects!$C$35,93&lt;Projects!$C$35+Projects!$D$35),Projects!$B$35*INDEX(Curves!$B$4:$AR$4,1,93-Projects!$C$35+1),0)+IF(AND(Projects!$G$36="Yes",93&gt;=Projects!$C$36,93&lt;Projects!$C$36+Projects!$D$36),Projects!$B$36*INDEX(Curves!$B$4:$AR$4,1,93-Projects!$C$36+1),0)+IF(AND(Projects!$G$37="Yes",93&gt;=Projects!$C$37,93&lt;Projects!$C$37+Projects!$D$37),Projects!$B$37*INDEX(Curves!$B$4:$AR$4,1,93-Projects!$C$37+1),0)+IF(AND(Projects!$G$38="Yes",93&gt;=Projects!$C$38,93&lt;Projects!$C$38+Projects!$D$38),Projects!$B$38*INDEX(Curves!$B$4:$AR$4,1,93-Projects!$C$38+1),0)+IF(AND(Projects!$G$39="Yes",93&gt;=Projects!$C$39,93&lt;Projects!$C$39+Projects!$D$39),Projects!$B$39*INDEX(Curves!$B$4:$AR$4,1,93-Projects!$C$39+1),0)+IF(AND(Projects!$G$40="Yes",93&gt;=Projects!$C$40,93&lt;Projects!$C$40+Projects!$D$40),Projects!$B$40*INDEX(Curves!$B$4:$AR$4,1,93-Projects!$C$40+1),0)+IF(AND(Projects!$G$41="Yes",93&gt;=Projects!$C$41,93&lt;Projects!$C$41+Projects!$D$41),Projects!$B$41*INDEX(Curves!$B$4:$AR$4,1,93-Projects!$C$41+1),0)+IF(AND(Projects!$G$42="Yes",93&gt;=Projects!$C$42,93&lt;Projects!$C$42+Projects!$D$42),Projects!$B$42*INDEX(Curves!$B$4:$AR$4,1,93-Projects!$C$42+1),0)+IF(AND(Projects!$G$43="Yes",93&gt;=Projects!$C$43,93&lt;Projects!$C$43+Projects!$D$43),Projects!$B$43*INDEX(Curves!$B$4:$AR$4,1,93-Projects!$C$43+1),0)+IF(AND(Projects!$G$44="Yes",93&gt;=Projects!$C$44,93&lt;Projects!$C$44+Projects!$D$44),Projects!$B$44*INDEX(Curves!$B$4:$AR$4,1,93-Projects!$C$44+1),0)+IF(AND(Projects!$G$45="Yes",93&gt;=Projects!$C$45,93&lt;Projects!$C$45+Projects!$D$45),Projects!$B$45*INDEX(Curves!$B$4:$AR$4,1,93-Projects!$C$45+1),0)+IF(AND(Projects!$G$46="Yes",93&gt;=Projects!$C$46,93&lt;Projects!$C$46+Projects!$D$46),Projects!$B$46*INDEX(Curves!$B$4:$AR$4,1,93-Projects!$C$46+1),0)</f>
        <v>0</v>
      </c>
      <c r="CU96" s="83" t="n">
        <f aca="false">IF(AND(Projects!$G$17="Yes",94&gt;=Projects!$C$17,94&lt;Projects!$C$17+Projects!$D$17),Projects!$B$17*INDEX(Curves!$B$4:$AR$4,1,94-Projects!$C$17+1),0)+IF(AND(Projects!$G$18="Yes",94&gt;=Projects!$C$18,94&lt;Projects!$C$18+Projects!$D$18),Projects!$B$18*INDEX(Curves!$B$4:$AR$4,1,94-Projects!$C$18+1),0)+IF(AND(Projects!$G$19="Yes",94&gt;=Projects!$C$19,94&lt;Projects!$C$19+Projects!$D$19),Projects!$B$19*INDEX(Curves!$B$4:$AR$4,1,94-Projects!$C$19+1),0)+IF(AND(Projects!$G$20="Yes",94&gt;=Projects!$C$20,94&lt;Projects!$C$20+Projects!$D$20),Projects!$B$20*INDEX(Curves!$B$4:$AR$4,1,94-Projects!$C$20+1),0)+IF(AND(Projects!$G$21="Yes",94&gt;=Projects!$C$21,94&lt;Projects!$C$21+Projects!$D$21),Projects!$B$21*INDEX(Curves!$B$4:$AR$4,1,94-Projects!$C$21+1),0)+IF(AND(Projects!$G$22="Yes",94&gt;=Projects!$C$22,94&lt;Projects!$C$22+Projects!$D$22),Projects!$B$22*INDEX(Curves!$B$4:$AR$4,1,94-Projects!$C$22+1),0)+IF(AND(Projects!$G$23="Yes",94&gt;=Projects!$C$23,94&lt;Projects!$C$23+Projects!$D$23),Projects!$B$23*INDEX(Curves!$B$4:$AR$4,1,94-Projects!$C$23+1),0)+IF(AND(Projects!$G$24="Yes",94&gt;=Projects!$C$24,94&lt;Projects!$C$24+Projects!$D$24),Projects!$B$24*INDEX(Curves!$B$4:$AR$4,1,94-Projects!$C$24+1),0)+IF(AND(Projects!$G$25="Yes",94&gt;=Projects!$C$25,94&lt;Projects!$C$25+Projects!$D$25),Projects!$B$25*INDEX(Curves!$B$4:$AR$4,1,94-Projects!$C$25+1),0)+IF(AND(Projects!$G$26="Yes",94&gt;=Projects!$C$26,94&lt;Projects!$C$26+Projects!$D$26),Projects!$B$26*INDEX(Curves!$B$4:$AR$4,1,94-Projects!$C$26+1),0)+IF(AND(Projects!$G$27="Yes",94&gt;=Projects!$C$27,94&lt;Projects!$C$27+Projects!$D$27),Projects!$B$27*INDEX(Curves!$B$4:$AR$4,1,94-Projects!$C$27+1),0)+IF(AND(Projects!$G$28="Yes",94&gt;=Projects!$C$28,94&lt;Projects!$C$28+Projects!$D$28),Projects!$B$28*INDEX(Curves!$B$4:$AR$4,1,94-Projects!$C$28+1),0)+IF(AND(Projects!$G$29="Yes",94&gt;=Projects!$C$29,94&lt;Projects!$C$29+Projects!$D$29),Projects!$B$29*INDEX(Curves!$B$4:$AR$4,1,94-Projects!$C$29+1),0)+IF(AND(Projects!$G$30="Yes",94&gt;=Projects!$C$30,94&lt;Projects!$C$30+Projects!$D$30),Projects!$B$30*INDEX(Curves!$B$4:$AR$4,1,94-Projects!$C$30+1),0)+IF(AND(Projects!$G$31="Yes",94&gt;=Projects!$C$31,94&lt;Projects!$C$31+Projects!$D$31),Projects!$B$31*INDEX(Curves!$B$4:$AR$4,1,94-Projects!$C$31+1),0)+IF(AND(Projects!$G$32="Yes",94&gt;=Projects!$C$32,94&lt;Projects!$C$32+Projects!$D$32),Projects!$B$32*INDEX(Curves!$B$4:$AR$4,1,94-Projects!$C$32+1),0)+IF(AND(Projects!$G$33="Yes",94&gt;=Projects!$C$33,94&lt;Projects!$C$33+Projects!$D$33),Projects!$B$33*INDEX(Curves!$B$4:$AR$4,1,94-Projects!$C$33+1),0)+IF(AND(Projects!$G$34="Yes",94&gt;=Projects!$C$34,94&lt;Projects!$C$34+Projects!$D$34),Projects!$B$34*INDEX(Curves!$B$4:$AR$4,1,94-Projects!$C$34+1),0)+IF(AND(Projects!$G$35="Yes",94&gt;=Projects!$C$35,94&lt;Projects!$C$35+Projects!$D$35),Projects!$B$35*INDEX(Curves!$B$4:$AR$4,1,94-Projects!$C$35+1),0)+IF(AND(Projects!$G$36="Yes",94&gt;=Projects!$C$36,94&lt;Projects!$C$36+Projects!$D$36),Projects!$B$36*INDEX(Curves!$B$4:$AR$4,1,94-Projects!$C$36+1),0)+IF(AND(Projects!$G$37="Yes",94&gt;=Projects!$C$37,94&lt;Projects!$C$37+Projects!$D$37),Projects!$B$37*INDEX(Curves!$B$4:$AR$4,1,94-Projects!$C$37+1),0)+IF(AND(Projects!$G$38="Yes",94&gt;=Projects!$C$38,94&lt;Projects!$C$38+Projects!$D$38),Projects!$B$38*INDEX(Curves!$B$4:$AR$4,1,94-Projects!$C$38+1),0)+IF(AND(Projects!$G$39="Yes",94&gt;=Projects!$C$39,94&lt;Projects!$C$39+Projects!$D$39),Projects!$B$39*INDEX(Curves!$B$4:$AR$4,1,94-Projects!$C$39+1),0)+IF(AND(Projects!$G$40="Yes",94&gt;=Projects!$C$40,94&lt;Projects!$C$40+Projects!$D$40),Projects!$B$40*INDEX(Curves!$B$4:$AR$4,1,94-Projects!$C$40+1),0)+IF(AND(Projects!$G$41="Yes",94&gt;=Projects!$C$41,94&lt;Projects!$C$41+Projects!$D$41),Projects!$B$41*INDEX(Curves!$B$4:$AR$4,1,94-Projects!$C$41+1),0)+IF(AND(Projects!$G$42="Yes",94&gt;=Projects!$C$42,94&lt;Projects!$C$42+Projects!$D$42),Projects!$B$42*INDEX(Curves!$B$4:$AR$4,1,94-Projects!$C$42+1),0)+IF(AND(Projects!$G$43="Yes",94&gt;=Projects!$C$43,94&lt;Projects!$C$43+Projects!$D$43),Projects!$B$43*INDEX(Curves!$B$4:$AR$4,1,94-Projects!$C$43+1),0)+IF(AND(Projects!$G$44="Yes",94&gt;=Projects!$C$44,94&lt;Projects!$C$44+Projects!$D$44),Projects!$B$44*INDEX(Curves!$B$4:$AR$4,1,94-Projects!$C$44+1),0)+IF(AND(Projects!$G$45="Yes",94&gt;=Projects!$C$45,94&lt;Projects!$C$45+Projects!$D$45),Projects!$B$45*INDEX(Curves!$B$4:$AR$4,1,94-Projects!$C$45+1),0)+IF(AND(Projects!$G$46="Yes",94&gt;=Projects!$C$46,94&lt;Projects!$C$46+Projects!$D$46),Projects!$B$46*INDEX(Curves!$B$4:$AR$4,1,94-Projects!$C$46+1),0)</f>
        <v>0</v>
      </c>
      <c r="CV96" s="83" t="n">
        <f aca="false">IF(AND(Projects!$G$17="Yes",95&gt;=Projects!$C$17,95&lt;Projects!$C$17+Projects!$D$17),Projects!$B$17*INDEX(Curves!$B$4:$AR$4,1,95-Projects!$C$17+1),0)+IF(AND(Projects!$G$18="Yes",95&gt;=Projects!$C$18,95&lt;Projects!$C$18+Projects!$D$18),Projects!$B$18*INDEX(Curves!$B$4:$AR$4,1,95-Projects!$C$18+1),0)+IF(AND(Projects!$G$19="Yes",95&gt;=Projects!$C$19,95&lt;Projects!$C$19+Projects!$D$19),Projects!$B$19*INDEX(Curves!$B$4:$AR$4,1,95-Projects!$C$19+1),0)+IF(AND(Projects!$G$20="Yes",95&gt;=Projects!$C$20,95&lt;Projects!$C$20+Projects!$D$20),Projects!$B$20*INDEX(Curves!$B$4:$AR$4,1,95-Projects!$C$20+1),0)+IF(AND(Projects!$G$21="Yes",95&gt;=Projects!$C$21,95&lt;Projects!$C$21+Projects!$D$21),Projects!$B$21*INDEX(Curves!$B$4:$AR$4,1,95-Projects!$C$21+1),0)+IF(AND(Projects!$G$22="Yes",95&gt;=Projects!$C$22,95&lt;Projects!$C$22+Projects!$D$22),Projects!$B$22*INDEX(Curves!$B$4:$AR$4,1,95-Projects!$C$22+1),0)+IF(AND(Projects!$G$23="Yes",95&gt;=Projects!$C$23,95&lt;Projects!$C$23+Projects!$D$23),Projects!$B$23*INDEX(Curves!$B$4:$AR$4,1,95-Projects!$C$23+1),0)+IF(AND(Projects!$G$24="Yes",95&gt;=Projects!$C$24,95&lt;Projects!$C$24+Projects!$D$24),Projects!$B$24*INDEX(Curves!$B$4:$AR$4,1,95-Projects!$C$24+1),0)+IF(AND(Projects!$G$25="Yes",95&gt;=Projects!$C$25,95&lt;Projects!$C$25+Projects!$D$25),Projects!$B$25*INDEX(Curves!$B$4:$AR$4,1,95-Projects!$C$25+1),0)+IF(AND(Projects!$G$26="Yes",95&gt;=Projects!$C$26,95&lt;Projects!$C$26+Projects!$D$26),Projects!$B$26*INDEX(Curves!$B$4:$AR$4,1,95-Projects!$C$26+1),0)+IF(AND(Projects!$G$27="Yes",95&gt;=Projects!$C$27,95&lt;Projects!$C$27+Projects!$D$27),Projects!$B$27*INDEX(Curves!$B$4:$AR$4,1,95-Projects!$C$27+1),0)+IF(AND(Projects!$G$28="Yes",95&gt;=Projects!$C$28,95&lt;Projects!$C$28+Projects!$D$28),Projects!$B$28*INDEX(Curves!$B$4:$AR$4,1,95-Projects!$C$28+1),0)+IF(AND(Projects!$G$29="Yes",95&gt;=Projects!$C$29,95&lt;Projects!$C$29+Projects!$D$29),Projects!$B$29*INDEX(Curves!$B$4:$AR$4,1,95-Projects!$C$29+1),0)+IF(AND(Projects!$G$30="Yes",95&gt;=Projects!$C$30,95&lt;Projects!$C$30+Projects!$D$30),Projects!$B$30*INDEX(Curves!$B$4:$AR$4,1,95-Projects!$C$30+1),0)+IF(AND(Projects!$G$31="Yes",95&gt;=Projects!$C$31,95&lt;Projects!$C$31+Projects!$D$31),Projects!$B$31*INDEX(Curves!$B$4:$AR$4,1,95-Projects!$C$31+1),0)+IF(AND(Projects!$G$32="Yes",95&gt;=Projects!$C$32,95&lt;Projects!$C$32+Projects!$D$32),Projects!$B$32*INDEX(Curves!$B$4:$AR$4,1,95-Projects!$C$32+1),0)+IF(AND(Projects!$G$33="Yes",95&gt;=Projects!$C$33,95&lt;Projects!$C$33+Projects!$D$33),Projects!$B$33*INDEX(Curves!$B$4:$AR$4,1,95-Projects!$C$33+1),0)+IF(AND(Projects!$G$34="Yes",95&gt;=Projects!$C$34,95&lt;Projects!$C$34+Projects!$D$34),Projects!$B$34*INDEX(Curves!$B$4:$AR$4,1,95-Projects!$C$34+1),0)+IF(AND(Projects!$G$35="Yes",95&gt;=Projects!$C$35,95&lt;Projects!$C$35+Projects!$D$35),Projects!$B$35*INDEX(Curves!$B$4:$AR$4,1,95-Projects!$C$35+1),0)+IF(AND(Projects!$G$36="Yes",95&gt;=Projects!$C$36,95&lt;Projects!$C$36+Projects!$D$36),Projects!$B$36*INDEX(Curves!$B$4:$AR$4,1,95-Projects!$C$36+1),0)+IF(AND(Projects!$G$37="Yes",95&gt;=Projects!$C$37,95&lt;Projects!$C$37+Projects!$D$37),Projects!$B$37*INDEX(Curves!$B$4:$AR$4,1,95-Projects!$C$37+1),0)+IF(AND(Projects!$G$38="Yes",95&gt;=Projects!$C$38,95&lt;Projects!$C$38+Projects!$D$38),Projects!$B$38*INDEX(Curves!$B$4:$AR$4,1,95-Projects!$C$38+1),0)+IF(AND(Projects!$G$39="Yes",95&gt;=Projects!$C$39,95&lt;Projects!$C$39+Projects!$D$39),Projects!$B$39*INDEX(Curves!$B$4:$AR$4,1,95-Projects!$C$39+1),0)+IF(AND(Projects!$G$40="Yes",95&gt;=Projects!$C$40,95&lt;Projects!$C$40+Projects!$D$40),Projects!$B$40*INDEX(Curves!$B$4:$AR$4,1,95-Projects!$C$40+1),0)+IF(AND(Projects!$G$41="Yes",95&gt;=Projects!$C$41,95&lt;Projects!$C$41+Projects!$D$41),Projects!$B$41*INDEX(Curves!$B$4:$AR$4,1,95-Projects!$C$41+1),0)+IF(AND(Projects!$G$42="Yes",95&gt;=Projects!$C$42,95&lt;Projects!$C$42+Projects!$D$42),Projects!$B$42*INDEX(Curves!$B$4:$AR$4,1,95-Projects!$C$42+1),0)+IF(AND(Projects!$G$43="Yes",95&gt;=Projects!$C$43,95&lt;Projects!$C$43+Projects!$D$43),Projects!$B$43*INDEX(Curves!$B$4:$AR$4,1,95-Projects!$C$43+1),0)+IF(AND(Projects!$G$44="Yes",95&gt;=Projects!$C$44,95&lt;Projects!$C$44+Projects!$D$44),Projects!$B$44*INDEX(Curves!$B$4:$AR$4,1,95-Projects!$C$44+1),0)+IF(AND(Projects!$G$45="Yes",95&gt;=Projects!$C$45,95&lt;Projects!$C$45+Projects!$D$45),Projects!$B$45*INDEX(Curves!$B$4:$AR$4,1,95-Projects!$C$45+1),0)+IF(AND(Projects!$G$46="Yes",95&gt;=Projects!$C$46,95&lt;Projects!$C$46+Projects!$D$46),Projects!$B$46*INDEX(Curves!$B$4:$AR$4,1,95-Projects!$C$46+1),0)</f>
        <v>0</v>
      </c>
      <c r="CW96" s="83" t="n">
        <f aca="false">IF(AND(Projects!$G$17="Yes",96&gt;=Projects!$C$17,96&lt;Projects!$C$17+Projects!$D$17),Projects!$B$17*INDEX(Curves!$B$4:$AR$4,1,96-Projects!$C$17+1),0)+IF(AND(Projects!$G$18="Yes",96&gt;=Projects!$C$18,96&lt;Projects!$C$18+Projects!$D$18),Projects!$B$18*INDEX(Curves!$B$4:$AR$4,1,96-Projects!$C$18+1),0)+IF(AND(Projects!$G$19="Yes",96&gt;=Projects!$C$19,96&lt;Projects!$C$19+Projects!$D$19),Projects!$B$19*INDEX(Curves!$B$4:$AR$4,1,96-Projects!$C$19+1),0)+IF(AND(Projects!$G$20="Yes",96&gt;=Projects!$C$20,96&lt;Projects!$C$20+Projects!$D$20),Projects!$B$20*INDEX(Curves!$B$4:$AR$4,1,96-Projects!$C$20+1),0)+IF(AND(Projects!$G$21="Yes",96&gt;=Projects!$C$21,96&lt;Projects!$C$21+Projects!$D$21),Projects!$B$21*INDEX(Curves!$B$4:$AR$4,1,96-Projects!$C$21+1),0)+IF(AND(Projects!$G$22="Yes",96&gt;=Projects!$C$22,96&lt;Projects!$C$22+Projects!$D$22),Projects!$B$22*INDEX(Curves!$B$4:$AR$4,1,96-Projects!$C$22+1),0)+IF(AND(Projects!$G$23="Yes",96&gt;=Projects!$C$23,96&lt;Projects!$C$23+Projects!$D$23),Projects!$B$23*INDEX(Curves!$B$4:$AR$4,1,96-Projects!$C$23+1),0)+IF(AND(Projects!$G$24="Yes",96&gt;=Projects!$C$24,96&lt;Projects!$C$24+Projects!$D$24),Projects!$B$24*INDEX(Curves!$B$4:$AR$4,1,96-Projects!$C$24+1),0)+IF(AND(Projects!$G$25="Yes",96&gt;=Projects!$C$25,96&lt;Projects!$C$25+Projects!$D$25),Projects!$B$25*INDEX(Curves!$B$4:$AR$4,1,96-Projects!$C$25+1),0)+IF(AND(Projects!$G$26="Yes",96&gt;=Projects!$C$26,96&lt;Projects!$C$26+Projects!$D$26),Projects!$B$26*INDEX(Curves!$B$4:$AR$4,1,96-Projects!$C$26+1),0)+IF(AND(Projects!$G$27="Yes",96&gt;=Projects!$C$27,96&lt;Projects!$C$27+Projects!$D$27),Projects!$B$27*INDEX(Curves!$B$4:$AR$4,1,96-Projects!$C$27+1),0)+IF(AND(Projects!$G$28="Yes",96&gt;=Projects!$C$28,96&lt;Projects!$C$28+Projects!$D$28),Projects!$B$28*INDEX(Curves!$B$4:$AR$4,1,96-Projects!$C$28+1),0)+IF(AND(Projects!$G$29="Yes",96&gt;=Projects!$C$29,96&lt;Projects!$C$29+Projects!$D$29),Projects!$B$29*INDEX(Curves!$B$4:$AR$4,1,96-Projects!$C$29+1),0)+IF(AND(Projects!$G$30="Yes",96&gt;=Projects!$C$30,96&lt;Projects!$C$30+Projects!$D$30),Projects!$B$30*INDEX(Curves!$B$4:$AR$4,1,96-Projects!$C$30+1),0)+IF(AND(Projects!$G$31="Yes",96&gt;=Projects!$C$31,96&lt;Projects!$C$31+Projects!$D$31),Projects!$B$31*INDEX(Curves!$B$4:$AR$4,1,96-Projects!$C$31+1),0)+IF(AND(Projects!$G$32="Yes",96&gt;=Projects!$C$32,96&lt;Projects!$C$32+Projects!$D$32),Projects!$B$32*INDEX(Curves!$B$4:$AR$4,1,96-Projects!$C$32+1),0)+IF(AND(Projects!$G$33="Yes",96&gt;=Projects!$C$33,96&lt;Projects!$C$33+Projects!$D$33),Projects!$B$33*INDEX(Curves!$B$4:$AR$4,1,96-Projects!$C$33+1),0)+IF(AND(Projects!$G$34="Yes",96&gt;=Projects!$C$34,96&lt;Projects!$C$34+Projects!$D$34),Projects!$B$34*INDEX(Curves!$B$4:$AR$4,1,96-Projects!$C$34+1),0)+IF(AND(Projects!$G$35="Yes",96&gt;=Projects!$C$35,96&lt;Projects!$C$35+Projects!$D$35),Projects!$B$35*INDEX(Curves!$B$4:$AR$4,1,96-Projects!$C$35+1),0)+IF(AND(Projects!$G$36="Yes",96&gt;=Projects!$C$36,96&lt;Projects!$C$36+Projects!$D$36),Projects!$B$36*INDEX(Curves!$B$4:$AR$4,1,96-Projects!$C$36+1),0)+IF(AND(Projects!$G$37="Yes",96&gt;=Projects!$C$37,96&lt;Projects!$C$37+Projects!$D$37),Projects!$B$37*INDEX(Curves!$B$4:$AR$4,1,96-Projects!$C$37+1),0)+IF(AND(Projects!$G$38="Yes",96&gt;=Projects!$C$38,96&lt;Projects!$C$38+Projects!$D$38),Projects!$B$38*INDEX(Curves!$B$4:$AR$4,1,96-Projects!$C$38+1),0)+IF(AND(Projects!$G$39="Yes",96&gt;=Projects!$C$39,96&lt;Projects!$C$39+Projects!$D$39),Projects!$B$39*INDEX(Curves!$B$4:$AR$4,1,96-Projects!$C$39+1),0)+IF(AND(Projects!$G$40="Yes",96&gt;=Projects!$C$40,96&lt;Projects!$C$40+Projects!$D$40),Projects!$B$40*INDEX(Curves!$B$4:$AR$4,1,96-Projects!$C$40+1),0)+IF(AND(Projects!$G$41="Yes",96&gt;=Projects!$C$41,96&lt;Projects!$C$41+Projects!$D$41),Projects!$B$41*INDEX(Curves!$B$4:$AR$4,1,96-Projects!$C$41+1),0)+IF(AND(Projects!$G$42="Yes",96&gt;=Projects!$C$42,96&lt;Projects!$C$42+Projects!$D$42),Projects!$B$42*INDEX(Curves!$B$4:$AR$4,1,96-Projects!$C$42+1),0)+IF(AND(Projects!$G$43="Yes",96&gt;=Projects!$C$43,96&lt;Projects!$C$43+Projects!$D$43),Projects!$B$43*INDEX(Curves!$B$4:$AR$4,1,96-Projects!$C$43+1),0)+IF(AND(Projects!$G$44="Yes",96&gt;=Projects!$C$44,96&lt;Projects!$C$44+Projects!$D$44),Projects!$B$44*INDEX(Curves!$B$4:$AR$4,1,96-Projects!$C$44+1),0)+IF(AND(Projects!$G$45="Yes",96&gt;=Projects!$C$45,96&lt;Projects!$C$45+Projects!$D$45),Projects!$B$45*INDEX(Curves!$B$4:$AR$4,1,96-Projects!$C$45+1),0)+IF(AND(Projects!$G$46="Yes",96&gt;=Projects!$C$46,96&lt;Projects!$C$46+Projects!$D$46),Projects!$B$46*INDEX(Curves!$B$4:$AR$4,1,96-Projects!$C$46+1),0)</f>
        <v>0</v>
      </c>
      <c r="CX96" s="83" t="n">
        <f aca="false">IF(AND(Projects!$G$17="Yes",97&gt;=Projects!$C$17,97&lt;Projects!$C$17+Projects!$D$17),Projects!$B$17*INDEX(Curves!$B$4:$AR$4,1,97-Projects!$C$17+1),0)+IF(AND(Projects!$G$18="Yes",97&gt;=Projects!$C$18,97&lt;Projects!$C$18+Projects!$D$18),Projects!$B$18*INDEX(Curves!$B$4:$AR$4,1,97-Projects!$C$18+1),0)+IF(AND(Projects!$G$19="Yes",97&gt;=Projects!$C$19,97&lt;Projects!$C$19+Projects!$D$19),Projects!$B$19*INDEX(Curves!$B$4:$AR$4,1,97-Projects!$C$19+1),0)+IF(AND(Projects!$G$20="Yes",97&gt;=Projects!$C$20,97&lt;Projects!$C$20+Projects!$D$20),Projects!$B$20*INDEX(Curves!$B$4:$AR$4,1,97-Projects!$C$20+1),0)+IF(AND(Projects!$G$21="Yes",97&gt;=Projects!$C$21,97&lt;Projects!$C$21+Projects!$D$21),Projects!$B$21*INDEX(Curves!$B$4:$AR$4,1,97-Projects!$C$21+1),0)+IF(AND(Projects!$G$22="Yes",97&gt;=Projects!$C$22,97&lt;Projects!$C$22+Projects!$D$22),Projects!$B$22*INDEX(Curves!$B$4:$AR$4,1,97-Projects!$C$22+1),0)+IF(AND(Projects!$G$23="Yes",97&gt;=Projects!$C$23,97&lt;Projects!$C$23+Projects!$D$23),Projects!$B$23*INDEX(Curves!$B$4:$AR$4,1,97-Projects!$C$23+1),0)+IF(AND(Projects!$G$24="Yes",97&gt;=Projects!$C$24,97&lt;Projects!$C$24+Projects!$D$24),Projects!$B$24*INDEX(Curves!$B$4:$AR$4,1,97-Projects!$C$24+1),0)+IF(AND(Projects!$G$25="Yes",97&gt;=Projects!$C$25,97&lt;Projects!$C$25+Projects!$D$25),Projects!$B$25*INDEX(Curves!$B$4:$AR$4,1,97-Projects!$C$25+1),0)+IF(AND(Projects!$G$26="Yes",97&gt;=Projects!$C$26,97&lt;Projects!$C$26+Projects!$D$26),Projects!$B$26*INDEX(Curves!$B$4:$AR$4,1,97-Projects!$C$26+1),0)+IF(AND(Projects!$G$27="Yes",97&gt;=Projects!$C$27,97&lt;Projects!$C$27+Projects!$D$27),Projects!$B$27*INDEX(Curves!$B$4:$AR$4,1,97-Projects!$C$27+1),0)+IF(AND(Projects!$G$28="Yes",97&gt;=Projects!$C$28,97&lt;Projects!$C$28+Projects!$D$28),Projects!$B$28*INDEX(Curves!$B$4:$AR$4,1,97-Projects!$C$28+1),0)+IF(AND(Projects!$G$29="Yes",97&gt;=Projects!$C$29,97&lt;Projects!$C$29+Projects!$D$29),Projects!$B$29*INDEX(Curves!$B$4:$AR$4,1,97-Projects!$C$29+1),0)+IF(AND(Projects!$G$30="Yes",97&gt;=Projects!$C$30,97&lt;Projects!$C$30+Projects!$D$30),Projects!$B$30*INDEX(Curves!$B$4:$AR$4,1,97-Projects!$C$30+1),0)+IF(AND(Projects!$G$31="Yes",97&gt;=Projects!$C$31,97&lt;Projects!$C$31+Projects!$D$31),Projects!$B$31*INDEX(Curves!$B$4:$AR$4,1,97-Projects!$C$31+1),0)+IF(AND(Projects!$G$32="Yes",97&gt;=Projects!$C$32,97&lt;Projects!$C$32+Projects!$D$32),Projects!$B$32*INDEX(Curves!$B$4:$AR$4,1,97-Projects!$C$32+1),0)+IF(AND(Projects!$G$33="Yes",97&gt;=Projects!$C$33,97&lt;Projects!$C$33+Projects!$D$33),Projects!$B$33*INDEX(Curves!$B$4:$AR$4,1,97-Projects!$C$33+1),0)+IF(AND(Projects!$G$34="Yes",97&gt;=Projects!$C$34,97&lt;Projects!$C$34+Projects!$D$34),Projects!$B$34*INDEX(Curves!$B$4:$AR$4,1,97-Projects!$C$34+1),0)+IF(AND(Projects!$G$35="Yes",97&gt;=Projects!$C$35,97&lt;Projects!$C$35+Projects!$D$35),Projects!$B$35*INDEX(Curves!$B$4:$AR$4,1,97-Projects!$C$35+1),0)+IF(AND(Projects!$G$36="Yes",97&gt;=Projects!$C$36,97&lt;Projects!$C$36+Projects!$D$36),Projects!$B$36*INDEX(Curves!$B$4:$AR$4,1,97-Projects!$C$36+1),0)+IF(AND(Projects!$G$37="Yes",97&gt;=Projects!$C$37,97&lt;Projects!$C$37+Projects!$D$37),Projects!$B$37*INDEX(Curves!$B$4:$AR$4,1,97-Projects!$C$37+1),0)+IF(AND(Projects!$G$38="Yes",97&gt;=Projects!$C$38,97&lt;Projects!$C$38+Projects!$D$38),Projects!$B$38*INDEX(Curves!$B$4:$AR$4,1,97-Projects!$C$38+1),0)+IF(AND(Projects!$G$39="Yes",97&gt;=Projects!$C$39,97&lt;Projects!$C$39+Projects!$D$39),Projects!$B$39*INDEX(Curves!$B$4:$AR$4,1,97-Projects!$C$39+1),0)+IF(AND(Projects!$G$40="Yes",97&gt;=Projects!$C$40,97&lt;Projects!$C$40+Projects!$D$40),Projects!$B$40*INDEX(Curves!$B$4:$AR$4,1,97-Projects!$C$40+1),0)+IF(AND(Projects!$G$41="Yes",97&gt;=Projects!$C$41,97&lt;Projects!$C$41+Projects!$D$41),Projects!$B$41*INDEX(Curves!$B$4:$AR$4,1,97-Projects!$C$41+1),0)+IF(AND(Projects!$G$42="Yes",97&gt;=Projects!$C$42,97&lt;Projects!$C$42+Projects!$D$42),Projects!$B$42*INDEX(Curves!$B$4:$AR$4,1,97-Projects!$C$42+1),0)+IF(AND(Projects!$G$43="Yes",97&gt;=Projects!$C$43,97&lt;Projects!$C$43+Projects!$D$43),Projects!$B$43*INDEX(Curves!$B$4:$AR$4,1,97-Projects!$C$43+1),0)+IF(AND(Projects!$G$44="Yes",97&gt;=Projects!$C$44,97&lt;Projects!$C$44+Projects!$D$44),Projects!$B$44*INDEX(Curves!$B$4:$AR$4,1,97-Projects!$C$44+1),0)+IF(AND(Projects!$G$45="Yes",97&gt;=Projects!$C$45,97&lt;Projects!$C$45+Projects!$D$45),Projects!$B$45*INDEX(Curves!$B$4:$AR$4,1,97-Projects!$C$45+1),0)+IF(AND(Projects!$G$46="Yes",97&gt;=Projects!$C$46,97&lt;Projects!$C$46+Projects!$D$46),Projects!$B$46*INDEX(Curves!$B$4:$AR$4,1,97-Projects!$C$46+1),0)</f>
        <v>0</v>
      </c>
      <c r="CY96" s="83" t="n">
        <f aca="false">IF(AND(Projects!$G$17="Yes",98&gt;=Projects!$C$17,98&lt;Projects!$C$17+Projects!$D$17),Projects!$B$17*INDEX(Curves!$B$4:$AR$4,1,98-Projects!$C$17+1),0)+IF(AND(Projects!$G$18="Yes",98&gt;=Projects!$C$18,98&lt;Projects!$C$18+Projects!$D$18),Projects!$B$18*INDEX(Curves!$B$4:$AR$4,1,98-Projects!$C$18+1),0)+IF(AND(Projects!$G$19="Yes",98&gt;=Projects!$C$19,98&lt;Projects!$C$19+Projects!$D$19),Projects!$B$19*INDEX(Curves!$B$4:$AR$4,1,98-Projects!$C$19+1),0)+IF(AND(Projects!$G$20="Yes",98&gt;=Projects!$C$20,98&lt;Projects!$C$20+Projects!$D$20),Projects!$B$20*INDEX(Curves!$B$4:$AR$4,1,98-Projects!$C$20+1),0)+IF(AND(Projects!$G$21="Yes",98&gt;=Projects!$C$21,98&lt;Projects!$C$21+Projects!$D$21),Projects!$B$21*INDEX(Curves!$B$4:$AR$4,1,98-Projects!$C$21+1),0)+IF(AND(Projects!$G$22="Yes",98&gt;=Projects!$C$22,98&lt;Projects!$C$22+Projects!$D$22),Projects!$B$22*INDEX(Curves!$B$4:$AR$4,1,98-Projects!$C$22+1),0)+IF(AND(Projects!$G$23="Yes",98&gt;=Projects!$C$23,98&lt;Projects!$C$23+Projects!$D$23),Projects!$B$23*INDEX(Curves!$B$4:$AR$4,1,98-Projects!$C$23+1),0)+IF(AND(Projects!$G$24="Yes",98&gt;=Projects!$C$24,98&lt;Projects!$C$24+Projects!$D$24),Projects!$B$24*INDEX(Curves!$B$4:$AR$4,1,98-Projects!$C$24+1),0)+IF(AND(Projects!$G$25="Yes",98&gt;=Projects!$C$25,98&lt;Projects!$C$25+Projects!$D$25),Projects!$B$25*INDEX(Curves!$B$4:$AR$4,1,98-Projects!$C$25+1),0)+IF(AND(Projects!$G$26="Yes",98&gt;=Projects!$C$26,98&lt;Projects!$C$26+Projects!$D$26),Projects!$B$26*INDEX(Curves!$B$4:$AR$4,1,98-Projects!$C$26+1),0)+IF(AND(Projects!$G$27="Yes",98&gt;=Projects!$C$27,98&lt;Projects!$C$27+Projects!$D$27),Projects!$B$27*INDEX(Curves!$B$4:$AR$4,1,98-Projects!$C$27+1),0)+IF(AND(Projects!$G$28="Yes",98&gt;=Projects!$C$28,98&lt;Projects!$C$28+Projects!$D$28),Projects!$B$28*INDEX(Curves!$B$4:$AR$4,1,98-Projects!$C$28+1),0)+IF(AND(Projects!$G$29="Yes",98&gt;=Projects!$C$29,98&lt;Projects!$C$29+Projects!$D$29),Projects!$B$29*INDEX(Curves!$B$4:$AR$4,1,98-Projects!$C$29+1),0)+IF(AND(Projects!$G$30="Yes",98&gt;=Projects!$C$30,98&lt;Projects!$C$30+Projects!$D$30),Projects!$B$30*INDEX(Curves!$B$4:$AR$4,1,98-Projects!$C$30+1),0)+IF(AND(Projects!$G$31="Yes",98&gt;=Projects!$C$31,98&lt;Projects!$C$31+Projects!$D$31),Projects!$B$31*INDEX(Curves!$B$4:$AR$4,1,98-Projects!$C$31+1),0)+IF(AND(Projects!$G$32="Yes",98&gt;=Projects!$C$32,98&lt;Projects!$C$32+Projects!$D$32),Projects!$B$32*INDEX(Curves!$B$4:$AR$4,1,98-Projects!$C$32+1),0)+IF(AND(Projects!$G$33="Yes",98&gt;=Projects!$C$33,98&lt;Projects!$C$33+Projects!$D$33),Projects!$B$33*INDEX(Curves!$B$4:$AR$4,1,98-Projects!$C$33+1),0)+IF(AND(Projects!$G$34="Yes",98&gt;=Projects!$C$34,98&lt;Projects!$C$34+Projects!$D$34),Projects!$B$34*INDEX(Curves!$B$4:$AR$4,1,98-Projects!$C$34+1),0)+IF(AND(Projects!$G$35="Yes",98&gt;=Projects!$C$35,98&lt;Projects!$C$35+Projects!$D$35),Projects!$B$35*INDEX(Curves!$B$4:$AR$4,1,98-Projects!$C$35+1),0)+IF(AND(Projects!$G$36="Yes",98&gt;=Projects!$C$36,98&lt;Projects!$C$36+Projects!$D$36),Projects!$B$36*INDEX(Curves!$B$4:$AR$4,1,98-Projects!$C$36+1),0)+IF(AND(Projects!$G$37="Yes",98&gt;=Projects!$C$37,98&lt;Projects!$C$37+Projects!$D$37),Projects!$B$37*INDEX(Curves!$B$4:$AR$4,1,98-Projects!$C$37+1),0)+IF(AND(Projects!$G$38="Yes",98&gt;=Projects!$C$38,98&lt;Projects!$C$38+Projects!$D$38),Projects!$B$38*INDEX(Curves!$B$4:$AR$4,1,98-Projects!$C$38+1),0)+IF(AND(Projects!$G$39="Yes",98&gt;=Projects!$C$39,98&lt;Projects!$C$39+Projects!$D$39),Projects!$B$39*INDEX(Curves!$B$4:$AR$4,1,98-Projects!$C$39+1),0)+IF(AND(Projects!$G$40="Yes",98&gt;=Projects!$C$40,98&lt;Projects!$C$40+Projects!$D$40),Projects!$B$40*INDEX(Curves!$B$4:$AR$4,1,98-Projects!$C$40+1),0)+IF(AND(Projects!$G$41="Yes",98&gt;=Projects!$C$41,98&lt;Projects!$C$41+Projects!$D$41),Projects!$B$41*INDEX(Curves!$B$4:$AR$4,1,98-Projects!$C$41+1),0)+IF(AND(Projects!$G$42="Yes",98&gt;=Projects!$C$42,98&lt;Projects!$C$42+Projects!$D$42),Projects!$B$42*INDEX(Curves!$B$4:$AR$4,1,98-Projects!$C$42+1),0)+IF(AND(Projects!$G$43="Yes",98&gt;=Projects!$C$43,98&lt;Projects!$C$43+Projects!$D$43),Projects!$B$43*INDEX(Curves!$B$4:$AR$4,1,98-Projects!$C$43+1),0)+IF(AND(Projects!$G$44="Yes",98&gt;=Projects!$C$44,98&lt;Projects!$C$44+Projects!$D$44),Projects!$B$44*INDEX(Curves!$B$4:$AR$4,1,98-Projects!$C$44+1),0)+IF(AND(Projects!$G$45="Yes",98&gt;=Projects!$C$45,98&lt;Projects!$C$45+Projects!$D$45),Projects!$B$45*INDEX(Curves!$B$4:$AR$4,1,98-Projects!$C$45+1),0)+IF(AND(Projects!$G$46="Yes",98&gt;=Projects!$C$46,98&lt;Projects!$C$46+Projects!$D$46),Projects!$B$46*INDEX(Curves!$B$4:$AR$4,1,98-Projects!$C$46+1),0)</f>
        <v>0</v>
      </c>
      <c r="CZ96" s="83" t="n">
        <f aca="false">IF(AND(Projects!$G$17="Yes",99&gt;=Projects!$C$17,99&lt;Projects!$C$17+Projects!$D$17),Projects!$B$17*INDEX(Curves!$B$4:$AR$4,1,99-Projects!$C$17+1),0)+IF(AND(Projects!$G$18="Yes",99&gt;=Projects!$C$18,99&lt;Projects!$C$18+Projects!$D$18),Projects!$B$18*INDEX(Curves!$B$4:$AR$4,1,99-Projects!$C$18+1),0)+IF(AND(Projects!$G$19="Yes",99&gt;=Projects!$C$19,99&lt;Projects!$C$19+Projects!$D$19),Projects!$B$19*INDEX(Curves!$B$4:$AR$4,1,99-Projects!$C$19+1),0)+IF(AND(Projects!$G$20="Yes",99&gt;=Projects!$C$20,99&lt;Projects!$C$20+Projects!$D$20),Projects!$B$20*INDEX(Curves!$B$4:$AR$4,1,99-Projects!$C$20+1),0)+IF(AND(Projects!$G$21="Yes",99&gt;=Projects!$C$21,99&lt;Projects!$C$21+Projects!$D$21),Projects!$B$21*INDEX(Curves!$B$4:$AR$4,1,99-Projects!$C$21+1),0)+IF(AND(Projects!$G$22="Yes",99&gt;=Projects!$C$22,99&lt;Projects!$C$22+Projects!$D$22),Projects!$B$22*INDEX(Curves!$B$4:$AR$4,1,99-Projects!$C$22+1),0)+IF(AND(Projects!$G$23="Yes",99&gt;=Projects!$C$23,99&lt;Projects!$C$23+Projects!$D$23),Projects!$B$23*INDEX(Curves!$B$4:$AR$4,1,99-Projects!$C$23+1),0)+IF(AND(Projects!$G$24="Yes",99&gt;=Projects!$C$24,99&lt;Projects!$C$24+Projects!$D$24),Projects!$B$24*INDEX(Curves!$B$4:$AR$4,1,99-Projects!$C$24+1),0)+IF(AND(Projects!$G$25="Yes",99&gt;=Projects!$C$25,99&lt;Projects!$C$25+Projects!$D$25),Projects!$B$25*INDEX(Curves!$B$4:$AR$4,1,99-Projects!$C$25+1),0)+IF(AND(Projects!$G$26="Yes",99&gt;=Projects!$C$26,99&lt;Projects!$C$26+Projects!$D$26),Projects!$B$26*INDEX(Curves!$B$4:$AR$4,1,99-Projects!$C$26+1),0)+IF(AND(Projects!$G$27="Yes",99&gt;=Projects!$C$27,99&lt;Projects!$C$27+Projects!$D$27),Projects!$B$27*INDEX(Curves!$B$4:$AR$4,1,99-Projects!$C$27+1),0)+IF(AND(Projects!$G$28="Yes",99&gt;=Projects!$C$28,99&lt;Projects!$C$28+Projects!$D$28),Projects!$B$28*INDEX(Curves!$B$4:$AR$4,1,99-Projects!$C$28+1),0)+IF(AND(Projects!$G$29="Yes",99&gt;=Projects!$C$29,99&lt;Projects!$C$29+Projects!$D$29),Projects!$B$29*INDEX(Curves!$B$4:$AR$4,1,99-Projects!$C$29+1),0)+IF(AND(Projects!$G$30="Yes",99&gt;=Projects!$C$30,99&lt;Projects!$C$30+Projects!$D$30),Projects!$B$30*INDEX(Curves!$B$4:$AR$4,1,99-Projects!$C$30+1),0)+IF(AND(Projects!$G$31="Yes",99&gt;=Projects!$C$31,99&lt;Projects!$C$31+Projects!$D$31),Projects!$B$31*INDEX(Curves!$B$4:$AR$4,1,99-Projects!$C$31+1),0)+IF(AND(Projects!$G$32="Yes",99&gt;=Projects!$C$32,99&lt;Projects!$C$32+Projects!$D$32),Projects!$B$32*INDEX(Curves!$B$4:$AR$4,1,99-Projects!$C$32+1),0)+IF(AND(Projects!$G$33="Yes",99&gt;=Projects!$C$33,99&lt;Projects!$C$33+Projects!$D$33),Projects!$B$33*INDEX(Curves!$B$4:$AR$4,1,99-Projects!$C$33+1),0)+IF(AND(Projects!$G$34="Yes",99&gt;=Projects!$C$34,99&lt;Projects!$C$34+Projects!$D$34),Projects!$B$34*INDEX(Curves!$B$4:$AR$4,1,99-Projects!$C$34+1),0)+IF(AND(Projects!$G$35="Yes",99&gt;=Projects!$C$35,99&lt;Projects!$C$35+Projects!$D$35),Projects!$B$35*INDEX(Curves!$B$4:$AR$4,1,99-Projects!$C$35+1),0)+IF(AND(Projects!$G$36="Yes",99&gt;=Projects!$C$36,99&lt;Projects!$C$36+Projects!$D$36),Projects!$B$36*INDEX(Curves!$B$4:$AR$4,1,99-Projects!$C$36+1),0)+IF(AND(Projects!$G$37="Yes",99&gt;=Projects!$C$37,99&lt;Projects!$C$37+Projects!$D$37),Projects!$B$37*INDEX(Curves!$B$4:$AR$4,1,99-Projects!$C$37+1),0)+IF(AND(Projects!$G$38="Yes",99&gt;=Projects!$C$38,99&lt;Projects!$C$38+Projects!$D$38),Projects!$B$38*INDEX(Curves!$B$4:$AR$4,1,99-Projects!$C$38+1),0)+IF(AND(Projects!$G$39="Yes",99&gt;=Projects!$C$39,99&lt;Projects!$C$39+Projects!$D$39),Projects!$B$39*INDEX(Curves!$B$4:$AR$4,1,99-Projects!$C$39+1),0)+IF(AND(Projects!$G$40="Yes",99&gt;=Projects!$C$40,99&lt;Projects!$C$40+Projects!$D$40),Projects!$B$40*INDEX(Curves!$B$4:$AR$4,1,99-Projects!$C$40+1),0)+IF(AND(Projects!$G$41="Yes",99&gt;=Projects!$C$41,99&lt;Projects!$C$41+Projects!$D$41),Projects!$B$41*INDEX(Curves!$B$4:$AR$4,1,99-Projects!$C$41+1),0)+IF(AND(Projects!$G$42="Yes",99&gt;=Projects!$C$42,99&lt;Projects!$C$42+Projects!$D$42),Projects!$B$42*INDEX(Curves!$B$4:$AR$4,1,99-Projects!$C$42+1),0)+IF(AND(Projects!$G$43="Yes",99&gt;=Projects!$C$43,99&lt;Projects!$C$43+Projects!$D$43),Projects!$B$43*INDEX(Curves!$B$4:$AR$4,1,99-Projects!$C$43+1),0)+IF(AND(Projects!$G$44="Yes",99&gt;=Projects!$C$44,99&lt;Projects!$C$44+Projects!$D$44),Projects!$B$44*INDEX(Curves!$B$4:$AR$4,1,99-Projects!$C$44+1),0)+IF(AND(Projects!$G$45="Yes",99&gt;=Projects!$C$45,99&lt;Projects!$C$45+Projects!$D$45),Projects!$B$45*INDEX(Curves!$B$4:$AR$4,1,99-Projects!$C$45+1),0)+IF(AND(Projects!$G$46="Yes",99&gt;=Projects!$C$46,99&lt;Projects!$C$46+Projects!$D$46),Projects!$B$46*INDEX(Curves!$B$4:$AR$4,1,99-Projects!$C$46+1),0)</f>
        <v>0</v>
      </c>
      <c r="DA96" s="83" t="n">
        <f aca="false">IF(AND(Projects!$G$17="Yes",100&gt;=Projects!$C$17,100&lt;Projects!$C$17+Projects!$D$17),Projects!$B$17*INDEX(Curves!$B$4:$AR$4,1,100-Projects!$C$17+1),0)+IF(AND(Projects!$G$18="Yes",100&gt;=Projects!$C$18,100&lt;Projects!$C$18+Projects!$D$18),Projects!$B$18*INDEX(Curves!$B$4:$AR$4,1,100-Projects!$C$18+1),0)+IF(AND(Projects!$G$19="Yes",100&gt;=Projects!$C$19,100&lt;Projects!$C$19+Projects!$D$19),Projects!$B$19*INDEX(Curves!$B$4:$AR$4,1,100-Projects!$C$19+1),0)+IF(AND(Projects!$G$20="Yes",100&gt;=Projects!$C$20,100&lt;Projects!$C$20+Projects!$D$20),Projects!$B$20*INDEX(Curves!$B$4:$AR$4,1,100-Projects!$C$20+1),0)+IF(AND(Projects!$G$21="Yes",100&gt;=Projects!$C$21,100&lt;Projects!$C$21+Projects!$D$21),Projects!$B$21*INDEX(Curves!$B$4:$AR$4,1,100-Projects!$C$21+1),0)+IF(AND(Projects!$G$22="Yes",100&gt;=Projects!$C$22,100&lt;Projects!$C$22+Projects!$D$22),Projects!$B$22*INDEX(Curves!$B$4:$AR$4,1,100-Projects!$C$22+1),0)+IF(AND(Projects!$G$23="Yes",100&gt;=Projects!$C$23,100&lt;Projects!$C$23+Projects!$D$23),Projects!$B$23*INDEX(Curves!$B$4:$AR$4,1,100-Projects!$C$23+1),0)+IF(AND(Projects!$G$24="Yes",100&gt;=Projects!$C$24,100&lt;Projects!$C$24+Projects!$D$24),Projects!$B$24*INDEX(Curves!$B$4:$AR$4,1,100-Projects!$C$24+1),0)+IF(AND(Projects!$G$25="Yes",100&gt;=Projects!$C$25,100&lt;Projects!$C$25+Projects!$D$25),Projects!$B$25*INDEX(Curves!$B$4:$AR$4,1,100-Projects!$C$25+1),0)+IF(AND(Projects!$G$26="Yes",100&gt;=Projects!$C$26,100&lt;Projects!$C$26+Projects!$D$26),Projects!$B$26*INDEX(Curves!$B$4:$AR$4,1,100-Projects!$C$26+1),0)+IF(AND(Projects!$G$27="Yes",100&gt;=Projects!$C$27,100&lt;Projects!$C$27+Projects!$D$27),Projects!$B$27*INDEX(Curves!$B$4:$AR$4,1,100-Projects!$C$27+1),0)+IF(AND(Projects!$G$28="Yes",100&gt;=Projects!$C$28,100&lt;Projects!$C$28+Projects!$D$28),Projects!$B$28*INDEX(Curves!$B$4:$AR$4,1,100-Projects!$C$28+1),0)+IF(AND(Projects!$G$29="Yes",100&gt;=Projects!$C$29,100&lt;Projects!$C$29+Projects!$D$29),Projects!$B$29*INDEX(Curves!$B$4:$AR$4,1,100-Projects!$C$29+1),0)+IF(AND(Projects!$G$30="Yes",100&gt;=Projects!$C$30,100&lt;Projects!$C$30+Projects!$D$30),Projects!$B$30*INDEX(Curves!$B$4:$AR$4,1,100-Projects!$C$30+1),0)+IF(AND(Projects!$G$31="Yes",100&gt;=Projects!$C$31,100&lt;Projects!$C$31+Projects!$D$31),Projects!$B$31*INDEX(Curves!$B$4:$AR$4,1,100-Projects!$C$31+1),0)+IF(AND(Projects!$G$32="Yes",100&gt;=Projects!$C$32,100&lt;Projects!$C$32+Projects!$D$32),Projects!$B$32*INDEX(Curves!$B$4:$AR$4,1,100-Projects!$C$32+1),0)+IF(AND(Projects!$G$33="Yes",100&gt;=Projects!$C$33,100&lt;Projects!$C$33+Projects!$D$33),Projects!$B$33*INDEX(Curves!$B$4:$AR$4,1,100-Projects!$C$33+1),0)+IF(AND(Projects!$G$34="Yes",100&gt;=Projects!$C$34,100&lt;Projects!$C$34+Projects!$D$34),Projects!$B$34*INDEX(Curves!$B$4:$AR$4,1,100-Projects!$C$34+1),0)+IF(AND(Projects!$G$35="Yes",100&gt;=Projects!$C$35,100&lt;Projects!$C$35+Projects!$D$35),Projects!$B$35*INDEX(Curves!$B$4:$AR$4,1,100-Projects!$C$35+1),0)+IF(AND(Projects!$G$36="Yes",100&gt;=Projects!$C$36,100&lt;Projects!$C$36+Projects!$D$36),Projects!$B$36*INDEX(Curves!$B$4:$AR$4,1,100-Projects!$C$36+1),0)+IF(AND(Projects!$G$37="Yes",100&gt;=Projects!$C$37,100&lt;Projects!$C$37+Projects!$D$37),Projects!$B$37*INDEX(Curves!$B$4:$AR$4,1,100-Projects!$C$37+1),0)+IF(AND(Projects!$G$38="Yes",100&gt;=Projects!$C$38,100&lt;Projects!$C$38+Projects!$D$38),Projects!$B$38*INDEX(Curves!$B$4:$AR$4,1,100-Projects!$C$38+1),0)+IF(AND(Projects!$G$39="Yes",100&gt;=Projects!$C$39,100&lt;Projects!$C$39+Projects!$D$39),Projects!$B$39*INDEX(Curves!$B$4:$AR$4,1,100-Projects!$C$39+1),0)+IF(AND(Projects!$G$40="Yes",100&gt;=Projects!$C$40,100&lt;Projects!$C$40+Projects!$D$40),Projects!$B$40*INDEX(Curves!$B$4:$AR$4,1,100-Projects!$C$40+1),0)+IF(AND(Projects!$G$41="Yes",100&gt;=Projects!$C$41,100&lt;Projects!$C$41+Projects!$D$41),Projects!$B$41*INDEX(Curves!$B$4:$AR$4,1,100-Projects!$C$41+1),0)+IF(AND(Projects!$G$42="Yes",100&gt;=Projects!$C$42,100&lt;Projects!$C$42+Projects!$D$42),Projects!$B$42*INDEX(Curves!$B$4:$AR$4,1,100-Projects!$C$42+1),0)+IF(AND(Projects!$G$43="Yes",100&gt;=Projects!$C$43,100&lt;Projects!$C$43+Projects!$D$43),Projects!$B$43*INDEX(Curves!$B$4:$AR$4,1,100-Projects!$C$43+1),0)+IF(AND(Projects!$G$44="Yes",100&gt;=Projects!$C$44,100&lt;Projects!$C$44+Projects!$D$44),Projects!$B$44*INDEX(Curves!$B$4:$AR$4,1,100-Projects!$C$44+1),0)+IF(AND(Projects!$G$45="Yes",100&gt;=Projects!$C$45,100&lt;Projects!$C$45+Projects!$D$45),Projects!$B$45*INDEX(Curves!$B$4:$AR$4,1,100-Projects!$C$45+1),0)+IF(AND(Projects!$G$46="Yes",100&gt;=Projects!$C$46,100&lt;Projects!$C$46+Projects!$D$46),Projects!$B$46*INDEX(Curves!$B$4:$AR$4,1,100-Projects!$C$46+1),0)</f>
        <v>0</v>
      </c>
      <c r="DB96" s="83" t="n">
        <f aca="false">IF(AND(Projects!$G$17="Yes",101&gt;=Projects!$C$17,101&lt;Projects!$C$17+Projects!$D$17),Projects!$B$17*INDEX(Curves!$B$4:$AR$4,1,101-Projects!$C$17+1),0)+IF(AND(Projects!$G$18="Yes",101&gt;=Projects!$C$18,101&lt;Projects!$C$18+Projects!$D$18),Projects!$B$18*INDEX(Curves!$B$4:$AR$4,1,101-Projects!$C$18+1),0)+IF(AND(Projects!$G$19="Yes",101&gt;=Projects!$C$19,101&lt;Projects!$C$19+Projects!$D$19),Projects!$B$19*INDEX(Curves!$B$4:$AR$4,1,101-Projects!$C$19+1),0)+IF(AND(Projects!$G$20="Yes",101&gt;=Projects!$C$20,101&lt;Projects!$C$20+Projects!$D$20),Projects!$B$20*INDEX(Curves!$B$4:$AR$4,1,101-Projects!$C$20+1),0)+IF(AND(Projects!$G$21="Yes",101&gt;=Projects!$C$21,101&lt;Projects!$C$21+Projects!$D$21),Projects!$B$21*INDEX(Curves!$B$4:$AR$4,1,101-Projects!$C$21+1),0)+IF(AND(Projects!$G$22="Yes",101&gt;=Projects!$C$22,101&lt;Projects!$C$22+Projects!$D$22),Projects!$B$22*INDEX(Curves!$B$4:$AR$4,1,101-Projects!$C$22+1),0)+IF(AND(Projects!$G$23="Yes",101&gt;=Projects!$C$23,101&lt;Projects!$C$23+Projects!$D$23),Projects!$B$23*INDEX(Curves!$B$4:$AR$4,1,101-Projects!$C$23+1),0)+IF(AND(Projects!$G$24="Yes",101&gt;=Projects!$C$24,101&lt;Projects!$C$24+Projects!$D$24),Projects!$B$24*INDEX(Curves!$B$4:$AR$4,1,101-Projects!$C$24+1),0)+IF(AND(Projects!$G$25="Yes",101&gt;=Projects!$C$25,101&lt;Projects!$C$25+Projects!$D$25),Projects!$B$25*INDEX(Curves!$B$4:$AR$4,1,101-Projects!$C$25+1),0)+IF(AND(Projects!$G$26="Yes",101&gt;=Projects!$C$26,101&lt;Projects!$C$26+Projects!$D$26),Projects!$B$26*INDEX(Curves!$B$4:$AR$4,1,101-Projects!$C$26+1),0)+IF(AND(Projects!$G$27="Yes",101&gt;=Projects!$C$27,101&lt;Projects!$C$27+Projects!$D$27),Projects!$B$27*INDEX(Curves!$B$4:$AR$4,1,101-Projects!$C$27+1),0)+IF(AND(Projects!$G$28="Yes",101&gt;=Projects!$C$28,101&lt;Projects!$C$28+Projects!$D$28),Projects!$B$28*INDEX(Curves!$B$4:$AR$4,1,101-Projects!$C$28+1),0)+IF(AND(Projects!$G$29="Yes",101&gt;=Projects!$C$29,101&lt;Projects!$C$29+Projects!$D$29),Projects!$B$29*INDEX(Curves!$B$4:$AR$4,1,101-Projects!$C$29+1),0)+IF(AND(Projects!$G$30="Yes",101&gt;=Projects!$C$30,101&lt;Projects!$C$30+Projects!$D$30),Projects!$B$30*INDEX(Curves!$B$4:$AR$4,1,101-Projects!$C$30+1),0)+IF(AND(Projects!$G$31="Yes",101&gt;=Projects!$C$31,101&lt;Projects!$C$31+Projects!$D$31),Projects!$B$31*INDEX(Curves!$B$4:$AR$4,1,101-Projects!$C$31+1),0)+IF(AND(Projects!$G$32="Yes",101&gt;=Projects!$C$32,101&lt;Projects!$C$32+Projects!$D$32),Projects!$B$32*INDEX(Curves!$B$4:$AR$4,1,101-Projects!$C$32+1),0)+IF(AND(Projects!$G$33="Yes",101&gt;=Projects!$C$33,101&lt;Projects!$C$33+Projects!$D$33),Projects!$B$33*INDEX(Curves!$B$4:$AR$4,1,101-Projects!$C$33+1),0)+IF(AND(Projects!$G$34="Yes",101&gt;=Projects!$C$34,101&lt;Projects!$C$34+Projects!$D$34),Projects!$B$34*INDEX(Curves!$B$4:$AR$4,1,101-Projects!$C$34+1),0)+IF(AND(Projects!$G$35="Yes",101&gt;=Projects!$C$35,101&lt;Projects!$C$35+Projects!$D$35),Projects!$B$35*INDEX(Curves!$B$4:$AR$4,1,101-Projects!$C$35+1),0)+IF(AND(Projects!$G$36="Yes",101&gt;=Projects!$C$36,101&lt;Projects!$C$36+Projects!$D$36),Projects!$B$36*INDEX(Curves!$B$4:$AR$4,1,101-Projects!$C$36+1),0)+IF(AND(Projects!$G$37="Yes",101&gt;=Projects!$C$37,101&lt;Projects!$C$37+Projects!$D$37),Projects!$B$37*INDEX(Curves!$B$4:$AR$4,1,101-Projects!$C$37+1),0)+IF(AND(Projects!$G$38="Yes",101&gt;=Projects!$C$38,101&lt;Projects!$C$38+Projects!$D$38),Projects!$B$38*INDEX(Curves!$B$4:$AR$4,1,101-Projects!$C$38+1),0)+IF(AND(Projects!$G$39="Yes",101&gt;=Projects!$C$39,101&lt;Projects!$C$39+Projects!$D$39),Projects!$B$39*INDEX(Curves!$B$4:$AR$4,1,101-Projects!$C$39+1),0)+IF(AND(Projects!$G$40="Yes",101&gt;=Projects!$C$40,101&lt;Projects!$C$40+Projects!$D$40),Projects!$B$40*INDEX(Curves!$B$4:$AR$4,1,101-Projects!$C$40+1),0)+IF(AND(Projects!$G$41="Yes",101&gt;=Projects!$C$41,101&lt;Projects!$C$41+Projects!$D$41),Projects!$B$41*INDEX(Curves!$B$4:$AR$4,1,101-Projects!$C$41+1),0)+IF(AND(Projects!$G$42="Yes",101&gt;=Projects!$C$42,101&lt;Projects!$C$42+Projects!$D$42),Projects!$B$42*INDEX(Curves!$B$4:$AR$4,1,101-Projects!$C$42+1),0)+IF(AND(Projects!$G$43="Yes",101&gt;=Projects!$C$43,101&lt;Projects!$C$43+Projects!$D$43),Projects!$B$43*INDEX(Curves!$B$4:$AR$4,1,101-Projects!$C$43+1),0)+IF(AND(Projects!$G$44="Yes",101&gt;=Projects!$C$44,101&lt;Projects!$C$44+Projects!$D$44),Projects!$B$44*INDEX(Curves!$B$4:$AR$4,1,101-Projects!$C$44+1),0)+IF(AND(Projects!$G$45="Yes",101&gt;=Projects!$C$45,101&lt;Projects!$C$45+Projects!$D$45),Projects!$B$45*INDEX(Curves!$B$4:$AR$4,1,101-Projects!$C$45+1),0)+IF(AND(Projects!$G$46="Yes",101&gt;=Projects!$C$46,101&lt;Projects!$C$46+Projects!$D$46),Projects!$B$46*INDEX(Curves!$B$4:$AR$4,1,101-Projects!$C$46+1),0)</f>
        <v>0</v>
      </c>
      <c r="DC96" s="83" t="n">
        <f aca="false">IF(AND(Projects!$G$17="Yes",102&gt;=Projects!$C$17,102&lt;Projects!$C$17+Projects!$D$17),Projects!$B$17*INDEX(Curves!$B$4:$AR$4,1,102-Projects!$C$17+1),0)+IF(AND(Projects!$G$18="Yes",102&gt;=Projects!$C$18,102&lt;Projects!$C$18+Projects!$D$18),Projects!$B$18*INDEX(Curves!$B$4:$AR$4,1,102-Projects!$C$18+1),0)+IF(AND(Projects!$G$19="Yes",102&gt;=Projects!$C$19,102&lt;Projects!$C$19+Projects!$D$19),Projects!$B$19*INDEX(Curves!$B$4:$AR$4,1,102-Projects!$C$19+1),0)+IF(AND(Projects!$G$20="Yes",102&gt;=Projects!$C$20,102&lt;Projects!$C$20+Projects!$D$20),Projects!$B$20*INDEX(Curves!$B$4:$AR$4,1,102-Projects!$C$20+1),0)+IF(AND(Projects!$G$21="Yes",102&gt;=Projects!$C$21,102&lt;Projects!$C$21+Projects!$D$21),Projects!$B$21*INDEX(Curves!$B$4:$AR$4,1,102-Projects!$C$21+1),0)+IF(AND(Projects!$G$22="Yes",102&gt;=Projects!$C$22,102&lt;Projects!$C$22+Projects!$D$22),Projects!$B$22*INDEX(Curves!$B$4:$AR$4,1,102-Projects!$C$22+1),0)+IF(AND(Projects!$G$23="Yes",102&gt;=Projects!$C$23,102&lt;Projects!$C$23+Projects!$D$23),Projects!$B$23*INDEX(Curves!$B$4:$AR$4,1,102-Projects!$C$23+1),0)+IF(AND(Projects!$G$24="Yes",102&gt;=Projects!$C$24,102&lt;Projects!$C$24+Projects!$D$24),Projects!$B$24*INDEX(Curves!$B$4:$AR$4,1,102-Projects!$C$24+1),0)+IF(AND(Projects!$G$25="Yes",102&gt;=Projects!$C$25,102&lt;Projects!$C$25+Projects!$D$25),Projects!$B$25*INDEX(Curves!$B$4:$AR$4,1,102-Projects!$C$25+1),0)+IF(AND(Projects!$G$26="Yes",102&gt;=Projects!$C$26,102&lt;Projects!$C$26+Projects!$D$26),Projects!$B$26*INDEX(Curves!$B$4:$AR$4,1,102-Projects!$C$26+1),0)+IF(AND(Projects!$G$27="Yes",102&gt;=Projects!$C$27,102&lt;Projects!$C$27+Projects!$D$27),Projects!$B$27*INDEX(Curves!$B$4:$AR$4,1,102-Projects!$C$27+1),0)+IF(AND(Projects!$G$28="Yes",102&gt;=Projects!$C$28,102&lt;Projects!$C$28+Projects!$D$28),Projects!$B$28*INDEX(Curves!$B$4:$AR$4,1,102-Projects!$C$28+1),0)+IF(AND(Projects!$G$29="Yes",102&gt;=Projects!$C$29,102&lt;Projects!$C$29+Projects!$D$29),Projects!$B$29*INDEX(Curves!$B$4:$AR$4,1,102-Projects!$C$29+1),0)+IF(AND(Projects!$G$30="Yes",102&gt;=Projects!$C$30,102&lt;Projects!$C$30+Projects!$D$30),Projects!$B$30*INDEX(Curves!$B$4:$AR$4,1,102-Projects!$C$30+1),0)+IF(AND(Projects!$G$31="Yes",102&gt;=Projects!$C$31,102&lt;Projects!$C$31+Projects!$D$31),Projects!$B$31*INDEX(Curves!$B$4:$AR$4,1,102-Projects!$C$31+1),0)+IF(AND(Projects!$G$32="Yes",102&gt;=Projects!$C$32,102&lt;Projects!$C$32+Projects!$D$32),Projects!$B$32*INDEX(Curves!$B$4:$AR$4,1,102-Projects!$C$32+1),0)+IF(AND(Projects!$G$33="Yes",102&gt;=Projects!$C$33,102&lt;Projects!$C$33+Projects!$D$33),Projects!$B$33*INDEX(Curves!$B$4:$AR$4,1,102-Projects!$C$33+1),0)+IF(AND(Projects!$G$34="Yes",102&gt;=Projects!$C$34,102&lt;Projects!$C$34+Projects!$D$34),Projects!$B$34*INDEX(Curves!$B$4:$AR$4,1,102-Projects!$C$34+1),0)+IF(AND(Projects!$G$35="Yes",102&gt;=Projects!$C$35,102&lt;Projects!$C$35+Projects!$D$35),Projects!$B$35*INDEX(Curves!$B$4:$AR$4,1,102-Projects!$C$35+1),0)+IF(AND(Projects!$G$36="Yes",102&gt;=Projects!$C$36,102&lt;Projects!$C$36+Projects!$D$36),Projects!$B$36*INDEX(Curves!$B$4:$AR$4,1,102-Projects!$C$36+1),0)+IF(AND(Projects!$G$37="Yes",102&gt;=Projects!$C$37,102&lt;Projects!$C$37+Projects!$D$37),Projects!$B$37*INDEX(Curves!$B$4:$AR$4,1,102-Projects!$C$37+1),0)+IF(AND(Projects!$G$38="Yes",102&gt;=Projects!$C$38,102&lt;Projects!$C$38+Projects!$D$38),Projects!$B$38*INDEX(Curves!$B$4:$AR$4,1,102-Projects!$C$38+1),0)+IF(AND(Projects!$G$39="Yes",102&gt;=Projects!$C$39,102&lt;Projects!$C$39+Projects!$D$39),Projects!$B$39*INDEX(Curves!$B$4:$AR$4,1,102-Projects!$C$39+1),0)+IF(AND(Projects!$G$40="Yes",102&gt;=Projects!$C$40,102&lt;Projects!$C$40+Projects!$D$40),Projects!$B$40*INDEX(Curves!$B$4:$AR$4,1,102-Projects!$C$40+1),0)+IF(AND(Projects!$G$41="Yes",102&gt;=Projects!$C$41,102&lt;Projects!$C$41+Projects!$D$41),Projects!$B$41*INDEX(Curves!$B$4:$AR$4,1,102-Projects!$C$41+1),0)+IF(AND(Projects!$G$42="Yes",102&gt;=Projects!$C$42,102&lt;Projects!$C$42+Projects!$D$42),Projects!$B$42*INDEX(Curves!$B$4:$AR$4,1,102-Projects!$C$42+1),0)+IF(AND(Projects!$G$43="Yes",102&gt;=Projects!$C$43,102&lt;Projects!$C$43+Projects!$D$43),Projects!$B$43*INDEX(Curves!$B$4:$AR$4,1,102-Projects!$C$43+1),0)+IF(AND(Projects!$G$44="Yes",102&gt;=Projects!$C$44,102&lt;Projects!$C$44+Projects!$D$44),Projects!$B$44*INDEX(Curves!$B$4:$AR$4,1,102-Projects!$C$44+1),0)+IF(AND(Projects!$G$45="Yes",102&gt;=Projects!$C$45,102&lt;Projects!$C$45+Projects!$D$45),Projects!$B$45*INDEX(Curves!$B$4:$AR$4,1,102-Projects!$C$45+1),0)+IF(AND(Projects!$G$46="Yes",102&gt;=Projects!$C$46,102&lt;Projects!$C$46+Projects!$D$46),Projects!$B$46*INDEX(Curves!$B$4:$AR$4,1,102-Projects!$C$46+1),0)</f>
        <v>0</v>
      </c>
      <c r="DD96" s="83" t="n">
        <f aca="false">IF(AND(Projects!$G$17="Yes",103&gt;=Projects!$C$17,103&lt;Projects!$C$17+Projects!$D$17),Projects!$B$17*INDEX(Curves!$B$4:$AR$4,1,103-Projects!$C$17+1),0)+IF(AND(Projects!$G$18="Yes",103&gt;=Projects!$C$18,103&lt;Projects!$C$18+Projects!$D$18),Projects!$B$18*INDEX(Curves!$B$4:$AR$4,1,103-Projects!$C$18+1),0)+IF(AND(Projects!$G$19="Yes",103&gt;=Projects!$C$19,103&lt;Projects!$C$19+Projects!$D$19),Projects!$B$19*INDEX(Curves!$B$4:$AR$4,1,103-Projects!$C$19+1),0)+IF(AND(Projects!$G$20="Yes",103&gt;=Projects!$C$20,103&lt;Projects!$C$20+Projects!$D$20),Projects!$B$20*INDEX(Curves!$B$4:$AR$4,1,103-Projects!$C$20+1),0)+IF(AND(Projects!$G$21="Yes",103&gt;=Projects!$C$21,103&lt;Projects!$C$21+Projects!$D$21),Projects!$B$21*INDEX(Curves!$B$4:$AR$4,1,103-Projects!$C$21+1),0)+IF(AND(Projects!$G$22="Yes",103&gt;=Projects!$C$22,103&lt;Projects!$C$22+Projects!$D$22),Projects!$B$22*INDEX(Curves!$B$4:$AR$4,1,103-Projects!$C$22+1),0)+IF(AND(Projects!$G$23="Yes",103&gt;=Projects!$C$23,103&lt;Projects!$C$23+Projects!$D$23),Projects!$B$23*INDEX(Curves!$B$4:$AR$4,1,103-Projects!$C$23+1),0)+IF(AND(Projects!$G$24="Yes",103&gt;=Projects!$C$24,103&lt;Projects!$C$24+Projects!$D$24),Projects!$B$24*INDEX(Curves!$B$4:$AR$4,1,103-Projects!$C$24+1),0)+IF(AND(Projects!$G$25="Yes",103&gt;=Projects!$C$25,103&lt;Projects!$C$25+Projects!$D$25),Projects!$B$25*INDEX(Curves!$B$4:$AR$4,1,103-Projects!$C$25+1),0)+IF(AND(Projects!$G$26="Yes",103&gt;=Projects!$C$26,103&lt;Projects!$C$26+Projects!$D$26),Projects!$B$26*INDEX(Curves!$B$4:$AR$4,1,103-Projects!$C$26+1),0)+IF(AND(Projects!$G$27="Yes",103&gt;=Projects!$C$27,103&lt;Projects!$C$27+Projects!$D$27),Projects!$B$27*INDEX(Curves!$B$4:$AR$4,1,103-Projects!$C$27+1),0)+IF(AND(Projects!$G$28="Yes",103&gt;=Projects!$C$28,103&lt;Projects!$C$28+Projects!$D$28),Projects!$B$28*INDEX(Curves!$B$4:$AR$4,1,103-Projects!$C$28+1),0)+IF(AND(Projects!$G$29="Yes",103&gt;=Projects!$C$29,103&lt;Projects!$C$29+Projects!$D$29),Projects!$B$29*INDEX(Curves!$B$4:$AR$4,1,103-Projects!$C$29+1),0)+IF(AND(Projects!$G$30="Yes",103&gt;=Projects!$C$30,103&lt;Projects!$C$30+Projects!$D$30),Projects!$B$30*INDEX(Curves!$B$4:$AR$4,1,103-Projects!$C$30+1),0)+IF(AND(Projects!$G$31="Yes",103&gt;=Projects!$C$31,103&lt;Projects!$C$31+Projects!$D$31),Projects!$B$31*INDEX(Curves!$B$4:$AR$4,1,103-Projects!$C$31+1),0)+IF(AND(Projects!$G$32="Yes",103&gt;=Projects!$C$32,103&lt;Projects!$C$32+Projects!$D$32),Projects!$B$32*INDEX(Curves!$B$4:$AR$4,1,103-Projects!$C$32+1),0)+IF(AND(Projects!$G$33="Yes",103&gt;=Projects!$C$33,103&lt;Projects!$C$33+Projects!$D$33),Projects!$B$33*INDEX(Curves!$B$4:$AR$4,1,103-Projects!$C$33+1),0)+IF(AND(Projects!$G$34="Yes",103&gt;=Projects!$C$34,103&lt;Projects!$C$34+Projects!$D$34),Projects!$B$34*INDEX(Curves!$B$4:$AR$4,1,103-Projects!$C$34+1),0)+IF(AND(Projects!$G$35="Yes",103&gt;=Projects!$C$35,103&lt;Projects!$C$35+Projects!$D$35),Projects!$B$35*INDEX(Curves!$B$4:$AR$4,1,103-Projects!$C$35+1),0)+IF(AND(Projects!$G$36="Yes",103&gt;=Projects!$C$36,103&lt;Projects!$C$36+Projects!$D$36),Projects!$B$36*INDEX(Curves!$B$4:$AR$4,1,103-Projects!$C$36+1),0)+IF(AND(Projects!$G$37="Yes",103&gt;=Projects!$C$37,103&lt;Projects!$C$37+Projects!$D$37),Projects!$B$37*INDEX(Curves!$B$4:$AR$4,1,103-Projects!$C$37+1),0)+IF(AND(Projects!$G$38="Yes",103&gt;=Projects!$C$38,103&lt;Projects!$C$38+Projects!$D$38),Projects!$B$38*INDEX(Curves!$B$4:$AR$4,1,103-Projects!$C$38+1),0)+IF(AND(Projects!$G$39="Yes",103&gt;=Projects!$C$39,103&lt;Projects!$C$39+Projects!$D$39),Projects!$B$39*INDEX(Curves!$B$4:$AR$4,1,103-Projects!$C$39+1),0)+IF(AND(Projects!$G$40="Yes",103&gt;=Projects!$C$40,103&lt;Projects!$C$40+Projects!$D$40),Projects!$B$40*INDEX(Curves!$B$4:$AR$4,1,103-Projects!$C$40+1),0)+IF(AND(Projects!$G$41="Yes",103&gt;=Projects!$C$41,103&lt;Projects!$C$41+Projects!$D$41),Projects!$B$41*INDEX(Curves!$B$4:$AR$4,1,103-Projects!$C$41+1),0)+IF(AND(Projects!$G$42="Yes",103&gt;=Projects!$C$42,103&lt;Projects!$C$42+Projects!$D$42),Projects!$B$42*INDEX(Curves!$B$4:$AR$4,1,103-Projects!$C$42+1),0)+IF(AND(Projects!$G$43="Yes",103&gt;=Projects!$C$43,103&lt;Projects!$C$43+Projects!$D$43),Projects!$B$43*INDEX(Curves!$B$4:$AR$4,1,103-Projects!$C$43+1),0)+IF(AND(Projects!$G$44="Yes",103&gt;=Projects!$C$44,103&lt;Projects!$C$44+Projects!$D$44),Projects!$B$44*INDEX(Curves!$B$4:$AR$4,1,103-Projects!$C$44+1),0)+IF(AND(Projects!$G$45="Yes",103&gt;=Projects!$C$45,103&lt;Projects!$C$45+Projects!$D$45),Projects!$B$45*INDEX(Curves!$B$4:$AR$4,1,103-Projects!$C$45+1),0)+IF(AND(Projects!$G$46="Yes",103&gt;=Projects!$C$46,103&lt;Projects!$C$46+Projects!$D$46),Projects!$B$46*INDEX(Curves!$B$4:$AR$4,1,103-Projects!$C$46+1),0)</f>
        <v>0</v>
      </c>
      <c r="DE96" s="83" t="n">
        <f aca="false">IF(AND(Projects!$G$17="Yes",104&gt;=Projects!$C$17,104&lt;Projects!$C$17+Projects!$D$17),Projects!$B$17*INDEX(Curves!$B$4:$AR$4,1,104-Projects!$C$17+1),0)+IF(AND(Projects!$G$18="Yes",104&gt;=Projects!$C$18,104&lt;Projects!$C$18+Projects!$D$18),Projects!$B$18*INDEX(Curves!$B$4:$AR$4,1,104-Projects!$C$18+1),0)+IF(AND(Projects!$G$19="Yes",104&gt;=Projects!$C$19,104&lt;Projects!$C$19+Projects!$D$19),Projects!$B$19*INDEX(Curves!$B$4:$AR$4,1,104-Projects!$C$19+1),0)+IF(AND(Projects!$G$20="Yes",104&gt;=Projects!$C$20,104&lt;Projects!$C$20+Projects!$D$20),Projects!$B$20*INDEX(Curves!$B$4:$AR$4,1,104-Projects!$C$20+1),0)+IF(AND(Projects!$G$21="Yes",104&gt;=Projects!$C$21,104&lt;Projects!$C$21+Projects!$D$21),Projects!$B$21*INDEX(Curves!$B$4:$AR$4,1,104-Projects!$C$21+1),0)+IF(AND(Projects!$G$22="Yes",104&gt;=Projects!$C$22,104&lt;Projects!$C$22+Projects!$D$22),Projects!$B$22*INDEX(Curves!$B$4:$AR$4,1,104-Projects!$C$22+1),0)+IF(AND(Projects!$G$23="Yes",104&gt;=Projects!$C$23,104&lt;Projects!$C$23+Projects!$D$23),Projects!$B$23*INDEX(Curves!$B$4:$AR$4,1,104-Projects!$C$23+1),0)+IF(AND(Projects!$G$24="Yes",104&gt;=Projects!$C$24,104&lt;Projects!$C$24+Projects!$D$24),Projects!$B$24*INDEX(Curves!$B$4:$AR$4,1,104-Projects!$C$24+1),0)+IF(AND(Projects!$G$25="Yes",104&gt;=Projects!$C$25,104&lt;Projects!$C$25+Projects!$D$25),Projects!$B$25*INDEX(Curves!$B$4:$AR$4,1,104-Projects!$C$25+1),0)+IF(AND(Projects!$G$26="Yes",104&gt;=Projects!$C$26,104&lt;Projects!$C$26+Projects!$D$26),Projects!$B$26*INDEX(Curves!$B$4:$AR$4,1,104-Projects!$C$26+1),0)+IF(AND(Projects!$G$27="Yes",104&gt;=Projects!$C$27,104&lt;Projects!$C$27+Projects!$D$27),Projects!$B$27*INDEX(Curves!$B$4:$AR$4,1,104-Projects!$C$27+1),0)+IF(AND(Projects!$G$28="Yes",104&gt;=Projects!$C$28,104&lt;Projects!$C$28+Projects!$D$28),Projects!$B$28*INDEX(Curves!$B$4:$AR$4,1,104-Projects!$C$28+1),0)+IF(AND(Projects!$G$29="Yes",104&gt;=Projects!$C$29,104&lt;Projects!$C$29+Projects!$D$29),Projects!$B$29*INDEX(Curves!$B$4:$AR$4,1,104-Projects!$C$29+1),0)+IF(AND(Projects!$G$30="Yes",104&gt;=Projects!$C$30,104&lt;Projects!$C$30+Projects!$D$30),Projects!$B$30*INDEX(Curves!$B$4:$AR$4,1,104-Projects!$C$30+1),0)+IF(AND(Projects!$G$31="Yes",104&gt;=Projects!$C$31,104&lt;Projects!$C$31+Projects!$D$31),Projects!$B$31*INDEX(Curves!$B$4:$AR$4,1,104-Projects!$C$31+1),0)+IF(AND(Projects!$G$32="Yes",104&gt;=Projects!$C$32,104&lt;Projects!$C$32+Projects!$D$32),Projects!$B$32*INDEX(Curves!$B$4:$AR$4,1,104-Projects!$C$32+1),0)+IF(AND(Projects!$G$33="Yes",104&gt;=Projects!$C$33,104&lt;Projects!$C$33+Projects!$D$33),Projects!$B$33*INDEX(Curves!$B$4:$AR$4,1,104-Projects!$C$33+1),0)+IF(AND(Projects!$G$34="Yes",104&gt;=Projects!$C$34,104&lt;Projects!$C$34+Projects!$D$34),Projects!$B$34*INDEX(Curves!$B$4:$AR$4,1,104-Projects!$C$34+1),0)+IF(AND(Projects!$G$35="Yes",104&gt;=Projects!$C$35,104&lt;Projects!$C$35+Projects!$D$35),Projects!$B$35*INDEX(Curves!$B$4:$AR$4,1,104-Projects!$C$35+1),0)+IF(AND(Projects!$G$36="Yes",104&gt;=Projects!$C$36,104&lt;Projects!$C$36+Projects!$D$36),Projects!$B$36*INDEX(Curves!$B$4:$AR$4,1,104-Projects!$C$36+1),0)+IF(AND(Projects!$G$37="Yes",104&gt;=Projects!$C$37,104&lt;Projects!$C$37+Projects!$D$37),Projects!$B$37*INDEX(Curves!$B$4:$AR$4,1,104-Projects!$C$37+1),0)+IF(AND(Projects!$G$38="Yes",104&gt;=Projects!$C$38,104&lt;Projects!$C$38+Projects!$D$38),Projects!$B$38*INDEX(Curves!$B$4:$AR$4,1,104-Projects!$C$38+1),0)+IF(AND(Projects!$G$39="Yes",104&gt;=Projects!$C$39,104&lt;Projects!$C$39+Projects!$D$39),Projects!$B$39*INDEX(Curves!$B$4:$AR$4,1,104-Projects!$C$39+1),0)+IF(AND(Projects!$G$40="Yes",104&gt;=Projects!$C$40,104&lt;Projects!$C$40+Projects!$D$40),Projects!$B$40*INDEX(Curves!$B$4:$AR$4,1,104-Projects!$C$40+1),0)+IF(AND(Projects!$G$41="Yes",104&gt;=Projects!$C$41,104&lt;Projects!$C$41+Projects!$D$41),Projects!$B$41*INDEX(Curves!$B$4:$AR$4,1,104-Projects!$C$41+1),0)+IF(AND(Projects!$G$42="Yes",104&gt;=Projects!$C$42,104&lt;Projects!$C$42+Projects!$D$42),Projects!$B$42*INDEX(Curves!$B$4:$AR$4,1,104-Projects!$C$42+1),0)+IF(AND(Projects!$G$43="Yes",104&gt;=Projects!$C$43,104&lt;Projects!$C$43+Projects!$D$43),Projects!$B$43*INDEX(Curves!$B$4:$AR$4,1,104-Projects!$C$43+1),0)+IF(AND(Projects!$G$44="Yes",104&gt;=Projects!$C$44,104&lt;Projects!$C$44+Projects!$D$44),Projects!$B$44*INDEX(Curves!$B$4:$AR$4,1,104-Projects!$C$44+1),0)+IF(AND(Projects!$G$45="Yes",104&gt;=Projects!$C$45,104&lt;Projects!$C$45+Projects!$D$45),Projects!$B$45*INDEX(Curves!$B$4:$AR$4,1,104-Projects!$C$45+1),0)+IF(AND(Projects!$G$46="Yes",104&gt;=Projects!$C$46,104&lt;Projects!$C$46+Projects!$D$46),Projects!$B$46*INDEX(Curves!$B$4:$AR$4,1,104-Projects!$C$46+1),0)</f>
        <v>0</v>
      </c>
      <c r="DF96" s="83" t="n">
        <f aca="false">IF(AND(Projects!$G$17="Yes",105&gt;=Projects!$C$17,105&lt;Projects!$C$17+Projects!$D$17),Projects!$B$17*INDEX(Curves!$B$4:$AR$4,1,105-Projects!$C$17+1),0)+IF(AND(Projects!$G$18="Yes",105&gt;=Projects!$C$18,105&lt;Projects!$C$18+Projects!$D$18),Projects!$B$18*INDEX(Curves!$B$4:$AR$4,1,105-Projects!$C$18+1),0)+IF(AND(Projects!$G$19="Yes",105&gt;=Projects!$C$19,105&lt;Projects!$C$19+Projects!$D$19),Projects!$B$19*INDEX(Curves!$B$4:$AR$4,1,105-Projects!$C$19+1),0)+IF(AND(Projects!$G$20="Yes",105&gt;=Projects!$C$20,105&lt;Projects!$C$20+Projects!$D$20),Projects!$B$20*INDEX(Curves!$B$4:$AR$4,1,105-Projects!$C$20+1),0)+IF(AND(Projects!$G$21="Yes",105&gt;=Projects!$C$21,105&lt;Projects!$C$21+Projects!$D$21),Projects!$B$21*INDEX(Curves!$B$4:$AR$4,1,105-Projects!$C$21+1),0)+IF(AND(Projects!$G$22="Yes",105&gt;=Projects!$C$22,105&lt;Projects!$C$22+Projects!$D$22),Projects!$B$22*INDEX(Curves!$B$4:$AR$4,1,105-Projects!$C$22+1),0)+IF(AND(Projects!$G$23="Yes",105&gt;=Projects!$C$23,105&lt;Projects!$C$23+Projects!$D$23),Projects!$B$23*INDEX(Curves!$B$4:$AR$4,1,105-Projects!$C$23+1),0)+IF(AND(Projects!$G$24="Yes",105&gt;=Projects!$C$24,105&lt;Projects!$C$24+Projects!$D$24),Projects!$B$24*INDEX(Curves!$B$4:$AR$4,1,105-Projects!$C$24+1),0)+IF(AND(Projects!$G$25="Yes",105&gt;=Projects!$C$25,105&lt;Projects!$C$25+Projects!$D$25),Projects!$B$25*INDEX(Curves!$B$4:$AR$4,1,105-Projects!$C$25+1),0)+IF(AND(Projects!$G$26="Yes",105&gt;=Projects!$C$26,105&lt;Projects!$C$26+Projects!$D$26),Projects!$B$26*INDEX(Curves!$B$4:$AR$4,1,105-Projects!$C$26+1),0)+IF(AND(Projects!$G$27="Yes",105&gt;=Projects!$C$27,105&lt;Projects!$C$27+Projects!$D$27),Projects!$B$27*INDEX(Curves!$B$4:$AR$4,1,105-Projects!$C$27+1),0)+IF(AND(Projects!$G$28="Yes",105&gt;=Projects!$C$28,105&lt;Projects!$C$28+Projects!$D$28),Projects!$B$28*INDEX(Curves!$B$4:$AR$4,1,105-Projects!$C$28+1),0)+IF(AND(Projects!$G$29="Yes",105&gt;=Projects!$C$29,105&lt;Projects!$C$29+Projects!$D$29),Projects!$B$29*INDEX(Curves!$B$4:$AR$4,1,105-Projects!$C$29+1),0)+IF(AND(Projects!$G$30="Yes",105&gt;=Projects!$C$30,105&lt;Projects!$C$30+Projects!$D$30),Projects!$B$30*INDEX(Curves!$B$4:$AR$4,1,105-Projects!$C$30+1),0)+IF(AND(Projects!$G$31="Yes",105&gt;=Projects!$C$31,105&lt;Projects!$C$31+Projects!$D$31),Projects!$B$31*INDEX(Curves!$B$4:$AR$4,1,105-Projects!$C$31+1),0)+IF(AND(Projects!$G$32="Yes",105&gt;=Projects!$C$32,105&lt;Projects!$C$32+Projects!$D$32),Projects!$B$32*INDEX(Curves!$B$4:$AR$4,1,105-Projects!$C$32+1),0)+IF(AND(Projects!$G$33="Yes",105&gt;=Projects!$C$33,105&lt;Projects!$C$33+Projects!$D$33),Projects!$B$33*INDEX(Curves!$B$4:$AR$4,1,105-Projects!$C$33+1),0)+IF(AND(Projects!$G$34="Yes",105&gt;=Projects!$C$34,105&lt;Projects!$C$34+Projects!$D$34),Projects!$B$34*INDEX(Curves!$B$4:$AR$4,1,105-Projects!$C$34+1),0)+IF(AND(Projects!$G$35="Yes",105&gt;=Projects!$C$35,105&lt;Projects!$C$35+Projects!$D$35),Projects!$B$35*INDEX(Curves!$B$4:$AR$4,1,105-Projects!$C$35+1),0)+IF(AND(Projects!$G$36="Yes",105&gt;=Projects!$C$36,105&lt;Projects!$C$36+Projects!$D$36),Projects!$B$36*INDEX(Curves!$B$4:$AR$4,1,105-Projects!$C$36+1),0)+IF(AND(Projects!$G$37="Yes",105&gt;=Projects!$C$37,105&lt;Projects!$C$37+Projects!$D$37),Projects!$B$37*INDEX(Curves!$B$4:$AR$4,1,105-Projects!$C$37+1),0)+IF(AND(Projects!$G$38="Yes",105&gt;=Projects!$C$38,105&lt;Projects!$C$38+Projects!$D$38),Projects!$B$38*INDEX(Curves!$B$4:$AR$4,1,105-Projects!$C$38+1),0)+IF(AND(Projects!$G$39="Yes",105&gt;=Projects!$C$39,105&lt;Projects!$C$39+Projects!$D$39),Projects!$B$39*INDEX(Curves!$B$4:$AR$4,1,105-Projects!$C$39+1),0)+IF(AND(Projects!$G$40="Yes",105&gt;=Projects!$C$40,105&lt;Projects!$C$40+Projects!$D$40),Projects!$B$40*INDEX(Curves!$B$4:$AR$4,1,105-Projects!$C$40+1),0)+IF(AND(Projects!$G$41="Yes",105&gt;=Projects!$C$41,105&lt;Projects!$C$41+Projects!$D$41),Projects!$B$41*INDEX(Curves!$B$4:$AR$4,1,105-Projects!$C$41+1),0)+IF(AND(Projects!$G$42="Yes",105&gt;=Projects!$C$42,105&lt;Projects!$C$42+Projects!$D$42),Projects!$B$42*INDEX(Curves!$B$4:$AR$4,1,105-Projects!$C$42+1),0)+IF(AND(Projects!$G$43="Yes",105&gt;=Projects!$C$43,105&lt;Projects!$C$43+Projects!$D$43),Projects!$B$43*INDEX(Curves!$B$4:$AR$4,1,105-Projects!$C$43+1),0)+IF(AND(Projects!$G$44="Yes",105&gt;=Projects!$C$44,105&lt;Projects!$C$44+Projects!$D$44),Projects!$B$44*INDEX(Curves!$B$4:$AR$4,1,105-Projects!$C$44+1),0)+IF(AND(Projects!$G$45="Yes",105&gt;=Projects!$C$45,105&lt;Projects!$C$45+Projects!$D$45),Projects!$B$45*INDEX(Curves!$B$4:$AR$4,1,105-Projects!$C$45+1),0)+IF(AND(Projects!$G$46="Yes",105&gt;=Projects!$C$46,105&lt;Projects!$C$46+Projects!$D$46),Projects!$B$46*INDEX(Curves!$B$4:$AR$4,1,105-Projects!$C$46+1),0)</f>
        <v>0</v>
      </c>
    </row>
    <row r="97" customFormat="false" ht="15" hidden="false" customHeight="true" outlineLevel="0" collapsed="false">
      <c r="A97" s="82" t="s">
        <v>843</v>
      </c>
      <c r="C97" s="83" t="n">
        <f aca="false">C96+SUMPRODUCT((Projects!$G$17:$G$46="Yes")*(-2&gt;=Projects!$C$17:$C$46)*(-2&lt;Projects!$C$17:$C$46+Projects!$D$17:$D$46)*Projects!$B$17:$B$46*Assumptions!$B$10/Projects!$D$17:$D$46*0.95)+SUMPRODUCT((Projects!$G$17:$G$46="Yes")*(-2=Projects!$C$17:$C$46+Projects!$D$17:$D$46-1)*Projects!$B$17:$B$46*Assumptions!$B$10*0.05)+SUMPRODUCT((Projects!$G$17:$G$46="Yes")*(-2&gt;=Projects!$C$17:$C$46)*(-2&lt;Projects!$C$17:$C$46+Projects!$D$17:$D$46)*Projects!$B$17:$B$46*Assumptions!$B$11/Projects!$D$17:$D$46*0.95)+SUMPRODUCT((Projects!$G$17:$G$46="Yes")*(-2=Projects!$C$17:$C$46+Projects!$D$17:$D$46-1)*Projects!$B$17:$B$46*Assumptions!$B$11*0.05)+SUMPRODUCT((Projects!$G$17:$G$46="Yes")*(-2&gt;=Projects!$C$17:$C$46)*(-2&lt;Projects!$C$17:$C$46+Projects!$D$17:$D$46)*Projects!$B$17:$B$46*Assumptions!$B$12/Projects!$D$17:$D$46*0.95)+SUMPRODUCT((Projects!$G$17:$G$46="Yes")*(-2=Projects!$C$17:$C$46+Projects!$D$17:$D$46-1)*Projects!$B$17:$B$46*Assumptions!$B$12*0.05)</f>
        <v>0</v>
      </c>
      <c r="D97" s="83" t="n">
        <f aca="false">D96+SUMPRODUCT((Projects!$G$17:$G$46="Yes")*(-1&gt;=Projects!$C$17:$C$46)*(-1&lt;Projects!$C$17:$C$46+Projects!$D$17:$D$46)*Projects!$B$17:$B$46*Assumptions!$B$10/Projects!$D$17:$D$46*0.95)+SUMPRODUCT((Projects!$G$17:$G$46="Yes")*(-1=Projects!$C$17:$C$46+Projects!$D$17:$D$46-1)*Projects!$B$17:$B$46*Assumptions!$B$10*0.05)+SUMPRODUCT((Projects!$G$17:$G$46="Yes")*(-1&gt;=Projects!$C$17:$C$46)*(-1&lt;Projects!$C$17:$C$46+Projects!$D$17:$D$46)*Projects!$B$17:$B$46*Assumptions!$B$11/Projects!$D$17:$D$46*0.95)+SUMPRODUCT((Projects!$G$17:$G$46="Yes")*(-1=Projects!$C$17:$C$46+Projects!$D$17:$D$46-1)*Projects!$B$17:$B$46*Assumptions!$B$11*0.05)+SUMPRODUCT((Projects!$G$17:$G$46="Yes")*(-1&gt;=Projects!$C$17:$C$46)*(-1&lt;Projects!$C$17:$C$46+Projects!$D$17:$D$46)*Projects!$B$17:$B$46*Assumptions!$B$12/Projects!$D$17:$D$46*0.95)+SUMPRODUCT((Projects!$G$17:$G$46="Yes")*(-1=Projects!$C$17:$C$46+Projects!$D$17:$D$46-1)*Projects!$B$17:$B$46*Assumptions!$B$12*0.05)</f>
        <v>0</v>
      </c>
      <c r="E97" s="83" t="n">
        <f aca="false">E96+SUMPRODUCT((Projects!$G$17:$G$46="Yes")*(0&gt;=Projects!$C$17:$C$46)*(0&lt;Projects!$C$17:$C$46+Projects!$D$17:$D$46)*Projects!$B$17:$B$46*Assumptions!$B$10/Projects!$D$17:$D$46*0.95)+SUMPRODUCT((Projects!$G$17:$G$46="Yes")*(0=Projects!$C$17:$C$46+Projects!$D$17:$D$46-1)*Projects!$B$17:$B$46*Assumptions!$B$10*0.05)+SUMPRODUCT((Projects!$G$17:$G$46="Yes")*(0&gt;=Projects!$C$17:$C$46)*(0&lt;Projects!$C$17:$C$46+Projects!$D$17:$D$46)*Projects!$B$17:$B$46*Assumptions!$B$11/Projects!$D$17:$D$46*0.95)+SUMPRODUCT((Projects!$G$17:$G$46="Yes")*(0=Projects!$C$17:$C$46+Projects!$D$17:$D$46-1)*Projects!$B$17:$B$46*Assumptions!$B$11*0.05)+SUMPRODUCT((Projects!$G$17:$G$46="Yes")*(0&gt;=Projects!$C$17:$C$46)*(0&lt;Projects!$C$17:$C$46+Projects!$D$17:$D$46)*Projects!$B$17:$B$46*Assumptions!$B$12/Projects!$D$17:$D$46*0.95)+SUMPRODUCT((Projects!$G$17:$G$46="Yes")*(0=Projects!$C$17:$C$46+Projects!$D$17:$D$46-1)*Projects!$B$17:$B$46*Assumptions!$B$12*0.05)</f>
        <v>0</v>
      </c>
      <c r="F97" s="83" t="n">
        <f aca="false">F96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</f>
        <v>0</v>
      </c>
      <c r="G97" s="83" t="n">
        <f aca="false">G96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</f>
        <v>0</v>
      </c>
      <c r="H97" s="83" t="n">
        <f aca="false">H96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</f>
        <v>0</v>
      </c>
      <c r="I97" s="83" t="n">
        <f aca="false">I96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</f>
        <v>0</v>
      </c>
      <c r="J97" s="83" t="n">
        <f aca="false">J96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</f>
        <v>0</v>
      </c>
      <c r="K97" s="83" t="n">
        <f aca="false">K96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</f>
        <v>0</v>
      </c>
      <c r="L97" s="83" t="n">
        <f aca="false">L96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</f>
        <v>0</v>
      </c>
      <c r="M97" s="83" t="n">
        <f aca="false">M96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</f>
        <v>0</v>
      </c>
      <c r="N97" s="83" t="n">
        <f aca="false">N96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</f>
        <v>0</v>
      </c>
      <c r="O97" s="83" t="n">
        <f aca="false">O96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</f>
        <v>0</v>
      </c>
      <c r="P97" s="83" t="n">
        <f aca="false">P96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</f>
        <v>0</v>
      </c>
      <c r="Q97" s="83" t="n">
        <f aca="false">Q96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</f>
        <v>0</v>
      </c>
      <c r="R97" s="83" t="n">
        <f aca="false">R96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</f>
        <v>0</v>
      </c>
      <c r="S97" s="83" t="n">
        <f aca="false">S96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</f>
        <v>0</v>
      </c>
      <c r="T97" s="83" t="n">
        <f aca="false">T96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</f>
        <v>0</v>
      </c>
      <c r="U97" s="83" t="n">
        <f aca="false">U96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</f>
        <v>0</v>
      </c>
      <c r="V97" s="83" t="n">
        <f aca="false">V96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</f>
        <v>0</v>
      </c>
      <c r="W97" s="83" t="n">
        <f aca="false">W96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</f>
        <v>0</v>
      </c>
      <c r="X97" s="83" t="n">
        <f aca="false">X96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</f>
        <v>0</v>
      </c>
      <c r="Y97" s="83" t="n">
        <f aca="false">Y96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</f>
        <v>0</v>
      </c>
      <c r="Z97" s="83" t="n">
        <f aca="false">Z96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</f>
        <v>0</v>
      </c>
      <c r="AA97" s="83" t="n">
        <f aca="false">AA96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</f>
        <v>0</v>
      </c>
      <c r="AB97" s="83" t="n">
        <f aca="false">AB96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</f>
        <v>0</v>
      </c>
      <c r="AC97" s="83" t="n">
        <f aca="false">AC96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</f>
        <v>0</v>
      </c>
      <c r="AD97" s="83" t="n">
        <f aca="false">AD96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</f>
        <v>0</v>
      </c>
      <c r="AE97" s="83" t="n">
        <f aca="false">AE96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</f>
        <v>0</v>
      </c>
      <c r="AF97" s="83" t="n">
        <f aca="false">AF96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</f>
        <v>0</v>
      </c>
      <c r="AG97" s="83" t="n">
        <f aca="false">AG96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</f>
        <v>0</v>
      </c>
      <c r="AH97" s="83" t="n">
        <f aca="false">AH96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</f>
        <v>0</v>
      </c>
      <c r="AI97" s="83" t="n">
        <f aca="false">AI96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</f>
        <v>0</v>
      </c>
      <c r="AJ97" s="83" t="n">
        <f aca="false">AJ96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</f>
        <v>0</v>
      </c>
      <c r="AK97" s="83" t="n">
        <f aca="false">AK96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</f>
        <v>0</v>
      </c>
      <c r="AL97" s="83" t="n">
        <f aca="false">AL96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</f>
        <v>0</v>
      </c>
      <c r="AM97" s="83" t="n">
        <f aca="false">AM96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</f>
        <v>0</v>
      </c>
      <c r="AN97" s="83" t="n">
        <f aca="false">AN96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</f>
        <v>0</v>
      </c>
      <c r="AO97" s="83" t="n">
        <f aca="false">AO96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</f>
        <v>0</v>
      </c>
      <c r="AP97" s="83" t="n">
        <f aca="false">AP96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</f>
        <v>0</v>
      </c>
      <c r="AQ97" s="83" t="n">
        <f aca="false">AQ96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</f>
        <v>0</v>
      </c>
      <c r="AR97" s="83" t="n">
        <f aca="false">AR96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</f>
        <v>0</v>
      </c>
      <c r="AS97" s="83" t="n">
        <f aca="false">AS96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</f>
        <v>0</v>
      </c>
      <c r="AT97" s="83" t="n">
        <f aca="false">AT96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</f>
        <v>0</v>
      </c>
      <c r="AU97" s="83" t="n">
        <f aca="false">AU96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</f>
        <v>0</v>
      </c>
      <c r="AV97" s="83" t="n">
        <f aca="false">AV96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</f>
        <v>0</v>
      </c>
      <c r="AW97" s="83" t="n">
        <f aca="false">AW96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</f>
        <v>0</v>
      </c>
      <c r="AX97" s="83" t="n">
        <f aca="false">AX96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</f>
        <v>0</v>
      </c>
      <c r="AY97" s="83" t="n">
        <f aca="false">AY96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</f>
        <v>0</v>
      </c>
      <c r="AZ97" s="83" t="n">
        <f aca="false">AZ96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</f>
        <v>0</v>
      </c>
      <c r="BA97" s="83" t="n">
        <f aca="false">BA96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</f>
        <v>0</v>
      </c>
      <c r="BB97" s="83" t="n">
        <f aca="false">BB96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</f>
        <v>0</v>
      </c>
      <c r="BC97" s="83" t="n">
        <f aca="false">BC96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</f>
        <v>0</v>
      </c>
      <c r="BD97" s="83" t="n">
        <f aca="false">BD96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</f>
        <v>0</v>
      </c>
      <c r="BE97" s="83" t="n">
        <f aca="false">BE96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</f>
        <v>0</v>
      </c>
      <c r="BF97" s="83" t="n">
        <f aca="false">BF96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</f>
        <v>0</v>
      </c>
      <c r="BG97" s="83" t="n">
        <f aca="false">BG96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</f>
        <v>0</v>
      </c>
      <c r="BH97" s="83" t="n">
        <f aca="false">BH96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</f>
        <v>0</v>
      </c>
      <c r="BI97" s="83" t="n">
        <f aca="false">BI96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</f>
        <v>0</v>
      </c>
      <c r="BJ97" s="83" t="n">
        <f aca="false">BJ96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</f>
        <v>0</v>
      </c>
      <c r="BK97" s="83" t="n">
        <f aca="false">BK96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</f>
        <v>0</v>
      </c>
      <c r="BL97" s="83" t="n">
        <f aca="false">BL96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</f>
        <v>0</v>
      </c>
      <c r="BM97" s="83" t="n">
        <f aca="false">BM96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</f>
        <v>0</v>
      </c>
      <c r="BN97" s="83" t="n">
        <f aca="false">BN96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</f>
        <v>0</v>
      </c>
      <c r="BO97" s="83" t="n">
        <f aca="false">BO96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</f>
        <v>0</v>
      </c>
      <c r="BP97" s="83" t="n">
        <f aca="false">BP96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</f>
        <v>0</v>
      </c>
      <c r="BQ97" s="83" t="n">
        <f aca="false">BQ96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</f>
        <v>0</v>
      </c>
      <c r="BR97" s="83" t="n">
        <f aca="false">BR96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</f>
        <v>0</v>
      </c>
      <c r="BS97" s="83" t="n">
        <f aca="false">BS96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</f>
        <v>0</v>
      </c>
      <c r="BT97" s="83" t="n">
        <f aca="false">BT96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</f>
        <v>0</v>
      </c>
      <c r="BU97" s="83" t="n">
        <f aca="false">BU96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</f>
        <v>0</v>
      </c>
      <c r="BV97" s="83" t="n">
        <f aca="false">BV96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</f>
        <v>0</v>
      </c>
      <c r="BW97" s="83" t="n">
        <f aca="false">BW96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</f>
        <v>0</v>
      </c>
      <c r="BX97" s="83" t="n">
        <f aca="false">BX96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</f>
        <v>0</v>
      </c>
      <c r="BY97" s="83" t="n">
        <f aca="false">BY96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</f>
        <v>0</v>
      </c>
      <c r="BZ97" s="83" t="n">
        <f aca="false">BZ96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</f>
        <v>0</v>
      </c>
      <c r="CA97" s="83" t="n">
        <f aca="false">CA96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</f>
        <v>0</v>
      </c>
      <c r="CB97" s="83" t="n">
        <f aca="false">CB96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</f>
        <v>0</v>
      </c>
      <c r="CC97" s="83" t="n">
        <f aca="false">CC96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</f>
        <v>0</v>
      </c>
      <c r="CD97" s="83" t="n">
        <f aca="false">CD96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</f>
        <v>0</v>
      </c>
      <c r="CE97" s="83" t="n">
        <f aca="false">CE96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</f>
        <v>0</v>
      </c>
      <c r="CF97" s="83" t="n">
        <f aca="false">CF96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</f>
        <v>0</v>
      </c>
      <c r="CG97" s="83" t="n">
        <f aca="false">CG96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</f>
        <v>0</v>
      </c>
      <c r="CH97" s="83" t="n">
        <f aca="false">CH96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</f>
        <v>0</v>
      </c>
      <c r="CI97" s="83" t="n">
        <f aca="false">CI96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</f>
        <v>0</v>
      </c>
      <c r="CJ97" s="83" t="n">
        <f aca="false">CJ96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</f>
        <v>0</v>
      </c>
      <c r="CK97" s="83" t="n">
        <f aca="false">CK96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</f>
        <v>0</v>
      </c>
      <c r="CL97" s="83" t="n">
        <f aca="false">CL96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</f>
        <v>0</v>
      </c>
      <c r="CM97" s="83" t="n">
        <f aca="false">CM96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</f>
        <v>0</v>
      </c>
      <c r="CN97" s="83" t="n">
        <f aca="false">CN96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</f>
        <v>0</v>
      </c>
      <c r="CO97" s="83" t="n">
        <f aca="false">CO96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</f>
        <v>0</v>
      </c>
      <c r="CP97" s="83" t="n">
        <f aca="false">CP96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</f>
        <v>0</v>
      </c>
      <c r="CQ97" s="83" t="n">
        <f aca="false">CQ96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</f>
        <v>0</v>
      </c>
      <c r="CR97" s="83" t="n">
        <f aca="false">CR96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</f>
        <v>0</v>
      </c>
      <c r="CS97" s="83" t="n">
        <f aca="false">CS96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</f>
        <v>0</v>
      </c>
      <c r="CT97" s="83" t="n">
        <f aca="false">CT96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</f>
        <v>0</v>
      </c>
      <c r="CU97" s="83" t="n">
        <f aca="false">CU96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</f>
        <v>0</v>
      </c>
      <c r="CV97" s="83" t="n">
        <f aca="false">CV96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</f>
        <v>0</v>
      </c>
      <c r="CW97" s="83" t="n">
        <f aca="false">CW96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</f>
        <v>0</v>
      </c>
      <c r="CX97" s="83" t="n">
        <f aca="false">CX96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</f>
        <v>0</v>
      </c>
      <c r="CY97" s="83" t="n">
        <f aca="false">CY96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</f>
        <v>0</v>
      </c>
      <c r="CZ97" s="83" t="n">
        <f aca="false">CZ96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</f>
        <v>0</v>
      </c>
      <c r="DA97" s="83" t="n">
        <f aca="false">DA96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</f>
        <v>0</v>
      </c>
      <c r="DB97" s="83" t="n">
        <f aca="false">DB96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</f>
        <v>0</v>
      </c>
      <c r="DC97" s="83" t="n">
        <f aca="false">DC96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</f>
        <v>0</v>
      </c>
      <c r="DD97" s="83" t="n">
        <f aca="false">DD96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</f>
        <v>0</v>
      </c>
      <c r="DE97" s="83" t="n">
        <f aca="false">DE96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</f>
        <v>0</v>
      </c>
      <c r="DF97" s="83" t="n">
        <f aca="false">DF96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</f>
        <v>0</v>
      </c>
    </row>
    <row r="98" customFormat="false" ht="15" hidden="false" customHeight="true" outlineLevel="0" collapsed="false">
      <c r="A98" s="82" t="s">
        <v>844</v>
      </c>
      <c r="C98" s="84" t="n">
        <f aca="false">IFERROR((C97-C96)/(Model!B107-IF(AND(Projects!$G$14="Yes",Model!B$3&gt;=Projects!$C$14),Model!B105+Model!B106,0)),0)</f>
        <v>0</v>
      </c>
      <c r="D98" s="84" t="n">
        <f aca="false">IFERROR((D97-D96)/(Model!C107-IF(AND(Projects!$G$14="Yes",Model!C$3&gt;=Projects!$C$14),Model!C105+Model!C106,0)),0)</f>
        <v>-0</v>
      </c>
      <c r="E98" s="84" t="n">
        <f aca="false">IFERROR((E97-E96)/(Model!D107-IF(AND(Projects!$G$14="Yes",Model!D$3&gt;=Projects!$C$14),Model!D105+Model!D106,0)),0)</f>
        <v>0</v>
      </c>
      <c r="F98" s="84" t="n">
        <f aca="false">IFERROR((F97-F96)/(Model!E107-IF(AND(Projects!$G$14="Yes",Model!E$3&gt;=Projects!$C$14),Model!E105+Model!E106,0)),0)</f>
        <v>0</v>
      </c>
      <c r="G98" s="84" t="n">
        <f aca="false">IFERROR((G97-G96)/(Model!F107-IF(AND(Projects!$G$14="Yes",Model!F$3&gt;=Projects!$C$14),Model!F105+Model!F106,0)),0)</f>
        <v>0</v>
      </c>
      <c r="H98" s="84" t="n">
        <f aca="false">IFERROR((H97-H96)/(Model!G107-IF(AND(Projects!$G$14="Yes",Model!G$3&gt;=Projects!$C$14),Model!G105+Model!G106,0)),0)</f>
        <v>0</v>
      </c>
      <c r="I98" s="84" t="n">
        <f aca="false">IFERROR((I97-I96)/(Model!H107-IF(AND(Projects!$G$14="Yes",Model!H$3&gt;=Projects!$C$14),Model!H105+Model!H106,0)),0)</f>
        <v>0</v>
      </c>
      <c r="J98" s="84" t="n">
        <f aca="false">IFERROR((J97-J96)/(Model!I107-IF(AND(Projects!$G$14="Yes",Model!I$3&gt;=Projects!$C$14),Model!I105+Model!I106,0)),0)</f>
        <v>0</v>
      </c>
      <c r="K98" s="84" t="n">
        <f aca="false">IFERROR((K97-K96)/(Model!J107-IF(AND(Projects!$G$14="Yes",Model!J$3&gt;=Projects!$C$14),Model!J105+Model!J106,0)),0)</f>
        <v>0</v>
      </c>
      <c r="L98" s="84" t="n">
        <f aca="false">IFERROR((L97-L96)/(Model!K107-IF(AND(Projects!$G$14="Yes",Model!K$3&gt;=Projects!$C$14),Model!K105+Model!K106,0)),0)</f>
        <v>0</v>
      </c>
      <c r="M98" s="84" t="n">
        <f aca="false">IFERROR((M97-M96)/(Model!L107-IF(AND(Projects!$G$14="Yes",Model!L$3&gt;=Projects!$C$14),Model!L105+Model!L106,0)),0)</f>
        <v>0</v>
      </c>
      <c r="N98" s="84" t="n">
        <f aca="false">IFERROR((N97-N96)/(Model!M107-IF(AND(Projects!$G$14="Yes",Model!M$3&gt;=Projects!$C$14),Model!M105+Model!M106,0)),0)</f>
        <v>0</v>
      </c>
      <c r="O98" s="84" t="n">
        <f aca="false">IFERROR((O97-O96)/(Model!N107-IF(AND(Projects!$G$14="Yes",Model!N$3&gt;=Projects!$C$14),Model!N105+Model!N106,0)),0)</f>
        <v>0</v>
      </c>
      <c r="P98" s="84" t="n">
        <f aca="false">IFERROR((P97-P96)/(Model!O107-IF(AND(Projects!$G$14="Yes",Model!O$3&gt;=Projects!$C$14),Model!O105+Model!O106,0)),0)</f>
        <v>0</v>
      </c>
      <c r="Q98" s="84" t="n">
        <f aca="false">IFERROR((Q97-Q96)/(Model!P107-IF(AND(Projects!$G$14="Yes",Model!P$3&gt;=Projects!$C$14),Model!P105+Model!P106,0)),0)</f>
        <v>0</v>
      </c>
      <c r="R98" s="84" t="n">
        <f aca="false">IFERROR((R97-R96)/(Model!Q107-IF(AND(Projects!$G$14="Yes",Model!Q$3&gt;=Projects!$C$14),Model!Q105+Model!Q106,0)),0)</f>
        <v>0</v>
      </c>
      <c r="S98" s="84" t="n">
        <f aca="false">IFERROR((S97-S96)/(Model!R107-IF(AND(Projects!$G$14="Yes",Model!R$3&gt;=Projects!$C$14),Model!R105+Model!R106,0)),0)</f>
        <v>0</v>
      </c>
      <c r="T98" s="84" t="n">
        <f aca="false">IFERROR((T97-T96)/(Model!S107-IF(AND(Projects!$G$14="Yes",Model!S$3&gt;=Projects!$C$14),Model!S105+Model!S106,0)),0)</f>
        <v>0</v>
      </c>
      <c r="U98" s="84" t="n">
        <f aca="false">IFERROR((U97-U96)/(Model!T107-IF(AND(Projects!$G$14="Yes",Model!T$3&gt;=Projects!$C$14),Model!T105+Model!T106,0)),0)</f>
        <v>0</v>
      </c>
      <c r="V98" s="84" t="n">
        <f aca="false">IFERROR((V97-V96)/(Model!U107-IF(AND(Projects!$G$14="Yes",Model!U$3&gt;=Projects!$C$14),Model!U105+Model!U106,0)),0)</f>
        <v>0</v>
      </c>
      <c r="W98" s="84" t="n">
        <f aca="false">IFERROR((W97-W96)/(Model!V107-IF(AND(Projects!$G$14="Yes",Model!V$3&gt;=Projects!$C$14),Model!V105+Model!V106,0)),0)</f>
        <v>0</v>
      </c>
      <c r="X98" s="84" t="n">
        <f aca="false">IFERROR((X97-X96)/(Model!W107-IF(AND(Projects!$G$14="Yes",Model!W$3&gt;=Projects!$C$14),Model!W105+Model!W106,0)),0)</f>
        <v>0</v>
      </c>
      <c r="Y98" s="84" t="n">
        <f aca="false">IFERROR((Y97-Y96)/(Model!X107-IF(AND(Projects!$G$14="Yes",Model!X$3&gt;=Projects!$C$14),Model!X105+Model!X106,0)),0)</f>
        <v>0</v>
      </c>
      <c r="Z98" s="84" t="n">
        <f aca="false">IFERROR((Z97-Z96)/(Model!Y107-IF(AND(Projects!$G$14="Yes",Model!Y$3&gt;=Projects!$C$14),Model!Y105+Model!Y106,0)),0)</f>
        <v>0</v>
      </c>
      <c r="AA98" s="84" t="n">
        <f aca="false">IFERROR((AA97-AA96)/(Model!Z107-IF(AND(Projects!$G$14="Yes",Model!Z$3&gt;=Projects!$C$14),Model!Z105+Model!Z106,0)),0)</f>
        <v>0</v>
      </c>
      <c r="AB98" s="84" t="n">
        <f aca="false">IFERROR((AB97-AB96)/(Model!AA107-IF(AND(Projects!$G$14="Yes",Model!AA$3&gt;=Projects!$C$14),Model!AA105+Model!AA106,0)),0)</f>
        <v>0</v>
      </c>
      <c r="AC98" s="84" t="n">
        <f aca="false">IFERROR((AC97-AC96)/(Model!AB107-IF(AND(Projects!$G$14="Yes",Model!AB$3&gt;=Projects!$C$14),Model!AB105+Model!AB106,0)),0)</f>
        <v>0</v>
      </c>
      <c r="AD98" s="84" t="n">
        <f aca="false">IFERROR((AD97-AD96)/(Model!AC107-IF(AND(Projects!$G$14="Yes",Model!AC$3&gt;=Projects!$C$14),Model!AC105+Model!AC106,0)),0)</f>
        <v>0</v>
      </c>
      <c r="AE98" s="84" t="n">
        <f aca="false">IFERROR((AE97-AE96)/(Model!AD107-IF(AND(Projects!$G$14="Yes",Model!AD$3&gt;=Projects!$C$14),Model!AD105+Model!AD106,0)),0)</f>
        <v>0</v>
      </c>
      <c r="AF98" s="84" t="n">
        <f aca="false">IFERROR((AF97-AF96)/(Model!AE107-IF(AND(Projects!$G$14="Yes",Model!AE$3&gt;=Projects!$C$14),Model!AE105+Model!AE106,0)),0)</f>
        <v>0</v>
      </c>
      <c r="AG98" s="84" t="n">
        <f aca="false">IFERROR((AG97-AG96)/(Model!AF107-IF(AND(Projects!$G$14="Yes",Model!AF$3&gt;=Projects!$C$14),Model!AF105+Model!AF106,0)),0)</f>
        <v>0</v>
      </c>
      <c r="AH98" s="84" t="n">
        <f aca="false">IFERROR((AH97-AH96)/(Model!AG107-IF(AND(Projects!$G$14="Yes",Model!AG$3&gt;=Projects!$C$14),Model!AG105+Model!AG106,0)),0)</f>
        <v>0</v>
      </c>
      <c r="AI98" s="84" t="n">
        <f aca="false">IFERROR((AI97-AI96)/(Model!AH107-IF(AND(Projects!$G$14="Yes",Model!AH$3&gt;=Projects!$C$14),Model!AH105+Model!AH106,0)),0)</f>
        <v>0</v>
      </c>
      <c r="AJ98" s="84" t="n">
        <f aca="false">IFERROR((AJ97-AJ96)/(Model!AI107-IF(AND(Projects!$G$14="Yes",Model!AI$3&gt;=Projects!$C$14),Model!AI105+Model!AI106,0)),0)</f>
        <v>0</v>
      </c>
      <c r="AK98" s="84" t="n">
        <f aca="false">IFERROR((AK97-AK96)/(Model!AJ107-IF(AND(Projects!$G$14="Yes",Model!AJ$3&gt;=Projects!$C$14),Model!AJ105+Model!AJ106,0)),0)</f>
        <v>0</v>
      </c>
      <c r="AL98" s="84" t="n">
        <f aca="false">IFERROR((AL97-AL96)/(Model!AK107-IF(AND(Projects!$G$14="Yes",Model!AK$3&gt;=Projects!$C$14),Model!AK105+Model!AK106,0)),0)</f>
        <v>0</v>
      </c>
      <c r="AM98" s="84" t="n">
        <f aca="false">IFERROR((AM97-AM96)/(Model!AL107-IF(AND(Projects!$G$14="Yes",Model!AL$3&gt;=Projects!$C$14),Model!AL105+Model!AL106,0)),0)</f>
        <v>0</v>
      </c>
      <c r="AN98" s="84" t="n">
        <f aca="false">IFERROR((AN97-AN96)/(Model!AM107-IF(AND(Projects!$G$14="Yes",Model!AM$3&gt;=Projects!$C$14),Model!AM105+Model!AM106,0)),0)</f>
        <v>0</v>
      </c>
      <c r="AO98" s="84" t="n">
        <f aca="false">IFERROR((AO97-AO96)/(Model!AN107-IF(AND(Projects!$G$14="Yes",Model!AN$3&gt;=Projects!$C$14),Model!AN105+Model!AN106,0)),0)</f>
        <v>0</v>
      </c>
      <c r="AP98" s="84" t="n">
        <f aca="false">IFERROR((AP97-AP96)/(Model!AO107-IF(AND(Projects!$G$14="Yes",Model!AO$3&gt;=Projects!$C$14),Model!AO105+Model!AO106,0)),0)</f>
        <v>0</v>
      </c>
      <c r="AQ98" s="84" t="n">
        <f aca="false">IFERROR((AQ97-AQ96)/(Model!AP107-IF(AND(Projects!$G$14="Yes",Model!AP$3&gt;=Projects!$C$14),Model!AP105+Model!AP106,0)),0)</f>
        <v>0</v>
      </c>
      <c r="AR98" s="84" t="n">
        <f aca="false">IFERROR((AR97-AR96)/(Model!AQ107-IF(AND(Projects!$G$14="Yes",Model!AQ$3&gt;=Projects!$C$14),Model!AQ105+Model!AQ106,0)),0)</f>
        <v>0</v>
      </c>
      <c r="AS98" s="84" t="n">
        <f aca="false">IFERROR((AS97-AS96)/(Model!AR107-IF(AND(Projects!$G$14="Yes",Model!AR$3&gt;=Projects!$C$14),Model!AR105+Model!AR106,0)),0)</f>
        <v>0</v>
      </c>
      <c r="AT98" s="84" t="n">
        <f aca="false">IFERROR((AT97-AT96)/(Model!AS107-IF(AND(Projects!$G$14="Yes",Model!AS$3&gt;=Projects!$C$14),Model!AS105+Model!AS106,0)),0)</f>
        <v>0</v>
      </c>
      <c r="AU98" s="84" t="n">
        <f aca="false">IFERROR((AU97-AU96)/(Model!AT107-IF(AND(Projects!$G$14="Yes",Model!AT$3&gt;=Projects!$C$14),Model!AT105+Model!AT106,0)),0)</f>
        <v>0</v>
      </c>
      <c r="AV98" s="84" t="n">
        <f aca="false">IFERROR((AV97-AV96)/(Model!AU107-IF(AND(Projects!$G$14="Yes",Model!AU$3&gt;=Projects!$C$14),Model!AU105+Model!AU106,0)),0)</f>
        <v>0</v>
      </c>
      <c r="AW98" s="84" t="n">
        <f aca="false">IFERROR((AW97-AW96)/(Model!AV107-IF(AND(Projects!$G$14="Yes",Model!AV$3&gt;=Projects!$C$14),Model!AV105+Model!AV106,0)),0)</f>
        <v>0</v>
      </c>
      <c r="AX98" s="84" t="n">
        <f aca="false">IFERROR((AX97-AX96)/(Model!AW107-IF(AND(Projects!$G$14="Yes",Model!AW$3&gt;=Projects!$C$14),Model!AW105+Model!AW106,0)),0)</f>
        <v>0</v>
      </c>
      <c r="AY98" s="84" t="n">
        <f aca="false">IFERROR((AY97-AY96)/(Model!AX107-IF(AND(Projects!$G$14="Yes",Model!AX$3&gt;=Projects!$C$14),Model!AX105+Model!AX106,0)),0)</f>
        <v>0</v>
      </c>
      <c r="AZ98" s="84" t="n">
        <f aca="false">IFERROR((AZ97-AZ96)/(Model!AY107-IF(AND(Projects!$G$14="Yes",Model!AY$3&gt;=Projects!$C$14),Model!AY105+Model!AY106,0)),0)</f>
        <v>0</v>
      </c>
      <c r="BA98" s="84" t="n">
        <f aca="false">IFERROR((BA97-BA96)/(Model!AZ107-IF(AND(Projects!$G$14="Yes",Model!AZ$3&gt;=Projects!$C$14),Model!AZ105+Model!AZ106,0)),0)</f>
        <v>0</v>
      </c>
      <c r="BB98" s="84" t="n">
        <f aca="false">IFERROR((BB97-BB96)/(Model!BA107-IF(AND(Projects!$G$14="Yes",Model!BA$3&gt;=Projects!$C$14),Model!BA105+Model!BA106,0)),0)</f>
        <v>0</v>
      </c>
      <c r="BC98" s="84" t="n">
        <f aca="false">IFERROR((BC97-BC96)/(Model!BB107-IF(AND(Projects!$G$14="Yes",Model!BB$3&gt;=Projects!$C$14),Model!BB105+Model!BB106,0)),0)</f>
        <v>0</v>
      </c>
      <c r="BD98" s="84" t="n">
        <f aca="false">IFERROR((BD97-BD96)/(Model!BC107-IF(AND(Projects!$G$14="Yes",Model!BC$3&gt;=Projects!$C$14),Model!BC105+Model!BC106,0)),0)</f>
        <v>0</v>
      </c>
      <c r="BE98" s="84" t="n">
        <f aca="false">IFERROR((BE97-BE96)/(Model!BD107-IF(AND(Projects!$G$14="Yes",Model!BD$3&gt;=Projects!$C$14),Model!BD105+Model!BD106,0)),0)</f>
        <v>0</v>
      </c>
      <c r="BF98" s="84" t="n">
        <f aca="false">IFERROR((BF97-BF96)/(Model!BE107-IF(AND(Projects!$G$14="Yes",Model!BE$3&gt;=Projects!$C$14),Model!BE105+Model!BE106,0)),0)</f>
        <v>0</v>
      </c>
      <c r="BG98" s="84" t="n">
        <f aca="false">IFERROR((BG97-BG96)/(Model!BF107-IF(AND(Projects!$G$14="Yes",Model!BF$3&gt;=Projects!$C$14),Model!BF105+Model!BF106,0)),0)</f>
        <v>0</v>
      </c>
      <c r="BH98" s="84" t="n">
        <f aca="false">IFERROR((BH97-BH96)/(Model!BG107-IF(AND(Projects!$G$14="Yes",Model!BG$3&gt;=Projects!$C$14),Model!BG105+Model!BG106,0)),0)</f>
        <v>0</v>
      </c>
      <c r="BI98" s="84" t="n">
        <f aca="false">IFERROR((BI97-BI96)/(Model!BH107-IF(AND(Projects!$G$14="Yes",Model!BH$3&gt;=Projects!$C$14),Model!BH105+Model!BH106,0)),0)</f>
        <v>0</v>
      </c>
      <c r="BJ98" s="84" t="n">
        <f aca="false">IFERROR((BJ97-BJ96)/(Model!BI107-IF(AND(Projects!$G$14="Yes",Model!BI$3&gt;=Projects!$C$14),Model!BI105+Model!BI106,0)),0)</f>
        <v>0</v>
      </c>
      <c r="BK98" s="84" t="n">
        <f aca="false">IFERROR((BK97-BK96)/(Model!BJ107-IF(AND(Projects!$G$14="Yes",Model!BJ$3&gt;=Projects!$C$14),Model!BJ105+Model!BJ106,0)),0)</f>
        <v>0</v>
      </c>
      <c r="BL98" s="84" t="n">
        <f aca="false">IFERROR((BL97-BL96)/(Model!BK107-IF(AND(Projects!$G$14="Yes",Model!BK$3&gt;=Projects!$C$14),Model!BK105+Model!BK106,0)),0)</f>
        <v>0</v>
      </c>
      <c r="BM98" s="84" t="n">
        <f aca="false">IFERROR((BM97-BM96)/(Model!BL107-IF(AND(Projects!$G$14="Yes",Model!BL$3&gt;=Projects!$C$14),Model!BL105+Model!BL106,0)),0)</f>
        <v>0</v>
      </c>
      <c r="BN98" s="84" t="n">
        <f aca="false">IFERROR((BN97-BN96)/(Model!BM107-IF(AND(Projects!$G$14="Yes",Model!BM$3&gt;=Projects!$C$14),Model!BM105+Model!BM106,0)),0)</f>
        <v>0</v>
      </c>
      <c r="BO98" s="84" t="n">
        <f aca="false">IFERROR((BO97-BO96)/(Model!BN107-IF(AND(Projects!$G$14="Yes",Model!BN$3&gt;=Projects!$C$14),Model!BN105+Model!BN106,0)),0)</f>
        <v>0</v>
      </c>
      <c r="BP98" s="84" t="n">
        <f aca="false">IFERROR((BP97-BP96)/(Model!BO107-IF(AND(Projects!$G$14="Yes",Model!BO$3&gt;=Projects!$C$14),Model!BO105+Model!BO106,0)),0)</f>
        <v>0</v>
      </c>
      <c r="BQ98" s="84" t="n">
        <f aca="false">IFERROR((BQ97-BQ96)/(Model!BP107-IF(AND(Projects!$G$14="Yes",Model!BP$3&gt;=Projects!$C$14),Model!BP105+Model!BP106,0)),0)</f>
        <v>0</v>
      </c>
      <c r="BR98" s="84" t="n">
        <f aca="false">IFERROR((BR97-BR96)/(Model!BQ107-IF(AND(Projects!$G$14="Yes",Model!BQ$3&gt;=Projects!$C$14),Model!BQ105+Model!BQ106,0)),0)</f>
        <v>0</v>
      </c>
      <c r="BS98" s="84" t="n">
        <f aca="false">IFERROR((BS97-BS96)/(Model!BR107-IF(AND(Projects!$G$14="Yes",Model!BR$3&gt;=Projects!$C$14),Model!BR105+Model!BR106,0)),0)</f>
        <v>0</v>
      </c>
      <c r="BT98" s="84" t="n">
        <f aca="false">IFERROR((BT97-BT96)/(Model!BS107-IF(AND(Projects!$G$14="Yes",Model!BS$3&gt;=Projects!$C$14),Model!BS105+Model!BS106,0)),0)</f>
        <v>0</v>
      </c>
      <c r="BU98" s="84" t="n">
        <f aca="false">IFERROR((BU97-BU96)/(Model!BT107-IF(AND(Projects!$G$14="Yes",Model!BT$3&gt;=Projects!$C$14),Model!BT105+Model!BT106,0)),0)</f>
        <v>0</v>
      </c>
      <c r="BV98" s="84" t="n">
        <f aca="false">IFERROR((BV97-BV96)/(Model!BU107-IF(AND(Projects!$G$14="Yes",Model!BU$3&gt;=Projects!$C$14),Model!BU105+Model!BU106,0)),0)</f>
        <v>0</v>
      </c>
      <c r="BW98" s="84" t="n">
        <f aca="false">IFERROR((BW97-BW96)/(Model!BV107-IF(AND(Projects!$G$14="Yes",Model!BV$3&gt;=Projects!$C$14),Model!BV105+Model!BV106,0)),0)</f>
        <v>0</v>
      </c>
      <c r="BX98" s="84" t="n">
        <f aca="false">IFERROR((BX97-BX96)/(Model!BW107-IF(AND(Projects!$G$14="Yes",Model!BW$3&gt;=Projects!$C$14),Model!BW105+Model!BW106,0)),0)</f>
        <v>0</v>
      </c>
      <c r="BY98" s="84" t="n">
        <f aca="false">IFERROR((BY97-BY96)/(Model!BX107-IF(AND(Projects!$G$14="Yes",Model!BX$3&gt;=Projects!$C$14),Model!BX105+Model!BX106,0)),0)</f>
        <v>0</v>
      </c>
      <c r="BZ98" s="84" t="n">
        <f aca="false">IFERROR((BZ97-BZ96)/(Model!BY107-IF(AND(Projects!$G$14="Yes",Model!BY$3&gt;=Projects!$C$14),Model!BY105+Model!BY106,0)),0)</f>
        <v>0</v>
      </c>
      <c r="CA98" s="84" t="n">
        <f aca="false">IFERROR((CA97-CA96)/(Model!BZ107-IF(AND(Projects!$G$14="Yes",Model!BZ$3&gt;=Projects!$C$14),Model!BZ105+Model!BZ106,0)),0)</f>
        <v>0</v>
      </c>
      <c r="CB98" s="84" t="n">
        <f aca="false">IFERROR((CB97-CB96)/(Model!CA107-IF(AND(Projects!$G$14="Yes",Model!CA$3&gt;=Projects!$C$14),Model!CA105+Model!CA106,0)),0)</f>
        <v>0</v>
      </c>
      <c r="CC98" s="84" t="n">
        <f aca="false">IFERROR((CC97-CC96)/(Model!CB107-IF(AND(Projects!$G$14="Yes",Model!CB$3&gt;=Projects!$C$14),Model!CB105+Model!CB106,0)),0)</f>
        <v>0</v>
      </c>
      <c r="CD98" s="84" t="n">
        <f aca="false">IFERROR((CD97-CD96)/(Model!CC107-IF(AND(Projects!$G$14="Yes",Model!CC$3&gt;=Projects!$C$14),Model!CC105+Model!CC106,0)),0)</f>
        <v>0</v>
      </c>
      <c r="CE98" s="84" t="n">
        <f aca="false">IFERROR((CE97-CE96)/(Model!CD107-IF(AND(Projects!$G$14="Yes",Model!CD$3&gt;=Projects!$C$14),Model!CD105+Model!CD106,0)),0)</f>
        <v>0</v>
      </c>
      <c r="CF98" s="84" t="n">
        <f aca="false">IFERROR((CF97-CF96)/(Model!CE107-IF(AND(Projects!$G$14="Yes",Model!CE$3&gt;=Projects!$C$14),Model!CE105+Model!CE106,0)),0)</f>
        <v>0</v>
      </c>
      <c r="CG98" s="84" t="n">
        <f aca="false">IFERROR((CG97-CG96)/(Model!CF107-IF(AND(Projects!$G$14="Yes",Model!CF$3&gt;=Projects!$C$14),Model!CF105+Model!CF106,0)),0)</f>
        <v>0</v>
      </c>
      <c r="CH98" s="84" t="n">
        <f aca="false">IFERROR((CH97-CH96)/(Model!CG107-IF(AND(Projects!$G$14="Yes",Model!CG$3&gt;=Projects!$C$14),Model!CG105+Model!CG106,0)),0)</f>
        <v>0</v>
      </c>
      <c r="CI98" s="84" t="n">
        <f aca="false">IFERROR((CI97-CI96)/(Model!CH107-IF(AND(Projects!$G$14="Yes",Model!CH$3&gt;=Projects!$C$14),Model!CH105+Model!CH106,0)),0)</f>
        <v>0</v>
      </c>
      <c r="CJ98" s="84" t="n">
        <f aca="false">IFERROR((CJ97-CJ96)/(Model!CI107-IF(AND(Projects!$G$14="Yes",Model!CI$3&gt;=Projects!$C$14),Model!CI105+Model!CI106,0)),0)</f>
        <v>0</v>
      </c>
      <c r="CK98" s="84" t="n">
        <f aca="false">IFERROR((CK97-CK96)/(Model!CJ107-IF(AND(Projects!$G$14="Yes",Model!CJ$3&gt;=Projects!$C$14),Model!CJ105+Model!CJ106,0)),0)</f>
        <v>0</v>
      </c>
      <c r="CL98" s="84" t="n">
        <f aca="false">IFERROR((CL97-CL96)/(Model!CK107-IF(AND(Projects!$G$14="Yes",Model!CK$3&gt;=Projects!$C$14),Model!CK105+Model!CK106,0)),0)</f>
        <v>0</v>
      </c>
      <c r="CM98" s="84" t="n">
        <f aca="false">IFERROR((CM97-CM96)/(Model!CL107-IF(AND(Projects!$G$14="Yes",Model!CL$3&gt;=Projects!$C$14),Model!CL105+Model!CL106,0)),0)</f>
        <v>0</v>
      </c>
      <c r="CN98" s="84" t="n">
        <f aca="false">IFERROR((CN97-CN96)/(Model!CM107-IF(AND(Projects!$G$14="Yes",Model!CM$3&gt;=Projects!$C$14),Model!CM105+Model!CM106,0)),0)</f>
        <v>0</v>
      </c>
      <c r="CO98" s="84" t="n">
        <f aca="false">IFERROR((CO97-CO96)/(Model!CN107-IF(AND(Projects!$G$14="Yes",Model!CN$3&gt;=Projects!$C$14),Model!CN105+Model!CN106,0)),0)</f>
        <v>0</v>
      </c>
      <c r="CP98" s="84" t="n">
        <f aca="false">IFERROR((CP97-CP96)/(Model!CO107-IF(AND(Projects!$G$14="Yes",Model!CO$3&gt;=Projects!$C$14),Model!CO105+Model!CO106,0)),0)</f>
        <v>0</v>
      </c>
      <c r="CQ98" s="84" t="n">
        <f aca="false">IFERROR((CQ97-CQ96)/(Model!CP107-IF(AND(Projects!$G$14="Yes",Model!CP$3&gt;=Projects!$C$14),Model!CP105+Model!CP106,0)),0)</f>
        <v>0</v>
      </c>
      <c r="CR98" s="84" t="n">
        <f aca="false">IFERROR((CR97-CR96)/(Model!CQ107-IF(AND(Projects!$G$14="Yes",Model!CQ$3&gt;=Projects!$C$14),Model!CQ105+Model!CQ106,0)),0)</f>
        <v>0</v>
      </c>
      <c r="CS98" s="84" t="n">
        <f aca="false">IFERROR((CS97-CS96)/(Model!CR107-IF(AND(Projects!$G$14="Yes",Model!CR$3&gt;=Projects!$C$14),Model!CR105+Model!CR106,0)),0)</f>
        <v>0</v>
      </c>
      <c r="CT98" s="84" t="n">
        <f aca="false">IFERROR((CT97-CT96)/(Model!CS107-IF(AND(Projects!$G$14="Yes",Model!CS$3&gt;=Projects!$C$14),Model!CS105+Model!CS106,0)),0)</f>
        <v>0</v>
      </c>
      <c r="CU98" s="84" t="n">
        <f aca="false">IFERROR((CU97-CU96)/(Model!CT107-IF(AND(Projects!$G$14="Yes",Model!CT$3&gt;=Projects!$C$14),Model!CT105+Model!CT106,0)),0)</f>
        <v>0</v>
      </c>
      <c r="CV98" s="84" t="n">
        <f aca="false">IFERROR((CV97-CV96)/(Model!CU107-IF(AND(Projects!$G$14="Yes",Model!CU$3&gt;=Projects!$C$14),Model!CU105+Model!CU106,0)),0)</f>
        <v>0</v>
      </c>
      <c r="CW98" s="84" t="n">
        <f aca="false">IFERROR((CW97-CW96)/(Model!CV107-IF(AND(Projects!$G$14="Yes",Model!CV$3&gt;=Projects!$C$14),Model!CV105+Model!CV106,0)),0)</f>
        <v>0</v>
      </c>
      <c r="CX98" s="84" t="n">
        <f aca="false">IFERROR((CX97-CX96)/(Model!CW107-IF(AND(Projects!$G$14="Yes",Model!CW$3&gt;=Projects!$C$14),Model!CW105+Model!CW106,0)),0)</f>
        <v>0</v>
      </c>
      <c r="CY98" s="84" t="n">
        <f aca="false">IFERROR((CY97-CY96)/(Model!CX107-IF(AND(Projects!$G$14="Yes",Model!CX$3&gt;=Projects!$C$14),Model!CX105+Model!CX106,0)),0)</f>
        <v>0</v>
      </c>
      <c r="CZ98" s="84" t="n">
        <f aca="false">IFERROR((CZ97-CZ96)/(Model!CY107-IF(AND(Projects!$G$14="Yes",Model!CY$3&gt;=Projects!$C$14),Model!CY105+Model!CY106,0)),0)</f>
        <v>0</v>
      </c>
      <c r="DA98" s="84" t="n">
        <f aca="false">IFERROR((DA97-DA96)/(Model!CZ107-IF(AND(Projects!$G$14="Yes",Model!CZ$3&gt;=Projects!$C$14),Model!CZ105+Model!CZ106,0)),0)</f>
        <v>0</v>
      </c>
      <c r="DB98" s="84" t="n">
        <f aca="false">IFERROR((DB97-DB96)/(Model!DA107-IF(AND(Projects!$G$14="Yes",Model!DA$3&gt;=Projects!$C$14),Model!DA105+Model!DA106,0)),0)</f>
        <v>0</v>
      </c>
      <c r="DC98" s="84" t="n">
        <f aca="false">IFERROR((DC97-DC96)/(Model!DB107-IF(AND(Projects!$G$14="Yes",Model!DB$3&gt;=Projects!$C$14),Model!DB105+Model!DB106,0)),0)</f>
        <v>0</v>
      </c>
      <c r="DD98" s="84" t="n">
        <f aca="false">IFERROR((DD97-DD96)/(Model!DC107-IF(AND(Projects!$G$14="Yes",Model!DC$3&gt;=Projects!$C$14),Model!DC105+Model!DC106,0)),0)</f>
        <v>0</v>
      </c>
      <c r="DE98" s="84" t="n">
        <f aca="false">IFERROR((DE97-DE96)/(Model!DD107-IF(AND(Projects!$G$14="Yes",Model!DD$3&gt;=Projects!$C$14),Model!DD105+Model!DD106,0)),0)</f>
        <v>0</v>
      </c>
      <c r="DF98" s="84" t="n">
        <f aca="false">IFERROR((DF97-DF96)/(Model!DE107-IF(AND(Projects!$G$14="Yes",Model!DE$3&gt;=Projects!$C$14),Model!DE105+Model!DE106,0)),0)</f>
        <v>0</v>
      </c>
    </row>
    <row r="99" customFormat="false" ht="15" hidden="false" customHeight="true" outlineLevel="0" collapsed="false">
      <c r="A99" s="82" t="s">
        <v>845</v>
      </c>
      <c r="B99" s="303" t="n">
        <f aca="false">SUM(Actuals!C17:N17)</f>
        <v>2316186.69</v>
      </c>
      <c r="C99" s="83" t="n">
        <f aca="false">Model!B107+SUM(Model!B111:B141)+Model!B143-IF(AND(Projects!$G$14="Yes",Model!B$3&gt;=Projects!$C$14),Model!B105+Model!B106,0)</f>
        <v>-41844.6399999999</v>
      </c>
      <c r="D99" s="83" t="n">
        <f aca="false">Model!C107+SUM(Model!C111:C141)+Model!C143-IF(AND(Projects!$G$14="Yes",Model!C$3&gt;=Projects!$C$14),Model!C105+Model!C106,0)</f>
        <v>-311309.31</v>
      </c>
      <c r="E99" s="83" t="n">
        <f aca="false">Model!D107+SUM(Model!D111:D141)+Model!D143-IF(AND(Projects!$G$14="Yes",Model!D$3&gt;=Projects!$C$14),Model!D105+Model!D106,0)</f>
        <v>242246.78</v>
      </c>
      <c r="F99" s="83" t="n">
        <f aca="false">Model!E107+SUM(Model!E111:E141)+Model!E143-IF(AND(Projects!$G$14="Yes",Model!E$3&gt;=Projects!$C$14),Model!E105+Model!E106,0)</f>
        <v>373926.69</v>
      </c>
      <c r="G99" s="83" t="n">
        <f aca="false">Model!F107+SUM(Model!F111:F141)+Model!F143-IF(AND(Projects!$G$14="Yes",Model!F$3&gt;=Projects!$C$14),Model!F105+Model!F106,0)</f>
        <v>35871.8500000002</v>
      </c>
      <c r="H99" s="83" t="n">
        <f aca="false">Model!G107+SUM(Model!G111:G141)+Model!G143-IF(AND(Projects!$G$14="Yes",Model!G$3&gt;=Projects!$C$14),Model!G105+Model!G106,0)</f>
        <v>224970.586666667</v>
      </c>
      <c r="I99" s="83" t="n">
        <f aca="false">Model!H107+SUM(Model!H111:H141)+Model!H143-IF(AND(Projects!$G$14="Yes",Model!H$3&gt;=Projects!$C$14),Model!H105+Model!H106,0)</f>
        <v>-76035.185416696</v>
      </c>
      <c r="J99" s="83" t="n">
        <f aca="false">Model!I107+SUM(Model!I111:I141)+Model!I143-IF(AND(Projects!$G$14="Yes",Model!I$3&gt;=Projects!$C$14),Model!I105+Model!I106,0)</f>
        <v>296394.633165302</v>
      </c>
      <c r="K99" s="83" t="n">
        <f aca="false">Model!J107+SUM(Model!J111:J141)+Model!J143-IF(AND(Projects!$G$14="Yes",Model!J$3&gt;=Projects!$C$14),Model!J105+Model!J106,0)</f>
        <v>-63323.2319474524</v>
      </c>
      <c r="L99" s="83" t="n">
        <f aca="false">Model!K107+SUM(Model!K111:K141)+Model!K143-IF(AND(Projects!$G$14="Yes",Model!K$3&gt;=Projects!$C$14),Model!K105+Model!K106,0)</f>
        <v>417513.614526244</v>
      </c>
      <c r="M99" s="83" t="n">
        <f aca="false">Model!L107+SUM(Model!L111:L141)+Model!L143-IF(AND(Projects!$G$14="Yes",Model!L$3&gt;=Projects!$C$14),Model!L105+Model!L106,0)</f>
        <v>393607.260726189</v>
      </c>
      <c r="N99" s="83" t="n">
        <f aca="false">Model!M107+SUM(Model!M111:M141)+Model!M143-IF(AND(Projects!$G$14="Yes",Model!M$3&gt;=Projects!$C$14),Model!M105+Model!M106,0)</f>
        <v>273593.5875938</v>
      </c>
      <c r="O99" s="83" t="n">
        <f aca="false">Model!N107+SUM(Model!N111:N141)+Model!N143-IF(AND(Projects!$G$14="Yes",Model!N$3&gt;=Projects!$C$14),Model!N105+Model!N106,0)</f>
        <v>293487.26515205</v>
      </c>
      <c r="P99" s="83" t="n">
        <f aca="false">Model!O107+SUM(Model!O111:O141)+Model!O143-IF(AND(Projects!$G$14="Yes",Model!O$3&gt;=Projects!$C$14),Model!O105+Model!O106,0)</f>
        <v>267890.590634305</v>
      </c>
      <c r="Q99" s="83" t="n">
        <f aca="false">Model!P107+SUM(Model!P111:P141)+Model!P143-IF(AND(Projects!$G$14="Yes",Model!P$3&gt;=Projects!$C$14),Model!P105+Model!P106,0)</f>
        <v>239963.965992099</v>
      </c>
      <c r="R99" s="83" t="n">
        <f aca="false">Model!Q107+SUM(Model!Q111:Q141)+Model!Q143-IF(AND(Projects!$G$14="Yes",Model!Q$3&gt;=Projects!$C$14),Model!Q105+Model!Q106,0)</f>
        <v>-455842.922775748</v>
      </c>
      <c r="S99" s="83" t="n">
        <f aca="false">Model!R107+SUM(Model!R111:R141)+Model!R143-IF(AND(Projects!$G$14="Yes",Model!R$3&gt;=Projects!$C$14),Model!R105+Model!R106,0)</f>
        <v>331617.059109317</v>
      </c>
      <c r="T99" s="83" t="n">
        <f aca="false">Model!S107+SUM(Model!S111:S141)+Model!S143-IF(AND(Projects!$G$14="Yes",Model!S$3&gt;=Projects!$C$14),Model!S105+Model!S106,0)</f>
        <v>304179.711590462</v>
      </c>
      <c r="U99" s="83" t="n">
        <f aca="false">Model!T107+SUM(Model!T111:T141)+Model!T143-IF(AND(Projects!$G$14="Yes",Model!T$3&gt;=Projects!$C$14),Model!T105+Model!T106,0)</f>
        <v>229044.573090154</v>
      </c>
      <c r="V99" s="83" t="n">
        <f aca="false">Model!U107+SUM(Model!U111:U141)+Model!U143-IF(AND(Projects!$G$14="Yes",Model!U$3&gt;=Projects!$C$14),Model!U105+Model!U106,0)</f>
        <v>176486.238009593</v>
      </c>
      <c r="W99" s="83" t="n">
        <f aca="false">Model!V107+SUM(Model!V111:V141)+Model!V143-IF(AND(Projects!$G$14="Yes",Model!V$3&gt;=Projects!$C$14),Model!V105+Model!V106,0)</f>
        <v>173703.337351954</v>
      </c>
      <c r="X99" s="83" t="n">
        <f aca="false">Model!W107+SUM(Model!W111:W141)+Model!W143-IF(AND(Projects!$G$14="Yes",Model!W$3&gt;=Projects!$C$14),Model!W105+Model!W106,0)</f>
        <v>171117.943555453</v>
      </c>
      <c r="Y99" s="83" t="n">
        <f aca="false">Model!X107+SUM(Model!X111:X141)+Model!X143-IF(AND(Projects!$G$14="Yes",Model!X$3&gt;=Projects!$C$14),Model!X105+Model!X106,0)</f>
        <v>160138.301130427</v>
      </c>
      <c r="Z99" s="83" t="n">
        <f aca="false">Model!Y107+SUM(Model!Y111:Y141)+Model!Y143-IF(AND(Projects!$G$14="Yes",Model!Y$3&gt;=Projects!$C$14),Model!Y105+Model!Y106,0)</f>
        <v>160138.301130427</v>
      </c>
      <c r="AA99" s="83" t="n">
        <f aca="false">Model!Z107+SUM(Model!Z111:Z141)+Model!Z143-IF(AND(Projects!$G$14="Yes",Model!Z$3&gt;=Projects!$C$14),Model!Z105+Model!Z106,0)</f>
        <v>160138.301130427</v>
      </c>
      <c r="AB99" s="83" t="n">
        <f aca="false">Model!AA107+SUM(Model!AA111:AA141)+Model!AA143-IF(AND(Projects!$G$14="Yes",Model!AA$3&gt;=Projects!$C$14),Model!AA105+Model!AA106,0)</f>
        <v>238354.985752204</v>
      </c>
      <c r="AC99" s="83" t="n">
        <f aca="false">Model!AB107+SUM(Model!AB111:AB141)+Model!AB143-IF(AND(Projects!$G$14="Yes",Model!AB$3&gt;=Projects!$C$14),Model!AB105+Model!AB106,0)</f>
        <v>81921.6165086495</v>
      </c>
      <c r="AD99" s="83" t="n">
        <f aca="false">Model!AC107+SUM(Model!AC111:AC141)+Model!AC143-IF(AND(Projects!$G$14="Yes",Model!AC$3&gt;=Projects!$C$14),Model!AC105+Model!AC106,0)</f>
        <v>176809.704282249</v>
      </c>
      <c r="AE99" s="83" t="n">
        <f aca="false">Model!AD107+SUM(Model!AD111:AD141)+Model!AD143-IF(AND(Projects!$G$14="Yes",Model!AD$3&gt;=Projects!$C$14),Model!AD105+Model!AD106,0)</f>
        <v>-29327.5221169515</v>
      </c>
      <c r="AF99" s="83" t="n">
        <f aca="false">Model!AE107+SUM(Model!AE111:AE141)+Model!AE143-IF(AND(Projects!$G$14="Yes",Model!AE$3&gt;=Projects!$C$14),Model!AE105+Model!AE106,0)</f>
        <v>128332.118751596</v>
      </c>
      <c r="AG99" s="83" t="n">
        <f aca="false">Model!AF107+SUM(Model!AF111:AF141)+Model!AF143-IF(AND(Projects!$G$14="Yes",Model!AF$3&gt;=Projects!$C$14),Model!AF105+Model!AF106,0)</f>
        <v>128332.118751596</v>
      </c>
      <c r="AH99" s="83" t="n">
        <f aca="false">Model!AG107+SUM(Model!AG111:AG141)+Model!AG143-IF(AND(Projects!$G$14="Yes",Model!AG$3&gt;=Projects!$C$14),Model!AG105+Model!AG106,0)</f>
        <v>256328.248319346</v>
      </c>
      <c r="AI99" s="83" t="n">
        <f aca="false">Model!AH107+SUM(Model!AH111:AH141)+Model!AH143-IF(AND(Projects!$G$14="Yes",Model!AH$3&gt;=Projects!$C$14),Model!AH105+Model!AH106,0)</f>
        <v>27001.8495104608</v>
      </c>
      <c r="AJ99" s="83" t="n">
        <f aca="false">Model!AI107+SUM(Model!AI111:AI141)+Model!AI143-IF(AND(Projects!$G$14="Yes",Model!AI$3&gt;=Projects!$C$14),Model!AI105+Model!AI106,0)</f>
        <v>27001.8495104603</v>
      </c>
      <c r="AK99" s="83" t="n">
        <f aca="false">Model!AJ107+SUM(Model!AJ111:AJ141)+Model!AJ143-IF(AND(Projects!$G$14="Yes",Model!AJ$3&gt;=Projects!$C$14),Model!AJ105+Model!AJ106,0)</f>
        <v>27001.8495104603</v>
      </c>
      <c r="AL99" s="83" t="n">
        <f aca="false">Model!AK107+SUM(Model!AK111:AK141)+Model!AK143-IF(AND(Projects!$G$14="Yes",Model!AK$3&gt;=Projects!$C$14),Model!AK105+Model!AK106,0)</f>
        <v>27001.8495104603</v>
      </c>
      <c r="AM99" s="83" t="n">
        <f aca="false">Model!AL107+SUM(Model!AL111:AL141)+Model!AL143-IF(AND(Projects!$G$14="Yes",Model!AL$3&gt;=Projects!$C$14),Model!AL105+Model!AL106,0)</f>
        <v>370909.430527351</v>
      </c>
      <c r="AN99" s="83" t="n">
        <f aca="false">Model!AM107+SUM(Model!AM111:AM141)+Model!AM143-IF(AND(Projects!$G$14="Yes",Model!AM$3&gt;=Projects!$C$14),Model!AM105+Model!AM106,0)</f>
        <v>-190806.28513357</v>
      </c>
      <c r="AO99" s="83" t="n">
        <f aca="false">Model!AN107+SUM(Model!AN111:AN141)+Model!AN143-IF(AND(Projects!$G$14="Yes",Model!AN$3&gt;=Projects!$C$14),Model!AN105+Model!AN106,0)</f>
        <v>-190806.28513357</v>
      </c>
      <c r="AP99" s="83" t="n">
        <f aca="false">Model!AO107+SUM(Model!AO111:AO141)+Model!AO143-IF(AND(Projects!$G$14="Yes",Model!AO$3&gt;=Projects!$C$14),Model!AO105+Model!AO106,0)</f>
        <v>-199150.42106809</v>
      </c>
      <c r="AQ99" s="83" t="n">
        <f aca="false">Model!AP107+SUM(Model!AP111:AP141)+Model!AP143-IF(AND(Projects!$G$14="Yes",Model!AP$3&gt;=Projects!$C$14),Model!AP105+Model!AP106,0)</f>
        <v>-199150.42106809</v>
      </c>
      <c r="AR99" s="83" t="n">
        <f aca="false">Model!AQ107+SUM(Model!AQ111:AQ141)+Model!AQ143-IF(AND(Projects!$G$14="Yes",Model!AQ$3&gt;=Projects!$C$14),Model!AQ105+Model!AQ106,0)</f>
        <v>-199150.42106809</v>
      </c>
      <c r="AS99" s="83" t="n">
        <f aca="false">Model!AR107+SUM(Model!AR111:AR141)+Model!AR143-IF(AND(Projects!$G$14="Yes",Model!AR$3&gt;=Projects!$C$14),Model!AR105+Model!AR106,0)</f>
        <v>-199150.42106809</v>
      </c>
      <c r="AT99" s="83" t="n">
        <f aca="false">Model!AS107+SUM(Model!AS111:AS141)+Model!AS143-IF(AND(Projects!$G$14="Yes",Model!AS$3&gt;=Projects!$C$14),Model!AS105+Model!AS106,0)</f>
        <v>-199150.42106809</v>
      </c>
      <c r="AU99" s="83" t="n">
        <f aca="false">Model!AT107+SUM(Model!AT111:AT141)+Model!AT143-IF(AND(Projects!$G$14="Yes",Model!AT$3&gt;=Projects!$C$14),Model!AT105+Model!AT106,0)</f>
        <v>73335.1642854097</v>
      </c>
      <c r="AV99" s="83" t="n">
        <f aca="false">Model!AU107+SUM(Model!AU111:AU141)+Model!AU143-IF(AND(Projects!$G$14="Yes",Model!AU$3&gt;=Projects!$C$14),Model!AU105+Model!AU106,0)</f>
        <v>-371724.625125307</v>
      </c>
      <c r="AW99" s="83" t="n">
        <f aca="false">Model!AV107+SUM(Model!AV111:AV141)+Model!AV143-IF(AND(Projects!$G$14="Yes",Model!AV$3&gt;=Projects!$C$14),Model!AV105+Model!AV106,0)</f>
        <v>-371724.625125307</v>
      </c>
      <c r="AX99" s="83" t="n">
        <f aca="false">Model!AW107+SUM(Model!AW111:AW141)+Model!AW143-IF(AND(Projects!$G$14="Yes",Model!AW$3&gt;=Projects!$C$14),Model!AW105+Model!AW106,0)</f>
        <v>-371724.625125307</v>
      </c>
      <c r="AY99" s="83" t="n">
        <f aca="false">Model!AX107+SUM(Model!AX111:AX141)+Model!AX143-IF(AND(Projects!$G$14="Yes",Model!AX$3&gt;=Projects!$C$14),Model!AX105+Model!AX106,0)</f>
        <v>-371724.625125307</v>
      </c>
      <c r="AZ99" s="83" t="n">
        <f aca="false">Model!AY107+SUM(Model!AY111:AY141)+Model!AY143-IF(AND(Projects!$G$14="Yes",Model!AY$3&gt;=Projects!$C$14),Model!AY105+Model!AY106,0)</f>
        <v>-371724.625125307</v>
      </c>
      <c r="BA99" s="83" t="n">
        <f aca="false">Model!AZ107+SUM(Model!AZ111:AZ141)+Model!AZ143-IF(AND(Projects!$G$14="Yes",Model!AZ$3&gt;=Projects!$C$14),Model!AZ105+Model!AZ106,0)</f>
        <v>-371724.625125307</v>
      </c>
      <c r="BB99" s="83" t="n">
        <f aca="false">Model!BA107+SUM(Model!BA111:BA141)+Model!BA143-IF(AND(Projects!$G$14="Yes",Model!BA$3&gt;=Projects!$C$14),Model!BA105+Model!BA106,0)</f>
        <v>-380235.643778517</v>
      </c>
      <c r="BC99" s="83" t="n">
        <f aca="false">Model!BB107+SUM(Model!BB111:BB141)+Model!BB143-IF(AND(Projects!$G$14="Yes",Model!BB$3&gt;=Projects!$C$14),Model!BB105+Model!BB106,0)</f>
        <v>-380235.643778517</v>
      </c>
      <c r="BD99" s="83" t="n">
        <f aca="false">Model!BC107+SUM(Model!BC111:BC141)+Model!BC143-IF(AND(Projects!$G$14="Yes",Model!BC$3&gt;=Projects!$C$14),Model!BC105+Model!BC106,0)</f>
        <v>-380235.643778517</v>
      </c>
      <c r="BE99" s="83" t="n">
        <f aca="false">Model!BD107+SUM(Model!BD111:BD141)+Model!BD143-IF(AND(Projects!$G$14="Yes",Model!BD$3&gt;=Projects!$C$14),Model!BD105+Model!BD106,0)</f>
        <v>-380235.643778517</v>
      </c>
      <c r="BF99" s="83" t="n">
        <f aca="false">Model!BE107+SUM(Model!BE111:BE141)+Model!BE143-IF(AND(Projects!$G$14="Yes",Model!BE$3&gt;=Projects!$C$14),Model!BE105+Model!BE106,0)</f>
        <v>-380235.643778517</v>
      </c>
      <c r="BG99" s="83" t="n">
        <f aca="false">Model!BF107+SUM(Model!BF111:BF141)+Model!BF143-IF(AND(Projects!$G$14="Yes",Model!BF$3&gt;=Projects!$C$14),Model!BF105+Model!BF106,0)</f>
        <v>-380235.643778517</v>
      </c>
      <c r="BH99" s="83" t="n">
        <f aca="false">Model!BG107+SUM(Model!BG111:BG141)+Model!BG143-IF(AND(Projects!$G$14="Yes",Model!BG$3&gt;=Projects!$C$14),Model!BG105+Model!BG106,0)</f>
        <v>-380235.643778517</v>
      </c>
      <c r="BI99" s="83" t="n">
        <f aca="false">Model!BH107+SUM(Model!BH111:BH141)+Model!BH143-IF(AND(Projects!$G$14="Yes",Model!BH$3&gt;=Projects!$C$14),Model!BH105+Model!BH106,0)</f>
        <v>-131299.368722917</v>
      </c>
      <c r="BJ99" s="83" t="n">
        <f aca="false">Model!BI107+SUM(Model!BI111:BI141)+Model!BI143-IF(AND(Projects!$G$14="Yes",Model!BI$3&gt;=Projects!$C$14),Model!BI105+Model!BI106,0)</f>
        <v>-537895.284647064</v>
      </c>
      <c r="BK99" s="83" t="n">
        <f aca="false">Model!BJ107+SUM(Model!BJ111:BJ141)+Model!BJ143-IF(AND(Projects!$G$14="Yes",Model!BJ$3&gt;=Projects!$C$14),Model!BJ105+Model!BJ106,0)</f>
        <v>-537895.284647064</v>
      </c>
      <c r="BL99" s="83" t="n">
        <f aca="false">Model!BK107+SUM(Model!BK111:BK141)+Model!BK143-IF(AND(Projects!$G$14="Yes",Model!BK$3&gt;=Projects!$C$14),Model!BK105+Model!BK106,0)</f>
        <v>-537895.284647064</v>
      </c>
      <c r="BM99" s="83" t="n">
        <f aca="false">Model!BL107+SUM(Model!BL111:BL141)+Model!BL143-IF(AND(Projects!$G$14="Yes",Model!BL$3&gt;=Projects!$C$14),Model!BL105+Model!BL106,0)</f>
        <v>-537895.284647064</v>
      </c>
      <c r="BN99" s="83" t="n">
        <f aca="false">Model!BM107+SUM(Model!BM111:BM141)+Model!BM143-IF(AND(Projects!$G$14="Yes",Model!BM$3&gt;=Projects!$C$14),Model!BM105+Model!BM106,0)</f>
        <v>-546576.523673338</v>
      </c>
      <c r="BO99" s="83" t="n">
        <f aca="false">Model!BN107+SUM(Model!BN111:BN141)+Model!BN143-IF(AND(Projects!$G$14="Yes",Model!BN$3&gt;=Projects!$C$14),Model!BN105+Model!BN106,0)</f>
        <v>-546576.523673338</v>
      </c>
      <c r="BP99" s="83" t="n">
        <f aca="false">Model!BO107+SUM(Model!BO111:BO141)+Model!BO143-IF(AND(Projects!$G$14="Yes",Model!BO$3&gt;=Projects!$C$14),Model!BO105+Model!BO106,0)</f>
        <v>-546576.523673338</v>
      </c>
      <c r="BQ99" s="83" t="n">
        <f aca="false">Model!BP107+SUM(Model!BP111:BP141)+Model!BP143-IF(AND(Projects!$G$14="Yes",Model!BP$3&gt;=Projects!$C$14),Model!BP105+Model!BP106,0)</f>
        <v>-546576.523673338</v>
      </c>
      <c r="BR99" s="83" t="n">
        <f aca="false">Model!BQ107+SUM(Model!BQ111:BQ141)+Model!BQ143-IF(AND(Projects!$G$14="Yes",Model!BQ$3&gt;=Projects!$C$14),Model!BQ105+Model!BQ106,0)</f>
        <v>-546576.523673338</v>
      </c>
      <c r="BS99" s="83" t="n">
        <f aca="false">Model!BR107+SUM(Model!BR111:BR141)+Model!BR143-IF(AND(Projects!$G$14="Yes",Model!BR$3&gt;=Projects!$C$14),Model!BR105+Model!BR106,0)</f>
        <v>-546576.523673338</v>
      </c>
      <c r="BT99" s="83" t="n">
        <f aca="false">Model!BS107+SUM(Model!BS111:BS141)+Model!BS143-IF(AND(Projects!$G$14="Yes",Model!BS$3&gt;=Projects!$C$14),Model!BS105+Model!BS106,0)</f>
        <v>-546576.523673338</v>
      </c>
      <c r="BU99" s="83" t="n">
        <f aca="false">Model!BT107+SUM(Model!BT111:BT141)+Model!BT143-IF(AND(Projects!$G$14="Yes",Model!BT$3&gt;=Projects!$C$14),Model!BT105+Model!BT106,0)</f>
        <v>-546576.523673338</v>
      </c>
      <c r="BV99" s="83" t="n">
        <f aca="false">Model!BU107+SUM(Model!BU111:BU141)+Model!BU143-IF(AND(Projects!$G$14="Yes",Model!BU$3&gt;=Projects!$C$14),Model!BU105+Model!BU106,0)</f>
        <v>-546576.523673338</v>
      </c>
      <c r="BW99" s="83" t="n">
        <f aca="false">Model!BV107+SUM(Model!BV111:BV141)+Model!BV143-IF(AND(Projects!$G$14="Yes",Model!BV$3&gt;=Projects!$C$14),Model!BV105+Model!BV106,0)</f>
        <v>-546576.523673338</v>
      </c>
      <c r="BX99" s="83" t="n">
        <f aca="false">Model!BW107+SUM(Model!BW111:BW141)+Model!BW143-IF(AND(Projects!$G$14="Yes",Model!BW$3&gt;=Projects!$C$14),Model!BW105+Model!BW106,0)</f>
        <v>-546576.523673338</v>
      </c>
      <c r="BY99" s="83" t="n">
        <f aca="false">Model!BX107+SUM(Model!BX111:BX141)+Model!BX143-IF(AND(Projects!$G$14="Yes",Model!BX$3&gt;=Projects!$C$14),Model!BX105+Model!BX106,0)</f>
        <v>-546576.523673338</v>
      </c>
      <c r="BZ99" s="83" t="n">
        <f aca="false">Model!BY107+SUM(Model!BY111:BY141)+Model!BY143-IF(AND(Projects!$G$14="Yes",Model!BY$3&gt;=Projects!$C$14),Model!BY105+Model!BY106,0)</f>
        <v>-555431.387480138</v>
      </c>
      <c r="CA99" s="83" t="n">
        <f aca="false">Model!BZ107+SUM(Model!BZ111:BZ141)+Model!BZ143-IF(AND(Projects!$G$14="Yes",Model!BZ$3&gt;=Projects!$C$14),Model!BZ105+Model!BZ106,0)</f>
        <v>-555431.387480138</v>
      </c>
      <c r="CB99" s="83" t="n">
        <f aca="false">Model!CA107+SUM(Model!CA111:CA141)+Model!CA143-IF(AND(Projects!$G$14="Yes",Model!CA$3&gt;=Projects!$C$14),Model!CA105+Model!CA106,0)</f>
        <v>-555431.387480138</v>
      </c>
      <c r="CC99" s="83" t="n">
        <f aca="false">Model!CB107+SUM(Model!CB111:CB141)+Model!CB143-IF(AND(Projects!$G$14="Yes",Model!CB$3&gt;=Projects!$C$14),Model!CB105+Model!CB106,0)</f>
        <v>-555431.387480138</v>
      </c>
      <c r="CD99" s="83" t="n">
        <f aca="false">Model!CC107+SUM(Model!CC111:CC141)+Model!CC143-IF(AND(Projects!$G$14="Yes",Model!CC$3&gt;=Projects!$C$14),Model!CC105+Model!CC106,0)</f>
        <v>-555431.387480138</v>
      </c>
      <c r="CE99" s="83" t="n">
        <f aca="false">Model!CD107+SUM(Model!CD111:CD141)+Model!CD143-IF(AND(Projects!$G$14="Yes",Model!CD$3&gt;=Projects!$C$14),Model!CD105+Model!CD106,0)</f>
        <v>-555431.387480138</v>
      </c>
      <c r="CF99" s="83" t="n">
        <f aca="false">Model!CE107+SUM(Model!CE111:CE141)+Model!CE143-IF(AND(Projects!$G$14="Yes",Model!CE$3&gt;=Projects!$C$14),Model!CE105+Model!CE106,0)</f>
        <v>-555431.387480138</v>
      </c>
      <c r="CG99" s="83" t="n">
        <f aca="false">Model!CF107+SUM(Model!CF111:CF141)+Model!CF143-IF(AND(Projects!$G$14="Yes",Model!CF$3&gt;=Projects!$C$14),Model!CF105+Model!CF106,0)</f>
        <v>-555431.387480138</v>
      </c>
      <c r="CH99" s="83" t="n">
        <f aca="false">Model!CG107+SUM(Model!CG111:CG141)+Model!CG143-IF(AND(Projects!$G$14="Yes",Model!CG$3&gt;=Projects!$C$14),Model!CG105+Model!CG106,0)</f>
        <v>-555431.387480138</v>
      </c>
      <c r="CI99" s="83" t="n">
        <f aca="false">Model!CH107+SUM(Model!CH111:CH141)+Model!CH143-IF(AND(Projects!$G$14="Yes",Model!CH$3&gt;=Projects!$C$14),Model!CH105+Model!CH106,0)</f>
        <v>-555431.387480138</v>
      </c>
      <c r="CJ99" s="83" t="n">
        <f aca="false">Model!CI107+SUM(Model!CI111:CI141)+Model!CI143-IF(AND(Projects!$G$14="Yes",Model!CI$3&gt;=Projects!$C$14),Model!CI105+Model!CI106,0)</f>
        <v>-555431.387480138</v>
      </c>
      <c r="CK99" s="83" t="n">
        <f aca="false">Model!CJ107+SUM(Model!CJ111:CJ141)+Model!CJ143-IF(AND(Projects!$G$14="Yes",Model!CJ$3&gt;=Projects!$C$14),Model!CJ105+Model!CJ106,0)</f>
        <v>-555431.387480138</v>
      </c>
      <c r="CL99" s="83" t="n">
        <f aca="false">Model!CK107+SUM(Model!CK111:CK141)+Model!CK143-IF(AND(Projects!$G$14="Yes",Model!CK$3&gt;=Projects!$C$14),Model!CK105+Model!CK106,0)</f>
        <v>-564463.348563075</v>
      </c>
      <c r="CM99" s="83" t="n">
        <f aca="false">Model!CL107+SUM(Model!CL111:CL141)+Model!CL143-IF(AND(Projects!$G$14="Yes",Model!CL$3&gt;=Projects!$C$14),Model!CL105+Model!CL106,0)</f>
        <v>-564463.348563075</v>
      </c>
      <c r="CN99" s="83" t="n">
        <f aca="false">Model!CM107+SUM(Model!CM111:CM141)+Model!CM143-IF(AND(Projects!$G$14="Yes",Model!CM$3&gt;=Projects!$C$14),Model!CM105+Model!CM106,0)</f>
        <v>-564463.348563075</v>
      </c>
      <c r="CO99" s="83" t="n">
        <f aca="false">Model!CN107+SUM(Model!CN111:CN141)+Model!CN143-IF(AND(Projects!$G$14="Yes",Model!CN$3&gt;=Projects!$C$14),Model!CN105+Model!CN106,0)</f>
        <v>-564463.348563075</v>
      </c>
      <c r="CP99" s="83" t="n">
        <f aca="false">Model!CO107+SUM(Model!CO111:CO141)+Model!CO143-IF(AND(Projects!$G$14="Yes",Model!CO$3&gt;=Projects!$C$14),Model!CO105+Model!CO106,0)</f>
        <v>-564463.348563075</v>
      </c>
      <c r="CQ99" s="83" t="n">
        <f aca="false">Model!CP107+SUM(Model!CP111:CP141)+Model!CP143-IF(AND(Projects!$G$14="Yes",Model!CP$3&gt;=Projects!$C$14),Model!CP105+Model!CP106,0)</f>
        <v>-564463.348563075</v>
      </c>
      <c r="CR99" s="83" t="n">
        <f aca="false">Model!CQ107+SUM(Model!CQ111:CQ141)+Model!CQ143-IF(AND(Projects!$G$14="Yes",Model!CQ$3&gt;=Projects!$C$14),Model!CQ105+Model!CQ106,0)</f>
        <v>-564463.348563075</v>
      </c>
      <c r="CS99" s="83" t="n">
        <f aca="false">Model!CR107+SUM(Model!CR111:CR141)+Model!CR143-IF(AND(Projects!$G$14="Yes",Model!CR$3&gt;=Projects!$C$14),Model!CR105+Model!CR106,0)</f>
        <v>-564463.348563075</v>
      </c>
      <c r="CT99" s="83" t="n">
        <f aca="false">Model!CS107+SUM(Model!CS111:CS141)+Model!CS143-IF(AND(Projects!$G$14="Yes",Model!CS$3&gt;=Projects!$C$14),Model!CS105+Model!CS106,0)</f>
        <v>-564463.348563075</v>
      </c>
      <c r="CU99" s="83" t="n">
        <f aca="false">Model!CT107+SUM(Model!CT111:CT141)+Model!CT143-IF(AND(Projects!$G$14="Yes",Model!CT$3&gt;=Projects!$C$14),Model!CT105+Model!CT106,0)</f>
        <v>-510019.23755921</v>
      </c>
      <c r="CV99" s="83" t="n">
        <f aca="false">Model!CU107+SUM(Model!CU111:CU141)+Model!CU143-IF(AND(Projects!$G$14="Yes",Model!CU$3&gt;=Projects!$C$14),Model!CU105+Model!CU106,0)</f>
        <v>-510019.23755921</v>
      </c>
      <c r="CW99" s="83" t="n">
        <f aca="false">Model!CV107+SUM(Model!CV111:CV141)+Model!CV143-IF(AND(Projects!$G$14="Yes",Model!CV$3&gt;=Projects!$C$14),Model!CV105+Model!CV106,0)</f>
        <v>-510019.23755921</v>
      </c>
      <c r="CX99" s="83" t="n">
        <f aca="false">Model!CW107+SUM(Model!CW111:CW141)+Model!CW143-IF(AND(Projects!$G$14="Yes",Model!CW$3&gt;=Projects!$C$14),Model!CW105+Model!CW106,0)</f>
        <v>-518142.955643728</v>
      </c>
      <c r="CY99" s="83" t="n">
        <f aca="false">Model!CX107+SUM(Model!CX111:CX141)+Model!CX143-IF(AND(Projects!$G$14="Yes",Model!CX$3&gt;=Projects!$C$14),Model!CX105+Model!CX106,0)</f>
        <v>-518142.955643728</v>
      </c>
      <c r="CZ99" s="83" t="n">
        <f aca="false">Model!CY107+SUM(Model!CY111:CY141)+Model!CY143-IF(AND(Projects!$G$14="Yes",Model!CY$3&gt;=Projects!$C$14),Model!CY105+Model!CY106,0)</f>
        <v>-518142.955643728</v>
      </c>
      <c r="DA99" s="83" t="n">
        <f aca="false">Model!CZ107+SUM(Model!CZ111:CZ141)+Model!CZ143-IF(AND(Projects!$G$14="Yes",Model!CZ$3&gt;=Projects!$C$14),Model!CZ105+Model!CZ106,0)</f>
        <v>-518142.955643728</v>
      </c>
      <c r="DB99" s="83" t="n">
        <f aca="false">Model!DA107+SUM(Model!DA111:DA141)+Model!DA143-IF(AND(Projects!$G$14="Yes",Model!DA$3&gt;=Projects!$C$14),Model!DA105+Model!DA106,0)</f>
        <v>-518142.955643728</v>
      </c>
      <c r="DC99" s="83" t="n">
        <f aca="false">Model!DB107+SUM(Model!DB111:DB141)+Model!DB143-IF(AND(Projects!$G$14="Yes",Model!DB$3&gt;=Projects!$C$14),Model!DB105+Model!DB106,0)</f>
        <v>-518142.955643728</v>
      </c>
      <c r="DD99" s="83" t="n">
        <f aca="false">Model!DC107+SUM(Model!DC111:DC141)+Model!DC143-IF(AND(Projects!$G$14="Yes",Model!DC$3&gt;=Projects!$C$14),Model!DC105+Model!DC106,0)</f>
        <v>-518142.955643728</v>
      </c>
      <c r="DE99" s="83" t="n">
        <f aca="false">Model!DD107+SUM(Model!DD111:DD141)+Model!DD143-IF(AND(Projects!$G$14="Yes",Model!DD$3&gt;=Projects!$C$14),Model!DD105+Model!DD106,0)</f>
        <v>-518142.955643728</v>
      </c>
      <c r="DF99" s="83" t="n">
        <f aca="false">Model!DE107+SUM(Model!DE111:DE141)+Model!DE143-IF(AND(Projects!$G$14="Yes",Model!DE$3&gt;=Projects!$C$14),Model!DE105+Model!DE106,0)</f>
        <v>-518142.955643728</v>
      </c>
    </row>
    <row r="100" customFormat="false" ht="15" hidden="false" customHeight="true" outlineLevel="0" collapsed="false">
      <c r="A100" s="82" t="s">
        <v>846</v>
      </c>
      <c r="B100" s="303" t="n">
        <f aca="false">SUM(Actuals!C55:N55)</f>
        <v>-1707648.08</v>
      </c>
      <c r="C100" s="85" t="n">
        <f aca="false">C98*C99</f>
        <v>-0</v>
      </c>
      <c r="D100" s="85" t="n">
        <f aca="false">D98*D99</f>
        <v>0</v>
      </c>
      <c r="E100" s="85" t="n">
        <f aca="false">E98*E99</f>
        <v>0</v>
      </c>
      <c r="F100" s="85" t="n">
        <f aca="false">F98*F99</f>
        <v>0</v>
      </c>
      <c r="G100" s="85" t="n">
        <f aca="false">G98*G99</f>
        <v>0</v>
      </c>
      <c r="H100" s="85" t="n">
        <f aca="false">H98*H99</f>
        <v>0</v>
      </c>
      <c r="I100" s="85" t="n">
        <f aca="false">I98*I99</f>
        <v>-0</v>
      </c>
      <c r="J100" s="85" t="n">
        <f aca="false">J98*J99</f>
        <v>0</v>
      </c>
      <c r="K100" s="85" t="n">
        <f aca="false">K98*K99</f>
        <v>-0</v>
      </c>
      <c r="L100" s="85" t="n">
        <f aca="false">L98*L99</f>
        <v>0</v>
      </c>
      <c r="M100" s="85" t="n">
        <f aca="false">M98*M99</f>
        <v>0</v>
      </c>
      <c r="N100" s="85" t="n">
        <f aca="false">N98*N99</f>
        <v>0</v>
      </c>
      <c r="O100" s="85" t="n">
        <f aca="false">O98*O99</f>
        <v>0</v>
      </c>
      <c r="P100" s="85" t="n">
        <f aca="false">P98*P99</f>
        <v>0</v>
      </c>
      <c r="Q100" s="85" t="n">
        <f aca="false">Q98*Q99</f>
        <v>0</v>
      </c>
      <c r="R100" s="85" t="n">
        <f aca="false">R98*R99</f>
        <v>-0</v>
      </c>
      <c r="S100" s="85" t="n">
        <f aca="false">S98*S99</f>
        <v>0</v>
      </c>
      <c r="T100" s="85" t="n">
        <f aca="false">T98*T99</f>
        <v>0</v>
      </c>
      <c r="U100" s="85" t="n">
        <f aca="false">U98*U99</f>
        <v>0</v>
      </c>
      <c r="V100" s="85" t="n">
        <f aca="false">V98*V99</f>
        <v>0</v>
      </c>
      <c r="W100" s="85" t="n">
        <f aca="false">W98*W99</f>
        <v>0</v>
      </c>
      <c r="X100" s="85" t="n">
        <f aca="false">X98*X99</f>
        <v>0</v>
      </c>
      <c r="Y100" s="85" t="n">
        <f aca="false">Y98*Y99</f>
        <v>0</v>
      </c>
      <c r="Z100" s="85" t="n">
        <f aca="false">Z98*Z99</f>
        <v>0</v>
      </c>
      <c r="AA100" s="85" t="n">
        <f aca="false">AA98*AA99</f>
        <v>0</v>
      </c>
      <c r="AB100" s="85" t="n">
        <f aca="false">AB98*AB99</f>
        <v>0</v>
      </c>
      <c r="AC100" s="85" t="n">
        <f aca="false">AC98*AC99</f>
        <v>0</v>
      </c>
      <c r="AD100" s="85" t="n">
        <f aca="false">AD98*AD99</f>
        <v>0</v>
      </c>
      <c r="AE100" s="85" t="n">
        <f aca="false">AE98*AE99</f>
        <v>-0</v>
      </c>
      <c r="AF100" s="85" t="n">
        <f aca="false">AF98*AF99</f>
        <v>0</v>
      </c>
      <c r="AG100" s="85" t="n">
        <f aca="false">AG98*AG99</f>
        <v>0</v>
      </c>
      <c r="AH100" s="85" t="n">
        <f aca="false">AH98*AH99</f>
        <v>0</v>
      </c>
      <c r="AI100" s="85" t="n">
        <f aca="false">AI98*AI99</f>
        <v>0</v>
      </c>
      <c r="AJ100" s="85" t="n">
        <f aca="false">AJ98*AJ99</f>
        <v>0</v>
      </c>
      <c r="AK100" s="85" t="n">
        <f aca="false">AK98*AK99</f>
        <v>0</v>
      </c>
      <c r="AL100" s="85" t="n">
        <f aca="false">AL98*AL99</f>
        <v>0</v>
      </c>
      <c r="AM100" s="85" t="n">
        <f aca="false">AM98*AM99</f>
        <v>0</v>
      </c>
      <c r="AN100" s="85" t="n">
        <f aca="false">AN98*AN99</f>
        <v>-0</v>
      </c>
      <c r="AO100" s="85" t="n">
        <f aca="false">AO98*AO99</f>
        <v>-0</v>
      </c>
      <c r="AP100" s="85" t="n">
        <f aca="false">AP98*AP99</f>
        <v>-0</v>
      </c>
      <c r="AQ100" s="85" t="n">
        <f aca="false">AQ98*AQ99</f>
        <v>-0</v>
      </c>
      <c r="AR100" s="85" t="n">
        <f aca="false">AR98*AR99</f>
        <v>-0</v>
      </c>
      <c r="AS100" s="85" t="n">
        <f aca="false">AS98*AS99</f>
        <v>-0</v>
      </c>
      <c r="AT100" s="85" t="n">
        <f aca="false">AT98*AT99</f>
        <v>-0</v>
      </c>
      <c r="AU100" s="85" t="n">
        <f aca="false">AU98*AU99</f>
        <v>0</v>
      </c>
      <c r="AV100" s="85" t="n">
        <f aca="false">AV98*AV99</f>
        <v>-0</v>
      </c>
      <c r="AW100" s="85" t="n">
        <f aca="false">AW98*AW99</f>
        <v>-0</v>
      </c>
      <c r="AX100" s="85" t="n">
        <f aca="false">AX98*AX99</f>
        <v>-0</v>
      </c>
      <c r="AY100" s="85" t="n">
        <f aca="false">AY98*AY99</f>
        <v>-0</v>
      </c>
      <c r="AZ100" s="85" t="n">
        <f aca="false">AZ98*AZ99</f>
        <v>-0</v>
      </c>
      <c r="BA100" s="85" t="n">
        <f aca="false">BA98*BA99</f>
        <v>-0</v>
      </c>
      <c r="BB100" s="85" t="n">
        <f aca="false">BB98*BB99</f>
        <v>-0</v>
      </c>
      <c r="BC100" s="85" t="n">
        <f aca="false">BC98*BC99</f>
        <v>-0</v>
      </c>
      <c r="BD100" s="85" t="n">
        <f aca="false">BD98*BD99</f>
        <v>-0</v>
      </c>
      <c r="BE100" s="85" t="n">
        <f aca="false">BE98*BE99</f>
        <v>-0</v>
      </c>
      <c r="BF100" s="85" t="n">
        <f aca="false">BF98*BF99</f>
        <v>-0</v>
      </c>
      <c r="BG100" s="85" t="n">
        <f aca="false">BG98*BG99</f>
        <v>-0</v>
      </c>
      <c r="BH100" s="85" t="n">
        <f aca="false">BH98*BH99</f>
        <v>-0</v>
      </c>
      <c r="BI100" s="85" t="n">
        <f aca="false">BI98*BI99</f>
        <v>-0</v>
      </c>
      <c r="BJ100" s="85" t="n">
        <f aca="false">BJ98*BJ99</f>
        <v>-0</v>
      </c>
      <c r="BK100" s="85" t="n">
        <f aca="false">BK98*BK99</f>
        <v>-0</v>
      </c>
      <c r="BL100" s="85" t="n">
        <f aca="false">BL98*BL99</f>
        <v>-0</v>
      </c>
      <c r="BM100" s="85" t="n">
        <f aca="false">BM98*BM99</f>
        <v>-0</v>
      </c>
      <c r="BN100" s="85" t="n">
        <f aca="false">BN98*BN99</f>
        <v>-0</v>
      </c>
      <c r="BO100" s="85" t="n">
        <f aca="false">BO98*BO99</f>
        <v>-0</v>
      </c>
      <c r="BP100" s="85" t="n">
        <f aca="false">BP98*BP99</f>
        <v>-0</v>
      </c>
      <c r="BQ100" s="85" t="n">
        <f aca="false">BQ98*BQ99</f>
        <v>-0</v>
      </c>
      <c r="BR100" s="85" t="n">
        <f aca="false">BR98*BR99</f>
        <v>-0</v>
      </c>
      <c r="BS100" s="85" t="n">
        <f aca="false">BS98*BS99</f>
        <v>-0</v>
      </c>
      <c r="BT100" s="85" t="n">
        <f aca="false">BT98*BT99</f>
        <v>-0</v>
      </c>
      <c r="BU100" s="85" t="n">
        <f aca="false">BU98*BU99</f>
        <v>-0</v>
      </c>
      <c r="BV100" s="85" t="n">
        <f aca="false">BV98*BV99</f>
        <v>-0</v>
      </c>
      <c r="BW100" s="85" t="n">
        <f aca="false">BW98*BW99</f>
        <v>-0</v>
      </c>
      <c r="BX100" s="85" t="n">
        <f aca="false">BX98*BX99</f>
        <v>-0</v>
      </c>
      <c r="BY100" s="85" t="n">
        <f aca="false">BY98*BY99</f>
        <v>-0</v>
      </c>
      <c r="BZ100" s="85" t="n">
        <f aca="false">BZ98*BZ99</f>
        <v>-0</v>
      </c>
      <c r="CA100" s="85" t="n">
        <f aca="false">CA98*CA99</f>
        <v>-0</v>
      </c>
      <c r="CB100" s="85" t="n">
        <f aca="false">CB98*CB99</f>
        <v>-0</v>
      </c>
      <c r="CC100" s="85" t="n">
        <f aca="false">CC98*CC99</f>
        <v>-0</v>
      </c>
      <c r="CD100" s="85" t="n">
        <f aca="false">CD98*CD99</f>
        <v>-0</v>
      </c>
      <c r="CE100" s="85" t="n">
        <f aca="false">CE98*CE99</f>
        <v>-0</v>
      </c>
      <c r="CF100" s="85" t="n">
        <f aca="false">CF98*CF99</f>
        <v>-0</v>
      </c>
      <c r="CG100" s="85" t="n">
        <f aca="false">CG98*CG99</f>
        <v>-0</v>
      </c>
      <c r="CH100" s="85" t="n">
        <f aca="false">CH98*CH99</f>
        <v>-0</v>
      </c>
      <c r="CI100" s="85" t="n">
        <f aca="false">CI98*CI99</f>
        <v>-0</v>
      </c>
      <c r="CJ100" s="85" t="n">
        <f aca="false">CJ98*CJ99</f>
        <v>-0</v>
      </c>
      <c r="CK100" s="85" t="n">
        <f aca="false">CK98*CK99</f>
        <v>-0</v>
      </c>
      <c r="CL100" s="85" t="n">
        <f aca="false">CL98*CL99</f>
        <v>-0</v>
      </c>
      <c r="CM100" s="85" t="n">
        <f aca="false">CM98*CM99</f>
        <v>-0</v>
      </c>
      <c r="CN100" s="85" t="n">
        <f aca="false">CN98*CN99</f>
        <v>-0</v>
      </c>
      <c r="CO100" s="85" t="n">
        <f aca="false">CO98*CO99</f>
        <v>-0</v>
      </c>
      <c r="CP100" s="85" t="n">
        <f aca="false">CP98*CP99</f>
        <v>-0</v>
      </c>
      <c r="CQ100" s="85" t="n">
        <f aca="false">CQ98*CQ99</f>
        <v>-0</v>
      </c>
      <c r="CR100" s="85" t="n">
        <f aca="false">CR98*CR99</f>
        <v>-0</v>
      </c>
      <c r="CS100" s="85" t="n">
        <f aca="false">CS98*CS99</f>
        <v>-0</v>
      </c>
      <c r="CT100" s="85" t="n">
        <f aca="false">CT98*CT99</f>
        <v>-0</v>
      </c>
      <c r="CU100" s="85" t="n">
        <f aca="false">CU98*CU99</f>
        <v>-0</v>
      </c>
      <c r="CV100" s="85" t="n">
        <f aca="false">CV98*CV99</f>
        <v>-0</v>
      </c>
      <c r="CW100" s="85" t="n">
        <f aca="false">CW98*CW99</f>
        <v>-0</v>
      </c>
      <c r="CX100" s="85" t="n">
        <f aca="false">CX98*CX99</f>
        <v>-0</v>
      </c>
      <c r="CY100" s="85" t="n">
        <f aca="false">CY98*CY99</f>
        <v>-0</v>
      </c>
      <c r="CZ100" s="85" t="n">
        <f aca="false">CZ98*CZ99</f>
        <v>-0</v>
      </c>
      <c r="DA100" s="85" t="n">
        <f aca="false">DA98*DA99</f>
        <v>-0</v>
      </c>
      <c r="DB100" s="85" t="n">
        <f aca="false">DB98*DB99</f>
        <v>-0</v>
      </c>
      <c r="DC100" s="85" t="n">
        <f aca="false">DC98*DC99</f>
        <v>-0</v>
      </c>
      <c r="DD100" s="85" t="n">
        <f aca="false">DD98*DD99</f>
        <v>-0</v>
      </c>
      <c r="DE100" s="85" t="n">
        <f aca="false">DE98*DE99</f>
        <v>-0</v>
      </c>
      <c r="DF100" s="85" t="n">
        <f aca="false">DF98*DF99</f>
        <v>-0</v>
      </c>
    </row>
    <row r="101" customFormat="false" ht="15" hidden="false" customHeight="true" outlineLevel="0" collapsed="false">
      <c r="A101" s="82" t="s">
        <v>847</v>
      </c>
      <c r="C101" s="87" t="n">
        <f aca="false">IF(AND(Projects!$G$17="Yes",Projects!$M$17="Yes",-2&gt;=Projects!$C$17,-2&lt;Projects!$C$17+Projects!$D$17),Projects!$B$17*INDEX(Curves!$B$4:$AR$4,1,-2-Projects!$C$17+1),0)+IF(AND(Projects!$G$18="Yes",Projects!$M$18="Yes",-2&gt;=Projects!$C$18,-2&lt;Projects!$C$18+Projects!$D$18),Projects!$B$18*INDEX(Curves!$B$4:$AR$4,1,-2-Projects!$C$18+1),0)+IF(AND(Projects!$G$19="Yes",Projects!$M$19="Yes",-2&gt;=Projects!$C$19,-2&lt;Projects!$C$19+Projects!$D$19),Projects!$B$19*INDEX(Curves!$B$4:$AR$4,1,-2-Projects!$C$19+1),0)+IF(AND(Projects!$G$20="Yes",Projects!$M$20="Yes",-2&gt;=Projects!$C$20,-2&lt;Projects!$C$20+Projects!$D$20),Projects!$B$20*INDEX(Curves!$B$4:$AR$4,1,-2-Projects!$C$20+1),0)+IF(AND(Projects!$G$21="Yes",Projects!$M$21="Yes",-2&gt;=Projects!$C$21,-2&lt;Projects!$C$21+Projects!$D$21),Projects!$B$21*INDEX(Curves!$B$4:$AR$4,1,-2-Projects!$C$21+1),0)+IF(AND(Projects!$G$22="Yes",Projects!$M$22="Yes",-2&gt;=Projects!$C$22,-2&lt;Projects!$C$22+Projects!$D$22),Projects!$B$22*INDEX(Curves!$B$4:$AR$4,1,-2-Projects!$C$22+1),0)+IF(AND(Projects!$G$23="Yes",Projects!$M$23="Yes",-2&gt;=Projects!$C$23,-2&lt;Projects!$C$23+Projects!$D$23),Projects!$B$23*INDEX(Curves!$B$4:$AR$4,1,-2-Projects!$C$23+1),0)+IF(AND(Projects!$G$24="Yes",Projects!$M$24="Yes",-2&gt;=Projects!$C$24,-2&lt;Projects!$C$24+Projects!$D$24),Projects!$B$24*INDEX(Curves!$B$4:$AR$4,1,-2-Projects!$C$24+1),0)+IF(AND(Projects!$G$25="Yes",Projects!$M$25="Yes",-2&gt;=Projects!$C$25,-2&lt;Projects!$C$25+Projects!$D$25),Projects!$B$25*INDEX(Curves!$B$4:$AR$4,1,-2-Projects!$C$25+1),0)+IF(AND(Projects!$G$26="Yes",Projects!$M$26="Yes",-2&gt;=Projects!$C$26,-2&lt;Projects!$C$26+Projects!$D$26),Projects!$B$26*INDEX(Curves!$B$4:$AR$4,1,-2-Projects!$C$26+1),0)+IF(AND(Projects!$G$27="Yes",Projects!$M$27="Yes",-2&gt;=Projects!$C$27,-2&lt;Projects!$C$27+Projects!$D$27),Projects!$B$27*INDEX(Curves!$B$4:$AR$4,1,-2-Projects!$C$27+1),0)+IF(AND(Projects!$G$28="Yes",Projects!$M$28="Yes",-2&gt;=Projects!$C$28,-2&lt;Projects!$C$28+Projects!$D$28),Projects!$B$28*INDEX(Curves!$B$4:$AR$4,1,-2-Projects!$C$28+1),0)+IF(AND(Projects!$G$29="Yes",Projects!$M$29="Yes",-2&gt;=Projects!$C$29,-2&lt;Projects!$C$29+Projects!$D$29),Projects!$B$29*INDEX(Curves!$B$4:$AR$4,1,-2-Projects!$C$29+1),0)+IF(AND(Projects!$G$30="Yes",Projects!$M$30="Yes",-2&gt;=Projects!$C$30,-2&lt;Projects!$C$30+Projects!$D$30),Projects!$B$30*INDEX(Curves!$B$4:$AR$4,1,-2-Projects!$C$30+1),0)+IF(AND(Projects!$G$31="Yes",Projects!$M$31="Yes",-2&gt;=Projects!$C$31,-2&lt;Projects!$C$31+Projects!$D$31),Projects!$B$31*INDEX(Curves!$B$4:$AR$4,1,-2-Projects!$C$31+1),0)+IF(AND(Projects!$G$32="Yes",Projects!$M$32="Yes",-2&gt;=Projects!$C$32,-2&lt;Projects!$C$32+Projects!$D$32),Projects!$B$32*INDEX(Curves!$B$4:$AR$4,1,-2-Projects!$C$32+1),0)+IF(AND(Projects!$G$33="Yes",Projects!$M$33="Yes",-2&gt;=Projects!$C$33,-2&lt;Projects!$C$33+Projects!$D$33),Projects!$B$33*INDEX(Curves!$B$4:$AR$4,1,-2-Projects!$C$33+1),0)+IF(AND(Projects!$G$34="Yes",Projects!$M$34="Yes",-2&gt;=Projects!$C$34,-2&lt;Projects!$C$34+Projects!$D$34),Projects!$B$34*INDEX(Curves!$B$4:$AR$4,1,-2-Projects!$C$34+1),0)+IF(AND(Projects!$G$35="Yes",Projects!$M$35="Yes",-2&gt;=Projects!$C$35,-2&lt;Projects!$C$35+Projects!$D$35),Projects!$B$35*INDEX(Curves!$B$4:$AR$4,1,-2-Projects!$C$35+1),0)+IF(AND(Projects!$G$36="Yes",Projects!$M$36="Yes",-2&gt;=Projects!$C$36,-2&lt;Projects!$C$36+Projects!$D$36),Projects!$B$36*INDEX(Curves!$B$4:$AR$4,1,-2-Projects!$C$36+1),0)+IF(AND(Projects!$G$37="Yes",Projects!$M$37="Yes",-2&gt;=Projects!$C$37,-2&lt;Projects!$C$37+Projects!$D$37),Projects!$B$37*INDEX(Curves!$B$4:$AR$4,1,-2-Projects!$C$37+1),0)+IF(AND(Projects!$G$38="Yes",Projects!$M$38="Yes",-2&gt;=Projects!$C$38,-2&lt;Projects!$C$38+Projects!$D$38),Projects!$B$38*INDEX(Curves!$B$4:$AR$4,1,-2-Projects!$C$38+1),0)+IF(AND(Projects!$G$39="Yes",Projects!$M$39="Yes",-2&gt;=Projects!$C$39,-2&lt;Projects!$C$39+Projects!$D$39),Projects!$B$39*INDEX(Curves!$B$4:$AR$4,1,-2-Projects!$C$39+1),0)+IF(AND(Projects!$G$40="Yes",Projects!$M$40="Yes",-2&gt;=Projects!$C$40,-2&lt;Projects!$C$40+Projects!$D$40),Projects!$B$40*INDEX(Curves!$B$4:$AR$4,1,-2-Projects!$C$40+1),0)+IF(AND(Projects!$G$41="Yes",Projects!$M$41="Yes",-2&gt;=Projects!$C$41,-2&lt;Projects!$C$41+Projects!$D$41),Projects!$B$41*INDEX(Curves!$B$4:$AR$4,1,-2-Projects!$C$41+1),0)+IF(AND(Projects!$G$42="Yes",Projects!$M$42="Yes",-2&gt;=Projects!$C$42,-2&lt;Projects!$C$42+Projects!$D$42),Projects!$B$42*INDEX(Curves!$B$4:$AR$4,1,-2-Projects!$C$42+1),0)+IF(AND(Projects!$G$43="Yes",Projects!$M$43="Yes",-2&gt;=Projects!$C$43,-2&lt;Projects!$C$43+Projects!$D$43),Projects!$B$43*INDEX(Curves!$B$4:$AR$4,1,-2-Projects!$C$43+1),0)+IF(AND(Projects!$G$44="Yes",Projects!$M$44="Yes",-2&gt;=Projects!$C$44,-2&lt;Projects!$C$44+Projects!$D$44),Projects!$B$44*INDEX(Curves!$B$4:$AR$4,1,-2-Projects!$C$44+1),0)+IF(AND(Projects!$G$45="Yes",Projects!$M$45="Yes",-2&gt;=Projects!$C$45,-2&lt;Projects!$C$45+Projects!$D$45),Projects!$B$45*INDEX(Curves!$B$4:$AR$4,1,-2-Projects!$C$45+1),0)+IF(AND(Projects!$G$46="Yes",Projects!$M$46="Yes",-2&gt;=Projects!$C$46,-2&lt;Projects!$C$46+Projects!$D$46),Projects!$B$46*INDEX(Curves!$B$4:$AR$4,1,-2-Projects!$C$46+1),0)</f>
        <v>0</v>
      </c>
      <c r="D101" s="87" t="n">
        <f aca="false">IF(AND(Projects!$G$17="Yes",Projects!$M$17="Yes",-1&gt;=Projects!$C$17,-1&lt;Projects!$C$17+Projects!$D$17),Projects!$B$17*INDEX(Curves!$B$4:$AR$4,1,-1-Projects!$C$17+1),0)+IF(AND(Projects!$G$18="Yes",Projects!$M$18="Yes",-1&gt;=Projects!$C$18,-1&lt;Projects!$C$18+Projects!$D$18),Projects!$B$18*INDEX(Curves!$B$4:$AR$4,1,-1-Projects!$C$18+1),0)+IF(AND(Projects!$G$19="Yes",Projects!$M$19="Yes",-1&gt;=Projects!$C$19,-1&lt;Projects!$C$19+Projects!$D$19),Projects!$B$19*INDEX(Curves!$B$4:$AR$4,1,-1-Projects!$C$19+1),0)+IF(AND(Projects!$G$20="Yes",Projects!$M$20="Yes",-1&gt;=Projects!$C$20,-1&lt;Projects!$C$20+Projects!$D$20),Projects!$B$20*INDEX(Curves!$B$4:$AR$4,1,-1-Projects!$C$20+1),0)+IF(AND(Projects!$G$21="Yes",Projects!$M$21="Yes",-1&gt;=Projects!$C$21,-1&lt;Projects!$C$21+Projects!$D$21),Projects!$B$21*INDEX(Curves!$B$4:$AR$4,1,-1-Projects!$C$21+1),0)+IF(AND(Projects!$G$22="Yes",Projects!$M$22="Yes",-1&gt;=Projects!$C$22,-1&lt;Projects!$C$22+Projects!$D$22),Projects!$B$22*INDEX(Curves!$B$4:$AR$4,1,-1-Projects!$C$22+1),0)+IF(AND(Projects!$G$23="Yes",Projects!$M$23="Yes",-1&gt;=Projects!$C$23,-1&lt;Projects!$C$23+Projects!$D$23),Projects!$B$23*INDEX(Curves!$B$4:$AR$4,1,-1-Projects!$C$23+1),0)+IF(AND(Projects!$G$24="Yes",Projects!$M$24="Yes",-1&gt;=Projects!$C$24,-1&lt;Projects!$C$24+Projects!$D$24),Projects!$B$24*INDEX(Curves!$B$4:$AR$4,1,-1-Projects!$C$24+1),0)+IF(AND(Projects!$G$25="Yes",Projects!$M$25="Yes",-1&gt;=Projects!$C$25,-1&lt;Projects!$C$25+Projects!$D$25),Projects!$B$25*INDEX(Curves!$B$4:$AR$4,1,-1-Projects!$C$25+1),0)+IF(AND(Projects!$G$26="Yes",Projects!$M$26="Yes",-1&gt;=Projects!$C$26,-1&lt;Projects!$C$26+Projects!$D$26),Projects!$B$26*INDEX(Curves!$B$4:$AR$4,1,-1-Projects!$C$26+1),0)+IF(AND(Projects!$G$27="Yes",Projects!$M$27="Yes",-1&gt;=Projects!$C$27,-1&lt;Projects!$C$27+Projects!$D$27),Projects!$B$27*INDEX(Curves!$B$4:$AR$4,1,-1-Projects!$C$27+1),0)+IF(AND(Projects!$G$28="Yes",Projects!$M$28="Yes",-1&gt;=Projects!$C$28,-1&lt;Projects!$C$28+Projects!$D$28),Projects!$B$28*INDEX(Curves!$B$4:$AR$4,1,-1-Projects!$C$28+1),0)+IF(AND(Projects!$G$29="Yes",Projects!$M$29="Yes",-1&gt;=Projects!$C$29,-1&lt;Projects!$C$29+Projects!$D$29),Projects!$B$29*INDEX(Curves!$B$4:$AR$4,1,-1-Projects!$C$29+1),0)+IF(AND(Projects!$G$30="Yes",Projects!$M$30="Yes",-1&gt;=Projects!$C$30,-1&lt;Projects!$C$30+Projects!$D$30),Projects!$B$30*INDEX(Curves!$B$4:$AR$4,1,-1-Projects!$C$30+1),0)+IF(AND(Projects!$G$31="Yes",Projects!$M$31="Yes",-1&gt;=Projects!$C$31,-1&lt;Projects!$C$31+Projects!$D$31),Projects!$B$31*INDEX(Curves!$B$4:$AR$4,1,-1-Projects!$C$31+1),0)+IF(AND(Projects!$G$32="Yes",Projects!$M$32="Yes",-1&gt;=Projects!$C$32,-1&lt;Projects!$C$32+Projects!$D$32),Projects!$B$32*INDEX(Curves!$B$4:$AR$4,1,-1-Projects!$C$32+1),0)+IF(AND(Projects!$G$33="Yes",Projects!$M$33="Yes",-1&gt;=Projects!$C$33,-1&lt;Projects!$C$33+Projects!$D$33),Projects!$B$33*INDEX(Curves!$B$4:$AR$4,1,-1-Projects!$C$33+1),0)+IF(AND(Projects!$G$34="Yes",Projects!$M$34="Yes",-1&gt;=Projects!$C$34,-1&lt;Projects!$C$34+Projects!$D$34),Projects!$B$34*INDEX(Curves!$B$4:$AR$4,1,-1-Projects!$C$34+1),0)+IF(AND(Projects!$G$35="Yes",Projects!$M$35="Yes",-1&gt;=Projects!$C$35,-1&lt;Projects!$C$35+Projects!$D$35),Projects!$B$35*INDEX(Curves!$B$4:$AR$4,1,-1-Projects!$C$35+1),0)+IF(AND(Projects!$G$36="Yes",Projects!$M$36="Yes",-1&gt;=Projects!$C$36,-1&lt;Projects!$C$36+Projects!$D$36),Projects!$B$36*INDEX(Curves!$B$4:$AR$4,1,-1-Projects!$C$36+1),0)+IF(AND(Projects!$G$37="Yes",Projects!$M$37="Yes",-1&gt;=Projects!$C$37,-1&lt;Projects!$C$37+Projects!$D$37),Projects!$B$37*INDEX(Curves!$B$4:$AR$4,1,-1-Projects!$C$37+1),0)+IF(AND(Projects!$G$38="Yes",Projects!$M$38="Yes",-1&gt;=Projects!$C$38,-1&lt;Projects!$C$38+Projects!$D$38),Projects!$B$38*INDEX(Curves!$B$4:$AR$4,1,-1-Projects!$C$38+1),0)+IF(AND(Projects!$G$39="Yes",Projects!$M$39="Yes",-1&gt;=Projects!$C$39,-1&lt;Projects!$C$39+Projects!$D$39),Projects!$B$39*INDEX(Curves!$B$4:$AR$4,1,-1-Projects!$C$39+1),0)+IF(AND(Projects!$G$40="Yes",Projects!$M$40="Yes",-1&gt;=Projects!$C$40,-1&lt;Projects!$C$40+Projects!$D$40),Projects!$B$40*INDEX(Curves!$B$4:$AR$4,1,-1-Projects!$C$40+1),0)+IF(AND(Projects!$G$41="Yes",Projects!$M$41="Yes",-1&gt;=Projects!$C$41,-1&lt;Projects!$C$41+Projects!$D$41),Projects!$B$41*INDEX(Curves!$B$4:$AR$4,1,-1-Projects!$C$41+1),0)+IF(AND(Projects!$G$42="Yes",Projects!$M$42="Yes",-1&gt;=Projects!$C$42,-1&lt;Projects!$C$42+Projects!$D$42),Projects!$B$42*INDEX(Curves!$B$4:$AR$4,1,-1-Projects!$C$42+1),0)+IF(AND(Projects!$G$43="Yes",Projects!$M$43="Yes",-1&gt;=Projects!$C$43,-1&lt;Projects!$C$43+Projects!$D$43),Projects!$B$43*INDEX(Curves!$B$4:$AR$4,1,-1-Projects!$C$43+1),0)+IF(AND(Projects!$G$44="Yes",Projects!$M$44="Yes",-1&gt;=Projects!$C$44,-1&lt;Projects!$C$44+Projects!$D$44),Projects!$B$44*INDEX(Curves!$B$4:$AR$4,1,-1-Projects!$C$44+1),0)+IF(AND(Projects!$G$45="Yes",Projects!$M$45="Yes",-1&gt;=Projects!$C$45,-1&lt;Projects!$C$45+Projects!$D$45),Projects!$B$45*INDEX(Curves!$B$4:$AR$4,1,-1-Projects!$C$45+1),0)+IF(AND(Projects!$G$46="Yes",Projects!$M$46="Yes",-1&gt;=Projects!$C$46,-1&lt;Projects!$C$46+Projects!$D$46),Projects!$B$46*INDEX(Curves!$B$4:$AR$4,1,-1-Projects!$C$46+1),0)</f>
        <v>0</v>
      </c>
      <c r="E101" s="87" t="n">
        <f aca="false">IF(AND(Projects!$G$17="Yes",Projects!$M$17="Yes",0&gt;=Projects!$C$17,0&lt;Projects!$C$17+Projects!$D$17),Projects!$B$17*INDEX(Curves!$B$4:$AR$4,1,0-Projects!$C$17+1),0)+IF(AND(Projects!$G$18="Yes",Projects!$M$18="Yes",0&gt;=Projects!$C$18,0&lt;Projects!$C$18+Projects!$D$18),Projects!$B$18*INDEX(Curves!$B$4:$AR$4,1,0-Projects!$C$18+1),0)+IF(AND(Projects!$G$19="Yes",Projects!$M$19="Yes",0&gt;=Projects!$C$19,0&lt;Projects!$C$19+Projects!$D$19),Projects!$B$19*INDEX(Curves!$B$4:$AR$4,1,0-Projects!$C$19+1),0)+IF(AND(Projects!$G$20="Yes",Projects!$M$20="Yes",0&gt;=Projects!$C$20,0&lt;Projects!$C$20+Projects!$D$20),Projects!$B$20*INDEX(Curves!$B$4:$AR$4,1,0-Projects!$C$20+1),0)+IF(AND(Projects!$G$21="Yes",Projects!$M$21="Yes",0&gt;=Projects!$C$21,0&lt;Projects!$C$21+Projects!$D$21),Projects!$B$21*INDEX(Curves!$B$4:$AR$4,1,0-Projects!$C$21+1),0)+IF(AND(Projects!$G$22="Yes",Projects!$M$22="Yes",0&gt;=Projects!$C$22,0&lt;Projects!$C$22+Projects!$D$22),Projects!$B$22*INDEX(Curves!$B$4:$AR$4,1,0-Projects!$C$22+1),0)+IF(AND(Projects!$G$23="Yes",Projects!$M$23="Yes",0&gt;=Projects!$C$23,0&lt;Projects!$C$23+Projects!$D$23),Projects!$B$23*INDEX(Curves!$B$4:$AR$4,1,0-Projects!$C$23+1),0)+IF(AND(Projects!$G$24="Yes",Projects!$M$24="Yes",0&gt;=Projects!$C$24,0&lt;Projects!$C$24+Projects!$D$24),Projects!$B$24*INDEX(Curves!$B$4:$AR$4,1,0-Projects!$C$24+1),0)+IF(AND(Projects!$G$25="Yes",Projects!$M$25="Yes",0&gt;=Projects!$C$25,0&lt;Projects!$C$25+Projects!$D$25),Projects!$B$25*INDEX(Curves!$B$4:$AR$4,1,0-Projects!$C$25+1),0)+IF(AND(Projects!$G$26="Yes",Projects!$M$26="Yes",0&gt;=Projects!$C$26,0&lt;Projects!$C$26+Projects!$D$26),Projects!$B$26*INDEX(Curves!$B$4:$AR$4,1,0-Projects!$C$26+1),0)+IF(AND(Projects!$G$27="Yes",Projects!$M$27="Yes",0&gt;=Projects!$C$27,0&lt;Projects!$C$27+Projects!$D$27),Projects!$B$27*INDEX(Curves!$B$4:$AR$4,1,0-Projects!$C$27+1),0)+IF(AND(Projects!$G$28="Yes",Projects!$M$28="Yes",0&gt;=Projects!$C$28,0&lt;Projects!$C$28+Projects!$D$28),Projects!$B$28*INDEX(Curves!$B$4:$AR$4,1,0-Projects!$C$28+1),0)+IF(AND(Projects!$G$29="Yes",Projects!$M$29="Yes",0&gt;=Projects!$C$29,0&lt;Projects!$C$29+Projects!$D$29),Projects!$B$29*INDEX(Curves!$B$4:$AR$4,1,0-Projects!$C$29+1),0)+IF(AND(Projects!$G$30="Yes",Projects!$M$30="Yes",0&gt;=Projects!$C$30,0&lt;Projects!$C$30+Projects!$D$30),Projects!$B$30*INDEX(Curves!$B$4:$AR$4,1,0-Projects!$C$30+1),0)+IF(AND(Projects!$G$31="Yes",Projects!$M$31="Yes",0&gt;=Projects!$C$31,0&lt;Projects!$C$31+Projects!$D$31),Projects!$B$31*INDEX(Curves!$B$4:$AR$4,1,0-Projects!$C$31+1),0)+IF(AND(Projects!$G$32="Yes",Projects!$M$32="Yes",0&gt;=Projects!$C$32,0&lt;Projects!$C$32+Projects!$D$32),Projects!$B$32*INDEX(Curves!$B$4:$AR$4,1,0-Projects!$C$32+1),0)+IF(AND(Projects!$G$33="Yes",Projects!$M$33="Yes",0&gt;=Projects!$C$33,0&lt;Projects!$C$33+Projects!$D$33),Projects!$B$33*INDEX(Curves!$B$4:$AR$4,1,0-Projects!$C$33+1),0)+IF(AND(Projects!$G$34="Yes",Projects!$M$34="Yes",0&gt;=Projects!$C$34,0&lt;Projects!$C$34+Projects!$D$34),Projects!$B$34*INDEX(Curves!$B$4:$AR$4,1,0-Projects!$C$34+1),0)+IF(AND(Projects!$G$35="Yes",Projects!$M$35="Yes",0&gt;=Projects!$C$35,0&lt;Projects!$C$35+Projects!$D$35),Projects!$B$35*INDEX(Curves!$B$4:$AR$4,1,0-Projects!$C$35+1),0)+IF(AND(Projects!$G$36="Yes",Projects!$M$36="Yes",0&gt;=Projects!$C$36,0&lt;Projects!$C$36+Projects!$D$36),Projects!$B$36*INDEX(Curves!$B$4:$AR$4,1,0-Projects!$C$36+1),0)+IF(AND(Projects!$G$37="Yes",Projects!$M$37="Yes",0&gt;=Projects!$C$37,0&lt;Projects!$C$37+Projects!$D$37),Projects!$B$37*INDEX(Curves!$B$4:$AR$4,1,0-Projects!$C$37+1),0)+IF(AND(Projects!$G$38="Yes",Projects!$M$38="Yes",0&gt;=Projects!$C$38,0&lt;Projects!$C$38+Projects!$D$38),Projects!$B$38*INDEX(Curves!$B$4:$AR$4,1,0-Projects!$C$38+1),0)+IF(AND(Projects!$G$39="Yes",Projects!$M$39="Yes",0&gt;=Projects!$C$39,0&lt;Projects!$C$39+Projects!$D$39),Projects!$B$39*INDEX(Curves!$B$4:$AR$4,1,0-Projects!$C$39+1),0)+IF(AND(Projects!$G$40="Yes",Projects!$M$40="Yes",0&gt;=Projects!$C$40,0&lt;Projects!$C$40+Projects!$D$40),Projects!$B$40*INDEX(Curves!$B$4:$AR$4,1,0-Projects!$C$40+1),0)+IF(AND(Projects!$G$41="Yes",Projects!$M$41="Yes",0&gt;=Projects!$C$41,0&lt;Projects!$C$41+Projects!$D$41),Projects!$B$41*INDEX(Curves!$B$4:$AR$4,1,0-Projects!$C$41+1),0)+IF(AND(Projects!$G$42="Yes",Projects!$M$42="Yes",0&gt;=Projects!$C$42,0&lt;Projects!$C$42+Projects!$D$42),Projects!$B$42*INDEX(Curves!$B$4:$AR$4,1,0-Projects!$C$42+1),0)+IF(AND(Projects!$G$43="Yes",Projects!$M$43="Yes",0&gt;=Projects!$C$43,0&lt;Projects!$C$43+Projects!$D$43),Projects!$B$43*INDEX(Curves!$B$4:$AR$4,1,0-Projects!$C$43+1),0)+IF(AND(Projects!$G$44="Yes",Projects!$M$44="Yes",0&gt;=Projects!$C$44,0&lt;Projects!$C$44+Projects!$D$44),Projects!$B$44*INDEX(Curves!$B$4:$AR$4,1,0-Projects!$C$44+1),0)+IF(AND(Projects!$G$45="Yes",Projects!$M$45="Yes",0&gt;=Projects!$C$45,0&lt;Projects!$C$45+Projects!$D$45),Projects!$B$45*INDEX(Curves!$B$4:$AR$4,1,0-Projects!$C$45+1),0)+IF(AND(Projects!$G$46="Yes",Projects!$M$46="Yes",0&gt;=Projects!$C$46,0&lt;Projects!$C$46+Projects!$D$46),Projects!$B$46*INDEX(Curves!$B$4:$AR$4,1,0-Projects!$C$46+1),0)</f>
        <v>0</v>
      </c>
      <c r="F101" s="87" t="n">
        <f aca="false">IF(AND(Projects!$G$17="Yes",Projects!$M$17="Yes",1&gt;=Projects!$C$17,1&lt;Projects!$C$17+Projects!$D$17),Projects!$B$17*INDEX(Curves!$B$4:$AR$4,1,1-Projects!$C$17+1),0)+IF(AND(Projects!$G$18="Yes",Projects!$M$18="Yes",1&gt;=Projects!$C$18,1&lt;Projects!$C$18+Projects!$D$18),Projects!$B$18*INDEX(Curves!$B$4:$AR$4,1,1-Projects!$C$18+1),0)+IF(AND(Projects!$G$19="Yes",Projects!$M$19="Yes",1&gt;=Projects!$C$19,1&lt;Projects!$C$19+Projects!$D$19),Projects!$B$19*INDEX(Curves!$B$4:$AR$4,1,1-Projects!$C$19+1),0)+IF(AND(Projects!$G$20="Yes",Projects!$M$20="Yes",1&gt;=Projects!$C$20,1&lt;Projects!$C$20+Projects!$D$20),Projects!$B$20*INDEX(Curves!$B$4:$AR$4,1,1-Projects!$C$20+1),0)+IF(AND(Projects!$G$21="Yes",Projects!$M$21="Yes",1&gt;=Projects!$C$21,1&lt;Projects!$C$21+Projects!$D$21),Projects!$B$21*INDEX(Curves!$B$4:$AR$4,1,1-Projects!$C$21+1),0)+IF(AND(Projects!$G$22="Yes",Projects!$M$22="Yes",1&gt;=Projects!$C$22,1&lt;Projects!$C$22+Projects!$D$22),Projects!$B$22*INDEX(Curves!$B$4:$AR$4,1,1-Projects!$C$22+1),0)+IF(AND(Projects!$G$23="Yes",Projects!$M$23="Yes",1&gt;=Projects!$C$23,1&lt;Projects!$C$23+Projects!$D$23),Projects!$B$23*INDEX(Curves!$B$4:$AR$4,1,1-Projects!$C$23+1),0)+IF(AND(Projects!$G$24="Yes",Projects!$M$24="Yes",1&gt;=Projects!$C$24,1&lt;Projects!$C$24+Projects!$D$24),Projects!$B$24*INDEX(Curves!$B$4:$AR$4,1,1-Projects!$C$24+1),0)+IF(AND(Projects!$G$25="Yes",Projects!$M$25="Yes",1&gt;=Projects!$C$25,1&lt;Projects!$C$25+Projects!$D$25),Projects!$B$25*INDEX(Curves!$B$4:$AR$4,1,1-Projects!$C$25+1),0)+IF(AND(Projects!$G$26="Yes",Projects!$M$26="Yes",1&gt;=Projects!$C$26,1&lt;Projects!$C$26+Projects!$D$26),Projects!$B$26*INDEX(Curves!$B$4:$AR$4,1,1-Projects!$C$26+1),0)+IF(AND(Projects!$G$27="Yes",Projects!$M$27="Yes",1&gt;=Projects!$C$27,1&lt;Projects!$C$27+Projects!$D$27),Projects!$B$27*INDEX(Curves!$B$4:$AR$4,1,1-Projects!$C$27+1),0)+IF(AND(Projects!$G$28="Yes",Projects!$M$28="Yes",1&gt;=Projects!$C$28,1&lt;Projects!$C$28+Projects!$D$28),Projects!$B$28*INDEX(Curves!$B$4:$AR$4,1,1-Projects!$C$28+1),0)+IF(AND(Projects!$G$29="Yes",Projects!$M$29="Yes",1&gt;=Projects!$C$29,1&lt;Projects!$C$29+Projects!$D$29),Projects!$B$29*INDEX(Curves!$B$4:$AR$4,1,1-Projects!$C$29+1),0)+IF(AND(Projects!$G$30="Yes",Projects!$M$30="Yes",1&gt;=Projects!$C$30,1&lt;Projects!$C$30+Projects!$D$30),Projects!$B$30*INDEX(Curves!$B$4:$AR$4,1,1-Projects!$C$30+1),0)+IF(AND(Projects!$G$31="Yes",Projects!$M$31="Yes",1&gt;=Projects!$C$31,1&lt;Projects!$C$31+Projects!$D$31),Projects!$B$31*INDEX(Curves!$B$4:$AR$4,1,1-Projects!$C$31+1),0)+IF(AND(Projects!$G$32="Yes",Projects!$M$32="Yes",1&gt;=Projects!$C$32,1&lt;Projects!$C$32+Projects!$D$32),Projects!$B$32*INDEX(Curves!$B$4:$AR$4,1,1-Projects!$C$32+1),0)+IF(AND(Projects!$G$33="Yes",Projects!$M$33="Yes",1&gt;=Projects!$C$33,1&lt;Projects!$C$33+Projects!$D$33),Projects!$B$33*INDEX(Curves!$B$4:$AR$4,1,1-Projects!$C$33+1),0)+IF(AND(Projects!$G$34="Yes",Projects!$M$34="Yes",1&gt;=Projects!$C$34,1&lt;Projects!$C$34+Projects!$D$34),Projects!$B$34*INDEX(Curves!$B$4:$AR$4,1,1-Projects!$C$34+1),0)+IF(AND(Projects!$G$35="Yes",Projects!$M$35="Yes",1&gt;=Projects!$C$35,1&lt;Projects!$C$35+Projects!$D$35),Projects!$B$35*INDEX(Curves!$B$4:$AR$4,1,1-Projects!$C$35+1),0)+IF(AND(Projects!$G$36="Yes",Projects!$M$36="Yes",1&gt;=Projects!$C$36,1&lt;Projects!$C$36+Projects!$D$36),Projects!$B$36*INDEX(Curves!$B$4:$AR$4,1,1-Projects!$C$36+1),0)+IF(AND(Projects!$G$37="Yes",Projects!$M$37="Yes",1&gt;=Projects!$C$37,1&lt;Projects!$C$37+Projects!$D$37),Projects!$B$37*INDEX(Curves!$B$4:$AR$4,1,1-Projects!$C$37+1),0)+IF(AND(Projects!$G$38="Yes",Projects!$M$38="Yes",1&gt;=Projects!$C$38,1&lt;Projects!$C$38+Projects!$D$38),Projects!$B$38*INDEX(Curves!$B$4:$AR$4,1,1-Projects!$C$38+1),0)+IF(AND(Projects!$G$39="Yes",Projects!$M$39="Yes",1&gt;=Projects!$C$39,1&lt;Projects!$C$39+Projects!$D$39),Projects!$B$39*INDEX(Curves!$B$4:$AR$4,1,1-Projects!$C$39+1),0)+IF(AND(Projects!$G$40="Yes",Projects!$M$40="Yes",1&gt;=Projects!$C$40,1&lt;Projects!$C$40+Projects!$D$40),Projects!$B$40*INDEX(Curves!$B$4:$AR$4,1,1-Projects!$C$40+1),0)+IF(AND(Projects!$G$41="Yes",Projects!$M$41="Yes",1&gt;=Projects!$C$41,1&lt;Projects!$C$41+Projects!$D$41),Projects!$B$41*INDEX(Curves!$B$4:$AR$4,1,1-Projects!$C$41+1),0)+IF(AND(Projects!$G$42="Yes",Projects!$M$42="Yes",1&gt;=Projects!$C$42,1&lt;Projects!$C$42+Projects!$D$42),Projects!$B$42*INDEX(Curves!$B$4:$AR$4,1,1-Projects!$C$42+1),0)+IF(AND(Projects!$G$43="Yes",Projects!$M$43="Yes",1&gt;=Projects!$C$43,1&lt;Projects!$C$43+Projects!$D$43),Projects!$B$43*INDEX(Curves!$B$4:$AR$4,1,1-Projects!$C$43+1),0)+IF(AND(Projects!$G$44="Yes",Projects!$M$44="Yes",1&gt;=Projects!$C$44,1&lt;Projects!$C$44+Projects!$D$44),Projects!$B$44*INDEX(Curves!$B$4:$AR$4,1,1-Projects!$C$44+1),0)+IF(AND(Projects!$G$45="Yes",Projects!$M$45="Yes",1&gt;=Projects!$C$45,1&lt;Projects!$C$45+Projects!$D$45),Projects!$B$45*INDEX(Curves!$B$4:$AR$4,1,1-Projects!$C$45+1),0)+IF(AND(Projects!$G$46="Yes",Projects!$M$46="Yes",1&gt;=Projects!$C$46,1&lt;Projects!$C$46+Projects!$D$46),Projects!$B$46*INDEX(Curves!$B$4:$AR$4,1,1-Projects!$C$46+1),0)</f>
        <v>0</v>
      </c>
      <c r="G101" s="87" t="n">
        <f aca="false">IF(AND(Projects!$G$17="Yes",Projects!$M$17="Yes",2&gt;=Projects!$C$17,2&lt;Projects!$C$17+Projects!$D$17),Projects!$B$17*INDEX(Curves!$B$4:$AR$4,1,2-Projects!$C$17+1),0)+IF(AND(Projects!$G$18="Yes",Projects!$M$18="Yes",2&gt;=Projects!$C$18,2&lt;Projects!$C$18+Projects!$D$18),Projects!$B$18*INDEX(Curves!$B$4:$AR$4,1,2-Projects!$C$18+1),0)+IF(AND(Projects!$G$19="Yes",Projects!$M$19="Yes",2&gt;=Projects!$C$19,2&lt;Projects!$C$19+Projects!$D$19),Projects!$B$19*INDEX(Curves!$B$4:$AR$4,1,2-Projects!$C$19+1),0)+IF(AND(Projects!$G$20="Yes",Projects!$M$20="Yes",2&gt;=Projects!$C$20,2&lt;Projects!$C$20+Projects!$D$20),Projects!$B$20*INDEX(Curves!$B$4:$AR$4,1,2-Projects!$C$20+1),0)+IF(AND(Projects!$G$21="Yes",Projects!$M$21="Yes",2&gt;=Projects!$C$21,2&lt;Projects!$C$21+Projects!$D$21),Projects!$B$21*INDEX(Curves!$B$4:$AR$4,1,2-Projects!$C$21+1),0)+IF(AND(Projects!$G$22="Yes",Projects!$M$22="Yes",2&gt;=Projects!$C$22,2&lt;Projects!$C$22+Projects!$D$22),Projects!$B$22*INDEX(Curves!$B$4:$AR$4,1,2-Projects!$C$22+1),0)+IF(AND(Projects!$G$23="Yes",Projects!$M$23="Yes",2&gt;=Projects!$C$23,2&lt;Projects!$C$23+Projects!$D$23),Projects!$B$23*INDEX(Curves!$B$4:$AR$4,1,2-Projects!$C$23+1),0)+IF(AND(Projects!$G$24="Yes",Projects!$M$24="Yes",2&gt;=Projects!$C$24,2&lt;Projects!$C$24+Projects!$D$24),Projects!$B$24*INDEX(Curves!$B$4:$AR$4,1,2-Projects!$C$24+1),0)+IF(AND(Projects!$G$25="Yes",Projects!$M$25="Yes",2&gt;=Projects!$C$25,2&lt;Projects!$C$25+Projects!$D$25),Projects!$B$25*INDEX(Curves!$B$4:$AR$4,1,2-Projects!$C$25+1),0)+IF(AND(Projects!$G$26="Yes",Projects!$M$26="Yes",2&gt;=Projects!$C$26,2&lt;Projects!$C$26+Projects!$D$26),Projects!$B$26*INDEX(Curves!$B$4:$AR$4,1,2-Projects!$C$26+1),0)+IF(AND(Projects!$G$27="Yes",Projects!$M$27="Yes",2&gt;=Projects!$C$27,2&lt;Projects!$C$27+Projects!$D$27),Projects!$B$27*INDEX(Curves!$B$4:$AR$4,1,2-Projects!$C$27+1),0)+IF(AND(Projects!$G$28="Yes",Projects!$M$28="Yes",2&gt;=Projects!$C$28,2&lt;Projects!$C$28+Projects!$D$28),Projects!$B$28*INDEX(Curves!$B$4:$AR$4,1,2-Projects!$C$28+1),0)+IF(AND(Projects!$G$29="Yes",Projects!$M$29="Yes",2&gt;=Projects!$C$29,2&lt;Projects!$C$29+Projects!$D$29),Projects!$B$29*INDEX(Curves!$B$4:$AR$4,1,2-Projects!$C$29+1),0)+IF(AND(Projects!$G$30="Yes",Projects!$M$30="Yes",2&gt;=Projects!$C$30,2&lt;Projects!$C$30+Projects!$D$30),Projects!$B$30*INDEX(Curves!$B$4:$AR$4,1,2-Projects!$C$30+1),0)+IF(AND(Projects!$G$31="Yes",Projects!$M$31="Yes",2&gt;=Projects!$C$31,2&lt;Projects!$C$31+Projects!$D$31),Projects!$B$31*INDEX(Curves!$B$4:$AR$4,1,2-Projects!$C$31+1),0)+IF(AND(Projects!$G$32="Yes",Projects!$M$32="Yes",2&gt;=Projects!$C$32,2&lt;Projects!$C$32+Projects!$D$32),Projects!$B$32*INDEX(Curves!$B$4:$AR$4,1,2-Projects!$C$32+1),0)+IF(AND(Projects!$G$33="Yes",Projects!$M$33="Yes",2&gt;=Projects!$C$33,2&lt;Projects!$C$33+Projects!$D$33),Projects!$B$33*INDEX(Curves!$B$4:$AR$4,1,2-Projects!$C$33+1),0)+IF(AND(Projects!$G$34="Yes",Projects!$M$34="Yes",2&gt;=Projects!$C$34,2&lt;Projects!$C$34+Projects!$D$34),Projects!$B$34*INDEX(Curves!$B$4:$AR$4,1,2-Projects!$C$34+1),0)+IF(AND(Projects!$G$35="Yes",Projects!$M$35="Yes",2&gt;=Projects!$C$35,2&lt;Projects!$C$35+Projects!$D$35),Projects!$B$35*INDEX(Curves!$B$4:$AR$4,1,2-Projects!$C$35+1),0)+IF(AND(Projects!$G$36="Yes",Projects!$M$36="Yes",2&gt;=Projects!$C$36,2&lt;Projects!$C$36+Projects!$D$36),Projects!$B$36*INDEX(Curves!$B$4:$AR$4,1,2-Projects!$C$36+1),0)+IF(AND(Projects!$G$37="Yes",Projects!$M$37="Yes",2&gt;=Projects!$C$37,2&lt;Projects!$C$37+Projects!$D$37),Projects!$B$37*INDEX(Curves!$B$4:$AR$4,1,2-Projects!$C$37+1),0)+IF(AND(Projects!$G$38="Yes",Projects!$M$38="Yes",2&gt;=Projects!$C$38,2&lt;Projects!$C$38+Projects!$D$38),Projects!$B$38*INDEX(Curves!$B$4:$AR$4,1,2-Projects!$C$38+1),0)+IF(AND(Projects!$G$39="Yes",Projects!$M$39="Yes",2&gt;=Projects!$C$39,2&lt;Projects!$C$39+Projects!$D$39),Projects!$B$39*INDEX(Curves!$B$4:$AR$4,1,2-Projects!$C$39+1),0)+IF(AND(Projects!$G$40="Yes",Projects!$M$40="Yes",2&gt;=Projects!$C$40,2&lt;Projects!$C$40+Projects!$D$40),Projects!$B$40*INDEX(Curves!$B$4:$AR$4,1,2-Projects!$C$40+1),0)+IF(AND(Projects!$G$41="Yes",Projects!$M$41="Yes",2&gt;=Projects!$C$41,2&lt;Projects!$C$41+Projects!$D$41),Projects!$B$41*INDEX(Curves!$B$4:$AR$4,1,2-Projects!$C$41+1),0)+IF(AND(Projects!$G$42="Yes",Projects!$M$42="Yes",2&gt;=Projects!$C$42,2&lt;Projects!$C$42+Projects!$D$42),Projects!$B$42*INDEX(Curves!$B$4:$AR$4,1,2-Projects!$C$42+1),0)+IF(AND(Projects!$G$43="Yes",Projects!$M$43="Yes",2&gt;=Projects!$C$43,2&lt;Projects!$C$43+Projects!$D$43),Projects!$B$43*INDEX(Curves!$B$4:$AR$4,1,2-Projects!$C$43+1),0)+IF(AND(Projects!$G$44="Yes",Projects!$M$44="Yes",2&gt;=Projects!$C$44,2&lt;Projects!$C$44+Projects!$D$44),Projects!$B$44*INDEX(Curves!$B$4:$AR$4,1,2-Projects!$C$44+1),0)+IF(AND(Projects!$G$45="Yes",Projects!$M$45="Yes",2&gt;=Projects!$C$45,2&lt;Projects!$C$45+Projects!$D$45),Projects!$B$45*INDEX(Curves!$B$4:$AR$4,1,2-Projects!$C$45+1),0)+IF(AND(Projects!$G$46="Yes",Projects!$M$46="Yes",2&gt;=Projects!$C$46,2&lt;Projects!$C$46+Projects!$D$46),Projects!$B$46*INDEX(Curves!$B$4:$AR$4,1,2-Projects!$C$46+1),0)</f>
        <v>0</v>
      </c>
      <c r="H101" s="87" t="n">
        <f aca="false">IF(AND(Projects!$G$17="Yes",Projects!$M$17="Yes",3&gt;=Projects!$C$17,3&lt;Projects!$C$17+Projects!$D$17),Projects!$B$17*INDEX(Curves!$B$4:$AR$4,1,3-Projects!$C$17+1),0)+IF(AND(Projects!$G$18="Yes",Projects!$M$18="Yes",3&gt;=Projects!$C$18,3&lt;Projects!$C$18+Projects!$D$18),Projects!$B$18*INDEX(Curves!$B$4:$AR$4,1,3-Projects!$C$18+1),0)+IF(AND(Projects!$G$19="Yes",Projects!$M$19="Yes",3&gt;=Projects!$C$19,3&lt;Projects!$C$19+Projects!$D$19),Projects!$B$19*INDEX(Curves!$B$4:$AR$4,1,3-Projects!$C$19+1),0)+IF(AND(Projects!$G$20="Yes",Projects!$M$20="Yes",3&gt;=Projects!$C$20,3&lt;Projects!$C$20+Projects!$D$20),Projects!$B$20*INDEX(Curves!$B$4:$AR$4,1,3-Projects!$C$20+1),0)+IF(AND(Projects!$G$21="Yes",Projects!$M$21="Yes",3&gt;=Projects!$C$21,3&lt;Projects!$C$21+Projects!$D$21),Projects!$B$21*INDEX(Curves!$B$4:$AR$4,1,3-Projects!$C$21+1),0)+IF(AND(Projects!$G$22="Yes",Projects!$M$22="Yes",3&gt;=Projects!$C$22,3&lt;Projects!$C$22+Projects!$D$22),Projects!$B$22*INDEX(Curves!$B$4:$AR$4,1,3-Projects!$C$22+1),0)+IF(AND(Projects!$G$23="Yes",Projects!$M$23="Yes",3&gt;=Projects!$C$23,3&lt;Projects!$C$23+Projects!$D$23),Projects!$B$23*INDEX(Curves!$B$4:$AR$4,1,3-Projects!$C$23+1),0)+IF(AND(Projects!$G$24="Yes",Projects!$M$24="Yes",3&gt;=Projects!$C$24,3&lt;Projects!$C$24+Projects!$D$24),Projects!$B$24*INDEX(Curves!$B$4:$AR$4,1,3-Projects!$C$24+1),0)+IF(AND(Projects!$G$25="Yes",Projects!$M$25="Yes",3&gt;=Projects!$C$25,3&lt;Projects!$C$25+Projects!$D$25),Projects!$B$25*INDEX(Curves!$B$4:$AR$4,1,3-Projects!$C$25+1),0)+IF(AND(Projects!$G$26="Yes",Projects!$M$26="Yes",3&gt;=Projects!$C$26,3&lt;Projects!$C$26+Projects!$D$26),Projects!$B$26*INDEX(Curves!$B$4:$AR$4,1,3-Projects!$C$26+1),0)+IF(AND(Projects!$G$27="Yes",Projects!$M$27="Yes",3&gt;=Projects!$C$27,3&lt;Projects!$C$27+Projects!$D$27),Projects!$B$27*INDEX(Curves!$B$4:$AR$4,1,3-Projects!$C$27+1),0)+IF(AND(Projects!$G$28="Yes",Projects!$M$28="Yes",3&gt;=Projects!$C$28,3&lt;Projects!$C$28+Projects!$D$28),Projects!$B$28*INDEX(Curves!$B$4:$AR$4,1,3-Projects!$C$28+1),0)+IF(AND(Projects!$G$29="Yes",Projects!$M$29="Yes",3&gt;=Projects!$C$29,3&lt;Projects!$C$29+Projects!$D$29),Projects!$B$29*INDEX(Curves!$B$4:$AR$4,1,3-Projects!$C$29+1),0)+IF(AND(Projects!$G$30="Yes",Projects!$M$30="Yes",3&gt;=Projects!$C$30,3&lt;Projects!$C$30+Projects!$D$30),Projects!$B$30*INDEX(Curves!$B$4:$AR$4,1,3-Projects!$C$30+1),0)+IF(AND(Projects!$G$31="Yes",Projects!$M$31="Yes",3&gt;=Projects!$C$31,3&lt;Projects!$C$31+Projects!$D$31),Projects!$B$31*INDEX(Curves!$B$4:$AR$4,1,3-Projects!$C$31+1),0)+IF(AND(Projects!$G$32="Yes",Projects!$M$32="Yes",3&gt;=Projects!$C$32,3&lt;Projects!$C$32+Projects!$D$32),Projects!$B$32*INDEX(Curves!$B$4:$AR$4,1,3-Projects!$C$32+1),0)+IF(AND(Projects!$G$33="Yes",Projects!$M$33="Yes",3&gt;=Projects!$C$33,3&lt;Projects!$C$33+Projects!$D$33),Projects!$B$33*INDEX(Curves!$B$4:$AR$4,1,3-Projects!$C$33+1),0)+IF(AND(Projects!$G$34="Yes",Projects!$M$34="Yes",3&gt;=Projects!$C$34,3&lt;Projects!$C$34+Projects!$D$34),Projects!$B$34*INDEX(Curves!$B$4:$AR$4,1,3-Projects!$C$34+1),0)+IF(AND(Projects!$G$35="Yes",Projects!$M$35="Yes",3&gt;=Projects!$C$35,3&lt;Projects!$C$35+Projects!$D$35),Projects!$B$35*INDEX(Curves!$B$4:$AR$4,1,3-Projects!$C$35+1),0)+IF(AND(Projects!$G$36="Yes",Projects!$M$36="Yes",3&gt;=Projects!$C$36,3&lt;Projects!$C$36+Projects!$D$36),Projects!$B$36*INDEX(Curves!$B$4:$AR$4,1,3-Projects!$C$36+1),0)+IF(AND(Projects!$G$37="Yes",Projects!$M$37="Yes",3&gt;=Projects!$C$37,3&lt;Projects!$C$37+Projects!$D$37),Projects!$B$37*INDEX(Curves!$B$4:$AR$4,1,3-Projects!$C$37+1),0)+IF(AND(Projects!$G$38="Yes",Projects!$M$38="Yes",3&gt;=Projects!$C$38,3&lt;Projects!$C$38+Projects!$D$38),Projects!$B$38*INDEX(Curves!$B$4:$AR$4,1,3-Projects!$C$38+1),0)+IF(AND(Projects!$G$39="Yes",Projects!$M$39="Yes",3&gt;=Projects!$C$39,3&lt;Projects!$C$39+Projects!$D$39),Projects!$B$39*INDEX(Curves!$B$4:$AR$4,1,3-Projects!$C$39+1),0)+IF(AND(Projects!$G$40="Yes",Projects!$M$40="Yes",3&gt;=Projects!$C$40,3&lt;Projects!$C$40+Projects!$D$40),Projects!$B$40*INDEX(Curves!$B$4:$AR$4,1,3-Projects!$C$40+1),0)+IF(AND(Projects!$G$41="Yes",Projects!$M$41="Yes",3&gt;=Projects!$C$41,3&lt;Projects!$C$41+Projects!$D$41),Projects!$B$41*INDEX(Curves!$B$4:$AR$4,1,3-Projects!$C$41+1),0)+IF(AND(Projects!$G$42="Yes",Projects!$M$42="Yes",3&gt;=Projects!$C$42,3&lt;Projects!$C$42+Projects!$D$42),Projects!$B$42*INDEX(Curves!$B$4:$AR$4,1,3-Projects!$C$42+1),0)+IF(AND(Projects!$G$43="Yes",Projects!$M$43="Yes",3&gt;=Projects!$C$43,3&lt;Projects!$C$43+Projects!$D$43),Projects!$B$43*INDEX(Curves!$B$4:$AR$4,1,3-Projects!$C$43+1),0)+IF(AND(Projects!$G$44="Yes",Projects!$M$44="Yes",3&gt;=Projects!$C$44,3&lt;Projects!$C$44+Projects!$D$44),Projects!$B$44*INDEX(Curves!$B$4:$AR$4,1,3-Projects!$C$44+1),0)+IF(AND(Projects!$G$45="Yes",Projects!$M$45="Yes",3&gt;=Projects!$C$45,3&lt;Projects!$C$45+Projects!$D$45),Projects!$B$45*INDEX(Curves!$B$4:$AR$4,1,3-Projects!$C$45+1),0)+IF(AND(Projects!$G$46="Yes",Projects!$M$46="Yes",3&gt;=Projects!$C$46,3&lt;Projects!$C$46+Projects!$D$46),Projects!$B$46*INDEX(Curves!$B$4:$AR$4,1,3-Projects!$C$46+1),0)</f>
        <v>0</v>
      </c>
      <c r="I101" s="87" t="n">
        <f aca="false">IF(AND(Projects!$G$17="Yes",Projects!$M$17="Yes",4&gt;=Projects!$C$17,4&lt;Projects!$C$17+Projects!$D$17),Projects!$B$17*INDEX(Curves!$B$4:$AR$4,1,4-Projects!$C$17+1),0)+IF(AND(Projects!$G$18="Yes",Projects!$M$18="Yes",4&gt;=Projects!$C$18,4&lt;Projects!$C$18+Projects!$D$18),Projects!$B$18*INDEX(Curves!$B$4:$AR$4,1,4-Projects!$C$18+1),0)+IF(AND(Projects!$G$19="Yes",Projects!$M$19="Yes",4&gt;=Projects!$C$19,4&lt;Projects!$C$19+Projects!$D$19),Projects!$B$19*INDEX(Curves!$B$4:$AR$4,1,4-Projects!$C$19+1),0)+IF(AND(Projects!$G$20="Yes",Projects!$M$20="Yes",4&gt;=Projects!$C$20,4&lt;Projects!$C$20+Projects!$D$20),Projects!$B$20*INDEX(Curves!$B$4:$AR$4,1,4-Projects!$C$20+1),0)+IF(AND(Projects!$G$21="Yes",Projects!$M$21="Yes",4&gt;=Projects!$C$21,4&lt;Projects!$C$21+Projects!$D$21),Projects!$B$21*INDEX(Curves!$B$4:$AR$4,1,4-Projects!$C$21+1),0)+IF(AND(Projects!$G$22="Yes",Projects!$M$22="Yes",4&gt;=Projects!$C$22,4&lt;Projects!$C$22+Projects!$D$22),Projects!$B$22*INDEX(Curves!$B$4:$AR$4,1,4-Projects!$C$22+1),0)+IF(AND(Projects!$G$23="Yes",Projects!$M$23="Yes",4&gt;=Projects!$C$23,4&lt;Projects!$C$23+Projects!$D$23),Projects!$B$23*INDEX(Curves!$B$4:$AR$4,1,4-Projects!$C$23+1),0)+IF(AND(Projects!$G$24="Yes",Projects!$M$24="Yes",4&gt;=Projects!$C$24,4&lt;Projects!$C$24+Projects!$D$24),Projects!$B$24*INDEX(Curves!$B$4:$AR$4,1,4-Projects!$C$24+1),0)+IF(AND(Projects!$G$25="Yes",Projects!$M$25="Yes",4&gt;=Projects!$C$25,4&lt;Projects!$C$25+Projects!$D$25),Projects!$B$25*INDEX(Curves!$B$4:$AR$4,1,4-Projects!$C$25+1),0)+IF(AND(Projects!$G$26="Yes",Projects!$M$26="Yes",4&gt;=Projects!$C$26,4&lt;Projects!$C$26+Projects!$D$26),Projects!$B$26*INDEX(Curves!$B$4:$AR$4,1,4-Projects!$C$26+1),0)+IF(AND(Projects!$G$27="Yes",Projects!$M$27="Yes",4&gt;=Projects!$C$27,4&lt;Projects!$C$27+Projects!$D$27),Projects!$B$27*INDEX(Curves!$B$4:$AR$4,1,4-Projects!$C$27+1),0)+IF(AND(Projects!$G$28="Yes",Projects!$M$28="Yes",4&gt;=Projects!$C$28,4&lt;Projects!$C$28+Projects!$D$28),Projects!$B$28*INDEX(Curves!$B$4:$AR$4,1,4-Projects!$C$28+1),0)+IF(AND(Projects!$G$29="Yes",Projects!$M$29="Yes",4&gt;=Projects!$C$29,4&lt;Projects!$C$29+Projects!$D$29),Projects!$B$29*INDEX(Curves!$B$4:$AR$4,1,4-Projects!$C$29+1),0)+IF(AND(Projects!$G$30="Yes",Projects!$M$30="Yes",4&gt;=Projects!$C$30,4&lt;Projects!$C$30+Projects!$D$30),Projects!$B$30*INDEX(Curves!$B$4:$AR$4,1,4-Projects!$C$30+1),0)+IF(AND(Projects!$G$31="Yes",Projects!$M$31="Yes",4&gt;=Projects!$C$31,4&lt;Projects!$C$31+Projects!$D$31),Projects!$B$31*INDEX(Curves!$B$4:$AR$4,1,4-Projects!$C$31+1),0)+IF(AND(Projects!$G$32="Yes",Projects!$M$32="Yes",4&gt;=Projects!$C$32,4&lt;Projects!$C$32+Projects!$D$32),Projects!$B$32*INDEX(Curves!$B$4:$AR$4,1,4-Projects!$C$32+1),0)+IF(AND(Projects!$G$33="Yes",Projects!$M$33="Yes",4&gt;=Projects!$C$33,4&lt;Projects!$C$33+Projects!$D$33),Projects!$B$33*INDEX(Curves!$B$4:$AR$4,1,4-Projects!$C$33+1),0)+IF(AND(Projects!$G$34="Yes",Projects!$M$34="Yes",4&gt;=Projects!$C$34,4&lt;Projects!$C$34+Projects!$D$34),Projects!$B$34*INDEX(Curves!$B$4:$AR$4,1,4-Projects!$C$34+1),0)+IF(AND(Projects!$G$35="Yes",Projects!$M$35="Yes",4&gt;=Projects!$C$35,4&lt;Projects!$C$35+Projects!$D$35),Projects!$B$35*INDEX(Curves!$B$4:$AR$4,1,4-Projects!$C$35+1),0)+IF(AND(Projects!$G$36="Yes",Projects!$M$36="Yes",4&gt;=Projects!$C$36,4&lt;Projects!$C$36+Projects!$D$36),Projects!$B$36*INDEX(Curves!$B$4:$AR$4,1,4-Projects!$C$36+1),0)+IF(AND(Projects!$G$37="Yes",Projects!$M$37="Yes",4&gt;=Projects!$C$37,4&lt;Projects!$C$37+Projects!$D$37),Projects!$B$37*INDEX(Curves!$B$4:$AR$4,1,4-Projects!$C$37+1),0)+IF(AND(Projects!$G$38="Yes",Projects!$M$38="Yes",4&gt;=Projects!$C$38,4&lt;Projects!$C$38+Projects!$D$38),Projects!$B$38*INDEX(Curves!$B$4:$AR$4,1,4-Projects!$C$38+1),0)+IF(AND(Projects!$G$39="Yes",Projects!$M$39="Yes",4&gt;=Projects!$C$39,4&lt;Projects!$C$39+Projects!$D$39),Projects!$B$39*INDEX(Curves!$B$4:$AR$4,1,4-Projects!$C$39+1),0)+IF(AND(Projects!$G$40="Yes",Projects!$M$40="Yes",4&gt;=Projects!$C$40,4&lt;Projects!$C$40+Projects!$D$40),Projects!$B$40*INDEX(Curves!$B$4:$AR$4,1,4-Projects!$C$40+1),0)+IF(AND(Projects!$G$41="Yes",Projects!$M$41="Yes",4&gt;=Projects!$C$41,4&lt;Projects!$C$41+Projects!$D$41),Projects!$B$41*INDEX(Curves!$B$4:$AR$4,1,4-Projects!$C$41+1),0)+IF(AND(Projects!$G$42="Yes",Projects!$M$42="Yes",4&gt;=Projects!$C$42,4&lt;Projects!$C$42+Projects!$D$42),Projects!$B$42*INDEX(Curves!$B$4:$AR$4,1,4-Projects!$C$42+1),0)+IF(AND(Projects!$G$43="Yes",Projects!$M$43="Yes",4&gt;=Projects!$C$43,4&lt;Projects!$C$43+Projects!$D$43),Projects!$B$43*INDEX(Curves!$B$4:$AR$4,1,4-Projects!$C$43+1),0)+IF(AND(Projects!$G$44="Yes",Projects!$M$44="Yes",4&gt;=Projects!$C$44,4&lt;Projects!$C$44+Projects!$D$44),Projects!$B$44*INDEX(Curves!$B$4:$AR$4,1,4-Projects!$C$44+1),0)+IF(AND(Projects!$G$45="Yes",Projects!$M$45="Yes",4&gt;=Projects!$C$45,4&lt;Projects!$C$45+Projects!$D$45),Projects!$B$45*INDEX(Curves!$B$4:$AR$4,1,4-Projects!$C$45+1),0)+IF(AND(Projects!$G$46="Yes",Projects!$M$46="Yes",4&gt;=Projects!$C$46,4&lt;Projects!$C$46+Projects!$D$46),Projects!$B$46*INDEX(Curves!$B$4:$AR$4,1,4-Projects!$C$46+1),0)</f>
        <v>0</v>
      </c>
      <c r="J101" s="87" t="n">
        <f aca="false">IF(AND(Projects!$G$17="Yes",Projects!$M$17="Yes",5&gt;=Projects!$C$17,5&lt;Projects!$C$17+Projects!$D$17),Projects!$B$17*INDEX(Curves!$B$4:$AR$4,1,5-Projects!$C$17+1),0)+IF(AND(Projects!$G$18="Yes",Projects!$M$18="Yes",5&gt;=Projects!$C$18,5&lt;Projects!$C$18+Projects!$D$18),Projects!$B$18*INDEX(Curves!$B$4:$AR$4,1,5-Projects!$C$18+1),0)+IF(AND(Projects!$G$19="Yes",Projects!$M$19="Yes",5&gt;=Projects!$C$19,5&lt;Projects!$C$19+Projects!$D$19),Projects!$B$19*INDEX(Curves!$B$4:$AR$4,1,5-Projects!$C$19+1),0)+IF(AND(Projects!$G$20="Yes",Projects!$M$20="Yes",5&gt;=Projects!$C$20,5&lt;Projects!$C$20+Projects!$D$20),Projects!$B$20*INDEX(Curves!$B$4:$AR$4,1,5-Projects!$C$20+1),0)+IF(AND(Projects!$G$21="Yes",Projects!$M$21="Yes",5&gt;=Projects!$C$21,5&lt;Projects!$C$21+Projects!$D$21),Projects!$B$21*INDEX(Curves!$B$4:$AR$4,1,5-Projects!$C$21+1),0)+IF(AND(Projects!$G$22="Yes",Projects!$M$22="Yes",5&gt;=Projects!$C$22,5&lt;Projects!$C$22+Projects!$D$22),Projects!$B$22*INDEX(Curves!$B$4:$AR$4,1,5-Projects!$C$22+1),0)+IF(AND(Projects!$G$23="Yes",Projects!$M$23="Yes",5&gt;=Projects!$C$23,5&lt;Projects!$C$23+Projects!$D$23),Projects!$B$23*INDEX(Curves!$B$4:$AR$4,1,5-Projects!$C$23+1),0)+IF(AND(Projects!$G$24="Yes",Projects!$M$24="Yes",5&gt;=Projects!$C$24,5&lt;Projects!$C$24+Projects!$D$24),Projects!$B$24*INDEX(Curves!$B$4:$AR$4,1,5-Projects!$C$24+1),0)+IF(AND(Projects!$G$25="Yes",Projects!$M$25="Yes",5&gt;=Projects!$C$25,5&lt;Projects!$C$25+Projects!$D$25),Projects!$B$25*INDEX(Curves!$B$4:$AR$4,1,5-Projects!$C$25+1),0)+IF(AND(Projects!$G$26="Yes",Projects!$M$26="Yes",5&gt;=Projects!$C$26,5&lt;Projects!$C$26+Projects!$D$26),Projects!$B$26*INDEX(Curves!$B$4:$AR$4,1,5-Projects!$C$26+1),0)+IF(AND(Projects!$G$27="Yes",Projects!$M$27="Yes",5&gt;=Projects!$C$27,5&lt;Projects!$C$27+Projects!$D$27),Projects!$B$27*INDEX(Curves!$B$4:$AR$4,1,5-Projects!$C$27+1),0)+IF(AND(Projects!$G$28="Yes",Projects!$M$28="Yes",5&gt;=Projects!$C$28,5&lt;Projects!$C$28+Projects!$D$28),Projects!$B$28*INDEX(Curves!$B$4:$AR$4,1,5-Projects!$C$28+1),0)+IF(AND(Projects!$G$29="Yes",Projects!$M$29="Yes",5&gt;=Projects!$C$29,5&lt;Projects!$C$29+Projects!$D$29),Projects!$B$29*INDEX(Curves!$B$4:$AR$4,1,5-Projects!$C$29+1),0)+IF(AND(Projects!$G$30="Yes",Projects!$M$30="Yes",5&gt;=Projects!$C$30,5&lt;Projects!$C$30+Projects!$D$30),Projects!$B$30*INDEX(Curves!$B$4:$AR$4,1,5-Projects!$C$30+1),0)+IF(AND(Projects!$G$31="Yes",Projects!$M$31="Yes",5&gt;=Projects!$C$31,5&lt;Projects!$C$31+Projects!$D$31),Projects!$B$31*INDEX(Curves!$B$4:$AR$4,1,5-Projects!$C$31+1),0)+IF(AND(Projects!$G$32="Yes",Projects!$M$32="Yes",5&gt;=Projects!$C$32,5&lt;Projects!$C$32+Projects!$D$32),Projects!$B$32*INDEX(Curves!$B$4:$AR$4,1,5-Projects!$C$32+1),0)+IF(AND(Projects!$G$33="Yes",Projects!$M$33="Yes",5&gt;=Projects!$C$33,5&lt;Projects!$C$33+Projects!$D$33),Projects!$B$33*INDEX(Curves!$B$4:$AR$4,1,5-Projects!$C$33+1),0)+IF(AND(Projects!$G$34="Yes",Projects!$M$34="Yes",5&gt;=Projects!$C$34,5&lt;Projects!$C$34+Projects!$D$34),Projects!$B$34*INDEX(Curves!$B$4:$AR$4,1,5-Projects!$C$34+1),0)+IF(AND(Projects!$G$35="Yes",Projects!$M$35="Yes",5&gt;=Projects!$C$35,5&lt;Projects!$C$35+Projects!$D$35),Projects!$B$35*INDEX(Curves!$B$4:$AR$4,1,5-Projects!$C$35+1),0)+IF(AND(Projects!$G$36="Yes",Projects!$M$36="Yes",5&gt;=Projects!$C$36,5&lt;Projects!$C$36+Projects!$D$36),Projects!$B$36*INDEX(Curves!$B$4:$AR$4,1,5-Projects!$C$36+1),0)+IF(AND(Projects!$G$37="Yes",Projects!$M$37="Yes",5&gt;=Projects!$C$37,5&lt;Projects!$C$37+Projects!$D$37),Projects!$B$37*INDEX(Curves!$B$4:$AR$4,1,5-Projects!$C$37+1),0)+IF(AND(Projects!$G$38="Yes",Projects!$M$38="Yes",5&gt;=Projects!$C$38,5&lt;Projects!$C$38+Projects!$D$38),Projects!$B$38*INDEX(Curves!$B$4:$AR$4,1,5-Projects!$C$38+1),0)+IF(AND(Projects!$G$39="Yes",Projects!$M$39="Yes",5&gt;=Projects!$C$39,5&lt;Projects!$C$39+Projects!$D$39),Projects!$B$39*INDEX(Curves!$B$4:$AR$4,1,5-Projects!$C$39+1),0)+IF(AND(Projects!$G$40="Yes",Projects!$M$40="Yes",5&gt;=Projects!$C$40,5&lt;Projects!$C$40+Projects!$D$40),Projects!$B$40*INDEX(Curves!$B$4:$AR$4,1,5-Projects!$C$40+1),0)+IF(AND(Projects!$G$41="Yes",Projects!$M$41="Yes",5&gt;=Projects!$C$41,5&lt;Projects!$C$41+Projects!$D$41),Projects!$B$41*INDEX(Curves!$B$4:$AR$4,1,5-Projects!$C$41+1),0)+IF(AND(Projects!$G$42="Yes",Projects!$M$42="Yes",5&gt;=Projects!$C$42,5&lt;Projects!$C$42+Projects!$D$42),Projects!$B$42*INDEX(Curves!$B$4:$AR$4,1,5-Projects!$C$42+1),0)+IF(AND(Projects!$G$43="Yes",Projects!$M$43="Yes",5&gt;=Projects!$C$43,5&lt;Projects!$C$43+Projects!$D$43),Projects!$B$43*INDEX(Curves!$B$4:$AR$4,1,5-Projects!$C$43+1),0)+IF(AND(Projects!$G$44="Yes",Projects!$M$44="Yes",5&gt;=Projects!$C$44,5&lt;Projects!$C$44+Projects!$D$44),Projects!$B$44*INDEX(Curves!$B$4:$AR$4,1,5-Projects!$C$44+1),0)+IF(AND(Projects!$G$45="Yes",Projects!$M$45="Yes",5&gt;=Projects!$C$45,5&lt;Projects!$C$45+Projects!$D$45),Projects!$B$45*INDEX(Curves!$B$4:$AR$4,1,5-Projects!$C$45+1),0)+IF(AND(Projects!$G$46="Yes",Projects!$M$46="Yes",5&gt;=Projects!$C$46,5&lt;Projects!$C$46+Projects!$D$46),Projects!$B$46*INDEX(Curves!$B$4:$AR$4,1,5-Projects!$C$46+1),0)</f>
        <v>0</v>
      </c>
      <c r="K101" s="87" t="n">
        <f aca="false">IF(AND(Projects!$G$17="Yes",Projects!$M$17="Yes",6&gt;=Projects!$C$17,6&lt;Projects!$C$17+Projects!$D$17),Projects!$B$17*INDEX(Curves!$B$4:$AR$4,1,6-Projects!$C$17+1),0)+IF(AND(Projects!$G$18="Yes",Projects!$M$18="Yes",6&gt;=Projects!$C$18,6&lt;Projects!$C$18+Projects!$D$18),Projects!$B$18*INDEX(Curves!$B$4:$AR$4,1,6-Projects!$C$18+1),0)+IF(AND(Projects!$G$19="Yes",Projects!$M$19="Yes",6&gt;=Projects!$C$19,6&lt;Projects!$C$19+Projects!$D$19),Projects!$B$19*INDEX(Curves!$B$4:$AR$4,1,6-Projects!$C$19+1),0)+IF(AND(Projects!$G$20="Yes",Projects!$M$20="Yes",6&gt;=Projects!$C$20,6&lt;Projects!$C$20+Projects!$D$20),Projects!$B$20*INDEX(Curves!$B$4:$AR$4,1,6-Projects!$C$20+1),0)+IF(AND(Projects!$G$21="Yes",Projects!$M$21="Yes",6&gt;=Projects!$C$21,6&lt;Projects!$C$21+Projects!$D$21),Projects!$B$21*INDEX(Curves!$B$4:$AR$4,1,6-Projects!$C$21+1),0)+IF(AND(Projects!$G$22="Yes",Projects!$M$22="Yes",6&gt;=Projects!$C$22,6&lt;Projects!$C$22+Projects!$D$22),Projects!$B$22*INDEX(Curves!$B$4:$AR$4,1,6-Projects!$C$22+1),0)+IF(AND(Projects!$G$23="Yes",Projects!$M$23="Yes",6&gt;=Projects!$C$23,6&lt;Projects!$C$23+Projects!$D$23),Projects!$B$23*INDEX(Curves!$B$4:$AR$4,1,6-Projects!$C$23+1),0)+IF(AND(Projects!$G$24="Yes",Projects!$M$24="Yes",6&gt;=Projects!$C$24,6&lt;Projects!$C$24+Projects!$D$24),Projects!$B$24*INDEX(Curves!$B$4:$AR$4,1,6-Projects!$C$24+1),0)+IF(AND(Projects!$G$25="Yes",Projects!$M$25="Yes",6&gt;=Projects!$C$25,6&lt;Projects!$C$25+Projects!$D$25),Projects!$B$25*INDEX(Curves!$B$4:$AR$4,1,6-Projects!$C$25+1),0)+IF(AND(Projects!$G$26="Yes",Projects!$M$26="Yes",6&gt;=Projects!$C$26,6&lt;Projects!$C$26+Projects!$D$26),Projects!$B$26*INDEX(Curves!$B$4:$AR$4,1,6-Projects!$C$26+1),0)+IF(AND(Projects!$G$27="Yes",Projects!$M$27="Yes",6&gt;=Projects!$C$27,6&lt;Projects!$C$27+Projects!$D$27),Projects!$B$27*INDEX(Curves!$B$4:$AR$4,1,6-Projects!$C$27+1),0)+IF(AND(Projects!$G$28="Yes",Projects!$M$28="Yes",6&gt;=Projects!$C$28,6&lt;Projects!$C$28+Projects!$D$28),Projects!$B$28*INDEX(Curves!$B$4:$AR$4,1,6-Projects!$C$28+1),0)+IF(AND(Projects!$G$29="Yes",Projects!$M$29="Yes",6&gt;=Projects!$C$29,6&lt;Projects!$C$29+Projects!$D$29),Projects!$B$29*INDEX(Curves!$B$4:$AR$4,1,6-Projects!$C$29+1),0)+IF(AND(Projects!$G$30="Yes",Projects!$M$30="Yes",6&gt;=Projects!$C$30,6&lt;Projects!$C$30+Projects!$D$30),Projects!$B$30*INDEX(Curves!$B$4:$AR$4,1,6-Projects!$C$30+1),0)+IF(AND(Projects!$G$31="Yes",Projects!$M$31="Yes",6&gt;=Projects!$C$31,6&lt;Projects!$C$31+Projects!$D$31),Projects!$B$31*INDEX(Curves!$B$4:$AR$4,1,6-Projects!$C$31+1),0)+IF(AND(Projects!$G$32="Yes",Projects!$M$32="Yes",6&gt;=Projects!$C$32,6&lt;Projects!$C$32+Projects!$D$32),Projects!$B$32*INDEX(Curves!$B$4:$AR$4,1,6-Projects!$C$32+1),0)+IF(AND(Projects!$G$33="Yes",Projects!$M$33="Yes",6&gt;=Projects!$C$33,6&lt;Projects!$C$33+Projects!$D$33),Projects!$B$33*INDEX(Curves!$B$4:$AR$4,1,6-Projects!$C$33+1),0)+IF(AND(Projects!$G$34="Yes",Projects!$M$34="Yes",6&gt;=Projects!$C$34,6&lt;Projects!$C$34+Projects!$D$34),Projects!$B$34*INDEX(Curves!$B$4:$AR$4,1,6-Projects!$C$34+1),0)+IF(AND(Projects!$G$35="Yes",Projects!$M$35="Yes",6&gt;=Projects!$C$35,6&lt;Projects!$C$35+Projects!$D$35),Projects!$B$35*INDEX(Curves!$B$4:$AR$4,1,6-Projects!$C$35+1),0)+IF(AND(Projects!$G$36="Yes",Projects!$M$36="Yes",6&gt;=Projects!$C$36,6&lt;Projects!$C$36+Projects!$D$36),Projects!$B$36*INDEX(Curves!$B$4:$AR$4,1,6-Projects!$C$36+1),0)+IF(AND(Projects!$G$37="Yes",Projects!$M$37="Yes",6&gt;=Projects!$C$37,6&lt;Projects!$C$37+Projects!$D$37),Projects!$B$37*INDEX(Curves!$B$4:$AR$4,1,6-Projects!$C$37+1),0)+IF(AND(Projects!$G$38="Yes",Projects!$M$38="Yes",6&gt;=Projects!$C$38,6&lt;Projects!$C$38+Projects!$D$38),Projects!$B$38*INDEX(Curves!$B$4:$AR$4,1,6-Projects!$C$38+1),0)+IF(AND(Projects!$G$39="Yes",Projects!$M$39="Yes",6&gt;=Projects!$C$39,6&lt;Projects!$C$39+Projects!$D$39),Projects!$B$39*INDEX(Curves!$B$4:$AR$4,1,6-Projects!$C$39+1),0)+IF(AND(Projects!$G$40="Yes",Projects!$M$40="Yes",6&gt;=Projects!$C$40,6&lt;Projects!$C$40+Projects!$D$40),Projects!$B$40*INDEX(Curves!$B$4:$AR$4,1,6-Projects!$C$40+1),0)+IF(AND(Projects!$G$41="Yes",Projects!$M$41="Yes",6&gt;=Projects!$C$41,6&lt;Projects!$C$41+Projects!$D$41),Projects!$B$41*INDEX(Curves!$B$4:$AR$4,1,6-Projects!$C$41+1),0)+IF(AND(Projects!$G$42="Yes",Projects!$M$42="Yes",6&gt;=Projects!$C$42,6&lt;Projects!$C$42+Projects!$D$42),Projects!$B$42*INDEX(Curves!$B$4:$AR$4,1,6-Projects!$C$42+1),0)+IF(AND(Projects!$G$43="Yes",Projects!$M$43="Yes",6&gt;=Projects!$C$43,6&lt;Projects!$C$43+Projects!$D$43),Projects!$B$43*INDEX(Curves!$B$4:$AR$4,1,6-Projects!$C$43+1),0)+IF(AND(Projects!$G$44="Yes",Projects!$M$44="Yes",6&gt;=Projects!$C$44,6&lt;Projects!$C$44+Projects!$D$44),Projects!$B$44*INDEX(Curves!$B$4:$AR$4,1,6-Projects!$C$44+1),0)+IF(AND(Projects!$G$45="Yes",Projects!$M$45="Yes",6&gt;=Projects!$C$45,6&lt;Projects!$C$45+Projects!$D$45),Projects!$B$45*INDEX(Curves!$B$4:$AR$4,1,6-Projects!$C$45+1),0)+IF(AND(Projects!$G$46="Yes",Projects!$M$46="Yes",6&gt;=Projects!$C$46,6&lt;Projects!$C$46+Projects!$D$46),Projects!$B$46*INDEX(Curves!$B$4:$AR$4,1,6-Projects!$C$46+1),0)</f>
        <v>0</v>
      </c>
      <c r="L101" s="87" t="n">
        <f aca="false">IF(AND(Projects!$G$17="Yes",Projects!$M$17="Yes",7&gt;=Projects!$C$17,7&lt;Projects!$C$17+Projects!$D$17),Projects!$B$17*INDEX(Curves!$B$4:$AR$4,1,7-Projects!$C$17+1),0)+IF(AND(Projects!$G$18="Yes",Projects!$M$18="Yes",7&gt;=Projects!$C$18,7&lt;Projects!$C$18+Projects!$D$18),Projects!$B$18*INDEX(Curves!$B$4:$AR$4,1,7-Projects!$C$18+1),0)+IF(AND(Projects!$G$19="Yes",Projects!$M$19="Yes",7&gt;=Projects!$C$19,7&lt;Projects!$C$19+Projects!$D$19),Projects!$B$19*INDEX(Curves!$B$4:$AR$4,1,7-Projects!$C$19+1),0)+IF(AND(Projects!$G$20="Yes",Projects!$M$20="Yes",7&gt;=Projects!$C$20,7&lt;Projects!$C$20+Projects!$D$20),Projects!$B$20*INDEX(Curves!$B$4:$AR$4,1,7-Projects!$C$20+1),0)+IF(AND(Projects!$G$21="Yes",Projects!$M$21="Yes",7&gt;=Projects!$C$21,7&lt;Projects!$C$21+Projects!$D$21),Projects!$B$21*INDEX(Curves!$B$4:$AR$4,1,7-Projects!$C$21+1),0)+IF(AND(Projects!$G$22="Yes",Projects!$M$22="Yes",7&gt;=Projects!$C$22,7&lt;Projects!$C$22+Projects!$D$22),Projects!$B$22*INDEX(Curves!$B$4:$AR$4,1,7-Projects!$C$22+1),0)+IF(AND(Projects!$G$23="Yes",Projects!$M$23="Yes",7&gt;=Projects!$C$23,7&lt;Projects!$C$23+Projects!$D$23),Projects!$B$23*INDEX(Curves!$B$4:$AR$4,1,7-Projects!$C$23+1),0)+IF(AND(Projects!$G$24="Yes",Projects!$M$24="Yes",7&gt;=Projects!$C$24,7&lt;Projects!$C$24+Projects!$D$24),Projects!$B$24*INDEX(Curves!$B$4:$AR$4,1,7-Projects!$C$24+1),0)+IF(AND(Projects!$G$25="Yes",Projects!$M$25="Yes",7&gt;=Projects!$C$25,7&lt;Projects!$C$25+Projects!$D$25),Projects!$B$25*INDEX(Curves!$B$4:$AR$4,1,7-Projects!$C$25+1),0)+IF(AND(Projects!$G$26="Yes",Projects!$M$26="Yes",7&gt;=Projects!$C$26,7&lt;Projects!$C$26+Projects!$D$26),Projects!$B$26*INDEX(Curves!$B$4:$AR$4,1,7-Projects!$C$26+1),0)+IF(AND(Projects!$G$27="Yes",Projects!$M$27="Yes",7&gt;=Projects!$C$27,7&lt;Projects!$C$27+Projects!$D$27),Projects!$B$27*INDEX(Curves!$B$4:$AR$4,1,7-Projects!$C$27+1),0)+IF(AND(Projects!$G$28="Yes",Projects!$M$28="Yes",7&gt;=Projects!$C$28,7&lt;Projects!$C$28+Projects!$D$28),Projects!$B$28*INDEX(Curves!$B$4:$AR$4,1,7-Projects!$C$28+1),0)+IF(AND(Projects!$G$29="Yes",Projects!$M$29="Yes",7&gt;=Projects!$C$29,7&lt;Projects!$C$29+Projects!$D$29),Projects!$B$29*INDEX(Curves!$B$4:$AR$4,1,7-Projects!$C$29+1),0)+IF(AND(Projects!$G$30="Yes",Projects!$M$30="Yes",7&gt;=Projects!$C$30,7&lt;Projects!$C$30+Projects!$D$30),Projects!$B$30*INDEX(Curves!$B$4:$AR$4,1,7-Projects!$C$30+1),0)+IF(AND(Projects!$G$31="Yes",Projects!$M$31="Yes",7&gt;=Projects!$C$31,7&lt;Projects!$C$31+Projects!$D$31),Projects!$B$31*INDEX(Curves!$B$4:$AR$4,1,7-Projects!$C$31+1),0)+IF(AND(Projects!$G$32="Yes",Projects!$M$32="Yes",7&gt;=Projects!$C$32,7&lt;Projects!$C$32+Projects!$D$32),Projects!$B$32*INDEX(Curves!$B$4:$AR$4,1,7-Projects!$C$32+1),0)+IF(AND(Projects!$G$33="Yes",Projects!$M$33="Yes",7&gt;=Projects!$C$33,7&lt;Projects!$C$33+Projects!$D$33),Projects!$B$33*INDEX(Curves!$B$4:$AR$4,1,7-Projects!$C$33+1),0)+IF(AND(Projects!$G$34="Yes",Projects!$M$34="Yes",7&gt;=Projects!$C$34,7&lt;Projects!$C$34+Projects!$D$34),Projects!$B$34*INDEX(Curves!$B$4:$AR$4,1,7-Projects!$C$34+1),0)+IF(AND(Projects!$G$35="Yes",Projects!$M$35="Yes",7&gt;=Projects!$C$35,7&lt;Projects!$C$35+Projects!$D$35),Projects!$B$35*INDEX(Curves!$B$4:$AR$4,1,7-Projects!$C$35+1),0)+IF(AND(Projects!$G$36="Yes",Projects!$M$36="Yes",7&gt;=Projects!$C$36,7&lt;Projects!$C$36+Projects!$D$36),Projects!$B$36*INDEX(Curves!$B$4:$AR$4,1,7-Projects!$C$36+1),0)+IF(AND(Projects!$G$37="Yes",Projects!$M$37="Yes",7&gt;=Projects!$C$37,7&lt;Projects!$C$37+Projects!$D$37),Projects!$B$37*INDEX(Curves!$B$4:$AR$4,1,7-Projects!$C$37+1),0)+IF(AND(Projects!$G$38="Yes",Projects!$M$38="Yes",7&gt;=Projects!$C$38,7&lt;Projects!$C$38+Projects!$D$38),Projects!$B$38*INDEX(Curves!$B$4:$AR$4,1,7-Projects!$C$38+1),0)+IF(AND(Projects!$G$39="Yes",Projects!$M$39="Yes",7&gt;=Projects!$C$39,7&lt;Projects!$C$39+Projects!$D$39),Projects!$B$39*INDEX(Curves!$B$4:$AR$4,1,7-Projects!$C$39+1),0)+IF(AND(Projects!$G$40="Yes",Projects!$M$40="Yes",7&gt;=Projects!$C$40,7&lt;Projects!$C$40+Projects!$D$40),Projects!$B$40*INDEX(Curves!$B$4:$AR$4,1,7-Projects!$C$40+1),0)+IF(AND(Projects!$G$41="Yes",Projects!$M$41="Yes",7&gt;=Projects!$C$41,7&lt;Projects!$C$41+Projects!$D$41),Projects!$B$41*INDEX(Curves!$B$4:$AR$4,1,7-Projects!$C$41+1),0)+IF(AND(Projects!$G$42="Yes",Projects!$M$42="Yes",7&gt;=Projects!$C$42,7&lt;Projects!$C$42+Projects!$D$42),Projects!$B$42*INDEX(Curves!$B$4:$AR$4,1,7-Projects!$C$42+1),0)+IF(AND(Projects!$G$43="Yes",Projects!$M$43="Yes",7&gt;=Projects!$C$43,7&lt;Projects!$C$43+Projects!$D$43),Projects!$B$43*INDEX(Curves!$B$4:$AR$4,1,7-Projects!$C$43+1),0)+IF(AND(Projects!$G$44="Yes",Projects!$M$44="Yes",7&gt;=Projects!$C$44,7&lt;Projects!$C$44+Projects!$D$44),Projects!$B$44*INDEX(Curves!$B$4:$AR$4,1,7-Projects!$C$44+1),0)+IF(AND(Projects!$G$45="Yes",Projects!$M$45="Yes",7&gt;=Projects!$C$45,7&lt;Projects!$C$45+Projects!$D$45),Projects!$B$45*INDEX(Curves!$B$4:$AR$4,1,7-Projects!$C$45+1),0)+IF(AND(Projects!$G$46="Yes",Projects!$M$46="Yes",7&gt;=Projects!$C$46,7&lt;Projects!$C$46+Projects!$D$46),Projects!$B$46*INDEX(Curves!$B$4:$AR$4,1,7-Projects!$C$46+1),0)</f>
        <v>0</v>
      </c>
      <c r="M101" s="87" t="n">
        <f aca="false">IF(AND(Projects!$G$17="Yes",Projects!$M$17="Yes",8&gt;=Projects!$C$17,8&lt;Projects!$C$17+Projects!$D$17),Projects!$B$17*INDEX(Curves!$B$4:$AR$4,1,8-Projects!$C$17+1),0)+IF(AND(Projects!$G$18="Yes",Projects!$M$18="Yes",8&gt;=Projects!$C$18,8&lt;Projects!$C$18+Projects!$D$18),Projects!$B$18*INDEX(Curves!$B$4:$AR$4,1,8-Projects!$C$18+1),0)+IF(AND(Projects!$G$19="Yes",Projects!$M$19="Yes",8&gt;=Projects!$C$19,8&lt;Projects!$C$19+Projects!$D$19),Projects!$B$19*INDEX(Curves!$B$4:$AR$4,1,8-Projects!$C$19+1),0)+IF(AND(Projects!$G$20="Yes",Projects!$M$20="Yes",8&gt;=Projects!$C$20,8&lt;Projects!$C$20+Projects!$D$20),Projects!$B$20*INDEX(Curves!$B$4:$AR$4,1,8-Projects!$C$20+1),0)+IF(AND(Projects!$G$21="Yes",Projects!$M$21="Yes",8&gt;=Projects!$C$21,8&lt;Projects!$C$21+Projects!$D$21),Projects!$B$21*INDEX(Curves!$B$4:$AR$4,1,8-Projects!$C$21+1),0)+IF(AND(Projects!$G$22="Yes",Projects!$M$22="Yes",8&gt;=Projects!$C$22,8&lt;Projects!$C$22+Projects!$D$22),Projects!$B$22*INDEX(Curves!$B$4:$AR$4,1,8-Projects!$C$22+1),0)+IF(AND(Projects!$G$23="Yes",Projects!$M$23="Yes",8&gt;=Projects!$C$23,8&lt;Projects!$C$23+Projects!$D$23),Projects!$B$23*INDEX(Curves!$B$4:$AR$4,1,8-Projects!$C$23+1),0)+IF(AND(Projects!$G$24="Yes",Projects!$M$24="Yes",8&gt;=Projects!$C$24,8&lt;Projects!$C$24+Projects!$D$24),Projects!$B$24*INDEX(Curves!$B$4:$AR$4,1,8-Projects!$C$24+1),0)+IF(AND(Projects!$G$25="Yes",Projects!$M$25="Yes",8&gt;=Projects!$C$25,8&lt;Projects!$C$25+Projects!$D$25),Projects!$B$25*INDEX(Curves!$B$4:$AR$4,1,8-Projects!$C$25+1),0)+IF(AND(Projects!$G$26="Yes",Projects!$M$26="Yes",8&gt;=Projects!$C$26,8&lt;Projects!$C$26+Projects!$D$26),Projects!$B$26*INDEX(Curves!$B$4:$AR$4,1,8-Projects!$C$26+1),0)+IF(AND(Projects!$G$27="Yes",Projects!$M$27="Yes",8&gt;=Projects!$C$27,8&lt;Projects!$C$27+Projects!$D$27),Projects!$B$27*INDEX(Curves!$B$4:$AR$4,1,8-Projects!$C$27+1),0)+IF(AND(Projects!$G$28="Yes",Projects!$M$28="Yes",8&gt;=Projects!$C$28,8&lt;Projects!$C$28+Projects!$D$28),Projects!$B$28*INDEX(Curves!$B$4:$AR$4,1,8-Projects!$C$28+1),0)+IF(AND(Projects!$G$29="Yes",Projects!$M$29="Yes",8&gt;=Projects!$C$29,8&lt;Projects!$C$29+Projects!$D$29),Projects!$B$29*INDEX(Curves!$B$4:$AR$4,1,8-Projects!$C$29+1),0)+IF(AND(Projects!$G$30="Yes",Projects!$M$30="Yes",8&gt;=Projects!$C$30,8&lt;Projects!$C$30+Projects!$D$30),Projects!$B$30*INDEX(Curves!$B$4:$AR$4,1,8-Projects!$C$30+1),0)+IF(AND(Projects!$G$31="Yes",Projects!$M$31="Yes",8&gt;=Projects!$C$31,8&lt;Projects!$C$31+Projects!$D$31),Projects!$B$31*INDEX(Curves!$B$4:$AR$4,1,8-Projects!$C$31+1),0)+IF(AND(Projects!$G$32="Yes",Projects!$M$32="Yes",8&gt;=Projects!$C$32,8&lt;Projects!$C$32+Projects!$D$32),Projects!$B$32*INDEX(Curves!$B$4:$AR$4,1,8-Projects!$C$32+1),0)+IF(AND(Projects!$G$33="Yes",Projects!$M$33="Yes",8&gt;=Projects!$C$33,8&lt;Projects!$C$33+Projects!$D$33),Projects!$B$33*INDEX(Curves!$B$4:$AR$4,1,8-Projects!$C$33+1),0)+IF(AND(Projects!$G$34="Yes",Projects!$M$34="Yes",8&gt;=Projects!$C$34,8&lt;Projects!$C$34+Projects!$D$34),Projects!$B$34*INDEX(Curves!$B$4:$AR$4,1,8-Projects!$C$34+1),0)+IF(AND(Projects!$G$35="Yes",Projects!$M$35="Yes",8&gt;=Projects!$C$35,8&lt;Projects!$C$35+Projects!$D$35),Projects!$B$35*INDEX(Curves!$B$4:$AR$4,1,8-Projects!$C$35+1),0)+IF(AND(Projects!$G$36="Yes",Projects!$M$36="Yes",8&gt;=Projects!$C$36,8&lt;Projects!$C$36+Projects!$D$36),Projects!$B$36*INDEX(Curves!$B$4:$AR$4,1,8-Projects!$C$36+1),0)+IF(AND(Projects!$G$37="Yes",Projects!$M$37="Yes",8&gt;=Projects!$C$37,8&lt;Projects!$C$37+Projects!$D$37),Projects!$B$37*INDEX(Curves!$B$4:$AR$4,1,8-Projects!$C$37+1),0)+IF(AND(Projects!$G$38="Yes",Projects!$M$38="Yes",8&gt;=Projects!$C$38,8&lt;Projects!$C$38+Projects!$D$38),Projects!$B$38*INDEX(Curves!$B$4:$AR$4,1,8-Projects!$C$38+1),0)+IF(AND(Projects!$G$39="Yes",Projects!$M$39="Yes",8&gt;=Projects!$C$39,8&lt;Projects!$C$39+Projects!$D$39),Projects!$B$39*INDEX(Curves!$B$4:$AR$4,1,8-Projects!$C$39+1),0)+IF(AND(Projects!$G$40="Yes",Projects!$M$40="Yes",8&gt;=Projects!$C$40,8&lt;Projects!$C$40+Projects!$D$40),Projects!$B$40*INDEX(Curves!$B$4:$AR$4,1,8-Projects!$C$40+1),0)+IF(AND(Projects!$G$41="Yes",Projects!$M$41="Yes",8&gt;=Projects!$C$41,8&lt;Projects!$C$41+Projects!$D$41),Projects!$B$41*INDEX(Curves!$B$4:$AR$4,1,8-Projects!$C$41+1),0)+IF(AND(Projects!$G$42="Yes",Projects!$M$42="Yes",8&gt;=Projects!$C$42,8&lt;Projects!$C$42+Projects!$D$42),Projects!$B$42*INDEX(Curves!$B$4:$AR$4,1,8-Projects!$C$42+1),0)+IF(AND(Projects!$G$43="Yes",Projects!$M$43="Yes",8&gt;=Projects!$C$43,8&lt;Projects!$C$43+Projects!$D$43),Projects!$B$43*INDEX(Curves!$B$4:$AR$4,1,8-Projects!$C$43+1),0)+IF(AND(Projects!$G$44="Yes",Projects!$M$44="Yes",8&gt;=Projects!$C$44,8&lt;Projects!$C$44+Projects!$D$44),Projects!$B$44*INDEX(Curves!$B$4:$AR$4,1,8-Projects!$C$44+1),0)+IF(AND(Projects!$G$45="Yes",Projects!$M$45="Yes",8&gt;=Projects!$C$45,8&lt;Projects!$C$45+Projects!$D$45),Projects!$B$45*INDEX(Curves!$B$4:$AR$4,1,8-Projects!$C$45+1),0)+IF(AND(Projects!$G$46="Yes",Projects!$M$46="Yes",8&gt;=Projects!$C$46,8&lt;Projects!$C$46+Projects!$D$46),Projects!$B$46*INDEX(Curves!$B$4:$AR$4,1,8-Projects!$C$46+1),0)</f>
        <v>0</v>
      </c>
      <c r="N101" s="87" t="n">
        <f aca="false">IF(AND(Projects!$G$17="Yes",Projects!$M$17="Yes",9&gt;=Projects!$C$17,9&lt;Projects!$C$17+Projects!$D$17),Projects!$B$17*INDEX(Curves!$B$4:$AR$4,1,9-Projects!$C$17+1),0)+IF(AND(Projects!$G$18="Yes",Projects!$M$18="Yes",9&gt;=Projects!$C$18,9&lt;Projects!$C$18+Projects!$D$18),Projects!$B$18*INDEX(Curves!$B$4:$AR$4,1,9-Projects!$C$18+1),0)+IF(AND(Projects!$G$19="Yes",Projects!$M$19="Yes",9&gt;=Projects!$C$19,9&lt;Projects!$C$19+Projects!$D$19),Projects!$B$19*INDEX(Curves!$B$4:$AR$4,1,9-Projects!$C$19+1),0)+IF(AND(Projects!$G$20="Yes",Projects!$M$20="Yes",9&gt;=Projects!$C$20,9&lt;Projects!$C$20+Projects!$D$20),Projects!$B$20*INDEX(Curves!$B$4:$AR$4,1,9-Projects!$C$20+1),0)+IF(AND(Projects!$G$21="Yes",Projects!$M$21="Yes",9&gt;=Projects!$C$21,9&lt;Projects!$C$21+Projects!$D$21),Projects!$B$21*INDEX(Curves!$B$4:$AR$4,1,9-Projects!$C$21+1),0)+IF(AND(Projects!$G$22="Yes",Projects!$M$22="Yes",9&gt;=Projects!$C$22,9&lt;Projects!$C$22+Projects!$D$22),Projects!$B$22*INDEX(Curves!$B$4:$AR$4,1,9-Projects!$C$22+1),0)+IF(AND(Projects!$G$23="Yes",Projects!$M$23="Yes",9&gt;=Projects!$C$23,9&lt;Projects!$C$23+Projects!$D$23),Projects!$B$23*INDEX(Curves!$B$4:$AR$4,1,9-Projects!$C$23+1),0)+IF(AND(Projects!$G$24="Yes",Projects!$M$24="Yes",9&gt;=Projects!$C$24,9&lt;Projects!$C$24+Projects!$D$24),Projects!$B$24*INDEX(Curves!$B$4:$AR$4,1,9-Projects!$C$24+1),0)+IF(AND(Projects!$G$25="Yes",Projects!$M$25="Yes",9&gt;=Projects!$C$25,9&lt;Projects!$C$25+Projects!$D$25),Projects!$B$25*INDEX(Curves!$B$4:$AR$4,1,9-Projects!$C$25+1),0)+IF(AND(Projects!$G$26="Yes",Projects!$M$26="Yes",9&gt;=Projects!$C$26,9&lt;Projects!$C$26+Projects!$D$26),Projects!$B$26*INDEX(Curves!$B$4:$AR$4,1,9-Projects!$C$26+1),0)+IF(AND(Projects!$G$27="Yes",Projects!$M$27="Yes",9&gt;=Projects!$C$27,9&lt;Projects!$C$27+Projects!$D$27),Projects!$B$27*INDEX(Curves!$B$4:$AR$4,1,9-Projects!$C$27+1),0)+IF(AND(Projects!$G$28="Yes",Projects!$M$28="Yes",9&gt;=Projects!$C$28,9&lt;Projects!$C$28+Projects!$D$28),Projects!$B$28*INDEX(Curves!$B$4:$AR$4,1,9-Projects!$C$28+1),0)+IF(AND(Projects!$G$29="Yes",Projects!$M$29="Yes",9&gt;=Projects!$C$29,9&lt;Projects!$C$29+Projects!$D$29),Projects!$B$29*INDEX(Curves!$B$4:$AR$4,1,9-Projects!$C$29+1),0)+IF(AND(Projects!$G$30="Yes",Projects!$M$30="Yes",9&gt;=Projects!$C$30,9&lt;Projects!$C$30+Projects!$D$30),Projects!$B$30*INDEX(Curves!$B$4:$AR$4,1,9-Projects!$C$30+1),0)+IF(AND(Projects!$G$31="Yes",Projects!$M$31="Yes",9&gt;=Projects!$C$31,9&lt;Projects!$C$31+Projects!$D$31),Projects!$B$31*INDEX(Curves!$B$4:$AR$4,1,9-Projects!$C$31+1),0)+IF(AND(Projects!$G$32="Yes",Projects!$M$32="Yes",9&gt;=Projects!$C$32,9&lt;Projects!$C$32+Projects!$D$32),Projects!$B$32*INDEX(Curves!$B$4:$AR$4,1,9-Projects!$C$32+1),0)+IF(AND(Projects!$G$33="Yes",Projects!$M$33="Yes",9&gt;=Projects!$C$33,9&lt;Projects!$C$33+Projects!$D$33),Projects!$B$33*INDEX(Curves!$B$4:$AR$4,1,9-Projects!$C$33+1),0)+IF(AND(Projects!$G$34="Yes",Projects!$M$34="Yes",9&gt;=Projects!$C$34,9&lt;Projects!$C$34+Projects!$D$34),Projects!$B$34*INDEX(Curves!$B$4:$AR$4,1,9-Projects!$C$34+1),0)+IF(AND(Projects!$G$35="Yes",Projects!$M$35="Yes",9&gt;=Projects!$C$35,9&lt;Projects!$C$35+Projects!$D$35),Projects!$B$35*INDEX(Curves!$B$4:$AR$4,1,9-Projects!$C$35+1),0)+IF(AND(Projects!$G$36="Yes",Projects!$M$36="Yes",9&gt;=Projects!$C$36,9&lt;Projects!$C$36+Projects!$D$36),Projects!$B$36*INDEX(Curves!$B$4:$AR$4,1,9-Projects!$C$36+1),0)+IF(AND(Projects!$G$37="Yes",Projects!$M$37="Yes",9&gt;=Projects!$C$37,9&lt;Projects!$C$37+Projects!$D$37),Projects!$B$37*INDEX(Curves!$B$4:$AR$4,1,9-Projects!$C$37+1),0)+IF(AND(Projects!$G$38="Yes",Projects!$M$38="Yes",9&gt;=Projects!$C$38,9&lt;Projects!$C$38+Projects!$D$38),Projects!$B$38*INDEX(Curves!$B$4:$AR$4,1,9-Projects!$C$38+1),0)+IF(AND(Projects!$G$39="Yes",Projects!$M$39="Yes",9&gt;=Projects!$C$39,9&lt;Projects!$C$39+Projects!$D$39),Projects!$B$39*INDEX(Curves!$B$4:$AR$4,1,9-Projects!$C$39+1),0)+IF(AND(Projects!$G$40="Yes",Projects!$M$40="Yes",9&gt;=Projects!$C$40,9&lt;Projects!$C$40+Projects!$D$40),Projects!$B$40*INDEX(Curves!$B$4:$AR$4,1,9-Projects!$C$40+1),0)+IF(AND(Projects!$G$41="Yes",Projects!$M$41="Yes",9&gt;=Projects!$C$41,9&lt;Projects!$C$41+Projects!$D$41),Projects!$B$41*INDEX(Curves!$B$4:$AR$4,1,9-Projects!$C$41+1),0)+IF(AND(Projects!$G$42="Yes",Projects!$M$42="Yes",9&gt;=Projects!$C$42,9&lt;Projects!$C$42+Projects!$D$42),Projects!$B$42*INDEX(Curves!$B$4:$AR$4,1,9-Projects!$C$42+1),0)+IF(AND(Projects!$G$43="Yes",Projects!$M$43="Yes",9&gt;=Projects!$C$43,9&lt;Projects!$C$43+Projects!$D$43),Projects!$B$43*INDEX(Curves!$B$4:$AR$4,1,9-Projects!$C$43+1),0)+IF(AND(Projects!$G$44="Yes",Projects!$M$44="Yes",9&gt;=Projects!$C$44,9&lt;Projects!$C$44+Projects!$D$44),Projects!$B$44*INDEX(Curves!$B$4:$AR$4,1,9-Projects!$C$44+1),0)+IF(AND(Projects!$G$45="Yes",Projects!$M$45="Yes",9&gt;=Projects!$C$45,9&lt;Projects!$C$45+Projects!$D$45),Projects!$B$45*INDEX(Curves!$B$4:$AR$4,1,9-Projects!$C$45+1),0)+IF(AND(Projects!$G$46="Yes",Projects!$M$46="Yes",9&gt;=Projects!$C$46,9&lt;Projects!$C$46+Projects!$D$46),Projects!$B$46*INDEX(Curves!$B$4:$AR$4,1,9-Projects!$C$46+1),0)</f>
        <v>0</v>
      </c>
      <c r="O101" s="87" t="n">
        <f aca="false">IF(AND(Projects!$G$17="Yes",Projects!$M$17="Yes",10&gt;=Projects!$C$17,10&lt;Projects!$C$17+Projects!$D$17),Projects!$B$17*INDEX(Curves!$B$4:$AR$4,1,10-Projects!$C$17+1),0)+IF(AND(Projects!$G$18="Yes",Projects!$M$18="Yes",10&gt;=Projects!$C$18,10&lt;Projects!$C$18+Projects!$D$18),Projects!$B$18*INDEX(Curves!$B$4:$AR$4,1,10-Projects!$C$18+1),0)+IF(AND(Projects!$G$19="Yes",Projects!$M$19="Yes",10&gt;=Projects!$C$19,10&lt;Projects!$C$19+Projects!$D$19),Projects!$B$19*INDEX(Curves!$B$4:$AR$4,1,10-Projects!$C$19+1),0)+IF(AND(Projects!$G$20="Yes",Projects!$M$20="Yes",10&gt;=Projects!$C$20,10&lt;Projects!$C$20+Projects!$D$20),Projects!$B$20*INDEX(Curves!$B$4:$AR$4,1,10-Projects!$C$20+1),0)+IF(AND(Projects!$G$21="Yes",Projects!$M$21="Yes",10&gt;=Projects!$C$21,10&lt;Projects!$C$21+Projects!$D$21),Projects!$B$21*INDEX(Curves!$B$4:$AR$4,1,10-Projects!$C$21+1),0)+IF(AND(Projects!$G$22="Yes",Projects!$M$22="Yes",10&gt;=Projects!$C$22,10&lt;Projects!$C$22+Projects!$D$22),Projects!$B$22*INDEX(Curves!$B$4:$AR$4,1,10-Projects!$C$22+1),0)+IF(AND(Projects!$G$23="Yes",Projects!$M$23="Yes",10&gt;=Projects!$C$23,10&lt;Projects!$C$23+Projects!$D$23),Projects!$B$23*INDEX(Curves!$B$4:$AR$4,1,10-Projects!$C$23+1),0)+IF(AND(Projects!$G$24="Yes",Projects!$M$24="Yes",10&gt;=Projects!$C$24,10&lt;Projects!$C$24+Projects!$D$24),Projects!$B$24*INDEX(Curves!$B$4:$AR$4,1,10-Projects!$C$24+1),0)+IF(AND(Projects!$G$25="Yes",Projects!$M$25="Yes",10&gt;=Projects!$C$25,10&lt;Projects!$C$25+Projects!$D$25),Projects!$B$25*INDEX(Curves!$B$4:$AR$4,1,10-Projects!$C$25+1),0)+IF(AND(Projects!$G$26="Yes",Projects!$M$26="Yes",10&gt;=Projects!$C$26,10&lt;Projects!$C$26+Projects!$D$26),Projects!$B$26*INDEX(Curves!$B$4:$AR$4,1,10-Projects!$C$26+1),0)+IF(AND(Projects!$G$27="Yes",Projects!$M$27="Yes",10&gt;=Projects!$C$27,10&lt;Projects!$C$27+Projects!$D$27),Projects!$B$27*INDEX(Curves!$B$4:$AR$4,1,10-Projects!$C$27+1),0)+IF(AND(Projects!$G$28="Yes",Projects!$M$28="Yes",10&gt;=Projects!$C$28,10&lt;Projects!$C$28+Projects!$D$28),Projects!$B$28*INDEX(Curves!$B$4:$AR$4,1,10-Projects!$C$28+1),0)+IF(AND(Projects!$G$29="Yes",Projects!$M$29="Yes",10&gt;=Projects!$C$29,10&lt;Projects!$C$29+Projects!$D$29),Projects!$B$29*INDEX(Curves!$B$4:$AR$4,1,10-Projects!$C$29+1),0)+IF(AND(Projects!$G$30="Yes",Projects!$M$30="Yes",10&gt;=Projects!$C$30,10&lt;Projects!$C$30+Projects!$D$30),Projects!$B$30*INDEX(Curves!$B$4:$AR$4,1,10-Projects!$C$30+1),0)+IF(AND(Projects!$G$31="Yes",Projects!$M$31="Yes",10&gt;=Projects!$C$31,10&lt;Projects!$C$31+Projects!$D$31),Projects!$B$31*INDEX(Curves!$B$4:$AR$4,1,10-Projects!$C$31+1),0)+IF(AND(Projects!$G$32="Yes",Projects!$M$32="Yes",10&gt;=Projects!$C$32,10&lt;Projects!$C$32+Projects!$D$32),Projects!$B$32*INDEX(Curves!$B$4:$AR$4,1,10-Projects!$C$32+1),0)+IF(AND(Projects!$G$33="Yes",Projects!$M$33="Yes",10&gt;=Projects!$C$33,10&lt;Projects!$C$33+Projects!$D$33),Projects!$B$33*INDEX(Curves!$B$4:$AR$4,1,10-Projects!$C$33+1),0)+IF(AND(Projects!$G$34="Yes",Projects!$M$34="Yes",10&gt;=Projects!$C$34,10&lt;Projects!$C$34+Projects!$D$34),Projects!$B$34*INDEX(Curves!$B$4:$AR$4,1,10-Projects!$C$34+1),0)+IF(AND(Projects!$G$35="Yes",Projects!$M$35="Yes",10&gt;=Projects!$C$35,10&lt;Projects!$C$35+Projects!$D$35),Projects!$B$35*INDEX(Curves!$B$4:$AR$4,1,10-Projects!$C$35+1),0)+IF(AND(Projects!$G$36="Yes",Projects!$M$36="Yes",10&gt;=Projects!$C$36,10&lt;Projects!$C$36+Projects!$D$36),Projects!$B$36*INDEX(Curves!$B$4:$AR$4,1,10-Projects!$C$36+1),0)+IF(AND(Projects!$G$37="Yes",Projects!$M$37="Yes",10&gt;=Projects!$C$37,10&lt;Projects!$C$37+Projects!$D$37),Projects!$B$37*INDEX(Curves!$B$4:$AR$4,1,10-Projects!$C$37+1),0)+IF(AND(Projects!$G$38="Yes",Projects!$M$38="Yes",10&gt;=Projects!$C$38,10&lt;Projects!$C$38+Projects!$D$38),Projects!$B$38*INDEX(Curves!$B$4:$AR$4,1,10-Projects!$C$38+1),0)+IF(AND(Projects!$G$39="Yes",Projects!$M$39="Yes",10&gt;=Projects!$C$39,10&lt;Projects!$C$39+Projects!$D$39),Projects!$B$39*INDEX(Curves!$B$4:$AR$4,1,10-Projects!$C$39+1),0)+IF(AND(Projects!$G$40="Yes",Projects!$M$40="Yes",10&gt;=Projects!$C$40,10&lt;Projects!$C$40+Projects!$D$40),Projects!$B$40*INDEX(Curves!$B$4:$AR$4,1,10-Projects!$C$40+1),0)+IF(AND(Projects!$G$41="Yes",Projects!$M$41="Yes",10&gt;=Projects!$C$41,10&lt;Projects!$C$41+Projects!$D$41),Projects!$B$41*INDEX(Curves!$B$4:$AR$4,1,10-Projects!$C$41+1),0)+IF(AND(Projects!$G$42="Yes",Projects!$M$42="Yes",10&gt;=Projects!$C$42,10&lt;Projects!$C$42+Projects!$D$42),Projects!$B$42*INDEX(Curves!$B$4:$AR$4,1,10-Projects!$C$42+1),0)+IF(AND(Projects!$G$43="Yes",Projects!$M$43="Yes",10&gt;=Projects!$C$43,10&lt;Projects!$C$43+Projects!$D$43),Projects!$B$43*INDEX(Curves!$B$4:$AR$4,1,10-Projects!$C$43+1),0)+IF(AND(Projects!$G$44="Yes",Projects!$M$44="Yes",10&gt;=Projects!$C$44,10&lt;Projects!$C$44+Projects!$D$44),Projects!$B$44*INDEX(Curves!$B$4:$AR$4,1,10-Projects!$C$44+1),0)+IF(AND(Projects!$G$45="Yes",Projects!$M$45="Yes",10&gt;=Projects!$C$45,10&lt;Projects!$C$45+Projects!$D$45),Projects!$B$45*INDEX(Curves!$B$4:$AR$4,1,10-Projects!$C$45+1),0)+IF(AND(Projects!$G$46="Yes",Projects!$M$46="Yes",10&gt;=Projects!$C$46,10&lt;Projects!$C$46+Projects!$D$46),Projects!$B$46*INDEX(Curves!$B$4:$AR$4,1,10-Projects!$C$46+1),0)</f>
        <v>0</v>
      </c>
      <c r="P101" s="87" t="n">
        <f aca="false">IF(AND(Projects!$G$17="Yes",Projects!$M$17="Yes",11&gt;=Projects!$C$17,11&lt;Projects!$C$17+Projects!$D$17),Projects!$B$17*INDEX(Curves!$B$4:$AR$4,1,11-Projects!$C$17+1),0)+IF(AND(Projects!$G$18="Yes",Projects!$M$18="Yes",11&gt;=Projects!$C$18,11&lt;Projects!$C$18+Projects!$D$18),Projects!$B$18*INDEX(Curves!$B$4:$AR$4,1,11-Projects!$C$18+1),0)+IF(AND(Projects!$G$19="Yes",Projects!$M$19="Yes",11&gt;=Projects!$C$19,11&lt;Projects!$C$19+Projects!$D$19),Projects!$B$19*INDEX(Curves!$B$4:$AR$4,1,11-Projects!$C$19+1),0)+IF(AND(Projects!$G$20="Yes",Projects!$M$20="Yes",11&gt;=Projects!$C$20,11&lt;Projects!$C$20+Projects!$D$20),Projects!$B$20*INDEX(Curves!$B$4:$AR$4,1,11-Projects!$C$20+1),0)+IF(AND(Projects!$G$21="Yes",Projects!$M$21="Yes",11&gt;=Projects!$C$21,11&lt;Projects!$C$21+Projects!$D$21),Projects!$B$21*INDEX(Curves!$B$4:$AR$4,1,11-Projects!$C$21+1),0)+IF(AND(Projects!$G$22="Yes",Projects!$M$22="Yes",11&gt;=Projects!$C$22,11&lt;Projects!$C$22+Projects!$D$22),Projects!$B$22*INDEX(Curves!$B$4:$AR$4,1,11-Projects!$C$22+1),0)+IF(AND(Projects!$G$23="Yes",Projects!$M$23="Yes",11&gt;=Projects!$C$23,11&lt;Projects!$C$23+Projects!$D$23),Projects!$B$23*INDEX(Curves!$B$4:$AR$4,1,11-Projects!$C$23+1),0)+IF(AND(Projects!$G$24="Yes",Projects!$M$24="Yes",11&gt;=Projects!$C$24,11&lt;Projects!$C$24+Projects!$D$24),Projects!$B$24*INDEX(Curves!$B$4:$AR$4,1,11-Projects!$C$24+1),0)+IF(AND(Projects!$G$25="Yes",Projects!$M$25="Yes",11&gt;=Projects!$C$25,11&lt;Projects!$C$25+Projects!$D$25),Projects!$B$25*INDEX(Curves!$B$4:$AR$4,1,11-Projects!$C$25+1),0)+IF(AND(Projects!$G$26="Yes",Projects!$M$26="Yes",11&gt;=Projects!$C$26,11&lt;Projects!$C$26+Projects!$D$26),Projects!$B$26*INDEX(Curves!$B$4:$AR$4,1,11-Projects!$C$26+1),0)+IF(AND(Projects!$G$27="Yes",Projects!$M$27="Yes",11&gt;=Projects!$C$27,11&lt;Projects!$C$27+Projects!$D$27),Projects!$B$27*INDEX(Curves!$B$4:$AR$4,1,11-Projects!$C$27+1),0)+IF(AND(Projects!$G$28="Yes",Projects!$M$28="Yes",11&gt;=Projects!$C$28,11&lt;Projects!$C$28+Projects!$D$28),Projects!$B$28*INDEX(Curves!$B$4:$AR$4,1,11-Projects!$C$28+1),0)+IF(AND(Projects!$G$29="Yes",Projects!$M$29="Yes",11&gt;=Projects!$C$29,11&lt;Projects!$C$29+Projects!$D$29),Projects!$B$29*INDEX(Curves!$B$4:$AR$4,1,11-Projects!$C$29+1),0)+IF(AND(Projects!$G$30="Yes",Projects!$M$30="Yes",11&gt;=Projects!$C$30,11&lt;Projects!$C$30+Projects!$D$30),Projects!$B$30*INDEX(Curves!$B$4:$AR$4,1,11-Projects!$C$30+1),0)+IF(AND(Projects!$G$31="Yes",Projects!$M$31="Yes",11&gt;=Projects!$C$31,11&lt;Projects!$C$31+Projects!$D$31),Projects!$B$31*INDEX(Curves!$B$4:$AR$4,1,11-Projects!$C$31+1),0)+IF(AND(Projects!$G$32="Yes",Projects!$M$32="Yes",11&gt;=Projects!$C$32,11&lt;Projects!$C$32+Projects!$D$32),Projects!$B$32*INDEX(Curves!$B$4:$AR$4,1,11-Projects!$C$32+1),0)+IF(AND(Projects!$G$33="Yes",Projects!$M$33="Yes",11&gt;=Projects!$C$33,11&lt;Projects!$C$33+Projects!$D$33),Projects!$B$33*INDEX(Curves!$B$4:$AR$4,1,11-Projects!$C$33+1),0)+IF(AND(Projects!$G$34="Yes",Projects!$M$34="Yes",11&gt;=Projects!$C$34,11&lt;Projects!$C$34+Projects!$D$34),Projects!$B$34*INDEX(Curves!$B$4:$AR$4,1,11-Projects!$C$34+1),0)+IF(AND(Projects!$G$35="Yes",Projects!$M$35="Yes",11&gt;=Projects!$C$35,11&lt;Projects!$C$35+Projects!$D$35),Projects!$B$35*INDEX(Curves!$B$4:$AR$4,1,11-Projects!$C$35+1),0)+IF(AND(Projects!$G$36="Yes",Projects!$M$36="Yes",11&gt;=Projects!$C$36,11&lt;Projects!$C$36+Projects!$D$36),Projects!$B$36*INDEX(Curves!$B$4:$AR$4,1,11-Projects!$C$36+1),0)+IF(AND(Projects!$G$37="Yes",Projects!$M$37="Yes",11&gt;=Projects!$C$37,11&lt;Projects!$C$37+Projects!$D$37),Projects!$B$37*INDEX(Curves!$B$4:$AR$4,1,11-Projects!$C$37+1),0)+IF(AND(Projects!$G$38="Yes",Projects!$M$38="Yes",11&gt;=Projects!$C$38,11&lt;Projects!$C$38+Projects!$D$38),Projects!$B$38*INDEX(Curves!$B$4:$AR$4,1,11-Projects!$C$38+1),0)+IF(AND(Projects!$G$39="Yes",Projects!$M$39="Yes",11&gt;=Projects!$C$39,11&lt;Projects!$C$39+Projects!$D$39),Projects!$B$39*INDEX(Curves!$B$4:$AR$4,1,11-Projects!$C$39+1),0)+IF(AND(Projects!$G$40="Yes",Projects!$M$40="Yes",11&gt;=Projects!$C$40,11&lt;Projects!$C$40+Projects!$D$40),Projects!$B$40*INDEX(Curves!$B$4:$AR$4,1,11-Projects!$C$40+1),0)+IF(AND(Projects!$G$41="Yes",Projects!$M$41="Yes",11&gt;=Projects!$C$41,11&lt;Projects!$C$41+Projects!$D$41),Projects!$B$41*INDEX(Curves!$B$4:$AR$4,1,11-Projects!$C$41+1),0)+IF(AND(Projects!$G$42="Yes",Projects!$M$42="Yes",11&gt;=Projects!$C$42,11&lt;Projects!$C$42+Projects!$D$42),Projects!$B$42*INDEX(Curves!$B$4:$AR$4,1,11-Projects!$C$42+1),0)+IF(AND(Projects!$G$43="Yes",Projects!$M$43="Yes",11&gt;=Projects!$C$43,11&lt;Projects!$C$43+Projects!$D$43),Projects!$B$43*INDEX(Curves!$B$4:$AR$4,1,11-Projects!$C$43+1),0)+IF(AND(Projects!$G$44="Yes",Projects!$M$44="Yes",11&gt;=Projects!$C$44,11&lt;Projects!$C$44+Projects!$D$44),Projects!$B$44*INDEX(Curves!$B$4:$AR$4,1,11-Projects!$C$44+1),0)+IF(AND(Projects!$G$45="Yes",Projects!$M$45="Yes",11&gt;=Projects!$C$45,11&lt;Projects!$C$45+Projects!$D$45),Projects!$B$45*INDEX(Curves!$B$4:$AR$4,1,11-Projects!$C$45+1),0)+IF(AND(Projects!$G$46="Yes",Projects!$M$46="Yes",11&gt;=Projects!$C$46,11&lt;Projects!$C$46+Projects!$D$46),Projects!$B$46*INDEX(Curves!$B$4:$AR$4,1,11-Projects!$C$46+1),0)</f>
        <v>0</v>
      </c>
      <c r="Q101" s="87" t="n">
        <f aca="false">IF(AND(Projects!$G$17="Yes",Projects!$M$17="Yes",12&gt;=Projects!$C$17,12&lt;Projects!$C$17+Projects!$D$17),Projects!$B$17*INDEX(Curves!$B$4:$AR$4,1,12-Projects!$C$17+1),0)+IF(AND(Projects!$G$18="Yes",Projects!$M$18="Yes",12&gt;=Projects!$C$18,12&lt;Projects!$C$18+Projects!$D$18),Projects!$B$18*INDEX(Curves!$B$4:$AR$4,1,12-Projects!$C$18+1),0)+IF(AND(Projects!$G$19="Yes",Projects!$M$19="Yes",12&gt;=Projects!$C$19,12&lt;Projects!$C$19+Projects!$D$19),Projects!$B$19*INDEX(Curves!$B$4:$AR$4,1,12-Projects!$C$19+1),0)+IF(AND(Projects!$G$20="Yes",Projects!$M$20="Yes",12&gt;=Projects!$C$20,12&lt;Projects!$C$20+Projects!$D$20),Projects!$B$20*INDEX(Curves!$B$4:$AR$4,1,12-Projects!$C$20+1),0)+IF(AND(Projects!$G$21="Yes",Projects!$M$21="Yes",12&gt;=Projects!$C$21,12&lt;Projects!$C$21+Projects!$D$21),Projects!$B$21*INDEX(Curves!$B$4:$AR$4,1,12-Projects!$C$21+1),0)+IF(AND(Projects!$G$22="Yes",Projects!$M$22="Yes",12&gt;=Projects!$C$22,12&lt;Projects!$C$22+Projects!$D$22),Projects!$B$22*INDEX(Curves!$B$4:$AR$4,1,12-Projects!$C$22+1),0)+IF(AND(Projects!$G$23="Yes",Projects!$M$23="Yes",12&gt;=Projects!$C$23,12&lt;Projects!$C$23+Projects!$D$23),Projects!$B$23*INDEX(Curves!$B$4:$AR$4,1,12-Projects!$C$23+1),0)+IF(AND(Projects!$G$24="Yes",Projects!$M$24="Yes",12&gt;=Projects!$C$24,12&lt;Projects!$C$24+Projects!$D$24),Projects!$B$24*INDEX(Curves!$B$4:$AR$4,1,12-Projects!$C$24+1),0)+IF(AND(Projects!$G$25="Yes",Projects!$M$25="Yes",12&gt;=Projects!$C$25,12&lt;Projects!$C$25+Projects!$D$25),Projects!$B$25*INDEX(Curves!$B$4:$AR$4,1,12-Projects!$C$25+1),0)+IF(AND(Projects!$G$26="Yes",Projects!$M$26="Yes",12&gt;=Projects!$C$26,12&lt;Projects!$C$26+Projects!$D$26),Projects!$B$26*INDEX(Curves!$B$4:$AR$4,1,12-Projects!$C$26+1),0)+IF(AND(Projects!$G$27="Yes",Projects!$M$27="Yes",12&gt;=Projects!$C$27,12&lt;Projects!$C$27+Projects!$D$27),Projects!$B$27*INDEX(Curves!$B$4:$AR$4,1,12-Projects!$C$27+1),0)+IF(AND(Projects!$G$28="Yes",Projects!$M$28="Yes",12&gt;=Projects!$C$28,12&lt;Projects!$C$28+Projects!$D$28),Projects!$B$28*INDEX(Curves!$B$4:$AR$4,1,12-Projects!$C$28+1),0)+IF(AND(Projects!$G$29="Yes",Projects!$M$29="Yes",12&gt;=Projects!$C$29,12&lt;Projects!$C$29+Projects!$D$29),Projects!$B$29*INDEX(Curves!$B$4:$AR$4,1,12-Projects!$C$29+1),0)+IF(AND(Projects!$G$30="Yes",Projects!$M$30="Yes",12&gt;=Projects!$C$30,12&lt;Projects!$C$30+Projects!$D$30),Projects!$B$30*INDEX(Curves!$B$4:$AR$4,1,12-Projects!$C$30+1),0)+IF(AND(Projects!$G$31="Yes",Projects!$M$31="Yes",12&gt;=Projects!$C$31,12&lt;Projects!$C$31+Projects!$D$31),Projects!$B$31*INDEX(Curves!$B$4:$AR$4,1,12-Projects!$C$31+1),0)+IF(AND(Projects!$G$32="Yes",Projects!$M$32="Yes",12&gt;=Projects!$C$32,12&lt;Projects!$C$32+Projects!$D$32),Projects!$B$32*INDEX(Curves!$B$4:$AR$4,1,12-Projects!$C$32+1),0)+IF(AND(Projects!$G$33="Yes",Projects!$M$33="Yes",12&gt;=Projects!$C$33,12&lt;Projects!$C$33+Projects!$D$33),Projects!$B$33*INDEX(Curves!$B$4:$AR$4,1,12-Projects!$C$33+1),0)+IF(AND(Projects!$G$34="Yes",Projects!$M$34="Yes",12&gt;=Projects!$C$34,12&lt;Projects!$C$34+Projects!$D$34),Projects!$B$34*INDEX(Curves!$B$4:$AR$4,1,12-Projects!$C$34+1),0)+IF(AND(Projects!$G$35="Yes",Projects!$M$35="Yes",12&gt;=Projects!$C$35,12&lt;Projects!$C$35+Projects!$D$35),Projects!$B$35*INDEX(Curves!$B$4:$AR$4,1,12-Projects!$C$35+1),0)+IF(AND(Projects!$G$36="Yes",Projects!$M$36="Yes",12&gt;=Projects!$C$36,12&lt;Projects!$C$36+Projects!$D$36),Projects!$B$36*INDEX(Curves!$B$4:$AR$4,1,12-Projects!$C$36+1),0)+IF(AND(Projects!$G$37="Yes",Projects!$M$37="Yes",12&gt;=Projects!$C$37,12&lt;Projects!$C$37+Projects!$D$37),Projects!$B$37*INDEX(Curves!$B$4:$AR$4,1,12-Projects!$C$37+1),0)+IF(AND(Projects!$G$38="Yes",Projects!$M$38="Yes",12&gt;=Projects!$C$38,12&lt;Projects!$C$38+Projects!$D$38),Projects!$B$38*INDEX(Curves!$B$4:$AR$4,1,12-Projects!$C$38+1),0)+IF(AND(Projects!$G$39="Yes",Projects!$M$39="Yes",12&gt;=Projects!$C$39,12&lt;Projects!$C$39+Projects!$D$39),Projects!$B$39*INDEX(Curves!$B$4:$AR$4,1,12-Projects!$C$39+1),0)+IF(AND(Projects!$G$40="Yes",Projects!$M$40="Yes",12&gt;=Projects!$C$40,12&lt;Projects!$C$40+Projects!$D$40),Projects!$B$40*INDEX(Curves!$B$4:$AR$4,1,12-Projects!$C$40+1),0)+IF(AND(Projects!$G$41="Yes",Projects!$M$41="Yes",12&gt;=Projects!$C$41,12&lt;Projects!$C$41+Projects!$D$41),Projects!$B$41*INDEX(Curves!$B$4:$AR$4,1,12-Projects!$C$41+1),0)+IF(AND(Projects!$G$42="Yes",Projects!$M$42="Yes",12&gt;=Projects!$C$42,12&lt;Projects!$C$42+Projects!$D$42),Projects!$B$42*INDEX(Curves!$B$4:$AR$4,1,12-Projects!$C$42+1),0)+IF(AND(Projects!$G$43="Yes",Projects!$M$43="Yes",12&gt;=Projects!$C$43,12&lt;Projects!$C$43+Projects!$D$43),Projects!$B$43*INDEX(Curves!$B$4:$AR$4,1,12-Projects!$C$43+1),0)+IF(AND(Projects!$G$44="Yes",Projects!$M$44="Yes",12&gt;=Projects!$C$44,12&lt;Projects!$C$44+Projects!$D$44),Projects!$B$44*INDEX(Curves!$B$4:$AR$4,1,12-Projects!$C$44+1),0)+IF(AND(Projects!$G$45="Yes",Projects!$M$45="Yes",12&gt;=Projects!$C$45,12&lt;Projects!$C$45+Projects!$D$45),Projects!$B$45*INDEX(Curves!$B$4:$AR$4,1,12-Projects!$C$45+1),0)+IF(AND(Projects!$G$46="Yes",Projects!$M$46="Yes",12&gt;=Projects!$C$46,12&lt;Projects!$C$46+Projects!$D$46),Projects!$B$46*INDEX(Curves!$B$4:$AR$4,1,12-Projects!$C$46+1),0)</f>
        <v>0</v>
      </c>
      <c r="R101" s="87" t="n">
        <f aca="false">IF(AND(Projects!$G$17="Yes",Projects!$M$17="Yes",13&gt;=Projects!$C$17,13&lt;Projects!$C$17+Projects!$D$17),Projects!$B$17*INDEX(Curves!$B$4:$AR$4,1,13-Projects!$C$17+1),0)+IF(AND(Projects!$G$18="Yes",Projects!$M$18="Yes",13&gt;=Projects!$C$18,13&lt;Projects!$C$18+Projects!$D$18),Projects!$B$18*INDEX(Curves!$B$4:$AR$4,1,13-Projects!$C$18+1),0)+IF(AND(Projects!$G$19="Yes",Projects!$M$19="Yes",13&gt;=Projects!$C$19,13&lt;Projects!$C$19+Projects!$D$19),Projects!$B$19*INDEX(Curves!$B$4:$AR$4,1,13-Projects!$C$19+1),0)+IF(AND(Projects!$G$20="Yes",Projects!$M$20="Yes",13&gt;=Projects!$C$20,13&lt;Projects!$C$20+Projects!$D$20),Projects!$B$20*INDEX(Curves!$B$4:$AR$4,1,13-Projects!$C$20+1),0)+IF(AND(Projects!$G$21="Yes",Projects!$M$21="Yes",13&gt;=Projects!$C$21,13&lt;Projects!$C$21+Projects!$D$21),Projects!$B$21*INDEX(Curves!$B$4:$AR$4,1,13-Projects!$C$21+1),0)+IF(AND(Projects!$G$22="Yes",Projects!$M$22="Yes",13&gt;=Projects!$C$22,13&lt;Projects!$C$22+Projects!$D$22),Projects!$B$22*INDEX(Curves!$B$4:$AR$4,1,13-Projects!$C$22+1),0)+IF(AND(Projects!$G$23="Yes",Projects!$M$23="Yes",13&gt;=Projects!$C$23,13&lt;Projects!$C$23+Projects!$D$23),Projects!$B$23*INDEX(Curves!$B$4:$AR$4,1,13-Projects!$C$23+1),0)+IF(AND(Projects!$G$24="Yes",Projects!$M$24="Yes",13&gt;=Projects!$C$24,13&lt;Projects!$C$24+Projects!$D$24),Projects!$B$24*INDEX(Curves!$B$4:$AR$4,1,13-Projects!$C$24+1),0)+IF(AND(Projects!$G$25="Yes",Projects!$M$25="Yes",13&gt;=Projects!$C$25,13&lt;Projects!$C$25+Projects!$D$25),Projects!$B$25*INDEX(Curves!$B$4:$AR$4,1,13-Projects!$C$25+1),0)+IF(AND(Projects!$G$26="Yes",Projects!$M$26="Yes",13&gt;=Projects!$C$26,13&lt;Projects!$C$26+Projects!$D$26),Projects!$B$26*INDEX(Curves!$B$4:$AR$4,1,13-Projects!$C$26+1),0)+IF(AND(Projects!$G$27="Yes",Projects!$M$27="Yes",13&gt;=Projects!$C$27,13&lt;Projects!$C$27+Projects!$D$27),Projects!$B$27*INDEX(Curves!$B$4:$AR$4,1,13-Projects!$C$27+1),0)+IF(AND(Projects!$G$28="Yes",Projects!$M$28="Yes",13&gt;=Projects!$C$28,13&lt;Projects!$C$28+Projects!$D$28),Projects!$B$28*INDEX(Curves!$B$4:$AR$4,1,13-Projects!$C$28+1),0)+IF(AND(Projects!$G$29="Yes",Projects!$M$29="Yes",13&gt;=Projects!$C$29,13&lt;Projects!$C$29+Projects!$D$29),Projects!$B$29*INDEX(Curves!$B$4:$AR$4,1,13-Projects!$C$29+1),0)+IF(AND(Projects!$G$30="Yes",Projects!$M$30="Yes",13&gt;=Projects!$C$30,13&lt;Projects!$C$30+Projects!$D$30),Projects!$B$30*INDEX(Curves!$B$4:$AR$4,1,13-Projects!$C$30+1),0)+IF(AND(Projects!$G$31="Yes",Projects!$M$31="Yes",13&gt;=Projects!$C$31,13&lt;Projects!$C$31+Projects!$D$31),Projects!$B$31*INDEX(Curves!$B$4:$AR$4,1,13-Projects!$C$31+1),0)+IF(AND(Projects!$G$32="Yes",Projects!$M$32="Yes",13&gt;=Projects!$C$32,13&lt;Projects!$C$32+Projects!$D$32),Projects!$B$32*INDEX(Curves!$B$4:$AR$4,1,13-Projects!$C$32+1),0)+IF(AND(Projects!$G$33="Yes",Projects!$M$33="Yes",13&gt;=Projects!$C$33,13&lt;Projects!$C$33+Projects!$D$33),Projects!$B$33*INDEX(Curves!$B$4:$AR$4,1,13-Projects!$C$33+1),0)+IF(AND(Projects!$G$34="Yes",Projects!$M$34="Yes",13&gt;=Projects!$C$34,13&lt;Projects!$C$34+Projects!$D$34),Projects!$B$34*INDEX(Curves!$B$4:$AR$4,1,13-Projects!$C$34+1),0)+IF(AND(Projects!$G$35="Yes",Projects!$M$35="Yes",13&gt;=Projects!$C$35,13&lt;Projects!$C$35+Projects!$D$35),Projects!$B$35*INDEX(Curves!$B$4:$AR$4,1,13-Projects!$C$35+1),0)+IF(AND(Projects!$G$36="Yes",Projects!$M$36="Yes",13&gt;=Projects!$C$36,13&lt;Projects!$C$36+Projects!$D$36),Projects!$B$36*INDEX(Curves!$B$4:$AR$4,1,13-Projects!$C$36+1),0)+IF(AND(Projects!$G$37="Yes",Projects!$M$37="Yes",13&gt;=Projects!$C$37,13&lt;Projects!$C$37+Projects!$D$37),Projects!$B$37*INDEX(Curves!$B$4:$AR$4,1,13-Projects!$C$37+1),0)+IF(AND(Projects!$G$38="Yes",Projects!$M$38="Yes",13&gt;=Projects!$C$38,13&lt;Projects!$C$38+Projects!$D$38),Projects!$B$38*INDEX(Curves!$B$4:$AR$4,1,13-Projects!$C$38+1),0)+IF(AND(Projects!$G$39="Yes",Projects!$M$39="Yes",13&gt;=Projects!$C$39,13&lt;Projects!$C$39+Projects!$D$39),Projects!$B$39*INDEX(Curves!$B$4:$AR$4,1,13-Projects!$C$39+1),0)+IF(AND(Projects!$G$40="Yes",Projects!$M$40="Yes",13&gt;=Projects!$C$40,13&lt;Projects!$C$40+Projects!$D$40),Projects!$B$40*INDEX(Curves!$B$4:$AR$4,1,13-Projects!$C$40+1),0)+IF(AND(Projects!$G$41="Yes",Projects!$M$41="Yes",13&gt;=Projects!$C$41,13&lt;Projects!$C$41+Projects!$D$41),Projects!$B$41*INDEX(Curves!$B$4:$AR$4,1,13-Projects!$C$41+1),0)+IF(AND(Projects!$G$42="Yes",Projects!$M$42="Yes",13&gt;=Projects!$C$42,13&lt;Projects!$C$42+Projects!$D$42),Projects!$B$42*INDEX(Curves!$B$4:$AR$4,1,13-Projects!$C$42+1),0)+IF(AND(Projects!$G$43="Yes",Projects!$M$43="Yes",13&gt;=Projects!$C$43,13&lt;Projects!$C$43+Projects!$D$43),Projects!$B$43*INDEX(Curves!$B$4:$AR$4,1,13-Projects!$C$43+1),0)+IF(AND(Projects!$G$44="Yes",Projects!$M$44="Yes",13&gt;=Projects!$C$44,13&lt;Projects!$C$44+Projects!$D$44),Projects!$B$44*INDEX(Curves!$B$4:$AR$4,1,13-Projects!$C$44+1),0)+IF(AND(Projects!$G$45="Yes",Projects!$M$45="Yes",13&gt;=Projects!$C$45,13&lt;Projects!$C$45+Projects!$D$45),Projects!$B$45*INDEX(Curves!$B$4:$AR$4,1,13-Projects!$C$45+1),0)+IF(AND(Projects!$G$46="Yes",Projects!$M$46="Yes",13&gt;=Projects!$C$46,13&lt;Projects!$C$46+Projects!$D$46),Projects!$B$46*INDEX(Curves!$B$4:$AR$4,1,13-Projects!$C$46+1),0)</f>
        <v>0</v>
      </c>
      <c r="S101" s="87" t="n">
        <f aca="false">IF(AND(Projects!$G$17="Yes",Projects!$M$17="Yes",14&gt;=Projects!$C$17,14&lt;Projects!$C$17+Projects!$D$17),Projects!$B$17*INDEX(Curves!$B$4:$AR$4,1,14-Projects!$C$17+1),0)+IF(AND(Projects!$G$18="Yes",Projects!$M$18="Yes",14&gt;=Projects!$C$18,14&lt;Projects!$C$18+Projects!$D$18),Projects!$B$18*INDEX(Curves!$B$4:$AR$4,1,14-Projects!$C$18+1),0)+IF(AND(Projects!$G$19="Yes",Projects!$M$19="Yes",14&gt;=Projects!$C$19,14&lt;Projects!$C$19+Projects!$D$19),Projects!$B$19*INDEX(Curves!$B$4:$AR$4,1,14-Projects!$C$19+1),0)+IF(AND(Projects!$G$20="Yes",Projects!$M$20="Yes",14&gt;=Projects!$C$20,14&lt;Projects!$C$20+Projects!$D$20),Projects!$B$20*INDEX(Curves!$B$4:$AR$4,1,14-Projects!$C$20+1),0)+IF(AND(Projects!$G$21="Yes",Projects!$M$21="Yes",14&gt;=Projects!$C$21,14&lt;Projects!$C$21+Projects!$D$21),Projects!$B$21*INDEX(Curves!$B$4:$AR$4,1,14-Projects!$C$21+1),0)+IF(AND(Projects!$G$22="Yes",Projects!$M$22="Yes",14&gt;=Projects!$C$22,14&lt;Projects!$C$22+Projects!$D$22),Projects!$B$22*INDEX(Curves!$B$4:$AR$4,1,14-Projects!$C$22+1),0)+IF(AND(Projects!$G$23="Yes",Projects!$M$23="Yes",14&gt;=Projects!$C$23,14&lt;Projects!$C$23+Projects!$D$23),Projects!$B$23*INDEX(Curves!$B$4:$AR$4,1,14-Projects!$C$23+1),0)+IF(AND(Projects!$G$24="Yes",Projects!$M$24="Yes",14&gt;=Projects!$C$24,14&lt;Projects!$C$24+Projects!$D$24),Projects!$B$24*INDEX(Curves!$B$4:$AR$4,1,14-Projects!$C$24+1),0)+IF(AND(Projects!$G$25="Yes",Projects!$M$25="Yes",14&gt;=Projects!$C$25,14&lt;Projects!$C$25+Projects!$D$25),Projects!$B$25*INDEX(Curves!$B$4:$AR$4,1,14-Projects!$C$25+1),0)+IF(AND(Projects!$G$26="Yes",Projects!$M$26="Yes",14&gt;=Projects!$C$26,14&lt;Projects!$C$26+Projects!$D$26),Projects!$B$26*INDEX(Curves!$B$4:$AR$4,1,14-Projects!$C$26+1),0)+IF(AND(Projects!$G$27="Yes",Projects!$M$27="Yes",14&gt;=Projects!$C$27,14&lt;Projects!$C$27+Projects!$D$27),Projects!$B$27*INDEX(Curves!$B$4:$AR$4,1,14-Projects!$C$27+1),0)+IF(AND(Projects!$G$28="Yes",Projects!$M$28="Yes",14&gt;=Projects!$C$28,14&lt;Projects!$C$28+Projects!$D$28),Projects!$B$28*INDEX(Curves!$B$4:$AR$4,1,14-Projects!$C$28+1),0)+IF(AND(Projects!$G$29="Yes",Projects!$M$29="Yes",14&gt;=Projects!$C$29,14&lt;Projects!$C$29+Projects!$D$29),Projects!$B$29*INDEX(Curves!$B$4:$AR$4,1,14-Projects!$C$29+1),0)+IF(AND(Projects!$G$30="Yes",Projects!$M$30="Yes",14&gt;=Projects!$C$30,14&lt;Projects!$C$30+Projects!$D$30),Projects!$B$30*INDEX(Curves!$B$4:$AR$4,1,14-Projects!$C$30+1),0)+IF(AND(Projects!$G$31="Yes",Projects!$M$31="Yes",14&gt;=Projects!$C$31,14&lt;Projects!$C$31+Projects!$D$31),Projects!$B$31*INDEX(Curves!$B$4:$AR$4,1,14-Projects!$C$31+1),0)+IF(AND(Projects!$G$32="Yes",Projects!$M$32="Yes",14&gt;=Projects!$C$32,14&lt;Projects!$C$32+Projects!$D$32),Projects!$B$32*INDEX(Curves!$B$4:$AR$4,1,14-Projects!$C$32+1),0)+IF(AND(Projects!$G$33="Yes",Projects!$M$33="Yes",14&gt;=Projects!$C$33,14&lt;Projects!$C$33+Projects!$D$33),Projects!$B$33*INDEX(Curves!$B$4:$AR$4,1,14-Projects!$C$33+1),0)+IF(AND(Projects!$G$34="Yes",Projects!$M$34="Yes",14&gt;=Projects!$C$34,14&lt;Projects!$C$34+Projects!$D$34),Projects!$B$34*INDEX(Curves!$B$4:$AR$4,1,14-Projects!$C$34+1),0)+IF(AND(Projects!$G$35="Yes",Projects!$M$35="Yes",14&gt;=Projects!$C$35,14&lt;Projects!$C$35+Projects!$D$35),Projects!$B$35*INDEX(Curves!$B$4:$AR$4,1,14-Projects!$C$35+1),0)+IF(AND(Projects!$G$36="Yes",Projects!$M$36="Yes",14&gt;=Projects!$C$36,14&lt;Projects!$C$36+Projects!$D$36),Projects!$B$36*INDEX(Curves!$B$4:$AR$4,1,14-Projects!$C$36+1),0)+IF(AND(Projects!$G$37="Yes",Projects!$M$37="Yes",14&gt;=Projects!$C$37,14&lt;Projects!$C$37+Projects!$D$37),Projects!$B$37*INDEX(Curves!$B$4:$AR$4,1,14-Projects!$C$37+1),0)+IF(AND(Projects!$G$38="Yes",Projects!$M$38="Yes",14&gt;=Projects!$C$38,14&lt;Projects!$C$38+Projects!$D$38),Projects!$B$38*INDEX(Curves!$B$4:$AR$4,1,14-Projects!$C$38+1),0)+IF(AND(Projects!$G$39="Yes",Projects!$M$39="Yes",14&gt;=Projects!$C$39,14&lt;Projects!$C$39+Projects!$D$39),Projects!$B$39*INDEX(Curves!$B$4:$AR$4,1,14-Projects!$C$39+1),0)+IF(AND(Projects!$G$40="Yes",Projects!$M$40="Yes",14&gt;=Projects!$C$40,14&lt;Projects!$C$40+Projects!$D$40),Projects!$B$40*INDEX(Curves!$B$4:$AR$4,1,14-Projects!$C$40+1),0)+IF(AND(Projects!$G$41="Yes",Projects!$M$41="Yes",14&gt;=Projects!$C$41,14&lt;Projects!$C$41+Projects!$D$41),Projects!$B$41*INDEX(Curves!$B$4:$AR$4,1,14-Projects!$C$41+1),0)+IF(AND(Projects!$G$42="Yes",Projects!$M$42="Yes",14&gt;=Projects!$C$42,14&lt;Projects!$C$42+Projects!$D$42),Projects!$B$42*INDEX(Curves!$B$4:$AR$4,1,14-Projects!$C$42+1),0)+IF(AND(Projects!$G$43="Yes",Projects!$M$43="Yes",14&gt;=Projects!$C$43,14&lt;Projects!$C$43+Projects!$D$43),Projects!$B$43*INDEX(Curves!$B$4:$AR$4,1,14-Projects!$C$43+1),0)+IF(AND(Projects!$G$44="Yes",Projects!$M$44="Yes",14&gt;=Projects!$C$44,14&lt;Projects!$C$44+Projects!$D$44),Projects!$B$44*INDEX(Curves!$B$4:$AR$4,1,14-Projects!$C$44+1),0)+IF(AND(Projects!$G$45="Yes",Projects!$M$45="Yes",14&gt;=Projects!$C$45,14&lt;Projects!$C$45+Projects!$D$45),Projects!$B$45*INDEX(Curves!$B$4:$AR$4,1,14-Projects!$C$45+1),0)+IF(AND(Projects!$G$46="Yes",Projects!$M$46="Yes",14&gt;=Projects!$C$46,14&lt;Projects!$C$46+Projects!$D$46),Projects!$B$46*INDEX(Curves!$B$4:$AR$4,1,14-Projects!$C$46+1),0)</f>
        <v>0</v>
      </c>
      <c r="T101" s="87" t="n">
        <f aca="false">IF(AND(Projects!$G$17="Yes",Projects!$M$17="Yes",15&gt;=Projects!$C$17,15&lt;Projects!$C$17+Projects!$D$17),Projects!$B$17*INDEX(Curves!$B$4:$AR$4,1,15-Projects!$C$17+1),0)+IF(AND(Projects!$G$18="Yes",Projects!$M$18="Yes",15&gt;=Projects!$C$18,15&lt;Projects!$C$18+Projects!$D$18),Projects!$B$18*INDEX(Curves!$B$4:$AR$4,1,15-Projects!$C$18+1),0)+IF(AND(Projects!$G$19="Yes",Projects!$M$19="Yes",15&gt;=Projects!$C$19,15&lt;Projects!$C$19+Projects!$D$19),Projects!$B$19*INDEX(Curves!$B$4:$AR$4,1,15-Projects!$C$19+1),0)+IF(AND(Projects!$G$20="Yes",Projects!$M$20="Yes",15&gt;=Projects!$C$20,15&lt;Projects!$C$20+Projects!$D$20),Projects!$B$20*INDEX(Curves!$B$4:$AR$4,1,15-Projects!$C$20+1),0)+IF(AND(Projects!$G$21="Yes",Projects!$M$21="Yes",15&gt;=Projects!$C$21,15&lt;Projects!$C$21+Projects!$D$21),Projects!$B$21*INDEX(Curves!$B$4:$AR$4,1,15-Projects!$C$21+1),0)+IF(AND(Projects!$G$22="Yes",Projects!$M$22="Yes",15&gt;=Projects!$C$22,15&lt;Projects!$C$22+Projects!$D$22),Projects!$B$22*INDEX(Curves!$B$4:$AR$4,1,15-Projects!$C$22+1),0)+IF(AND(Projects!$G$23="Yes",Projects!$M$23="Yes",15&gt;=Projects!$C$23,15&lt;Projects!$C$23+Projects!$D$23),Projects!$B$23*INDEX(Curves!$B$4:$AR$4,1,15-Projects!$C$23+1),0)+IF(AND(Projects!$G$24="Yes",Projects!$M$24="Yes",15&gt;=Projects!$C$24,15&lt;Projects!$C$24+Projects!$D$24),Projects!$B$24*INDEX(Curves!$B$4:$AR$4,1,15-Projects!$C$24+1),0)+IF(AND(Projects!$G$25="Yes",Projects!$M$25="Yes",15&gt;=Projects!$C$25,15&lt;Projects!$C$25+Projects!$D$25),Projects!$B$25*INDEX(Curves!$B$4:$AR$4,1,15-Projects!$C$25+1),0)+IF(AND(Projects!$G$26="Yes",Projects!$M$26="Yes",15&gt;=Projects!$C$26,15&lt;Projects!$C$26+Projects!$D$26),Projects!$B$26*INDEX(Curves!$B$4:$AR$4,1,15-Projects!$C$26+1),0)+IF(AND(Projects!$G$27="Yes",Projects!$M$27="Yes",15&gt;=Projects!$C$27,15&lt;Projects!$C$27+Projects!$D$27),Projects!$B$27*INDEX(Curves!$B$4:$AR$4,1,15-Projects!$C$27+1),0)+IF(AND(Projects!$G$28="Yes",Projects!$M$28="Yes",15&gt;=Projects!$C$28,15&lt;Projects!$C$28+Projects!$D$28),Projects!$B$28*INDEX(Curves!$B$4:$AR$4,1,15-Projects!$C$28+1),0)+IF(AND(Projects!$G$29="Yes",Projects!$M$29="Yes",15&gt;=Projects!$C$29,15&lt;Projects!$C$29+Projects!$D$29),Projects!$B$29*INDEX(Curves!$B$4:$AR$4,1,15-Projects!$C$29+1),0)+IF(AND(Projects!$G$30="Yes",Projects!$M$30="Yes",15&gt;=Projects!$C$30,15&lt;Projects!$C$30+Projects!$D$30),Projects!$B$30*INDEX(Curves!$B$4:$AR$4,1,15-Projects!$C$30+1),0)+IF(AND(Projects!$G$31="Yes",Projects!$M$31="Yes",15&gt;=Projects!$C$31,15&lt;Projects!$C$31+Projects!$D$31),Projects!$B$31*INDEX(Curves!$B$4:$AR$4,1,15-Projects!$C$31+1),0)+IF(AND(Projects!$G$32="Yes",Projects!$M$32="Yes",15&gt;=Projects!$C$32,15&lt;Projects!$C$32+Projects!$D$32),Projects!$B$32*INDEX(Curves!$B$4:$AR$4,1,15-Projects!$C$32+1),0)+IF(AND(Projects!$G$33="Yes",Projects!$M$33="Yes",15&gt;=Projects!$C$33,15&lt;Projects!$C$33+Projects!$D$33),Projects!$B$33*INDEX(Curves!$B$4:$AR$4,1,15-Projects!$C$33+1),0)+IF(AND(Projects!$G$34="Yes",Projects!$M$34="Yes",15&gt;=Projects!$C$34,15&lt;Projects!$C$34+Projects!$D$34),Projects!$B$34*INDEX(Curves!$B$4:$AR$4,1,15-Projects!$C$34+1),0)+IF(AND(Projects!$G$35="Yes",Projects!$M$35="Yes",15&gt;=Projects!$C$35,15&lt;Projects!$C$35+Projects!$D$35),Projects!$B$35*INDEX(Curves!$B$4:$AR$4,1,15-Projects!$C$35+1),0)+IF(AND(Projects!$G$36="Yes",Projects!$M$36="Yes",15&gt;=Projects!$C$36,15&lt;Projects!$C$36+Projects!$D$36),Projects!$B$36*INDEX(Curves!$B$4:$AR$4,1,15-Projects!$C$36+1),0)+IF(AND(Projects!$G$37="Yes",Projects!$M$37="Yes",15&gt;=Projects!$C$37,15&lt;Projects!$C$37+Projects!$D$37),Projects!$B$37*INDEX(Curves!$B$4:$AR$4,1,15-Projects!$C$37+1),0)+IF(AND(Projects!$G$38="Yes",Projects!$M$38="Yes",15&gt;=Projects!$C$38,15&lt;Projects!$C$38+Projects!$D$38),Projects!$B$38*INDEX(Curves!$B$4:$AR$4,1,15-Projects!$C$38+1),0)+IF(AND(Projects!$G$39="Yes",Projects!$M$39="Yes",15&gt;=Projects!$C$39,15&lt;Projects!$C$39+Projects!$D$39),Projects!$B$39*INDEX(Curves!$B$4:$AR$4,1,15-Projects!$C$39+1),0)+IF(AND(Projects!$G$40="Yes",Projects!$M$40="Yes",15&gt;=Projects!$C$40,15&lt;Projects!$C$40+Projects!$D$40),Projects!$B$40*INDEX(Curves!$B$4:$AR$4,1,15-Projects!$C$40+1),0)+IF(AND(Projects!$G$41="Yes",Projects!$M$41="Yes",15&gt;=Projects!$C$41,15&lt;Projects!$C$41+Projects!$D$41),Projects!$B$41*INDEX(Curves!$B$4:$AR$4,1,15-Projects!$C$41+1),0)+IF(AND(Projects!$G$42="Yes",Projects!$M$42="Yes",15&gt;=Projects!$C$42,15&lt;Projects!$C$42+Projects!$D$42),Projects!$B$42*INDEX(Curves!$B$4:$AR$4,1,15-Projects!$C$42+1),0)+IF(AND(Projects!$G$43="Yes",Projects!$M$43="Yes",15&gt;=Projects!$C$43,15&lt;Projects!$C$43+Projects!$D$43),Projects!$B$43*INDEX(Curves!$B$4:$AR$4,1,15-Projects!$C$43+1),0)+IF(AND(Projects!$G$44="Yes",Projects!$M$44="Yes",15&gt;=Projects!$C$44,15&lt;Projects!$C$44+Projects!$D$44),Projects!$B$44*INDEX(Curves!$B$4:$AR$4,1,15-Projects!$C$44+1),0)+IF(AND(Projects!$G$45="Yes",Projects!$M$45="Yes",15&gt;=Projects!$C$45,15&lt;Projects!$C$45+Projects!$D$45),Projects!$B$45*INDEX(Curves!$B$4:$AR$4,1,15-Projects!$C$45+1),0)+IF(AND(Projects!$G$46="Yes",Projects!$M$46="Yes",15&gt;=Projects!$C$46,15&lt;Projects!$C$46+Projects!$D$46),Projects!$B$46*INDEX(Curves!$B$4:$AR$4,1,15-Projects!$C$46+1),0)</f>
        <v>0</v>
      </c>
      <c r="U101" s="87" t="n">
        <f aca="false">IF(AND(Projects!$G$17="Yes",Projects!$M$17="Yes",16&gt;=Projects!$C$17,16&lt;Projects!$C$17+Projects!$D$17),Projects!$B$17*INDEX(Curves!$B$4:$AR$4,1,16-Projects!$C$17+1),0)+IF(AND(Projects!$G$18="Yes",Projects!$M$18="Yes",16&gt;=Projects!$C$18,16&lt;Projects!$C$18+Projects!$D$18),Projects!$B$18*INDEX(Curves!$B$4:$AR$4,1,16-Projects!$C$18+1),0)+IF(AND(Projects!$G$19="Yes",Projects!$M$19="Yes",16&gt;=Projects!$C$19,16&lt;Projects!$C$19+Projects!$D$19),Projects!$B$19*INDEX(Curves!$B$4:$AR$4,1,16-Projects!$C$19+1),0)+IF(AND(Projects!$G$20="Yes",Projects!$M$20="Yes",16&gt;=Projects!$C$20,16&lt;Projects!$C$20+Projects!$D$20),Projects!$B$20*INDEX(Curves!$B$4:$AR$4,1,16-Projects!$C$20+1),0)+IF(AND(Projects!$G$21="Yes",Projects!$M$21="Yes",16&gt;=Projects!$C$21,16&lt;Projects!$C$21+Projects!$D$21),Projects!$B$21*INDEX(Curves!$B$4:$AR$4,1,16-Projects!$C$21+1),0)+IF(AND(Projects!$G$22="Yes",Projects!$M$22="Yes",16&gt;=Projects!$C$22,16&lt;Projects!$C$22+Projects!$D$22),Projects!$B$22*INDEX(Curves!$B$4:$AR$4,1,16-Projects!$C$22+1),0)+IF(AND(Projects!$G$23="Yes",Projects!$M$23="Yes",16&gt;=Projects!$C$23,16&lt;Projects!$C$23+Projects!$D$23),Projects!$B$23*INDEX(Curves!$B$4:$AR$4,1,16-Projects!$C$23+1),0)+IF(AND(Projects!$G$24="Yes",Projects!$M$24="Yes",16&gt;=Projects!$C$24,16&lt;Projects!$C$24+Projects!$D$24),Projects!$B$24*INDEX(Curves!$B$4:$AR$4,1,16-Projects!$C$24+1),0)+IF(AND(Projects!$G$25="Yes",Projects!$M$25="Yes",16&gt;=Projects!$C$25,16&lt;Projects!$C$25+Projects!$D$25),Projects!$B$25*INDEX(Curves!$B$4:$AR$4,1,16-Projects!$C$25+1),0)+IF(AND(Projects!$G$26="Yes",Projects!$M$26="Yes",16&gt;=Projects!$C$26,16&lt;Projects!$C$26+Projects!$D$26),Projects!$B$26*INDEX(Curves!$B$4:$AR$4,1,16-Projects!$C$26+1),0)+IF(AND(Projects!$G$27="Yes",Projects!$M$27="Yes",16&gt;=Projects!$C$27,16&lt;Projects!$C$27+Projects!$D$27),Projects!$B$27*INDEX(Curves!$B$4:$AR$4,1,16-Projects!$C$27+1),0)+IF(AND(Projects!$G$28="Yes",Projects!$M$28="Yes",16&gt;=Projects!$C$28,16&lt;Projects!$C$28+Projects!$D$28),Projects!$B$28*INDEX(Curves!$B$4:$AR$4,1,16-Projects!$C$28+1),0)+IF(AND(Projects!$G$29="Yes",Projects!$M$29="Yes",16&gt;=Projects!$C$29,16&lt;Projects!$C$29+Projects!$D$29),Projects!$B$29*INDEX(Curves!$B$4:$AR$4,1,16-Projects!$C$29+1),0)+IF(AND(Projects!$G$30="Yes",Projects!$M$30="Yes",16&gt;=Projects!$C$30,16&lt;Projects!$C$30+Projects!$D$30),Projects!$B$30*INDEX(Curves!$B$4:$AR$4,1,16-Projects!$C$30+1),0)+IF(AND(Projects!$G$31="Yes",Projects!$M$31="Yes",16&gt;=Projects!$C$31,16&lt;Projects!$C$31+Projects!$D$31),Projects!$B$31*INDEX(Curves!$B$4:$AR$4,1,16-Projects!$C$31+1),0)+IF(AND(Projects!$G$32="Yes",Projects!$M$32="Yes",16&gt;=Projects!$C$32,16&lt;Projects!$C$32+Projects!$D$32),Projects!$B$32*INDEX(Curves!$B$4:$AR$4,1,16-Projects!$C$32+1),0)+IF(AND(Projects!$G$33="Yes",Projects!$M$33="Yes",16&gt;=Projects!$C$33,16&lt;Projects!$C$33+Projects!$D$33),Projects!$B$33*INDEX(Curves!$B$4:$AR$4,1,16-Projects!$C$33+1),0)+IF(AND(Projects!$G$34="Yes",Projects!$M$34="Yes",16&gt;=Projects!$C$34,16&lt;Projects!$C$34+Projects!$D$34),Projects!$B$34*INDEX(Curves!$B$4:$AR$4,1,16-Projects!$C$34+1),0)+IF(AND(Projects!$G$35="Yes",Projects!$M$35="Yes",16&gt;=Projects!$C$35,16&lt;Projects!$C$35+Projects!$D$35),Projects!$B$35*INDEX(Curves!$B$4:$AR$4,1,16-Projects!$C$35+1),0)+IF(AND(Projects!$G$36="Yes",Projects!$M$36="Yes",16&gt;=Projects!$C$36,16&lt;Projects!$C$36+Projects!$D$36),Projects!$B$36*INDEX(Curves!$B$4:$AR$4,1,16-Projects!$C$36+1),0)+IF(AND(Projects!$G$37="Yes",Projects!$M$37="Yes",16&gt;=Projects!$C$37,16&lt;Projects!$C$37+Projects!$D$37),Projects!$B$37*INDEX(Curves!$B$4:$AR$4,1,16-Projects!$C$37+1),0)+IF(AND(Projects!$G$38="Yes",Projects!$M$38="Yes",16&gt;=Projects!$C$38,16&lt;Projects!$C$38+Projects!$D$38),Projects!$B$38*INDEX(Curves!$B$4:$AR$4,1,16-Projects!$C$38+1),0)+IF(AND(Projects!$G$39="Yes",Projects!$M$39="Yes",16&gt;=Projects!$C$39,16&lt;Projects!$C$39+Projects!$D$39),Projects!$B$39*INDEX(Curves!$B$4:$AR$4,1,16-Projects!$C$39+1),0)+IF(AND(Projects!$G$40="Yes",Projects!$M$40="Yes",16&gt;=Projects!$C$40,16&lt;Projects!$C$40+Projects!$D$40),Projects!$B$40*INDEX(Curves!$B$4:$AR$4,1,16-Projects!$C$40+1),0)+IF(AND(Projects!$G$41="Yes",Projects!$M$41="Yes",16&gt;=Projects!$C$41,16&lt;Projects!$C$41+Projects!$D$41),Projects!$B$41*INDEX(Curves!$B$4:$AR$4,1,16-Projects!$C$41+1),0)+IF(AND(Projects!$G$42="Yes",Projects!$M$42="Yes",16&gt;=Projects!$C$42,16&lt;Projects!$C$42+Projects!$D$42),Projects!$B$42*INDEX(Curves!$B$4:$AR$4,1,16-Projects!$C$42+1),0)+IF(AND(Projects!$G$43="Yes",Projects!$M$43="Yes",16&gt;=Projects!$C$43,16&lt;Projects!$C$43+Projects!$D$43),Projects!$B$43*INDEX(Curves!$B$4:$AR$4,1,16-Projects!$C$43+1),0)+IF(AND(Projects!$G$44="Yes",Projects!$M$44="Yes",16&gt;=Projects!$C$44,16&lt;Projects!$C$44+Projects!$D$44),Projects!$B$44*INDEX(Curves!$B$4:$AR$4,1,16-Projects!$C$44+1),0)+IF(AND(Projects!$G$45="Yes",Projects!$M$45="Yes",16&gt;=Projects!$C$45,16&lt;Projects!$C$45+Projects!$D$45),Projects!$B$45*INDEX(Curves!$B$4:$AR$4,1,16-Projects!$C$45+1),0)+IF(AND(Projects!$G$46="Yes",Projects!$M$46="Yes",16&gt;=Projects!$C$46,16&lt;Projects!$C$46+Projects!$D$46),Projects!$B$46*INDEX(Curves!$B$4:$AR$4,1,16-Projects!$C$46+1),0)</f>
        <v>0</v>
      </c>
      <c r="V101" s="87" t="n">
        <f aca="false">IF(AND(Projects!$G$17="Yes",Projects!$M$17="Yes",17&gt;=Projects!$C$17,17&lt;Projects!$C$17+Projects!$D$17),Projects!$B$17*INDEX(Curves!$B$4:$AR$4,1,17-Projects!$C$17+1),0)+IF(AND(Projects!$G$18="Yes",Projects!$M$18="Yes",17&gt;=Projects!$C$18,17&lt;Projects!$C$18+Projects!$D$18),Projects!$B$18*INDEX(Curves!$B$4:$AR$4,1,17-Projects!$C$18+1),0)+IF(AND(Projects!$G$19="Yes",Projects!$M$19="Yes",17&gt;=Projects!$C$19,17&lt;Projects!$C$19+Projects!$D$19),Projects!$B$19*INDEX(Curves!$B$4:$AR$4,1,17-Projects!$C$19+1),0)+IF(AND(Projects!$G$20="Yes",Projects!$M$20="Yes",17&gt;=Projects!$C$20,17&lt;Projects!$C$20+Projects!$D$20),Projects!$B$20*INDEX(Curves!$B$4:$AR$4,1,17-Projects!$C$20+1),0)+IF(AND(Projects!$G$21="Yes",Projects!$M$21="Yes",17&gt;=Projects!$C$21,17&lt;Projects!$C$21+Projects!$D$21),Projects!$B$21*INDEX(Curves!$B$4:$AR$4,1,17-Projects!$C$21+1),0)+IF(AND(Projects!$G$22="Yes",Projects!$M$22="Yes",17&gt;=Projects!$C$22,17&lt;Projects!$C$22+Projects!$D$22),Projects!$B$22*INDEX(Curves!$B$4:$AR$4,1,17-Projects!$C$22+1),0)+IF(AND(Projects!$G$23="Yes",Projects!$M$23="Yes",17&gt;=Projects!$C$23,17&lt;Projects!$C$23+Projects!$D$23),Projects!$B$23*INDEX(Curves!$B$4:$AR$4,1,17-Projects!$C$23+1),0)+IF(AND(Projects!$G$24="Yes",Projects!$M$24="Yes",17&gt;=Projects!$C$24,17&lt;Projects!$C$24+Projects!$D$24),Projects!$B$24*INDEX(Curves!$B$4:$AR$4,1,17-Projects!$C$24+1),0)+IF(AND(Projects!$G$25="Yes",Projects!$M$25="Yes",17&gt;=Projects!$C$25,17&lt;Projects!$C$25+Projects!$D$25),Projects!$B$25*INDEX(Curves!$B$4:$AR$4,1,17-Projects!$C$25+1),0)+IF(AND(Projects!$G$26="Yes",Projects!$M$26="Yes",17&gt;=Projects!$C$26,17&lt;Projects!$C$26+Projects!$D$26),Projects!$B$26*INDEX(Curves!$B$4:$AR$4,1,17-Projects!$C$26+1),0)+IF(AND(Projects!$G$27="Yes",Projects!$M$27="Yes",17&gt;=Projects!$C$27,17&lt;Projects!$C$27+Projects!$D$27),Projects!$B$27*INDEX(Curves!$B$4:$AR$4,1,17-Projects!$C$27+1),0)+IF(AND(Projects!$G$28="Yes",Projects!$M$28="Yes",17&gt;=Projects!$C$28,17&lt;Projects!$C$28+Projects!$D$28),Projects!$B$28*INDEX(Curves!$B$4:$AR$4,1,17-Projects!$C$28+1),0)+IF(AND(Projects!$G$29="Yes",Projects!$M$29="Yes",17&gt;=Projects!$C$29,17&lt;Projects!$C$29+Projects!$D$29),Projects!$B$29*INDEX(Curves!$B$4:$AR$4,1,17-Projects!$C$29+1),0)+IF(AND(Projects!$G$30="Yes",Projects!$M$30="Yes",17&gt;=Projects!$C$30,17&lt;Projects!$C$30+Projects!$D$30),Projects!$B$30*INDEX(Curves!$B$4:$AR$4,1,17-Projects!$C$30+1),0)+IF(AND(Projects!$G$31="Yes",Projects!$M$31="Yes",17&gt;=Projects!$C$31,17&lt;Projects!$C$31+Projects!$D$31),Projects!$B$31*INDEX(Curves!$B$4:$AR$4,1,17-Projects!$C$31+1),0)+IF(AND(Projects!$G$32="Yes",Projects!$M$32="Yes",17&gt;=Projects!$C$32,17&lt;Projects!$C$32+Projects!$D$32),Projects!$B$32*INDEX(Curves!$B$4:$AR$4,1,17-Projects!$C$32+1),0)+IF(AND(Projects!$G$33="Yes",Projects!$M$33="Yes",17&gt;=Projects!$C$33,17&lt;Projects!$C$33+Projects!$D$33),Projects!$B$33*INDEX(Curves!$B$4:$AR$4,1,17-Projects!$C$33+1),0)+IF(AND(Projects!$G$34="Yes",Projects!$M$34="Yes",17&gt;=Projects!$C$34,17&lt;Projects!$C$34+Projects!$D$34),Projects!$B$34*INDEX(Curves!$B$4:$AR$4,1,17-Projects!$C$34+1),0)+IF(AND(Projects!$G$35="Yes",Projects!$M$35="Yes",17&gt;=Projects!$C$35,17&lt;Projects!$C$35+Projects!$D$35),Projects!$B$35*INDEX(Curves!$B$4:$AR$4,1,17-Projects!$C$35+1),0)+IF(AND(Projects!$G$36="Yes",Projects!$M$36="Yes",17&gt;=Projects!$C$36,17&lt;Projects!$C$36+Projects!$D$36),Projects!$B$36*INDEX(Curves!$B$4:$AR$4,1,17-Projects!$C$36+1),0)+IF(AND(Projects!$G$37="Yes",Projects!$M$37="Yes",17&gt;=Projects!$C$37,17&lt;Projects!$C$37+Projects!$D$37),Projects!$B$37*INDEX(Curves!$B$4:$AR$4,1,17-Projects!$C$37+1),0)+IF(AND(Projects!$G$38="Yes",Projects!$M$38="Yes",17&gt;=Projects!$C$38,17&lt;Projects!$C$38+Projects!$D$38),Projects!$B$38*INDEX(Curves!$B$4:$AR$4,1,17-Projects!$C$38+1),0)+IF(AND(Projects!$G$39="Yes",Projects!$M$39="Yes",17&gt;=Projects!$C$39,17&lt;Projects!$C$39+Projects!$D$39),Projects!$B$39*INDEX(Curves!$B$4:$AR$4,1,17-Projects!$C$39+1),0)+IF(AND(Projects!$G$40="Yes",Projects!$M$40="Yes",17&gt;=Projects!$C$40,17&lt;Projects!$C$40+Projects!$D$40),Projects!$B$40*INDEX(Curves!$B$4:$AR$4,1,17-Projects!$C$40+1),0)+IF(AND(Projects!$G$41="Yes",Projects!$M$41="Yes",17&gt;=Projects!$C$41,17&lt;Projects!$C$41+Projects!$D$41),Projects!$B$41*INDEX(Curves!$B$4:$AR$4,1,17-Projects!$C$41+1),0)+IF(AND(Projects!$G$42="Yes",Projects!$M$42="Yes",17&gt;=Projects!$C$42,17&lt;Projects!$C$42+Projects!$D$42),Projects!$B$42*INDEX(Curves!$B$4:$AR$4,1,17-Projects!$C$42+1),0)+IF(AND(Projects!$G$43="Yes",Projects!$M$43="Yes",17&gt;=Projects!$C$43,17&lt;Projects!$C$43+Projects!$D$43),Projects!$B$43*INDEX(Curves!$B$4:$AR$4,1,17-Projects!$C$43+1),0)+IF(AND(Projects!$G$44="Yes",Projects!$M$44="Yes",17&gt;=Projects!$C$44,17&lt;Projects!$C$44+Projects!$D$44),Projects!$B$44*INDEX(Curves!$B$4:$AR$4,1,17-Projects!$C$44+1),0)+IF(AND(Projects!$G$45="Yes",Projects!$M$45="Yes",17&gt;=Projects!$C$45,17&lt;Projects!$C$45+Projects!$D$45),Projects!$B$45*INDEX(Curves!$B$4:$AR$4,1,17-Projects!$C$45+1),0)+IF(AND(Projects!$G$46="Yes",Projects!$M$46="Yes",17&gt;=Projects!$C$46,17&lt;Projects!$C$46+Projects!$D$46),Projects!$B$46*INDEX(Curves!$B$4:$AR$4,1,17-Projects!$C$46+1),0)</f>
        <v>0</v>
      </c>
      <c r="W101" s="87" t="n">
        <f aca="false">IF(AND(Projects!$G$17="Yes",Projects!$M$17="Yes",18&gt;=Projects!$C$17,18&lt;Projects!$C$17+Projects!$D$17),Projects!$B$17*INDEX(Curves!$B$4:$AR$4,1,18-Projects!$C$17+1),0)+IF(AND(Projects!$G$18="Yes",Projects!$M$18="Yes",18&gt;=Projects!$C$18,18&lt;Projects!$C$18+Projects!$D$18),Projects!$B$18*INDEX(Curves!$B$4:$AR$4,1,18-Projects!$C$18+1),0)+IF(AND(Projects!$G$19="Yes",Projects!$M$19="Yes",18&gt;=Projects!$C$19,18&lt;Projects!$C$19+Projects!$D$19),Projects!$B$19*INDEX(Curves!$B$4:$AR$4,1,18-Projects!$C$19+1),0)+IF(AND(Projects!$G$20="Yes",Projects!$M$20="Yes",18&gt;=Projects!$C$20,18&lt;Projects!$C$20+Projects!$D$20),Projects!$B$20*INDEX(Curves!$B$4:$AR$4,1,18-Projects!$C$20+1),0)+IF(AND(Projects!$G$21="Yes",Projects!$M$21="Yes",18&gt;=Projects!$C$21,18&lt;Projects!$C$21+Projects!$D$21),Projects!$B$21*INDEX(Curves!$B$4:$AR$4,1,18-Projects!$C$21+1),0)+IF(AND(Projects!$G$22="Yes",Projects!$M$22="Yes",18&gt;=Projects!$C$22,18&lt;Projects!$C$22+Projects!$D$22),Projects!$B$22*INDEX(Curves!$B$4:$AR$4,1,18-Projects!$C$22+1),0)+IF(AND(Projects!$G$23="Yes",Projects!$M$23="Yes",18&gt;=Projects!$C$23,18&lt;Projects!$C$23+Projects!$D$23),Projects!$B$23*INDEX(Curves!$B$4:$AR$4,1,18-Projects!$C$23+1),0)+IF(AND(Projects!$G$24="Yes",Projects!$M$24="Yes",18&gt;=Projects!$C$24,18&lt;Projects!$C$24+Projects!$D$24),Projects!$B$24*INDEX(Curves!$B$4:$AR$4,1,18-Projects!$C$24+1),0)+IF(AND(Projects!$G$25="Yes",Projects!$M$25="Yes",18&gt;=Projects!$C$25,18&lt;Projects!$C$25+Projects!$D$25),Projects!$B$25*INDEX(Curves!$B$4:$AR$4,1,18-Projects!$C$25+1),0)+IF(AND(Projects!$G$26="Yes",Projects!$M$26="Yes",18&gt;=Projects!$C$26,18&lt;Projects!$C$26+Projects!$D$26),Projects!$B$26*INDEX(Curves!$B$4:$AR$4,1,18-Projects!$C$26+1),0)+IF(AND(Projects!$G$27="Yes",Projects!$M$27="Yes",18&gt;=Projects!$C$27,18&lt;Projects!$C$27+Projects!$D$27),Projects!$B$27*INDEX(Curves!$B$4:$AR$4,1,18-Projects!$C$27+1),0)+IF(AND(Projects!$G$28="Yes",Projects!$M$28="Yes",18&gt;=Projects!$C$28,18&lt;Projects!$C$28+Projects!$D$28),Projects!$B$28*INDEX(Curves!$B$4:$AR$4,1,18-Projects!$C$28+1),0)+IF(AND(Projects!$G$29="Yes",Projects!$M$29="Yes",18&gt;=Projects!$C$29,18&lt;Projects!$C$29+Projects!$D$29),Projects!$B$29*INDEX(Curves!$B$4:$AR$4,1,18-Projects!$C$29+1),0)+IF(AND(Projects!$G$30="Yes",Projects!$M$30="Yes",18&gt;=Projects!$C$30,18&lt;Projects!$C$30+Projects!$D$30),Projects!$B$30*INDEX(Curves!$B$4:$AR$4,1,18-Projects!$C$30+1),0)+IF(AND(Projects!$G$31="Yes",Projects!$M$31="Yes",18&gt;=Projects!$C$31,18&lt;Projects!$C$31+Projects!$D$31),Projects!$B$31*INDEX(Curves!$B$4:$AR$4,1,18-Projects!$C$31+1),0)+IF(AND(Projects!$G$32="Yes",Projects!$M$32="Yes",18&gt;=Projects!$C$32,18&lt;Projects!$C$32+Projects!$D$32),Projects!$B$32*INDEX(Curves!$B$4:$AR$4,1,18-Projects!$C$32+1),0)+IF(AND(Projects!$G$33="Yes",Projects!$M$33="Yes",18&gt;=Projects!$C$33,18&lt;Projects!$C$33+Projects!$D$33),Projects!$B$33*INDEX(Curves!$B$4:$AR$4,1,18-Projects!$C$33+1),0)+IF(AND(Projects!$G$34="Yes",Projects!$M$34="Yes",18&gt;=Projects!$C$34,18&lt;Projects!$C$34+Projects!$D$34),Projects!$B$34*INDEX(Curves!$B$4:$AR$4,1,18-Projects!$C$34+1),0)+IF(AND(Projects!$G$35="Yes",Projects!$M$35="Yes",18&gt;=Projects!$C$35,18&lt;Projects!$C$35+Projects!$D$35),Projects!$B$35*INDEX(Curves!$B$4:$AR$4,1,18-Projects!$C$35+1),0)+IF(AND(Projects!$G$36="Yes",Projects!$M$36="Yes",18&gt;=Projects!$C$36,18&lt;Projects!$C$36+Projects!$D$36),Projects!$B$36*INDEX(Curves!$B$4:$AR$4,1,18-Projects!$C$36+1),0)+IF(AND(Projects!$G$37="Yes",Projects!$M$37="Yes",18&gt;=Projects!$C$37,18&lt;Projects!$C$37+Projects!$D$37),Projects!$B$37*INDEX(Curves!$B$4:$AR$4,1,18-Projects!$C$37+1),0)+IF(AND(Projects!$G$38="Yes",Projects!$M$38="Yes",18&gt;=Projects!$C$38,18&lt;Projects!$C$38+Projects!$D$38),Projects!$B$38*INDEX(Curves!$B$4:$AR$4,1,18-Projects!$C$38+1),0)+IF(AND(Projects!$G$39="Yes",Projects!$M$39="Yes",18&gt;=Projects!$C$39,18&lt;Projects!$C$39+Projects!$D$39),Projects!$B$39*INDEX(Curves!$B$4:$AR$4,1,18-Projects!$C$39+1),0)+IF(AND(Projects!$G$40="Yes",Projects!$M$40="Yes",18&gt;=Projects!$C$40,18&lt;Projects!$C$40+Projects!$D$40),Projects!$B$40*INDEX(Curves!$B$4:$AR$4,1,18-Projects!$C$40+1),0)+IF(AND(Projects!$G$41="Yes",Projects!$M$41="Yes",18&gt;=Projects!$C$41,18&lt;Projects!$C$41+Projects!$D$41),Projects!$B$41*INDEX(Curves!$B$4:$AR$4,1,18-Projects!$C$41+1),0)+IF(AND(Projects!$G$42="Yes",Projects!$M$42="Yes",18&gt;=Projects!$C$42,18&lt;Projects!$C$42+Projects!$D$42),Projects!$B$42*INDEX(Curves!$B$4:$AR$4,1,18-Projects!$C$42+1),0)+IF(AND(Projects!$G$43="Yes",Projects!$M$43="Yes",18&gt;=Projects!$C$43,18&lt;Projects!$C$43+Projects!$D$43),Projects!$B$43*INDEX(Curves!$B$4:$AR$4,1,18-Projects!$C$43+1),0)+IF(AND(Projects!$G$44="Yes",Projects!$M$44="Yes",18&gt;=Projects!$C$44,18&lt;Projects!$C$44+Projects!$D$44),Projects!$B$44*INDEX(Curves!$B$4:$AR$4,1,18-Projects!$C$44+1),0)+IF(AND(Projects!$G$45="Yes",Projects!$M$45="Yes",18&gt;=Projects!$C$45,18&lt;Projects!$C$45+Projects!$D$45),Projects!$B$45*INDEX(Curves!$B$4:$AR$4,1,18-Projects!$C$45+1),0)+IF(AND(Projects!$G$46="Yes",Projects!$M$46="Yes",18&gt;=Projects!$C$46,18&lt;Projects!$C$46+Projects!$D$46),Projects!$B$46*INDEX(Curves!$B$4:$AR$4,1,18-Projects!$C$46+1),0)</f>
        <v>0</v>
      </c>
      <c r="X101" s="87" t="n">
        <f aca="false">IF(AND(Projects!$G$17="Yes",Projects!$M$17="Yes",19&gt;=Projects!$C$17,19&lt;Projects!$C$17+Projects!$D$17),Projects!$B$17*INDEX(Curves!$B$4:$AR$4,1,19-Projects!$C$17+1),0)+IF(AND(Projects!$G$18="Yes",Projects!$M$18="Yes",19&gt;=Projects!$C$18,19&lt;Projects!$C$18+Projects!$D$18),Projects!$B$18*INDEX(Curves!$B$4:$AR$4,1,19-Projects!$C$18+1),0)+IF(AND(Projects!$G$19="Yes",Projects!$M$19="Yes",19&gt;=Projects!$C$19,19&lt;Projects!$C$19+Projects!$D$19),Projects!$B$19*INDEX(Curves!$B$4:$AR$4,1,19-Projects!$C$19+1),0)+IF(AND(Projects!$G$20="Yes",Projects!$M$20="Yes",19&gt;=Projects!$C$20,19&lt;Projects!$C$20+Projects!$D$20),Projects!$B$20*INDEX(Curves!$B$4:$AR$4,1,19-Projects!$C$20+1),0)+IF(AND(Projects!$G$21="Yes",Projects!$M$21="Yes",19&gt;=Projects!$C$21,19&lt;Projects!$C$21+Projects!$D$21),Projects!$B$21*INDEX(Curves!$B$4:$AR$4,1,19-Projects!$C$21+1),0)+IF(AND(Projects!$G$22="Yes",Projects!$M$22="Yes",19&gt;=Projects!$C$22,19&lt;Projects!$C$22+Projects!$D$22),Projects!$B$22*INDEX(Curves!$B$4:$AR$4,1,19-Projects!$C$22+1),0)+IF(AND(Projects!$G$23="Yes",Projects!$M$23="Yes",19&gt;=Projects!$C$23,19&lt;Projects!$C$23+Projects!$D$23),Projects!$B$23*INDEX(Curves!$B$4:$AR$4,1,19-Projects!$C$23+1),0)+IF(AND(Projects!$G$24="Yes",Projects!$M$24="Yes",19&gt;=Projects!$C$24,19&lt;Projects!$C$24+Projects!$D$24),Projects!$B$24*INDEX(Curves!$B$4:$AR$4,1,19-Projects!$C$24+1),0)+IF(AND(Projects!$G$25="Yes",Projects!$M$25="Yes",19&gt;=Projects!$C$25,19&lt;Projects!$C$25+Projects!$D$25),Projects!$B$25*INDEX(Curves!$B$4:$AR$4,1,19-Projects!$C$25+1),0)+IF(AND(Projects!$G$26="Yes",Projects!$M$26="Yes",19&gt;=Projects!$C$26,19&lt;Projects!$C$26+Projects!$D$26),Projects!$B$26*INDEX(Curves!$B$4:$AR$4,1,19-Projects!$C$26+1),0)+IF(AND(Projects!$G$27="Yes",Projects!$M$27="Yes",19&gt;=Projects!$C$27,19&lt;Projects!$C$27+Projects!$D$27),Projects!$B$27*INDEX(Curves!$B$4:$AR$4,1,19-Projects!$C$27+1),0)+IF(AND(Projects!$G$28="Yes",Projects!$M$28="Yes",19&gt;=Projects!$C$28,19&lt;Projects!$C$28+Projects!$D$28),Projects!$B$28*INDEX(Curves!$B$4:$AR$4,1,19-Projects!$C$28+1),0)+IF(AND(Projects!$G$29="Yes",Projects!$M$29="Yes",19&gt;=Projects!$C$29,19&lt;Projects!$C$29+Projects!$D$29),Projects!$B$29*INDEX(Curves!$B$4:$AR$4,1,19-Projects!$C$29+1),0)+IF(AND(Projects!$G$30="Yes",Projects!$M$30="Yes",19&gt;=Projects!$C$30,19&lt;Projects!$C$30+Projects!$D$30),Projects!$B$30*INDEX(Curves!$B$4:$AR$4,1,19-Projects!$C$30+1),0)+IF(AND(Projects!$G$31="Yes",Projects!$M$31="Yes",19&gt;=Projects!$C$31,19&lt;Projects!$C$31+Projects!$D$31),Projects!$B$31*INDEX(Curves!$B$4:$AR$4,1,19-Projects!$C$31+1),0)+IF(AND(Projects!$G$32="Yes",Projects!$M$32="Yes",19&gt;=Projects!$C$32,19&lt;Projects!$C$32+Projects!$D$32),Projects!$B$32*INDEX(Curves!$B$4:$AR$4,1,19-Projects!$C$32+1),0)+IF(AND(Projects!$G$33="Yes",Projects!$M$33="Yes",19&gt;=Projects!$C$33,19&lt;Projects!$C$33+Projects!$D$33),Projects!$B$33*INDEX(Curves!$B$4:$AR$4,1,19-Projects!$C$33+1),0)+IF(AND(Projects!$G$34="Yes",Projects!$M$34="Yes",19&gt;=Projects!$C$34,19&lt;Projects!$C$34+Projects!$D$34),Projects!$B$34*INDEX(Curves!$B$4:$AR$4,1,19-Projects!$C$34+1),0)+IF(AND(Projects!$G$35="Yes",Projects!$M$35="Yes",19&gt;=Projects!$C$35,19&lt;Projects!$C$35+Projects!$D$35),Projects!$B$35*INDEX(Curves!$B$4:$AR$4,1,19-Projects!$C$35+1),0)+IF(AND(Projects!$G$36="Yes",Projects!$M$36="Yes",19&gt;=Projects!$C$36,19&lt;Projects!$C$36+Projects!$D$36),Projects!$B$36*INDEX(Curves!$B$4:$AR$4,1,19-Projects!$C$36+1),0)+IF(AND(Projects!$G$37="Yes",Projects!$M$37="Yes",19&gt;=Projects!$C$37,19&lt;Projects!$C$37+Projects!$D$37),Projects!$B$37*INDEX(Curves!$B$4:$AR$4,1,19-Projects!$C$37+1),0)+IF(AND(Projects!$G$38="Yes",Projects!$M$38="Yes",19&gt;=Projects!$C$38,19&lt;Projects!$C$38+Projects!$D$38),Projects!$B$38*INDEX(Curves!$B$4:$AR$4,1,19-Projects!$C$38+1),0)+IF(AND(Projects!$G$39="Yes",Projects!$M$39="Yes",19&gt;=Projects!$C$39,19&lt;Projects!$C$39+Projects!$D$39),Projects!$B$39*INDEX(Curves!$B$4:$AR$4,1,19-Projects!$C$39+1),0)+IF(AND(Projects!$G$40="Yes",Projects!$M$40="Yes",19&gt;=Projects!$C$40,19&lt;Projects!$C$40+Projects!$D$40),Projects!$B$40*INDEX(Curves!$B$4:$AR$4,1,19-Projects!$C$40+1),0)+IF(AND(Projects!$G$41="Yes",Projects!$M$41="Yes",19&gt;=Projects!$C$41,19&lt;Projects!$C$41+Projects!$D$41),Projects!$B$41*INDEX(Curves!$B$4:$AR$4,1,19-Projects!$C$41+1),0)+IF(AND(Projects!$G$42="Yes",Projects!$M$42="Yes",19&gt;=Projects!$C$42,19&lt;Projects!$C$42+Projects!$D$42),Projects!$B$42*INDEX(Curves!$B$4:$AR$4,1,19-Projects!$C$42+1),0)+IF(AND(Projects!$G$43="Yes",Projects!$M$43="Yes",19&gt;=Projects!$C$43,19&lt;Projects!$C$43+Projects!$D$43),Projects!$B$43*INDEX(Curves!$B$4:$AR$4,1,19-Projects!$C$43+1),0)+IF(AND(Projects!$G$44="Yes",Projects!$M$44="Yes",19&gt;=Projects!$C$44,19&lt;Projects!$C$44+Projects!$D$44),Projects!$B$44*INDEX(Curves!$B$4:$AR$4,1,19-Projects!$C$44+1),0)+IF(AND(Projects!$G$45="Yes",Projects!$M$45="Yes",19&gt;=Projects!$C$45,19&lt;Projects!$C$45+Projects!$D$45),Projects!$B$45*INDEX(Curves!$B$4:$AR$4,1,19-Projects!$C$45+1),0)+IF(AND(Projects!$G$46="Yes",Projects!$M$46="Yes",19&gt;=Projects!$C$46,19&lt;Projects!$C$46+Projects!$D$46),Projects!$B$46*INDEX(Curves!$B$4:$AR$4,1,19-Projects!$C$46+1),0)</f>
        <v>0</v>
      </c>
      <c r="Y101" s="87" t="n">
        <f aca="false">IF(AND(Projects!$G$17="Yes",Projects!$M$17="Yes",20&gt;=Projects!$C$17,20&lt;Projects!$C$17+Projects!$D$17),Projects!$B$17*INDEX(Curves!$B$4:$AR$4,1,20-Projects!$C$17+1),0)+IF(AND(Projects!$G$18="Yes",Projects!$M$18="Yes",20&gt;=Projects!$C$18,20&lt;Projects!$C$18+Projects!$D$18),Projects!$B$18*INDEX(Curves!$B$4:$AR$4,1,20-Projects!$C$18+1),0)+IF(AND(Projects!$G$19="Yes",Projects!$M$19="Yes",20&gt;=Projects!$C$19,20&lt;Projects!$C$19+Projects!$D$19),Projects!$B$19*INDEX(Curves!$B$4:$AR$4,1,20-Projects!$C$19+1),0)+IF(AND(Projects!$G$20="Yes",Projects!$M$20="Yes",20&gt;=Projects!$C$20,20&lt;Projects!$C$20+Projects!$D$20),Projects!$B$20*INDEX(Curves!$B$4:$AR$4,1,20-Projects!$C$20+1),0)+IF(AND(Projects!$G$21="Yes",Projects!$M$21="Yes",20&gt;=Projects!$C$21,20&lt;Projects!$C$21+Projects!$D$21),Projects!$B$21*INDEX(Curves!$B$4:$AR$4,1,20-Projects!$C$21+1),0)+IF(AND(Projects!$G$22="Yes",Projects!$M$22="Yes",20&gt;=Projects!$C$22,20&lt;Projects!$C$22+Projects!$D$22),Projects!$B$22*INDEX(Curves!$B$4:$AR$4,1,20-Projects!$C$22+1),0)+IF(AND(Projects!$G$23="Yes",Projects!$M$23="Yes",20&gt;=Projects!$C$23,20&lt;Projects!$C$23+Projects!$D$23),Projects!$B$23*INDEX(Curves!$B$4:$AR$4,1,20-Projects!$C$23+1),0)+IF(AND(Projects!$G$24="Yes",Projects!$M$24="Yes",20&gt;=Projects!$C$24,20&lt;Projects!$C$24+Projects!$D$24),Projects!$B$24*INDEX(Curves!$B$4:$AR$4,1,20-Projects!$C$24+1),0)+IF(AND(Projects!$G$25="Yes",Projects!$M$25="Yes",20&gt;=Projects!$C$25,20&lt;Projects!$C$25+Projects!$D$25),Projects!$B$25*INDEX(Curves!$B$4:$AR$4,1,20-Projects!$C$25+1),0)+IF(AND(Projects!$G$26="Yes",Projects!$M$26="Yes",20&gt;=Projects!$C$26,20&lt;Projects!$C$26+Projects!$D$26),Projects!$B$26*INDEX(Curves!$B$4:$AR$4,1,20-Projects!$C$26+1),0)+IF(AND(Projects!$G$27="Yes",Projects!$M$27="Yes",20&gt;=Projects!$C$27,20&lt;Projects!$C$27+Projects!$D$27),Projects!$B$27*INDEX(Curves!$B$4:$AR$4,1,20-Projects!$C$27+1),0)+IF(AND(Projects!$G$28="Yes",Projects!$M$28="Yes",20&gt;=Projects!$C$28,20&lt;Projects!$C$28+Projects!$D$28),Projects!$B$28*INDEX(Curves!$B$4:$AR$4,1,20-Projects!$C$28+1),0)+IF(AND(Projects!$G$29="Yes",Projects!$M$29="Yes",20&gt;=Projects!$C$29,20&lt;Projects!$C$29+Projects!$D$29),Projects!$B$29*INDEX(Curves!$B$4:$AR$4,1,20-Projects!$C$29+1),0)+IF(AND(Projects!$G$30="Yes",Projects!$M$30="Yes",20&gt;=Projects!$C$30,20&lt;Projects!$C$30+Projects!$D$30),Projects!$B$30*INDEX(Curves!$B$4:$AR$4,1,20-Projects!$C$30+1),0)+IF(AND(Projects!$G$31="Yes",Projects!$M$31="Yes",20&gt;=Projects!$C$31,20&lt;Projects!$C$31+Projects!$D$31),Projects!$B$31*INDEX(Curves!$B$4:$AR$4,1,20-Projects!$C$31+1),0)+IF(AND(Projects!$G$32="Yes",Projects!$M$32="Yes",20&gt;=Projects!$C$32,20&lt;Projects!$C$32+Projects!$D$32),Projects!$B$32*INDEX(Curves!$B$4:$AR$4,1,20-Projects!$C$32+1),0)+IF(AND(Projects!$G$33="Yes",Projects!$M$33="Yes",20&gt;=Projects!$C$33,20&lt;Projects!$C$33+Projects!$D$33),Projects!$B$33*INDEX(Curves!$B$4:$AR$4,1,20-Projects!$C$33+1),0)+IF(AND(Projects!$G$34="Yes",Projects!$M$34="Yes",20&gt;=Projects!$C$34,20&lt;Projects!$C$34+Projects!$D$34),Projects!$B$34*INDEX(Curves!$B$4:$AR$4,1,20-Projects!$C$34+1),0)+IF(AND(Projects!$G$35="Yes",Projects!$M$35="Yes",20&gt;=Projects!$C$35,20&lt;Projects!$C$35+Projects!$D$35),Projects!$B$35*INDEX(Curves!$B$4:$AR$4,1,20-Projects!$C$35+1),0)+IF(AND(Projects!$G$36="Yes",Projects!$M$36="Yes",20&gt;=Projects!$C$36,20&lt;Projects!$C$36+Projects!$D$36),Projects!$B$36*INDEX(Curves!$B$4:$AR$4,1,20-Projects!$C$36+1),0)+IF(AND(Projects!$G$37="Yes",Projects!$M$37="Yes",20&gt;=Projects!$C$37,20&lt;Projects!$C$37+Projects!$D$37),Projects!$B$37*INDEX(Curves!$B$4:$AR$4,1,20-Projects!$C$37+1),0)+IF(AND(Projects!$G$38="Yes",Projects!$M$38="Yes",20&gt;=Projects!$C$38,20&lt;Projects!$C$38+Projects!$D$38),Projects!$B$38*INDEX(Curves!$B$4:$AR$4,1,20-Projects!$C$38+1),0)+IF(AND(Projects!$G$39="Yes",Projects!$M$39="Yes",20&gt;=Projects!$C$39,20&lt;Projects!$C$39+Projects!$D$39),Projects!$B$39*INDEX(Curves!$B$4:$AR$4,1,20-Projects!$C$39+1),0)+IF(AND(Projects!$G$40="Yes",Projects!$M$40="Yes",20&gt;=Projects!$C$40,20&lt;Projects!$C$40+Projects!$D$40),Projects!$B$40*INDEX(Curves!$B$4:$AR$4,1,20-Projects!$C$40+1),0)+IF(AND(Projects!$G$41="Yes",Projects!$M$41="Yes",20&gt;=Projects!$C$41,20&lt;Projects!$C$41+Projects!$D$41),Projects!$B$41*INDEX(Curves!$B$4:$AR$4,1,20-Projects!$C$41+1),0)+IF(AND(Projects!$G$42="Yes",Projects!$M$42="Yes",20&gt;=Projects!$C$42,20&lt;Projects!$C$42+Projects!$D$42),Projects!$B$42*INDEX(Curves!$B$4:$AR$4,1,20-Projects!$C$42+1),0)+IF(AND(Projects!$G$43="Yes",Projects!$M$43="Yes",20&gt;=Projects!$C$43,20&lt;Projects!$C$43+Projects!$D$43),Projects!$B$43*INDEX(Curves!$B$4:$AR$4,1,20-Projects!$C$43+1),0)+IF(AND(Projects!$G$44="Yes",Projects!$M$44="Yes",20&gt;=Projects!$C$44,20&lt;Projects!$C$44+Projects!$D$44),Projects!$B$44*INDEX(Curves!$B$4:$AR$4,1,20-Projects!$C$44+1),0)+IF(AND(Projects!$G$45="Yes",Projects!$M$45="Yes",20&gt;=Projects!$C$45,20&lt;Projects!$C$45+Projects!$D$45),Projects!$B$45*INDEX(Curves!$B$4:$AR$4,1,20-Projects!$C$45+1),0)+IF(AND(Projects!$G$46="Yes",Projects!$M$46="Yes",20&gt;=Projects!$C$46,20&lt;Projects!$C$46+Projects!$D$46),Projects!$B$46*INDEX(Curves!$B$4:$AR$4,1,20-Projects!$C$46+1),0)</f>
        <v>0</v>
      </c>
      <c r="Z101" s="87" t="n">
        <f aca="false">IF(AND(Projects!$G$17="Yes",Projects!$M$17="Yes",21&gt;=Projects!$C$17,21&lt;Projects!$C$17+Projects!$D$17),Projects!$B$17*INDEX(Curves!$B$4:$AR$4,1,21-Projects!$C$17+1),0)+IF(AND(Projects!$G$18="Yes",Projects!$M$18="Yes",21&gt;=Projects!$C$18,21&lt;Projects!$C$18+Projects!$D$18),Projects!$B$18*INDEX(Curves!$B$4:$AR$4,1,21-Projects!$C$18+1),0)+IF(AND(Projects!$G$19="Yes",Projects!$M$19="Yes",21&gt;=Projects!$C$19,21&lt;Projects!$C$19+Projects!$D$19),Projects!$B$19*INDEX(Curves!$B$4:$AR$4,1,21-Projects!$C$19+1),0)+IF(AND(Projects!$G$20="Yes",Projects!$M$20="Yes",21&gt;=Projects!$C$20,21&lt;Projects!$C$20+Projects!$D$20),Projects!$B$20*INDEX(Curves!$B$4:$AR$4,1,21-Projects!$C$20+1),0)+IF(AND(Projects!$G$21="Yes",Projects!$M$21="Yes",21&gt;=Projects!$C$21,21&lt;Projects!$C$21+Projects!$D$21),Projects!$B$21*INDEX(Curves!$B$4:$AR$4,1,21-Projects!$C$21+1),0)+IF(AND(Projects!$G$22="Yes",Projects!$M$22="Yes",21&gt;=Projects!$C$22,21&lt;Projects!$C$22+Projects!$D$22),Projects!$B$22*INDEX(Curves!$B$4:$AR$4,1,21-Projects!$C$22+1),0)+IF(AND(Projects!$G$23="Yes",Projects!$M$23="Yes",21&gt;=Projects!$C$23,21&lt;Projects!$C$23+Projects!$D$23),Projects!$B$23*INDEX(Curves!$B$4:$AR$4,1,21-Projects!$C$23+1),0)+IF(AND(Projects!$G$24="Yes",Projects!$M$24="Yes",21&gt;=Projects!$C$24,21&lt;Projects!$C$24+Projects!$D$24),Projects!$B$24*INDEX(Curves!$B$4:$AR$4,1,21-Projects!$C$24+1),0)+IF(AND(Projects!$G$25="Yes",Projects!$M$25="Yes",21&gt;=Projects!$C$25,21&lt;Projects!$C$25+Projects!$D$25),Projects!$B$25*INDEX(Curves!$B$4:$AR$4,1,21-Projects!$C$25+1),0)+IF(AND(Projects!$G$26="Yes",Projects!$M$26="Yes",21&gt;=Projects!$C$26,21&lt;Projects!$C$26+Projects!$D$26),Projects!$B$26*INDEX(Curves!$B$4:$AR$4,1,21-Projects!$C$26+1),0)+IF(AND(Projects!$G$27="Yes",Projects!$M$27="Yes",21&gt;=Projects!$C$27,21&lt;Projects!$C$27+Projects!$D$27),Projects!$B$27*INDEX(Curves!$B$4:$AR$4,1,21-Projects!$C$27+1),0)+IF(AND(Projects!$G$28="Yes",Projects!$M$28="Yes",21&gt;=Projects!$C$28,21&lt;Projects!$C$28+Projects!$D$28),Projects!$B$28*INDEX(Curves!$B$4:$AR$4,1,21-Projects!$C$28+1),0)+IF(AND(Projects!$G$29="Yes",Projects!$M$29="Yes",21&gt;=Projects!$C$29,21&lt;Projects!$C$29+Projects!$D$29),Projects!$B$29*INDEX(Curves!$B$4:$AR$4,1,21-Projects!$C$29+1),0)+IF(AND(Projects!$G$30="Yes",Projects!$M$30="Yes",21&gt;=Projects!$C$30,21&lt;Projects!$C$30+Projects!$D$30),Projects!$B$30*INDEX(Curves!$B$4:$AR$4,1,21-Projects!$C$30+1),0)+IF(AND(Projects!$G$31="Yes",Projects!$M$31="Yes",21&gt;=Projects!$C$31,21&lt;Projects!$C$31+Projects!$D$31),Projects!$B$31*INDEX(Curves!$B$4:$AR$4,1,21-Projects!$C$31+1),0)+IF(AND(Projects!$G$32="Yes",Projects!$M$32="Yes",21&gt;=Projects!$C$32,21&lt;Projects!$C$32+Projects!$D$32),Projects!$B$32*INDEX(Curves!$B$4:$AR$4,1,21-Projects!$C$32+1),0)+IF(AND(Projects!$G$33="Yes",Projects!$M$33="Yes",21&gt;=Projects!$C$33,21&lt;Projects!$C$33+Projects!$D$33),Projects!$B$33*INDEX(Curves!$B$4:$AR$4,1,21-Projects!$C$33+1),0)+IF(AND(Projects!$G$34="Yes",Projects!$M$34="Yes",21&gt;=Projects!$C$34,21&lt;Projects!$C$34+Projects!$D$34),Projects!$B$34*INDEX(Curves!$B$4:$AR$4,1,21-Projects!$C$34+1),0)+IF(AND(Projects!$G$35="Yes",Projects!$M$35="Yes",21&gt;=Projects!$C$35,21&lt;Projects!$C$35+Projects!$D$35),Projects!$B$35*INDEX(Curves!$B$4:$AR$4,1,21-Projects!$C$35+1),0)+IF(AND(Projects!$G$36="Yes",Projects!$M$36="Yes",21&gt;=Projects!$C$36,21&lt;Projects!$C$36+Projects!$D$36),Projects!$B$36*INDEX(Curves!$B$4:$AR$4,1,21-Projects!$C$36+1),0)+IF(AND(Projects!$G$37="Yes",Projects!$M$37="Yes",21&gt;=Projects!$C$37,21&lt;Projects!$C$37+Projects!$D$37),Projects!$B$37*INDEX(Curves!$B$4:$AR$4,1,21-Projects!$C$37+1),0)+IF(AND(Projects!$G$38="Yes",Projects!$M$38="Yes",21&gt;=Projects!$C$38,21&lt;Projects!$C$38+Projects!$D$38),Projects!$B$38*INDEX(Curves!$B$4:$AR$4,1,21-Projects!$C$38+1),0)+IF(AND(Projects!$G$39="Yes",Projects!$M$39="Yes",21&gt;=Projects!$C$39,21&lt;Projects!$C$39+Projects!$D$39),Projects!$B$39*INDEX(Curves!$B$4:$AR$4,1,21-Projects!$C$39+1),0)+IF(AND(Projects!$G$40="Yes",Projects!$M$40="Yes",21&gt;=Projects!$C$40,21&lt;Projects!$C$40+Projects!$D$40),Projects!$B$40*INDEX(Curves!$B$4:$AR$4,1,21-Projects!$C$40+1),0)+IF(AND(Projects!$G$41="Yes",Projects!$M$41="Yes",21&gt;=Projects!$C$41,21&lt;Projects!$C$41+Projects!$D$41),Projects!$B$41*INDEX(Curves!$B$4:$AR$4,1,21-Projects!$C$41+1),0)+IF(AND(Projects!$G$42="Yes",Projects!$M$42="Yes",21&gt;=Projects!$C$42,21&lt;Projects!$C$42+Projects!$D$42),Projects!$B$42*INDEX(Curves!$B$4:$AR$4,1,21-Projects!$C$42+1),0)+IF(AND(Projects!$G$43="Yes",Projects!$M$43="Yes",21&gt;=Projects!$C$43,21&lt;Projects!$C$43+Projects!$D$43),Projects!$B$43*INDEX(Curves!$B$4:$AR$4,1,21-Projects!$C$43+1),0)+IF(AND(Projects!$G$44="Yes",Projects!$M$44="Yes",21&gt;=Projects!$C$44,21&lt;Projects!$C$44+Projects!$D$44),Projects!$B$44*INDEX(Curves!$B$4:$AR$4,1,21-Projects!$C$44+1),0)+IF(AND(Projects!$G$45="Yes",Projects!$M$45="Yes",21&gt;=Projects!$C$45,21&lt;Projects!$C$45+Projects!$D$45),Projects!$B$45*INDEX(Curves!$B$4:$AR$4,1,21-Projects!$C$45+1),0)+IF(AND(Projects!$G$46="Yes",Projects!$M$46="Yes",21&gt;=Projects!$C$46,21&lt;Projects!$C$46+Projects!$D$46),Projects!$B$46*INDEX(Curves!$B$4:$AR$4,1,21-Projects!$C$46+1),0)</f>
        <v>0</v>
      </c>
      <c r="AA101" s="87" t="n">
        <f aca="false">IF(AND(Projects!$G$17="Yes",Projects!$M$17="Yes",22&gt;=Projects!$C$17,22&lt;Projects!$C$17+Projects!$D$17),Projects!$B$17*INDEX(Curves!$B$4:$AR$4,1,22-Projects!$C$17+1),0)+IF(AND(Projects!$G$18="Yes",Projects!$M$18="Yes",22&gt;=Projects!$C$18,22&lt;Projects!$C$18+Projects!$D$18),Projects!$B$18*INDEX(Curves!$B$4:$AR$4,1,22-Projects!$C$18+1),0)+IF(AND(Projects!$G$19="Yes",Projects!$M$19="Yes",22&gt;=Projects!$C$19,22&lt;Projects!$C$19+Projects!$D$19),Projects!$B$19*INDEX(Curves!$B$4:$AR$4,1,22-Projects!$C$19+1),0)+IF(AND(Projects!$G$20="Yes",Projects!$M$20="Yes",22&gt;=Projects!$C$20,22&lt;Projects!$C$20+Projects!$D$20),Projects!$B$20*INDEX(Curves!$B$4:$AR$4,1,22-Projects!$C$20+1),0)+IF(AND(Projects!$G$21="Yes",Projects!$M$21="Yes",22&gt;=Projects!$C$21,22&lt;Projects!$C$21+Projects!$D$21),Projects!$B$21*INDEX(Curves!$B$4:$AR$4,1,22-Projects!$C$21+1),0)+IF(AND(Projects!$G$22="Yes",Projects!$M$22="Yes",22&gt;=Projects!$C$22,22&lt;Projects!$C$22+Projects!$D$22),Projects!$B$22*INDEX(Curves!$B$4:$AR$4,1,22-Projects!$C$22+1),0)+IF(AND(Projects!$G$23="Yes",Projects!$M$23="Yes",22&gt;=Projects!$C$23,22&lt;Projects!$C$23+Projects!$D$23),Projects!$B$23*INDEX(Curves!$B$4:$AR$4,1,22-Projects!$C$23+1),0)+IF(AND(Projects!$G$24="Yes",Projects!$M$24="Yes",22&gt;=Projects!$C$24,22&lt;Projects!$C$24+Projects!$D$24),Projects!$B$24*INDEX(Curves!$B$4:$AR$4,1,22-Projects!$C$24+1),0)+IF(AND(Projects!$G$25="Yes",Projects!$M$25="Yes",22&gt;=Projects!$C$25,22&lt;Projects!$C$25+Projects!$D$25),Projects!$B$25*INDEX(Curves!$B$4:$AR$4,1,22-Projects!$C$25+1),0)+IF(AND(Projects!$G$26="Yes",Projects!$M$26="Yes",22&gt;=Projects!$C$26,22&lt;Projects!$C$26+Projects!$D$26),Projects!$B$26*INDEX(Curves!$B$4:$AR$4,1,22-Projects!$C$26+1),0)+IF(AND(Projects!$G$27="Yes",Projects!$M$27="Yes",22&gt;=Projects!$C$27,22&lt;Projects!$C$27+Projects!$D$27),Projects!$B$27*INDEX(Curves!$B$4:$AR$4,1,22-Projects!$C$27+1),0)+IF(AND(Projects!$G$28="Yes",Projects!$M$28="Yes",22&gt;=Projects!$C$28,22&lt;Projects!$C$28+Projects!$D$28),Projects!$B$28*INDEX(Curves!$B$4:$AR$4,1,22-Projects!$C$28+1),0)+IF(AND(Projects!$G$29="Yes",Projects!$M$29="Yes",22&gt;=Projects!$C$29,22&lt;Projects!$C$29+Projects!$D$29),Projects!$B$29*INDEX(Curves!$B$4:$AR$4,1,22-Projects!$C$29+1),0)+IF(AND(Projects!$G$30="Yes",Projects!$M$30="Yes",22&gt;=Projects!$C$30,22&lt;Projects!$C$30+Projects!$D$30),Projects!$B$30*INDEX(Curves!$B$4:$AR$4,1,22-Projects!$C$30+1),0)+IF(AND(Projects!$G$31="Yes",Projects!$M$31="Yes",22&gt;=Projects!$C$31,22&lt;Projects!$C$31+Projects!$D$31),Projects!$B$31*INDEX(Curves!$B$4:$AR$4,1,22-Projects!$C$31+1),0)+IF(AND(Projects!$G$32="Yes",Projects!$M$32="Yes",22&gt;=Projects!$C$32,22&lt;Projects!$C$32+Projects!$D$32),Projects!$B$32*INDEX(Curves!$B$4:$AR$4,1,22-Projects!$C$32+1),0)+IF(AND(Projects!$G$33="Yes",Projects!$M$33="Yes",22&gt;=Projects!$C$33,22&lt;Projects!$C$33+Projects!$D$33),Projects!$B$33*INDEX(Curves!$B$4:$AR$4,1,22-Projects!$C$33+1),0)+IF(AND(Projects!$G$34="Yes",Projects!$M$34="Yes",22&gt;=Projects!$C$34,22&lt;Projects!$C$34+Projects!$D$34),Projects!$B$34*INDEX(Curves!$B$4:$AR$4,1,22-Projects!$C$34+1),0)+IF(AND(Projects!$G$35="Yes",Projects!$M$35="Yes",22&gt;=Projects!$C$35,22&lt;Projects!$C$35+Projects!$D$35),Projects!$B$35*INDEX(Curves!$B$4:$AR$4,1,22-Projects!$C$35+1),0)+IF(AND(Projects!$G$36="Yes",Projects!$M$36="Yes",22&gt;=Projects!$C$36,22&lt;Projects!$C$36+Projects!$D$36),Projects!$B$36*INDEX(Curves!$B$4:$AR$4,1,22-Projects!$C$36+1),0)+IF(AND(Projects!$G$37="Yes",Projects!$M$37="Yes",22&gt;=Projects!$C$37,22&lt;Projects!$C$37+Projects!$D$37),Projects!$B$37*INDEX(Curves!$B$4:$AR$4,1,22-Projects!$C$37+1),0)+IF(AND(Projects!$G$38="Yes",Projects!$M$38="Yes",22&gt;=Projects!$C$38,22&lt;Projects!$C$38+Projects!$D$38),Projects!$B$38*INDEX(Curves!$B$4:$AR$4,1,22-Projects!$C$38+1),0)+IF(AND(Projects!$G$39="Yes",Projects!$M$39="Yes",22&gt;=Projects!$C$39,22&lt;Projects!$C$39+Projects!$D$39),Projects!$B$39*INDEX(Curves!$B$4:$AR$4,1,22-Projects!$C$39+1),0)+IF(AND(Projects!$G$40="Yes",Projects!$M$40="Yes",22&gt;=Projects!$C$40,22&lt;Projects!$C$40+Projects!$D$40),Projects!$B$40*INDEX(Curves!$B$4:$AR$4,1,22-Projects!$C$40+1),0)+IF(AND(Projects!$G$41="Yes",Projects!$M$41="Yes",22&gt;=Projects!$C$41,22&lt;Projects!$C$41+Projects!$D$41),Projects!$B$41*INDEX(Curves!$B$4:$AR$4,1,22-Projects!$C$41+1),0)+IF(AND(Projects!$G$42="Yes",Projects!$M$42="Yes",22&gt;=Projects!$C$42,22&lt;Projects!$C$42+Projects!$D$42),Projects!$B$42*INDEX(Curves!$B$4:$AR$4,1,22-Projects!$C$42+1),0)+IF(AND(Projects!$G$43="Yes",Projects!$M$43="Yes",22&gt;=Projects!$C$43,22&lt;Projects!$C$43+Projects!$D$43),Projects!$B$43*INDEX(Curves!$B$4:$AR$4,1,22-Projects!$C$43+1),0)+IF(AND(Projects!$G$44="Yes",Projects!$M$44="Yes",22&gt;=Projects!$C$44,22&lt;Projects!$C$44+Projects!$D$44),Projects!$B$44*INDEX(Curves!$B$4:$AR$4,1,22-Projects!$C$44+1),0)+IF(AND(Projects!$G$45="Yes",Projects!$M$45="Yes",22&gt;=Projects!$C$45,22&lt;Projects!$C$45+Projects!$D$45),Projects!$B$45*INDEX(Curves!$B$4:$AR$4,1,22-Projects!$C$45+1),0)+IF(AND(Projects!$G$46="Yes",Projects!$M$46="Yes",22&gt;=Projects!$C$46,22&lt;Projects!$C$46+Projects!$D$46),Projects!$B$46*INDEX(Curves!$B$4:$AR$4,1,22-Projects!$C$46+1),0)</f>
        <v>0</v>
      </c>
      <c r="AB101" s="87" t="n">
        <f aca="false">IF(AND(Projects!$G$17="Yes",Projects!$M$17="Yes",23&gt;=Projects!$C$17,23&lt;Projects!$C$17+Projects!$D$17),Projects!$B$17*INDEX(Curves!$B$4:$AR$4,1,23-Projects!$C$17+1),0)+IF(AND(Projects!$G$18="Yes",Projects!$M$18="Yes",23&gt;=Projects!$C$18,23&lt;Projects!$C$18+Projects!$D$18),Projects!$B$18*INDEX(Curves!$B$4:$AR$4,1,23-Projects!$C$18+1),0)+IF(AND(Projects!$G$19="Yes",Projects!$M$19="Yes",23&gt;=Projects!$C$19,23&lt;Projects!$C$19+Projects!$D$19),Projects!$B$19*INDEX(Curves!$B$4:$AR$4,1,23-Projects!$C$19+1),0)+IF(AND(Projects!$G$20="Yes",Projects!$M$20="Yes",23&gt;=Projects!$C$20,23&lt;Projects!$C$20+Projects!$D$20),Projects!$B$20*INDEX(Curves!$B$4:$AR$4,1,23-Projects!$C$20+1),0)+IF(AND(Projects!$G$21="Yes",Projects!$M$21="Yes",23&gt;=Projects!$C$21,23&lt;Projects!$C$21+Projects!$D$21),Projects!$B$21*INDEX(Curves!$B$4:$AR$4,1,23-Projects!$C$21+1),0)+IF(AND(Projects!$G$22="Yes",Projects!$M$22="Yes",23&gt;=Projects!$C$22,23&lt;Projects!$C$22+Projects!$D$22),Projects!$B$22*INDEX(Curves!$B$4:$AR$4,1,23-Projects!$C$22+1),0)+IF(AND(Projects!$G$23="Yes",Projects!$M$23="Yes",23&gt;=Projects!$C$23,23&lt;Projects!$C$23+Projects!$D$23),Projects!$B$23*INDEX(Curves!$B$4:$AR$4,1,23-Projects!$C$23+1),0)+IF(AND(Projects!$G$24="Yes",Projects!$M$24="Yes",23&gt;=Projects!$C$24,23&lt;Projects!$C$24+Projects!$D$24),Projects!$B$24*INDEX(Curves!$B$4:$AR$4,1,23-Projects!$C$24+1),0)+IF(AND(Projects!$G$25="Yes",Projects!$M$25="Yes",23&gt;=Projects!$C$25,23&lt;Projects!$C$25+Projects!$D$25),Projects!$B$25*INDEX(Curves!$B$4:$AR$4,1,23-Projects!$C$25+1),0)+IF(AND(Projects!$G$26="Yes",Projects!$M$26="Yes",23&gt;=Projects!$C$26,23&lt;Projects!$C$26+Projects!$D$26),Projects!$B$26*INDEX(Curves!$B$4:$AR$4,1,23-Projects!$C$26+1),0)+IF(AND(Projects!$G$27="Yes",Projects!$M$27="Yes",23&gt;=Projects!$C$27,23&lt;Projects!$C$27+Projects!$D$27),Projects!$B$27*INDEX(Curves!$B$4:$AR$4,1,23-Projects!$C$27+1),0)+IF(AND(Projects!$G$28="Yes",Projects!$M$28="Yes",23&gt;=Projects!$C$28,23&lt;Projects!$C$28+Projects!$D$28),Projects!$B$28*INDEX(Curves!$B$4:$AR$4,1,23-Projects!$C$28+1),0)+IF(AND(Projects!$G$29="Yes",Projects!$M$29="Yes",23&gt;=Projects!$C$29,23&lt;Projects!$C$29+Projects!$D$29),Projects!$B$29*INDEX(Curves!$B$4:$AR$4,1,23-Projects!$C$29+1),0)+IF(AND(Projects!$G$30="Yes",Projects!$M$30="Yes",23&gt;=Projects!$C$30,23&lt;Projects!$C$30+Projects!$D$30),Projects!$B$30*INDEX(Curves!$B$4:$AR$4,1,23-Projects!$C$30+1),0)+IF(AND(Projects!$G$31="Yes",Projects!$M$31="Yes",23&gt;=Projects!$C$31,23&lt;Projects!$C$31+Projects!$D$31),Projects!$B$31*INDEX(Curves!$B$4:$AR$4,1,23-Projects!$C$31+1),0)+IF(AND(Projects!$G$32="Yes",Projects!$M$32="Yes",23&gt;=Projects!$C$32,23&lt;Projects!$C$32+Projects!$D$32),Projects!$B$32*INDEX(Curves!$B$4:$AR$4,1,23-Projects!$C$32+1),0)+IF(AND(Projects!$G$33="Yes",Projects!$M$33="Yes",23&gt;=Projects!$C$33,23&lt;Projects!$C$33+Projects!$D$33),Projects!$B$33*INDEX(Curves!$B$4:$AR$4,1,23-Projects!$C$33+1),0)+IF(AND(Projects!$G$34="Yes",Projects!$M$34="Yes",23&gt;=Projects!$C$34,23&lt;Projects!$C$34+Projects!$D$34),Projects!$B$34*INDEX(Curves!$B$4:$AR$4,1,23-Projects!$C$34+1),0)+IF(AND(Projects!$G$35="Yes",Projects!$M$35="Yes",23&gt;=Projects!$C$35,23&lt;Projects!$C$35+Projects!$D$35),Projects!$B$35*INDEX(Curves!$B$4:$AR$4,1,23-Projects!$C$35+1),0)+IF(AND(Projects!$G$36="Yes",Projects!$M$36="Yes",23&gt;=Projects!$C$36,23&lt;Projects!$C$36+Projects!$D$36),Projects!$B$36*INDEX(Curves!$B$4:$AR$4,1,23-Projects!$C$36+1),0)+IF(AND(Projects!$G$37="Yes",Projects!$M$37="Yes",23&gt;=Projects!$C$37,23&lt;Projects!$C$37+Projects!$D$37),Projects!$B$37*INDEX(Curves!$B$4:$AR$4,1,23-Projects!$C$37+1),0)+IF(AND(Projects!$G$38="Yes",Projects!$M$38="Yes",23&gt;=Projects!$C$38,23&lt;Projects!$C$38+Projects!$D$38),Projects!$B$38*INDEX(Curves!$B$4:$AR$4,1,23-Projects!$C$38+1),0)+IF(AND(Projects!$G$39="Yes",Projects!$M$39="Yes",23&gt;=Projects!$C$39,23&lt;Projects!$C$39+Projects!$D$39),Projects!$B$39*INDEX(Curves!$B$4:$AR$4,1,23-Projects!$C$39+1),0)+IF(AND(Projects!$G$40="Yes",Projects!$M$40="Yes",23&gt;=Projects!$C$40,23&lt;Projects!$C$40+Projects!$D$40),Projects!$B$40*INDEX(Curves!$B$4:$AR$4,1,23-Projects!$C$40+1),0)+IF(AND(Projects!$G$41="Yes",Projects!$M$41="Yes",23&gt;=Projects!$C$41,23&lt;Projects!$C$41+Projects!$D$41),Projects!$B$41*INDEX(Curves!$B$4:$AR$4,1,23-Projects!$C$41+1),0)+IF(AND(Projects!$G$42="Yes",Projects!$M$42="Yes",23&gt;=Projects!$C$42,23&lt;Projects!$C$42+Projects!$D$42),Projects!$B$42*INDEX(Curves!$B$4:$AR$4,1,23-Projects!$C$42+1),0)+IF(AND(Projects!$G$43="Yes",Projects!$M$43="Yes",23&gt;=Projects!$C$43,23&lt;Projects!$C$43+Projects!$D$43),Projects!$B$43*INDEX(Curves!$B$4:$AR$4,1,23-Projects!$C$43+1),0)+IF(AND(Projects!$G$44="Yes",Projects!$M$44="Yes",23&gt;=Projects!$C$44,23&lt;Projects!$C$44+Projects!$D$44),Projects!$B$44*INDEX(Curves!$B$4:$AR$4,1,23-Projects!$C$44+1),0)+IF(AND(Projects!$G$45="Yes",Projects!$M$45="Yes",23&gt;=Projects!$C$45,23&lt;Projects!$C$45+Projects!$D$45),Projects!$B$45*INDEX(Curves!$B$4:$AR$4,1,23-Projects!$C$45+1),0)+IF(AND(Projects!$G$46="Yes",Projects!$M$46="Yes",23&gt;=Projects!$C$46,23&lt;Projects!$C$46+Projects!$D$46),Projects!$B$46*INDEX(Curves!$B$4:$AR$4,1,23-Projects!$C$46+1),0)</f>
        <v>0</v>
      </c>
      <c r="AC101" s="87" t="n">
        <f aca="false">IF(AND(Projects!$G$17="Yes",Projects!$M$17="Yes",24&gt;=Projects!$C$17,24&lt;Projects!$C$17+Projects!$D$17),Projects!$B$17*INDEX(Curves!$B$4:$AR$4,1,24-Projects!$C$17+1),0)+IF(AND(Projects!$G$18="Yes",Projects!$M$18="Yes",24&gt;=Projects!$C$18,24&lt;Projects!$C$18+Projects!$D$18),Projects!$B$18*INDEX(Curves!$B$4:$AR$4,1,24-Projects!$C$18+1),0)+IF(AND(Projects!$G$19="Yes",Projects!$M$19="Yes",24&gt;=Projects!$C$19,24&lt;Projects!$C$19+Projects!$D$19),Projects!$B$19*INDEX(Curves!$B$4:$AR$4,1,24-Projects!$C$19+1),0)+IF(AND(Projects!$G$20="Yes",Projects!$M$20="Yes",24&gt;=Projects!$C$20,24&lt;Projects!$C$20+Projects!$D$20),Projects!$B$20*INDEX(Curves!$B$4:$AR$4,1,24-Projects!$C$20+1),0)+IF(AND(Projects!$G$21="Yes",Projects!$M$21="Yes",24&gt;=Projects!$C$21,24&lt;Projects!$C$21+Projects!$D$21),Projects!$B$21*INDEX(Curves!$B$4:$AR$4,1,24-Projects!$C$21+1),0)+IF(AND(Projects!$G$22="Yes",Projects!$M$22="Yes",24&gt;=Projects!$C$22,24&lt;Projects!$C$22+Projects!$D$22),Projects!$B$22*INDEX(Curves!$B$4:$AR$4,1,24-Projects!$C$22+1),0)+IF(AND(Projects!$G$23="Yes",Projects!$M$23="Yes",24&gt;=Projects!$C$23,24&lt;Projects!$C$23+Projects!$D$23),Projects!$B$23*INDEX(Curves!$B$4:$AR$4,1,24-Projects!$C$23+1),0)+IF(AND(Projects!$G$24="Yes",Projects!$M$24="Yes",24&gt;=Projects!$C$24,24&lt;Projects!$C$24+Projects!$D$24),Projects!$B$24*INDEX(Curves!$B$4:$AR$4,1,24-Projects!$C$24+1),0)+IF(AND(Projects!$G$25="Yes",Projects!$M$25="Yes",24&gt;=Projects!$C$25,24&lt;Projects!$C$25+Projects!$D$25),Projects!$B$25*INDEX(Curves!$B$4:$AR$4,1,24-Projects!$C$25+1),0)+IF(AND(Projects!$G$26="Yes",Projects!$M$26="Yes",24&gt;=Projects!$C$26,24&lt;Projects!$C$26+Projects!$D$26),Projects!$B$26*INDEX(Curves!$B$4:$AR$4,1,24-Projects!$C$26+1),0)+IF(AND(Projects!$G$27="Yes",Projects!$M$27="Yes",24&gt;=Projects!$C$27,24&lt;Projects!$C$27+Projects!$D$27),Projects!$B$27*INDEX(Curves!$B$4:$AR$4,1,24-Projects!$C$27+1),0)+IF(AND(Projects!$G$28="Yes",Projects!$M$28="Yes",24&gt;=Projects!$C$28,24&lt;Projects!$C$28+Projects!$D$28),Projects!$B$28*INDEX(Curves!$B$4:$AR$4,1,24-Projects!$C$28+1),0)+IF(AND(Projects!$G$29="Yes",Projects!$M$29="Yes",24&gt;=Projects!$C$29,24&lt;Projects!$C$29+Projects!$D$29),Projects!$B$29*INDEX(Curves!$B$4:$AR$4,1,24-Projects!$C$29+1),0)+IF(AND(Projects!$G$30="Yes",Projects!$M$30="Yes",24&gt;=Projects!$C$30,24&lt;Projects!$C$30+Projects!$D$30),Projects!$B$30*INDEX(Curves!$B$4:$AR$4,1,24-Projects!$C$30+1),0)+IF(AND(Projects!$G$31="Yes",Projects!$M$31="Yes",24&gt;=Projects!$C$31,24&lt;Projects!$C$31+Projects!$D$31),Projects!$B$31*INDEX(Curves!$B$4:$AR$4,1,24-Projects!$C$31+1),0)+IF(AND(Projects!$G$32="Yes",Projects!$M$32="Yes",24&gt;=Projects!$C$32,24&lt;Projects!$C$32+Projects!$D$32),Projects!$B$32*INDEX(Curves!$B$4:$AR$4,1,24-Projects!$C$32+1),0)+IF(AND(Projects!$G$33="Yes",Projects!$M$33="Yes",24&gt;=Projects!$C$33,24&lt;Projects!$C$33+Projects!$D$33),Projects!$B$33*INDEX(Curves!$B$4:$AR$4,1,24-Projects!$C$33+1),0)+IF(AND(Projects!$G$34="Yes",Projects!$M$34="Yes",24&gt;=Projects!$C$34,24&lt;Projects!$C$34+Projects!$D$34),Projects!$B$34*INDEX(Curves!$B$4:$AR$4,1,24-Projects!$C$34+1),0)+IF(AND(Projects!$G$35="Yes",Projects!$M$35="Yes",24&gt;=Projects!$C$35,24&lt;Projects!$C$35+Projects!$D$35),Projects!$B$35*INDEX(Curves!$B$4:$AR$4,1,24-Projects!$C$35+1),0)+IF(AND(Projects!$G$36="Yes",Projects!$M$36="Yes",24&gt;=Projects!$C$36,24&lt;Projects!$C$36+Projects!$D$36),Projects!$B$36*INDEX(Curves!$B$4:$AR$4,1,24-Projects!$C$36+1),0)+IF(AND(Projects!$G$37="Yes",Projects!$M$37="Yes",24&gt;=Projects!$C$37,24&lt;Projects!$C$37+Projects!$D$37),Projects!$B$37*INDEX(Curves!$B$4:$AR$4,1,24-Projects!$C$37+1),0)+IF(AND(Projects!$G$38="Yes",Projects!$M$38="Yes",24&gt;=Projects!$C$38,24&lt;Projects!$C$38+Projects!$D$38),Projects!$B$38*INDEX(Curves!$B$4:$AR$4,1,24-Projects!$C$38+1),0)+IF(AND(Projects!$G$39="Yes",Projects!$M$39="Yes",24&gt;=Projects!$C$39,24&lt;Projects!$C$39+Projects!$D$39),Projects!$B$39*INDEX(Curves!$B$4:$AR$4,1,24-Projects!$C$39+1),0)+IF(AND(Projects!$G$40="Yes",Projects!$M$40="Yes",24&gt;=Projects!$C$40,24&lt;Projects!$C$40+Projects!$D$40),Projects!$B$40*INDEX(Curves!$B$4:$AR$4,1,24-Projects!$C$40+1),0)+IF(AND(Projects!$G$41="Yes",Projects!$M$41="Yes",24&gt;=Projects!$C$41,24&lt;Projects!$C$41+Projects!$D$41),Projects!$B$41*INDEX(Curves!$B$4:$AR$4,1,24-Projects!$C$41+1),0)+IF(AND(Projects!$G$42="Yes",Projects!$M$42="Yes",24&gt;=Projects!$C$42,24&lt;Projects!$C$42+Projects!$D$42),Projects!$B$42*INDEX(Curves!$B$4:$AR$4,1,24-Projects!$C$42+1),0)+IF(AND(Projects!$G$43="Yes",Projects!$M$43="Yes",24&gt;=Projects!$C$43,24&lt;Projects!$C$43+Projects!$D$43),Projects!$B$43*INDEX(Curves!$B$4:$AR$4,1,24-Projects!$C$43+1),0)+IF(AND(Projects!$G$44="Yes",Projects!$M$44="Yes",24&gt;=Projects!$C$44,24&lt;Projects!$C$44+Projects!$D$44),Projects!$B$44*INDEX(Curves!$B$4:$AR$4,1,24-Projects!$C$44+1),0)+IF(AND(Projects!$G$45="Yes",Projects!$M$45="Yes",24&gt;=Projects!$C$45,24&lt;Projects!$C$45+Projects!$D$45),Projects!$B$45*INDEX(Curves!$B$4:$AR$4,1,24-Projects!$C$45+1),0)+IF(AND(Projects!$G$46="Yes",Projects!$M$46="Yes",24&gt;=Projects!$C$46,24&lt;Projects!$C$46+Projects!$D$46),Projects!$B$46*INDEX(Curves!$B$4:$AR$4,1,24-Projects!$C$46+1),0)</f>
        <v>0</v>
      </c>
      <c r="AD101" s="87" t="n">
        <f aca="false">IF(AND(Projects!$G$17="Yes",Projects!$M$17="Yes",25&gt;=Projects!$C$17,25&lt;Projects!$C$17+Projects!$D$17),Projects!$B$17*INDEX(Curves!$B$4:$AR$4,1,25-Projects!$C$17+1),0)+IF(AND(Projects!$G$18="Yes",Projects!$M$18="Yes",25&gt;=Projects!$C$18,25&lt;Projects!$C$18+Projects!$D$18),Projects!$B$18*INDEX(Curves!$B$4:$AR$4,1,25-Projects!$C$18+1),0)+IF(AND(Projects!$G$19="Yes",Projects!$M$19="Yes",25&gt;=Projects!$C$19,25&lt;Projects!$C$19+Projects!$D$19),Projects!$B$19*INDEX(Curves!$B$4:$AR$4,1,25-Projects!$C$19+1),0)+IF(AND(Projects!$G$20="Yes",Projects!$M$20="Yes",25&gt;=Projects!$C$20,25&lt;Projects!$C$20+Projects!$D$20),Projects!$B$20*INDEX(Curves!$B$4:$AR$4,1,25-Projects!$C$20+1),0)+IF(AND(Projects!$G$21="Yes",Projects!$M$21="Yes",25&gt;=Projects!$C$21,25&lt;Projects!$C$21+Projects!$D$21),Projects!$B$21*INDEX(Curves!$B$4:$AR$4,1,25-Projects!$C$21+1),0)+IF(AND(Projects!$G$22="Yes",Projects!$M$22="Yes",25&gt;=Projects!$C$22,25&lt;Projects!$C$22+Projects!$D$22),Projects!$B$22*INDEX(Curves!$B$4:$AR$4,1,25-Projects!$C$22+1),0)+IF(AND(Projects!$G$23="Yes",Projects!$M$23="Yes",25&gt;=Projects!$C$23,25&lt;Projects!$C$23+Projects!$D$23),Projects!$B$23*INDEX(Curves!$B$4:$AR$4,1,25-Projects!$C$23+1),0)+IF(AND(Projects!$G$24="Yes",Projects!$M$24="Yes",25&gt;=Projects!$C$24,25&lt;Projects!$C$24+Projects!$D$24),Projects!$B$24*INDEX(Curves!$B$4:$AR$4,1,25-Projects!$C$24+1),0)+IF(AND(Projects!$G$25="Yes",Projects!$M$25="Yes",25&gt;=Projects!$C$25,25&lt;Projects!$C$25+Projects!$D$25),Projects!$B$25*INDEX(Curves!$B$4:$AR$4,1,25-Projects!$C$25+1),0)+IF(AND(Projects!$G$26="Yes",Projects!$M$26="Yes",25&gt;=Projects!$C$26,25&lt;Projects!$C$26+Projects!$D$26),Projects!$B$26*INDEX(Curves!$B$4:$AR$4,1,25-Projects!$C$26+1),0)+IF(AND(Projects!$G$27="Yes",Projects!$M$27="Yes",25&gt;=Projects!$C$27,25&lt;Projects!$C$27+Projects!$D$27),Projects!$B$27*INDEX(Curves!$B$4:$AR$4,1,25-Projects!$C$27+1),0)+IF(AND(Projects!$G$28="Yes",Projects!$M$28="Yes",25&gt;=Projects!$C$28,25&lt;Projects!$C$28+Projects!$D$28),Projects!$B$28*INDEX(Curves!$B$4:$AR$4,1,25-Projects!$C$28+1),0)+IF(AND(Projects!$G$29="Yes",Projects!$M$29="Yes",25&gt;=Projects!$C$29,25&lt;Projects!$C$29+Projects!$D$29),Projects!$B$29*INDEX(Curves!$B$4:$AR$4,1,25-Projects!$C$29+1),0)+IF(AND(Projects!$G$30="Yes",Projects!$M$30="Yes",25&gt;=Projects!$C$30,25&lt;Projects!$C$30+Projects!$D$30),Projects!$B$30*INDEX(Curves!$B$4:$AR$4,1,25-Projects!$C$30+1),0)+IF(AND(Projects!$G$31="Yes",Projects!$M$31="Yes",25&gt;=Projects!$C$31,25&lt;Projects!$C$31+Projects!$D$31),Projects!$B$31*INDEX(Curves!$B$4:$AR$4,1,25-Projects!$C$31+1),0)+IF(AND(Projects!$G$32="Yes",Projects!$M$32="Yes",25&gt;=Projects!$C$32,25&lt;Projects!$C$32+Projects!$D$32),Projects!$B$32*INDEX(Curves!$B$4:$AR$4,1,25-Projects!$C$32+1),0)+IF(AND(Projects!$G$33="Yes",Projects!$M$33="Yes",25&gt;=Projects!$C$33,25&lt;Projects!$C$33+Projects!$D$33),Projects!$B$33*INDEX(Curves!$B$4:$AR$4,1,25-Projects!$C$33+1),0)+IF(AND(Projects!$G$34="Yes",Projects!$M$34="Yes",25&gt;=Projects!$C$34,25&lt;Projects!$C$34+Projects!$D$34),Projects!$B$34*INDEX(Curves!$B$4:$AR$4,1,25-Projects!$C$34+1),0)+IF(AND(Projects!$G$35="Yes",Projects!$M$35="Yes",25&gt;=Projects!$C$35,25&lt;Projects!$C$35+Projects!$D$35),Projects!$B$35*INDEX(Curves!$B$4:$AR$4,1,25-Projects!$C$35+1),0)+IF(AND(Projects!$G$36="Yes",Projects!$M$36="Yes",25&gt;=Projects!$C$36,25&lt;Projects!$C$36+Projects!$D$36),Projects!$B$36*INDEX(Curves!$B$4:$AR$4,1,25-Projects!$C$36+1),0)+IF(AND(Projects!$G$37="Yes",Projects!$M$37="Yes",25&gt;=Projects!$C$37,25&lt;Projects!$C$37+Projects!$D$37),Projects!$B$37*INDEX(Curves!$B$4:$AR$4,1,25-Projects!$C$37+1),0)+IF(AND(Projects!$G$38="Yes",Projects!$M$38="Yes",25&gt;=Projects!$C$38,25&lt;Projects!$C$38+Projects!$D$38),Projects!$B$38*INDEX(Curves!$B$4:$AR$4,1,25-Projects!$C$38+1),0)+IF(AND(Projects!$G$39="Yes",Projects!$M$39="Yes",25&gt;=Projects!$C$39,25&lt;Projects!$C$39+Projects!$D$39),Projects!$B$39*INDEX(Curves!$B$4:$AR$4,1,25-Projects!$C$39+1),0)+IF(AND(Projects!$G$40="Yes",Projects!$M$40="Yes",25&gt;=Projects!$C$40,25&lt;Projects!$C$40+Projects!$D$40),Projects!$B$40*INDEX(Curves!$B$4:$AR$4,1,25-Projects!$C$40+1),0)+IF(AND(Projects!$G$41="Yes",Projects!$M$41="Yes",25&gt;=Projects!$C$41,25&lt;Projects!$C$41+Projects!$D$41),Projects!$B$41*INDEX(Curves!$B$4:$AR$4,1,25-Projects!$C$41+1),0)+IF(AND(Projects!$G$42="Yes",Projects!$M$42="Yes",25&gt;=Projects!$C$42,25&lt;Projects!$C$42+Projects!$D$42),Projects!$B$42*INDEX(Curves!$B$4:$AR$4,1,25-Projects!$C$42+1),0)+IF(AND(Projects!$G$43="Yes",Projects!$M$43="Yes",25&gt;=Projects!$C$43,25&lt;Projects!$C$43+Projects!$D$43),Projects!$B$43*INDEX(Curves!$B$4:$AR$4,1,25-Projects!$C$43+1),0)+IF(AND(Projects!$G$44="Yes",Projects!$M$44="Yes",25&gt;=Projects!$C$44,25&lt;Projects!$C$44+Projects!$D$44),Projects!$B$44*INDEX(Curves!$B$4:$AR$4,1,25-Projects!$C$44+1),0)+IF(AND(Projects!$G$45="Yes",Projects!$M$45="Yes",25&gt;=Projects!$C$45,25&lt;Projects!$C$45+Projects!$D$45),Projects!$B$45*INDEX(Curves!$B$4:$AR$4,1,25-Projects!$C$45+1),0)+IF(AND(Projects!$G$46="Yes",Projects!$M$46="Yes",25&gt;=Projects!$C$46,25&lt;Projects!$C$46+Projects!$D$46),Projects!$B$46*INDEX(Curves!$B$4:$AR$4,1,25-Projects!$C$46+1),0)</f>
        <v>0</v>
      </c>
      <c r="AE101" s="87" t="n">
        <f aca="false">IF(AND(Projects!$G$17="Yes",Projects!$M$17="Yes",26&gt;=Projects!$C$17,26&lt;Projects!$C$17+Projects!$D$17),Projects!$B$17*INDEX(Curves!$B$4:$AR$4,1,26-Projects!$C$17+1),0)+IF(AND(Projects!$G$18="Yes",Projects!$M$18="Yes",26&gt;=Projects!$C$18,26&lt;Projects!$C$18+Projects!$D$18),Projects!$B$18*INDEX(Curves!$B$4:$AR$4,1,26-Projects!$C$18+1),0)+IF(AND(Projects!$G$19="Yes",Projects!$M$19="Yes",26&gt;=Projects!$C$19,26&lt;Projects!$C$19+Projects!$D$19),Projects!$B$19*INDEX(Curves!$B$4:$AR$4,1,26-Projects!$C$19+1),0)+IF(AND(Projects!$G$20="Yes",Projects!$M$20="Yes",26&gt;=Projects!$C$20,26&lt;Projects!$C$20+Projects!$D$20),Projects!$B$20*INDEX(Curves!$B$4:$AR$4,1,26-Projects!$C$20+1),0)+IF(AND(Projects!$G$21="Yes",Projects!$M$21="Yes",26&gt;=Projects!$C$21,26&lt;Projects!$C$21+Projects!$D$21),Projects!$B$21*INDEX(Curves!$B$4:$AR$4,1,26-Projects!$C$21+1),0)+IF(AND(Projects!$G$22="Yes",Projects!$M$22="Yes",26&gt;=Projects!$C$22,26&lt;Projects!$C$22+Projects!$D$22),Projects!$B$22*INDEX(Curves!$B$4:$AR$4,1,26-Projects!$C$22+1),0)+IF(AND(Projects!$G$23="Yes",Projects!$M$23="Yes",26&gt;=Projects!$C$23,26&lt;Projects!$C$23+Projects!$D$23),Projects!$B$23*INDEX(Curves!$B$4:$AR$4,1,26-Projects!$C$23+1),0)+IF(AND(Projects!$G$24="Yes",Projects!$M$24="Yes",26&gt;=Projects!$C$24,26&lt;Projects!$C$24+Projects!$D$24),Projects!$B$24*INDEX(Curves!$B$4:$AR$4,1,26-Projects!$C$24+1),0)+IF(AND(Projects!$G$25="Yes",Projects!$M$25="Yes",26&gt;=Projects!$C$25,26&lt;Projects!$C$25+Projects!$D$25),Projects!$B$25*INDEX(Curves!$B$4:$AR$4,1,26-Projects!$C$25+1),0)+IF(AND(Projects!$G$26="Yes",Projects!$M$26="Yes",26&gt;=Projects!$C$26,26&lt;Projects!$C$26+Projects!$D$26),Projects!$B$26*INDEX(Curves!$B$4:$AR$4,1,26-Projects!$C$26+1),0)+IF(AND(Projects!$G$27="Yes",Projects!$M$27="Yes",26&gt;=Projects!$C$27,26&lt;Projects!$C$27+Projects!$D$27),Projects!$B$27*INDEX(Curves!$B$4:$AR$4,1,26-Projects!$C$27+1),0)+IF(AND(Projects!$G$28="Yes",Projects!$M$28="Yes",26&gt;=Projects!$C$28,26&lt;Projects!$C$28+Projects!$D$28),Projects!$B$28*INDEX(Curves!$B$4:$AR$4,1,26-Projects!$C$28+1),0)+IF(AND(Projects!$G$29="Yes",Projects!$M$29="Yes",26&gt;=Projects!$C$29,26&lt;Projects!$C$29+Projects!$D$29),Projects!$B$29*INDEX(Curves!$B$4:$AR$4,1,26-Projects!$C$29+1),0)+IF(AND(Projects!$G$30="Yes",Projects!$M$30="Yes",26&gt;=Projects!$C$30,26&lt;Projects!$C$30+Projects!$D$30),Projects!$B$30*INDEX(Curves!$B$4:$AR$4,1,26-Projects!$C$30+1),0)+IF(AND(Projects!$G$31="Yes",Projects!$M$31="Yes",26&gt;=Projects!$C$31,26&lt;Projects!$C$31+Projects!$D$31),Projects!$B$31*INDEX(Curves!$B$4:$AR$4,1,26-Projects!$C$31+1),0)+IF(AND(Projects!$G$32="Yes",Projects!$M$32="Yes",26&gt;=Projects!$C$32,26&lt;Projects!$C$32+Projects!$D$32),Projects!$B$32*INDEX(Curves!$B$4:$AR$4,1,26-Projects!$C$32+1),0)+IF(AND(Projects!$G$33="Yes",Projects!$M$33="Yes",26&gt;=Projects!$C$33,26&lt;Projects!$C$33+Projects!$D$33),Projects!$B$33*INDEX(Curves!$B$4:$AR$4,1,26-Projects!$C$33+1),0)+IF(AND(Projects!$G$34="Yes",Projects!$M$34="Yes",26&gt;=Projects!$C$34,26&lt;Projects!$C$34+Projects!$D$34),Projects!$B$34*INDEX(Curves!$B$4:$AR$4,1,26-Projects!$C$34+1),0)+IF(AND(Projects!$G$35="Yes",Projects!$M$35="Yes",26&gt;=Projects!$C$35,26&lt;Projects!$C$35+Projects!$D$35),Projects!$B$35*INDEX(Curves!$B$4:$AR$4,1,26-Projects!$C$35+1),0)+IF(AND(Projects!$G$36="Yes",Projects!$M$36="Yes",26&gt;=Projects!$C$36,26&lt;Projects!$C$36+Projects!$D$36),Projects!$B$36*INDEX(Curves!$B$4:$AR$4,1,26-Projects!$C$36+1),0)+IF(AND(Projects!$G$37="Yes",Projects!$M$37="Yes",26&gt;=Projects!$C$37,26&lt;Projects!$C$37+Projects!$D$37),Projects!$B$37*INDEX(Curves!$B$4:$AR$4,1,26-Projects!$C$37+1),0)+IF(AND(Projects!$G$38="Yes",Projects!$M$38="Yes",26&gt;=Projects!$C$38,26&lt;Projects!$C$38+Projects!$D$38),Projects!$B$38*INDEX(Curves!$B$4:$AR$4,1,26-Projects!$C$38+1),0)+IF(AND(Projects!$G$39="Yes",Projects!$M$39="Yes",26&gt;=Projects!$C$39,26&lt;Projects!$C$39+Projects!$D$39),Projects!$B$39*INDEX(Curves!$B$4:$AR$4,1,26-Projects!$C$39+1),0)+IF(AND(Projects!$G$40="Yes",Projects!$M$40="Yes",26&gt;=Projects!$C$40,26&lt;Projects!$C$40+Projects!$D$40),Projects!$B$40*INDEX(Curves!$B$4:$AR$4,1,26-Projects!$C$40+1),0)+IF(AND(Projects!$G$41="Yes",Projects!$M$41="Yes",26&gt;=Projects!$C$41,26&lt;Projects!$C$41+Projects!$D$41),Projects!$B$41*INDEX(Curves!$B$4:$AR$4,1,26-Projects!$C$41+1),0)+IF(AND(Projects!$G$42="Yes",Projects!$M$42="Yes",26&gt;=Projects!$C$42,26&lt;Projects!$C$42+Projects!$D$42),Projects!$B$42*INDEX(Curves!$B$4:$AR$4,1,26-Projects!$C$42+1),0)+IF(AND(Projects!$G$43="Yes",Projects!$M$43="Yes",26&gt;=Projects!$C$43,26&lt;Projects!$C$43+Projects!$D$43),Projects!$B$43*INDEX(Curves!$B$4:$AR$4,1,26-Projects!$C$43+1),0)+IF(AND(Projects!$G$44="Yes",Projects!$M$44="Yes",26&gt;=Projects!$C$44,26&lt;Projects!$C$44+Projects!$D$44),Projects!$B$44*INDEX(Curves!$B$4:$AR$4,1,26-Projects!$C$44+1),0)+IF(AND(Projects!$G$45="Yes",Projects!$M$45="Yes",26&gt;=Projects!$C$45,26&lt;Projects!$C$45+Projects!$D$45),Projects!$B$45*INDEX(Curves!$B$4:$AR$4,1,26-Projects!$C$45+1),0)+IF(AND(Projects!$G$46="Yes",Projects!$M$46="Yes",26&gt;=Projects!$C$46,26&lt;Projects!$C$46+Projects!$D$46),Projects!$B$46*INDEX(Curves!$B$4:$AR$4,1,26-Projects!$C$46+1),0)</f>
        <v>0</v>
      </c>
      <c r="AF101" s="87" t="n">
        <f aca="false">IF(AND(Projects!$G$17="Yes",Projects!$M$17="Yes",27&gt;=Projects!$C$17,27&lt;Projects!$C$17+Projects!$D$17),Projects!$B$17*INDEX(Curves!$B$4:$AR$4,1,27-Projects!$C$17+1),0)+IF(AND(Projects!$G$18="Yes",Projects!$M$18="Yes",27&gt;=Projects!$C$18,27&lt;Projects!$C$18+Projects!$D$18),Projects!$B$18*INDEX(Curves!$B$4:$AR$4,1,27-Projects!$C$18+1),0)+IF(AND(Projects!$G$19="Yes",Projects!$M$19="Yes",27&gt;=Projects!$C$19,27&lt;Projects!$C$19+Projects!$D$19),Projects!$B$19*INDEX(Curves!$B$4:$AR$4,1,27-Projects!$C$19+1),0)+IF(AND(Projects!$G$20="Yes",Projects!$M$20="Yes",27&gt;=Projects!$C$20,27&lt;Projects!$C$20+Projects!$D$20),Projects!$B$20*INDEX(Curves!$B$4:$AR$4,1,27-Projects!$C$20+1),0)+IF(AND(Projects!$G$21="Yes",Projects!$M$21="Yes",27&gt;=Projects!$C$21,27&lt;Projects!$C$21+Projects!$D$21),Projects!$B$21*INDEX(Curves!$B$4:$AR$4,1,27-Projects!$C$21+1),0)+IF(AND(Projects!$G$22="Yes",Projects!$M$22="Yes",27&gt;=Projects!$C$22,27&lt;Projects!$C$22+Projects!$D$22),Projects!$B$22*INDEX(Curves!$B$4:$AR$4,1,27-Projects!$C$22+1),0)+IF(AND(Projects!$G$23="Yes",Projects!$M$23="Yes",27&gt;=Projects!$C$23,27&lt;Projects!$C$23+Projects!$D$23),Projects!$B$23*INDEX(Curves!$B$4:$AR$4,1,27-Projects!$C$23+1),0)+IF(AND(Projects!$G$24="Yes",Projects!$M$24="Yes",27&gt;=Projects!$C$24,27&lt;Projects!$C$24+Projects!$D$24),Projects!$B$24*INDEX(Curves!$B$4:$AR$4,1,27-Projects!$C$24+1),0)+IF(AND(Projects!$G$25="Yes",Projects!$M$25="Yes",27&gt;=Projects!$C$25,27&lt;Projects!$C$25+Projects!$D$25),Projects!$B$25*INDEX(Curves!$B$4:$AR$4,1,27-Projects!$C$25+1),0)+IF(AND(Projects!$G$26="Yes",Projects!$M$26="Yes",27&gt;=Projects!$C$26,27&lt;Projects!$C$26+Projects!$D$26),Projects!$B$26*INDEX(Curves!$B$4:$AR$4,1,27-Projects!$C$26+1),0)+IF(AND(Projects!$G$27="Yes",Projects!$M$27="Yes",27&gt;=Projects!$C$27,27&lt;Projects!$C$27+Projects!$D$27),Projects!$B$27*INDEX(Curves!$B$4:$AR$4,1,27-Projects!$C$27+1),0)+IF(AND(Projects!$G$28="Yes",Projects!$M$28="Yes",27&gt;=Projects!$C$28,27&lt;Projects!$C$28+Projects!$D$28),Projects!$B$28*INDEX(Curves!$B$4:$AR$4,1,27-Projects!$C$28+1),0)+IF(AND(Projects!$G$29="Yes",Projects!$M$29="Yes",27&gt;=Projects!$C$29,27&lt;Projects!$C$29+Projects!$D$29),Projects!$B$29*INDEX(Curves!$B$4:$AR$4,1,27-Projects!$C$29+1),0)+IF(AND(Projects!$G$30="Yes",Projects!$M$30="Yes",27&gt;=Projects!$C$30,27&lt;Projects!$C$30+Projects!$D$30),Projects!$B$30*INDEX(Curves!$B$4:$AR$4,1,27-Projects!$C$30+1),0)+IF(AND(Projects!$G$31="Yes",Projects!$M$31="Yes",27&gt;=Projects!$C$31,27&lt;Projects!$C$31+Projects!$D$31),Projects!$B$31*INDEX(Curves!$B$4:$AR$4,1,27-Projects!$C$31+1),0)+IF(AND(Projects!$G$32="Yes",Projects!$M$32="Yes",27&gt;=Projects!$C$32,27&lt;Projects!$C$32+Projects!$D$32),Projects!$B$32*INDEX(Curves!$B$4:$AR$4,1,27-Projects!$C$32+1),0)+IF(AND(Projects!$G$33="Yes",Projects!$M$33="Yes",27&gt;=Projects!$C$33,27&lt;Projects!$C$33+Projects!$D$33),Projects!$B$33*INDEX(Curves!$B$4:$AR$4,1,27-Projects!$C$33+1),0)+IF(AND(Projects!$G$34="Yes",Projects!$M$34="Yes",27&gt;=Projects!$C$34,27&lt;Projects!$C$34+Projects!$D$34),Projects!$B$34*INDEX(Curves!$B$4:$AR$4,1,27-Projects!$C$34+1),0)+IF(AND(Projects!$G$35="Yes",Projects!$M$35="Yes",27&gt;=Projects!$C$35,27&lt;Projects!$C$35+Projects!$D$35),Projects!$B$35*INDEX(Curves!$B$4:$AR$4,1,27-Projects!$C$35+1),0)+IF(AND(Projects!$G$36="Yes",Projects!$M$36="Yes",27&gt;=Projects!$C$36,27&lt;Projects!$C$36+Projects!$D$36),Projects!$B$36*INDEX(Curves!$B$4:$AR$4,1,27-Projects!$C$36+1),0)+IF(AND(Projects!$G$37="Yes",Projects!$M$37="Yes",27&gt;=Projects!$C$37,27&lt;Projects!$C$37+Projects!$D$37),Projects!$B$37*INDEX(Curves!$B$4:$AR$4,1,27-Projects!$C$37+1),0)+IF(AND(Projects!$G$38="Yes",Projects!$M$38="Yes",27&gt;=Projects!$C$38,27&lt;Projects!$C$38+Projects!$D$38),Projects!$B$38*INDEX(Curves!$B$4:$AR$4,1,27-Projects!$C$38+1),0)+IF(AND(Projects!$G$39="Yes",Projects!$M$39="Yes",27&gt;=Projects!$C$39,27&lt;Projects!$C$39+Projects!$D$39),Projects!$B$39*INDEX(Curves!$B$4:$AR$4,1,27-Projects!$C$39+1),0)+IF(AND(Projects!$G$40="Yes",Projects!$M$40="Yes",27&gt;=Projects!$C$40,27&lt;Projects!$C$40+Projects!$D$40),Projects!$B$40*INDEX(Curves!$B$4:$AR$4,1,27-Projects!$C$40+1),0)+IF(AND(Projects!$G$41="Yes",Projects!$M$41="Yes",27&gt;=Projects!$C$41,27&lt;Projects!$C$41+Projects!$D$41),Projects!$B$41*INDEX(Curves!$B$4:$AR$4,1,27-Projects!$C$41+1),0)+IF(AND(Projects!$G$42="Yes",Projects!$M$42="Yes",27&gt;=Projects!$C$42,27&lt;Projects!$C$42+Projects!$D$42),Projects!$B$42*INDEX(Curves!$B$4:$AR$4,1,27-Projects!$C$42+1),0)+IF(AND(Projects!$G$43="Yes",Projects!$M$43="Yes",27&gt;=Projects!$C$43,27&lt;Projects!$C$43+Projects!$D$43),Projects!$B$43*INDEX(Curves!$B$4:$AR$4,1,27-Projects!$C$43+1),0)+IF(AND(Projects!$G$44="Yes",Projects!$M$44="Yes",27&gt;=Projects!$C$44,27&lt;Projects!$C$44+Projects!$D$44),Projects!$B$44*INDEX(Curves!$B$4:$AR$4,1,27-Projects!$C$44+1),0)+IF(AND(Projects!$G$45="Yes",Projects!$M$45="Yes",27&gt;=Projects!$C$45,27&lt;Projects!$C$45+Projects!$D$45),Projects!$B$45*INDEX(Curves!$B$4:$AR$4,1,27-Projects!$C$45+1),0)+IF(AND(Projects!$G$46="Yes",Projects!$M$46="Yes",27&gt;=Projects!$C$46,27&lt;Projects!$C$46+Projects!$D$46),Projects!$B$46*INDEX(Curves!$B$4:$AR$4,1,27-Projects!$C$46+1),0)</f>
        <v>0</v>
      </c>
      <c r="AG101" s="87" t="n">
        <f aca="false">IF(AND(Projects!$G$17="Yes",Projects!$M$17="Yes",28&gt;=Projects!$C$17,28&lt;Projects!$C$17+Projects!$D$17),Projects!$B$17*INDEX(Curves!$B$4:$AR$4,1,28-Projects!$C$17+1),0)+IF(AND(Projects!$G$18="Yes",Projects!$M$18="Yes",28&gt;=Projects!$C$18,28&lt;Projects!$C$18+Projects!$D$18),Projects!$B$18*INDEX(Curves!$B$4:$AR$4,1,28-Projects!$C$18+1),0)+IF(AND(Projects!$G$19="Yes",Projects!$M$19="Yes",28&gt;=Projects!$C$19,28&lt;Projects!$C$19+Projects!$D$19),Projects!$B$19*INDEX(Curves!$B$4:$AR$4,1,28-Projects!$C$19+1),0)+IF(AND(Projects!$G$20="Yes",Projects!$M$20="Yes",28&gt;=Projects!$C$20,28&lt;Projects!$C$20+Projects!$D$20),Projects!$B$20*INDEX(Curves!$B$4:$AR$4,1,28-Projects!$C$20+1),0)+IF(AND(Projects!$G$21="Yes",Projects!$M$21="Yes",28&gt;=Projects!$C$21,28&lt;Projects!$C$21+Projects!$D$21),Projects!$B$21*INDEX(Curves!$B$4:$AR$4,1,28-Projects!$C$21+1),0)+IF(AND(Projects!$G$22="Yes",Projects!$M$22="Yes",28&gt;=Projects!$C$22,28&lt;Projects!$C$22+Projects!$D$22),Projects!$B$22*INDEX(Curves!$B$4:$AR$4,1,28-Projects!$C$22+1),0)+IF(AND(Projects!$G$23="Yes",Projects!$M$23="Yes",28&gt;=Projects!$C$23,28&lt;Projects!$C$23+Projects!$D$23),Projects!$B$23*INDEX(Curves!$B$4:$AR$4,1,28-Projects!$C$23+1),0)+IF(AND(Projects!$G$24="Yes",Projects!$M$24="Yes",28&gt;=Projects!$C$24,28&lt;Projects!$C$24+Projects!$D$24),Projects!$B$24*INDEX(Curves!$B$4:$AR$4,1,28-Projects!$C$24+1),0)+IF(AND(Projects!$G$25="Yes",Projects!$M$25="Yes",28&gt;=Projects!$C$25,28&lt;Projects!$C$25+Projects!$D$25),Projects!$B$25*INDEX(Curves!$B$4:$AR$4,1,28-Projects!$C$25+1),0)+IF(AND(Projects!$G$26="Yes",Projects!$M$26="Yes",28&gt;=Projects!$C$26,28&lt;Projects!$C$26+Projects!$D$26),Projects!$B$26*INDEX(Curves!$B$4:$AR$4,1,28-Projects!$C$26+1),0)+IF(AND(Projects!$G$27="Yes",Projects!$M$27="Yes",28&gt;=Projects!$C$27,28&lt;Projects!$C$27+Projects!$D$27),Projects!$B$27*INDEX(Curves!$B$4:$AR$4,1,28-Projects!$C$27+1),0)+IF(AND(Projects!$G$28="Yes",Projects!$M$28="Yes",28&gt;=Projects!$C$28,28&lt;Projects!$C$28+Projects!$D$28),Projects!$B$28*INDEX(Curves!$B$4:$AR$4,1,28-Projects!$C$28+1),0)+IF(AND(Projects!$G$29="Yes",Projects!$M$29="Yes",28&gt;=Projects!$C$29,28&lt;Projects!$C$29+Projects!$D$29),Projects!$B$29*INDEX(Curves!$B$4:$AR$4,1,28-Projects!$C$29+1),0)+IF(AND(Projects!$G$30="Yes",Projects!$M$30="Yes",28&gt;=Projects!$C$30,28&lt;Projects!$C$30+Projects!$D$30),Projects!$B$30*INDEX(Curves!$B$4:$AR$4,1,28-Projects!$C$30+1),0)+IF(AND(Projects!$G$31="Yes",Projects!$M$31="Yes",28&gt;=Projects!$C$31,28&lt;Projects!$C$31+Projects!$D$31),Projects!$B$31*INDEX(Curves!$B$4:$AR$4,1,28-Projects!$C$31+1),0)+IF(AND(Projects!$G$32="Yes",Projects!$M$32="Yes",28&gt;=Projects!$C$32,28&lt;Projects!$C$32+Projects!$D$32),Projects!$B$32*INDEX(Curves!$B$4:$AR$4,1,28-Projects!$C$32+1),0)+IF(AND(Projects!$G$33="Yes",Projects!$M$33="Yes",28&gt;=Projects!$C$33,28&lt;Projects!$C$33+Projects!$D$33),Projects!$B$33*INDEX(Curves!$B$4:$AR$4,1,28-Projects!$C$33+1),0)+IF(AND(Projects!$G$34="Yes",Projects!$M$34="Yes",28&gt;=Projects!$C$34,28&lt;Projects!$C$34+Projects!$D$34),Projects!$B$34*INDEX(Curves!$B$4:$AR$4,1,28-Projects!$C$34+1),0)+IF(AND(Projects!$G$35="Yes",Projects!$M$35="Yes",28&gt;=Projects!$C$35,28&lt;Projects!$C$35+Projects!$D$35),Projects!$B$35*INDEX(Curves!$B$4:$AR$4,1,28-Projects!$C$35+1),0)+IF(AND(Projects!$G$36="Yes",Projects!$M$36="Yes",28&gt;=Projects!$C$36,28&lt;Projects!$C$36+Projects!$D$36),Projects!$B$36*INDEX(Curves!$B$4:$AR$4,1,28-Projects!$C$36+1),0)+IF(AND(Projects!$G$37="Yes",Projects!$M$37="Yes",28&gt;=Projects!$C$37,28&lt;Projects!$C$37+Projects!$D$37),Projects!$B$37*INDEX(Curves!$B$4:$AR$4,1,28-Projects!$C$37+1),0)+IF(AND(Projects!$G$38="Yes",Projects!$M$38="Yes",28&gt;=Projects!$C$38,28&lt;Projects!$C$38+Projects!$D$38),Projects!$B$38*INDEX(Curves!$B$4:$AR$4,1,28-Projects!$C$38+1),0)+IF(AND(Projects!$G$39="Yes",Projects!$M$39="Yes",28&gt;=Projects!$C$39,28&lt;Projects!$C$39+Projects!$D$39),Projects!$B$39*INDEX(Curves!$B$4:$AR$4,1,28-Projects!$C$39+1),0)+IF(AND(Projects!$G$40="Yes",Projects!$M$40="Yes",28&gt;=Projects!$C$40,28&lt;Projects!$C$40+Projects!$D$40),Projects!$B$40*INDEX(Curves!$B$4:$AR$4,1,28-Projects!$C$40+1),0)+IF(AND(Projects!$G$41="Yes",Projects!$M$41="Yes",28&gt;=Projects!$C$41,28&lt;Projects!$C$41+Projects!$D$41),Projects!$B$41*INDEX(Curves!$B$4:$AR$4,1,28-Projects!$C$41+1),0)+IF(AND(Projects!$G$42="Yes",Projects!$M$42="Yes",28&gt;=Projects!$C$42,28&lt;Projects!$C$42+Projects!$D$42),Projects!$B$42*INDEX(Curves!$B$4:$AR$4,1,28-Projects!$C$42+1),0)+IF(AND(Projects!$G$43="Yes",Projects!$M$43="Yes",28&gt;=Projects!$C$43,28&lt;Projects!$C$43+Projects!$D$43),Projects!$B$43*INDEX(Curves!$B$4:$AR$4,1,28-Projects!$C$43+1),0)+IF(AND(Projects!$G$44="Yes",Projects!$M$44="Yes",28&gt;=Projects!$C$44,28&lt;Projects!$C$44+Projects!$D$44),Projects!$B$44*INDEX(Curves!$B$4:$AR$4,1,28-Projects!$C$44+1),0)+IF(AND(Projects!$G$45="Yes",Projects!$M$45="Yes",28&gt;=Projects!$C$45,28&lt;Projects!$C$45+Projects!$D$45),Projects!$B$45*INDEX(Curves!$B$4:$AR$4,1,28-Projects!$C$45+1),0)+IF(AND(Projects!$G$46="Yes",Projects!$M$46="Yes",28&gt;=Projects!$C$46,28&lt;Projects!$C$46+Projects!$D$46),Projects!$B$46*INDEX(Curves!$B$4:$AR$4,1,28-Projects!$C$46+1),0)</f>
        <v>0</v>
      </c>
      <c r="AH101" s="87" t="n">
        <f aca="false">IF(AND(Projects!$G$17="Yes",Projects!$M$17="Yes",29&gt;=Projects!$C$17,29&lt;Projects!$C$17+Projects!$D$17),Projects!$B$17*INDEX(Curves!$B$4:$AR$4,1,29-Projects!$C$17+1),0)+IF(AND(Projects!$G$18="Yes",Projects!$M$18="Yes",29&gt;=Projects!$C$18,29&lt;Projects!$C$18+Projects!$D$18),Projects!$B$18*INDEX(Curves!$B$4:$AR$4,1,29-Projects!$C$18+1),0)+IF(AND(Projects!$G$19="Yes",Projects!$M$19="Yes",29&gt;=Projects!$C$19,29&lt;Projects!$C$19+Projects!$D$19),Projects!$B$19*INDEX(Curves!$B$4:$AR$4,1,29-Projects!$C$19+1),0)+IF(AND(Projects!$G$20="Yes",Projects!$M$20="Yes",29&gt;=Projects!$C$20,29&lt;Projects!$C$20+Projects!$D$20),Projects!$B$20*INDEX(Curves!$B$4:$AR$4,1,29-Projects!$C$20+1),0)+IF(AND(Projects!$G$21="Yes",Projects!$M$21="Yes",29&gt;=Projects!$C$21,29&lt;Projects!$C$21+Projects!$D$21),Projects!$B$21*INDEX(Curves!$B$4:$AR$4,1,29-Projects!$C$21+1),0)+IF(AND(Projects!$G$22="Yes",Projects!$M$22="Yes",29&gt;=Projects!$C$22,29&lt;Projects!$C$22+Projects!$D$22),Projects!$B$22*INDEX(Curves!$B$4:$AR$4,1,29-Projects!$C$22+1),0)+IF(AND(Projects!$G$23="Yes",Projects!$M$23="Yes",29&gt;=Projects!$C$23,29&lt;Projects!$C$23+Projects!$D$23),Projects!$B$23*INDEX(Curves!$B$4:$AR$4,1,29-Projects!$C$23+1),0)+IF(AND(Projects!$G$24="Yes",Projects!$M$24="Yes",29&gt;=Projects!$C$24,29&lt;Projects!$C$24+Projects!$D$24),Projects!$B$24*INDEX(Curves!$B$4:$AR$4,1,29-Projects!$C$24+1),0)+IF(AND(Projects!$G$25="Yes",Projects!$M$25="Yes",29&gt;=Projects!$C$25,29&lt;Projects!$C$25+Projects!$D$25),Projects!$B$25*INDEX(Curves!$B$4:$AR$4,1,29-Projects!$C$25+1),0)+IF(AND(Projects!$G$26="Yes",Projects!$M$26="Yes",29&gt;=Projects!$C$26,29&lt;Projects!$C$26+Projects!$D$26),Projects!$B$26*INDEX(Curves!$B$4:$AR$4,1,29-Projects!$C$26+1),0)+IF(AND(Projects!$G$27="Yes",Projects!$M$27="Yes",29&gt;=Projects!$C$27,29&lt;Projects!$C$27+Projects!$D$27),Projects!$B$27*INDEX(Curves!$B$4:$AR$4,1,29-Projects!$C$27+1),0)+IF(AND(Projects!$G$28="Yes",Projects!$M$28="Yes",29&gt;=Projects!$C$28,29&lt;Projects!$C$28+Projects!$D$28),Projects!$B$28*INDEX(Curves!$B$4:$AR$4,1,29-Projects!$C$28+1),0)+IF(AND(Projects!$G$29="Yes",Projects!$M$29="Yes",29&gt;=Projects!$C$29,29&lt;Projects!$C$29+Projects!$D$29),Projects!$B$29*INDEX(Curves!$B$4:$AR$4,1,29-Projects!$C$29+1),0)+IF(AND(Projects!$G$30="Yes",Projects!$M$30="Yes",29&gt;=Projects!$C$30,29&lt;Projects!$C$30+Projects!$D$30),Projects!$B$30*INDEX(Curves!$B$4:$AR$4,1,29-Projects!$C$30+1),0)+IF(AND(Projects!$G$31="Yes",Projects!$M$31="Yes",29&gt;=Projects!$C$31,29&lt;Projects!$C$31+Projects!$D$31),Projects!$B$31*INDEX(Curves!$B$4:$AR$4,1,29-Projects!$C$31+1),0)+IF(AND(Projects!$G$32="Yes",Projects!$M$32="Yes",29&gt;=Projects!$C$32,29&lt;Projects!$C$32+Projects!$D$32),Projects!$B$32*INDEX(Curves!$B$4:$AR$4,1,29-Projects!$C$32+1),0)+IF(AND(Projects!$G$33="Yes",Projects!$M$33="Yes",29&gt;=Projects!$C$33,29&lt;Projects!$C$33+Projects!$D$33),Projects!$B$33*INDEX(Curves!$B$4:$AR$4,1,29-Projects!$C$33+1),0)+IF(AND(Projects!$G$34="Yes",Projects!$M$34="Yes",29&gt;=Projects!$C$34,29&lt;Projects!$C$34+Projects!$D$34),Projects!$B$34*INDEX(Curves!$B$4:$AR$4,1,29-Projects!$C$34+1),0)+IF(AND(Projects!$G$35="Yes",Projects!$M$35="Yes",29&gt;=Projects!$C$35,29&lt;Projects!$C$35+Projects!$D$35),Projects!$B$35*INDEX(Curves!$B$4:$AR$4,1,29-Projects!$C$35+1),0)+IF(AND(Projects!$G$36="Yes",Projects!$M$36="Yes",29&gt;=Projects!$C$36,29&lt;Projects!$C$36+Projects!$D$36),Projects!$B$36*INDEX(Curves!$B$4:$AR$4,1,29-Projects!$C$36+1),0)+IF(AND(Projects!$G$37="Yes",Projects!$M$37="Yes",29&gt;=Projects!$C$37,29&lt;Projects!$C$37+Projects!$D$37),Projects!$B$37*INDEX(Curves!$B$4:$AR$4,1,29-Projects!$C$37+1),0)+IF(AND(Projects!$G$38="Yes",Projects!$M$38="Yes",29&gt;=Projects!$C$38,29&lt;Projects!$C$38+Projects!$D$38),Projects!$B$38*INDEX(Curves!$B$4:$AR$4,1,29-Projects!$C$38+1),0)+IF(AND(Projects!$G$39="Yes",Projects!$M$39="Yes",29&gt;=Projects!$C$39,29&lt;Projects!$C$39+Projects!$D$39),Projects!$B$39*INDEX(Curves!$B$4:$AR$4,1,29-Projects!$C$39+1),0)+IF(AND(Projects!$G$40="Yes",Projects!$M$40="Yes",29&gt;=Projects!$C$40,29&lt;Projects!$C$40+Projects!$D$40),Projects!$B$40*INDEX(Curves!$B$4:$AR$4,1,29-Projects!$C$40+1),0)+IF(AND(Projects!$G$41="Yes",Projects!$M$41="Yes",29&gt;=Projects!$C$41,29&lt;Projects!$C$41+Projects!$D$41),Projects!$B$41*INDEX(Curves!$B$4:$AR$4,1,29-Projects!$C$41+1),0)+IF(AND(Projects!$G$42="Yes",Projects!$M$42="Yes",29&gt;=Projects!$C$42,29&lt;Projects!$C$42+Projects!$D$42),Projects!$B$42*INDEX(Curves!$B$4:$AR$4,1,29-Projects!$C$42+1),0)+IF(AND(Projects!$G$43="Yes",Projects!$M$43="Yes",29&gt;=Projects!$C$43,29&lt;Projects!$C$43+Projects!$D$43),Projects!$B$43*INDEX(Curves!$B$4:$AR$4,1,29-Projects!$C$43+1),0)+IF(AND(Projects!$G$44="Yes",Projects!$M$44="Yes",29&gt;=Projects!$C$44,29&lt;Projects!$C$44+Projects!$D$44),Projects!$B$44*INDEX(Curves!$B$4:$AR$4,1,29-Projects!$C$44+1),0)+IF(AND(Projects!$G$45="Yes",Projects!$M$45="Yes",29&gt;=Projects!$C$45,29&lt;Projects!$C$45+Projects!$D$45),Projects!$B$45*INDEX(Curves!$B$4:$AR$4,1,29-Projects!$C$45+1),0)+IF(AND(Projects!$G$46="Yes",Projects!$M$46="Yes",29&gt;=Projects!$C$46,29&lt;Projects!$C$46+Projects!$D$46),Projects!$B$46*INDEX(Curves!$B$4:$AR$4,1,29-Projects!$C$46+1),0)</f>
        <v>0</v>
      </c>
      <c r="AI101" s="87" t="n">
        <f aca="false">IF(AND(Projects!$G$17="Yes",Projects!$M$17="Yes",30&gt;=Projects!$C$17,30&lt;Projects!$C$17+Projects!$D$17),Projects!$B$17*INDEX(Curves!$B$4:$AR$4,1,30-Projects!$C$17+1),0)+IF(AND(Projects!$G$18="Yes",Projects!$M$18="Yes",30&gt;=Projects!$C$18,30&lt;Projects!$C$18+Projects!$D$18),Projects!$B$18*INDEX(Curves!$B$4:$AR$4,1,30-Projects!$C$18+1),0)+IF(AND(Projects!$G$19="Yes",Projects!$M$19="Yes",30&gt;=Projects!$C$19,30&lt;Projects!$C$19+Projects!$D$19),Projects!$B$19*INDEX(Curves!$B$4:$AR$4,1,30-Projects!$C$19+1),0)+IF(AND(Projects!$G$20="Yes",Projects!$M$20="Yes",30&gt;=Projects!$C$20,30&lt;Projects!$C$20+Projects!$D$20),Projects!$B$20*INDEX(Curves!$B$4:$AR$4,1,30-Projects!$C$20+1),0)+IF(AND(Projects!$G$21="Yes",Projects!$M$21="Yes",30&gt;=Projects!$C$21,30&lt;Projects!$C$21+Projects!$D$21),Projects!$B$21*INDEX(Curves!$B$4:$AR$4,1,30-Projects!$C$21+1),0)+IF(AND(Projects!$G$22="Yes",Projects!$M$22="Yes",30&gt;=Projects!$C$22,30&lt;Projects!$C$22+Projects!$D$22),Projects!$B$22*INDEX(Curves!$B$4:$AR$4,1,30-Projects!$C$22+1),0)+IF(AND(Projects!$G$23="Yes",Projects!$M$23="Yes",30&gt;=Projects!$C$23,30&lt;Projects!$C$23+Projects!$D$23),Projects!$B$23*INDEX(Curves!$B$4:$AR$4,1,30-Projects!$C$23+1),0)+IF(AND(Projects!$G$24="Yes",Projects!$M$24="Yes",30&gt;=Projects!$C$24,30&lt;Projects!$C$24+Projects!$D$24),Projects!$B$24*INDEX(Curves!$B$4:$AR$4,1,30-Projects!$C$24+1),0)+IF(AND(Projects!$G$25="Yes",Projects!$M$25="Yes",30&gt;=Projects!$C$25,30&lt;Projects!$C$25+Projects!$D$25),Projects!$B$25*INDEX(Curves!$B$4:$AR$4,1,30-Projects!$C$25+1),0)+IF(AND(Projects!$G$26="Yes",Projects!$M$26="Yes",30&gt;=Projects!$C$26,30&lt;Projects!$C$26+Projects!$D$26),Projects!$B$26*INDEX(Curves!$B$4:$AR$4,1,30-Projects!$C$26+1),0)+IF(AND(Projects!$G$27="Yes",Projects!$M$27="Yes",30&gt;=Projects!$C$27,30&lt;Projects!$C$27+Projects!$D$27),Projects!$B$27*INDEX(Curves!$B$4:$AR$4,1,30-Projects!$C$27+1),0)+IF(AND(Projects!$G$28="Yes",Projects!$M$28="Yes",30&gt;=Projects!$C$28,30&lt;Projects!$C$28+Projects!$D$28),Projects!$B$28*INDEX(Curves!$B$4:$AR$4,1,30-Projects!$C$28+1),0)+IF(AND(Projects!$G$29="Yes",Projects!$M$29="Yes",30&gt;=Projects!$C$29,30&lt;Projects!$C$29+Projects!$D$29),Projects!$B$29*INDEX(Curves!$B$4:$AR$4,1,30-Projects!$C$29+1),0)+IF(AND(Projects!$G$30="Yes",Projects!$M$30="Yes",30&gt;=Projects!$C$30,30&lt;Projects!$C$30+Projects!$D$30),Projects!$B$30*INDEX(Curves!$B$4:$AR$4,1,30-Projects!$C$30+1),0)+IF(AND(Projects!$G$31="Yes",Projects!$M$31="Yes",30&gt;=Projects!$C$31,30&lt;Projects!$C$31+Projects!$D$31),Projects!$B$31*INDEX(Curves!$B$4:$AR$4,1,30-Projects!$C$31+1),0)+IF(AND(Projects!$G$32="Yes",Projects!$M$32="Yes",30&gt;=Projects!$C$32,30&lt;Projects!$C$32+Projects!$D$32),Projects!$B$32*INDEX(Curves!$B$4:$AR$4,1,30-Projects!$C$32+1),0)+IF(AND(Projects!$G$33="Yes",Projects!$M$33="Yes",30&gt;=Projects!$C$33,30&lt;Projects!$C$33+Projects!$D$33),Projects!$B$33*INDEX(Curves!$B$4:$AR$4,1,30-Projects!$C$33+1),0)+IF(AND(Projects!$G$34="Yes",Projects!$M$34="Yes",30&gt;=Projects!$C$34,30&lt;Projects!$C$34+Projects!$D$34),Projects!$B$34*INDEX(Curves!$B$4:$AR$4,1,30-Projects!$C$34+1),0)+IF(AND(Projects!$G$35="Yes",Projects!$M$35="Yes",30&gt;=Projects!$C$35,30&lt;Projects!$C$35+Projects!$D$35),Projects!$B$35*INDEX(Curves!$B$4:$AR$4,1,30-Projects!$C$35+1),0)+IF(AND(Projects!$G$36="Yes",Projects!$M$36="Yes",30&gt;=Projects!$C$36,30&lt;Projects!$C$36+Projects!$D$36),Projects!$B$36*INDEX(Curves!$B$4:$AR$4,1,30-Projects!$C$36+1),0)+IF(AND(Projects!$G$37="Yes",Projects!$M$37="Yes",30&gt;=Projects!$C$37,30&lt;Projects!$C$37+Projects!$D$37),Projects!$B$37*INDEX(Curves!$B$4:$AR$4,1,30-Projects!$C$37+1),0)+IF(AND(Projects!$G$38="Yes",Projects!$M$38="Yes",30&gt;=Projects!$C$38,30&lt;Projects!$C$38+Projects!$D$38),Projects!$B$38*INDEX(Curves!$B$4:$AR$4,1,30-Projects!$C$38+1),0)+IF(AND(Projects!$G$39="Yes",Projects!$M$39="Yes",30&gt;=Projects!$C$39,30&lt;Projects!$C$39+Projects!$D$39),Projects!$B$39*INDEX(Curves!$B$4:$AR$4,1,30-Projects!$C$39+1),0)+IF(AND(Projects!$G$40="Yes",Projects!$M$40="Yes",30&gt;=Projects!$C$40,30&lt;Projects!$C$40+Projects!$D$40),Projects!$B$40*INDEX(Curves!$B$4:$AR$4,1,30-Projects!$C$40+1),0)+IF(AND(Projects!$G$41="Yes",Projects!$M$41="Yes",30&gt;=Projects!$C$41,30&lt;Projects!$C$41+Projects!$D$41),Projects!$B$41*INDEX(Curves!$B$4:$AR$4,1,30-Projects!$C$41+1),0)+IF(AND(Projects!$G$42="Yes",Projects!$M$42="Yes",30&gt;=Projects!$C$42,30&lt;Projects!$C$42+Projects!$D$42),Projects!$B$42*INDEX(Curves!$B$4:$AR$4,1,30-Projects!$C$42+1),0)+IF(AND(Projects!$G$43="Yes",Projects!$M$43="Yes",30&gt;=Projects!$C$43,30&lt;Projects!$C$43+Projects!$D$43),Projects!$B$43*INDEX(Curves!$B$4:$AR$4,1,30-Projects!$C$43+1),0)+IF(AND(Projects!$G$44="Yes",Projects!$M$44="Yes",30&gt;=Projects!$C$44,30&lt;Projects!$C$44+Projects!$D$44),Projects!$B$44*INDEX(Curves!$B$4:$AR$4,1,30-Projects!$C$44+1),0)+IF(AND(Projects!$G$45="Yes",Projects!$M$45="Yes",30&gt;=Projects!$C$45,30&lt;Projects!$C$45+Projects!$D$45),Projects!$B$45*INDEX(Curves!$B$4:$AR$4,1,30-Projects!$C$45+1),0)+IF(AND(Projects!$G$46="Yes",Projects!$M$46="Yes",30&gt;=Projects!$C$46,30&lt;Projects!$C$46+Projects!$D$46),Projects!$B$46*INDEX(Curves!$B$4:$AR$4,1,30-Projects!$C$46+1),0)</f>
        <v>0</v>
      </c>
      <c r="AJ101" s="87" t="n">
        <f aca="false">IF(AND(Projects!$G$17="Yes",Projects!$M$17="Yes",31&gt;=Projects!$C$17,31&lt;Projects!$C$17+Projects!$D$17),Projects!$B$17*INDEX(Curves!$B$4:$AR$4,1,31-Projects!$C$17+1),0)+IF(AND(Projects!$G$18="Yes",Projects!$M$18="Yes",31&gt;=Projects!$C$18,31&lt;Projects!$C$18+Projects!$D$18),Projects!$B$18*INDEX(Curves!$B$4:$AR$4,1,31-Projects!$C$18+1),0)+IF(AND(Projects!$G$19="Yes",Projects!$M$19="Yes",31&gt;=Projects!$C$19,31&lt;Projects!$C$19+Projects!$D$19),Projects!$B$19*INDEX(Curves!$B$4:$AR$4,1,31-Projects!$C$19+1),0)+IF(AND(Projects!$G$20="Yes",Projects!$M$20="Yes",31&gt;=Projects!$C$20,31&lt;Projects!$C$20+Projects!$D$20),Projects!$B$20*INDEX(Curves!$B$4:$AR$4,1,31-Projects!$C$20+1),0)+IF(AND(Projects!$G$21="Yes",Projects!$M$21="Yes",31&gt;=Projects!$C$21,31&lt;Projects!$C$21+Projects!$D$21),Projects!$B$21*INDEX(Curves!$B$4:$AR$4,1,31-Projects!$C$21+1),0)+IF(AND(Projects!$G$22="Yes",Projects!$M$22="Yes",31&gt;=Projects!$C$22,31&lt;Projects!$C$22+Projects!$D$22),Projects!$B$22*INDEX(Curves!$B$4:$AR$4,1,31-Projects!$C$22+1),0)+IF(AND(Projects!$G$23="Yes",Projects!$M$23="Yes",31&gt;=Projects!$C$23,31&lt;Projects!$C$23+Projects!$D$23),Projects!$B$23*INDEX(Curves!$B$4:$AR$4,1,31-Projects!$C$23+1),0)+IF(AND(Projects!$G$24="Yes",Projects!$M$24="Yes",31&gt;=Projects!$C$24,31&lt;Projects!$C$24+Projects!$D$24),Projects!$B$24*INDEX(Curves!$B$4:$AR$4,1,31-Projects!$C$24+1),0)+IF(AND(Projects!$G$25="Yes",Projects!$M$25="Yes",31&gt;=Projects!$C$25,31&lt;Projects!$C$25+Projects!$D$25),Projects!$B$25*INDEX(Curves!$B$4:$AR$4,1,31-Projects!$C$25+1),0)+IF(AND(Projects!$G$26="Yes",Projects!$M$26="Yes",31&gt;=Projects!$C$26,31&lt;Projects!$C$26+Projects!$D$26),Projects!$B$26*INDEX(Curves!$B$4:$AR$4,1,31-Projects!$C$26+1),0)+IF(AND(Projects!$G$27="Yes",Projects!$M$27="Yes",31&gt;=Projects!$C$27,31&lt;Projects!$C$27+Projects!$D$27),Projects!$B$27*INDEX(Curves!$B$4:$AR$4,1,31-Projects!$C$27+1),0)+IF(AND(Projects!$G$28="Yes",Projects!$M$28="Yes",31&gt;=Projects!$C$28,31&lt;Projects!$C$28+Projects!$D$28),Projects!$B$28*INDEX(Curves!$B$4:$AR$4,1,31-Projects!$C$28+1),0)+IF(AND(Projects!$G$29="Yes",Projects!$M$29="Yes",31&gt;=Projects!$C$29,31&lt;Projects!$C$29+Projects!$D$29),Projects!$B$29*INDEX(Curves!$B$4:$AR$4,1,31-Projects!$C$29+1),0)+IF(AND(Projects!$G$30="Yes",Projects!$M$30="Yes",31&gt;=Projects!$C$30,31&lt;Projects!$C$30+Projects!$D$30),Projects!$B$30*INDEX(Curves!$B$4:$AR$4,1,31-Projects!$C$30+1),0)+IF(AND(Projects!$G$31="Yes",Projects!$M$31="Yes",31&gt;=Projects!$C$31,31&lt;Projects!$C$31+Projects!$D$31),Projects!$B$31*INDEX(Curves!$B$4:$AR$4,1,31-Projects!$C$31+1),0)+IF(AND(Projects!$G$32="Yes",Projects!$M$32="Yes",31&gt;=Projects!$C$32,31&lt;Projects!$C$32+Projects!$D$32),Projects!$B$32*INDEX(Curves!$B$4:$AR$4,1,31-Projects!$C$32+1),0)+IF(AND(Projects!$G$33="Yes",Projects!$M$33="Yes",31&gt;=Projects!$C$33,31&lt;Projects!$C$33+Projects!$D$33),Projects!$B$33*INDEX(Curves!$B$4:$AR$4,1,31-Projects!$C$33+1),0)+IF(AND(Projects!$G$34="Yes",Projects!$M$34="Yes",31&gt;=Projects!$C$34,31&lt;Projects!$C$34+Projects!$D$34),Projects!$B$34*INDEX(Curves!$B$4:$AR$4,1,31-Projects!$C$34+1),0)+IF(AND(Projects!$G$35="Yes",Projects!$M$35="Yes",31&gt;=Projects!$C$35,31&lt;Projects!$C$35+Projects!$D$35),Projects!$B$35*INDEX(Curves!$B$4:$AR$4,1,31-Projects!$C$35+1),0)+IF(AND(Projects!$G$36="Yes",Projects!$M$36="Yes",31&gt;=Projects!$C$36,31&lt;Projects!$C$36+Projects!$D$36),Projects!$B$36*INDEX(Curves!$B$4:$AR$4,1,31-Projects!$C$36+1),0)+IF(AND(Projects!$G$37="Yes",Projects!$M$37="Yes",31&gt;=Projects!$C$37,31&lt;Projects!$C$37+Projects!$D$37),Projects!$B$37*INDEX(Curves!$B$4:$AR$4,1,31-Projects!$C$37+1),0)+IF(AND(Projects!$G$38="Yes",Projects!$M$38="Yes",31&gt;=Projects!$C$38,31&lt;Projects!$C$38+Projects!$D$38),Projects!$B$38*INDEX(Curves!$B$4:$AR$4,1,31-Projects!$C$38+1),0)+IF(AND(Projects!$G$39="Yes",Projects!$M$39="Yes",31&gt;=Projects!$C$39,31&lt;Projects!$C$39+Projects!$D$39),Projects!$B$39*INDEX(Curves!$B$4:$AR$4,1,31-Projects!$C$39+1),0)+IF(AND(Projects!$G$40="Yes",Projects!$M$40="Yes",31&gt;=Projects!$C$40,31&lt;Projects!$C$40+Projects!$D$40),Projects!$B$40*INDEX(Curves!$B$4:$AR$4,1,31-Projects!$C$40+1),0)+IF(AND(Projects!$G$41="Yes",Projects!$M$41="Yes",31&gt;=Projects!$C$41,31&lt;Projects!$C$41+Projects!$D$41),Projects!$B$41*INDEX(Curves!$B$4:$AR$4,1,31-Projects!$C$41+1),0)+IF(AND(Projects!$G$42="Yes",Projects!$M$42="Yes",31&gt;=Projects!$C$42,31&lt;Projects!$C$42+Projects!$D$42),Projects!$B$42*INDEX(Curves!$B$4:$AR$4,1,31-Projects!$C$42+1),0)+IF(AND(Projects!$G$43="Yes",Projects!$M$43="Yes",31&gt;=Projects!$C$43,31&lt;Projects!$C$43+Projects!$D$43),Projects!$B$43*INDEX(Curves!$B$4:$AR$4,1,31-Projects!$C$43+1),0)+IF(AND(Projects!$G$44="Yes",Projects!$M$44="Yes",31&gt;=Projects!$C$44,31&lt;Projects!$C$44+Projects!$D$44),Projects!$B$44*INDEX(Curves!$B$4:$AR$4,1,31-Projects!$C$44+1),0)+IF(AND(Projects!$G$45="Yes",Projects!$M$45="Yes",31&gt;=Projects!$C$45,31&lt;Projects!$C$45+Projects!$D$45),Projects!$B$45*INDEX(Curves!$B$4:$AR$4,1,31-Projects!$C$45+1),0)+IF(AND(Projects!$G$46="Yes",Projects!$M$46="Yes",31&gt;=Projects!$C$46,31&lt;Projects!$C$46+Projects!$D$46),Projects!$B$46*INDEX(Curves!$B$4:$AR$4,1,31-Projects!$C$46+1),0)</f>
        <v>0</v>
      </c>
      <c r="AK101" s="87" t="n">
        <f aca="false">IF(AND(Projects!$G$17="Yes",Projects!$M$17="Yes",32&gt;=Projects!$C$17,32&lt;Projects!$C$17+Projects!$D$17),Projects!$B$17*INDEX(Curves!$B$4:$AR$4,1,32-Projects!$C$17+1),0)+IF(AND(Projects!$G$18="Yes",Projects!$M$18="Yes",32&gt;=Projects!$C$18,32&lt;Projects!$C$18+Projects!$D$18),Projects!$B$18*INDEX(Curves!$B$4:$AR$4,1,32-Projects!$C$18+1),0)+IF(AND(Projects!$G$19="Yes",Projects!$M$19="Yes",32&gt;=Projects!$C$19,32&lt;Projects!$C$19+Projects!$D$19),Projects!$B$19*INDEX(Curves!$B$4:$AR$4,1,32-Projects!$C$19+1),0)+IF(AND(Projects!$G$20="Yes",Projects!$M$20="Yes",32&gt;=Projects!$C$20,32&lt;Projects!$C$20+Projects!$D$20),Projects!$B$20*INDEX(Curves!$B$4:$AR$4,1,32-Projects!$C$20+1),0)+IF(AND(Projects!$G$21="Yes",Projects!$M$21="Yes",32&gt;=Projects!$C$21,32&lt;Projects!$C$21+Projects!$D$21),Projects!$B$21*INDEX(Curves!$B$4:$AR$4,1,32-Projects!$C$21+1),0)+IF(AND(Projects!$G$22="Yes",Projects!$M$22="Yes",32&gt;=Projects!$C$22,32&lt;Projects!$C$22+Projects!$D$22),Projects!$B$22*INDEX(Curves!$B$4:$AR$4,1,32-Projects!$C$22+1),0)+IF(AND(Projects!$G$23="Yes",Projects!$M$23="Yes",32&gt;=Projects!$C$23,32&lt;Projects!$C$23+Projects!$D$23),Projects!$B$23*INDEX(Curves!$B$4:$AR$4,1,32-Projects!$C$23+1),0)+IF(AND(Projects!$G$24="Yes",Projects!$M$24="Yes",32&gt;=Projects!$C$24,32&lt;Projects!$C$24+Projects!$D$24),Projects!$B$24*INDEX(Curves!$B$4:$AR$4,1,32-Projects!$C$24+1),0)+IF(AND(Projects!$G$25="Yes",Projects!$M$25="Yes",32&gt;=Projects!$C$25,32&lt;Projects!$C$25+Projects!$D$25),Projects!$B$25*INDEX(Curves!$B$4:$AR$4,1,32-Projects!$C$25+1),0)+IF(AND(Projects!$G$26="Yes",Projects!$M$26="Yes",32&gt;=Projects!$C$26,32&lt;Projects!$C$26+Projects!$D$26),Projects!$B$26*INDEX(Curves!$B$4:$AR$4,1,32-Projects!$C$26+1),0)+IF(AND(Projects!$G$27="Yes",Projects!$M$27="Yes",32&gt;=Projects!$C$27,32&lt;Projects!$C$27+Projects!$D$27),Projects!$B$27*INDEX(Curves!$B$4:$AR$4,1,32-Projects!$C$27+1),0)+IF(AND(Projects!$G$28="Yes",Projects!$M$28="Yes",32&gt;=Projects!$C$28,32&lt;Projects!$C$28+Projects!$D$28),Projects!$B$28*INDEX(Curves!$B$4:$AR$4,1,32-Projects!$C$28+1),0)+IF(AND(Projects!$G$29="Yes",Projects!$M$29="Yes",32&gt;=Projects!$C$29,32&lt;Projects!$C$29+Projects!$D$29),Projects!$B$29*INDEX(Curves!$B$4:$AR$4,1,32-Projects!$C$29+1),0)+IF(AND(Projects!$G$30="Yes",Projects!$M$30="Yes",32&gt;=Projects!$C$30,32&lt;Projects!$C$30+Projects!$D$30),Projects!$B$30*INDEX(Curves!$B$4:$AR$4,1,32-Projects!$C$30+1),0)+IF(AND(Projects!$G$31="Yes",Projects!$M$31="Yes",32&gt;=Projects!$C$31,32&lt;Projects!$C$31+Projects!$D$31),Projects!$B$31*INDEX(Curves!$B$4:$AR$4,1,32-Projects!$C$31+1),0)+IF(AND(Projects!$G$32="Yes",Projects!$M$32="Yes",32&gt;=Projects!$C$32,32&lt;Projects!$C$32+Projects!$D$32),Projects!$B$32*INDEX(Curves!$B$4:$AR$4,1,32-Projects!$C$32+1),0)+IF(AND(Projects!$G$33="Yes",Projects!$M$33="Yes",32&gt;=Projects!$C$33,32&lt;Projects!$C$33+Projects!$D$33),Projects!$B$33*INDEX(Curves!$B$4:$AR$4,1,32-Projects!$C$33+1),0)+IF(AND(Projects!$G$34="Yes",Projects!$M$34="Yes",32&gt;=Projects!$C$34,32&lt;Projects!$C$34+Projects!$D$34),Projects!$B$34*INDEX(Curves!$B$4:$AR$4,1,32-Projects!$C$34+1),0)+IF(AND(Projects!$G$35="Yes",Projects!$M$35="Yes",32&gt;=Projects!$C$35,32&lt;Projects!$C$35+Projects!$D$35),Projects!$B$35*INDEX(Curves!$B$4:$AR$4,1,32-Projects!$C$35+1),0)+IF(AND(Projects!$G$36="Yes",Projects!$M$36="Yes",32&gt;=Projects!$C$36,32&lt;Projects!$C$36+Projects!$D$36),Projects!$B$36*INDEX(Curves!$B$4:$AR$4,1,32-Projects!$C$36+1),0)+IF(AND(Projects!$G$37="Yes",Projects!$M$37="Yes",32&gt;=Projects!$C$37,32&lt;Projects!$C$37+Projects!$D$37),Projects!$B$37*INDEX(Curves!$B$4:$AR$4,1,32-Projects!$C$37+1),0)+IF(AND(Projects!$G$38="Yes",Projects!$M$38="Yes",32&gt;=Projects!$C$38,32&lt;Projects!$C$38+Projects!$D$38),Projects!$B$38*INDEX(Curves!$B$4:$AR$4,1,32-Projects!$C$38+1),0)+IF(AND(Projects!$G$39="Yes",Projects!$M$39="Yes",32&gt;=Projects!$C$39,32&lt;Projects!$C$39+Projects!$D$39),Projects!$B$39*INDEX(Curves!$B$4:$AR$4,1,32-Projects!$C$39+1),0)+IF(AND(Projects!$G$40="Yes",Projects!$M$40="Yes",32&gt;=Projects!$C$40,32&lt;Projects!$C$40+Projects!$D$40),Projects!$B$40*INDEX(Curves!$B$4:$AR$4,1,32-Projects!$C$40+1),0)+IF(AND(Projects!$G$41="Yes",Projects!$M$41="Yes",32&gt;=Projects!$C$41,32&lt;Projects!$C$41+Projects!$D$41),Projects!$B$41*INDEX(Curves!$B$4:$AR$4,1,32-Projects!$C$41+1),0)+IF(AND(Projects!$G$42="Yes",Projects!$M$42="Yes",32&gt;=Projects!$C$42,32&lt;Projects!$C$42+Projects!$D$42),Projects!$B$42*INDEX(Curves!$B$4:$AR$4,1,32-Projects!$C$42+1),0)+IF(AND(Projects!$G$43="Yes",Projects!$M$43="Yes",32&gt;=Projects!$C$43,32&lt;Projects!$C$43+Projects!$D$43),Projects!$B$43*INDEX(Curves!$B$4:$AR$4,1,32-Projects!$C$43+1),0)+IF(AND(Projects!$G$44="Yes",Projects!$M$44="Yes",32&gt;=Projects!$C$44,32&lt;Projects!$C$44+Projects!$D$44),Projects!$B$44*INDEX(Curves!$B$4:$AR$4,1,32-Projects!$C$44+1),0)+IF(AND(Projects!$G$45="Yes",Projects!$M$45="Yes",32&gt;=Projects!$C$45,32&lt;Projects!$C$45+Projects!$D$45),Projects!$B$45*INDEX(Curves!$B$4:$AR$4,1,32-Projects!$C$45+1),0)+IF(AND(Projects!$G$46="Yes",Projects!$M$46="Yes",32&gt;=Projects!$C$46,32&lt;Projects!$C$46+Projects!$D$46),Projects!$B$46*INDEX(Curves!$B$4:$AR$4,1,32-Projects!$C$46+1),0)</f>
        <v>0</v>
      </c>
      <c r="AL101" s="87" t="n">
        <f aca="false">IF(AND(Projects!$G$17="Yes",Projects!$M$17="Yes",33&gt;=Projects!$C$17,33&lt;Projects!$C$17+Projects!$D$17),Projects!$B$17*INDEX(Curves!$B$4:$AR$4,1,33-Projects!$C$17+1),0)+IF(AND(Projects!$G$18="Yes",Projects!$M$18="Yes",33&gt;=Projects!$C$18,33&lt;Projects!$C$18+Projects!$D$18),Projects!$B$18*INDEX(Curves!$B$4:$AR$4,1,33-Projects!$C$18+1),0)+IF(AND(Projects!$G$19="Yes",Projects!$M$19="Yes",33&gt;=Projects!$C$19,33&lt;Projects!$C$19+Projects!$D$19),Projects!$B$19*INDEX(Curves!$B$4:$AR$4,1,33-Projects!$C$19+1),0)+IF(AND(Projects!$G$20="Yes",Projects!$M$20="Yes",33&gt;=Projects!$C$20,33&lt;Projects!$C$20+Projects!$D$20),Projects!$B$20*INDEX(Curves!$B$4:$AR$4,1,33-Projects!$C$20+1),0)+IF(AND(Projects!$G$21="Yes",Projects!$M$21="Yes",33&gt;=Projects!$C$21,33&lt;Projects!$C$21+Projects!$D$21),Projects!$B$21*INDEX(Curves!$B$4:$AR$4,1,33-Projects!$C$21+1),0)+IF(AND(Projects!$G$22="Yes",Projects!$M$22="Yes",33&gt;=Projects!$C$22,33&lt;Projects!$C$22+Projects!$D$22),Projects!$B$22*INDEX(Curves!$B$4:$AR$4,1,33-Projects!$C$22+1),0)+IF(AND(Projects!$G$23="Yes",Projects!$M$23="Yes",33&gt;=Projects!$C$23,33&lt;Projects!$C$23+Projects!$D$23),Projects!$B$23*INDEX(Curves!$B$4:$AR$4,1,33-Projects!$C$23+1),0)+IF(AND(Projects!$G$24="Yes",Projects!$M$24="Yes",33&gt;=Projects!$C$24,33&lt;Projects!$C$24+Projects!$D$24),Projects!$B$24*INDEX(Curves!$B$4:$AR$4,1,33-Projects!$C$24+1),0)+IF(AND(Projects!$G$25="Yes",Projects!$M$25="Yes",33&gt;=Projects!$C$25,33&lt;Projects!$C$25+Projects!$D$25),Projects!$B$25*INDEX(Curves!$B$4:$AR$4,1,33-Projects!$C$25+1),0)+IF(AND(Projects!$G$26="Yes",Projects!$M$26="Yes",33&gt;=Projects!$C$26,33&lt;Projects!$C$26+Projects!$D$26),Projects!$B$26*INDEX(Curves!$B$4:$AR$4,1,33-Projects!$C$26+1),0)+IF(AND(Projects!$G$27="Yes",Projects!$M$27="Yes",33&gt;=Projects!$C$27,33&lt;Projects!$C$27+Projects!$D$27),Projects!$B$27*INDEX(Curves!$B$4:$AR$4,1,33-Projects!$C$27+1),0)+IF(AND(Projects!$G$28="Yes",Projects!$M$28="Yes",33&gt;=Projects!$C$28,33&lt;Projects!$C$28+Projects!$D$28),Projects!$B$28*INDEX(Curves!$B$4:$AR$4,1,33-Projects!$C$28+1),0)+IF(AND(Projects!$G$29="Yes",Projects!$M$29="Yes",33&gt;=Projects!$C$29,33&lt;Projects!$C$29+Projects!$D$29),Projects!$B$29*INDEX(Curves!$B$4:$AR$4,1,33-Projects!$C$29+1),0)+IF(AND(Projects!$G$30="Yes",Projects!$M$30="Yes",33&gt;=Projects!$C$30,33&lt;Projects!$C$30+Projects!$D$30),Projects!$B$30*INDEX(Curves!$B$4:$AR$4,1,33-Projects!$C$30+1),0)+IF(AND(Projects!$G$31="Yes",Projects!$M$31="Yes",33&gt;=Projects!$C$31,33&lt;Projects!$C$31+Projects!$D$31),Projects!$B$31*INDEX(Curves!$B$4:$AR$4,1,33-Projects!$C$31+1),0)+IF(AND(Projects!$G$32="Yes",Projects!$M$32="Yes",33&gt;=Projects!$C$32,33&lt;Projects!$C$32+Projects!$D$32),Projects!$B$32*INDEX(Curves!$B$4:$AR$4,1,33-Projects!$C$32+1),0)+IF(AND(Projects!$G$33="Yes",Projects!$M$33="Yes",33&gt;=Projects!$C$33,33&lt;Projects!$C$33+Projects!$D$33),Projects!$B$33*INDEX(Curves!$B$4:$AR$4,1,33-Projects!$C$33+1),0)+IF(AND(Projects!$G$34="Yes",Projects!$M$34="Yes",33&gt;=Projects!$C$34,33&lt;Projects!$C$34+Projects!$D$34),Projects!$B$34*INDEX(Curves!$B$4:$AR$4,1,33-Projects!$C$34+1),0)+IF(AND(Projects!$G$35="Yes",Projects!$M$35="Yes",33&gt;=Projects!$C$35,33&lt;Projects!$C$35+Projects!$D$35),Projects!$B$35*INDEX(Curves!$B$4:$AR$4,1,33-Projects!$C$35+1),0)+IF(AND(Projects!$G$36="Yes",Projects!$M$36="Yes",33&gt;=Projects!$C$36,33&lt;Projects!$C$36+Projects!$D$36),Projects!$B$36*INDEX(Curves!$B$4:$AR$4,1,33-Projects!$C$36+1),0)+IF(AND(Projects!$G$37="Yes",Projects!$M$37="Yes",33&gt;=Projects!$C$37,33&lt;Projects!$C$37+Projects!$D$37),Projects!$B$37*INDEX(Curves!$B$4:$AR$4,1,33-Projects!$C$37+1),0)+IF(AND(Projects!$G$38="Yes",Projects!$M$38="Yes",33&gt;=Projects!$C$38,33&lt;Projects!$C$38+Projects!$D$38),Projects!$B$38*INDEX(Curves!$B$4:$AR$4,1,33-Projects!$C$38+1),0)+IF(AND(Projects!$G$39="Yes",Projects!$M$39="Yes",33&gt;=Projects!$C$39,33&lt;Projects!$C$39+Projects!$D$39),Projects!$B$39*INDEX(Curves!$B$4:$AR$4,1,33-Projects!$C$39+1),0)+IF(AND(Projects!$G$40="Yes",Projects!$M$40="Yes",33&gt;=Projects!$C$40,33&lt;Projects!$C$40+Projects!$D$40),Projects!$B$40*INDEX(Curves!$B$4:$AR$4,1,33-Projects!$C$40+1),0)+IF(AND(Projects!$G$41="Yes",Projects!$M$41="Yes",33&gt;=Projects!$C$41,33&lt;Projects!$C$41+Projects!$D$41),Projects!$B$41*INDEX(Curves!$B$4:$AR$4,1,33-Projects!$C$41+1),0)+IF(AND(Projects!$G$42="Yes",Projects!$M$42="Yes",33&gt;=Projects!$C$42,33&lt;Projects!$C$42+Projects!$D$42),Projects!$B$42*INDEX(Curves!$B$4:$AR$4,1,33-Projects!$C$42+1),0)+IF(AND(Projects!$G$43="Yes",Projects!$M$43="Yes",33&gt;=Projects!$C$43,33&lt;Projects!$C$43+Projects!$D$43),Projects!$B$43*INDEX(Curves!$B$4:$AR$4,1,33-Projects!$C$43+1),0)+IF(AND(Projects!$G$44="Yes",Projects!$M$44="Yes",33&gt;=Projects!$C$44,33&lt;Projects!$C$44+Projects!$D$44),Projects!$B$44*INDEX(Curves!$B$4:$AR$4,1,33-Projects!$C$44+1),0)+IF(AND(Projects!$G$45="Yes",Projects!$M$45="Yes",33&gt;=Projects!$C$45,33&lt;Projects!$C$45+Projects!$D$45),Projects!$B$45*INDEX(Curves!$B$4:$AR$4,1,33-Projects!$C$45+1),0)+IF(AND(Projects!$G$46="Yes",Projects!$M$46="Yes",33&gt;=Projects!$C$46,33&lt;Projects!$C$46+Projects!$D$46),Projects!$B$46*INDEX(Curves!$B$4:$AR$4,1,33-Projects!$C$46+1),0)</f>
        <v>0</v>
      </c>
      <c r="AM101" s="87" t="n">
        <f aca="false">IF(AND(Projects!$G$17="Yes",Projects!$M$17="Yes",34&gt;=Projects!$C$17,34&lt;Projects!$C$17+Projects!$D$17),Projects!$B$17*INDEX(Curves!$B$4:$AR$4,1,34-Projects!$C$17+1),0)+IF(AND(Projects!$G$18="Yes",Projects!$M$18="Yes",34&gt;=Projects!$C$18,34&lt;Projects!$C$18+Projects!$D$18),Projects!$B$18*INDEX(Curves!$B$4:$AR$4,1,34-Projects!$C$18+1),0)+IF(AND(Projects!$G$19="Yes",Projects!$M$19="Yes",34&gt;=Projects!$C$19,34&lt;Projects!$C$19+Projects!$D$19),Projects!$B$19*INDEX(Curves!$B$4:$AR$4,1,34-Projects!$C$19+1),0)+IF(AND(Projects!$G$20="Yes",Projects!$M$20="Yes",34&gt;=Projects!$C$20,34&lt;Projects!$C$20+Projects!$D$20),Projects!$B$20*INDEX(Curves!$B$4:$AR$4,1,34-Projects!$C$20+1),0)+IF(AND(Projects!$G$21="Yes",Projects!$M$21="Yes",34&gt;=Projects!$C$21,34&lt;Projects!$C$21+Projects!$D$21),Projects!$B$21*INDEX(Curves!$B$4:$AR$4,1,34-Projects!$C$21+1),0)+IF(AND(Projects!$G$22="Yes",Projects!$M$22="Yes",34&gt;=Projects!$C$22,34&lt;Projects!$C$22+Projects!$D$22),Projects!$B$22*INDEX(Curves!$B$4:$AR$4,1,34-Projects!$C$22+1),0)+IF(AND(Projects!$G$23="Yes",Projects!$M$23="Yes",34&gt;=Projects!$C$23,34&lt;Projects!$C$23+Projects!$D$23),Projects!$B$23*INDEX(Curves!$B$4:$AR$4,1,34-Projects!$C$23+1),0)+IF(AND(Projects!$G$24="Yes",Projects!$M$24="Yes",34&gt;=Projects!$C$24,34&lt;Projects!$C$24+Projects!$D$24),Projects!$B$24*INDEX(Curves!$B$4:$AR$4,1,34-Projects!$C$24+1),0)+IF(AND(Projects!$G$25="Yes",Projects!$M$25="Yes",34&gt;=Projects!$C$25,34&lt;Projects!$C$25+Projects!$D$25),Projects!$B$25*INDEX(Curves!$B$4:$AR$4,1,34-Projects!$C$25+1),0)+IF(AND(Projects!$G$26="Yes",Projects!$M$26="Yes",34&gt;=Projects!$C$26,34&lt;Projects!$C$26+Projects!$D$26),Projects!$B$26*INDEX(Curves!$B$4:$AR$4,1,34-Projects!$C$26+1),0)+IF(AND(Projects!$G$27="Yes",Projects!$M$27="Yes",34&gt;=Projects!$C$27,34&lt;Projects!$C$27+Projects!$D$27),Projects!$B$27*INDEX(Curves!$B$4:$AR$4,1,34-Projects!$C$27+1),0)+IF(AND(Projects!$G$28="Yes",Projects!$M$28="Yes",34&gt;=Projects!$C$28,34&lt;Projects!$C$28+Projects!$D$28),Projects!$B$28*INDEX(Curves!$B$4:$AR$4,1,34-Projects!$C$28+1),0)+IF(AND(Projects!$G$29="Yes",Projects!$M$29="Yes",34&gt;=Projects!$C$29,34&lt;Projects!$C$29+Projects!$D$29),Projects!$B$29*INDEX(Curves!$B$4:$AR$4,1,34-Projects!$C$29+1),0)+IF(AND(Projects!$G$30="Yes",Projects!$M$30="Yes",34&gt;=Projects!$C$30,34&lt;Projects!$C$30+Projects!$D$30),Projects!$B$30*INDEX(Curves!$B$4:$AR$4,1,34-Projects!$C$30+1),0)+IF(AND(Projects!$G$31="Yes",Projects!$M$31="Yes",34&gt;=Projects!$C$31,34&lt;Projects!$C$31+Projects!$D$31),Projects!$B$31*INDEX(Curves!$B$4:$AR$4,1,34-Projects!$C$31+1),0)+IF(AND(Projects!$G$32="Yes",Projects!$M$32="Yes",34&gt;=Projects!$C$32,34&lt;Projects!$C$32+Projects!$D$32),Projects!$B$32*INDEX(Curves!$B$4:$AR$4,1,34-Projects!$C$32+1),0)+IF(AND(Projects!$G$33="Yes",Projects!$M$33="Yes",34&gt;=Projects!$C$33,34&lt;Projects!$C$33+Projects!$D$33),Projects!$B$33*INDEX(Curves!$B$4:$AR$4,1,34-Projects!$C$33+1),0)+IF(AND(Projects!$G$34="Yes",Projects!$M$34="Yes",34&gt;=Projects!$C$34,34&lt;Projects!$C$34+Projects!$D$34),Projects!$B$34*INDEX(Curves!$B$4:$AR$4,1,34-Projects!$C$34+1),0)+IF(AND(Projects!$G$35="Yes",Projects!$M$35="Yes",34&gt;=Projects!$C$35,34&lt;Projects!$C$35+Projects!$D$35),Projects!$B$35*INDEX(Curves!$B$4:$AR$4,1,34-Projects!$C$35+1),0)+IF(AND(Projects!$G$36="Yes",Projects!$M$36="Yes",34&gt;=Projects!$C$36,34&lt;Projects!$C$36+Projects!$D$36),Projects!$B$36*INDEX(Curves!$B$4:$AR$4,1,34-Projects!$C$36+1),0)+IF(AND(Projects!$G$37="Yes",Projects!$M$37="Yes",34&gt;=Projects!$C$37,34&lt;Projects!$C$37+Projects!$D$37),Projects!$B$37*INDEX(Curves!$B$4:$AR$4,1,34-Projects!$C$37+1),0)+IF(AND(Projects!$G$38="Yes",Projects!$M$38="Yes",34&gt;=Projects!$C$38,34&lt;Projects!$C$38+Projects!$D$38),Projects!$B$38*INDEX(Curves!$B$4:$AR$4,1,34-Projects!$C$38+1),0)+IF(AND(Projects!$G$39="Yes",Projects!$M$39="Yes",34&gt;=Projects!$C$39,34&lt;Projects!$C$39+Projects!$D$39),Projects!$B$39*INDEX(Curves!$B$4:$AR$4,1,34-Projects!$C$39+1),0)+IF(AND(Projects!$G$40="Yes",Projects!$M$40="Yes",34&gt;=Projects!$C$40,34&lt;Projects!$C$40+Projects!$D$40),Projects!$B$40*INDEX(Curves!$B$4:$AR$4,1,34-Projects!$C$40+1),0)+IF(AND(Projects!$G$41="Yes",Projects!$M$41="Yes",34&gt;=Projects!$C$41,34&lt;Projects!$C$41+Projects!$D$41),Projects!$B$41*INDEX(Curves!$B$4:$AR$4,1,34-Projects!$C$41+1),0)+IF(AND(Projects!$G$42="Yes",Projects!$M$42="Yes",34&gt;=Projects!$C$42,34&lt;Projects!$C$42+Projects!$D$42),Projects!$B$42*INDEX(Curves!$B$4:$AR$4,1,34-Projects!$C$42+1),0)+IF(AND(Projects!$G$43="Yes",Projects!$M$43="Yes",34&gt;=Projects!$C$43,34&lt;Projects!$C$43+Projects!$D$43),Projects!$B$43*INDEX(Curves!$B$4:$AR$4,1,34-Projects!$C$43+1),0)+IF(AND(Projects!$G$44="Yes",Projects!$M$44="Yes",34&gt;=Projects!$C$44,34&lt;Projects!$C$44+Projects!$D$44),Projects!$B$44*INDEX(Curves!$B$4:$AR$4,1,34-Projects!$C$44+1),0)+IF(AND(Projects!$G$45="Yes",Projects!$M$45="Yes",34&gt;=Projects!$C$45,34&lt;Projects!$C$45+Projects!$D$45),Projects!$B$45*INDEX(Curves!$B$4:$AR$4,1,34-Projects!$C$45+1),0)+IF(AND(Projects!$G$46="Yes",Projects!$M$46="Yes",34&gt;=Projects!$C$46,34&lt;Projects!$C$46+Projects!$D$46),Projects!$B$46*INDEX(Curves!$B$4:$AR$4,1,34-Projects!$C$46+1),0)</f>
        <v>0</v>
      </c>
      <c r="AN101" s="87" t="n">
        <f aca="false">IF(AND(Projects!$G$17="Yes",Projects!$M$17="Yes",35&gt;=Projects!$C$17,35&lt;Projects!$C$17+Projects!$D$17),Projects!$B$17*INDEX(Curves!$B$4:$AR$4,1,35-Projects!$C$17+1),0)+IF(AND(Projects!$G$18="Yes",Projects!$M$18="Yes",35&gt;=Projects!$C$18,35&lt;Projects!$C$18+Projects!$D$18),Projects!$B$18*INDEX(Curves!$B$4:$AR$4,1,35-Projects!$C$18+1),0)+IF(AND(Projects!$G$19="Yes",Projects!$M$19="Yes",35&gt;=Projects!$C$19,35&lt;Projects!$C$19+Projects!$D$19),Projects!$B$19*INDEX(Curves!$B$4:$AR$4,1,35-Projects!$C$19+1),0)+IF(AND(Projects!$G$20="Yes",Projects!$M$20="Yes",35&gt;=Projects!$C$20,35&lt;Projects!$C$20+Projects!$D$20),Projects!$B$20*INDEX(Curves!$B$4:$AR$4,1,35-Projects!$C$20+1),0)+IF(AND(Projects!$G$21="Yes",Projects!$M$21="Yes",35&gt;=Projects!$C$21,35&lt;Projects!$C$21+Projects!$D$21),Projects!$B$21*INDEX(Curves!$B$4:$AR$4,1,35-Projects!$C$21+1),0)+IF(AND(Projects!$G$22="Yes",Projects!$M$22="Yes",35&gt;=Projects!$C$22,35&lt;Projects!$C$22+Projects!$D$22),Projects!$B$22*INDEX(Curves!$B$4:$AR$4,1,35-Projects!$C$22+1),0)+IF(AND(Projects!$G$23="Yes",Projects!$M$23="Yes",35&gt;=Projects!$C$23,35&lt;Projects!$C$23+Projects!$D$23),Projects!$B$23*INDEX(Curves!$B$4:$AR$4,1,35-Projects!$C$23+1),0)+IF(AND(Projects!$G$24="Yes",Projects!$M$24="Yes",35&gt;=Projects!$C$24,35&lt;Projects!$C$24+Projects!$D$24),Projects!$B$24*INDEX(Curves!$B$4:$AR$4,1,35-Projects!$C$24+1),0)+IF(AND(Projects!$G$25="Yes",Projects!$M$25="Yes",35&gt;=Projects!$C$25,35&lt;Projects!$C$25+Projects!$D$25),Projects!$B$25*INDEX(Curves!$B$4:$AR$4,1,35-Projects!$C$25+1),0)+IF(AND(Projects!$G$26="Yes",Projects!$M$26="Yes",35&gt;=Projects!$C$26,35&lt;Projects!$C$26+Projects!$D$26),Projects!$B$26*INDEX(Curves!$B$4:$AR$4,1,35-Projects!$C$26+1),0)+IF(AND(Projects!$G$27="Yes",Projects!$M$27="Yes",35&gt;=Projects!$C$27,35&lt;Projects!$C$27+Projects!$D$27),Projects!$B$27*INDEX(Curves!$B$4:$AR$4,1,35-Projects!$C$27+1),0)+IF(AND(Projects!$G$28="Yes",Projects!$M$28="Yes",35&gt;=Projects!$C$28,35&lt;Projects!$C$28+Projects!$D$28),Projects!$B$28*INDEX(Curves!$B$4:$AR$4,1,35-Projects!$C$28+1),0)+IF(AND(Projects!$G$29="Yes",Projects!$M$29="Yes",35&gt;=Projects!$C$29,35&lt;Projects!$C$29+Projects!$D$29),Projects!$B$29*INDEX(Curves!$B$4:$AR$4,1,35-Projects!$C$29+1),0)+IF(AND(Projects!$G$30="Yes",Projects!$M$30="Yes",35&gt;=Projects!$C$30,35&lt;Projects!$C$30+Projects!$D$30),Projects!$B$30*INDEX(Curves!$B$4:$AR$4,1,35-Projects!$C$30+1),0)+IF(AND(Projects!$G$31="Yes",Projects!$M$31="Yes",35&gt;=Projects!$C$31,35&lt;Projects!$C$31+Projects!$D$31),Projects!$B$31*INDEX(Curves!$B$4:$AR$4,1,35-Projects!$C$31+1),0)+IF(AND(Projects!$G$32="Yes",Projects!$M$32="Yes",35&gt;=Projects!$C$32,35&lt;Projects!$C$32+Projects!$D$32),Projects!$B$32*INDEX(Curves!$B$4:$AR$4,1,35-Projects!$C$32+1),0)+IF(AND(Projects!$G$33="Yes",Projects!$M$33="Yes",35&gt;=Projects!$C$33,35&lt;Projects!$C$33+Projects!$D$33),Projects!$B$33*INDEX(Curves!$B$4:$AR$4,1,35-Projects!$C$33+1),0)+IF(AND(Projects!$G$34="Yes",Projects!$M$34="Yes",35&gt;=Projects!$C$34,35&lt;Projects!$C$34+Projects!$D$34),Projects!$B$34*INDEX(Curves!$B$4:$AR$4,1,35-Projects!$C$34+1),0)+IF(AND(Projects!$G$35="Yes",Projects!$M$35="Yes",35&gt;=Projects!$C$35,35&lt;Projects!$C$35+Projects!$D$35),Projects!$B$35*INDEX(Curves!$B$4:$AR$4,1,35-Projects!$C$35+1),0)+IF(AND(Projects!$G$36="Yes",Projects!$M$36="Yes",35&gt;=Projects!$C$36,35&lt;Projects!$C$36+Projects!$D$36),Projects!$B$36*INDEX(Curves!$B$4:$AR$4,1,35-Projects!$C$36+1),0)+IF(AND(Projects!$G$37="Yes",Projects!$M$37="Yes",35&gt;=Projects!$C$37,35&lt;Projects!$C$37+Projects!$D$37),Projects!$B$37*INDEX(Curves!$B$4:$AR$4,1,35-Projects!$C$37+1),0)+IF(AND(Projects!$G$38="Yes",Projects!$M$38="Yes",35&gt;=Projects!$C$38,35&lt;Projects!$C$38+Projects!$D$38),Projects!$B$38*INDEX(Curves!$B$4:$AR$4,1,35-Projects!$C$38+1),0)+IF(AND(Projects!$G$39="Yes",Projects!$M$39="Yes",35&gt;=Projects!$C$39,35&lt;Projects!$C$39+Projects!$D$39),Projects!$B$39*INDEX(Curves!$B$4:$AR$4,1,35-Projects!$C$39+1),0)+IF(AND(Projects!$G$40="Yes",Projects!$M$40="Yes",35&gt;=Projects!$C$40,35&lt;Projects!$C$40+Projects!$D$40),Projects!$B$40*INDEX(Curves!$B$4:$AR$4,1,35-Projects!$C$40+1),0)+IF(AND(Projects!$G$41="Yes",Projects!$M$41="Yes",35&gt;=Projects!$C$41,35&lt;Projects!$C$41+Projects!$D$41),Projects!$B$41*INDEX(Curves!$B$4:$AR$4,1,35-Projects!$C$41+1),0)+IF(AND(Projects!$G$42="Yes",Projects!$M$42="Yes",35&gt;=Projects!$C$42,35&lt;Projects!$C$42+Projects!$D$42),Projects!$B$42*INDEX(Curves!$B$4:$AR$4,1,35-Projects!$C$42+1),0)+IF(AND(Projects!$G$43="Yes",Projects!$M$43="Yes",35&gt;=Projects!$C$43,35&lt;Projects!$C$43+Projects!$D$43),Projects!$B$43*INDEX(Curves!$B$4:$AR$4,1,35-Projects!$C$43+1),0)+IF(AND(Projects!$G$44="Yes",Projects!$M$44="Yes",35&gt;=Projects!$C$44,35&lt;Projects!$C$44+Projects!$D$44),Projects!$B$44*INDEX(Curves!$B$4:$AR$4,1,35-Projects!$C$44+1),0)+IF(AND(Projects!$G$45="Yes",Projects!$M$45="Yes",35&gt;=Projects!$C$45,35&lt;Projects!$C$45+Projects!$D$45),Projects!$B$45*INDEX(Curves!$B$4:$AR$4,1,35-Projects!$C$45+1),0)+IF(AND(Projects!$G$46="Yes",Projects!$M$46="Yes",35&gt;=Projects!$C$46,35&lt;Projects!$C$46+Projects!$D$46),Projects!$B$46*INDEX(Curves!$B$4:$AR$4,1,35-Projects!$C$46+1),0)</f>
        <v>0</v>
      </c>
      <c r="AO101" s="87" t="n">
        <f aca="false">IF(AND(Projects!$G$17="Yes",Projects!$M$17="Yes",36&gt;=Projects!$C$17,36&lt;Projects!$C$17+Projects!$D$17),Projects!$B$17*INDEX(Curves!$B$4:$AR$4,1,36-Projects!$C$17+1),0)+IF(AND(Projects!$G$18="Yes",Projects!$M$18="Yes",36&gt;=Projects!$C$18,36&lt;Projects!$C$18+Projects!$D$18),Projects!$B$18*INDEX(Curves!$B$4:$AR$4,1,36-Projects!$C$18+1),0)+IF(AND(Projects!$G$19="Yes",Projects!$M$19="Yes",36&gt;=Projects!$C$19,36&lt;Projects!$C$19+Projects!$D$19),Projects!$B$19*INDEX(Curves!$B$4:$AR$4,1,36-Projects!$C$19+1),0)+IF(AND(Projects!$G$20="Yes",Projects!$M$20="Yes",36&gt;=Projects!$C$20,36&lt;Projects!$C$20+Projects!$D$20),Projects!$B$20*INDEX(Curves!$B$4:$AR$4,1,36-Projects!$C$20+1),0)+IF(AND(Projects!$G$21="Yes",Projects!$M$21="Yes",36&gt;=Projects!$C$21,36&lt;Projects!$C$21+Projects!$D$21),Projects!$B$21*INDEX(Curves!$B$4:$AR$4,1,36-Projects!$C$21+1),0)+IF(AND(Projects!$G$22="Yes",Projects!$M$22="Yes",36&gt;=Projects!$C$22,36&lt;Projects!$C$22+Projects!$D$22),Projects!$B$22*INDEX(Curves!$B$4:$AR$4,1,36-Projects!$C$22+1),0)+IF(AND(Projects!$G$23="Yes",Projects!$M$23="Yes",36&gt;=Projects!$C$23,36&lt;Projects!$C$23+Projects!$D$23),Projects!$B$23*INDEX(Curves!$B$4:$AR$4,1,36-Projects!$C$23+1),0)+IF(AND(Projects!$G$24="Yes",Projects!$M$24="Yes",36&gt;=Projects!$C$24,36&lt;Projects!$C$24+Projects!$D$24),Projects!$B$24*INDEX(Curves!$B$4:$AR$4,1,36-Projects!$C$24+1),0)+IF(AND(Projects!$G$25="Yes",Projects!$M$25="Yes",36&gt;=Projects!$C$25,36&lt;Projects!$C$25+Projects!$D$25),Projects!$B$25*INDEX(Curves!$B$4:$AR$4,1,36-Projects!$C$25+1),0)+IF(AND(Projects!$G$26="Yes",Projects!$M$26="Yes",36&gt;=Projects!$C$26,36&lt;Projects!$C$26+Projects!$D$26),Projects!$B$26*INDEX(Curves!$B$4:$AR$4,1,36-Projects!$C$26+1),0)+IF(AND(Projects!$G$27="Yes",Projects!$M$27="Yes",36&gt;=Projects!$C$27,36&lt;Projects!$C$27+Projects!$D$27),Projects!$B$27*INDEX(Curves!$B$4:$AR$4,1,36-Projects!$C$27+1),0)+IF(AND(Projects!$G$28="Yes",Projects!$M$28="Yes",36&gt;=Projects!$C$28,36&lt;Projects!$C$28+Projects!$D$28),Projects!$B$28*INDEX(Curves!$B$4:$AR$4,1,36-Projects!$C$28+1),0)+IF(AND(Projects!$G$29="Yes",Projects!$M$29="Yes",36&gt;=Projects!$C$29,36&lt;Projects!$C$29+Projects!$D$29),Projects!$B$29*INDEX(Curves!$B$4:$AR$4,1,36-Projects!$C$29+1),0)+IF(AND(Projects!$G$30="Yes",Projects!$M$30="Yes",36&gt;=Projects!$C$30,36&lt;Projects!$C$30+Projects!$D$30),Projects!$B$30*INDEX(Curves!$B$4:$AR$4,1,36-Projects!$C$30+1),0)+IF(AND(Projects!$G$31="Yes",Projects!$M$31="Yes",36&gt;=Projects!$C$31,36&lt;Projects!$C$31+Projects!$D$31),Projects!$B$31*INDEX(Curves!$B$4:$AR$4,1,36-Projects!$C$31+1),0)+IF(AND(Projects!$G$32="Yes",Projects!$M$32="Yes",36&gt;=Projects!$C$32,36&lt;Projects!$C$32+Projects!$D$32),Projects!$B$32*INDEX(Curves!$B$4:$AR$4,1,36-Projects!$C$32+1),0)+IF(AND(Projects!$G$33="Yes",Projects!$M$33="Yes",36&gt;=Projects!$C$33,36&lt;Projects!$C$33+Projects!$D$33),Projects!$B$33*INDEX(Curves!$B$4:$AR$4,1,36-Projects!$C$33+1),0)+IF(AND(Projects!$G$34="Yes",Projects!$M$34="Yes",36&gt;=Projects!$C$34,36&lt;Projects!$C$34+Projects!$D$34),Projects!$B$34*INDEX(Curves!$B$4:$AR$4,1,36-Projects!$C$34+1),0)+IF(AND(Projects!$G$35="Yes",Projects!$M$35="Yes",36&gt;=Projects!$C$35,36&lt;Projects!$C$35+Projects!$D$35),Projects!$B$35*INDEX(Curves!$B$4:$AR$4,1,36-Projects!$C$35+1),0)+IF(AND(Projects!$G$36="Yes",Projects!$M$36="Yes",36&gt;=Projects!$C$36,36&lt;Projects!$C$36+Projects!$D$36),Projects!$B$36*INDEX(Curves!$B$4:$AR$4,1,36-Projects!$C$36+1),0)+IF(AND(Projects!$G$37="Yes",Projects!$M$37="Yes",36&gt;=Projects!$C$37,36&lt;Projects!$C$37+Projects!$D$37),Projects!$B$37*INDEX(Curves!$B$4:$AR$4,1,36-Projects!$C$37+1),0)+IF(AND(Projects!$G$38="Yes",Projects!$M$38="Yes",36&gt;=Projects!$C$38,36&lt;Projects!$C$38+Projects!$D$38),Projects!$B$38*INDEX(Curves!$B$4:$AR$4,1,36-Projects!$C$38+1),0)+IF(AND(Projects!$G$39="Yes",Projects!$M$39="Yes",36&gt;=Projects!$C$39,36&lt;Projects!$C$39+Projects!$D$39),Projects!$B$39*INDEX(Curves!$B$4:$AR$4,1,36-Projects!$C$39+1),0)+IF(AND(Projects!$G$40="Yes",Projects!$M$40="Yes",36&gt;=Projects!$C$40,36&lt;Projects!$C$40+Projects!$D$40),Projects!$B$40*INDEX(Curves!$B$4:$AR$4,1,36-Projects!$C$40+1),0)+IF(AND(Projects!$G$41="Yes",Projects!$M$41="Yes",36&gt;=Projects!$C$41,36&lt;Projects!$C$41+Projects!$D$41),Projects!$B$41*INDEX(Curves!$B$4:$AR$4,1,36-Projects!$C$41+1),0)+IF(AND(Projects!$G$42="Yes",Projects!$M$42="Yes",36&gt;=Projects!$C$42,36&lt;Projects!$C$42+Projects!$D$42),Projects!$B$42*INDEX(Curves!$B$4:$AR$4,1,36-Projects!$C$42+1),0)+IF(AND(Projects!$G$43="Yes",Projects!$M$43="Yes",36&gt;=Projects!$C$43,36&lt;Projects!$C$43+Projects!$D$43),Projects!$B$43*INDEX(Curves!$B$4:$AR$4,1,36-Projects!$C$43+1),0)+IF(AND(Projects!$G$44="Yes",Projects!$M$44="Yes",36&gt;=Projects!$C$44,36&lt;Projects!$C$44+Projects!$D$44),Projects!$B$44*INDEX(Curves!$B$4:$AR$4,1,36-Projects!$C$44+1),0)+IF(AND(Projects!$G$45="Yes",Projects!$M$45="Yes",36&gt;=Projects!$C$45,36&lt;Projects!$C$45+Projects!$D$45),Projects!$B$45*INDEX(Curves!$B$4:$AR$4,1,36-Projects!$C$45+1),0)+IF(AND(Projects!$G$46="Yes",Projects!$M$46="Yes",36&gt;=Projects!$C$46,36&lt;Projects!$C$46+Projects!$D$46),Projects!$B$46*INDEX(Curves!$B$4:$AR$4,1,36-Projects!$C$46+1),0)</f>
        <v>0</v>
      </c>
      <c r="AP101" s="87" t="n">
        <f aca="false">IF(AND(Projects!$G$17="Yes",Projects!$M$17="Yes",37&gt;=Projects!$C$17,37&lt;Projects!$C$17+Projects!$D$17),Projects!$B$17*INDEX(Curves!$B$4:$AR$4,1,37-Projects!$C$17+1),0)+IF(AND(Projects!$G$18="Yes",Projects!$M$18="Yes",37&gt;=Projects!$C$18,37&lt;Projects!$C$18+Projects!$D$18),Projects!$B$18*INDEX(Curves!$B$4:$AR$4,1,37-Projects!$C$18+1),0)+IF(AND(Projects!$G$19="Yes",Projects!$M$19="Yes",37&gt;=Projects!$C$19,37&lt;Projects!$C$19+Projects!$D$19),Projects!$B$19*INDEX(Curves!$B$4:$AR$4,1,37-Projects!$C$19+1),0)+IF(AND(Projects!$G$20="Yes",Projects!$M$20="Yes",37&gt;=Projects!$C$20,37&lt;Projects!$C$20+Projects!$D$20),Projects!$B$20*INDEX(Curves!$B$4:$AR$4,1,37-Projects!$C$20+1),0)+IF(AND(Projects!$G$21="Yes",Projects!$M$21="Yes",37&gt;=Projects!$C$21,37&lt;Projects!$C$21+Projects!$D$21),Projects!$B$21*INDEX(Curves!$B$4:$AR$4,1,37-Projects!$C$21+1),0)+IF(AND(Projects!$G$22="Yes",Projects!$M$22="Yes",37&gt;=Projects!$C$22,37&lt;Projects!$C$22+Projects!$D$22),Projects!$B$22*INDEX(Curves!$B$4:$AR$4,1,37-Projects!$C$22+1),0)+IF(AND(Projects!$G$23="Yes",Projects!$M$23="Yes",37&gt;=Projects!$C$23,37&lt;Projects!$C$23+Projects!$D$23),Projects!$B$23*INDEX(Curves!$B$4:$AR$4,1,37-Projects!$C$23+1),0)+IF(AND(Projects!$G$24="Yes",Projects!$M$24="Yes",37&gt;=Projects!$C$24,37&lt;Projects!$C$24+Projects!$D$24),Projects!$B$24*INDEX(Curves!$B$4:$AR$4,1,37-Projects!$C$24+1),0)+IF(AND(Projects!$G$25="Yes",Projects!$M$25="Yes",37&gt;=Projects!$C$25,37&lt;Projects!$C$25+Projects!$D$25),Projects!$B$25*INDEX(Curves!$B$4:$AR$4,1,37-Projects!$C$25+1),0)+IF(AND(Projects!$G$26="Yes",Projects!$M$26="Yes",37&gt;=Projects!$C$26,37&lt;Projects!$C$26+Projects!$D$26),Projects!$B$26*INDEX(Curves!$B$4:$AR$4,1,37-Projects!$C$26+1),0)+IF(AND(Projects!$G$27="Yes",Projects!$M$27="Yes",37&gt;=Projects!$C$27,37&lt;Projects!$C$27+Projects!$D$27),Projects!$B$27*INDEX(Curves!$B$4:$AR$4,1,37-Projects!$C$27+1),0)+IF(AND(Projects!$G$28="Yes",Projects!$M$28="Yes",37&gt;=Projects!$C$28,37&lt;Projects!$C$28+Projects!$D$28),Projects!$B$28*INDEX(Curves!$B$4:$AR$4,1,37-Projects!$C$28+1),0)+IF(AND(Projects!$G$29="Yes",Projects!$M$29="Yes",37&gt;=Projects!$C$29,37&lt;Projects!$C$29+Projects!$D$29),Projects!$B$29*INDEX(Curves!$B$4:$AR$4,1,37-Projects!$C$29+1),0)+IF(AND(Projects!$G$30="Yes",Projects!$M$30="Yes",37&gt;=Projects!$C$30,37&lt;Projects!$C$30+Projects!$D$30),Projects!$B$30*INDEX(Curves!$B$4:$AR$4,1,37-Projects!$C$30+1),0)+IF(AND(Projects!$G$31="Yes",Projects!$M$31="Yes",37&gt;=Projects!$C$31,37&lt;Projects!$C$31+Projects!$D$31),Projects!$B$31*INDEX(Curves!$B$4:$AR$4,1,37-Projects!$C$31+1),0)+IF(AND(Projects!$G$32="Yes",Projects!$M$32="Yes",37&gt;=Projects!$C$32,37&lt;Projects!$C$32+Projects!$D$32),Projects!$B$32*INDEX(Curves!$B$4:$AR$4,1,37-Projects!$C$32+1),0)+IF(AND(Projects!$G$33="Yes",Projects!$M$33="Yes",37&gt;=Projects!$C$33,37&lt;Projects!$C$33+Projects!$D$33),Projects!$B$33*INDEX(Curves!$B$4:$AR$4,1,37-Projects!$C$33+1),0)+IF(AND(Projects!$G$34="Yes",Projects!$M$34="Yes",37&gt;=Projects!$C$34,37&lt;Projects!$C$34+Projects!$D$34),Projects!$B$34*INDEX(Curves!$B$4:$AR$4,1,37-Projects!$C$34+1),0)+IF(AND(Projects!$G$35="Yes",Projects!$M$35="Yes",37&gt;=Projects!$C$35,37&lt;Projects!$C$35+Projects!$D$35),Projects!$B$35*INDEX(Curves!$B$4:$AR$4,1,37-Projects!$C$35+1),0)+IF(AND(Projects!$G$36="Yes",Projects!$M$36="Yes",37&gt;=Projects!$C$36,37&lt;Projects!$C$36+Projects!$D$36),Projects!$B$36*INDEX(Curves!$B$4:$AR$4,1,37-Projects!$C$36+1),0)+IF(AND(Projects!$G$37="Yes",Projects!$M$37="Yes",37&gt;=Projects!$C$37,37&lt;Projects!$C$37+Projects!$D$37),Projects!$B$37*INDEX(Curves!$B$4:$AR$4,1,37-Projects!$C$37+1),0)+IF(AND(Projects!$G$38="Yes",Projects!$M$38="Yes",37&gt;=Projects!$C$38,37&lt;Projects!$C$38+Projects!$D$38),Projects!$B$38*INDEX(Curves!$B$4:$AR$4,1,37-Projects!$C$38+1),0)+IF(AND(Projects!$G$39="Yes",Projects!$M$39="Yes",37&gt;=Projects!$C$39,37&lt;Projects!$C$39+Projects!$D$39),Projects!$B$39*INDEX(Curves!$B$4:$AR$4,1,37-Projects!$C$39+1),0)+IF(AND(Projects!$G$40="Yes",Projects!$M$40="Yes",37&gt;=Projects!$C$40,37&lt;Projects!$C$40+Projects!$D$40),Projects!$B$40*INDEX(Curves!$B$4:$AR$4,1,37-Projects!$C$40+1),0)+IF(AND(Projects!$G$41="Yes",Projects!$M$41="Yes",37&gt;=Projects!$C$41,37&lt;Projects!$C$41+Projects!$D$41),Projects!$B$41*INDEX(Curves!$B$4:$AR$4,1,37-Projects!$C$41+1),0)+IF(AND(Projects!$G$42="Yes",Projects!$M$42="Yes",37&gt;=Projects!$C$42,37&lt;Projects!$C$42+Projects!$D$42),Projects!$B$42*INDEX(Curves!$B$4:$AR$4,1,37-Projects!$C$42+1),0)+IF(AND(Projects!$G$43="Yes",Projects!$M$43="Yes",37&gt;=Projects!$C$43,37&lt;Projects!$C$43+Projects!$D$43),Projects!$B$43*INDEX(Curves!$B$4:$AR$4,1,37-Projects!$C$43+1),0)+IF(AND(Projects!$G$44="Yes",Projects!$M$44="Yes",37&gt;=Projects!$C$44,37&lt;Projects!$C$44+Projects!$D$44),Projects!$B$44*INDEX(Curves!$B$4:$AR$4,1,37-Projects!$C$44+1),0)+IF(AND(Projects!$G$45="Yes",Projects!$M$45="Yes",37&gt;=Projects!$C$45,37&lt;Projects!$C$45+Projects!$D$45),Projects!$B$45*INDEX(Curves!$B$4:$AR$4,1,37-Projects!$C$45+1),0)+IF(AND(Projects!$G$46="Yes",Projects!$M$46="Yes",37&gt;=Projects!$C$46,37&lt;Projects!$C$46+Projects!$D$46),Projects!$B$46*INDEX(Curves!$B$4:$AR$4,1,37-Projects!$C$46+1),0)</f>
        <v>0</v>
      </c>
      <c r="AQ101" s="87" t="n">
        <f aca="false">IF(AND(Projects!$G$17="Yes",Projects!$M$17="Yes",38&gt;=Projects!$C$17,38&lt;Projects!$C$17+Projects!$D$17),Projects!$B$17*INDEX(Curves!$B$4:$AR$4,1,38-Projects!$C$17+1),0)+IF(AND(Projects!$G$18="Yes",Projects!$M$18="Yes",38&gt;=Projects!$C$18,38&lt;Projects!$C$18+Projects!$D$18),Projects!$B$18*INDEX(Curves!$B$4:$AR$4,1,38-Projects!$C$18+1),0)+IF(AND(Projects!$G$19="Yes",Projects!$M$19="Yes",38&gt;=Projects!$C$19,38&lt;Projects!$C$19+Projects!$D$19),Projects!$B$19*INDEX(Curves!$B$4:$AR$4,1,38-Projects!$C$19+1),0)+IF(AND(Projects!$G$20="Yes",Projects!$M$20="Yes",38&gt;=Projects!$C$20,38&lt;Projects!$C$20+Projects!$D$20),Projects!$B$20*INDEX(Curves!$B$4:$AR$4,1,38-Projects!$C$20+1),0)+IF(AND(Projects!$G$21="Yes",Projects!$M$21="Yes",38&gt;=Projects!$C$21,38&lt;Projects!$C$21+Projects!$D$21),Projects!$B$21*INDEX(Curves!$B$4:$AR$4,1,38-Projects!$C$21+1),0)+IF(AND(Projects!$G$22="Yes",Projects!$M$22="Yes",38&gt;=Projects!$C$22,38&lt;Projects!$C$22+Projects!$D$22),Projects!$B$22*INDEX(Curves!$B$4:$AR$4,1,38-Projects!$C$22+1),0)+IF(AND(Projects!$G$23="Yes",Projects!$M$23="Yes",38&gt;=Projects!$C$23,38&lt;Projects!$C$23+Projects!$D$23),Projects!$B$23*INDEX(Curves!$B$4:$AR$4,1,38-Projects!$C$23+1),0)+IF(AND(Projects!$G$24="Yes",Projects!$M$24="Yes",38&gt;=Projects!$C$24,38&lt;Projects!$C$24+Projects!$D$24),Projects!$B$24*INDEX(Curves!$B$4:$AR$4,1,38-Projects!$C$24+1),0)+IF(AND(Projects!$G$25="Yes",Projects!$M$25="Yes",38&gt;=Projects!$C$25,38&lt;Projects!$C$25+Projects!$D$25),Projects!$B$25*INDEX(Curves!$B$4:$AR$4,1,38-Projects!$C$25+1),0)+IF(AND(Projects!$G$26="Yes",Projects!$M$26="Yes",38&gt;=Projects!$C$26,38&lt;Projects!$C$26+Projects!$D$26),Projects!$B$26*INDEX(Curves!$B$4:$AR$4,1,38-Projects!$C$26+1),0)+IF(AND(Projects!$G$27="Yes",Projects!$M$27="Yes",38&gt;=Projects!$C$27,38&lt;Projects!$C$27+Projects!$D$27),Projects!$B$27*INDEX(Curves!$B$4:$AR$4,1,38-Projects!$C$27+1),0)+IF(AND(Projects!$G$28="Yes",Projects!$M$28="Yes",38&gt;=Projects!$C$28,38&lt;Projects!$C$28+Projects!$D$28),Projects!$B$28*INDEX(Curves!$B$4:$AR$4,1,38-Projects!$C$28+1),0)+IF(AND(Projects!$G$29="Yes",Projects!$M$29="Yes",38&gt;=Projects!$C$29,38&lt;Projects!$C$29+Projects!$D$29),Projects!$B$29*INDEX(Curves!$B$4:$AR$4,1,38-Projects!$C$29+1),0)+IF(AND(Projects!$G$30="Yes",Projects!$M$30="Yes",38&gt;=Projects!$C$30,38&lt;Projects!$C$30+Projects!$D$30),Projects!$B$30*INDEX(Curves!$B$4:$AR$4,1,38-Projects!$C$30+1),0)+IF(AND(Projects!$G$31="Yes",Projects!$M$31="Yes",38&gt;=Projects!$C$31,38&lt;Projects!$C$31+Projects!$D$31),Projects!$B$31*INDEX(Curves!$B$4:$AR$4,1,38-Projects!$C$31+1),0)+IF(AND(Projects!$G$32="Yes",Projects!$M$32="Yes",38&gt;=Projects!$C$32,38&lt;Projects!$C$32+Projects!$D$32),Projects!$B$32*INDEX(Curves!$B$4:$AR$4,1,38-Projects!$C$32+1),0)+IF(AND(Projects!$G$33="Yes",Projects!$M$33="Yes",38&gt;=Projects!$C$33,38&lt;Projects!$C$33+Projects!$D$33),Projects!$B$33*INDEX(Curves!$B$4:$AR$4,1,38-Projects!$C$33+1),0)+IF(AND(Projects!$G$34="Yes",Projects!$M$34="Yes",38&gt;=Projects!$C$34,38&lt;Projects!$C$34+Projects!$D$34),Projects!$B$34*INDEX(Curves!$B$4:$AR$4,1,38-Projects!$C$34+1),0)+IF(AND(Projects!$G$35="Yes",Projects!$M$35="Yes",38&gt;=Projects!$C$35,38&lt;Projects!$C$35+Projects!$D$35),Projects!$B$35*INDEX(Curves!$B$4:$AR$4,1,38-Projects!$C$35+1),0)+IF(AND(Projects!$G$36="Yes",Projects!$M$36="Yes",38&gt;=Projects!$C$36,38&lt;Projects!$C$36+Projects!$D$36),Projects!$B$36*INDEX(Curves!$B$4:$AR$4,1,38-Projects!$C$36+1),0)+IF(AND(Projects!$G$37="Yes",Projects!$M$37="Yes",38&gt;=Projects!$C$37,38&lt;Projects!$C$37+Projects!$D$37),Projects!$B$37*INDEX(Curves!$B$4:$AR$4,1,38-Projects!$C$37+1),0)+IF(AND(Projects!$G$38="Yes",Projects!$M$38="Yes",38&gt;=Projects!$C$38,38&lt;Projects!$C$38+Projects!$D$38),Projects!$B$38*INDEX(Curves!$B$4:$AR$4,1,38-Projects!$C$38+1),0)+IF(AND(Projects!$G$39="Yes",Projects!$M$39="Yes",38&gt;=Projects!$C$39,38&lt;Projects!$C$39+Projects!$D$39),Projects!$B$39*INDEX(Curves!$B$4:$AR$4,1,38-Projects!$C$39+1),0)+IF(AND(Projects!$G$40="Yes",Projects!$M$40="Yes",38&gt;=Projects!$C$40,38&lt;Projects!$C$40+Projects!$D$40),Projects!$B$40*INDEX(Curves!$B$4:$AR$4,1,38-Projects!$C$40+1),0)+IF(AND(Projects!$G$41="Yes",Projects!$M$41="Yes",38&gt;=Projects!$C$41,38&lt;Projects!$C$41+Projects!$D$41),Projects!$B$41*INDEX(Curves!$B$4:$AR$4,1,38-Projects!$C$41+1),0)+IF(AND(Projects!$G$42="Yes",Projects!$M$42="Yes",38&gt;=Projects!$C$42,38&lt;Projects!$C$42+Projects!$D$42),Projects!$B$42*INDEX(Curves!$B$4:$AR$4,1,38-Projects!$C$42+1),0)+IF(AND(Projects!$G$43="Yes",Projects!$M$43="Yes",38&gt;=Projects!$C$43,38&lt;Projects!$C$43+Projects!$D$43),Projects!$B$43*INDEX(Curves!$B$4:$AR$4,1,38-Projects!$C$43+1),0)+IF(AND(Projects!$G$44="Yes",Projects!$M$44="Yes",38&gt;=Projects!$C$44,38&lt;Projects!$C$44+Projects!$D$44),Projects!$B$44*INDEX(Curves!$B$4:$AR$4,1,38-Projects!$C$44+1),0)+IF(AND(Projects!$G$45="Yes",Projects!$M$45="Yes",38&gt;=Projects!$C$45,38&lt;Projects!$C$45+Projects!$D$45),Projects!$B$45*INDEX(Curves!$B$4:$AR$4,1,38-Projects!$C$45+1),0)+IF(AND(Projects!$G$46="Yes",Projects!$M$46="Yes",38&gt;=Projects!$C$46,38&lt;Projects!$C$46+Projects!$D$46),Projects!$B$46*INDEX(Curves!$B$4:$AR$4,1,38-Projects!$C$46+1),0)</f>
        <v>0</v>
      </c>
      <c r="AR101" s="87" t="n">
        <f aca="false">IF(AND(Projects!$G$17="Yes",Projects!$M$17="Yes",39&gt;=Projects!$C$17,39&lt;Projects!$C$17+Projects!$D$17),Projects!$B$17*INDEX(Curves!$B$4:$AR$4,1,39-Projects!$C$17+1),0)+IF(AND(Projects!$G$18="Yes",Projects!$M$18="Yes",39&gt;=Projects!$C$18,39&lt;Projects!$C$18+Projects!$D$18),Projects!$B$18*INDEX(Curves!$B$4:$AR$4,1,39-Projects!$C$18+1),0)+IF(AND(Projects!$G$19="Yes",Projects!$M$19="Yes",39&gt;=Projects!$C$19,39&lt;Projects!$C$19+Projects!$D$19),Projects!$B$19*INDEX(Curves!$B$4:$AR$4,1,39-Projects!$C$19+1),0)+IF(AND(Projects!$G$20="Yes",Projects!$M$20="Yes",39&gt;=Projects!$C$20,39&lt;Projects!$C$20+Projects!$D$20),Projects!$B$20*INDEX(Curves!$B$4:$AR$4,1,39-Projects!$C$20+1),0)+IF(AND(Projects!$G$21="Yes",Projects!$M$21="Yes",39&gt;=Projects!$C$21,39&lt;Projects!$C$21+Projects!$D$21),Projects!$B$21*INDEX(Curves!$B$4:$AR$4,1,39-Projects!$C$21+1),0)+IF(AND(Projects!$G$22="Yes",Projects!$M$22="Yes",39&gt;=Projects!$C$22,39&lt;Projects!$C$22+Projects!$D$22),Projects!$B$22*INDEX(Curves!$B$4:$AR$4,1,39-Projects!$C$22+1),0)+IF(AND(Projects!$G$23="Yes",Projects!$M$23="Yes",39&gt;=Projects!$C$23,39&lt;Projects!$C$23+Projects!$D$23),Projects!$B$23*INDEX(Curves!$B$4:$AR$4,1,39-Projects!$C$23+1),0)+IF(AND(Projects!$G$24="Yes",Projects!$M$24="Yes",39&gt;=Projects!$C$24,39&lt;Projects!$C$24+Projects!$D$24),Projects!$B$24*INDEX(Curves!$B$4:$AR$4,1,39-Projects!$C$24+1),0)+IF(AND(Projects!$G$25="Yes",Projects!$M$25="Yes",39&gt;=Projects!$C$25,39&lt;Projects!$C$25+Projects!$D$25),Projects!$B$25*INDEX(Curves!$B$4:$AR$4,1,39-Projects!$C$25+1),0)+IF(AND(Projects!$G$26="Yes",Projects!$M$26="Yes",39&gt;=Projects!$C$26,39&lt;Projects!$C$26+Projects!$D$26),Projects!$B$26*INDEX(Curves!$B$4:$AR$4,1,39-Projects!$C$26+1),0)+IF(AND(Projects!$G$27="Yes",Projects!$M$27="Yes",39&gt;=Projects!$C$27,39&lt;Projects!$C$27+Projects!$D$27),Projects!$B$27*INDEX(Curves!$B$4:$AR$4,1,39-Projects!$C$27+1),0)+IF(AND(Projects!$G$28="Yes",Projects!$M$28="Yes",39&gt;=Projects!$C$28,39&lt;Projects!$C$28+Projects!$D$28),Projects!$B$28*INDEX(Curves!$B$4:$AR$4,1,39-Projects!$C$28+1),0)+IF(AND(Projects!$G$29="Yes",Projects!$M$29="Yes",39&gt;=Projects!$C$29,39&lt;Projects!$C$29+Projects!$D$29),Projects!$B$29*INDEX(Curves!$B$4:$AR$4,1,39-Projects!$C$29+1),0)+IF(AND(Projects!$G$30="Yes",Projects!$M$30="Yes",39&gt;=Projects!$C$30,39&lt;Projects!$C$30+Projects!$D$30),Projects!$B$30*INDEX(Curves!$B$4:$AR$4,1,39-Projects!$C$30+1),0)+IF(AND(Projects!$G$31="Yes",Projects!$M$31="Yes",39&gt;=Projects!$C$31,39&lt;Projects!$C$31+Projects!$D$31),Projects!$B$31*INDEX(Curves!$B$4:$AR$4,1,39-Projects!$C$31+1),0)+IF(AND(Projects!$G$32="Yes",Projects!$M$32="Yes",39&gt;=Projects!$C$32,39&lt;Projects!$C$32+Projects!$D$32),Projects!$B$32*INDEX(Curves!$B$4:$AR$4,1,39-Projects!$C$32+1),0)+IF(AND(Projects!$G$33="Yes",Projects!$M$33="Yes",39&gt;=Projects!$C$33,39&lt;Projects!$C$33+Projects!$D$33),Projects!$B$33*INDEX(Curves!$B$4:$AR$4,1,39-Projects!$C$33+1),0)+IF(AND(Projects!$G$34="Yes",Projects!$M$34="Yes",39&gt;=Projects!$C$34,39&lt;Projects!$C$34+Projects!$D$34),Projects!$B$34*INDEX(Curves!$B$4:$AR$4,1,39-Projects!$C$34+1),0)+IF(AND(Projects!$G$35="Yes",Projects!$M$35="Yes",39&gt;=Projects!$C$35,39&lt;Projects!$C$35+Projects!$D$35),Projects!$B$35*INDEX(Curves!$B$4:$AR$4,1,39-Projects!$C$35+1),0)+IF(AND(Projects!$G$36="Yes",Projects!$M$36="Yes",39&gt;=Projects!$C$36,39&lt;Projects!$C$36+Projects!$D$36),Projects!$B$36*INDEX(Curves!$B$4:$AR$4,1,39-Projects!$C$36+1),0)+IF(AND(Projects!$G$37="Yes",Projects!$M$37="Yes",39&gt;=Projects!$C$37,39&lt;Projects!$C$37+Projects!$D$37),Projects!$B$37*INDEX(Curves!$B$4:$AR$4,1,39-Projects!$C$37+1),0)+IF(AND(Projects!$G$38="Yes",Projects!$M$38="Yes",39&gt;=Projects!$C$38,39&lt;Projects!$C$38+Projects!$D$38),Projects!$B$38*INDEX(Curves!$B$4:$AR$4,1,39-Projects!$C$38+1),0)+IF(AND(Projects!$G$39="Yes",Projects!$M$39="Yes",39&gt;=Projects!$C$39,39&lt;Projects!$C$39+Projects!$D$39),Projects!$B$39*INDEX(Curves!$B$4:$AR$4,1,39-Projects!$C$39+1),0)+IF(AND(Projects!$G$40="Yes",Projects!$M$40="Yes",39&gt;=Projects!$C$40,39&lt;Projects!$C$40+Projects!$D$40),Projects!$B$40*INDEX(Curves!$B$4:$AR$4,1,39-Projects!$C$40+1),0)+IF(AND(Projects!$G$41="Yes",Projects!$M$41="Yes",39&gt;=Projects!$C$41,39&lt;Projects!$C$41+Projects!$D$41),Projects!$B$41*INDEX(Curves!$B$4:$AR$4,1,39-Projects!$C$41+1),0)+IF(AND(Projects!$G$42="Yes",Projects!$M$42="Yes",39&gt;=Projects!$C$42,39&lt;Projects!$C$42+Projects!$D$42),Projects!$B$42*INDEX(Curves!$B$4:$AR$4,1,39-Projects!$C$42+1),0)+IF(AND(Projects!$G$43="Yes",Projects!$M$43="Yes",39&gt;=Projects!$C$43,39&lt;Projects!$C$43+Projects!$D$43),Projects!$B$43*INDEX(Curves!$B$4:$AR$4,1,39-Projects!$C$43+1),0)+IF(AND(Projects!$G$44="Yes",Projects!$M$44="Yes",39&gt;=Projects!$C$44,39&lt;Projects!$C$44+Projects!$D$44),Projects!$B$44*INDEX(Curves!$B$4:$AR$4,1,39-Projects!$C$44+1),0)+IF(AND(Projects!$G$45="Yes",Projects!$M$45="Yes",39&gt;=Projects!$C$45,39&lt;Projects!$C$45+Projects!$D$45),Projects!$B$45*INDEX(Curves!$B$4:$AR$4,1,39-Projects!$C$45+1),0)+IF(AND(Projects!$G$46="Yes",Projects!$M$46="Yes",39&gt;=Projects!$C$46,39&lt;Projects!$C$46+Projects!$D$46),Projects!$B$46*INDEX(Curves!$B$4:$AR$4,1,39-Projects!$C$46+1),0)</f>
        <v>0</v>
      </c>
      <c r="AS101" s="87" t="n">
        <f aca="false">IF(AND(Projects!$G$17="Yes",Projects!$M$17="Yes",40&gt;=Projects!$C$17,40&lt;Projects!$C$17+Projects!$D$17),Projects!$B$17*INDEX(Curves!$B$4:$AR$4,1,40-Projects!$C$17+1),0)+IF(AND(Projects!$G$18="Yes",Projects!$M$18="Yes",40&gt;=Projects!$C$18,40&lt;Projects!$C$18+Projects!$D$18),Projects!$B$18*INDEX(Curves!$B$4:$AR$4,1,40-Projects!$C$18+1),0)+IF(AND(Projects!$G$19="Yes",Projects!$M$19="Yes",40&gt;=Projects!$C$19,40&lt;Projects!$C$19+Projects!$D$19),Projects!$B$19*INDEX(Curves!$B$4:$AR$4,1,40-Projects!$C$19+1),0)+IF(AND(Projects!$G$20="Yes",Projects!$M$20="Yes",40&gt;=Projects!$C$20,40&lt;Projects!$C$20+Projects!$D$20),Projects!$B$20*INDEX(Curves!$B$4:$AR$4,1,40-Projects!$C$20+1),0)+IF(AND(Projects!$G$21="Yes",Projects!$M$21="Yes",40&gt;=Projects!$C$21,40&lt;Projects!$C$21+Projects!$D$21),Projects!$B$21*INDEX(Curves!$B$4:$AR$4,1,40-Projects!$C$21+1),0)+IF(AND(Projects!$G$22="Yes",Projects!$M$22="Yes",40&gt;=Projects!$C$22,40&lt;Projects!$C$22+Projects!$D$22),Projects!$B$22*INDEX(Curves!$B$4:$AR$4,1,40-Projects!$C$22+1),0)+IF(AND(Projects!$G$23="Yes",Projects!$M$23="Yes",40&gt;=Projects!$C$23,40&lt;Projects!$C$23+Projects!$D$23),Projects!$B$23*INDEX(Curves!$B$4:$AR$4,1,40-Projects!$C$23+1),0)+IF(AND(Projects!$G$24="Yes",Projects!$M$24="Yes",40&gt;=Projects!$C$24,40&lt;Projects!$C$24+Projects!$D$24),Projects!$B$24*INDEX(Curves!$B$4:$AR$4,1,40-Projects!$C$24+1),0)+IF(AND(Projects!$G$25="Yes",Projects!$M$25="Yes",40&gt;=Projects!$C$25,40&lt;Projects!$C$25+Projects!$D$25),Projects!$B$25*INDEX(Curves!$B$4:$AR$4,1,40-Projects!$C$25+1),0)+IF(AND(Projects!$G$26="Yes",Projects!$M$26="Yes",40&gt;=Projects!$C$26,40&lt;Projects!$C$26+Projects!$D$26),Projects!$B$26*INDEX(Curves!$B$4:$AR$4,1,40-Projects!$C$26+1),0)+IF(AND(Projects!$G$27="Yes",Projects!$M$27="Yes",40&gt;=Projects!$C$27,40&lt;Projects!$C$27+Projects!$D$27),Projects!$B$27*INDEX(Curves!$B$4:$AR$4,1,40-Projects!$C$27+1),0)+IF(AND(Projects!$G$28="Yes",Projects!$M$28="Yes",40&gt;=Projects!$C$28,40&lt;Projects!$C$28+Projects!$D$28),Projects!$B$28*INDEX(Curves!$B$4:$AR$4,1,40-Projects!$C$28+1),0)+IF(AND(Projects!$G$29="Yes",Projects!$M$29="Yes",40&gt;=Projects!$C$29,40&lt;Projects!$C$29+Projects!$D$29),Projects!$B$29*INDEX(Curves!$B$4:$AR$4,1,40-Projects!$C$29+1),0)+IF(AND(Projects!$G$30="Yes",Projects!$M$30="Yes",40&gt;=Projects!$C$30,40&lt;Projects!$C$30+Projects!$D$30),Projects!$B$30*INDEX(Curves!$B$4:$AR$4,1,40-Projects!$C$30+1),0)+IF(AND(Projects!$G$31="Yes",Projects!$M$31="Yes",40&gt;=Projects!$C$31,40&lt;Projects!$C$31+Projects!$D$31),Projects!$B$31*INDEX(Curves!$B$4:$AR$4,1,40-Projects!$C$31+1),0)+IF(AND(Projects!$G$32="Yes",Projects!$M$32="Yes",40&gt;=Projects!$C$32,40&lt;Projects!$C$32+Projects!$D$32),Projects!$B$32*INDEX(Curves!$B$4:$AR$4,1,40-Projects!$C$32+1),0)+IF(AND(Projects!$G$33="Yes",Projects!$M$33="Yes",40&gt;=Projects!$C$33,40&lt;Projects!$C$33+Projects!$D$33),Projects!$B$33*INDEX(Curves!$B$4:$AR$4,1,40-Projects!$C$33+1),0)+IF(AND(Projects!$G$34="Yes",Projects!$M$34="Yes",40&gt;=Projects!$C$34,40&lt;Projects!$C$34+Projects!$D$34),Projects!$B$34*INDEX(Curves!$B$4:$AR$4,1,40-Projects!$C$34+1),0)+IF(AND(Projects!$G$35="Yes",Projects!$M$35="Yes",40&gt;=Projects!$C$35,40&lt;Projects!$C$35+Projects!$D$35),Projects!$B$35*INDEX(Curves!$B$4:$AR$4,1,40-Projects!$C$35+1),0)+IF(AND(Projects!$G$36="Yes",Projects!$M$36="Yes",40&gt;=Projects!$C$36,40&lt;Projects!$C$36+Projects!$D$36),Projects!$B$36*INDEX(Curves!$B$4:$AR$4,1,40-Projects!$C$36+1),0)+IF(AND(Projects!$G$37="Yes",Projects!$M$37="Yes",40&gt;=Projects!$C$37,40&lt;Projects!$C$37+Projects!$D$37),Projects!$B$37*INDEX(Curves!$B$4:$AR$4,1,40-Projects!$C$37+1),0)+IF(AND(Projects!$G$38="Yes",Projects!$M$38="Yes",40&gt;=Projects!$C$38,40&lt;Projects!$C$38+Projects!$D$38),Projects!$B$38*INDEX(Curves!$B$4:$AR$4,1,40-Projects!$C$38+1),0)+IF(AND(Projects!$G$39="Yes",Projects!$M$39="Yes",40&gt;=Projects!$C$39,40&lt;Projects!$C$39+Projects!$D$39),Projects!$B$39*INDEX(Curves!$B$4:$AR$4,1,40-Projects!$C$39+1),0)+IF(AND(Projects!$G$40="Yes",Projects!$M$40="Yes",40&gt;=Projects!$C$40,40&lt;Projects!$C$40+Projects!$D$40),Projects!$B$40*INDEX(Curves!$B$4:$AR$4,1,40-Projects!$C$40+1),0)+IF(AND(Projects!$G$41="Yes",Projects!$M$41="Yes",40&gt;=Projects!$C$41,40&lt;Projects!$C$41+Projects!$D$41),Projects!$B$41*INDEX(Curves!$B$4:$AR$4,1,40-Projects!$C$41+1),0)+IF(AND(Projects!$G$42="Yes",Projects!$M$42="Yes",40&gt;=Projects!$C$42,40&lt;Projects!$C$42+Projects!$D$42),Projects!$B$42*INDEX(Curves!$B$4:$AR$4,1,40-Projects!$C$42+1),0)+IF(AND(Projects!$G$43="Yes",Projects!$M$43="Yes",40&gt;=Projects!$C$43,40&lt;Projects!$C$43+Projects!$D$43),Projects!$B$43*INDEX(Curves!$B$4:$AR$4,1,40-Projects!$C$43+1),0)+IF(AND(Projects!$G$44="Yes",Projects!$M$44="Yes",40&gt;=Projects!$C$44,40&lt;Projects!$C$44+Projects!$D$44),Projects!$B$44*INDEX(Curves!$B$4:$AR$4,1,40-Projects!$C$44+1),0)+IF(AND(Projects!$G$45="Yes",Projects!$M$45="Yes",40&gt;=Projects!$C$45,40&lt;Projects!$C$45+Projects!$D$45),Projects!$B$45*INDEX(Curves!$B$4:$AR$4,1,40-Projects!$C$45+1),0)+IF(AND(Projects!$G$46="Yes",Projects!$M$46="Yes",40&gt;=Projects!$C$46,40&lt;Projects!$C$46+Projects!$D$46),Projects!$B$46*INDEX(Curves!$B$4:$AR$4,1,40-Projects!$C$46+1),0)</f>
        <v>0</v>
      </c>
      <c r="AT101" s="87" t="n">
        <f aca="false">IF(AND(Projects!$G$17="Yes",Projects!$M$17="Yes",41&gt;=Projects!$C$17,41&lt;Projects!$C$17+Projects!$D$17),Projects!$B$17*INDEX(Curves!$B$4:$AR$4,1,41-Projects!$C$17+1),0)+IF(AND(Projects!$G$18="Yes",Projects!$M$18="Yes",41&gt;=Projects!$C$18,41&lt;Projects!$C$18+Projects!$D$18),Projects!$B$18*INDEX(Curves!$B$4:$AR$4,1,41-Projects!$C$18+1),0)+IF(AND(Projects!$G$19="Yes",Projects!$M$19="Yes",41&gt;=Projects!$C$19,41&lt;Projects!$C$19+Projects!$D$19),Projects!$B$19*INDEX(Curves!$B$4:$AR$4,1,41-Projects!$C$19+1),0)+IF(AND(Projects!$G$20="Yes",Projects!$M$20="Yes",41&gt;=Projects!$C$20,41&lt;Projects!$C$20+Projects!$D$20),Projects!$B$20*INDEX(Curves!$B$4:$AR$4,1,41-Projects!$C$20+1),0)+IF(AND(Projects!$G$21="Yes",Projects!$M$21="Yes",41&gt;=Projects!$C$21,41&lt;Projects!$C$21+Projects!$D$21),Projects!$B$21*INDEX(Curves!$B$4:$AR$4,1,41-Projects!$C$21+1),0)+IF(AND(Projects!$G$22="Yes",Projects!$M$22="Yes",41&gt;=Projects!$C$22,41&lt;Projects!$C$22+Projects!$D$22),Projects!$B$22*INDEX(Curves!$B$4:$AR$4,1,41-Projects!$C$22+1),0)+IF(AND(Projects!$G$23="Yes",Projects!$M$23="Yes",41&gt;=Projects!$C$23,41&lt;Projects!$C$23+Projects!$D$23),Projects!$B$23*INDEX(Curves!$B$4:$AR$4,1,41-Projects!$C$23+1),0)+IF(AND(Projects!$G$24="Yes",Projects!$M$24="Yes",41&gt;=Projects!$C$24,41&lt;Projects!$C$24+Projects!$D$24),Projects!$B$24*INDEX(Curves!$B$4:$AR$4,1,41-Projects!$C$24+1),0)+IF(AND(Projects!$G$25="Yes",Projects!$M$25="Yes",41&gt;=Projects!$C$25,41&lt;Projects!$C$25+Projects!$D$25),Projects!$B$25*INDEX(Curves!$B$4:$AR$4,1,41-Projects!$C$25+1),0)+IF(AND(Projects!$G$26="Yes",Projects!$M$26="Yes",41&gt;=Projects!$C$26,41&lt;Projects!$C$26+Projects!$D$26),Projects!$B$26*INDEX(Curves!$B$4:$AR$4,1,41-Projects!$C$26+1),0)+IF(AND(Projects!$G$27="Yes",Projects!$M$27="Yes",41&gt;=Projects!$C$27,41&lt;Projects!$C$27+Projects!$D$27),Projects!$B$27*INDEX(Curves!$B$4:$AR$4,1,41-Projects!$C$27+1),0)+IF(AND(Projects!$G$28="Yes",Projects!$M$28="Yes",41&gt;=Projects!$C$28,41&lt;Projects!$C$28+Projects!$D$28),Projects!$B$28*INDEX(Curves!$B$4:$AR$4,1,41-Projects!$C$28+1),0)+IF(AND(Projects!$G$29="Yes",Projects!$M$29="Yes",41&gt;=Projects!$C$29,41&lt;Projects!$C$29+Projects!$D$29),Projects!$B$29*INDEX(Curves!$B$4:$AR$4,1,41-Projects!$C$29+1),0)+IF(AND(Projects!$G$30="Yes",Projects!$M$30="Yes",41&gt;=Projects!$C$30,41&lt;Projects!$C$30+Projects!$D$30),Projects!$B$30*INDEX(Curves!$B$4:$AR$4,1,41-Projects!$C$30+1),0)+IF(AND(Projects!$G$31="Yes",Projects!$M$31="Yes",41&gt;=Projects!$C$31,41&lt;Projects!$C$31+Projects!$D$31),Projects!$B$31*INDEX(Curves!$B$4:$AR$4,1,41-Projects!$C$31+1),0)+IF(AND(Projects!$G$32="Yes",Projects!$M$32="Yes",41&gt;=Projects!$C$32,41&lt;Projects!$C$32+Projects!$D$32),Projects!$B$32*INDEX(Curves!$B$4:$AR$4,1,41-Projects!$C$32+1),0)+IF(AND(Projects!$G$33="Yes",Projects!$M$33="Yes",41&gt;=Projects!$C$33,41&lt;Projects!$C$33+Projects!$D$33),Projects!$B$33*INDEX(Curves!$B$4:$AR$4,1,41-Projects!$C$33+1),0)+IF(AND(Projects!$G$34="Yes",Projects!$M$34="Yes",41&gt;=Projects!$C$34,41&lt;Projects!$C$34+Projects!$D$34),Projects!$B$34*INDEX(Curves!$B$4:$AR$4,1,41-Projects!$C$34+1),0)+IF(AND(Projects!$G$35="Yes",Projects!$M$35="Yes",41&gt;=Projects!$C$35,41&lt;Projects!$C$35+Projects!$D$35),Projects!$B$35*INDEX(Curves!$B$4:$AR$4,1,41-Projects!$C$35+1),0)+IF(AND(Projects!$G$36="Yes",Projects!$M$36="Yes",41&gt;=Projects!$C$36,41&lt;Projects!$C$36+Projects!$D$36),Projects!$B$36*INDEX(Curves!$B$4:$AR$4,1,41-Projects!$C$36+1),0)+IF(AND(Projects!$G$37="Yes",Projects!$M$37="Yes",41&gt;=Projects!$C$37,41&lt;Projects!$C$37+Projects!$D$37),Projects!$B$37*INDEX(Curves!$B$4:$AR$4,1,41-Projects!$C$37+1),0)+IF(AND(Projects!$G$38="Yes",Projects!$M$38="Yes",41&gt;=Projects!$C$38,41&lt;Projects!$C$38+Projects!$D$38),Projects!$B$38*INDEX(Curves!$B$4:$AR$4,1,41-Projects!$C$38+1),0)+IF(AND(Projects!$G$39="Yes",Projects!$M$39="Yes",41&gt;=Projects!$C$39,41&lt;Projects!$C$39+Projects!$D$39),Projects!$B$39*INDEX(Curves!$B$4:$AR$4,1,41-Projects!$C$39+1),0)+IF(AND(Projects!$G$40="Yes",Projects!$M$40="Yes",41&gt;=Projects!$C$40,41&lt;Projects!$C$40+Projects!$D$40),Projects!$B$40*INDEX(Curves!$B$4:$AR$4,1,41-Projects!$C$40+1),0)+IF(AND(Projects!$G$41="Yes",Projects!$M$41="Yes",41&gt;=Projects!$C$41,41&lt;Projects!$C$41+Projects!$D$41),Projects!$B$41*INDEX(Curves!$B$4:$AR$4,1,41-Projects!$C$41+1),0)+IF(AND(Projects!$G$42="Yes",Projects!$M$42="Yes",41&gt;=Projects!$C$42,41&lt;Projects!$C$42+Projects!$D$42),Projects!$B$42*INDEX(Curves!$B$4:$AR$4,1,41-Projects!$C$42+1),0)+IF(AND(Projects!$G$43="Yes",Projects!$M$43="Yes",41&gt;=Projects!$C$43,41&lt;Projects!$C$43+Projects!$D$43),Projects!$B$43*INDEX(Curves!$B$4:$AR$4,1,41-Projects!$C$43+1),0)+IF(AND(Projects!$G$44="Yes",Projects!$M$44="Yes",41&gt;=Projects!$C$44,41&lt;Projects!$C$44+Projects!$D$44),Projects!$B$44*INDEX(Curves!$B$4:$AR$4,1,41-Projects!$C$44+1),0)+IF(AND(Projects!$G$45="Yes",Projects!$M$45="Yes",41&gt;=Projects!$C$45,41&lt;Projects!$C$45+Projects!$D$45),Projects!$B$45*INDEX(Curves!$B$4:$AR$4,1,41-Projects!$C$45+1),0)+IF(AND(Projects!$G$46="Yes",Projects!$M$46="Yes",41&gt;=Projects!$C$46,41&lt;Projects!$C$46+Projects!$D$46),Projects!$B$46*INDEX(Curves!$B$4:$AR$4,1,41-Projects!$C$46+1),0)</f>
        <v>0</v>
      </c>
      <c r="AU101" s="87" t="n">
        <f aca="false">IF(AND(Projects!$G$17="Yes",Projects!$M$17="Yes",42&gt;=Projects!$C$17,42&lt;Projects!$C$17+Projects!$D$17),Projects!$B$17*INDEX(Curves!$B$4:$AR$4,1,42-Projects!$C$17+1),0)+IF(AND(Projects!$G$18="Yes",Projects!$M$18="Yes",42&gt;=Projects!$C$18,42&lt;Projects!$C$18+Projects!$D$18),Projects!$B$18*INDEX(Curves!$B$4:$AR$4,1,42-Projects!$C$18+1),0)+IF(AND(Projects!$G$19="Yes",Projects!$M$19="Yes",42&gt;=Projects!$C$19,42&lt;Projects!$C$19+Projects!$D$19),Projects!$B$19*INDEX(Curves!$B$4:$AR$4,1,42-Projects!$C$19+1),0)+IF(AND(Projects!$G$20="Yes",Projects!$M$20="Yes",42&gt;=Projects!$C$20,42&lt;Projects!$C$20+Projects!$D$20),Projects!$B$20*INDEX(Curves!$B$4:$AR$4,1,42-Projects!$C$20+1),0)+IF(AND(Projects!$G$21="Yes",Projects!$M$21="Yes",42&gt;=Projects!$C$21,42&lt;Projects!$C$21+Projects!$D$21),Projects!$B$21*INDEX(Curves!$B$4:$AR$4,1,42-Projects!$C$21+1),0)+IF(AND(Projects!$G$22="Yes",Projects!$M$22="Yes",42&gt;=Projects!$C$22,42&lt;Projects!$C$22+Projects!$D$22),Projects!$B$22*INDEX(Curves!$B$4:$AR$4,1,42-Projects!$C$22+1),0)+IF(AND(Projects!$G$23="Yes",Projects!$M$23="Yes",42&gt;=Projects!$C$23,42&lt;Projects!$C$23+Projects!$D$23),Projects!$B$23*INDEX(Curves!$B$4:$AR$4,1,42-Projects!$C$23+1),0)+IF(AND(Projects!$G$24="Yes",Projects!$M$24="Yes",42&gt;=Projects!$C$24,42&lt;Projects!$C$24+Projects!$D$24),Projects!$B$24*INDEX(Curves!$B$4:$AR$4,1,42-Projects!$C$24+1),0)+IF(AND(Projects!$G$25="Yes",Projects!$M$25="Yes",42&gt;=Projects!$C$25,42&lt;Projects!$C$25+Projects!$D$25),Projects!$B$25*INDEX(Curves!$B$4:$AR$4,1,42-Projects!$C$25+1),0)+IF(AND(Projects!$G$26="Yes",Projects!$M$26="Yes",42&gt;=Projects!$C$26,42&lt;Projects!$C$26+Projects!$D$26),Projects!$B$26*INDEX(Curves!$B$4:$AR$4,1,42-Projects!$C$26+1),0)+IF(AND(Projects!$G$27="Yes",Projects!$M$27="Yes",42&gt;=Projects!$C$27,42&lt;Projects!$C$27+Projects!$D$27),Projects!$B$27*INDEX(Curves!$B$4:$AR$4,1,42-Projects!$C$27+1),0)+IF(AND(Projects!$G$28="Yes",Projects!$M$28="Yes",42&gt;=Projects!$C$28,42&lt;Projects!$C$28+Projects!$D$28),Projects!$B$28*INDEX(Curves!$B$4:$AR$4,1,42-Projects!$C$28+1),0)+IF(AND(Projects!$G$29="Yes",Projects!$M$29="Yes",42&gt;=Projects!$C$29,42&lt;Projects!$C$29+Projects!$D$29),Projects!$B$29*INDEX(Curves!$B$4:$AR$4,1,42-Projects!$C$29+1),0)+IF(AND(Projects!$G$30="Yes",Projects!$M$30="Yes",42&gt;=Projects!$C$30,42&lt;Projects!$C$30+Projects!$D$30),Projects!$B$30*INDEX(Curves!$B$4:$AR$4,1,42-Projects!$C$30+1),0)+IF(AND(Projects!$G$31="Yes",Projects!$M$31="Yes",42&gt;=Projects!$C$31,42&lt;Projects!$C$31+Projects!$D$31),Projects!$B$31*INDEX(Curves!$B$4:$AR$4,1,42-Projects!$C$31+1),0)+IF(AND(Projects!$G$32="Yes",Projects!$M$32="Yes",42&gt;=Projects!$C$32,42&lt;Projects!$C$32+Projects!$D$32),Projects!$B$32*INDEX(Curves!$B$4:$AR$4,1,42-Projects!$C$32+1),0)+IF(AND(Projects!$G$33="Yes",Projects!$M$33="Yes",42&gt;=Projects!$C$33,42&lt;Projects!$C$33+Projects!$D$33),Projects!$B$33*INDEX(Curves!$B$4:$AR$4,1,42-Projects!$C$33+1),0)+IF(AND(Projects!$G$34="Yes",Projects!$M$34="Yes",42&gt;=Projects!$C$34,42&lt;Projects!$C$34+Projects!$D$34),Projects!$B$34*INDEX(Curves!$B$4:$AR$4,1,42-Projects!$C$34+1),0)+IF(AND(Projects!$G$35="Yes",Projects!$M$35="Yes",42&gt;=Projects!$C$35,42&lt;Projects!$C$35+Projects!$D$35),Projects!$B$35*INDEX(Curves!$B$4:$AR$4,1,42-Projects!$C$35+1),0)+IF(AND(Projects!$G$36="Yes",Projects!$M$36="Yes",42&gt;=Projects!$C$36,42&lt;Projects!$C$36+Projects!$D$36),Projects!$B$36*INDEX(Curves!$B$4:$AR$4,1,42-Projects!$C$36+1),0)+IF(AND(Projects!$G$37="Yes",Projects!$M$37="Yes",42&gt;=Projects!$C$37,42&lt;Projects!$C$37+Projects!$D$37),Projects!$B$37*INDEX(Curves!$B$4:$AR$4,1,42-Projects!$C$37+1),0)+IF(AND(Projects!$G$38="Yes",Projects!$M$38="Yes",42&gt;=Projects!$C$38,42&lt;Projects!$C$38+Projects!$D$38),Projects!$B$38*INDEX(Curves!$B$4:$AR$4,1,42-Projects!$C$38+1),0)+IF(AND(Projects!$G$39="Yes",Projects!$M$39="Yes",42&gt;=Projects!$C$39,42&lt;Projects!$C$39+Projects!$D$39),Projects!$B$39*INDEX(Curves!$B$4:$AR$4,1,42-Projects!$C$39+1),0)+IF(AND(Projects!$G$40="Yes",Projects!$M$40="Yes",42&gt;=Projects!$C$40,42&lt;Projects!$C$40+Projects!$D$40),Projects!$B$40*INDEX(Curves!$B$4:$AR$4,1,42-Projects!$C$40+1),0)+IF(AND(Projects!$G$41="Yes",Projects!$M$41="Yes",42&gt;=Projects!$C$41,42&lt;Projects!$C$41+Projects!$D$41),Projects!$B$41*INDEX(Curves!$B$4:$AR$4,1,42-Projects!$C$41+1),0)+IF(AND(Projects!$G$42="Yes",Projects!$M$42="Yes",42&gt;=Projects!$C$42,42&lt;Projects!$C$42+Projects!$D$42),Projects!$B$42*INDEX(Curves!$B$4:$AR$4,1,42-Projects!$C$42+1),0)+IF(AND(Projects!$G$43="Yes",Projects!$M$43="Yes",42&gt;=Projects!$C$43,42&lt;Projects!$C$43+Projects!$D$43),Projects!$B$43*INDEX(Curves!$B$4:$AR$4,1,42-Projects!$C$43+1),0)+IF(AND(Projects!$G$44="Yes",Projects!$M$44="Yes",42&gt;=Projects!$C$44,42&lt;Projects!$C$44+Projects!$D$44),Projects!$B$44*INDEX(Curves!$B$4:$AR$4,1,42-Projects!$C$44+1),0)+IF(AND(Projects!$G$45="Yes",Projects!$M$45="Yes",42&gt;=Projects!$C$45,42&lt;Projects!$C$45+Projects!$D$45),Projects!$B$45*INDEX(Curves!$B$4:$AR$4,1,42-Projects!$C$45+1),0)+IF(AND(Projects!$G$46="Yes",Projects!$M$46="Yes",42&gt;=Projects!$C$46,42&lt;Projects!$C$46+Projects!$D$46),Projects!$B$46*INDEX(Curves!$B$4:$AR$4,1,42-Projects!$C$46+1),0)</f>
        <v>0</v>
      </c>
      <c r="AV101" s="87" t="n">
        <f aca="false">IF(AND(Projects!$G$17="Yes",Projects!$M$17="Yes",43&gt;=Projects!$C$17,43&lt;Projects!$C$17+Projects!$D$17),Projects!$B$17*INDEX(Curves!$B$4:$AR$4,1,43-Projects!$C$17+1),0)+IF(AND(Projects!$G$18="Yes",Projects!$M$18="Yes",43&gt;=Projects!$C$18,43&lt;Projects!$C$18+Projects!$D$18),Projects!$B$18*INDEX(Curves!$B$4:$AR$4,1,43-Projects!$C$18+1),0)+IF(AND(Projects!$G$19="Yes",Projects!$M$19="Yes",43&gt;=Projects!$C$19,43&lt;Projects!$C$19+Projects!$D$19),Projects!$B$19*INDEX(Curves!$B$4:$AR$4,1,43-Projects!$C$19+1),0)+IF(AND(Projects!$G$20="Yes",Projects!$M$20="Yes",43&gt;=Projects!$C$20,43&lt;Projects!$C$20+Projects!$D$20),Projects!$B$20*INDEX(Curves!$B$4:$AR$4,1,43-Projects!$C$20+1),0)+IF(AND(Projects!$G$21="Yes",Projects!$M$21="Yes",43&gt;=Projects!$C$21,43&lt;Projects!$C$21+Projects!$D$21),Projects!$B$21*INDEX(Curves!$B$4:$AR$4,1,43-Projects!$C$21+1),0)+IF(AND(Projects!$G$22="Yes",Projects!$M$22="Yes",43&gt;=Projects!$C$22,43&lt;Projects!$C$22+Projects!$D$22),Projects!$B$22*INDEX(Curves!$B$4:$AR$4,1,43-Projects!$C$22+1),0)+IF(AND(Projects!$G$23="Yes",Projects!$M$23="Yes",43&gt;=Projects!$C$23,43&lt;Projects!$C$23+Projects!$D$23),Projects!$B$23*INDEX(Curves!$B$4:$AR$4,1,43-Projects!$C$23+1),0)+IF(AND(Projects!$G$24="Yes",Projects!$M$24="Yes",43&gt;=Projects!$C$24,43&lt;Projects!$C$24+Projects!$D$24),Projects!$B$24*INDEX(Curves!$B$4:$AR$4,1,43-Projects!$C$24+1),0)+IF(AND(Projects!$G$25="Yes",Projects!$M$25="Yes",43&gt;=Projects!$C$25,43&lt;Projects!$C$25+Projects!$D$25),Projects!$B$25*INDEX(Curves!$B$4:$AR$4,1,43-Projects!$C$25+1),0)+IF(AND(Projects!$G$26="Yes",Projects!$M$26="Yes",43&gt;=Projects!$C$26,43&lt;Projects!$C$26+Projects!$D$26),Projects!$B$26*INDEX(Curves!$B$4:$AR$4,1,43-Projects!$C$26+1),0)+IF(AND(Projects!$G$27="Yes",Projects!$M$27="Yes",43&gt;=Projects!$C$27,43&lt;Projects!$C$27+Projects!$D$27),Projects!$B$27*INDEX(Curves!$B$4:$AR$4,1,43-Projects!$C$27+1),0)+IF(AND(Projects!$G$28="Yes",Projects!$M$28="Yes",43&gt;=Projects!$C$28,43&lt;Projects!$C$28+Projects!$D$28),Projects!$B$28*INDEX(Curves!$B$4:$AR$4,1,43-Projects!$C$28+1),0)+IF(AND(Projects!$G$29="Yes",Projects!$M$29="Yes",43&gt;=Projects!$C$29,43&lt;Projects!$C$29+Projects!$D$29),Projects!$B$29*INDEX(Curves!$B$4:$AR$4,1,43-Projects!$C$29+1),0)+IF(AND(Projects!$G$30="Yes",Projects!$M$30="Yes",43&gt;=Projects!$C$30,43&lt;Projects!$C$30+Projects!$D$30),Projects!$B$30*INDEX(Curves!$B$4:$AR$4,1,43-Projects!$C$30+1),0)+IF(AND(Projects!$G$31="Yes",Projects!$M$31="Yes",43&gt;=Projects!$C$31,43&lt;Projects!$C$31+Projects!$D$31),Projects!$B$31*INDEX(Curves!$B$4:$AR$4,1,43-Projects!$C$31+1),0)+IF(AND(Projects!$G$32="Yes",Projects!$M$32="Yes",43&gt;=Projects!$C$32,43&lt;Projects!$C$32+Projects!$D$32),Projects!$B$32*INDEX(Curves!$B$4:$AR$4,1,43-Projects!$C$32+1),0)+IF(AND(Projects!$G$33="Yes",Projects!$M$33="Yes",43&gt;=Projects!$C$33,43&lt;Projects!$C$33+Projects!$D$33),Projects!$B$33*INDEX(Curves!$B$4:$AR$4,1,43-Projects!$C$33+1),0)+IF(AND(Projects!$G$34="Yes",Projects!$M$34="Yes",43&gt;=Projects!$C$34,43&lt;Projects!$C$34+Projects!$D$34),Projects!$B$34*INDEX(Curves!$B$4:$AR$4,1,43-Projects!$C$34+1),0)+IF(AND(Projects!$G$35="Yes",Projects!$M$35="Yes",43&gt;=Projects!$C$35,43&lt;Projects!$C$35+Projects!$D$35),Projects!$B$35*INDEX(Curves!$B$4:$AR$4,1,43-Projects!$C$35+1),0)+IF(AND(Projects!$G$36="Yes",Projects!$M$36="Yes",43&gt;=Projects!$C$36,43&lt;Projects!$C$36+Projects!$D$36),Projects!$B$36*INDEX(Curves!$B$4:$AR$4,1,43-Projects!$C$36+1),0)+IF(AND(Projects!$G$37="Yes",Projects!$M$37="Yes",43&gt;=Projects!$C$37,43&lt;Projects!$C$37+Projects!$D$37),Projects!$B$37*INDEX(Curves!$B$4:$AR$4,1,43-Projects!$C$37+1),0)+IF(AND(Projects!$G$38="Yes",Projects!$M$38="Yes",43&gt;=Projects!$C$38,43&lt;Projects!$C$38+Projects!$D$38),Projects!$B$38*INDEX(Curves!$B$4:$AR$4,1,43-Projects!$C$38+1),0)+IF(AND(Projects!$G$39="Yes",Projects!$M$39="Yes",43&gt;=Projects!$C$39,43&lt;Projects!$C$39+Projects!$D$39),Projects!$B$39*INDEX(Curves!$B$4:$AR$4,1,43-Projects!$C$39+1),0)+IF(AND(Projects!$G$40="Yes",Projects!$M$40="Yes",43&gt;=Projects!$C$40,43&lt;Projects!$C$40+Projects!$D$40),Projects!$B$40*INDEX(Curves!$B$4:$AR$4,1,43-Projects!$C$40+1),0)+IF(AND(Projects!$G$41="Yes",Projects!$M$41="Yes",43&gt;=Projects!$C$41,43&lt;Projects!$C$41+Projects!$D$41),Projects!$B$41*INDEX(Curves!$B$4:$AR$4,1,43-Projects!$C$41+1),0)+IF(AND(Projects!$G$42="Yes",Projects!$M$42="Yes",43&gt;=Projects!$C$42,43&lt;Projects!$C$42+Projects!$D$42),Projects!$B$42*INDEX(Curves!$B$4:$AR$4,1,43-Projects!$C$42+1),0)+IF(AND(Projects!$G$43="Yes",Projects!$M$43="Yes",43&gt;=Projects!$C$43,43&lt;Projects!$C$43+Projects!$D$43),Projects!$B$43*INDEX(Curves!$B$4:$AR$4,1,43-Projects!$C$43+1),0)+IF(AND(Projects!$G$44="Yes",Projects!$M$44="Yes",43&gt;=Projects!$C$44,43&lt;Projects!$C$44+Projects!$D$44),Projects!$B$44*INDEX(Curves!$B$4:$AR$4,1,43-Projects!$C$44+1),0)+IF(AND(Projects!$G$45="Yes",Projects!$M$45="Yes",43&gt;=Projects!$C$45,43&lt;Projects!$C$45+Projects!$D$45),Projects!$B$45*INDEX(Curves!$B$4:$AR$4,1,43-Projects!$C$45+1),0)+IF(AND(Projects!$G$46="Yes",Projects!$M$46="Yes",43&gt;=Projects!$C$46,43&lt;Projects!$C$46+Projects!$D$46),Projects!$B$46*INDEX(Curves!$B$4:$AR$4,1,43-Projects!$C$46+1),0)</f>
        <v>0</v>
      </c>
      <c r="AW101" s="87" t="n">
        <f aca="false">IF(AND(Projects!$G$17="Yes",Projects!$M$17="Yes",44&gt;=Projects!$C$17,44&lt;Projects!$C$17+Projects!$D$17),Projects!$B$17*INDEX(Curves!$B$4:$AR$4,1,44-Projects!$C$17+1),0)+IF(AND(Projects!$G$18="Yes",Projects!$M$18="Yes",44&gt;=Projects!$C$18,44&lt;Projects!$C$18+Projects!$D$18),Projects!$B$18*INDEX(Curves!$B$4:$AR$4,1,44-Projects!$C$18+1),0)+IF(AND(Projects!$G$19="Yes",Projects!$M$19="Yes",44&gt;=Projects!$C$19,44&lt;Projects!$C$19+Projects!$D$19),Projects!$B$19*INDEX(Curves!$B$4:$AR$4,1,44-Projects!$C$19+1),0)+IF(AND(Projects!$G$20="Yes",Projects!$M$20="Yes",44&gt;=Projects!$C$20,44&lt;Projects!$C$20+Projects!$D$20),Projects!$B$20*INDEX(Curves!$B$4:$AR$4,1,44-Projects!$C$20+1),0)+IF(AND(Projects!$G$21="Yes",Projects!$M$21="Yes",44&gt;=Projects!$C$21,44&lt;Projects!$C$21+Projects!$D$21),Projects!$B$21*INDEX(Curves!$B$4:$AR$4,1,44-Projects!$C$21+1),0)+IF(AND(Projects!$G$22="Yes",Projects!$M$22="Yes",44&gt;=Projects!$C$22,44&lt;Projects!$C$22+Projects!$D$22),Projects!$B$22*INDEX(Curves!$B$4:$AR$4,1,44-Projects!$C$22+1),0)+IF(AND(Projects!$G$23="Yes",Projects!$M$23="Yes",44&gt;=Projects!$C$23,44&lt;Projects!$C$23+Projects!$D$23),Projects!$B$23*INDEX(Curves!$B$4:$AR$4,1,44-Projects!$C$23+1),0)+IF(AND(Projects!$G$24="Yes",Projects!$M$24="Yes",44&gt;=Projects!$C$24,44&lt;Projects!$C$24+Projects!$D$24),Projects!$B$24*INDEX(Curves!$B$4:$AR$4,1,44-Projects!$C$24+1),0)+IF(AND(Projects!$G$25="Yes",Projects!$M$25="Yes",44&gt;=Projects!$C$25,44&lt;Projects!$C$25+Projects!$D$25),Projects!$B$25*INDEX(Curves!$B$4:$AR$4,1,44-Projects!$C$25+1),0)+IF(AND(Projects!$G$26="Yes",Projects!$M$26="Yes",44&gt;=Projects!$C$26,44&lt;Projects!$C$26+Projects!$D$26),Projects!$B$26*INDEX(Curves!$B$4:$AR$4,1,44-Projects!$C$26+1),0)+IF(AND(Projects!$G$27="Yes",Projects!$M$27="Yes",44&gt;=Projects!$C$27,44&lt;Projects!$C$27+Projects!$D$27),Projects!$B$27*INDEX(Curves!$B$4:$AR$4,1,44-Projects!$C$27+1),0)+IF(AND(Projects!$G$28="Yes",Projects!$M$28="Yes",44&gt;=Projects!$C$28,44&lt;Projects!$C$28+Projects!$D$28),Projects!$B$28*INDEX(Curves!$B$4:$AR$4,1,44-Projects!$C$28+1),0)+IF(AND(Projects!$G$29="Yes",Projects!$M$29="Yes",44&gt;=Projects!$C$29,44&lt;Projects!$C$29+Projects!$D$29),Projects!$B$29*INDEX(Curves!$B$4:$AR$4,1,44-Projects!$C$29+1),0)+IF(AND(Projects!$G$30="Yes",Projects!$M$30="Yes",44&gt;=Projects!$C$30,44&lt;Projects!$C$30+Projects!$D$30),Projects!$B$30*INDEX(Curves!$B$4:$AR$4,1,44-Projects!$C$30+1),0)+IF(AND(Projects!$G$31="Yes",Projects!$M$31="Yes",44&gt;=Projects!$C$31,44&lt;Projects!$C$31+Projects!$D$31),Projects!$B$31*INDEX(Curves!$B$4:$AR$4,1,44-Projects!$C$31+1),0)+IF(AND(Projects!$G$32="Yes",Projects!$M$32="Yes",44&gt;=Projects!$C$32,44&lt;Projects!$C$32+Projects!$D$32),Projects!$B$32*INDEX(Curves!$B$4:$AR$4,1,44-Projects!$C$32+1),0)+IF(AND(Projects!$G$33="Yes",Projects!$M$33="Yes",44&gt;=Projects!$C$33,44&lt;Projects!$C$33+Projects!$D$33),Projects!$B$33*INDEX(Curves!$B$4:$AR$4,1,44-Projects!$C$33+1),0)+IF(AND(Projects!$G$34="Yes",Projects!$M$34="Yes",44&gt;=Projects!$C$34,44&lt;Projects!$C$34+Projects!$D$34),Projects!$B$34*INDEX(Curves!$B$4:$AR$4,1,44-Projects!$C$34+1),0)+IF(AND(Projects!$G$35="Yes",Projects!$M$35="Yes",44&gt;=Projects!$C$35,44&lt;Projects!$C$35+Projects!$D$35),Projects!$B$35*INDEX(Curves!$B$4:$AR$4,1,44-Projects!$C$35+1),0)+IF(AND(Projects!$G$36="Yes",Projects!$M$36="Yes",44&gt;=Projects!$C$36,44&lt;Projects!$C$36+Projects!$D$36),Projects!$B$36*INDEX(Curves!$B$4:$AR$4,1,44-Projects!$C$36+1),0)+IF(AND(Projects!$G$37="Yes",Projects!$M$37="Yes",44&gt;=Projects!$C$37,44&lt;Projects!$C$37+Projects!$D$37),Projects!$B$37*INDEX(Curves!$B$4:$AR$4,1,44-Projects!$C$37+1),0)+IF(AND(Projects!$G$38="Yes",Projects!$M$38="Yes",44&gt;=Projects!$C$38,44&lt;Projects!$C$38+Projects!$D$38),Projects!$B$38*INDEX(Curves!$B$4:$AR$4,1,44-Projects!$C$38+1),0)+IF(AND(Projects!$G$39="Yes",Projects!$M$39="Yes",44&gt;=Projects!$C$39,44&lt;Projects!$C$39+Projects!$D$39),Projects!$B$39*INDEX(Curves!$B$4:$AR$4,1,44-Projects!$C$39+1),0)+IF(AND(Projects!$G$40="Yes",Projects!$M$40="Yes",44&gt;=Projects!$C$40,44&lt;Projects!$C$40+Projects!$D$40),Projects!$B$40*INDEX(Curves!$B$4:$AR$4,1,44-Projects!$C$40+1),0)+IF(AND(Projects!$G$41="Yes",Projects!$M$41="Yes",44&gt;=Projects!$C$41,44&lt;Projects!$C$41+Projects!$D$41),Projects!$B$41*INDEX(Curves!$B$4:$AR$4,1,44-Projects!$C$41+1),0)+IF(AND(Projects!$G$42="Yes",Projects!$M$42="Yes",44&gt;=Projects!$C$42,44&lt;Projects!$C$42+Projects!$D$42),Projects!$B$42*INDEX(Curves!$B$4:$AR$4,1,44-Projects!$C$42+1),0)+IF(AND(Projects!$G$43="Yes",Projects!$M$43="Yes",44&gt;=Projects!$C$43,44&lt;Projects!$C$43+Projects!$D$43),Projects!$B$43*INDEX(Curves!$B$4:$AR$4,1,44-Projects!$C$43+1),0)+IF(AND(Projects!$G$44="Yes",Projects!$M$44="Yes",44&gt;=Projects!$C$44,44&lt;Projects!$C$44+Projects!$D$44),Projects!$B$44*INDEX(Curves!$B$4:$AR$4,1,44-Projects!$C$44+1),0)+IF(AND(Projects!$G$45="Yes",Projects!$M$45="Yes",44&gt;=Projects!$C$45,44&lt;Projects!$C$45+Projects!$D$45),Projects!$B$45*INDEX(Curves!$B$4:$AR$4,1,44-Projects!$C$45+1),0)+IF(AND(Projects!$G$46="Yes",Projects!$M$46="Yes",44&gt;=Projects!$C$46,44&lt;Projects!$C$46+Projects!$D$46),Projects!$B$46*INDEX(Curves!$B$4:$AR$4,1,44-Projects!$C$46+1),0)</f>
        <v>0</v>
      </c>
      <c r="AX101" s="87" t="n">
        <f aca="false">IF(AND(Projects!$G$17="Yes",Projects!$M$17="Yes",45&gt;=Projects!$C$17,45&lt;Projects!$C$17+Projects!$D$17),Projects!$B$17*INDEX(Curves!$B$4:$AR$4,1,45-Projects!$C$17+1),0)+IF(AND(Projects!$G$18="Yes",Projects!$M$18="Yes",45&gt;=Projects!$C$18,45&lt;Projects!$C$18+Projects!$D$18),Projects!$B$18*INDEX(Curves!$B$4:$AR$4,1,45-Projects!$C$18+1),0)+IF(AND(Projects!$G$19="Yes",Projects!$M$19="Yes",45&gt;=Projects!$C$19,45&lt;Projects!$C$19+Projects!$D$19),Projects!$B$19*INDEX(Curves!$B$4:$AR$4,1,45-Projects!$C$19+1),0)+IF(AND(Projects!$G$20="Yes",Projects!$M$20="Yes",45&gt;=Projects!$C$20,45&lt;Projects!$C$20+Projects!$D$20),Projects!$B$20*INDEX(Curves!$B$4:$AR$4,1,45-Projects!$C$20+1),0)+IF(AND(Projects!$G$21="Yes",Projects!$M$21="Yes",45&gt;=Projects!$C$21,45&lt;Projects!$C$21+Projects!$D$21),Projects!$B$21*INDEX(Curves!$B$4:$AR$4,1,45-Projects!$C$21+1),0)+IF(AND(Projects!$G$22="Yes",Projects!$M$22="Yes",45&gt;=Projects!$C$22,45&lt;Projects!$C$22+Projects!$D$22),Projects!$B$22*INDEX(Curves!$B$4:$AR$4,1,45-Projects!$C$22+1),0)+IF(AND(Projects!$G$23="Yes",Projects!$M$23="Yes",45&gt;=Projects!$C$23,45&lt;Projects!$C$23+Projects!$D$23),Projects!$B$23*INDEX(Curves!$B$4:$AR$4,1,45-Projects!$C$23+1),0)+IF(AND(Projects!$G$24="Yes",Projects!$M$24="Yes",45&gt;=Projects!$C$24,45&lt;Projects!$C$24+Projects!$D$24),Projects!$B$24*INDEX(Curves!$B$4:$AR$4,1,45-Projects!$C$24+1),0)+IF(AND(Projects!$G$25="Yes",Projects!$M$25="Yes",45&gt;=Projects!$C$25,45&lt;Projects!$C$25+Projects!$D$25),Projects!$B$25*INDEX(Curves!$B$4:$AR$4,1,45-Projects!$C$25+1),0)+IF(AND(Projects!$G$26="Yes",Projects!$M$26="Yes",45&gt;=Projects!$C$26,45&lt;Projects!$C$26+Projects!$D$26),Projects!$B$26*INDEX(Curves!$B$4:$AR$4,1,45-Projects!$C$26+1),0)+IF(AND(Projects!$G$27="Yes",Projects!$M$27="Yes",45&gt;=Projects!$C$27,45&lt;Projects!$C$27+Projects!$D$27),Projects!$B$27*INDEX(Curves!$B$4:$AR$4,1,45-Projects!$C$27+1),0)+IF(AND(Projects!$G$28="Yes",Projects!$M$28="Yes",45&gt;=Projects!$C$28,45&lt;Projects!$C$28+Projects!$D$28),Projects!$B$28*INDEX(Curves!$B$4:$AR$4,1,45-Projects!$C$28+1),0)+IF(AND(Projects!$G$29="Yes",Projects!$M$29="Yes",45&gt;=Projects!$C$29,45&lt;Projects!$C$29+Projects!$D$29),Projects!$B$29*INDEX(Curves!$B$4:$AR$4,1,45-Projects!$C$29+1),0)+IF(AND(Projects!$G$30="Yes",Projects!$M$30="Yes",45&gt;=Projects!$C$30,45&lt;Projects!$C$30+Projects!$D$30),Projects!$B$30*INDEX(Curves!$B$4:$AR$4,1,45-Projects!$C$30+1),0)+IF(AND(Projects!$G$31="Yes",Projects!$M$31="Yes",45&gt;=Projects!$C$31,45&lt;Projects!$C$31+Projects!$D$31),Projects!$B$31*INDEX(Curves!$B$4:$AR$4,1,45-Projects!$C$31+1),0)+IF(AND(Projects!$G$32="Yes",Projects!$M$32="Yes",45&gt;=Projects!$C$32,45&lt;Projects!$C$32+Projects!$D$32),Projects!$B$32*INDEX(Curves!$B$4:$AR$4,1,45-Projects!$C$32+1),0)+IF(AND(Projects!$G$33="Yes",Projects!$M$33="Yes",45&gt;=Projects!$C$33,45&lt;Projects!$C$33+Projects!$D$33),Projects!$B$33*INDEX(Curves!$B$4:$AR$4,1,45-Projects!$C$33+1),0)+IF(AND(Projects!$G$34="Yes",Projects!$M$34="Yes",45&gt;=Projects!$C$34,45&lt;Projects!$C$34+Projects!$D$34),Projects!$B$34*INDEX(Curves!$B$4:$AR$4,1,45-Projects!$C$34+1),0)+IF(AND(Projects!$G$35="Yes",Projects!$M$35="Yes",45&gt;=Projects!$C$35,45&lt;Projects!$C$35+Projects!$D$35),Projects!$B$35*INDEX(Curves!$B$4:$AR$4,1,45-Projects!$C$35+1),0)+IF(AND(Projects!$G$36="Yes",Projects!$M$36="Yes",45&gt;=Projects!$C$36,45&lt;Projects!$C$36+Projects!$D$36),Projects!$B$36*INDEX(Curves!$B$4:$AR$4,1,45-Projects!$C$36+1),0)+IF(AND(Projects!$G$37="Yes",Projects!$M$37="Yes",45&gt;=Projects!$C$37,45&lt;Projects!$C$37+Projects!$D$37),Projects!$B$37*INDEX(Curves!$B$4:$AR$4,1,45-Projects!$C$37+1),0)+IF(AND(Projects!$G$38="Yes",Projects!$M$38="Yes",45&gt;=Projects!$C$38,45&lt;Projects!$C$38+Projects!$D$38),Projects!$B$38*INDEX(Curves!$B$4:$AR$4,1,45-Projects!$C$38+1),0)+IF(AND(Projects!$G$39="Yes",Projects!$M$39="Yes",45&gt;=Projects!$C$39,45&lt;Projects!$C$39+Projects!$D$39),Projects!$B$39*INDEX(Curves!$B$4:$AR$4,1,45-Projects!$C$39+1),0)+IF(AND(Projects!$G$40="Yes",Projects!$M$40="Yes",45&gt;=Projects!$C$40,45&lt;Projects!$C$40+Projects!$D$40),Projects!$B$40*INDEX(Curves!$B$4:$AR$4,1,45-Projects!$C$40+1),0)+IF(AND(Projects!$G$41="Yes",Projects!$M$41="Yes",45&gt;=Projects!$C$41,45&lt;Projects!$C$41+Projects!$D$41),Projects!$B$41*INDEX(Curves!$B$4:$AR$4,1,45-Projects!$C$41+1),0)+IF(AND(Projects!$G$42="Yes",Projects!$M$42="Yes",45&gt;=Projects!$C$42,45&lt;Projects!$C$42+Projects!$D$42),Projects!$B$42*INDEX(Curves!$B$4:$AR$4,1,45-Projects!$C$42+1),0)+IF(AND(Projects!$G$43="Yes",Projects!$M$43="Yes",45&gt;=Projects!$C$43,45&lt;Projects!$C$43+Projects!$D$43),Projects!$B$43*INDEX(Curves!$B$4:$AR$4,1,45-Projects!$C$43+1),0)+IF(AND(Projects!$G$44="Yes",Projects!$M$44="Yes",45&gt;=Projects!$C$44,45&lt;Projects!$C$44+Projects!$D$44),Projects!$B$44*INDEX(Curves!$B$4:$AR$4,1,45-Projects!$C$44+1),0)+IF(AND(Projects!$G$45="Yes",Projects!$M$45="Yes",45&gt;=Projects!$C$45,45&lt;Projects!$C$45+Projects!$D$45),Projects!$B$45*INDEX(Curves!$B$4:$AR$4,1,45-Projects!$C$45+1),0)+IF(AND(Projects!$G$46="Yes",Projects!$M$46="Yes",45&gt;=Projects!$C$46,45&lt;Projects!$C$46+Projects!$D$46),Projects!$B$46*INDEX(Curves!$B$4:$AR$4,1,45-Projects!$C$46+1),0)</f>
        <v>0</v>
      </c>
      <c r="AY101" s="87" t="n">
        <f aca="false">IF(AND(Projects!$G$17="Yes",Projects!$M$17="Yes",46&gt;=Projects!$C$17,46&lt;Projects!$C$17+Projects!$D$17),Projects!$B$17*INDEX(Curves!$B$4:$AR$4,1,46-Projects!$C$17+1),0)+IF(AND(Projects!$G$18="Yes",Projects!$M$18="Yes",46&gt;=Projects!$C$18,46&lt;Projects!$C$18+Projects!$D$18),Projects!$B$18*INDEX(Curves!$B$4:$AR$4,1,46-Projects!$C$18+1),0)+IF(AND(Projects!$G$19="Yes",Projects!$M$19="Yes",46&gt;=Projects!$C$19,46&lt;Projects!$C$19+Projects!$D$19),Projects!$B$19*INDEX(Curves!$B$4:$AR$4,1,46-Projects!$C$19+1),0)+IF(AND(Projects!$G$20="Yes",Projects!$M$20="Yes",46&gt;=Projects!$C$20,46&lt;Projects!$C$20+Projects!$D$20),Projects!$B$20*INDEX(Curves!$B$4:$AR$4,1,46-Projects!$C$20+1),0)+IF(AND(Projects!$G$21="Yes",Projects!$M$21="Yes",46&gt;=Projects!$C$21,46&lt;Projects!$C$21+Projects!$D$21),Projects!$B$21*INDEX(Curves!$B$4:$AR$4,1,46-Projects!$C$21+1),0)+IF(AND(Projects!$G$22="Yes",Projects!$M$22="Yes",46&gt;=Projects!$C$22,46&lt;Projects!$C$22+Projects!$D$22),Projects!$B$22*INDEX(Curves!$B$4:$AR$4,1,46-Projects!$C$22+1),0)+IF(AND(Projects!$G$23="Yes",Projects!$M$23="Yes",46&gt;=Projects!$C$23,46&lt;Projects!$C$23+Projects!$D$23),Projects!$B$23*INDEX(Curves!$B$4:$AR$4,1,46-Projects!$C$23+1),0)+IF(AND(Projects!$G$24="Yes",Projects!$M$24="Yes",46&gt;=Projects!$C$24,46&lt;Projects!$C$24+Projects!$D$24),Projects!$B$24*INDEX(Curves!$B$4:$AR$4,1,46-Projects!$C$24+1),0)+IF(AND(Projects!$G$25="Yes",Projects!$M$25="Yes",46&gt;=Projects!$C$25,46&lt;Projects!$C$25+Projects!$D$25),Projects!$B$25*INDEX(Curves!$B$4:$AR$4,1,46-Projects!$C$25+1),0)+IF(AND(Projects!$G$26="Yes",Projects!$M$26="Yes",46&gt;=Projects!$C$26,46&lt;Projects!$C$26+Projects!$D$26),Projects!$B$26*INDEX(Curves!$B$4:$AR$4,1,46-Projects!$C$26+1),0)+IF(AND(Projects!$G$27="Yes",Projects!$M$27="Yes",46&gt;=Projects!$C$27,46&lt;Projects!$C$27+Projects!$D$27),Projects!$B$27*INDEX(Curves!$B$4:$AR$4,1,46-Projects!$C$27+1),0)+IF(AND(Projects!$G$28="Yes",Projects!$M$28="Yes",46&gt;=Projects!$C$28,46&lt;Projects!$C$28+Projects!$D$28),Projects!$B$28*INDEX(Curves!$B$4:$AR$4,1,46-Projects!$C$28+1),0)+IF(AND(Projects!$G$29="Yes",Projects!$M$29="Yes",46&gt;=Projects!$C$29,46&lt;Projects!$C$29+Projects!$D$29),Projects!$B$29*INDEX(Curves!$B$4:$AR$4,1,46-Projects!$C$29+1),0)+IF(AND(Projects!$G$30="Yes",Projects!$M$30="Yes",46&gt;=Projects!$C$30,46&lt;Projects!$C$30+Projects!$D$30),Projects!$B$30*INDEX(Curves!$B$4:$AR$4,1,46-Projects!$C$30+1),0)+IF(AND(Projects!$G$31="Yes",Projects!$M$31="Yes",46&gt;=Projects!$C$31,46&lt;Projects!$C$31+Projects!$D$31),Projects!$B$31*INDEX(Curves!$B$4:$AR$4,1,46-Projects!$C$31+1),0)+IF(AND(Projects!$G$32="Yes",Projects!$M$32="Yes",46&gt;=Projects!$C$32,46&lt;Projects!$C$32+Projects!$D$32),Projects!$B$32*INDEX(Curves!$B$4:$AR$4,1,46-Projects!$C$32+1),0)+IF(AND(Projects!$G$33="Yes",Projects!$M$33="Yes",46&gt;=Projects!$C$33,46&lt;Projects!$C$33+Projects!$D$33),Projects!$B$33*INDEX(Curves!$B$4:$AR$4,1,46-Projects!$C$33+1),0)+IF(AND(Projects!$G$34="Yes",Projects!$M$34="Yes",46&gt;=Projects!$C$34,46&lt;Projects!$C$34+Projects!$D$34),Projects!$B$34*INDEX(Curves!$B$4:$AR$4,1,46-Projects!$C$34+1),0)+IF(AND(Projects!$G$35="Yes",Projects!$M$35="Yes",46&gt;=Projects!$C$35,46&lt;Projects!$C$35+Projects!$D$35),Projects!$B$35*INDEX(Curves!$B$4:$AR$4,1,46-Projects!$C$35+1),0)+IF(AND(Projects!$G$36="Yes",Projects!$M$36="Yes",46&gt;=Projects!$C$36,46&lt;Projects!$C$36+Projects!$D$36),Projects!$B$36*INDEX(Curves!$B$4:$AR$4,1,46-Projects!$C$36+1),0)+IF(AND(Projects!$G$37="Yes",Projects!$M$37="Yes",46&gt;=Projects!$C$37,46&lt;Projects!$C$37+Projects!$D$37),Projects!$B$37*INDEX(Curves!$B$4:$AR$4,1,46-Projects!$C$37+1),0)+IF(AND(Projects!$G$38="Yes",Projects!$M$38="Yes",46&gt;=Projects!$C$38,46&lt;Projects!$C$38+Projects!$D$38),Projects!$B$38*INDEX(Curves!$B$4:$AR$4,1,46-Projects!$C$38+1),0)+IF(AND(Projects!$G$39="Yes",Projects!$M$39="Yes",46&gt;=Projects!$C$39,46&lt;Projects!$C$39+Projects!$D$39),Projects!$B$39*INDEX(Curves!$B$4:$AR$4,1,46-Projects!$C$39+1),0)+IF(AND(Projects!$G$40="Yes",Projects!$M$40="Yes",46&gt;=Projects!$C$40,46&lt;Projects!$C$40+Projects!$D$40),Projects!$B$40*INDEX(Curves!$B$4:$AR$4,1,46-Projects!$C$40+1),0)+IF(AND(Projects!$G$41="Yes",Projects!$M$41="Yes",46&gt;=Projects!$C$41,46&lt;Projects!$C$41+Projects!$D$41),Projects!$B$41*INDEX(Curves!$B$4:$AR$4,1,46-Projects!$C$41+1),0)+IF(AND(Projects!$G$42="Yes",Projects!$M$42="Yes",46&gt;=Projects!$C$42,46&lt;Projects!$C$42+Projects!$D$42),Projects!$B$42*INDEX(Curves!$B$4:$AR$4,1,46-Projects!$C$42+1),0)+IF(AND(Projects!$G$43="Yes",Projects!$M$43="Yes",46&gt;=Projects!$C$43,46&lt;Projects!$C$43+Projects!$D$43),Projects!$B$43*INDEX(Curves!$B$4:$AR$4,1,46-Projects!$C$43+1),0)+IF(AND(Projects!$G$44="Yes",Projects!$M$44="Yes",46&gt;=Projects!$C$44,46&lt;Projects!$C$44+Projects!$D$44),Projects!$B$44*INDEX(Curves!$B$4:$AR$4,1,46-Projects!$C$44+1),0)+IF(AND(Projects!$G$45="Yes",Projects!$M$45="Yes",46&gt;=Projects!$C$45,46&lt;Projects!$C$45+Projects!$D$45),Projects!$B$45*INDEX(Curves!$B$4:$AR$4,1,46-Projects!$C$45+1),0)+IF(AND(Projects!$G$46="Yes",Projects!$M$46="Yes",46&gt;=Projects!$C$46,46&lt;Projects!$C$46+Projects!$D$46),Projects!$B$46*INDEX(Curves!$B$4:$AR$4,1,46-Projects!$C$46+1),0)</f>
        <v>0</v>
      </c>
      <c r="AZ101" s="87" t="n">
        <f aca="false">IF(AND(Projects!$G$17="Yes",Projects!$M$17="Yes",47&gt;=Projects!$C$17,47&lt;Projects!$C$17+Projects!$D$17),Projects!$B$17*INDEX(Curves!$B$4:$AR$4,1,47-Projects!$C$17+1),0)+IF(AND(Projects!$G$18="Yes",Projects!$M$18="Yes",47&gt;=Projects!$C$18,47&lt;Projects!$C$18+Projects!$D$18),Projects!$B$18*INDEX(Curves!$B$4:$AR$4,1,47-Projects!$C$18+1),0)+IF(AND(Projects!$G$19="Yes",Projects!$M$19="Yes",47&gt;=Projects!$C$19,47&lt;Projects!$C$19+Projects!$D$19),Projects!$B$19*INDEX(Curves!$B$4:$AR$4,1,47-Projects!$C$19+1),0)+IF(AND(Projects!$G$20="Yes",Projects!$M$20="Yes",47&gt;=Projects!$C$20,47&lt;Projects!$C$20+Projects!$D$20),Projects!$B$20*INDEX(Curves!$B$4:$AR$4,1,47-Projects!$C$20+1),0)+IF(AND(Projects!$G$21="Yes",Projects!$M$21="Yes",47&gt;=Projects!$C$21,47&lt;Projects!$C$21+Projects!$D$21),Projects!$B$21*INDEX(Curves!$B$4:$AR$4,1,47-Projects!$C$21+1),0)+IF(AND(Projects!$G$22="Yes",Projects!$M$22="Yes",47&gt;=Projects!$C$22,47&lt;Projects!$C$22+Projects!$D$22),Projects!$B$22*INDEX(Curves!$B$4:$AR$4,1,47-Projects!$C$22+1),0)+IF(AND(Projects!$G$23="Yes",Projects!$M$23="Yes",47&gt;=Projects!$C$23,47&lt;Projects!$C$23+Projects!$D$23),Projects!$B$23*INDEX(Curves!$B$4:$AR$4,1,47-Projects!$C$23+1),0)+IF(AND(Projects!$G$24="Yes",Projects!$M$24="Yes",47&gt;=Projects!$C$24,47&lt;Projects!$C$24+Projects!$D$24),Projects!$B$24*INDEX(Curves!$B$4:$AR$4,1,47-Projects!$C$24+1),0)+IF(AND(Projects!$G$25="Yes",Projects!$M$25="Yes",47&gt;=Projects!$C$25,47&lt;Projects!$C$25+Projects!$D$25),Projects!$B$25*INDEX(Curves!$B$4:$AR$4,1,47-Projects!$C$25+1),0)+IF(AND(Projects!$G$26="Yes",Projects!$M$26="Yes",47&gt;=Projects!$C$26,47&lt;Projects!$C$26+Projects!$D$26),Projects!$B$26*INDEX(Curves!$B$4:$AR$4,1,47-Projects!$C$26+1),0)+IF(AND(Projects!$G$27="Yes",Projects!$M$27="Yes",47&gt;=Projects!$C$27,47&lt;Projects!$C$27+Projects!$D$27),Projects!$B$27*INDEX(Curves!$B$4:$AR$4,1,47-Projects!$C$27+1),0)+IF(AND(Projects!$G$28="Yes",Projects!$M$28="Yes",47&gt;=Projects!$C$28,47&lt;Projects!$C$28+Projects!$D$28),Projects!$B$28*INDEX(Curves!$B$4:$AR$4,1,47-Projects!$C$28+1),0)+IF(AND(Projects!$G$29="Yes",Projects!$M$29="Yes",47&gt;=Projects!$C$29,47&lt;Projects!$C$29+Projects!$D$29),Projects!$B$29*INDEX(Curves!$B$4:$AR$4,1,47-Projects!$C$29+1),0)+IF(AND(Projects!$G$30="Yes",Projects!$M$30="Yes",47&gt;=Projects!$C$30,47&lt;Projects!$C$30+Projects!$D$30),Projects!$B$30*INDEX(Curves!$B$4:$AR$4,1,47-Projects!$C$30+1),0)+IF(AND(Projects!$G$31="Yes",Projects!$M$31="Yes",47&gt;=Projects!$C$31,47&lt;Projects!$C$31+Projects!$D$31),Projects!$B$31*INDEX(Curves!$B$4:$AR$4,1,47-Projects!$C$31+1),0)+IF(AND(Projects!$G$32="Yes",Projects!$M$32="Yes",47&gt;=Projects!$C$32,47&lt;Projects!$C$32+Projects!$D$32),Projects!$B$32*INDEX(Curves!$B$4:$AR$4,1,47-Projects!$C$32+1),0)+IF(AND(Projects!$G$33="Yes",Projects!$M$33="Yes",47&gt;=Projects!$C$33,47&lt;Projects!$C$33+Projects!$D$33),Projects!$B$33*INDEX(Curves!$B$4:$AR$4,1,47-Projects!$C$33+1),0)+IF(AND(Projects!$G$34="Yes",Projects!$M$34="Yes",47&gt;=Projects!$C$34,47&lt;Projects!$C$34+Projects!$D$34),Projects!$B$34*INDEX(Curves!$B$4:$AR$4,1,47-Projects!$C$34+1),0)+IF(AND(Projects!$G$35="Yes",Projects!$M$35="Yes",47&gt;=Projects!$C$35,47&lt;Projects!$C$35+Projects!$D$35),Projects!$B$35*INDEX(Curves!$B$4:$AR$4,1,47-Projects!$C$35+1),0)+IF(AND(Projects!$G$36="Yes",Projects!$M$36="Yes",47&gt;=Projects!$C$36,47&lt;Projects!$C$36+Projects!$D$36),Projects!$B$36*INDEX(Curves!$B$4:$AR$4,1,47-Projects!$C$36+1),0)+IF(AND(Projects!$G$37="Yes",Projects!$M$37="Yes",47&gt;=Projects!$C$37,47&lt;Projects!$C$37+Projects!$D$37),Projects!$B$37*INDEX(Curves!$B$4:$AR$4,1,47-Projects!$C$37+1),0)+IF(AND(Projects!$G$38="Yes",Projects!$M$38="Yes",47&gt;=Projects!$C$38,47&lt;Projects!$C$38+Projects!$D$38),Projects!$B$38*INDEX(Curves!$B$4:$AR$4,1,47-Projects!$C$38+1),0)+IF(AND(Projects!$G$39="Yes",Projects!$M$39="Yes",47&gt;=Projects!$C$39,47&lt;Projects!$C$39+Projects!$D$39),Projects!$B$39*INDEX(Curves!$B$4:$AR$4,1,47-Projects!$C$39+1),0)+IF(AND(Projects!$G$40="Yes",Projects!$M$40="Yes",47&gt;=Projects!$C$40,47&lt;Projects!$C$40+Projects!$D$40),Projects!$B$40*INDEX(Curves!$B$4:$AR$4,1,47-Projects!$C$40+1),0)+IF(AND(Projects!$G$41="Yes",Projects!$M$41="Yes",47&gt;=Projects!$C$41,47&lt;Projects!$C$41+Projects!$D$41),Projects!$B$41*INDEX(Curves!$B$4:$AR$4,1,47-Projects!$C$41+1),0)+IF(AND(Projects!$G$42="Yes",Projects!$M$42="Yes",47&gt;=Projects!$C$42,47&lt;Projects!$C$42+Projects!$D$42),Projects!$B$42*INDEX(Curves!$B$4:$AR$4,1,47-Projects!$C$42+1),0)+IF(AND(Projects!$G$43="Yes",Projects!$M$43="Yes",47&gt;=Projects!$C$43,47&lt;Projects!$C$43+Projects!$D$43),Projects!$B$43*INDEX(Curves!$B$4:$AR$4,1,47-Projects!$C$43+1),0)+IF(AND(Projects!$G$44="Yes",Projects!$M$44="Yes",47&gt;=Projects!$C$44,47&lt;Projects!$C$44+Projects!$D$44),Projects!$B$44*INDEX(Curves!$B$4:$AR$4,1,47-Projects!$C$44+1),0)+IF(AND(Projects!$G$45="Yes",Projects!$M$45="Yes",47&gt;=Projects!$C$45,47&lt;Projects!$C$45+Projects!$D$45),Projects!$B$45*INDEX(Curves!$B$4:$AR$4,1,47-Projects!$C$45+1),0)+IF(AND(Projects!$G$46="Yes",Projects!$M$46="Yes",47&gt;=Projects!$C$46,47&lt;Projects!$C$46+Projects!$D$46),Projects!$B$46*INDEX(Curves!$B$4:$AR$4,1,47-Projects!$C$46+1),0)</f>
        <v>0</v>
      </c>
      <c r="BA101" s="87" t="n">
        <f aca="false">IF(AND(Projects!$G$17="Yes",Projects!$M$17="Yes",48&gt;=Projects!$C$17,48&lt;Projects!$C$17+Projects!$D$17),Projects!$B$17*INDEX(Curves!$B$4:$AR$4,1,48-Projects!$C$17+1),0)+IF(AND(Projects!$G$18="Yes",Projects!$M$18="Yes",48&gt;=Projects!$C$18,48&lt;Projects!$C$18+Projects!$D$18),Projects!$B$18*INDEX(Curves!$B$4:$AR$4,1,48-Projects!$C$18+1),0)+IF(AND(Projects!$G$19="Yes",Projects!$M$19="Yes",48&gt;=Projects!$C$19,48&lt;Projects!$C$19+Projects!$D$19),Projects!$B$19*INDEX(Curves!$B$4:$AR$4,1,48-Projects!$C$19+1),0)+IF(AND(Projects!$G$20="Yes",Projects!$M$20="Yes",48&gt;=Projects!$C$20,48&lt;Projects!$C$20+Projects!$D$20),Projects!$B$20*INDEX(Curves!$B$4:$AR$4,1,48-Projects!$C$20+1),0)+IF(AND(Projects!$G$21="Yes",Projects!$M$21="Yes",48&gt;=Projects!$C$21,48&lt;Projects!$C$21+Projects!$D$21),Projects!$B$21*INDEX(Curves!$B$4:$AR$4,1,48-Projects!$C$21+1),0)+IF(AND(Projects!$G$22="Yes",Projects!$M$22="Yes",48&gt;=Projects!$C$22,48&lt;Projects!$C$22+Projects!$D$22),Projects!$B$22*INDEX(Curves!$B$4:$AR$4,1,48-Projects!$C$22+1),0)+IF(AND(Projects!$G$23="Yes",Projects!$M$23="Yes",48&gt;=Projects!$C$23,48&lt;Projects!$C$23+Projects!$D$23),Projects!$B$23*INDEX(Curves!$B$4:$AR$4,1,48-Projects!$C$23+1),0)+IF(AND(Projects!$G$24="Yes",Projects!$M$24="Yes",48&gt;=Projects!$C$24,48&lt;Projects!$C$24+Projects!$D$24),Projects!$B$24*INDEX(Curves!$B$4:$AR$4,1,48-Projects!$C$24+1),0)+IF(AND(Projects!$G$25="Yes",Projects!$M$25="Yes",48&gt;=Projects!$C$25,48&lt;Projects!$C$25+Projects!$D$25),Projects!$B$25*INDEX(Curves!$B$4:$AR$4,1,48-Projects!$C$25+1),0)+IF(AND(Projects!$G$26="Yes",Projects!$M$26="Yes",48&gt;=Projects!$C$26,48&lt;Projects!$C$26+Projects!$D$26),Projects!$B$26*INDEX(Curves!$B$4:$AR$4,1,48-Projects!$C$26+1),0)+IF(AND(Projects!$G$27="Yes",Projects!$M$27="Yes",48&gt;=Projects!$C$27,48&lt;Projects!$C$27+Projects!$D$27),Projects!$B$27*INDEX(Curves!$B$4:$AR$4,1,48-Projects!$C$27+1),0)+IF(AND(Projects!$G$28="Yes",Projects!$M$28="Yes",48&gt;=Projects!$C$28,48&lt;Projects!$C$28+Projects!$D$28),Projects!$B$28*INDEX(Curves!$B$4:$AR$4,1,48-Projects!$C$28+1),0)+IF(AND(Projects!$G$29="Yes",Projects!$M$29="Yes",48&gt;=Projects!$C$29,48&lt;Projects!$C$29+Projects!$D$29),Projects!$B$29*INDEX(Curves!$B$4:$AR$4,1,48-Projects!$C$29+1),0)+IF(AND(Projects!$G$30="Yes",Projects!$M$30="Yes",48&gt;=Projects!$C$30,48&lt;Projects!$C$30+Projects!$D$30),Projects!$B$30*INDEX(Curves!$B$4:$AR$4,1,48-Projects!$C$30+1),0)+IF(AND(Projects!$G$31="Yes",Projects!$M$31="Yes",48&gt;=Projects!$C$31,48&lt;Projects!$C$31+Projects!$D$31),Projects!$B$31*INDEX(Curves!$B$4:$AR$4,1,48-Projects!$C$31+1),0)+IF(AND(Projects!$G$32="Yes",Projects!$M$32="Yes",48&gt;=Projects!$C$32,48&lt;Projects!$C$32+Projects!$D$32),Projects!$B$32*INDEX(Curves!$B$4:$AR$4,1,48-Projects!$C$32+1),0)+IF(AND(Projects!$G$33="Yes",Projects!$M$33="Yes",48&gt;=Projects!$C$33,48&lt;Projects!$C$33+Projects!$D$33),Projects!$B$33*INDEX(Curves!$B$4:$AR$4,1,48-Projects!$C$33+1),0)+IF(AND(Projects!$G$34="Yes",Projects!$M$34="Yes",48&gt;=Projects!$C$34,48&lt;Projects!$C$34+Projects!$D$34),Projects!$B$34*INDEX(Curves!$B$4:$AR$4,1,48-Projects!$C$34+1),0)+IF(AND(Projects!$G$35="Yes",Projects!$M$35="Yes",48&gt;=Projects!$C$35,48&lt;Projects!$C$35+Projects!$D$35),Projects!$B$35*INDEX(Curves!$B$4:$AR$4,1,48-Projects!$C$35+1),0)+IF(AND(Projects!$G$36="Yes",Projects!$M$36="Yes",48&gt;=Projects!$C$36,48&lt;Projects!$C$36+Projects!$D$36),Projects!$B$36*INDEX(Curves!$B$4:$AR$4,1,48-Projects!$C$36+1),0)+IF(AND(Projects!$G$37="Yes",Projects!$M$37="Yes",48&gt;=Projects!$C$37,48&lt;Projects!$C$37+Projects!$D$37),Projects!$B$37*INDEX(Curves!$B$4:$AR$4,1,48-Projects!$C$37+1),0)+IF(AND(Projects!$G$38="Yes",Projects!$M$38="Yes",48&gt;=Projects!$C$38,48&lt;Projects!$C$38+Projects!$D$38),Projects!$B$38*INDEX(Curves!$B$4:$AR$4,1,48-Projects!$C$38+1),0)+IF(AND(Projects!$G$39="Yes",Projects!$M$39="Yes",48&gt;=Projects!$C$39,48&lt;Projects!$C$39+Projects!$D$39),Projects!$B$39*INDEX(Curves!$B$4:$AR$4,1,48-Projects!$C$39+1),0)+IF(AND(Projects!$G$40="Yes",Projects!$M$40="Yes",48&gt;=Projects!$C$40,48&lt;Projects!$C$40+Projects!$D$40),Projects!$B$40*INDEX(Curves!$B$4:$AR$4,1,48-Projects!$C$40+1),0)+IF(AND(Projects!$G$41="Yes",Projects!$M$41="Yes",48&gt;=Projects!$C$41,48&lt;Projects!$C$41+Projects!$D$41),Projects!$B$41*INDEX(Curves!$B$4:$AR$4,1,48-Projects!$C$41+1),0)+IF(AND(Projects!$G$42="Yes",Projects!$M$42="Yes",48&gt;=Projects!$C$42,48&lt;Projects!$C$42+Projects!$D$42),Projects!$B$42*INDEX(Curves!$B$4:$AR$4,1,48-Projects!$C$42+1),0)+IF(AND(Projects!$G$43="Yes",Projects!$M$43="Yes",48&gt;=Projects!$C$43,48&lt;Projects!$C$43+Projects!$D$43),Projects!$B$43*INDEX(Curves!$B$4:$AR$4,1,48-Projects!$C$43+1),0)+IF(AND(Projects!$G$44="Yes",Projects!$M$44="Yes",48&gt;=Projects!$C$44,48&lt;Projects!$C$44+Projects!$D$44),Projects!$B$44*INDEX(Curves!$B$4:$AR$4,1,48-Projects!$C$44+1),0)+IF(AND(Projects!$G$45="Yes",Projects!$M$45="Yes",48&gt;=Projects!$C$45,48&lt;Projects!$C$45+Projects!$D$45),Projects!$B$45*INDEX(Curves!$B$4:$AR$4,1,48-Projects!$C$45+1),0)+IF(AND(Projects!$G$46="Yes",Projects!$M$46="Yes",48&gt;=Projects!$C$46,48&lt;Projects!$C$46+Projects!$D$46),Projects!$B$46*INDEX(Curves!$B$4:$AR$4,1,48-Projects!$C$46+1),0)</f>
        <v>0</v>
      </c>
      <c r="BB101" s="87" t="n">
        <f aca="false">IF(AND(Projects!$G$17="Yes",Projects!$M$17="Yes",49&gt;=Projects!$C$17,49&lt;Projects!$C$17+Projects!$D$17),Projects!$B$17*INDEX(Curves!$B$4:$AR$4,1,49-Projects!$C$17+1),0)+IF(AND(Projects!$G$18="Yes",Projects!$M$18="Yes",49&gt;=Projects!$C$18,49&lt;Projects!$C$18+Projects!$D$18),Projects!$B$18*INDEX(Curves!$B$4:$AR$4,1,49-Projects!$C$18+1),0)+IF(AND(Projects!$G$19="Yes",Projects!$M$19="Yes",49&gt;=Projects!$C$19,49&lt;Projects!$C$19+Projects!$D$19),Projects!$B$19*INDEX(Curves!$B$4:$AR$4,1,49-Projects!$C$19+1),0)+IF(AND(Projects!$G$20="Yes",Projects!$M$20="Yes",49&gt;=Projects!$C$20,49&lt;Projects!$C$20+Projects!$D$20),Projects!$B$20*INDEX(Curves!$B$4:$AR$4,1,49-Projects!$C$20+1),0)+IF(AND(Projects!$G$21="Yes",Projects!$M$21="Yes",49&gt;=Projects!$C$21,49&lt;Projects!$C$21+Projects!$D$21),Projects!$B$21*INDEX(Curves!$B$4:$AR$4,1,49-Projects!$C$21+1),0)+IF(AND(Projects!$G$22="Yes",Projects!$M$22="Yes",49&gt;=Projects!$C$22,49&lt;Projects!$C$22+Projects!$D$22),Projects!$B$22*INDEX(Curves!$B$4:$AR$4,1,49-Projects!$C$22+1),0)+IF(AND(Projects!$G$23="Yes",Projects!$M$23="Yes",49&gt;=Projects!$C$23,49&lt;Projects!$C$23+Projects!$D$23),Projects!$B$23*INDEX(Curves!$B$4:$AR$4,1,49-Projects!$C$23+1),0)+IF(AND(Projects!$G$24="Yes",Projects!$M$24="Yes",49&gt;=Projects!$C$24,49&lt;Projects!$C$24+Projects!$D$24),Projects!$B$24*INDEX(Curves!$B$4:$AR$4,1,49-Projects!$C$24+1),0)+IF(AND(Projects!$G$25="Yes",Projects!$M$25="Yes",49&gt;=Projects!$C$25,49&lt;Projects!$C$25+Projects!$D$25),Projects!$B$25*INDEX(Curves!$B$4:$AR$4,1,49-Projects!$C$25+1),0)+IF(AND(Projects!$G$26="Yes",Projects!$M$26="Yes",49&gt;=Projects!$C$26,49&lt;Projects!$C$26+Projects!$D$26),Projects!$B$26*INDEX(Curves!$B$4:$AR$4,1,49-Projects!$C$26+1),0)+IF(AND(Projects!$G$27="Yes",Projects!$M$27="Yes",49&gt;=Projects!$C$27,49&lt;Projects!$C$27+Projects!$D$27),Projects!$B$27*INDEX(Curves!$B$4:$AR$4,1,49-Projects!$C$27+1),0)+IF(AND(Projects!$G$28="Yes",Projects!$M$28="Yes",49&gt;=Projects!$C$28,49&lt;Projects!$C$28+Projects!$D$28),Projects!$B$28*INDEX(Curves!$B$4:$AR$4,1,49-Projects!$C$28+1),0)+IF(AND(Projects!$G$29="Yes",Projects!$M$29="Yes",49&gt;=Projects!$C$29,49&lt;Projects!$C$29+Projects!$D$29),Projects!$B$29*INDEX(Curves!$B$4:$AR$4,1,49-Projects!$C$29+1),0)+IF(AND(Projects!$G$30="Yes",Projects!$M$30="Yes",49&gt;=Projects!$C$30,49&lt;Projects!$C$30+Projects!$D$30),Projects!$B$30*INDEX(Curves!$B$4:$AR$4,1,49-Projects!$C$30+1),0)+IF(AND(Projects!$G$31="Yes",Projects!$M$31="Yes",49&gt;=Projects!$C$31,49&lt;Projects!$C$31+Projects!$D$31),Projects!$B$31*INDEX(Curves!$B$4:$AR$4,1,49-Projects!$C$31+1),0)+IF(AND(Projects!$G$32="Yes",Projects!$M$32="Yes",49&gt;=Projects!$C$32,49&lt;Projects!$C$32+Projects!$D$32),Projects!$B$32*INDEX(Curves!$B$4:$AR$4,1,49-Projects!$C$32+1),0)+IF(AND(Projects!$G$33="Yes",Projects!$M$33="Yes",49&gt;=Projects!$C$33,49&lt;Projects!$C$33+Projects!$D$33),Projects!$B$33*INDEX(Curves!$B$4:$AR$4,1,49-Projects!$C$33+1),0)+IF(AND(Projects!$G$34="Yes",Projects!$M$34="Yes",49&gt;=Projects!$C$34,49&lt;Projects!$C$34+Projects!$D$34),Projects!$B$34*INDEX(Curves!$B$4:$AR$4,1,49-Projects!$C$34+1),0)+IF(AND(Projects!$G$35="Yes",Projects!$M$35="Yes",49&gt;=Projects!$C$35,49&lt;Projects!$C$35+Projects!$D$35),Projects!$B$35*INDEX(Curves!$B$4:$AR$4,1,49-Projects!$C$35+1),0)+IF(AND(Projects!$G$36="Yes",Projects!$M$36="Yes",49&gt;=Projects!$C$36,49&lt;Projects!$C$36+Projects!$D$36),Projects!$B$36*INDEX(Curves!$B$4:$AR$4,1,49-Projects!$C$36+1),0)+IF(AND(Projects!$G$37="Yes",Projects!$M$37="Yes",49&gt;=Projects!$C$37,49&lt;Projects!$C$37+Projects!$D$37),Projects!$B$37*INDEX(Curves!$B$4:$AR$4,1,49-Projects!$C$37+1),0)+IF(AND(Projects!$G$38="Yes",Projects!$M$38="Yes",49&gt;=Projects!$C$38,49&lt;Projects!$C$38+Projects!$D$38),Projects!$B$38*INDEX(Curves!$B$4:$AR$4,1,49-Projects!$C$38+1),0)+IF(AND(Projects!$G$39="Yes",Projects!$M$39="Yes",49&gt;=Projects!$C$39,49&lt;Projects!$C$39+Projects!$D$39),Projects!$B$39*INDEX(Curves!$B$4:$AR$4,1,49-Projects!$C$39+1),0)+IF(AND(Projects!$G$40="Yes",Projects!$M$40="Yes",49&gt;=Projects!$C$40,49&lt;Projects!$C$40+Projects!$D$40),Projects!$B$40*INDEX(Curves!$B$4:$AR$4,1,49-Projects!$C$40+1),0)+IF(AND(Projects!$G$41="Yes",Projects!$M$41="Yes",49&gt;=Projects!$C$41,49&lt;Projects!$C$41+Projects!$D$41),Projects!$B$41*INDEX(Curves!$B$4:$AR$4,1,49-Projects!$C$41+1),0)+IF(AND(Projects!$G$42="Yes",Projects!$M$42="Yes",49&gt;=Projects!$C$42,49&lt;Projects!$C$42+Projects!$D$42),Projects!$B$42*INDEX(Curves!$B$4:$AR$4,1,49-Projects!$C$42+1),0)+IF(AND(Projects!$G$43="Yes",Projects!$M$43="Yes",49&gt;=Projects!$C$43,49&lt;Projects!$C$43+Projects!$D$43),Projects!$B$43*INDEX(Curves!$B$4:$AR$4,1,49-Projects!$C$43+1),0)+IF(AND(Projects!$G$44="Yes",Projects!$M$44="Yes",49&gt;=Projects!$C$44,49&lt;Projects!$C$44+Projects!$D$44),Projects!$B$44*INDEX(Curves!$B$4:$AR$4,1,49-Projects!$C$44+1),0)+IF(AND(Projects!$G$45="Yes",Projects!$M$45="Yes",49&gt;=Projects!$C$45,49&lt;Projects!$C$45+Projects!$D$45),Projects!$B$45*INDEX(Curves!$B$4:$AR$4,1,49-Projects!$C$45+1),0)+IF(AND(Projects!$G$46="Yes",Projects!$M$46="Yes",49&gt;=Projects!$C$46,49&lt;Projects!$C$46+Projects!$D$46),Projects!$B$46*INDEX(Curves!$B$4:$AR$4,1,49-Projects!$C$46+1),0)</f>
        <v>0</v>
      </c>
      <c r="BC101" s="87" t="n">
        <f aca="false">IF(AND(Projects!$G$17="Yes",Projects!$M$17="Yes",50&gt;=Projects!$C$17,50&lt;Projects!$C$17+Projects!$D$17),Projects!$B$17*INDEX(Curves!$B$4:$AR$4,1,50-Projects!$C$17+1),0)+IF(AND(Projects!$G$18="Yes",Projects!$M$18="Yes",50&gt;=Projects!$C$18,50&lt;Projects!$C$18+Projects!$D$18),Projects!$B$18*INDEX(Curves!$B$4:$AR$4,1,50-Projects!$C$18+1),0)+IF(AND(Projects!$G$19="Yes",Projects!$M$19="Yes",50&gt;=Projects!$C$19,50&lt;Projects!$C$19+Projects!$D$19),Projects!$B$19*INDEX(Curves!$B$4:$AR$4,1,50-Projects!$C$19+1),0)+IF(AND(Projects!$G$20="Yes",Projects!$M$20="Yes",50&gt;=Projects!$C$20,50&lt;Projects!$C$20+Projects!$D$20),Projects!$B$20*INDEX(Curves!$B$4:$AR$4,1,50-Projects!$C$20+1),0)+IF(AND(Projects!$G$21="Yes",Projects!$M$21="Yes",50&gt;=Projects!$C$21,50&lt;Projects!$C$21+Projects!$D$21),Projects!$B$21*INDEX(Curves!$B$4:$AR$4,1,50-Projects!$C$21+1),0)+IF(AND(Projects!$G$22="Yes",Projects!$M$22="Yes",50&gt;=Projects!$C$22,50&lt;Projects!$C$22+Projects!$D$22),Projects!$B$22*INDEX(Curves!$B$4:$AR$4,1,50-Projects!$C$22+1),0)+IF(AND(Projects!$G$23="Yes",Projects!$M$23="Yes",50&gt;=Projects!$C$23,50&lt;Projects!$C$23+Projects!$D$23),Projects!$B$23*INDEX(Curves!$B$4:$AR$4,1,50-Projects!$C$23+1),0)+IF(AND(Projects!$G$24="Yes",Projects!$M$24="Yes",50&gt;=Projects!$C$24,50&lt;Projects!$C$24+Projects!$D$24),Projects!$B$24*INDEX(Curves!$B$4:$AR$4,1,50-Projects!$C$24+1),0)+IF(AND(Projects!$G$25="Yes",Projects!$M$25="Yes",50&gt;=Projects!$C$25,50&lt;Projects!$C$25+Projects!$D$25),Projects!$B$25*INDEX(Curves!$B$4:$AR$4,1,50-Projects!$C$25+1),0)+IF(AND(Projects!$G$26="Yes",Projects!$M$26="Yes",50&gt;=Projects!$C$26,50&lt;Projects!$C$26+Projects!$D$26),Projects!$B$26*INDEX(Curves!$B$4:$AR$4,1,50-Projects!$C$26+1),0)+IF(AND(Projects!$G$27="Yes",Projects!$M$27="Yes",50&gt;=Projects!$C$27,50&lt;Projects!$C$27+Projects!$D$27),Projects!$B$27*INDEX(Curves!$B$4:$AR$4,1,50-Projects!$C$27+1),0)+IF(AND(Projects!$G$28="Yes",Projects!$M$28="Yes",50&gt;=Projects!$C$28,50&lt;Projects!$C$28+Projects!$D$28),Projects!$B$28*INDEX(Curves!$B$4:$AR$4,1,50-Projects!$C$28+1),0)+IF(AND(Projects!$G$29="Yes",Projects!$M$29="Yes",50&gt;=Projects!$C$29,50&lt;Projects!$C$29+Projects!$D$29),Projects!$B$29*INDEX(Curves!$B$4:$AR$4,1,50-Projects!$C$29+1),0)+IF(AND(Projects!$G$30="Yes",Projects!$M$30="Yes",50&gt;=Projects!$C$30,50&lt;Projects!$C$30+Projects!$D$30),Projects!$B$30*INDEX(Curves!$B$4:$AR$4,1,50-Projects!$C$30+1),0)+IF(AND(Projects!$G$31="Yes",Projects!$M$31="Yes",50&gt;=Projects!$C$31,50&lt;Projects!$C$31+Projects!$D$31),Projects!$B$31*INDEX(Curves!$B$4:$AR$4,1,50-Projects!$C$31+1),0)+IF(AND(Projects!$G$32="Yes",Projects!$M$32="Yes",50&gt;=Projects!$C$32,50&lt;Projects!$C$32+Projects!$D$32),Projects!$B$32*INDEX(Curves!$B$4:$AR$4,1,50-Projects!$C$32+1),0)+IF(AND(Projects!$G$33="Yes",Projects!$M$33="Yes",50&gt;=Projects!$C$33,50&lt;Projects!$C$33+Projects!$D$33),Projects!$B$33*INDEX(Curves!$B$4:$AR$4,1,50-Projects!$C$33+1),0)+IF(AND(Projects!$G$34="Yes",Projects!$M$34="Yes",50&gt;=Projects!$C$34,50&lt;Projects!$C$34+Projects!$D$34),Projects!$B$34*INDEX(Curves!$B$4:$AR$4,1,50-Projects!$C$34+1),0)+IF(AND(Projects!$G$35="Yes",Projects!$M$35="Yes",50&gt;=Projects!$C$35,50&lt;Projects!$C$35+Projects!$D$35),Projects!$B$35*INDEX(Curves!$B$4:$AR$4,1,50-Projects!$C$35+1),0)+IF(AND(Projects!$G$36="Yes",Projects!$M$36="Yes",50&gt;=Projects!$C$36,50&lt;Projects!$C$36+Projects!$D$36),Projects!$B$36*INDEX(Curves!$B$4:$AR$4,1,50-Projects!$C$36+1),0)+IF(AND(Projects!$G$37="Yes",Projects!$M$37="Yes",50&gt;=Projects!$C$37,50&lt;Projects!$C$37+Projects!$D$37),Projects!$B$37*INDEX(Curves!$B$4:$AR$4,1,50-Projects!$C$37+1),0)+IF(AND(Projects!$G$38="Yes",Projects!$M$38="Yes",50&gt;=Projects!$C$38,50&lt;Projects!$C$38+Projects!$D$38),Projects!$B$38*INDEX(Curves!$B$4:$AR$4,1,50-Projects!$C$38+1),0)+IF(AND(Projects!$G$39="Yes",Projects!$M$39="Yes",50&gt;=Projects!$C$39,50&lt;Projects!$C$39+Projects!$D$39),Projects!$B$39*INDEX(Curves!$B$4:$AR$4,1,50-Projects!$C$39+1),0)+IF(AND(Projects!$G$40="Yes",Projects!$M$40="Yes",50&gt;=Projects!$C$40,50&lt;Projects!$C$40+Projects!$D$40),Projects!$B$40*INDEX(Curves!$B$4:$AR$4,1,50-Projects!$C$40+1),0)+IF(AND(Projects!$G$41="Yes",Projects!$M$41="Yes",50&gt;=Projects!$C$41,50&lt;Projects!$C$41+Projects!$D$41),Projects!$B$41*INDEX(Curves!$B$4:$AR$4,1,50-Projects!$C$41+1),0)+IF(AND(Projects!$G$42="Yes",Projects!$M$42="Yes",50&gt;=Projects!$C$42,50&lt;Projects!$C$42+Projects!$D$42),Projects!$B$42*INDEX(Curves!$B$4:$AR$4,1,50-Projects!$C$42+1),0)+IF(AND(Projects!$G$43="Yes",Projects!$M$43="Yes",50&gt;=Projects!$C$43,50&lt;Projects!$C$43+Projects!$D$43),Projects!$B$43*INDEX(Curves!$B$4:$AR$4,1,50-Projects!$C$43+1),0)+IF(AND(Projects!$G$44="Yes",Projects!$M$44="Yes",50&gt;=Projects!$C$44,50&lt;Projects!$C$44+Projects!$D$44),Projects!$B$44*INDEX(Curves!$B$4:$AR$4,1,50-Projects!$C$44+1),0)+IF(AND(Projects!$G$45="Yes",Projects!$M$45="Yes",50&gt;=Projects!$C$45,50&lt;Projects!$C$45+Projects!$D$45),Projects!$B$45*INDEX(Curves!$B$4:$AR$4,1,50-Projects!$C$45+1),0)+IF(AND(Projects!$G$46="Yes",Projects!$M$46="Yes",50&gt;=Projects!$C$46,50&lt;Projects!$C$46+Projects!$D$46),Projects!$B$46*INDEX(Curves!$B$4:$AR$4,1,50-Projects!$C$46+1),0)</f>
        <v>0</v>
      </c>
      <c r="BD101" s="87" t="n">
        <f aca="false">IF(AND(Projects!$G$17="Yes",Projects!$M$17="Yes",51&gt;=Projects!$C$17,51&lt;Projects!$C$17+Projects!$D$17),Projects!$B$17*INDEX(Curves!$B$4:$AR$4,1,51-Projects!$C$17+1),0)+IF(AND(Projects!$G$18="Yes",Projects!$M$18="Yes",51&gt;=Projects!$C$18,51&lt;Projects!$C$18+Projects!$D$18),Projects!$B$18*INDEX(Curves!$B$4:$AR$4,1,51-Projects!$C$18+1),0)+IF(AND(Projects!$G$19="Yes",Projects!$M$19="Yes",51&gt;=Projects!$C$19,51&lt;Projects!$C$19+Projects!$D$19),Projects!$B$19*INDEX(Curves!$B$4:$AR$4,1,51-Projects!$C$19+1),0)+IF(AND(Projects!$G$20="Yes",Projects!$M$20="Yes",51&gt;=Projects!$C$20,51&lt;Projects!$C$20+Projects!$D$20),Projects!$B$20*INDEX(Curves!$B$4:$AR$4,1,51-Projects!$C$20+1),0)+IF(AND(Projects!$G$21="Yes",Projects!$M$21="Yes",51&gt;=Projects!$C$21,51&lt;Projects!$C$21+Projects!$D$21),Projects!$B$21*INDEX(Curves!$B$4:$AR$4,1,51-Projects!$C$21+1),0)+IF(AND(Projects!$G$22="Yes",Projects!$M$22="Yes",51&gt;=Projects!$C$22,51&lt;Projects!$C$22+Projects!$D$22),Projects!$B$22*INDEX(Curves!$B$4:$AR$4,1,51-Projects!$C$22+1),0)+IF(AND(Projects!$G$23="Yes",Projects!$M$23="Yes",51&gt;=Projects!$C$23,51&lt;Projects!$C$23+Projects!$D$23),Projects!$B$23*INDEX(Curves!$B$4:$AR$4,1,51-Projects!$C$23+1),0)+IF(AND(Projects!$G$24="Yes",Projects!$M$24="Yes",51&gt;=Projects!$C$24,51&lt;Projects!$C$24+Projects!$D$24),Projects!$B$24*INDEX(Curves!$B$4:$AR$4,1,51-Projects!$C$24+1),0)+IF(AND(Projects!$G$25="Yes",Projects!$M$25="Yes",51&gt;=Projects!$C$25,51&lt;Projects!$C$25+Projects!$D$25),Projects!$B$25*INDEX(Curves!$B$4:$AR$4,1,51-Projects!$C$25+1),0)+IF(AND(Projects!$G$26="Yes",Projects!$M$26="Yes",51&gt;=Projects!$C$26,51&lt;Projects!$C$26+Projects!$D$26),Projects!$B$26*INDEX(Curves!$B$4:$AR$4,1,51-Projects!$C$26+1),0)+IF(AND(Projects!$G$27="Yes",Projects!$M$27="Yes",51&gt;=Projects!$C$27,51&lt;Projects!$C$27+Projects!$D$27),Projects!$B$27*INDEX(Curves!$B$4:$AR$4,1,51-Projects!$C$27+1),0)+IF(AND(Projects!$G$28="Yes",Projects!$M$28="Yes",51&gt;=Projects!$C$28,51&lt;Projects!$C$28+Projects!$D$28),Projects!$B$28*INDEX(Curves!$B$4:$AR$4,1,51-Projects!$C$28+1),0)+IF(AND(Projects!$G$29="Yes",Projects!$M$29="Yes",51&gt;=Projects!$C$29,51&lt;Projects!$C$29+Projects!$D$29),Projects!$B$29*INDEX(Curves!$B$4:$AR$4,1,51-Projects!$C$29+1),0)+IF(AND(Projects!$G$30="Yes",Projects!$M$30="Yes",51&gt;=Projects!$C$30,51&lt;Projects!$C$30+Projects!$D$30),Projects!$B$30*INDEX(Curves!$B$4:$AR$4,1,51-Projects!$C$30+1),0)+IF(AND(Projects!$G$31="Yes",Projects!$M$31="Yes",51&gt;=Projects!$C$31,51&lt;Projects!$C$31+Projects!$D$31),Projects!$B$31*INDEX(Curves!$B$4:$AR$4,1,51-Projects!$C$31+1),0)+IF(AND(Projects!$G$32="Yes",Projects!$M$32="Yes",51&gt;=Projects!$C$32,51&lt;Projects!$C$32+Projects!$D$32),Projects!$B$32*INDEX(Curves!$B$4:$AR$4,1,51-Projects!$C$32+1),0)+IF(AND(Projects!$G$33="Yes",Projects!$M$33="Yes",51&gt;=Projects!$C$33,51&lt;Projects!$C$33+Projects!$D$33),Projects!$B$33*INDEX(Curves!$B$4:$AR$4,1,51-Projects!$C$33+1),0)+IF(AND(Projects!$G$34="Yes",Projects!$M$34="Yes",51&gt;=Projects!$C$34,51&lt;Projects!$C$34+Projects!$D$34),Projects!$B$34*INDEX(Curves!$B$4:$AR$4,1,51-Projects!$C$34+1),0)+IF(AND(Projects!$G$35="Yes",Projects!$M$35="Yes",51&gt;=Projects!$C$35,51&lt;Projects!$C$35+Projects!$D$35),Projects!$B$35*INDEX(Curves!$B$4:$AR$4,1,51-Projects!$C$35+1),0)+IF(AND(Projects!$G$36="Yes",Projects!$M$36="Yes",51&gt;=Projects!$C$36,51&lt;Projects!$C$36+Projects!$D$36),Projects!$B$36*INDEX(Curves!$B$4:$AR$4,1,51-Projects!$C$36+1),0)+IF(AND(Projects!$G$37="Yes",Projects!$M$37="Yes",51&gt;=Projects!$C$37,51&lt;Projects!$C$37+Projects!$D$37),Projects!$B$37*INDEX(Curves!$B$4:$AR$4,1,51-Projects!$C$37+1),0)+IF(AND(Projects!$G$38="Yes",Projects!$M$38="Yes",51&gt;=Projects!$C$38,51&lt;Projects!$C$38+Projects!$D$38),Projects!$B$38*INDEX(Curves!$B$4:$AR$4,1,51-Projects!$C$38+1),0)+IF(AND(Projects!$G$39="Yes",Projects!$M$39="Yes",51&gt;=Projects!$C$39,51&lt;Projects!$C$39+Projects!$D$39),Projects!$B$39*INDEX(Curves!$B$4:$AR$4,1,51-Projects!$C$39+1),0)+IF(AND(Projects!$G$40="Yes",Projects!$M$40="Yes",51&gt;=Projects!$C$40,51&lt;Projects!$C$40+Projects!$D$40),Projects!$B$40*INDEX(Curves!$B$4:$AR$4,1,51-Projects!$C$40+1),0)+IF(AND(Projects!$G$41="Yes",Projects!$M$41="Yes",51&gt;=Projects!$C$41,51&lt;Projects!$C$41+Projects!$D$41),Projects!$B$41*INDEX(Curves!$B$4:$AR$4,1,51-Projects!$C$41+1),0)+IF(AND(Projects!$G$42="Yes",Projects!$M$42="Yes",51&gt;=Projects!$C$42,51&lt;Projects!$C$42+Projects!$D$42),Projects!$B$42*INDEX(Curves!$B$4:$AR$4,1,51-Projects!$C$42+1),0)+IF(AND(Projects!$G$43="Yes",Projects!$M$43="Yes",51&gt;=Projects!$C$43,51&lt;Projects!$C$43+Projects!$D$43),Projects!$B$43*INDEX(Curves!$B$4:$AR$4,1,51-Projects!$C$43+1),0)+IF(AND(Projects!$G$44="Yes",Projects!$M$44="Yes",51&gt;=Projects!$C$44,51&lt;Projects!$C$44+Projects!$D$44),Projects!$B$44*INDEX(Curves!$B$4:$AR$4,1,51-Projects!$C$44+1),0)+IF(AND(Projects!$G$45="Yes",Projects!$M$45="Yes",51&gt;=Projects!$C$45,51&lt;Projects!$C$45+Projects!$D$45),Projects!$B$45*INDEX(Curves!$B$4:$AR$4,1,51-Projects!$C$45+1),0)+IF(AND(Projects!$G$46="Yes",Projects!$M$46="Yes",51&gt;=Projects!$C$46,51&lt;Projects!$C$46+Projects!$D$46),Projects!$B$46*INDEX(Curves!$B$4:$AR$4,1,51-Projects!$C$46+1),0)</f>
        <v>0</v>
      </c>
      <c r="BE101" s="87" t="n">
        <f aca="false">IF(AND(Projects!$G$17="Yes",Projects!$M$17="Yes",52&gt;=Projects!$C$17,52&lt;Projects!$C$17+Projects!$D$17),Projects!$B$17*INDEX(Curves!$B$4:$AR$4,1,52-Projects!$C$17+1),0)+IF(AND(Projects!$G$18="Yes",Projects!$M$18="Yes",52&gt;=Projects!$C$18,52&lt;Projects!$C$18+Projects!$D$18),Projects!$B$18*INDEX(Curves!$B$4:$AR$4,1,52-Projects!$C$18+1),0)+IF(AND(Projects!$G$19="Yes",Projects!$M$19="Yes",52&gt;=Projects!$C$19,52&lt;Projects!$C$19+Projects!$D$19),Projects!$B$19*INDEX(Curves!$B$4:$AR$4,1,52-Projects!$C$19+1),0)+IF(AND(Projects!$G$20="Yes",Projects!$M$20="Yes",52&gt;=Projects!$C$20,52&lt;Projects!$C$20+Projects!$D$20),Projects!$B$20*INDEX(Curves!$B$4:$AR$4,1,52-Projects!$C$20+1),0)+IF(AND(Projects!$G$21="Yes",Projects!$M$21="Yes",52&gt;=Projects!$C$21,52&lt;Projects!$C$21+Projects!$D$21),Projects!$B$21*INDEX(Curves!$B$4:$AR$4,1,52-Projects!$C$21+1),0)+IF(AND(Projects!$G$22="Yes",Projects!$M$22="Yes",52&gt;=Projects!$C$22,52&lt;Projects!$C$22+Projects!$D$22),Projects!$B$22*INDEX(Curves!$B$4:$AR$4,1,52-Projects!$C$22+1),0)+IF(AND(Projects!$G$23="Yes",Projects!$M$23="Yes",52&gt;=Projects!$C$23,52&lt;Projects!$C$23+Projects!$D$23),Projects!$B$23*INDEX(Curves!$B$4:$AR$4,1,52-Projects!$C$23+1),0)+IF(AND(Projects!$G$24="Yes",Projects!$M$24="Yes",52&gt;=Projects!$C$24,52&lt;Projects!$C$24+Projects!$D$24),Projects!$B$24*INDEX(Curves!$B$4:$AR$4,1,52-Projects!$C$24+1),0)+IF(AND(Projects!$G$25="Yes",Projects!$M$25="Yes",52&gt;=Projects!$C$25,52&lt;Projects!$C$25+Projects!$D$25),Projects!$B$25*INDEX(Curves!$B$4:$AR$4,1,52-Projects!$C$25+1),0)+IF(AND(Projects!$G$26="Yes",Projects!$M$26="Yes",52&gt;=Projects!$C$26,52&lt;Projects!$C$26+Projects!$D$26),Projects!$B$26*INDEX(Curves!$B$4:$AR$4,1,52-Projects!$C$26+1),0)+IF(AND(Projects!$G$27="Yes",Projects!$M$27="Yes",52&gt;=Projects!$C$27,52&lt;Projects!$C$27+Projects!$D$27),Projects!$B$27*INDEX(Curves!$B$4:$AR$4,1,52-Projects!$C$27+1),0)+IF(AND(Projects!$G$28="Yes",Projects!$M$28="Yes",52&gt;=Projects!$C$28,52&lt;Projects!$C$28+Projects!$D$28),Projects!$B$28*INDEX(Curves!$B$4:$AR$4,1,52-Projects!$C$28+1),0)+IF(AND(Projects!$G$29="Yes",Projects!$M$29="Yes",52&gt;=Projects!$C$29,52&lt;Projects!$C$29+Projects!$D$29),Projects!$B$29*INDEX(Curves!$B$4:$AR$4,1,52-Projects!$C$29+1),0)+IF(AND(Projects!$G$30="Yes",Projects!$M$30="Yes",52&gt;=Projects!$C$30,52&lt;Projects!$C$30+Projects!$D$30),Projects!$B$30*INDEX(Curves!$B$4:$AR$4,1,52-Projects!$C$30+1),0)+IF(AND(Projects!$G$31="Yes",Projects!$M$31="Yes",52&gt;=Projects!$C$31,52&lt;Projects!$C$31+Projects!$D$31),Projects!$B$31*INDEX(Curves!$B$4:$AR$4,1,52-Projects!$C$31+1),0)+IF(AND(Projects!$G$32="Yes",Projects!$M$32="Yes",52&gt;=Projects!$C$32,52&lt;Projects!$C$32+Projects!$D$32),Projects!$B$32*INDEX(Curves!$B$4:$AR$4,1,52-Projects!$C$32+1),0)+IF(AND(Projects!$G$33="Yes",Projects!$M$33="Yes",52&gt;=Projects!$C$33,52&lt;Projects!$C$33+Projects!$D$33),Projects!$B$33*INDEX(Curves!$B$4:$AR$4,1,52-Projects!$C$33+1),0)+IF(AND(Projects!$G$34="Yes",Projects!$M$34="Yes",52&gt;=Projects!$C$34,52&lt;Projects!$C$34+Projects!$D$34),Projects!$B$34*INDEX(Curves!$B$4:$AR$4,1,52-Projects!$C$34+1),0)+IF(AND(Projects!$G$35="Yes",Projects!$M$35="Yes",52&gt;=Projects!$C$35,52&lt;Projects!$C$35+Projects!$D$35),Projects!$B$35*INDEX(Curves!$B$4:$AR$4,1,52-Projects!$C$35+1),0)+IF(AND(Projects!$G$36="Yes",Projects!$M$36="Yes",52&gt;=Projects!$C$36,52&lt;Projects!$C$36+Projects!$D$36),Projects!$B$36*INDEX(Curves!$B$4:$AR$4,1,52-Projects!$C$36+1),0)+IF(AND(Projects!$G$37="Yes",Projects!$M$37="Yes",52&gt;=Projects!$C$37,52&lt;Projects!$C$37+Projects!$D$37),Projects!$B$37*INDEX(Curves!$B$4:$AR$4,1,52-Projects!$C$37+1),0)+IF(AND(Projects!$G$38="Yes",Projects!$M$38="Yes",52&gt;=Projects!$C$38,52&lt;Projects!$C$38+Projects!$D$38),Projects!$B$38*INDEX(Curves!$B$4:$AR$4,1,52-Projects!$C$38+1),0)+IF(AND(Projects!$G$39="Yes",Projects!$M$39="Yes",52&gt;=Projects!$C$39,52&lt;Projects!$C$39+Projects!$D$39),Projects!$B$39*INDEX(Curves!$B$4:$AR$4,1,52-Projects!$C$39+1),0)+IF(AND(Projects!$G$40="Yes",Projects!$M$40="Yes",52&gt;=Projects!$C$40,52&lt;Projects!$C$40+Projects!$D$40),Projects!$B$40*INDEX(Curves!$B$4:$AR$4,1,52-Projects!$C$40+1),0)+IF(AND(Projects!$G$41="Yes",Projects!$M$41="Yes",52&gt;=Projects!$C$41,52&lt;Projects!$C$41+Projects!$D$41),Projects!$B$41*INDEX(Curves!$B$4:$AR$4,1,52-Projects!$C$41+1),0)+IF(AND(Projects!$G$42="Yes",Projects!$M$42="Yes",52&gt;=Projects!$C$42,52&lt;Projects!$C$42+Projects!$D$42),Projects!$B$42*INDEX(Curves!$B$4:$AR$4,1,52-Projects!$C$42+1),0)+IF(AND(Projects!$G$43="Yes",Projects!$M$43="Yes",52&gt;=Projects!$C$43,52&lt;Projects!$C$43+Projects!$D$43),Projects!$B$43*INDEX(Curves!$B$4:$AR$4,1,52-Projects!$C$43+1),0)+IF(AND(Projects!$G$44="Yes",Projects!$M$44="Yes",52&gt;=Projects!$C$44,52&lt;Projects!$C$44+Projects!$D$44),Projects!$B$44*INDEX(Curves!$B$4:$AR$4,1,52-Projects!$C$44+1),0)+IF(AND(Projects!$G$45="Yes",Projects!$M$45="Yes",52&gt;=Projects!$C$45,52&lt;Projects!$C$45+Projects!$D$45),Projects!$B$45*INDEX(Curves!$B$4:$AR$4,1,52-Projects!$C$45+1),0)+IF(AND(Projects!$G$46="Yes",Projects!$M$46="Yes",52&gt;=Projects!$C$46,52&lt;Projects!$C$46+Projects!$D$46),Projects!$B$46*INDEX(Curves!$B$4:$AR$4,1,52-Projects!$C$46+1),0)</f>
        <v>0</v>
      </c>
      <c r="BF101" s="87" t="n">
        <f aca="false">IF(AND(Projects!$G$17="Yes",Projects!$M$17="Yes",53&gt;=Projects!$C$17,53&lt;Projects!$C$17+Projects!$D$17),Projects!$B$17*INDEX(Curves!$B$4:$AR$4,1,53-Projects!$C$17+1),0)+IF(AND(Projects!$G$18="Yes",Projects!$M$18="Yes",53&gt;=Projects!$C$18,53&lt;Projects!$C$18+Projects!$D$18),Projects!$B$18*INDEX(Curves!$B$4:$AR$4,1,53-Projects!$C$18+1),0)+IF(AND(Projects!$G$19="Yes",Projects!$M$19="Yes",53&gt;=Projects!$C$19,53&lt;Projects!$C$19+Projects!$D$19),Projects!$B$19*INDEX(Curves!$B$4:$AR$4,1,53-Projects!$C$19+1),0)+IF(AND(Projects!$G$20="Yes",Projects!$M$20="Yes",53&gt;=Projects!$C$20,53&lt;Projects!$C$20+Projects!$D$20),Projects!$B$20*INDEX(Curves!$B$4:$AR$4,1,53-Projects!$C$20+1),0)+IF(AND(Projects!$G$21="Yes",Projects!$M$21="Yes",53&gt;=Projects!$C$21,53&lt;Projects!$C$21+Projects!$D$21),Projects!$B$21*INDEX(Curves!$B$4:$AR$4,1,53-Projects!$C$21+1),0)+IF(AND(Projects!$G$22="Yes",Projects!$M$22="Yes",53&gt;=Projects!$C$22,53&lt;Projects!$C$22+Projects!$D$22),Projects!$B$22*INDEX(Curves!$B$4:$AR$4,1,53-Projects!$C$22+1),0)+IF(AND(Projects!$G$23="Yes",Projects!$M$23="Yes",53&gt;=Projects!$C$23,53&lt;Projects!$C$23+Projects!$D$23),Projects!$B$23*INDEX(Curves!$B$4:$AR$4,1,53-Projects!$C$23+1),0)+IF(AND(Projects!$G$24="Yes",Projects!$M$24="Yes",53&gt;=Projects!$C$24,53&lt;Projects!$C$24+Projects!$D$24),Projects!$B$24*INDEX(Curves!$B$4:$AR$4,1,53-Projects!$C$24+1),0)+IF(AND(Projects!$G$25="Yes",Projects!$M$25="Yes",53&gt;=Projects!$C$25,53&lt;Projects!$C$25+Projects!$D$25),Projects!$B$25*INDEX(Curves!$B$4:$AR$4,1,53-Projects!$C$25+1),0)+IF(AND(Projects!$G$26="Yes",Projects!$M$26="Yes",53&gt;=Projects!$C$26,53&lt;Projects!$C$26+Projects!$D$26),Projects!$B$26*INDEX(Curves!$B$4:$AR$4,1,53-Projects!$C$26+1),0)+IF(AND(Projects!$G$27="Yes",Projects!$M$27="Yes",53&gt;=Projects!$C$27,53&lt;Projects!$C$27+Projects!$D$27),Projects!$B$27*INDEX(Curves!$B$4:$AR$4,1,53-Projects!$C$27+1),0)+IF(AND(Projects!$G$28="Yes",Projects!$M$28="Yes",53&gt;=Projects!$C$28,53&lt;Projects!$C$28+Projects!$D$28),Projects!$B$28*INDEX(Curves!$B$4:$AR$4,1,53-Projects!$C$28+1),0)+IF(AND(Projects!$G$29="Yes",Projects!$M$29="Yes",53&gt;=Projects!$C$29,53&lt;Projects!$C$29+Projects!$D$29),Projects!$B$29*INDEX(Curves!$B$4:$AR$4,1,53-Projects!$C$29+1),0)+IF(AND(Projects!$G$30="Yes",Projects!$M$30="Yes",53&gt;=Projects!$C$30,53&lt;Projects!$C$30+Projects!$D$30),Projects!$B$30*INDEX(Curves!$B$4:$AR$4,1,53-Projects!$C$30+1),0)+IF(AND(Projects!$G$31="Yes",Projects!$M$31="Yes",53&gt;=Projects!$C$31,53&lt;Projects!$C$31+Projects!$D$31),Projects!$B$31*INDEX(Curves!$B$4:$AR$4,1,53-Projects!$C$31+1),0)+IF(AND(Projects!$G$32="Yes",Projects!$M$32="Yes",53&gt;=Projects!$C$32,53&lt;Projects!$C$32+Projects!$D$32),Projects!$B$32*INDEX(Curves!$B$4:$AR$4,1,53-Projects!$C$32+1),0)+IF(AND(Projects!$G$33="Yes",Projects!$M$33="Yes",53&gt;=Projects!$C$33,53&lt;Projects!$C$33+Projects!$D$33),Projects!$B$33*INDEX(Curves!$B$4:$AR$4,1,53-Projects!$C$33+1),0)+IF(AND(Projects!$G$34="Yes",Projects!$M$34="Yes",53&gt;=Projects!$C$34,53&lt;Projects!$C$34+Projects!$D$34),Projects!$B$34*INDEX(Curves!$B$4:$AR$4,1,53-Projects!$C$34+1),0)+IF(AND(Projects!$G$35="Yes",Projects!$M$35="Yes",53&gt;=Projects!$C$35,53&lt;Projects!$C$35+Projects!$D$35),Projects!$B$35*INDEX(Curves!$B$4:$AR$4,1,53-Projects!$C$35+1),0)+IF(AND(Projects!$G$36="Yes",Projects!$M$36="Yes",53&gt;=Projects!$C$36,53&lt;Projects!$C$36+Projects!$D$36),Projects!$B$36*INDEX(Curves!$B$4:$AR$4,1,53-Projects!$C$36+1),0)+IF(AND(Projects!$G$37="Yes",Projects!$M$37="Yes",53&gt;=Projects!$C$37,53&lt;Projects!$C$37+Projects!$D$37),Projects!$B$37*INDEX(Curves!$B$4:$AR$4,1,53-Projects!$C$37+1),0)+IF(AND(Projects!$G$38="Yes",Projects!$M$38="Yes",53&gt;=Projects!$C$38,53&lt;Projects!$C$38+Projects!$D$38),Projects!$B$38*INDEX(Curves!$B$4:$AR$4,1,53-Projects!$C$38+1),0)+IF(AND(Projects!$G$39="Yes",Projects!$M$39="Yes",53&gt;=Projects!$C$39,53&lt;Projects!$C$39+Projects!$D$39),Projects!$B$39*INDEX(Curves!$B$4:$AR$4,1,53-Projects!$C$39+1),0)+IF(AND(Projects!$G$40="Yes",Projects!$M$40="Yes",53&gt;=Projects!$C$40,53&lt;Projects!$C$40+Projects!$D$40),Projects!$B$40*INDEX(Curves!$B$4:$AR$4,1,53-Projects!$C$40+1),0)+IF(AND(Projects!$G$41="Yes",Projects!$M$41="Yes",53&gt;=Projects!$C$41,53&lt;Projects!$C$41+Projects!$D$41),Projects!$B$41*INDEX(Curves!$B$4:$AR$4,1,53-Projects!$C$41+1),0)+IF(AND(Projects!$G$42="Yes",Projects!$M$42="Yes",53&gt;=Projects!$C$42,53&lt;Projects!$C$42+Projects!$D$42),Projects!$B$42*INDEX(Curves!$B$4:$AR$4,1,53-Projects!$C$42+1),0)+IF(AND(Projects!$G$43="Yes",Projects!$M$43="Yes",53&gt;=Projects!$C$43,53&lt;Projects!$C$43+Projects!$D$43),Projects!$B$43*INDEX(Curves!$B$4:$AR$4,1,53-Projects!$C$43+1),0)+IF(AND(Projects!$G$44="Yes",Projects!$M$44="Yes",53&gt;=Projects!$C$44,53&lt;Projects!$C$44+Projects!$D$44),Projects!$B$44*INDEX(Curves!$B$4:$AR$4,1,53-Projects!$C$44+1),0)+IF(AND(Projects!$G$45="Yes",Projects!$M$45="Yes",53&gt;=Projects!$C$45,53&lt;Projects!$C$45+Projects!$D$45),Projects!$B$45*INDEX(Curves!$B$4:$AR$4,1,53-Projects!$C$45+1),0)+IF(AND(Projects!$G$46="Yes",Projects!$M$46="Yes",53&gt;=Projects!$C$46,53&lt;Projects!$C$46+Projects!$D$46),Projects!$B$46*INDEX(Curves!$B$4:$AR$4,1,53-Projects!$C$46+1),0)</f>
        <v>0</v>
      </c>
      <c r="BG101" s="87" t="n">
        <f aca="false">IF(AND(Projects!$G$17="Yes",Projects!$M$17="Yes",54&gt;=Projects!$C$17,54&lt;Projects!$C$17+Projects!$D$17),Projects!$B$17*INDEX(Curves!$B$4:$AR$4,1,54-Projects!$C$17+1),0)+IF(AND(Projects!$G$18="Yes",Projects!$M$18="Yes",54&gt;=Projects!$C$18,54&lt;Projects!$C$18+Projects!$D$18),Projects!$B$18*INDEX(Curves!$B$4:$AR$4,1,54-Projects!$C$18+1),0)+IF(AND(Projects!$G$19="Yes",Projects!$M$19="Yes",54&gt;=Projects!$C$19,54&lt;Projects!$C$19+Projects!$D$19),Projects!$B$19*INDEX(Curves!$B$4:$AR$4,1,54-Projects!$C$19+1),0)+IF(AND(Projects!$G$20="Yes",Projects!$M$20="Yes",54&gt;=Projects!$C$20,54&lt;Projects!$C$20+Projects!$D$20),Projects!$B$20*INDEX(Curves!$B$4:$AR$4,1,54-Projects!$C$20+1),0)+IF(AND(Projects!$G$21="Yes",Projects!$M$21="Yes",54&gt;=Projects!$C$21,54&lt;Projects!$C$21+Projects!$D$21),Projects!$B$21*INDEX(Curves!$B$4:$AR$4,1,54-Projects!$C$21+1),0)+IF(AND(Projects!$G$22="Yes",Projects!$M$22="Yes",54&gt;=Projects!$C$22,54&lt;Projects!$C$22+Projects!$D$22),Projects!$B$22*INDEX(Curves!$B$4:$AR$4,1,54-Projects!$C$22+1),0)+IF(AND(Projects!$G$23="Yes",Projects!$M$23="Yes",54&gt;=Projects!$C$23,54&lt;Projects!$C$23+Projects!$D$23),Projects!$B$23*INDEX(Curves!$B$4:$AR$4,1,54-Projects!$C$23+1),0)+IF(AND(Projects!$G$24="Yes",Projects!$M$24="Yes",54&gt;=Projects!$C$24,54&lt;Projects!$C$24+Projects!$D$24),Projects!$B$24*INDEX(Curves!$B$4:$AR$4,1,54-Projects!$C$24+1),0)+IF(AND(Projects!$G$25="Yes",Projects!$M$25="Yes",54&gt;=Projects!$C$25,54&lt;Projects!$C$25+Projects!$D$25),Projects!$B$25*INDEX(Curves!$B$4:$AR$4,1,54-Projects!$C$25+1),0)+IF(AND(Projects!$G$26="Yes",Projects!$M$26="Yes",54&gt;=Projects!$C$26,54&lt;Projects!$C$26+Projects!$D$26),Projects!$B$26*INDEX(Curves!$B$4:$AR$4,1,54-Projects!$C$26+1),0)+IF(AND(Projects!$G$27="Yes",Projects!$M$27="Yes",54&gt;=Projects!$C$27,54&lt;Projects!$C$27+Projects!$D$27),Projects!$B$27*INDEX(Curves!$B$4:$AR$4,1,54-Projects!$C$27+1),0)+IF(AND(Projects!$G$28="Yes",Projects!$M$28="Yes",54&gt;=Projects!$C$28,54&lt;Projects!$C$28+Projects!$D$28),Projects!$B$28*INDEX(Curves!$B$4:$AR$4,1,54-Projects!$C$28+1),0)+IF(AND(Projects!$G$29="Yes",Projects!$M$29="Yes",54&gt;=Projects!$C$29,54&lt;Projects!$C$29+Projects!$D$29),Projects!$B$29*INDEX(Curves!$B$4:$AR$4,1,54-Projects!$C$29+1),0)+IF(AND(Projects!$G$30="Yes",Projects!$M$30="Yes",54&gt;=Projects!$C$30,54&lt;Projects!$C$30+Projects!$D$30),Projects!$B$30*INDEX(Curves!$B$4:$AR$4,1,54-Projects!$C$30+1),0)+IF(AND(Projects!$G$31="Yes",Projects!$M$31="Yes",54&gt;=Projects!$C$31,54&lt;Projects!$C$31+Projects!$D$31),Projects!$B$31*INDEX(Curves!$B$4:$AR$4,1,54-Projects!$C$31+1),0)+IF(AND(Projects!$G$32="Yes",Projects!$M$32="Yes",54&gt;=Projects!$C$32,54&lt;Projects!$C$32+Projects!$D$32),Projects!$B$32*INDEX(Curves!$B$4:$AR$4,1,54-Projects!$C$32+1),0)+IF(AND(Projects!$G$33="Yes",Projects!$M$33="Yes",54&gt;=Projects!$C$33,54&lt;Projects!$C$33+Projects!$D$33),Projects!$B$33*INDEX(Curves!$B$4:$AR$4,1,54-Projects!$C$33+1),0)+IF(AND(Projects!$G$34="Yes",Projects!$M$34="Yes",54&gt;=Projects!$C$34,54&lt;Projects!$C$34+Projects!$D$34),Projects!$B$34*INDEX(Curves!$B$4:$AR$4,1,54-Projects!$C$34+1),0)+IF(AND(Projects!$G$35="Yes",Projects!$M$35="Yes",54&gt;=Projects!$C$35,54&lt;Projects!$C$35+Projects!$D$35),Projects!$B$35*INDEX(Curves!$B$4:$AR$4,1,54-Projects!$C$35+1),0)+IF(AND(Projects!$G$36="Yes",Projects!$M$36="Yes",54&gt;=Projects!$C$36,54&lt;Projects!$C$36+Projects!$D$36),Projects!$B$36*INDEX(Curves!$B$4:$AR$4,1,54-Projects!$C$36+1),0)+IF(AND(Projects!$G$37="Yes",Projects!$M$37="Yes",54&gt;=Projects!$C$37,54&lt;Projects!$C$37+Projects!$D$37),Projects!$B$37*INDEX(Curves!$B$4:$AR$4,1,54-Projects!$C$37+1),0)+IF(AND(Projects!$G$38="Yes",Projects!$M$38="Yes",54&gt;=Projects!$C$38,54&lt;Projects!$C$38+Projects!$D$38),Projects!$B$38*INDEX(Curves!$B$4:$AR$4,1,54-Projects!$C$38+1),0)+IF(AND(Projects!$G$39="Yes",Projects!$M$39="Yes",54&gt;=Projects!$C$39,54&lt;Projects!$C$39+Projects!$D$39),Projects!$B$39*INDEX(Curves!$B$4:$AR$4,1,54-Projects!$C$39+1),0)+IF(AND(Projects!$G$40="Yes",Projects!$M$40="Yes",54&gt;=Projects!$C$40,54&lt;Projects!$C$40+Projects!$D$40),Projects!$B$40*INDEX(Curves!$B$4:$AR$4,1,54-Projects!$C$40+1),0)+IF(AND(Projects!$G$41="Yes",Projects!$M$41="Yes",54&gt;=Projects!$C$41,54&lt;Projects!$C$41+Projects!$D$41),Projects!$B$41*INDEX(Curves!$B$4:$AR$4,1,54-Projects!$C$41+1),0)+IF(AND(Projects!$G$42="Yes",Projects!$M$42="Yes",54&gt;=Projects!$C$42,54&lt;Projects!$C$42+Projects!$D$42),Projects!$B$42*INDEX(Curves!$B$4:$AR$4,1,54-Projects!$C$42+1),0)+IF(AND(Projects!$G$43="Yes",Projects!$M$43="Yes",54&gt;=Projects!$C$43,54&lt;Projects!$C$43+Projects!$D$43),Projects!$B$43*INDEX(Curves!$B$4:$AR$4,1,54-Projects!$C$43+1),0)+IF(AND(Projects!$G$44="Yes",Projects!$M$44="Yes",54&gt;=Projects!$C$44,54&lt;Projects!$C$44+Projects!$D$44),Projects!$B$44*INDEX(Curves!$B$4:$AR$4,1,54-Projects!$C$44+1),0)+IF(AND(Projects!$G$45="Yes",Projects!$M$45="Yes",54&gt;=Projects!$C$45,54&lt;Projects!$C$45+Projects!$D$45),Projects!$B$45*INDEX(Curves!$B$4:$AR$4,1,54-Projects!$C$45+1),0)+IF(AND(Projects!$G$46="Yes",Projects!$M$46="Yes",54&gt;=Projects!$C$46,54&lt;Projects!$C$46+Projects!$D$46),Projects!$B$46*INDEX(Curves!$B$4:$AR$4,1,54-Projects!$C$46+1),0)</f>
        <v>0</v>
      </c>
      <c r="BH101" s="87" t="n">
        <f aca="false">IF(AND(Projects!$G$17="Yes",Projects!$M$17="Yes",55&gt;=Projects!$C$17,55&lt;Projects!$C$17+Projects!$D$17),Projects!$B$17*INDEX(Curves!$B$4:$AR$4,1,55-Projects!$C$17+1),0)+IF(AND(Projects!$G$18="Yes",Projects!$M$18="Yes",55&gt;=Projects!$C$18,55&lt;Projects!$C$18+Projects!$D$18),Projects!$B$18*INDEX(Curves!$B$4:$AR$4,1,55-Projects!$C$18+1),0)+IF(AND(Projects!$G$19="Yes",Projects!$M$19="Yes",55&gt;=Projects!$C$19,55&lt;Projects!$C$19+Projects!$D$19),Projects!$B$19*INDEX(Curves!$B$4:$AR$4,1,55-Projects!$C$19+1),0)+IF(AND(Projects!$G$20="Yes",Projects!$M$20="Yes",55&gt;=Projects!$C$20,55&lt;Projects!$C$20+Projects!$D$20),Projects!$B$20*INDEX(Curves!$B$4:$AR$4,1,55-Projects!$C$20+1),0)+IF(AND(Projects!$G$21="Yes",Projects!$M$21="Yes",55&gt;=Projects!$C$21,55&lt;Projects!$C$21+Projects!$D$21),Projects!$B$21*INDEX(Curves!$B$4:$AR$4,1,55-Projects!$C$21+1),0)+IF(AND(Projects!$G$22="Yes",Projects!$M$22="Yes",55&gt;=Projects!$C$22,55&lt;Projects!$C$22+Projects!$D$22),Projects!$B$22*INDEX(Curves!$B$4:$AR$4,1,55-Projects!$C$22+1),0)+IF(AND(Projects!$G$23="Yes",Projects!$M$23="Yes",55&gt;=Projects!$C$23,55&lt;Projects!$C$23+Projects!$D$23),Projects!$B$23*INDEX(Curves!$B$4:$AR$4,1,55-Projects!$C$23+1),0)+IF(AND(Projects!$G$24="Yes",Projects!$M$24="Yes",55&gt;=Projects!$C$24,55&lt;Projects!$C$24+Projects!$D$24),Projects!$B$24*INDEX(Curves!$B$4:$AR$4,1,55-Projects!$C$24+1),0)+IF(AND(Projects!$G$25="Yes",Projects!$M$25="Yes",55&gt;=Projects!$C$25,55&lt;Projects!$C$25+Projects!$D$25),Projects!$B$25*INDEX(Curves!$B$4:$AR$4,1,55-Projects!$C$25+1),0)+IF(AND(Projects!$G$26="Yes",Projects!$M$26="Yes",55&gt;=Projects!$C$26,55&lt;Projects!$C$26+Projects!$D$26),Projects!$B$26*INDEX(Curves!$B$4:$AR$4,1,55-Projects!$C$26+1),0)+IF(AND(Projects!$G$27="Yes",Projects!$M$27="Yes",55&gt;=Projects!$C$27,55&lt;Projects!$C$27+Projects!$D$27),Projects!$B$27*INDEX(Curves!$B$4:$AR$4,1,55-Projects!$C$27+1),0)+IF(AND(Projects!$G$28="Yes",Projects!$M$28="Yes",55&gt;=Projects!$C$28,55&lt;Projects!$C$28+Projects!$D$28),Projects!$B$28*INDEX(Curves!$B$4:$AR$4,1,55-Projects!$C$28+1),0)+IF(AND(Projects!$G$29="Yes",Projects!$M$29="Yes",55&gt;=Projects!$C$29,55&lt;Projects!$C$29+Projects!$D$29),Projects!$B$29*INDEX(Curves!$B$4:$AR$4,1,55-Projects!$C$29+1),0)+IF(AND(Projects!$G$30="Yes",Projects!$M$30="Yes",55&gt;=Projects!$C$30,55&lt;Projects!$C$30+Projects!$D$30),Projects!$B$30*INDEX(Curves!$B$4:$AR$4,1,55-Projects!$C$30+1),0)+IF(AND(Projects!$G$31="Yes",Projects!$M$31="Yes",55&gt;=Projects!$C$31,55&lt;Projects!$C$31+Projects!$D$31),Projects!$B$31*INDEX(Curves!$B$4:$AR$4,1,55-Projects!$C$31+1),0)+IF(AND(Projects!$G$32="Yes",Projects!$M$32="Yes",55&gt;=Projects!$C$32,55&lt;Projects!$C$32+Projects!$D$32),Projects!$B$32*INDEX(Curves!$B$4:$AR$4,1,55-Projects!$C$32+1),0)+IF(AND(Projects!$G$33="Yes",Projects!$M$33="Yes",55&gt;=Projects!$C$33,55&lt;Projects!$C$33+Projects!$D$33),Projects!$B$33*INDEX(Curves!$B$4:$AR$4,1,55-Projects!$C$33+1),0)+IF(AND(Projects!$G$34="Yes",Projects!$M$34="Yes",55&gt;=Projects!$C$34,55&lt;Projects!$C$34+Projects!$D$34),Projects!$B$34*INDEX(Curves!$B$4:$AR$4,1,55-Projects!$C$34+1),0)+IF(AND(Projects!$G$35="Yes",Projects!$M$35="Yes",55&gt;=Projects!$C$35,55&lt;Projects!$C$35+Projects!$D$35),Projects!$B$35*INDEX(Curves!$B$4:$AR$4,1,55-Projects!$C$35+1),0)+IF(AND(Projects!$G$36="Yes",Projects!$M$36="Yes",55&gt;=Projects!$C$36,55&lt;Projects!$C$36+Projects!$D$36),Projects!$B$36*INDEX(Curves!$B$4:$AR$4,1,55-Projects!$C$36+1),0)+IF(AND(Projects!$G$37="Yes",Projects!$M$37="Yes",55&gt;=Projects!$C$37,55&lt;Projects!$C$37+Projects!$D$37),Projects!$B$37*INDEX(Curves!$B$4:$AR$4,1,55-Projects!$C$37+1),0)+IF(AND(Projects!$G$38="Yes",Projects!$M$38="Yes",55&gt;=Projects!$C$38,55&lt;Projects!$C$38+Projects!$D$38),Projects!$B$38*INDEX(Curves!$B$4:$AR$4,1,55-Projects!$C$38+1),0)+IF(AND(Projects!$G$39="Yes",Projects!$M$39="Yes",55&gt;=Projects!$C$39,55&lt;Projects!$C$39+Projects!$D$39),Projects!$B$39*INDEX(Curves!$B$4:$AR$4,1,55-Projects!$C$39+1),0)+IF(AND(Projects!$G$40="Yes",Projects!$M$40="Yes",55&gt;=Projects!$C$40,55&lt;Projects!$C$40+Projects!$D$40),Projects!$B$40*INDEX(Curves!$B$4:$AR$4,1,55-Projects!$C$40+1),0)+IF(AND(Projects!$G$41="Yes",Projects!$M$41="Yes",55&gt;=Projects!$C$41,55&lt;Projects!$C$41+Projects!$D$41),Projects!$B$41*INDEX(Curves!$B$4:$AR$4,1,55-Projects!$C$41+1),0)+IF(AND(Projects!$G$42="Yes",Projects!$M$42="Yes",55&gt;=Projects!$C$42,55&lt;Projects!$C$42+Projects!$D$42),Projects!$B$42*INDEX(Curves!$B$4:$AR$4,1,55-Projects!$C$42+1),0)+IF(AND(Projects!$G$43="Yes",Projects!$M$43="Yes",55&gt;=Projects!$C$43,55&lt;Projects!$C$43+Projects!$D$43),Projects!$B$43*INDEX(Curves!$B$4:$AR$4,1,55-Projects!$C$43+1),0)+IF(AND(Projects!$G$44="Yes",Projects!$M$44="Yes",55&gt;=Projects!$C$44,55&lt;Projects!$C$44+Projects!$D$44),Projects!$B$44*INDEX(Curves!$B$4:$AR$4,1,55-Projects!$C$44+1),0)+IF(AND(Projects!$G$45="Yes",Projects!$M$45="Yes",55&gt;=Projects!$C$45,55&lt;Projects!$C$45+Projects!$D$45),Projects!$B$45*INDEX(Curves!$B$4:$AR$4,1,55-Projects!$C$45+1),0)+IF(AND(Projects!$G$46="Yes",Projects!$M$46="Yes",55&gt;=Projects!$C$46,55&lt;Projects!$C$46+Projects!$D$46),Projects!$B$46*INDEX(Curves!$B$4:$AR$4,1,55-Projects!$C$46+1),0)</f>
        <v>0</v>
      </c>
      <c r="BI101" s="87" t="n">
        <f aca="false">IF(AND(Projects!$G$17="Yes",Projects!$M$17="Yes",56&gt;=Projects!$C$17,56&lt;Projects!$C$17+Projects!$D$17),Projects!$B$17*INDEX(Curves!$B$4:$AR$4,1,56-Projects!$C$17+1),0)+IF(AND(Projects!$G$18="Yes",Projects!$M$18="Yes",56&gt;=Projects!$C$18,56&lt;Projects!$C$18+Projects!$D$18),Projects!$B$18*INDEX(Curves!$B$4:$AR$4,1,56-Projects!$C$18+1),0)+IF(AND(Projects!$G$19="Yes",Projects!$M$19="Yes",56&gt;=Projects!$C$19,56&lt;Projects!$C$19+Projects!$D$19),Projects!$B$19*INDEX(Curves!$B$4:$AR$4,1,56-Projects!$C$19+1),0)+IF(AND(Projects!$G$20="Yes",Projects!$M$20="Yes",56&gt;=Projects!$C$20,56&lt;Projects!$C$20+Projects!$D$20),Projects!$B$20*INDEX(Curves!$B$4:$AR$4,1,56-Projects!$C$20+1),0)+IF(AND(Projects!$G$21="Yes",Projects!$M$21="Yes",56&gt;=Projects!$C$21,56&lt;Projects!$C$21+Projects!$D$21),Projects!$B$21*INDEX(Curves!$B$4:$AR$4,1,56-Projects!$C$21+1),0)+IF(AND(Projects!$G$22="Yes",Projects!$M$22="Yes",56&gt;=Projects!$C$22,56&lt;Projects!$C$22+Projects!$D$22),Projects!$B$22*INDEX(Curves!$B$4:$AR$4,1,56-Projects!$C$22+1),0)+IF(AND(Projects!$G$23="Yes",Projects!$M$23="Yes",56&gt;=Projects!$C$23,56&lt;Projects!$C$23+Projects!$D$23),Projects!$B$23*INDEX(Curves!$B$4:$AR$4,1,56-Projects!$C$23+1),0)+IF(AND(Projects!$G$24="Yes",Projects!$M$24="Yes",56&gt;=Projects!$C$24,56&lt;Projects!$C$24+Projects!$D$24),Projects!$B$24*INDEX(Curves!$B$4:$AR$4,1,56-Projects!$C$24+1),0)+IF(AND(Projects!$G$25="Yes",Projects!$M$25="Yes",56&gt;=Projects!$C$25,56&lt;Projects!$C$25+Projects!$D$25),Projects!$B$25*INDEX(Curves!$B$4:$AR$4,1,56-Projects!$C$25+1),0)+IF(AND(Projects!$G$26="Yes",Projects!$M$26="Yes",56&gt;=Projects!$C$26,56&lt;Projects!$C$26+Projects!$D$26),Projects!$B$26*INDEX(Curves!$B$4:$AR$4,1,56-Projects!$C$26+1),0)+IF(AND(Projects!$G$27="Yes",Projects!$M$27="Yes",56&gt;=Projects!$C$27,56&lt;Projects!$C$27+Projects!$D$27),Projects!$B$27*INDEX(Curves!$B$4:$AR$4,1,56-Projects!$C$27+1),0)+IF(AND(Projects!$G$28="Yes",Projects!$M$28="Yes",56&gt;=Projects!$C$28,56&lt;Projects!$C$28+Projects!$D$28),Projects!$B$28*INDEX(Curves!$B$4:$AR$4,1,56-Projects!$C$28+1),0)+IF(AND(Projects!$G$29="Yes",Projects!$M$29="Yes",56&gt;=Projects!$C$29,56&lt;Projects!$C$29+Projects!$D$29),Projects!$B$29*INDEX(Curves!$B$4:$AR$4,1,56-Projects!$C$29+1),0)+IF(AND(Projects!$G$30="Yes",Projects!$M$30="Yes",56&gt;=Projects!$C$30,56&lt;Projects!$C$30+Projects!$D$30),Projects!$B$30*INDEX(Curves!$B$4:$AR$4,1,56-Projects!$C$30+1),0)+IF(AND(Projects!$G$31="Yes",Projects!$M$31="Yes",56&gt;=Projects!$C$31,56&lt;Projects!$C$31+Projects!$D$31),Projects!$B$31*INDEX(Curves!$B$4:$AR$4,1,56-Projects!$C$31+1),0)+IF(AND(Projects!$G$32="Yes",Projects!$M$32="Yes",56&gt;=Projects!$C$32,56&lt;Projects!$C$32+Projects!$D$32),Projects!$B$32*INDEX(Curves!$B$4:$AR$4,1,56-Projects!$C$32+1),0)+IF(AND(Projects!$G$33="Yes",Projects!$M$33="Yes",56&gt;=Projects!$C$33,56&lt;Projects!$C$33+Projects!$D$33),Projects!$B$33*INDEX(Curves!$B$4:$AR$4,1,56-Projects!$C$33+1),0)+IF(AND(Projects!$G$34="Yes",Projects!$M$34="Yes",56&gt;=Projects!$C$34,56&lt;Projects!$C$34+Projects!$D$34),Projects!$B$34*INDEX(Curves!$B$4:$AR$4,1,56-Projects!$C$34+1),0)+IF(AND(Projects!$G$35="Yes",Projects!$M$35="Yes",56&gt;=Projects!$C$35,56&lt;Projects!$C$35+Projects!$D$35),Projects!$B$35*INDEX(Curves!$B$4:$AR$4,1,56-Projects!$C$35+1),0)+IF(AND(Projects!$G$36="Yes",Projects!$M$36="Yes",56&gt;=Projects!$C$36,56&lt;Projects!$C$36+Projects!$D$36),Projects!$B$36*INDEX(Curves!$B$4:$AR$4,1,56-Projects!$C$36+1),0)+IF(AND(Projects!$G$37="Yes",Projects!$M$37="Yes",56&gt;=Projects!$C$37,56&lt;Projects!$C$37+Projects!$D$37),Projects!$B$37*INDEX(Curves!$B$4:$AR$4,1,56-Projects!$C$37+1),0)+IF(AND(Projects!$G$38="Yes",Projects!$M$38="Yes",56&gt;=Projects!$C$38,56&lt;Projects!$C$38+Projects!$D$38),Projects!$B$38*INDEX(Curves!$B$4:$AR$4,1,56-Projects!$C$38+1),0)+IF(AND(Projects!$G$39="Yes",Projects!$M$39="Yes",56&gt;=Projects!$C$39,56&lt;Projects!$C$39+Projects!$D$39),Projects!$B$39*INDEX(Curves!$B$4:$AR$4,1,56-Projects!$C$39+1),0)+IF(AND(Projects!$G$40="Yes",Projects!$M$40="Yes",56&gt;=Projects!$C$40,56&lt;Projects!$C$40+Projects!$D$40),Projects!$B$40*INDEX(Curves!$B$4:$AR$4,1,56-Projects!$C$40+1),0)+IF(AND(Projects!$G$41="Yes",Projects!$M$41="Yes",56&gt;=Projects!$C$41,56&lt;Projects!$C$41+Projects!$D$41),Projects!$B$41*INDEX(Curves!$B$4:$AR$4,1,56-Projects!$C$41+1),0)+IF(AND(Projects!$G$42="Yes",Projects!$M$42="Yes",56&gt;=Projects!$C$42,56&lt;Projects!$C$42+Projects!$D$42),Projects!$B$42*INDEX(Curves!$B$4:$AR$4,1,56-Projects!$C$42+1),0)+IF(AND(Projects!$G$43="Yes",Projects!$M$43="Yes",56&gt;=Projects!$C$43,56&lt;Projects!$C$43+Projects!$D$43),Projects!$B$43*INDEX(Curves!$B$4:$AR$4,1,56-Projects!$C$43+1),0)+IF(AND(Projects!$G$44="Yes",Projects!$M$44="Yes",56&gt;=Projects!$C$44,56&lt;Projects!$C$44+Projects!$D$44),Projects!$B$44*INDEX(Curves!$B$4:$AR$4,1,56-Projects!$C$44+1),0)+IF(AND(Projects!$G$45="Yes",Projects!$M$45="Yes",56&gt;=Projects!$C$45,56&lt;Projects!$C$45+Projects!$D$45),Projects!$B$45*INDEX(Curves!$B$4:$AR$4,1,56-Projects!$C$45+1),0)+IF(AND(Projects!$G$46="Yes",Projects!$M$46="Yes",56&gt;=Projects!$C$46,56&lt;Projects!$C$46+Projects!$D$46),Projects!$B$46*INDEX(Curves!$B$4:$AR$4,1,56-Projects!$C$46+1),0)</f>
        <v>0</v>
      </c>
      <c r="BJ101" s="87" t="n">
        <f aca="false">IF(AND(Projects!$G$17="Yes",Projects!$M$17="Yes",57&gt;=Projects!$C$17,57&lt;Projects!$C$17+Projects!$D$17),Projects!$B$17*INDEX(Curves!$B$4:$AR$4,1,57-Projects!$C$17+1),0)+IF(AND(Projects!$G$18="Yes",Projects!$M$18="Yes",57&gt;=Projects!$C$18,57&lt;Projects!$C$18+Projects!$D$18),Projects!$B$18*INDEX(Curves!$B$4:$AR$4,1,57-Projects!$C$18+1),0)+IF(AND(Projects!$G$19="Yes",Projects!$M$19="Yes",57&gt;=Projects!$C$19,57&lt;Projects!$C$19+Projects!$D$19),Projects!$B$19*INDEX(Curves!$B$4:$AR$4,1,57-Projects!$C$19+1),0)+IF(AND(Projects!$G$20="Yes",Projects!$M$20="Yes",57&gt;=Projects!$C$20,57&lt;Projects!$C$20+Projects!$D$20),Projects!$B$20*INDEX(Curves!$B$4:$AR$4,1,57-Projects!$C$20+1),0)+IF(AND(Projects!$G$21="Yes",Projects!$M$21="Yes",57&gt;=Projects!$C$21,57&lt;Projects!$C$21+Projects!$D$21),Projects!$B$21*INDEX(Curves!$B$4:$AR$4,1,57-Projects!$C$21+1),0)+IF(AND(Projects!$G$22="Yes",Projects!$M$22="Yes",57&gt;=Projects!$C$22,57&lt;Projects!$C$22+Projects!$D$22),Projects!$B$22*INDEX(Curves!$B$4:$AR$4,1,57-Projects!$C$22+1),0)+IF(AND(Projects!$G$23="Yes",Projects!$M$23="Yes",57&gt;=Projects!$C$23,57&lt;Projects!$C$23+Projects!$D$23),Projects!$B$23*INDEX(Curves!$B$4:$AR$4,1,57-Projects!$C$23+1),0)+IF(AND(Projects!$G$24="Yes",Projects!$M$24="Yes",57&gt;=Projects!$C$24,57&lt;Projects!$C$24+Projects!$D$24),Projects!$B$24*INDEX(Curves!$B$4:$AR$4,1,57-Projects!$C$24+1),0)+IF(AND(Projects!$G$25="Yes",Projects!$M$25="Yes",57&gt;=Projects!$C$25,57&lt;Projects!$C$25+Projects!$D$25),Projects!$B$25*INDEX(Curves!$B$4:$AR$4,1,57-Projects!$C$25+1),0)+IF(AND(Projects!$G$26="Yes",Projects!$M$26="Yes",57&gt;=Projects!$C$26,57&lt;Projects!$C$26+Projects!$D$26),Projects!$B$26*INDEX(Curves!$B$4:$AR$4,1,57-Projects!$C$26+1),0)+IF(AND(Projects!$G$27="Yes",Projects!$M$27="Yes",57&gt;=Projects!$C$27,57&lt;Projects!$C$27+Projects!$D$27),Projects!$B$27*INDEX(Curves!$B$4:$AR$4,1,57-Projects!$C$27+1),0)+IF(AND(Projects!$G$28="Yes",Projects!$M$28="Yes",57&gt;=Projects!$C$28,57&lt;Projects!$C$28+Projects!$D$28),Projects!$B$28*INDEX(Curves!$B$4:$AR$4,1,57-Projects!$C$28+1),0)+IF(AND(Projects!$G$29="Yes",Projects!$M$29="Yes",57&gt;=Projects!$C$29,57&lt;Projects!$C$29+Projects!$D$29),Projects!$B$29*INDEX(Curves!$B$4:$AR$4,1,57-Projects!$C$29+1),0)+IF(AND(Projects!$G$30="Yes",Projects!$M$30="Yes",57&gt;=Projects!$C$30,57&lt;Projects!$C$30+Projects!$D$30),Projects!$B$30*INDEX(Curves!$B$4:$AR$4,1,57-Projects!$C$30+1),0)+IF(AND(Projects!$G$31="Yes",Projects!$M$31="Yes",57&gt;=Projects!$C$31,57&lt;Projects!$C$31+Projects!$D$31),Projects!$B$31*INDEX(Curves!$B$4:$AR$4,1,57-Projects!$C$31+1),0)+IF(AND(Projects!$G$32="Yes",Projects!$M$32="Yes",57&gt;=Projects!$C$32,57&lt;Projects!$C$32+Projects!$D$32),Projects!$B$32*INDEX(Curves!$B$4:$AR$4,1,57-Projects!$C$32+1),0)+IF(AND(Projects!$G$33="Yes",Projects!$M$33="Yes",57&gt;=Projects!$C$33,57&lt;Projects!$C$33+Projects!$D$33),Projects!$B$33*INDEX(Curves!$B$4:$AR$4,1,57-Projects!$C$33+1),0)+IF(AND(Projects!$G$34="Yes",Projects!$M$34="Yes",57&gt;=Projects!$C$34,57&lt;Projects!$C$34+Projects!$D$34),Projects!$B$34*INDEX(Curves!$B$4:$AR$4,1,57-Projects!$C$34+1),0)+IF(AND(Projects!$G$35="Yes",Projects!$M$35="Yes",57&gt;=Projects!$C$35,57&lt;Projects!$C$35+Projects!$D$35),Projects!$B$35*INDEX(Curves!$B$4:$AR$4,1,57-Projects!$C$35+1),0)+IF(AND(Projects!$G$36="Yes",Projects!$M$36="Yes",57&gt;=Projects!$C$36,57&lt;Projects!$C$36+Projects!$D$36),Projects!$B$36*INDEX(Curves!$B$4:$AR$4,1,57-Projects!$C$36+1),0)+IF(AND(Projects!$G$37="Yes",Projects!$M$37="Yes",57&gt;=Projects!$C$37,57&lt;Projects!$C$37+Projects!$D$37),Projects!$B$37*INDEX(Curves!$B$4:$AR$4,1,57-Projects!$C$37+1),0)+IF(AND(Projects!$G$38="Yes",Projects!$M$38="Yes",57&gt;=Projects!$C$38,57&lt;Projects!$C$38+Projects!$D$38),Projects!$B$38*INDEX(Curves!$B$4:$AR$4,1,57-Projects!$C$38+1),0)+IF(AND(Projects!$G$39="Yes",Projects!$M$39="Yes",57&gt;=Projects!$C$39,57&lt;Projects!$C$39+Projects!$D$39),Projects!$B$39*INDEX(Curves!$B$4:$AR$4,1,57-Projects!$C$39+1),0)+IF(AND(Projects!$G$40="Yes",Projects!$M$40="Yes",57&gt;=Projects!$C$40,57&lt;Projects!$C$40+Projects!$D$40),Projects!$B$40*INDEX(Curves!$B$4:$AR$4,1,57-Projects!$C$40+1),0)+IF(AND(Projects!$G$41="Yes",Projects!$M$41="Yes",57&gt;=Projects!$C$41,57&lt;Projects!$C$41+Projects!$D$41),Projects!$B$41*INDEX(Curves!$B$4:$AR$4,1,57-Projects!$C$41+1),0)+IF(AND(Projects!$G$42="Yes",Projects!$M$42="Yes",57&gt;=Projects!$C$42,57&lt;Projects!$C$42+Projects!$D$42),Projects!$B$42*INDEX(Curves!$B$4:$AR$4,1,57-Projects!$C$42+1),0)+IF(AND(Projects!$G$43="Yes",Projects!$M$43="Yes",57&gt;=Projects!$C$43,57&lt;Projects!$C$43+Projects!$D$43),Projects!$B$43*INDEX(Curves!$B$4:$AR$4,1,57-Projects!$C$43+1),0)+IF(AND(Projects!$G$44="Yes",Projects!$M$44="Yes",57&gt;=Projects!$C$44,57&lt;Projects!$C$44+Projects!$D$44),Projects!$B$44*INDEX(Curves!$B$4:$AR$4,1,57-Projects!$C$44+1),0)+IF(AND(Projects!$G$45="Yes",Projects!$M$45="Yes",57&gt;=Projects!$C$45,57&lt;Projects!$C$45+Projects!$D$45),Projects!$B$45*INDEX(Curves!$B$4:$AR$4,1,57-Projects!$C$45+1),0)+IF(AND(Projects!$G$46="Yes",Projects!$M$46="Yes",57&gt;=Projects!$C$46,57&lt;Projects!$C$46+Projects!$D$46),Projects!$B$46*INDEX(Curves!$B$4:$AR$4,1,57-Projects!$C$46+1),0)</f>
        <v>0</v>
      </c>
      <c r="BK101" s="87" t="n">
        <f aca="false">IF(AND(Projects!$G$17="Yes",Projects!$M$17="Yes",58&gt;=Projects!$C$17,58&lt;Projects!$C$17+Projects!$D$17),Projects!$B$17*INDEX(Curves!$B$4:$AR$4,1,58-Projects!$C$17+1),0)+IF(AND(Projects!$G$18="Yes",Projects!$M$18="Yes",58&gt;=Projects!$C$18,58&lt;Projects!$C$18+Projects!$D$18),Projects!$B$18*INDEX(Curves!$B$4:$AR$4,1,58-Projects!$C$18+1),0)+IF(AND(Projects!$G$19="Yes",Projects!$M$19="Yes",58&gt;=Projects!$C$19,58&lt;Projects!$C$19+Projects!$D$19),Projects!$B$19*INDEX(Curves!$B$4:$AR$4,1,58-Projects!$C$19+1),0)+IF(AND(Projects!$G$20="Yes",Projects!$M$20="Yes",58&gt;=Projects!$C$20,58&lt;Projects!$C$20+Projects!$D$20),Projects!$B$20*INDEX(Curves!$B$4:$AR$4,1,58-Projects!$C$20+1),0)+IF(AND(Projects!$G$21="Yes",Projects!$M$21="Yes",58&gt;=Projects!$C$21,58&lt;Projects!$C$21+Projects!$D$21),Projects!$B$21*INDEX(Curves!$B$4:$AR$4,1,58-Projects!$C$21+1),0)+IF(AND(Projects!$G$22="Yes",Projects!$M$22="Yes",58&gt;=Projects!$C$22,58&lt;Projects!$C$22+Projects!$D$22),Projects!$B$22*INDEX(Curves!$B$4:$AR$4,1,58-Projects!$C$22+1),0)+IF(AND(Projects!$G$23="Yes",Projects!$M$23="Yes",58&gt;=Projects!$C$23,58&lt;Projects!$C$23+Projects!$D$23),Projects!$B$23*INDEX(Curves!$B$4:$AR$4,1,58-Projects!$C$23+1),0)+IF(AND(Projects!$G$24="Yes",Projects!$M$24="Yes",58&gt;=Projects!$C$24,58&lt;Projects!$C$24+Projects!$D$24),Projects!$B$24*INDEX(Curves!$B$4:$AR$4,1,58-Projects!$C$24+1),0)+IF(AND(Projects!$G$25="Yes",Projects!$M$25="Yes",58&gt;=Projects!$C$25,58&lt;Projects!$C$25+Projects!$D$25),Projects!$B$25*INDEX(Curves!$B$4:$AR$4,1,58-Projects!$C$25+1),0)+IF(AND(Projects!$G$26="Yes",Projects!$M$26="Yes",58&gt;=Projects!$C$26,58&lt;Projects!$C$26+Projects!$D$26),Projects!$B$26*INDEX(Curves!$B$4:$AR$4,1,58-Projects!$C$26+1),0)+IF(AND(Projects!$G$27="Yes",Projects!$M$27="Yes",58&gt;=Projects!$C$27,58&lt;Projects!$C$27+Projects!$D$27),Projects!$B$27*INDEX(Curves!$B$4:$AR$4,1,58-Projects!$C$27+1),0)+IF(AND(Projects!$G$28="Yes",Projects!$M$28="Yes",58&gt;=Projects!$C$28,58&lt;Projects!$C$28+Projects!$D$28),Projects!$B$28*INDEX(Curves!$B$4:$AR$4,1,58-Projects!$C$28+1),0)+IF(AND(Projects!$G$29="Yes",Projects!$M$29="Yes",58&gt;=Projects!$C$29,58&lt;Projects!$C$29+Projects!$D$29),Projects!$B$29*INDEX(Curves!$B$4:$AR$4,1,58-Projects!$C$29+1),0)+IF(AND(Projects!$G$30="Yes",Projects!$M$30="Yes",58&gt;=Projects!$C$30,58&lt;Projects!$C$30+Projects!$D$30),Projects!$B$30*INDEX(Curves!$B$4:$AR$4,1,58-Projects!$C$30+1),0)+IF(AND(Projects!$G$31="Yes",Projects!$M$31="Yes",58&gt;=Projects!$C$31,58&lt;Projects!$C$31+Projects!$D$31),Projects!$B$31*INDEX(Curves!$B$4:$AR$4,1,58-Projects!$C$31+1),0)+IF(AND(Projects!$G$32="Yes",Projects!$M$32="Yes",58&gt;=Projects!$C$32,58&lt;Projects!$C$32+Projects!$D$32),Projects!$B$32*INDEX(Curves!$B$4:$AR$4,1,58-Projects!$C$32+1),0)+IF(AND(Projects!$G$33="Yes",Projects!$M$33="Yes",58&gt;=Projects!$C$33,58&lt;Projects!$C$33+Projects!$D$33),Projects!$B$33*INDEX(Curves!$B$4:$AR$4,1,58-Projects!$C$33+1),0)+IF(AND(Projects!$G$34="Yes",Projects!$M$34="Yes",58&gt;=Projects!$C$34,58&lt;Projects!$C$34+Projects!$D$34),Projects!$B$34*INDEX(Curves!$B$4:$AR$4,1,58-Projects!$C$34+1),0)+IF(AND(Projects!$G$35="Yes",Projects!$M$35="Yes",58&gt;=Projects!$C$35,58&lt;Projects!$C$35+Projects!$D$35),Projects!$B$35*INDEX(Curves!$B$4:$AR$4,1,58-Projects!$C$35+1),0)+IF(AND(Projects!$G$36="Yes",Projects!$M$36="Yes",58&gt;=Projects!$C$36,58&lt;Projects!$C$36+Projects!$D$36),Projects!$B$36*INDEX(Curves!$B$4:$AR$4,1,58-Projects!$C$36+1),0)+IF(AND(Projects!$G$37="Yes",Projects!$M$37="Yes",58&gt;=Projects!$C$37,58&lt;Projects!$C$37+Projects!$D$37),Projects!$B$37*INDEX(Curves!$B$4:$AR$4,1,58-Projects!$C$37+1),0)+IF(AND(Projects!$G$38="Yes",Projects!$M$38="Yes",58&gt;=Projects!$C$38,58&lt;Projects!$C$38+Projects!$D$38),Projects!$B$38*INDEX(Curves!$B$4:$AR$4,1,58-Projects!$C$38+1),0)+IF(AND(Projects!$G$39="Yes",Projects!$M$39="Yes",58&gt;=Projects!$C$39,58&lt;Projects!$C$39+Projects!$D$39),Projects!$B$39*INDEX(Curves!$B$4:$AR$4,1,58-Projects!$C$39+1),0)+IF(AND(Projects!$G$40="Yes",Projects!$M$40="Yes",58&gt;=Projects!$C$40,58&lt;Projects!$C$40+Projects!$D$40),Projects!$B$40*INDEX(Curves!$B$4:$AR$4,1,58-Projects!$C$40+1),0)+IF(AND(Projects!$G$41="Yes",Projects!$M$41="Yes",58&gt;=Projects!$C$41,58&lt;Projects!$C$41+Projects!$D$41),Projects!$B$41*INDEX(Curves!$B$4:$AR$4,1,58-Projects!$C$41+1),0)+IF(AND(Projects!$G$42="Yes",Projects!$M$42="Yes",58&gt;=Projects!$C$42,58&lt;Projects!$C$42+Projects!$D$42),Projects!$B$42*INDEX(Curves!$B$4:$AR$4,1,58-Projects!$C$42+1),0)+IF(AND(Projects!$G$43="Yes",Projects!$M$43="Yes",58&gt;=Projects!$C$43,58&lt;Projects!$C$43+Projects!$D$43),Projects!$B$43*INDEX(Curves!$B$4:$AR$4,1,58-Projects!$C$43+1),0)+IF(AND(Projects!$G$44="Yes",Projects!$M$44="Yes",58&gt;=Projects!$C$44,58&lt;Projects!$C$44+Projects!$D$44),Projects!$B$44*INDEX(Curves!$B$4:$AR$4,1,58-Projects!$C$44+1),0)+IF(AND(Projects!$G$45="Yes",Projects!$M$45="Yes",58&gt;=Projects!$C$45,58&lt;Projects!$C$45+Projects!$D$45),Projects!$B$45*INDEX(Curves!$B$4:$AR$4,1,58-Projects!$C$45+1),0)+IF(AND(Projects!$G$46="Yes",Projects!$M$46="Yes",58&gt;=Projects!$C$46,58&lt;Projects!$C$46+Projects!$D$46),Projects!$B$46*INDEX(Curves!$B$4:$AR$4,1,58-Projects!$C$46+1),0)</f>
        <v>0</v>
      </c>
      <c r="BL101" s="87" t="n">
        <f aca="false">IF(AND(Projects!$G$17="Yes",Projects!$M$17="Yes",59&gt;=Projects!$C$17,59&lt;Projects!$C$17+Projects!$D$17),Projects!$B$17*INDEX(Curves!$B$4:$AR$4,1,59-Projects!$C$17+1),0)+IF(AND(Projects!$G$18="Yes",Projects!$M$18="Yes",59&gt;=Projects!$C$18,59&lt;Projects!$C$18+Projects!$D$18),Projects!$B$18*INDEX(Curves!$B$4:$AR$4,1,59-Projects!$C$18+1),0)+IF(AND(Projects!$G$19="Yes",Projects!$M$19="Yes",59&gt;=Projects!$C$19,59&lt;Projects!$C$19+Projects!$D$19),Projects!$B$19*INDEX(Curves!$B$4:$AR$4,1,59-Projects!$C$19+1),0)+IF(AND(Projects!$G$20="Yes",Projects!$M$20="Yes",59&gt;=Projects!$C$20,59&lt;Projects!$C$20+Projects!$D$20),Projects!$B$20*INDEX(Curves!$B$4:$AR$4,1,59-Projects!$C$20+1),0)+IF(AND(Projects!$G$21="Yes",Projects!$M$21="Yes",59&gt;=Projects!$C$21,59&lt;Projects!$C$21+Projects!$D$21),Projects!$B$21*INDEX(Curves!$B$4:$AR$4,1,59-Projects!$C$21+1),0)+IF(AND(Projects!$G$22="Yes",Projects!$M$22="Yes",59&gt;=Projects!$C$22,59&lt;Projects!$C$22+Projects!$D$22),Projects!$B$22*INDEX(Curves!$B$4:$AR$4,1,59-Projects!$C$22+1),0)+IF(AND(Projects!$G$23="Yes",Projects!$M$23="Yes",59&gt;=Projects!$C$23,59&lt;Projects!$C$23+Projects!$D$23),Projects!$B$23*INDEX(Curves!$B$4:$AR$4,1,59-Projects!$C$23+1),0)+IF(AND(Projects!$G$24="Yes",Projects!$M$24="Yes",59&gt;=Projects!$C$24,59&lt;Projects!$C$24+Projects!$D$24),Projects!$B$24*INDEX(Curves!$B$4:$AR$4,1,59-Projects!$C$24+1),0)+IF(AND(Projects!$G$25="Yes",Projects!$M$25="Yes",59&gt;=Projects!$C$25,59&lt;Projects!$C$25+Projects!$D$25),Projects!$B$25*INDEX(Curves!$B$4:$AR$4,1,59-Projects!$C$25+1),0)+IF(AND(Projects!$G$26="Yes",Projects!$M$26="Yes",59&gt;=Projects!$C$26,59&lt;Projects!$C$26+Projects!$D$26),Projects!$B$26*INDEX(Curves!$B$4:$AR$4,1,59-Projects!$C$26+1),0)+IF(AND(Projects!$G$27="Yes",Projects!$M$27="Yes",59&gt;=Projects!$C$27,59&lt;Projects!$C$27+Projects!$D$27),Projects!$B$27*INDEX(Curves!$B$4:$AR$4,1,59-Projects!$C$27+1),0)+IF(AND(Projects!$G$28="Yes",Projects!$M$28="Yes",59&gt;=Projects!$C$28,59&lt;Projects!$C$28+Projects!$D$28),Projects!$B$28*INDEX(Curves!$B$4:$AR$4,1,59-Projects!$C$28+1),0)+IF(AND(Projects!$G$29="Yes",Projects!$M$29="Yes",59&gt;=Projects!$C$29,59&lt;Projects!$C$29+Projects!$D$29),Projects!$B$29*INDEX(Curves!$B$4:$AR$4,1,59-Projects!$C$29+1),0)+IF(AND(Projects!$G$30="Yes",Projects!$M$30="Yes",59&gt;=Projects!$C$30,59&lt;Projects!$C$30+Projects!$D$30),Projects!$B$30*INDEX(Curves!$B$4:$AR$4,1,59-Projects!$C$30+1),0)+IF(AND(Projects!$G$31="Yes",Projects!$M$31="Yes",59&gt;=Projects!$C$31,59&lt;Projects!$C$31+Projects!$D$31),Projects!$B$31*INDEX(Curves!$B$4:$AR$4,1,59-Projects!$C$31+1),0)+IF(AND(Projects!$G$32="Yes",Projects!$M$32="Yes",59&gt;=Projects!$C$32,59&lt;Projects!$C$32+Projects!$D$32),Projects!$B$32*INDEX(Curves!$B$4:$AR$4,1,59-Projects!$C$32+1),0)+IF(AND(Projects!$G$33="Yes",Projects!$M$33="Yes",59&gt;=Projects!$C$33,59&lt;Projects!$C$33+Projects!$D$33),Projects!$B$33*INDEX(Curves!$B$4:$AR$4,1,59-Projects!$C$33+1),0)+IF(AND(Projects!$G$34="Yes",Projects!$M$34="Yes",59&gt;=Projects!$C$34,59&lt;Projects!$C$34+Projects!$D$34),Projects!$B$34*INDEX(Curves!$B$4:$AR$4,1,59-Projects!$C$34+1),0)+IF(AND(Projects!$G$35="Yes",Projects!$M$35="Yes",59&gt;=Projects!$C$35,59&lt;Projects!$C$35+Projects!$D$35),Projects!$B$35*INDEX(Curves!$B$4:$AR$4,1,59-Projects!$C$35+1),0)+IF(AND(Projects!$G$36="Yes",Projects!$M$36="Yes",59&gt;=Projects!$C$36,59&lt;Projects!$C$36+Projects!$D$36),Projects!$B$36*INDEX(Curves!$B$4:$AR$4,1,59-Projects!$C$36+1),0)+IF(AND(Projects!$G$37="Yes",Projects!$M$37="Yes",59&gt;=Projects!$C$37,59&lt;Projects!$C$37+Projects!$D$37),Projects!$B$37*INDEX(Curves!$B$4:$AR$4,1,59-Projects!$C$37+1),0)+IF(AND(Projects!$G$38="Yes",Projects!$M$38="Yes",59&gt;=Projects!$C$38,59&lt;Projects!$C$38+Projects!$D$38),Projects!$B$38*INDEX(Curves!$B$4:$AR$4,1,59-Projects!$C$38+1),0)+IF(AND(Projects!$G$39="Yes",Projects!$M$39="Yes",59&gt;=Projects!$C$39,59&lt;Projects!$C$39+Projects!$D$39),Projects!$B$39*INDEX(Curves!$B$4:$AR$4,1,59-Projects!$C$39+1),0)+IF(AND(Projects!$G$40="Yes",Projects!$M$40="Yes",59&gt;=Projects!$C$40,59&lt;Projects!$C$40+Projects!$D$40),Projects!$B$40*INDEX(Curves!$B$4:$AR$4,1,59-Projects!$C$40+1),0)+IF(AND(Projects!$G$41="Yes",Projects!$M$41="Yes",59&gt;=Projects!$C$41,59&lt;Projects!$C$41+Projects!$D$41),Projects!$B$41*INDEX(Curves!$B$4:$AR$4,1,59-Projects!$C$41+1),0)+IF(AND(Projects!$G$42="Yes",Projects!$M$42="Yes",59&gt;=Projects!$C$42,59&lt;Projects!$C$42+Projects!$D$42),Projects!$B$42*INDEX(Curves!$B$4:$AR$4,1,59-Projects!$C$42+1),0)+IF(AND(Projects!$G$43="Yes",Projects!$M$43="Yes",59&gt;=Projects!$C$43,59&lt;Projects!$C$43+Projects!$D$43),Projects!$B$43*INDEX(Curves!$B$4:$AR$4,1,59-Projects!$C$43+1),0)+IF(AND(Projects!$G$44="Yes",Projects!$M$44="Yes",59&gt;=Projects!$C$44,59&lt;Projects!$C$44+Projects!$D$44),Projects!$B$44*INDEX(Curves!$B$4:$AR$4,1,59-Projects!$C$44+1),0)+IF(AND(Projects!$G$45="Yes",Projects!$M$45="Yes",59&gt;=Projects!$C$45,59&lt;Projects!$C$45+Projects!$D$45),Projects!$B$45*INDEX(Curves!$B$4:$AR$4,1,59-Projects!$C$45+1),0)+IF(AND(Projects!$G$46="Yes",Projects!$M$46="Yes",59&gt;=Projects!$C$46,59&lt;Projects!$C$46+Projects!$D$46),Projects!$B$46*INDEX(Curves!$B$4:$AR$4,1,59-Projects!$C$46+1),0)</f>
        <v>0</v>
      </c>
      <c r="BM101" s="87" t="n">
        <f aca="false">IF(AND(Projects!$G$17="Yes",Projects!$M$17="Yes",60&gt;=Projects!$C$17,60&lt;Projects!$C$17+Projects!$D$17),Projects!$B$17*INDEX(Curves!$B$4:$AR$4,1,60-Projects!$C$17+1),0)+IF(AND(Projects!$G$18="Yes",Projects!$M$18="Yes",60&gt;=Projects!$C$18,60&lt;Projects!$C$18+Projects!$D$18),Projects!$B$18*INDEX(Curves!$B$4:$AR$4,1,60-Projects!$C$18+1),0)+IF(AND(Projects!$G$19="Yes",Projects!$M$19="Yes",60&gt;=Projects!$C$19,60&lt;Projects!$C$19+Projects!$D$19),Projects!$B$19*INDEX(Curves!$B$4:$AR$4,1,60-Projects!$C$19+1),0)+IF(AND(Projects!$G$20="Yes",Projects!$M$20="Yes",60&gt;=Projects!$C$20,60&lt;Projects!$C$20+Projects!$D$20),Projects!$B$20*INDEX(Curves!$B$4:$AR$4,1,60-Projects!$C$20+1),0)+IF(AND(Projects!$G$21="Yes",Projects!$M$21="Yes",60&gt;=Projects!$C$21,60&lt;Projects!$C$21+Projects!$D$21),Projects!$B$21*INDEX(Curves!$B$4:$AR$4,1,60-Projects!$C$21+1),0)+IF(AND(Projects!$G$22="Yes",Projects!$M$22="Yes",60&gt;=Projects!$C$22,60&lt;Projects!$C$22+Projects!$D$22),Projects!$B$22*INDEX(Curves!$B$4:$AR$4,1,60-Projects!$C$22+1),0)+IF(AND(Projects!$G$23="Yes",Projects!$M$23="Yes",60&gt;=Projects!$C$23,60&lt;Projects!$C$23+Projects!$D$23),Projects!$B$23*INDEX(Curves!$B$4:$AR$4,1,60-Projects!$C$23+1),0)+IF(AND(Projects!$G$24="Yes",Projects!$M$24="Yes",60&gt;=Projects!$C$24,60&lt;Projects!$C$24+Projects!$D$24),Projects!$B$24*INDEX(Curves!$B$4:$AR$4,1,60-Projects!$C$24+1),0)+IF(AND(Projects!$G$25="Yes",Projects!$M$25="Yes",60&gt;=Projects!$C$25,60&lt;Projects!$C$25+Projects!$D$25),Projects!$B$25*INDEX(Curves!$B$4:$AR$4,1,60-Projects!$C$25+1),0)+IF(AND(Projects!$G$26="Yes",Projects!$M$26="Yes",60&gt;=Projects!$C$26,60&lt;Projects!$C$26+Projects!$D$26),Projects!$B$26*INDEX(Curves!$B$4:$AR$4,1,60-Projects!$C$26+1),0)+IF(AND(Projects!$G$27="Yes",Projects!$M$27="Yes",60&gt;=Projects!$C$27,60&lt;Projects!$C$27+Projects!$D$27),Projects!$B$27*INDEX(Curves!$B$4:$AR$4,1,60-Projects!$C$27+1),0)+IF(AND(Projects!$G$28="Yes",Projects!$M$28="Yes",60&gt;=Projects!$C$28,60&lt;Projects!$C$28+Projects!$D$28),Projects!$B$28*INDEX(Curves!$B$4:$AR$4,1,60-Projects!$C$28+1),0)+IF(AND(Projects!$G$29="Yes",Projects!$M$29="Yes",60&gt;=Projects!$C$29,60&lt;Projects!$C$29+Projects!$D$29),Projects!$B$29*INDEX(Curves!$B$4:$AR$4,1,60-Projects!$C$29+1),0)+IF(AND(Projects!$G$30="Yes",Projects!$M$30="Yes",60&gt;=Projects!$C$30,60&lt;Projects!$C$30+Projects!$D$30),Projects!$B$30*INDEX(Curves!$B$4:$AR$4,1,60-Projects!$C$30+1),0)+IF(AND(Projects!$G$31="Yes",Projects!$M$31="Yes",60&gt;=Projects!$C$31,60&lt;Projects!$C$31+Projects!$D$31),Projects!$B$31*INDEX(Curves!$B$4:$AR$4,1,60-Projects!$C$31+1),0)+IF(AND(Projects!$G$32="Yes",Projects!$M$32="Yes",60&gt;=Projects!$C$32,60&lt;Projects!$C$32+Projects!$D$32),Projects!$B$32*INDEX(Curves!$B$4:$AR$4,1,60-Projects!$C$32+1),0)+IF(AND(Projects!$G$33="Yes",Projects!$M$33="Yes",60&gt;=Projects!$C$33,60&lt;Projects!$C$33+Projects!$D$33),Projects!$B$33*INDEX(Curves!$B$4:$AR$4,1,60-Projects!$C$33+1),0)+IF(AND(Projects!$G$34="Yes",Projects!$M$34="Yes",60&gt;=Projects!$C$34,60&lt;Projects!$C$34+Projects!$D$34),Projects!$B$34*INDEX(Curves!$B$4:$AR$4,1,60-Projects!$C$34+1),0)+IF(AND(Projects!$G$35="Yes",Projects!$M$35="Yes",60&gt;=Projects!$C$35,60&lt;Projects!$C$35+Projects!$D$35),Projects!$B$35*INDEX(Curves!$B$4:$AR$4,1,60-Projects!$C$35+1),0)+IF(AND(Projects!$G$36="Yes",Projects!$M$36="Yes",60&gt;=Projects!$C$36,60&lt;Projects!$C$36+Projects!$D$36),Projects!$B$36*INDEX(Curves!$B$4:$AR$4,1,60-Projects!$C$36+1),0)+IF(AND(Projects!$G$37="Yes",Projects!$M$37="Yes",60&gt;=Projects!$C$37,60&lt;Projects!$C$37+Projects!$D$37),Projects!$B$37*INDEX(Curves!$B$4:$AR$4,1,60-Projects!$C$37+1),0)+IF(AND(Projects!$G$38="Yes",Projects!$M$38="Yes",60&gt;=Projects!$C$38,60&lt;Projects!$C$38+Projects!$D$38),Projects!$B$38*INDEX(Curves!$B$4:$AR$4,1,60-Projects!$C$38+1),0)+IF(AND(Projects!$G$39="Yes",Projects!$M$39="Yes",60&gt;=Projects!$C$39,60&lt;Projects!$C$39+Projects!$D$39),Projects!$B$39*INDEX(Curves!$B$4:$AR$4,1,60-Projects!$C$39+1),0)+IF(AND(Projects!$G$40="Yes",Projects!$M$40="Yes",60&gt;=Projects!$C$40,60&lt;Projects!$C$40+Projects!$D$40),Projects!$B$40*INDEX(Curves!$B$4:$AR$4,1,60-Projects!$C$40+1),0)+IF(AND(Projects!$G$41="Yes",Projects!$M$41="Yes",60&gt;=Projects!$C$41,60&lt;Projects!$C$41+Projects!$D$41),Projects!$B$41*INDEX(Curves!$B$4:$AR$4,1,60-Projects!$C$41+1),0)+IF(AND(Projects!$G$42="Yes",Projects!$M$42="Yes",60&gt;=Projects!$C$42,60&lt;Projects!$C$42+Projects!$D$42),Projects!$B$42*INDEX(Curves!$B$4:$AR$4,1,60-Projects!$C$42+1),0)+IF(AND(Projects!$G$43="Yes",Projects!$M$43="Yes",60&gt;=Projects!$C$43,60&lt;Projects!$C$43+Projects!$D$43),Projects!$B$43*INDEX(Curves!$B$4:$AR$4,1,60-Projects!$C$43+1),0)+IF(AND(Projects!$G$44="Yes",Projects!$M$44="Yes",60&gt;=Projects!$C$44,60&lt;Projects!$C$44+Projects!$D$44),Projects!$B$44*INDEX(Curves!$B$4:$AR$4,1,60-Projects!$C$44+1),0)+IF(AND(Projects!$G$45="Yes",Projects!$M$45="Yes",60&gt;=Projects!$C$45,60&lt;Projects!$C$45+Projects!$D$45),Projects!$B$45*INDEX(Curves!$B$4:$AR$4,1,60-Projects!$C$45+1),0)+IF(AND(Projects!$G$46="Yes",Projects!$M$46="Yes",60&gt;=Projects!$C$46,60&lt;Projects!$C$46+Projects!$D$46),Projects!$B$46*INDEX(Curves!$B$4:$AR$4,1,60-Projects!$C$46+1),0)</f>
        <v>0</v>
      </c>
      <c r="BN101" s="87" t="n">
        <f aca="false">IF(AND(Projects!$G$17="Yes",Projects!$M$17="Yes",61&gt;=Projects!$C$17,61&lt;Projects!$C$17+Projects!$D$17),Projects!$B$17*INDEX(Curves!$B$4:$AR$4,1,61-Projects!$C$17+1),0)+IF(AND(Projects!$G$18="Yes",Projects!$M$18="Yes",61&gt;=Projects!$C$18,61&lt;Projects!$C$18+Projects!$D$18),Projects!$B$18*INDEX(Curves!$B$4:$AR$4,1,61-Projects!$C$18+1),0)+IF(AND(Projects!$G$19="Yes",Projects!$M$19="Yes",61&gt;=Projects!$C$19,61&lt;Projects!$C$19+Projects!$D$19),Projects!$B$19*INDEX(Curves!$B$4:$AR$4,1,61-Projects!$C$19+1),0)+IF(AND(Projects!$G$20="Yes",Projects!$M$20="Yes",61&gt;=Projects!$C$20,61&lt;Projects!$C$20+Projects!$D$20),Projects!$B$20*INDEX(Curves!$B$4:$AR$4,1,61-Projects!$C$20+1),0)+IF(AND(Projects!$G$21="Yes",Projects!$M$21="Yes",61&gt;=Projects!$C$21,61&lt;Projects!$C$21+Projects!$D$21),Projects!$B$21*INDEX(Curves!$B$4:$AR$4,1,61-Projects!$C$21+1),0)+IF(AND(Projects!$G$22="Yes",Projects!$M$22="Yes",61&gt;=Projects!$C$22,61&lt;Projects!$C$22+Projects!$D$22),Projects!$B$22*INDEX(Curves!$B$4:$AR$4,1,61-Projects!$C$22+1),0)+IF(AND(Projects!$G$23="Yes",Projects!$M$23="Yes",61&gt;=Projects!$C$23,61&lt;Projects!$C$23+Projects!$D$23),Projects!$B$23*INDEX(Curves!$B$4:$AR$4,1,61-Projects!$C$23+1),0)+IF(AND(Projects!$G$24="Yes",Projects!$M$24="Yes",61&gt;=Projects!$C$24,61&lt;Projects!$C$24+Projects!$D$24),Projects!$B$24*INDEX(Curves!$B$4:$AR$4,1,61-Projects!$C$24+1),0)+IF(AND(Projects!$G$25="Yes",Projects!$M$25="Yes",61&gt;=Projects!$C$25,61&lt;Projects!$C$25+Projects!$D$25),Projects!$B$25*INDEX(Curves!$B$4:$AR$4,1,61-Projects!$C$25+1),0)+IF(AND(Projects!$G$26="Yes",Projects!$M$26="Yes",61&gt;=Projects!$C$26,61&lt;Projects!$C$26+Projects!$D$26),Projects!$B$26*INDEX(Curves!$B$4:$AR$4,1,61-Projects!$C$26+1),0)+IF(AND(Projects!$G$27="Yes",Projects!$M$27="Yes",61&gt;=Projects!$C$27,61&lt;Projects!$C$27+Projects!$D$27),Projects!$B$27*INDEX(Curves!$B$4:$AR$4,1,61-Projects!$C$27+1),0)+IF(AND(Projects!$G$28="Yes",Projects!$M$28="Yes",61&gt;=Projects!$C$28,61&lt;Projects!$C$28+Projects!$D$28),Projects!$B$28*INDEX(Curves!$B$4:$AR$4,1,61-Projects!$C$28+1),0)+IF(AND(Projects!$G$29="Yes",Projects!$M$29="Yes",61&gt;=Projects!$C$29,61&lt;Projects!$C$29+Projects!$D$29),Projects!$B$29*INDEX(Curves!$B$4:$AR$4,1,61-Projects!$C$29+1),0)+IF(AND(Projects!$G$30="Yes",Projects!$M$30="Yes",61&gt;=Projects!$C$30,61&lt;Projects!$C$30+Projects!$D$30),Projects!$B$30*INDEX(Curves!$B$4:$AR$4,1,61-Projects!$C$30+1),0)+IF(AND(Projects!$G$31="Yes",Projects!$M$31="Yes",61&gt;=Projects!$C$31,61&lt;Projects!$C$31+Projects!$D$31),Projects!$B$31*INDEX(Curves!$B$4:$AR$4,1,61-Projects!$C$31+1),0)+IF(AND(Projects!$G$32="Yes",Projects!$M$32="Yes",61&gt;=Projects!$C$32,61&lt;Projects!$C$32+Projects!$D$32),Projects!$B$32*INDEX(Curves!$B$4:$AR$4,1,61-Projects!$C$32+1),0)+IF(AND(Projects!$G$33="Yes",Projects!$M$33="Yes",61&gt;=Projects!$C$33,61&lt;Projects!$C$33+Projects!$D$33),Projects!$B$33*INDEX(Curves!$B$4:$AR$4,1,61-Projects!$C$33+1),0)+IF(AND(Projects!$G$34="Yes",Projects!$M$34="Yes",61&gt;=Projects!$C$34,61&lt;Projects!$C$34+Projects!$D$34),Projects!$B$34*INDEX(Curves!$B$4:$AR$4,1,61-Projects!$C$34+1),0)+IF(AND(Projects!$G$35="Yes",Projects!$M$35="Yes",61&gt;=Projects!$C$35,61&lt;Projects!$C$35+Projects!$D$35),Projects!$B$35*INDEX(Curves!$B$4:$AR$4,1,61-Projects!$C$35+1),0)+IF(AND(Projects!$G$36="Yes",Projects!$M$36="Yes",61&gt;=Projects!$C$36,61&lt;Projects!$C$36+Projects!$D$36),Projects!$B$36*INDEX(Curves!$B$4:$AR$4,1,61-Projects!$C$36+1),0)+IF(AND(Projects!$G$37="Yes",Projects!$M$37="Yes",61&gt;=Projects!$C$37,61&lt;Projects!$C$37+Projects!$D$37),Projects!$B$37*INDEX(Curves!$B$4:$AR$4,1,61-Projects!$C$37+1),0)+IF(AND(Projects!$G$38="Yes",Projects!$M$38="Yes",61&gt;=Projects!$C$38,61&lt;Projects!$C$38+Projects!$D$38),Projects!$B$38*INDEX(Curves!$B$4:$AR$4,1,61-Projects!$C$38+1),0)+IF(AND(Projects!$G$39="Yes",Projects!$M$39="Yes",61&gt;=Projects!$C$39,61&lt;Projects!$C$39+Projects!$D$39),Projects!$B$39*INDEX(Curves!$B$4:$AR$4,1,61-Projects!$C$39+1),0)+IF(AND(Projects!$G$40="Yes",Projects!$M$40="Yes",61&gt;=Projects!$C$40,61&lt;Projects!$C$40+Projects!$D$40),Projects!$B$40*INDEX(Curves!$B$4:$AR$4,1,61-Projects!$C$40+1),0)+IF(AND(Projects!$G$41="Yes",Projects!$M$41="Yes",61&gt;=Projects!$C$41,61&lt;Projects!$C$41+Projects!$D$41),Projects!$B$41*INDEX(Curves!$B$4:$AR$4,1,61-Projects!$C$41+1),0)+IF(AND(Projects!$G$42="Yes",Projects!$M$42="Yes",61&gt;=Projects!$C$42,61&lt;Projects!$C$42+Projects!$D$42),Projects!$B$42*INDEX(Curves!$B$4:$AR$4,1,61-Projects!$C$42+1),0)+IF(AND(Projects!$G$43="Yes",Projects!$M$43="Yes",61&gt;=Projects!$C$43,61&lt;Projects!$C$43+Projects!$D$43),Projects!$B$43*INDEX(Curves!$B$4:$AR$4,1,61-Projects!$C$43+1),0)+IF(AND(Projects!$G$44="Yes",Projects!$M$44="Yes",61&gt;=Projects!$C$44,61&lt;Projects!$C$44+Projects!$D$44),Projects!$B$44*INDEX(Curves!$B$4:$AR$4,1,61-Projects!$C$44+1),0)+IF(AND(Projects!$G$45="Yes",Projects!$M$45="Yes",61&gt;=Projects!$C$45,61&lt;Projects!$C$45+Projects!$D$45),Projects!$B$45*INDEX(Curves!$B$4:$AR$4,1,61-Projects!$C$45+1),0)+IF(AND(Projects!$G$46="Yes",Projects!$M$46="Yes",61&gt;=Projects!$C$46,61&lt;Projects!$C$46+Projects!$D$46),Projects!$B$46*INDEX(Curves!$B$4:$AR$4,1,61-Projects!$C$46+1),0)</f>
        <v>0</v>
      </c>
      <c r="BO101" s="87" t="n">
        <f aca="false">IF(AND(Projects!$G$17="Yes",Projects!$M$17="Yes",62&gt;=Projects!$C$17,62&lt;Projects!$C$17+Projects!$D$17),Projects!$B$17*INDEX(Curves!$B$4:$AR$4,1,62-Projects!$C$17+1),0)+IF(AND(Projects!$G$18="Yes",Projects!$M$18="Yes",62&gt;=Projects!$C$18,62&lt;Projects!$C$18+Projects!$D$18),Projects!$B$18*INDEX(Curves!$B$4:$AR$4,1,62-Projects!$C$18+1),0)+IF(AND(Projects!$G$19="Yes",Projects!$M$19="Yes",62&gt;=Projects!$C$19,62&lt;Projects!$C$19+Projects!$D$19),Projects!$B$19*INDEX(Curves!$B$4:$AR$4,1,62-Projects!$C$19+1),0)+IF(AND(Projects!$G$20="Yes",Projects!$M$20="Yes",62&gt;=Projects!$C$20,62&lt;Projects!$C$20+Projects!$D$20),Projects!$B$20*INDEX(Curves!$B$4:$AR$4,1,62-Projects!$C$20+1),0)+IF(AND(Projects!$G$21="Yes",Projects!$M$21="Yes",62&gt;=Projects!$C$21,62&lt;Projects!$C$21+Projects!$D$21),Projects!$B$21*INDEX(Curves!$B$4:$AR$4,1,62-Projects!$C$21+1),0)+IF(AND(Projects!$G$22="Yes",Projects!$M$22="Yes",62&gt;=Projects!$C$22,62&lt;Projects!$C$22+Projects!$D$22),Projects!$B$22*INDEX(Curves!$B$4:$AR$4,1,62-Projects!$C$22+1),0)+IF(AND(Projects!$G$23="Yes",Projects!$M$23="Yes",62&gt;=Projects!$C$23,62&lt;Projects!$C$23+Projects!$D$23),Projects!$B$23*INDEX(Curves!$B$4:$AR$4,1,62-Projects!$C$23+1),0)+IF(AND(Projects!$G$24="Yes",Projects!$M$24="Yes",62&gt;=Projects!$C$24,62&lt;Projects!$C$24+Projects!$D$24),Projects!$B$24*INDEX(Curves!$B$4:$AR$4,1,62-Projects!$C$24+1),0)+IF(AND(Projects!$G$25="Yes",Projects!$M$25="Yes",62&gt;=Projects!$C$25,62&lt;Projects!$C$25+Projects!$D$25),Projects!$B$25*INDEX(Curves!$B$4:$AR$4,1,62-Projects!$C$25+1),0)+IF(AND(Projects!$G$26="Yes",Projects!$M$26="Yes",62&gt;=Projects!$C$26,62&lt;Projects!$C$26+Projects!$D$26),Projects!$B$26*INDEX(Curves!$B$4:$AR$4,1,62-Projects!$C$26+1),0)+IF(AND(Projects!$G$27="Yes",Projects!$M$27="Yes",62&gt;=Projects!$C$27,62&lt;Projects!$C$27+Projects!$D$27),Projects!$B$27*INDEX(Curves!$B$4:$AR$4,1,62-Projects!$C$27+1),0)+IF(AND(Projects!$G$28="Yes",Projects!$M$28="Yes",62&gt;=Projects!$C$28,62&lt;Projects!$C$28+Projects!$D$28),Projects!$B$28*INDEX(Curves!$B$4:$AR$4,1,62-Projects!$C$28+1),0)+IF(AND(Projects!$G$29="Yes",Projects!$M$29="Yes",62&gt;=Projects!$C$29,62&lt;Projects!$C$29+Projects!$D$29),Projects!$B$29*INDEX(Curves!$B$4:$AR$4,1,62-Projects!$C$29+1),0)+IF(AND(Projects!$G$30="Yes",Projects!$M$30="Yes",62&gt;=Projects!$C$30,62&lt;Projects!$C$30+Projects!$D$30),Projects!$B$30*INDEX(Curves!$B$4:$AR$4,1,62-Projects!$C$30+1),0)+IF(AND(Projects!$G$31="Yes",Projects!$M$31="Yes",62&gt;=Projects!$C$31,62&lt;Projects!$C$31+Projects!$D$31),Projects!$B$31*INDEX(Curves!$B$4:$AR$4,1,62-Projects!$C$31+1),0)+IF(AND(Projects!$G$32="Yes",Projects!$M$32="Yes",62&gt;=Projects!$C$32,62&lt;Projects!$C$32+Projects!$D$32),Projects!$B$32*INDEX(Curves!$B$4:$AR$4,1,62-Projects!$C$32+1),0)+IF(AND(Projects!$G$33="Yes",Projects!$M$33="Yes",62&gt;=Projects!$C$33,62&lt;Projects!$C$33+Projects!$D$33),Projects!$B$33*INDEX(Curves!$B$4:$AR$4,1,62-Projects!$C$33+1),0)+IF(AND(Projects!$G$34="Yes",Projects!$M$34="Yes",62&gt;=Projects!$C$34,62&lt;Projects!$C$34+Projects!$D$34),Projects!$B$34*INDEX(Curves!$B$4:$AR$4,1,62-Projects!$C$34+1),0)+IF(AND(Projects!$G$35="Yes",Projects!$M$35="Yes",62&gt;=Projects!$C$35,62&lt;Projects!$C$35+Projects!$D$35),Projects!$B$35*INDEX(Curves!$B$4:$AR$4,1,62-Projects!$C$35+1),0)+IF(AND(Projects!$G$36="Yes",Projects!$M$36="Yes",62&gt;=Projects!$C$36,62&lt;Projects!$C$36+Projects!$D$36),Projects!$B$36*INDEX(Curves!$B$4:$AR$4,1,62-Projects!$C$36+1),0)+IF(AND(Projects!$G$37="Yes",Projects!$M$37="Yes",62&gt;=Projects!$C$37,62&lt;Projects!$C$37+Projects!$D$37),Projects!$B$37*INDEX(Curves!$B$4:$AR$4,1,62-Projects!$C$37+1),0)+IF(AND(Projects!$G$38="Yes",Projects!$M$38="Yes",62&gt;=Projects!$C$38,62&lt;Projects!$C$38+Projects!$D$38),Projects!$B$38*INDEX(Curves!$B$4:$AR$4,1,62-Projects!$C$38+1),0)+IF(AND(Projects!$G$39="Yes",Projects!$M$39="Yes",62&gt;=Projects!$C$39,62&lt;Projects!$C$39+Projects!$D$39),Projects!$B$39*INDEX(Curves!$B$4:$AR$4,1,62-Projects!$C$39+1),0)+IF(AND(Projects!$G$40="Yes",Projects!$M$40="Yes",62&gt;=Projects!$C$40,62&lt;Projects!$C$40+Projects!$D$40),Projects!$B$40*INDEX(Curves!$B$4:$AR$4,1,62-Projects!$C$40+1),0)+IF(AND(Projects!$G$41="Yes",Projects!$M$41="Yes",62&gt;=Projects!$C$41,62&lt;Projects!$C$41+Projects!$D$41),Projects!$B$41*INDEX(Curves!$B$4:$AR$4,1,62-Projects!$C$41+1),0)+IF(AND(Projects!$G$42="Yes",Projects!$M$42="Yes",62&gt;=Projects!$C$42,62&lt;Projects!$C$42+Projects!$D$42),Projects!$B$42*INDEX(Curves!$B$4:$AR$4,1,62-Projects!$C$42+1),0)+IF(AND(Projects!$G$43="Yes",Projects!$M$43="Yes",62&gt;=Projects!$C$43,62&lt;Projects!$C$43+Projects!$D$43),Projects!$B$43*INDEX(Curves!$B$4:$AR$4,1,62-Projects!$C$43+1),0)+IF(AND(Projects!$G$44="Yes",Projects!$M$44="Yes",62&gt;=Projects!$C$44,62&lt;Projects!$C$44+Projects!$D$44),Projects!$B$44*INDEX(Curves!$B$4:$AR$4,1,62-Projects!$C$44+1),0)+IF(AND(Projects!$G$45="Yes",Projects!$M$45="Yes",62&gt;=Projects!$C$45,62&lt;Projects!$C$45+Projects!$D$45),Projects!$B$45*INDEX(Curves!$B$4:$AR$4,1,62-Projects!$C$45+1),0)+IF(AND(Projects!$G$46="Yes",Projects!$M$46="Yes",62&gt;=Projects!$C$46,62&lt;Projects!$C$46+Projects!$D$46),Projects!$B$46*INDEX(Curves!$B$4:$AR$4,1,62-Projects!$C$46+1),0)</f>
        <v>0</v>
      </c>
      <c r="BP101" s="87" t="n">
        <f aca="false">IF(AND(Projects!$G$17="Yes",Projects!$M$17="Yes",63&gt;=Projects!$C$17,63&lt;Projects!$C$17+Projects!$D$17),Projects!$B$17*INDEX(Curves!$B$4:$AR$4,1,63-Projects!$C$17+1),0)+IF(AND(Projects!$G$18="Yes",Projects!$M$18="Yes",63&gt;=Projects!$C$18,63&lt;Projects!$C$18+Projects!$D$18),Projects!$B$18*INDEX(Curves!$B$4:$AR$4,1,63-Projects!$C$18+1),0)+IF(AND(Projects!$G$19="Yes",Projects!$M$19="Yes",63&gt;=Projects!$C$19,63&lt;Projects!$C$19+Projects!$D$19),Projects!$B$19*INDEX(Curves!$B$4:$AR$4,1,63-Projects!$C$19+1),0)+IF(AND(Projects!$G$20="Yes",Projects!$M$20="Yes",63&gt;=Projects!$C$20,63&lt;Projects!$C$20+Projects!$D$20),Projects!$B$20*INDEX(Curves!$B$4:$AR$4,1,63-Projects!$C$20+1),0)+IF(AND(Projects!$G$21="Yes",Projects!$M$21="Yes",63&gt;=Projects!$C$21,63&lt;Projects!$C$21+Projects!$D$21),Projects!$B$21*INDEX(Curves!$B$4:$AR$4,1,63-Projects!$C$21+1),0)+IF(AND(Projects!$G$22="Yes",Projects!$M$22="Yes",63&gt;=Projects!$C$22,63&lt;Projects!$C$22+Projects!$D$22),Projects!$B$22*INDEX(Curves!$B$4:$AR$4,1,63-Projects!$C$22+1),0)+IF(AND(Projects!$G$23="Yes",Projects!$M$23="Yes",63&gt;=Projects!$C$23,63&lt;Projects!$C$23+Projects!$D$23),Projects!$B$23*INDEX(Curves!$B$4:$AR$4,1,63-Projects!$C$23+1),0)+IF(AND(Projects!$G$24="Yes",Projects!$M$24="Yes",63&gt;=Projects!$C$24,63&lt;Projects!$C$24+Projects!$D$24),Projects!$B$24*INDEX(Curves!$B$4:$AR$4,1,63-Projects!$C$24+1),0)+IF(AND(Projects!$G$25="Yes",Projects!$M$25="Yes",63&gt;=Projects!$C$25,63&lt;Projects!$C$25+Projects!$D$25),Projects!$B$25*INDEX(Curves!$B$4:$AR$4,1,63-Projects!$C$25+1),0)+IF(AND(Projects!$G$26="Yes",Projects!$M$26="Yes",63&gt;=Projects!$C$26,63&lt;Projects!$C$26+Projects!$D$26),Projects!$B$26*INDEX(Curves!$B$4:$AR$4,1,63-Projects!$C$26+1),0)+IF(AND(Projects!$G$27="Yes",Projects!$M$27="Yes",63&gt;=Projects!$C$27,63&lt;Projects!$C$27+Projects!$D$27),Projects!$B$27*INDEX(Curves!$B$4:$AR$4,1,63-Projects!$C$27+1),0)+IF(AND(Projects!$G$28="Yes",Projects!$M$28="Yes",63&gt;=Projects!$C$28,63&lt;Projects!$C$28+Projects!$D$28),Projects!$B$28*INDEX(Curves!$B$4:$AR$4,1,63-Projects!$C$28+1),0)+IF(AND(Projects!$G$29="Yes",Projects!$M$29="Yes",63&gt;=Projects!$C$29,63&lt;Projects!$C$29+Projects!$D$29),Projects!$B$29*INDEX(Curves!$B$4:$AR$4,1,63-Projects!$C$29+1),0)+IF(AND(Projects!$G$30="Yes",Projects!$M$30="Yes",63&gt;=Projects!$C$30,63&lt;Projects!$C$30+Projects!$D$30),Projects!$B$30*INDEX(Curves!$B$4:$AR$4,1,63-Projects!$C$30+1),0)+IF(AND(Projects!$G$31="Yes",Projects!$M$31="Yes",63&gt;=Projects!$C$31,63&lt;Projects!$C$31+Projects!$D$31),Projects!$B$31*INDEX(Curves!$B$4:$AR$4,1,63-Projects!$C$31+1),0)+IF(AND(Projects!$G$32="Yes",Projects!$M$32="Yes",63&gt;=Projects!$C$32,63&lt;Projects!$C$32+Projects!$D$32),Projects!$B$32*INDEX(Curves!$B$4:$AR$4,1,63-Projects!$C$32+1),0)+IF(AND(Projects!$G$33="Yes",Projects!$M$33="Yes",63&gt;=Projects!$C$33,63&lt;Projects!$C$33+Projects!$D$33),Projects!$B$33*INDEX(Curves!$B$4:$AR$4,1,63-Projects!$C$33+1),0)+IF(AND(Projects!$G$34="Yes",Projects!$M$34="Yes",63&gt;=Projects!$C$34,63&lt;Projects!$C$34+Projects!$D$34),Projects!$B$34*INDEX(Curves!$B$4:$AR$4,1,63-Projects!$C$34+1),0)+IF(AND(Projects!$G$35="Yes",Projects!$M$35="Yes",63&gt;=Projects!$C$35,63&lt;Projects!$C$35+Projects!$D$35),Projects!$B$35*INDEX(Curves!$B$4:$AR$4,1,63-Projects!$C$35+1),0)+IF(AND(Projects!$G$36="Yes",Projects!$M$36="Yes",63&gt;=Projects!$C$36,63&lt;Projects!$C$36+Projects!$D$36),Projects!$B$36*INDEX(Curves!$B$4:$AR$4,1,63-Projects!$C$36+1),0)+IF(AND(Projects!$G$37="Yes",Projects!$M$37="Yes",63&gt;=Projects!$C$37,63&lt;Projects!$C$37+Projects!$D$37),Projects!$B$37*INDEX(Curves!$B$4:$AR$4,1,63-Projects!$C$37+1),0)+IF(AND(Projects!$G$38="Yes",Projects!$M$38="Yes",63&gt;=Projects!$C$38,63&lt;Projects!$C$38+Projects!$D$38),Projects!$B$38*INDEX(Curves!$B$4:$AR$4,1,63-Projects!$C$38+1),0)+IF(AND(Projects!$G$39="Yes",Projects!$M$39="Yes",63&gt;=Projects!$C$39,63&lt;Projects!$C$39+Projects!$D$39),Projects!$B$39*INDEX(Curves!$B$4:$AR$4,1,63-Projects!$C$39+1),0)+IF(AND(Projects!$G$40="Yes",Projects!$M$40="Yes",63&gt;=Projects!$C$40,63&lt;Projects!$C$40+Projects!$D$40),Projects!$B$40*INDEX(Curves!$B$4:$AR$4,1,63-Projects!$C$40+1),0)+IF(AND(Projects!$G$41="Yes",Projects!$M$41="Yes",63&gt;=Projects!$C$41,63&lt;Projects!$C$41+Projects!$D$41),Projects!$B$41*INDEX(Curves!$B$4:$AR$4,1,63-Projects!$C$41+1),0)+IF(AND(Projects!$G$42="Yes",Projects!$M$42="Yes",63&gt;=Projects!$C$42,63&lt;Projects!$C$42+Projects!$D$42),Projects!$B$42*INDEX(Curves!$B$4:$AR$4,1,63-Projects!$C$42+1),0)+IF(AND(Projects!$G$43="Yes",Projects!$M$43="Yes",63&gt;=Projects!$C$43,63&lt;Projects!$C$43+Projects!$D$43),Projects!$B$43*INDEX(Curves!$B$4:$AR$4,1,63-Projects!$C$43+1),0)+IF(AND(Projects!$G$44="Yes",Projects!$M$44="Yes",63&gt;=Projects!$C$44,63&lt;Projects!$C$44+Projects!$D$44),Projects!$B$44*INDEX(Curves!$B$4:$AR$4,1,63-Projects!$C$44+1),0)+IF(AND(Projects!$G$45="Yes",Projects!$M$45="Yes",63&gt;=Projects!$C$45,63&lt;Projects!$C$45+Projects!$D$45),Projects!$B$45*INDEX(Curves!$B$4:$AR$4,1,63-Projects!$C$45+1),0)+IF(AND(Projects!$G$46="Yes",Projects!$M$46="Yes",63&gt;=Projects!$C$46,63&lt;Projects!$C$46+Projects!$D$46),Projects!$B$46*INDEX(Curves!$B$4:$AR$4,1,63-Projects!$C$46+1),0)</f>
        <v>0</v>
      </c>
      <c r="BQ101" s="87" t="n">
        <f aca="false">IF(AND(Projects!$G$17="Yes",Projects!$M$17="Yes",64&gt;=Projects!$C$17,64&lt;Projects!$C$17+Projects!$D$17),Projects!$B$17*INDEX(Curves!$B$4:$AR$4,1,64-Projects!$C$17+1),0)+IF(AND(Projects!$G$18="Yes",Projects!$M$18="Yes",64&gt;=Projects!$C$18,64&lt;Projects!$C$18+Projects!$D$18),Projects!$B$18*INDEX(Curves!$B$4:$AR$4,1,64-Projects!$C$18+1),0)+IF(AND(Projects!$G$19="Yes",Projects!$M$19="Yes",64&gt;=Projects!$C$19,64&lt;Projects!$C$19+Projects!$D$19),Projects!$B$19*INDEX(Curves!$B$4:$AR$4,1,64-Projects!$C$19+1),0)+IF(AND(Projects!$G$20="Yes",Projects!$M$20="Yes",64&gt;=Projects!$C$20,64&lt;Projects!$C$20+Projects!$D$20),Projects!$B$20*INDEX(Curves!$B$4:$AR$4,1,64-Projects!$C$20+1),0)+IF(AND(Projects!$G$21="Yes",Projects!$M$21="Yes",64&gt;=Projects!$C$21,64&lt;Projects!$C$21+Projects!$D$21),Projects!$B$21*INDEX(Curves!$B$4:$AR$4,1,64-Projects!$C$21+1),0)+IF(AND(Projects!$G$22="Yes",Projects!$M$22="Yes",64&gt;=Projects!$C$22,64&lt;Projects!$C$22+Projects!$D$22),Projects!$B$22*INDEX(Curves!$B$4:$AR$4,1,64-Projects!$C$22+1),0)+IF(AND(Projects!$G$23="Yes",Projects!$M$23="Yes",64&gt;=Projects!$C$23,64&lt;Projects!$C$23+Projects!$D$23),Projects!$B$23*INDEX(Curves!$B$4:$AR$4,1,64-Projects!$C$23+1),0)+IF(AND(Projects!$G$24="Yes",Projects!$M$24="Yes",64&gt;=Projects!$C$24,64&lt;Projects!$C$24+Projects!$D$24),Projects!$B$24*INDEX(Curves!$B$4:$AR$4,1,64-Projects!$C$24+1),0)+IF(AND(Projects!$G$25="Yes",Projects!$M$25="Yes",64&gt;=Projects!$C$25,64&lt;Projects!$C$25+Projects!$D$25),Projects!$B$25*INDEX(Curves!$B$4:$AR$4,1,64-Projects!$C$25+1),0)+IF(AND(Projects!$G$26="Yes",Projects!$M$26="Yes",64&gt;=Projects!$C$26,64&lt;Projects!$C$26+Projects!$D$26),Projects!$B$26*INDEX(Curves!$B$4:$AR$4,1,64-Projects!$C$26+1),0)+IF(AND(Projects!$G$27="Yes",Projects!$M$27="Yes",64&gt;=Projects!$C$27,64&lt;Projects!$C$27+Projects!$D$27),Projects!$B$27*INDEX(Curves!$B$4:$AR$4,1,64-Projects!$C$27+1),0)+IF(AND(Projects!$G$28="Yes",Projects!$M$28="Yes",64&gt;=Projects!$C$28,64&lt;Projects!$C$28+Projects!$D$28),Projects!$B$28*INDEX(Curves!$B$4:$AR$4,1,64-Projects!$C$28+1),0)+IF(AND(Projects!$G$29="Yes",Projects!$M$29="Yes",64&gt;=Projects!$C$29,64&lt;Projects!$C$29+Projects!$D$29),Projects!$B$29*INDEX(Curves!$B$4:$AR$4,1,64-Projects!$C$29+1),0)+IF(AND(Projects!$G$30="Yes",Projects!$M$30="Yes",64&gt;=Projects!$C$30,64&lt;Projects!$C$30+Projects!$D$30),Projects!$B$30*INDEX(Curves!$B$4:$AR$4,1,64-Projects!$C$30+1),0)+IF(AND(Projects!$G$31="Yes",Projects!$M$31="Yes",64&gt;=Projects!$C$31,64&lt;Projects!$C$31+Projects!$D$31),Projects!$B$31*INDEX(Curves!$B$4:$AR$4,1,64-Projects!$C$31+1),0)+IF(AND(Projects!$G$32="Yes",Projects!$M$32="Yes",64&gt;=Projects!$C$32,64&lt;Projects!$C$32+Projects!$D$32),Projects!$B$32*INDEX(Curves!$B$4:$AR$4,1,64-Projects!$C$32+1),0)+IF(AND(Projects!$G$33="Yes",Projects!$M$33="Yes",64&gt;=Projects!$C$33,64&lt;Projects!$C$33+Projects!$D$33),Projects!$B$33*INDEX(Curves!$B$4:$AR$4,1,64-Projects!$C$33+1),0)+IF(AND(Projects!$G$34="Yes",Projects!$M$34="Yes",64&gt;=Projects!$C$34,64&lt;Projects!$C$34+Projects!$D$34),Projects!$B$34*INDEX(Curves!$B$4:$AR$4,1,64-Projects!$C$34+1),0)+IF(AND(Projects!$G$35="Yes",Projects!$M$35="Yes",64&gt;=Projects!$C$35,64&lt;Projects!$C$35+Projects!$D$35),Projects!$B$35*INDEX(Curves!$B$4:$AR$4,1,64-Projects!$C$35+1),0)+IF(AND(Projects!$G$36="Yes",Projects!$M$36="Yes",64&gt;=Projects!$C$36,64&lt;Projects!$C$36+Projects!$D$36),Projects!$B$36*INDEX(Curves!$B$4:$AR$4,1,64-Projects!$C$36+1),0)+IF(AND(Projects!$G$37="Yes",Projects!$M$37="Yes",64&gt;=Projects!$C$37,64&lt;Projects!$C$37+Projects!$D$37),Projects!$B$37*INDEX(Curves!$B$4:$AR$4,1,64-Projects!$C$37+1),0)+IF(AND(Projects!$G$38="Yes",Projects!$M$38="Yes",64&gt;=Projects!$C$38,64&lt;Projects!$C$38+Projects!$D$38),Projects!$B$38*INDEX(Curves!$B$4:$AR$4,1,64-Projects!$C$38+1),0)+IF(AND(Projects!$G$39="Yes",Projects!$M$39="Yes",64&gt;=Projects!$C$39,64&lt;Projects!$C$39+Projects!$D$39),Projects!$B$39*INDEX(Curves!$B$4:$AR$4,1,64-Projects!$C$39+1),0)+IF(AND(Projects!$G$40="Yes",Projects!$M$40="Yes",64&gt;=Projects!$C$40,64&lt;Projects!$C$40+Projects!$D$40),Projects!$B$40*INDEX(Curves!$B$4:$AR$4,1,64-Projects!$C$40+1),0)+IF(AND(Projects!$G$41="Yes",Projects!$M$41="Yes",64&gt;=Projects!$C$41,64&lt;Projects!$C$41+Projects!$D$41),Projects!$B$41*INDEX(Curves!$B$4:$AR$4,1,64-Projects!$C$41+1),0)+IF(AND(Projects!$G$42="Yes",Projects!$M$42="Yes",64&gt;=Projects!$C$42,64&lt;Projects!$C$42+Projects!$D$42),Projects!$B$42*INDEX(Curves!$B$4:$AR$4,1,64-Projects!$C$42+1),0)+IF(AND(Projects!$G$43="Yes",Projects!$M$43="Yes",64&gt;=Projects!$C$43,64&lt;Projects!$C$43+Projects!$D$43),Projects!$B$43*INDEX(Curves!$B$4:$AR$4,1,64-Projects!$C$43+1),0)+IF(AND(Projects!$G$44="Yes",Projects!$M$44="Yes",64&gt;=Projects!$C$44,64&lt;Projects!$C$44+Projects!$D$44),Projects!$B$44*INDEX(Curves!$B$4:$AR$4,1,64-Projects!$C$44+1),0)+IF(AND(Projects!$G$45="Yes",Projects!$M$45="Yes",64&gt;=Projects!$C$45,64&lt;Projects!$C$45+Projects!$D$45),Projects!$B$45*INDEX(Curves!$B$4:$AR$4,1,64-Projects!$C$45+1),0)+IF(AND(Projects!$G$46="Yes",Projects!$M$46="Yes",64&gt;=Projects!$C$46,64&lt;Projects!$C$46+Projects!$D$46),Projects!$B$46*INDEX(Curves!$B$4:$AR$4,1,64-Projects!$C$46+1),0)</f>
        <v>0</v>
      </c>
      <c r="BR101" s="87" t="n">
        <f aca="false">IF(AND(Projects!$G$17="Yes",Projects!$M$17="Yes",65&gt;=Projects!$C$17,65&lt;Projects!$C$17+Projects!$D$17),Projects!$B$17*INDEX(Curves!$B$4:$AR$4,1,65-Projects!$C$17+1),0)+IF(AND(Projects!$G$18="Yes",Projects!$M$18="Yes",65&gt;=Projects!$C$18,65&lt;Projects!$C$18+Projects!$D$18),Projects!$B$18*INDEX(Curves!$B$4:$AR$4,1,65-Projects!$C$18+1),0)+IF(AND(Projects!$G$19="Yes",Projects!$M$19="Yes",65&gt;=Projects!$C$19,65&lt;Projects!$C$19+Projects!$D$19),Projects!$B$19*INDEX(Curves!$B$4:$AR$4,1,65-Projects!$C$19+1),0)+IF(AND(Projects!$G$20="Yes",Projects!$M$20="Yes",65&gt;=Projects!$C$20,65&lt;Projects!$C$20+Projects!$D$20),Projects!$B$20*INDEX(Curves!$B$4:$AR$4,1,65-Projects!$C$20+1),0)+IF(AND(Projects!$G$21="Yes",Projects!$M$21="Yes",65&gt;=Projects!$C$21,65&lt;Projects!$C$21+Projects!$D$21),Projects!$B$21*INDEX(Curves!$B$4:$AR$4,1,65-Projects!$C$21+1),0)+IF(AND(Projects!$G$22="Yes",Projects!$M$22="Yes",65&gt;=Projects!$C$22,65&lt;Projects!$C$22+Projects!$D$22),Projects!$B$22*INDEX(Curves!$B$4:$AR$4,1,65-Projects!$C$22+1),0)+IF(AND(Projects!$G$23="Yes",Projects!$M$23="Yes",65&gt;=Projects!$C$23,65&lt;Projects!$C$23+Projects!$D$23),Projects!$B$23*INDEX(Curves!$B$4:$AR$4,1,65-Projects!$C$23+1),0)+IF(AND(Projects!$G$24="Yes",Projects!$M$24="Yes",65&gt;=Projects!$C$24,65&lt;Projects!$C$24+Projects!$D$24),Projects!$B$24*INDEX(Curves!$B$4:$AR$4,1,65-Projects!$C$24+1),0)+IF(AND(Projects!$G$25="Yes",Projects!$M$25="Yes",65&gt;=Projects!$C$25,65&lt;Projects!$C$25+Projects!$D$25),Projects!$B$25*INDEX(Curves!$B$4:$AR$4,1,65-Projects!$C$25+1),0)+IF(AND(Projects!$G$26="Yes",Projects!$M$26="Yes",65&gt;=Projects!$C$26,65&lt;Projects!$C$26+Projects!$D$26),Projects!$B$26*INDEX(Curves!$B$4:$AR$4,1,65-Projects!$C$26+1),0)+IF(AND(Projects!$G$27="Yes",Projects!$M$27="Yes",65&gt;=Projects!$C$27,65&lt;Projects!$C$27+Projects!$D$27),Projects!$B$27*INDEX(Curves!$B$4:$AR$4,1,65-Projects!$C$27+1),0)+IF(AND(Projects!$G$28="Yes",Projects!$M$28="Yes",65&gt;=Projects!$C$28,65&lt;Projects!$C$28+Projects!$D$28),Projects!$B$28*INDEX(Curves!$B$4:$AR$4,1,65-Projects!$C$28+1),0)+IF(AND(Projects!$G$29="Yes",Projects!$M$29="Yes",65&gt;=Projects!$C$29,65&lt;Projects!$C$29+Projects!$D$29),Projects!$B$29*INDEX(Curves!$B$4:$AR$4,1,65-Projects!$C$29+1),0)+IF(AND(Projects!$G$30="Yes",Projects!$M$30="Yes",65&gt;=Projects!$C$30,65&lt;Projects!$C$30+Projects!$D$30),Projects!$B$30*INDEX(Curves!$B$4:$AR$4,1,65-Projects!$C$30+1),0)+IF(AND(Projects!$G$31="Yes",Projects!$M$31="Yes",65&gt;=Projects!$C$31,65&lt;Projects!$C$31+Projects!$D$31),Projects!$B$31*INDEX(Curves!$B$4:$AR$4,1,65-Projects!$C$31+1),0)+IF(AND(Projects!$G$32="Yes",Projects!$M$32="Yes",65&gt;=Projects!$C$32,65&lt;Projects!$C$32+Projects!$D$32),Projects!$B$32*INDEX(Curves!$B$4:$AR$4,1,65-Projects!$C$32+1),0)+IF(AND(Projects!$G$33="Yes",Projects!$M$33="Yes",65&gt;=Projects!$C$33,65&lt;Projects!$C$33+Projects!$D$33),Projects!$B$33*INDEX(Curves!$B$4:$AR$4,1,65-Projects!$C$33+1),0)+IF(AND(Projects!$G$34="Yes",Projects!$M$34="Yes",65&gt;=Projects!$C$34,65&lt;Projects!$C$34+Projects!$D$34),Projects!$B$34*INDEX(Curves!$B$4:$AR$4,1,65-Projects!$C$34+1),0)+IF(AND(Projects!$G$35="Yes",Projects!$M$35="Yes",65&gt;=Projects!$C$35,65&lt;Projects!$C$35+Projects!$D$35),Projects!$B$35*INDEX(Curves!$B$4:$AR$4,1,65-Projects!$C$35+1),0)+IF(AND(Projects!$G$36="Yes",Projects!$M$36="Yes",65&gt;=Projects!$C$36,65&lt;Projects!$C$36+Projects!$D$36),Projects!$B$36*INDEX(Curves!$B$4:$AR$4,1,65-Projects!$C$36+1),0)+IF(AND(Projects!$G$37="Yes",Projects!$M$37="Yes",65&gt;=Projects!$C$37,65&lt;Projects!$C$37+Projects!$D$37),Projects!$B$37*INDEX(Curves!$B$4:$AR$4,1,65-Projects!$C$37+1),0)+IF(AND(Projects!$G$38="Yes",Projects!$M$38="Yes",65&gt;=Projects!$C$38,65&lt;Projects!$C$38+Projects!$D$38),Projects!$B$38*INDEX(Curves!$B$4:$AR$4,1,65-Projects!$C$38+1),0)+IF(AND(Projects!$G$39="Yes",Projects!$M$39="Yes",65&gt;=Projects!$C$39,65&lt;Projects!$C$39+Projects!$D$39),Projects!$B$39*INDEX(Curves!$B$4:$AR$4,1,65-Projects!$C$39+1),0)+IF(AND(Projects!$G$40="Yes",Projects!$M$40="Yes",65&gt;=Projects!$C$40,65&lt;Projects!$C$40+Projects!$D$40),Projects!$B$40*INDEX(Curves!$B$4:$AR$4,1,65-Projects!$C$40+1),0)+IF(AND(Projects!$G$41="Yes",Projects!$M$41="Yes",65&gt;=Projects!$C$41,65&lt;Projects!$C$41+Projects!$D$41),Projects!$B$41*INDEX(Curves!$B$4:$AR$4,1,65-Projects!$C$41+1),0)+IF(AND(Projects!$G$42="Yes",Projects!$M$42="Yes",65&gt;=Projects!$C$42,65&lt;Projects!$C$42+Projects!$D$42),Projects!$B$42*INDEX(Curves!$B$4:$AR$4,1,65-Projects!$C$42+1),0)+IF(AND(Projects!$G$43="Yes",Projects!$M$43="Yes",65&gt;=Projects!$C$43,65&lt;Projects!$C$43+Projects!$D$43),Projects!$B$43*INDEX(Curves!$B$4:$AR$4,1,65-Projects!$C$43+1),0)+IF(AND(Projects!$G$44="Yes",Projects!$M$44="Yes",65&gt;=Projects!$C$44,65&lt;Projects!$C$44+Projects!$D$44),Projects!$B$44*INDEX(Curves!$B$4:$AR$4,1,65-Projects!$C$44+1),0)+IF(AND(Projects!$G$45="Yes",Projects!$M$45="Yes",65&gt;=Projects!$C$45,65&lt;Projects!$C$45+Projects!$D$45),Projects!$B$45*INDEX(Curves!$B$4:$AR$4,1,65-Projects!$C$45+1),0)+IF(AND(Projects!$G$46="Yes",Projects!$M$46="Yes",65&gt;=Projects!$C$46,65&lt;Projects!$C$46+Projects!$D$46),Projects!$B$46*INDEX(Curves!$B$4:$AR$4,1,65-Projects!$C$46+1),0)</f>
        <v>0</v>
      </c>
      <c r="BS101" s="87" t="n">
        <f aca="false">IF(AND(Projects!$G$17="Yes",Projects!$M$17="Yes",66&gt;=Projects!$C$17,66&lt;Projects!$C$17+Projects!$D$17),Projects!$B$17*INDEX(Curves!$B$4:$AR$4,1,66-Projects!$C$17+1),0)+IF(AND(Projects!$G$18="Yes",Projects!$M$18="Yes",66&gt;=Projects!$C$18,66&lt;Projects!$C$18+Projects!$D$18),Projects!$B$18*INDEX(Curves!$B$4:$AR$4,1,66-Projects!$C$18+1),0)+IF(AND(Projects!$G$19="Yes",Projects!$M$19="Yes",66&gt;=Projects!$C$19,66&lt;Projects!$C$19+Projects!$D$19),Projects!$B$19*INDEX(Curves!$B$4:$AR$4,1,66-Projects!$C$19+1),0)+IF(AND(Projects!$G$20="Yes",Projects!$M$20="Yes",66&gt;=Projects!$C$20,66&lt;Projects!$C$20+Projects!$D$20),Projects!$B$20*INDEX(Curves!$B$4:$AR$4,1,66-Projects!$C$20+1),0)+IF(AND(Projects!$G$21="Yes",Projects!$M$21="Yes",66&gt;=Projects!$C$21,66&lt;Projects!$C$21+Projects!$D$21),Projects!$B$21*INDEX(Curves!$B$4:$AR$4,1,66-Projects!$C$21+1),0)+IF(AND(Projects!$G$22="Yes",Projects!$M$22="Yes",66&gt;=Projects!$C$22,66&lt;Projects!$C$22+Projects!$D$22),Projects!$B$22*INDEX(Curves!$B$4:$AR$4,1,66-Projects!$C$22+1),0)+IF(AND(Projects!$G$23="Yes",Projects!$M$23="Yes",66&gt;=Projects!$C$23,66&lt;Projects!$C$23+Projects!$D$23),Projects!$B$23*INDEX(Curves!$B$4:$AR$4,1,66-Projects!$C$23+1),0)+IF(AND(Projects!$G$24="Yes",Projects!$M$24="Yes",66&gt;=Projects!$C$24,66&lt;Projects!$C$24+Projects!$D$24),Projects!$B$24*INDEX(Curves!$B$4:$AR$4,1,66-Projects!$C$24+1),0)+IF(AND(Projects!$G$25="Yes",Projects!$M$25="Yes",66&gt;=Projects!$C$25,66&lt;Projects!$C$25+Projects!$D$25),Projects!$B$25*INDEX(Curves!$B$4:$AR$4,1,66-Projects!$C$25+1),0)+IF(AND(Projects!$G$26="Yes",Projects!$M$26="Yes",66&gt;=Projects!$C$26,66&lt;Projects!$C$26+Projects!$D$26),Projects!$B$26*INDEX(Curves!$B$4:$AR$4,1,66-Projects!$C$26+1),0)+IF(AND(Projects!$G$27="Yes",Projects!$M$27="Yes",66&gt;=Projects!$C$27,66&lt;Projects!$C$27+Projects!$D$27),Projects!$B$27*INDEX(Curves!$B$4:$AR$4,1,66-Projects!$C$27+1),0)+IF(AND(Projects!$G$28="Yes",Projects!$M$28="Yes",66&gt;=Projects!$C$28,66&lt;Projects!$C$28+Projects!$D$28),Projects!$B$28*INDEX(Curves!$B$4:$AR$4,1,66-Projects!$C$28+1),0)+IF(AND(Projects!$G$29="Yes",Projects!$M$29="Yes",66&gt;=Projects!$C$29,66&lt;Projects!$C$29+Projects!$D$29),Projects!$B$29*INDEX(Curves!$B$4:$AR$4,1,66-Projects!$C$29+1),0)+IF(AND(Projects!$G$30="Yes",Projects!$M$30="Yes",66&gt;=Projects!$C$30,66&lt;Projects!$C$30+Projects!$D$30),Projects!$B$30*INDEX(Curves!$B$4:$AR$4,1,66-Projects!$C$30+1),0)+IF(AND(Projects!$G$31="Yes",Projects!$M$31="Yes",66&gt;=Projects!$C$31,66&lt;Projects!$C$31+Projects!$D$31),Projects!$B$31*INDEX(Curves!$B$4:$AR$4,1,66-Projects!$C$31+1),0)+IF(AND(Projects!$G$32="Yes",Projects!$M$32="Yes",66&gt;=Projects!$C$32,66&lt;Projects!$C$32+Projects!$D$32),Projects!$B$32*INDEX(Curves!$B$4:$AR$4,1,66-Projects!$C$32+1),0)+IF(AND(Projects!$G$33="Yes",Projects!$M$33="Yes",66&gt;=Projects!$C$33,66&lt;Projects!$C$33+Projects!$D$33),Projects!$B$33*INDEX(Curves!$B$4:$AR$4,1,66-Projects!$C$33+1),0)+IF(AND(Projects!$G$34="Yes",Projects!$M$34="Yes",66&gt;=Projects!$C$34,66&lt;Projects!$C$34+Projects!$D$34),Projects!$B$34*INDEX(Curves!$B$4:$AR$4,1,66-Projects!$C$34+1),0)+IF(AND(Projects!$G$35="Yes",Projects!$M$35="Yes",66&gt;=Projects!$C$35,66&lt;Projects!$C$35+Projects!$D$35),Projects!$B$35*INDEX(Curves!$B$4:$AR$4,1,66-Projects!$C$35+1),0)+IF(AND(Projects!$G$36="Yes",Projects!$M$36="Yes",66&gt;=Projects!$C$36,66&lt;Projects!$C$36+Projects!$D$36),Projects!$B$36*INDEX(Curves!$B$4:$AR$4,1,66-Projects!$C$36+1),0)+IF(AND(Projects!$G$37="Yes",Projects!$M$37="Yes",66&gt;=Projects!$C$37,66&lt;Projects!$C$37+Projects!$D$37),Projects!$B$37*INDEX(Curves!$B$4:$AR$4,1,66-Projects!$C$37+1),0)+IF(AND(Projects!$G$38="Yes",Projects!$M$38="Yes",66&gt;=Projects!$C$38,66&lt;Projects!$C$38+Projects!$D$38),Projects!$B$38*INDEX(Curves!$B$4:$AR$4,1,66-Projects!$C$38+1),0)+IF(AND(Projects!$G$39="Yes",Projects!$M$39="Yes",66&gt;=Projects!$C$39,66&lt;Projects!$C$39+Projects!$D$39),Projects!$B$39*INDEX(Curves!$B$4:$AR$4,1,66-Projects!$C$39+1),0)+IF(AND(Projects!$G$40="Yes",Projects!$M$40="Yes",66&gt;=Projects!$C$40,66&lt;Projects!$C$40+Projects!$D$40),Projects!$B$40*INDEX(Curves!$B$4:$AR$4,1,66-Projects!$C$40+1),0)+IF(AND(Projects!$G$41="Yes",Projects!$M$41="Yes",66&gt;=Projects!$C$41,66&lt;Projects!$C$41+Projects!$D$41),Projects!$B$41*INDEX(Curves!$B$4:$AR$4,1,66-Projects!$C$41+1),0)+IF(AND(Projects!$G$42="Yes",Projects!$M$42="Yes",66&gt;=Projects!$C$42,66&lt;Projects!$C$42+Projects!$D$42),Projects!$B$42*INDEX(Curves!$B$4:$AR$4,1,66-Projects!$C$42+1),0)+IF(AND(Projects!$G$43="Yes",Projects!$M$43="Yes",66&gt;=Projects!$C$43,66&lt;Projects!$C$43+Projects!$D$43),Projects!$B$43*INDEX(Curves!$B$4:$AR$4,1,66-Projects!$C$43+1),0)+IF(AND(Projects!$G$44="Yes",Projects!$M$44="Yes",66&gt;=Projects!$C$44,66&lt;Projects!$C$44+Projects!$D$44),Projects!$B$44*INDEX(Curves!$B$4:$AR$4,1,66-Projects!$C$44+1),0)+IF(AND(Projects!$G$45="Yes",Projects!$M$45="Yes",66&gt;=Projects!$C$45,66&lt;Projects!$C$45+Projects!$D$45),Projects!$B$45*INDEX(Curves!$B$4:$AR$4,1,66-Projects!$C$45+1),0)+IF(AND(Projects!$G$46="Yes",Projects!$M$46="Yes",66&gt;=Projects!$C$46,66&lt;Projects!$C$46+Projects!$D$46),Projects!$B$46*INDEX(Curves!$B$4:$AR$4,1,66-Projects!$C$46+1),0)</f>
        <v>0</v>
      </c>
      <c r="BT101" s="87" t="n">
        <f aca="false">IF(AND(Projects!$G$17="Yes",Projects!$M$17="Yes",67&gt;=Projects!$C$17,67&lt;Projects!$C$17+Projects!$D$17),Projects!$B$17*INDEX(Curves!$B$4:$AR$4,1,67-Projects!$C$17+1),0)+IF(AND(Projects!$G$18="Yes",Projects!$M$18="Yes",67&gt;=Projects!$C$18,67&lt;Projects!$C$18+Projects!$D$18),Projects!$B$18*INDEX(Curves!$B$4:$AR$4,1,67-Projects!$C$18+1),0)+IF(AND(Projects!$G$19="Yes",Projects!$M$19="Yes",67&gt;=Projects!$C$19,67&lt;Projects!$C$19+Projects!$D$19),Projects!$B$19*INDEX(Curves!$B$4:$AR$4,1,67-Projects!$C$19+1),0)+IF(AND(Projects!$G$20="Yes",Projects!$M$20="Yes",67&gt;=Projects!$C$20,67&lt;Projects!$C$20+Projects!$D$20),Projects!$B$20*INDEX(Curves!$B$4:$AR$4,1,67-Projects!$C$20+1),0)+IF(AND(Projects!$G$21="Yes",Projects!$M$21="Yes",67&gt;=Projects!$C$21,67&lt;Projects!$C$21+Projects!$D$21),Projects!$B$21*INDEX(Curves!$B$4:$AR$4,1,67-Projects!$C$21+1),0)+IF(AND(Projects!$G$22="Yes",Projects!$M$22="Yes",67&gt;=Projects!$C$22,67&lt;Projects!$C$22+Projects!$D$22),Projects!$B$22*INDEX(Curves!$B$4:$AR$4,1,67-Projects!$C$22+1),0)+IF(AND(Projects!$G$23="Yes",Projects!$M$23="Yes",67&gt;=Projects!$C$23,67&lt;Projects!$C$23+Projects!$D$23),Projects!$B$23*INDEX(Curves!$B$4:$AR$4,1,67-Projects!$C$23+1),0)+IF(AND(Projects!$G$24="Yes",Projects!$M$24="Yes",67&gt;=Projects!$C$24,67&lt;Projects!$C$24+Projects!$D$24),Projects!$B$24*INDEX(Curves!$B$4:$AR$4,1,67-Projects!$C$24+1),0)+IF(AND(Projects!$G$25="Yes",Projects!$M$25="Yes",67&gt;=Projects!$C$25,67&lt;Projects!$C$25+Projects!$D$25),Projects!$B$25*INDEX(Curves!$B$4:$AR$4,1,67-Projects!$C$25+1),0)+IF(AND(Projects!$G$26="Yes",Projects!$M$26="Yes",67&gt;=Projects!$C$26,67&lt;Projects!$C$26+Projects!$D$26),Projects!$B$26*INDEX(Curves!$B$4:$AR$4,1,67-Projects!$C$26+1),0)+IF(AND(Projects!$G$27="Yes",Projects!$M$27="Yes",67&gt;=Projects!$C$27,67&lt;Projects!$C$27+Projects!$D$27),Projects!$B$27*INDEX(Curves!$B$4:$AR$4,1,67-Projects!$C$27+1),0)+IF(AND(Projects!$G$28="Yes",Projects!$M$28="Yes",67&gt;=Projects!$C$28,67&lt;Projects!$C$28+Projects!$D$28),Projects!$B$28*INDEX(Curves!$B$4:$AR$4,1,67-Projects!$C$28+1),0)+IF(AND(Projects!$G$29="Yes",Projects!$M$29="Yes",67&gt;=Projects!$C$29,67&lt;Projects!$C$29+Projects!$D$29),Projects!$B$29*INDEX(Curves!$B$4:$AR$4,1,67-Projects!$C$29+1),0)+IF(AND(Projects!$G$30="Yes",Projects!$M$30="Yes",67&gt;=Projects!$C$30,67&lt;Projects!$C$30+Projects!$D$30),Projects!$B$30*INDEX(Curves!$B$4:$AR$4,1,67-Projects!$C$30+1),0)+IF(AND(Projects!$G$31="Yes",Projects!$M$31="Yes",67&gt;=Projects!$C$31,67&lt;Projects!$C$31+Projects!$D$31),Projects!$B$31*INDEX(Curves!$B$4:$AR$4,1,67-Projects!$C$31+1),0)+IF(AND(Projects!$G$32="Yes",Projects!$M$32="Yes",67&gt;=Projects!$C$32,67&lt;Projects!$C$32+Projects!$D$32),Projects!$B$32*INDEX(Curves!$B$4:$AR$4,1,67-Projects!$C$32+1),0)+IF(AND(Projects!$G$33="Yes",Projects!$M$33="Yes",67&gt;=Projects!$C$33,67&lt;Projects!$C$33+Projects!$D$33),Projects!$B$33*INDEX(Curves!$B$4:$AR$4,1,67-Projects!$C$33+1),0)+IF(AND(Projects!$G$34="Yes",Projects!$M$34="Yes",67&gt;=Projects!$C$34,67&lt;Projects!$C$34+Projects!$D$34),Projects!$B$34*INDEX(Curves!$B$4:$AR$4,1,67-Projects!$C$34+1),0)+IF(AND(Projects!$G$35="Yes",Projects!$M$35="Yes",67&gt;=Projects!$C$35,67&lt;Projects!$C$35+Projects!$D$35),Projects!$B$35*INDEX(Curves!$B$4:$AR$4,1,67-Projects!$C$35+1),0)+IF(AND(Projects!$G$36="Yes",Projects!$M$36="Yes",67&gt;=Projects!$C$36,67&lt;Projects!$C$36+Projects!$D$36),Projects!$B$36*INDEX(Curves!$B$4:$AR$4,1,67-Projects!$C$36+1),0)+IF(AND(Projects!$G$37="Yes",Projects!$M$37="Yes",67&gt;=Projects!$C$37,67&lt;Projects!$C$37+Projects!$D$37),Projects!$B$37*INDEX(Curves!$B$4:$AR$4,1,67-Projects!$C$37+1),0)+IF(AND(Projects!$G$38="Yes",Projects!$M$38="Yes",67&gt;=Projects!$C$38,67&lt;Projects!$C$38+Projects!$D$38),Projects!$B$38*INDEX(Curves!$B$4:$AR$4,1,67-Projects!$C$38+1),0)+IF(AND(Projects!$G$39="Yes",Projects!$M$39="Yes",67&gt;=Projects!$C$39,67&lt;Projects!$C$39+Projects!$D$39),Projects!$B$39*INDEX(Curves!$B$4:$AR$4,1,67-Projects!$C$39+1),0)+IF(AND(Projects!$G$40="Yes",Projects!$M$40="Yes",67&gt;=Projects!$C$40,67&lt;Projects!$C$40+Projects!$D$40),Projects!$B$40*INDEX(Curves!$B$4:$AR$4,1,67-Projects!$C$40+1),0)+IF(AND(Projects!$G$41="Yes",Projects!$M$41="Yes",67&gt;=Projects!$C$41,67&lt;Projects!$C$41+Projects!$D$41),Projects!$B$41*INDEX(Curves!$B$4:$AR$4,1,67-Projects!$C$41+1),0)+IF(AND(Projects!$G$42="Yes",Projects!$M$42="Yes",67&gt;=Projects!$C$42,67&lt;Projects!$C$42+Projects!$D$42),Projects!$B$42*INDEX(Curves!$B$4:$AR$4,1,67-Projects!$C$42+1),0)+IF(AND(Projects!$G$43="Yes",Projects!$M$43="Yes",67&gt;=Projects!$C$43,67&lt;Projects!$C$43+Projects!$D$43),Projects!$B$43*INDEX(Curves!$B$4:$AR$4,1,67-Projects!$C$43+1),0)+IF(AND(Projects!$G$44="Yes",Projects!$M$44="Yes",67&gt;=Projects!$C$44,67&lt;Projects!$C$44+Projects!$D$44),Projects!$B$44*INDEX(Curves!$B$4:$AR$4,1,67-Projects!$C$44+1),0)+IF(AND(Projects!$G$45="Yes",Projects!$M$45="Yes",67&gt;=Projects!$C$45,67&lt;Projects!$C$45+Projects!$D$45),Projects!$B$45*INDEX(Curves!$B$4:$AR$4,1,67-Projects!$C$45+1),0)+IF(AND(Projects!$G$46="Yes",Projects!$M$46="Yes",67&gt;=Projects!$C$46,67&lt;Projects!$C$46+Projects!$D$46),Projects!$B$46*INDEX(Curves!$B$4:$AR$4,1,67-Projects!$C$46+1),0)</f>
        <v>0</v>
      </c>
      <c r="BU101" s="87" t="n">
        <f aca="false">IF(AND(Projects!$G$17="Yes",Projects!$M$17="Yes",68&gt;=Projects!$C$17,68&lt;Projects!$C$17+Projects!$D$17),Projects!$B$17*INDEX(Curves!$B$4:$AR$4,1,68-Projects!$C$17+1),0)+IF(AND(Projects!$G$18="Yes",Projects!$M$18="Yes",68&gt;=Projects!$C$18,68&lt;Projects!$C$18+Projects!$D$18),Projects!$B$18*INDEX(Curves!$B$4:$AR$4,1,68-Projects!$C$18+1),0)+IF(AND(Projects!$G$19="Yes",Projects!$M$19="Yes",68&gt;=Projects!$C$19,68&lt;Projects!$C$19+Projects!$D$19),Projects!$B$19*INDEX(Curves!$B$4:$AR$4,1,68-Projects!$C$19+1),0)+IF(AND(Projects!$G$20="Yes",Projects!$M$20="Yes",68&gt;=Projects!$C$20,68&lt;Projects!$C$20+Projects!$D$20),Projects!$B$20*INDEX(Curves!$B$4:$AR$4,1,68-Projects!$C$20+1),0)+IF(AND(Projects!$G$21="Yes",Projects!$M$21="Yes",68&gt;=Projects!$C$21,68&lt;Projects!$C$21+Projects!$D$21),Projects!$B$21*INDEX(Curves!$B$4:$AR$4,1,68-Projects!$C$21+1),0)+IF(AND(Projects!$G$22="Yes",Projects!$M$22="Yes",68&gt;=Projects!$C$22,68&lt;Projects!$C$22+Projects!$D$22),Projects!$B$22*INDEX(Curves!$B$4:$AR$4,1,68-Projects!$C$22+1),0)+IF(AND(Projects!$G$23="Yes",Projects!$M$23="Yes",68&gt;=Projects!$C$23,68&lt;Projects!$C$23+Projects!$D$23),Projects!$B$23*INDEX(Curves!$B$4:$AR$4,1,68-Projects!$C$23+1),0)+IF(AND(Projects!$G$24="Yes",Projects!$M$24="Yes",68&gt;=Projects!$C$24,68&lt;Projects!$C$24+Projects!$D$24),Projects!$B$24*INDEX(Curves!$B$4:$AR$4,1,68-Projects!$C$24+1),0)+IF(AND(Projects!$G$25="Yes",Projects!$M$25="Yes",68&gt;=Projects!$C$25,68&lt;Projects!$C$25+Projects!$D$25),Projects!$B$25*INDEX(Curves!$B$4:$AR$4,1,68-Projects!$C$25+1),0)+IF(AND(Projects!$G$26="Yes",Projects!$M$26="Yes",68&gt;=Projects!$C$26,68&lt;Projects!$C$26+Projects!$D$26),Projects!$B$26*INDEX(Curves!$B$4:$AR$4,1,68-Projects!$C$26+1),0)+IF(AND(Projects!$G$27="Yes",Projects!$M$27="Yes",68&gt;=Projects!$C$27,68&lt;Projects!$C$27+Projects!$D$27),Projects!$B$27*INDEX(Curves!$B$4:$AR$4,1,68-Projects!$C$27+1),0)+IF(AND(Projects!$G$28="Yes",Projects!$M$28="Yes",68&gt;=Projects!$C$28,68&lt;Projects!$C$28+Projects!$D$28),Projects!$B$28*INDEX(Curves!$B$4:$AR$4,1,68-Projects!$C$28+1),0)+IF(AND(Projects!$G$29="Yes",Projects!$M$29="Yes",68&gt;=Projects!$C$29,68&lt;Projects!$C$29+Projects!$D$29),Projects!$B$29*INDEX(Curves!$B$4:$AR$4,1,68-Projects!$C$29+1),0)+IF(AND(Projects!$G$30="Yes",Projects!$M$30="Yes",68&gt;=Projects!$C$30,68&lt;Projects!$C$30+Projects!$D$30),Projects!$B$30*INDEX(Curves!$B$4:$AR$4,1,68-Projects!$C$30+1),0)+IF(AND(Projects!$G$31="Yes",Projects!$M$31="Yes",68&gt;=Projects!$C$31,68&lt;Projects!$C$31+Projects!$D$31),Projects!$B$31*INDEX(Curves!$B$4:$AR$4,1,68-Projects!$C$31+1),0)+IF(AND(Projects!$G$32="Yes",Projects!$M$32="Yes",68&gt;=Projects!$C$32,68&lt;Projects!$C$32+Projects!$D$32),Projects!$B$32*INDEX(Curves!$B$4:$AR$4,1,68-Projects!$C$32+1),0)+IF(AND(Projects!$G$33="Yes",Projects!$M$33="Yes",68&gt;=Projects!$C$33,68&lt;Projects!$C$33+Projects!$D$33),Projects!$B$33*INDEX(Curves!$B$4:$AR$4,1,68-Projects!$C$33+1),0)+IF(AND(Projects!$G$34="Yes",Projects!$M$34="Yes",68&gt;=Projects!$C$34,68&lt;Projects!$C$34+Projects!$D$34),Projects!$B$34*INDEX(Curves!$B$4:$AR$4,1,68-Projects!$C$34+1),0)+IF(AND(Projects!$G$35="Yes",Projects!$M$35="Yes",68&gt;=Projects!$C$35,68&lt;Projects!$C$35+Projects!$D$35),Projects!$B$35*INDEX(Curves!$B$4:$AR$4,1,68-Projects!$C$35+1),0)+IF(AND(Projects!$G$36="Yes",Projects!$M$36="Yes",68&gt;=Projects!$C$36,68&lt;Projects!$C$36+Projects!$D$36),Projects!$B$36*INDEX(Curves!$B$4:$AR$4,1,68-Projects!$C$36+1),0)+IF(AND(Projects!$G$37="Yes",Projects!$M$37="Yes",68&gt;=Projects!$C$37,68&lt;Projects!$C$37+Projects!$D$37),Projects!$B$37*INDEX(Curves!$B$4:$AR$4,1,68-Projects!$C$37+1),0)+IF(AND(Projects!$G$38="Yes",Projects!$M$38="Yes",68&gt;=Projects!$C$38,68&lt;Projects!$C$38+Projects!$D$38),Projects!$B$38*INDEX(Curves!$B$4:$AR$4,1,68-Projects!$C$38+1),0)+IF(AND(Projects!$G$39="Yes",Projects!$M$39="Yes",68&gt;=Projects!$C$39,68&lt;Projects!$C$39+Projects!$D$39),Projects!$B$39*INDEX(Curves!$B$4:$AR$4,1,68-Projects!$C$39+1),0)+IF(AND(Projects!$G$40="Yes",Projects!$M$40="Yes",68&gt;=Projects!$C$40,68&lt;Projects!$C$40+Projects!$D$40),Projects!$B$40*INDEX(Curves!$B$4:$AR$4,1,68-Projects!$C$40+1),0)+IF(AND(Projects!$G$41="Yes",Projects!$M$41="Yes",68&gt;=Projects!$C$41,68&lt;Projects!$C$41+Projects!$D$41),Projects!$B$41*INDEX(Curves!$B$4:$AR$4,1,68-Projects!$C$41+1),0)+IF(AND(Projects!$G$42="Yes",Projects!$M$42="Yes",68&gt;=Projects!$C$42,68&lt;Projects!$C$42+Projects!$D$42),Projects!$B$42*INDEX(Curves!$B$4:$AR$4,1,68-Projects!$C$42+1),0)+IF(AND(Projects!$G$43="Yes",Projects!$M$43="Yes",68&gt;=Projects!$C$43,68&lt;Projects!$C$43+Projects!$D$43),Projects!$B$43*INDEX(Curves!$B$4:$AR$4,1,68-Projects!$C$43+1),0)+IF(AND(Projects!$G$44="Yes",Projects!$M$44="Yes",68&gt;=Projects!$C$44,68&lt;Projects!$C$44+Projects!$D$44),Projects!$B$44*INDEX(Curves!$B$4:$AR$4,1,68-Projects!$C$44+1),0)+IF(AND(Projects!$G$45="Yes",Projects!$M$45="Yes",68&gt;=Projects!$C$45,68&lt;Projects!$C$45+Projects!$D$45),Projects!$B$45*INDEX(Curves!$B$4:$AR$4,1,68-Projects!$C$45+1),0)+IF(AND(Projects!$G$46="Yes",Projects!$M$46="Yes",68&gt;=Projects!$C$46,68&lt;Projects!$C$46+Projects!$D$46),Projects!$B$46*INDEX(Curves!$B$4:$AR$4,1,68-Projects!$C$46+1),0)</f>
        <v>0</v>
      </c>
      <c r="BV101" s="87" t="n">
        <f aca="false">IF(AND(Projects!$G$17="Yes",Projects!$M$17="Yes",69&gt;=Projects!$C$17,69&lt;Projects!$C$17+Projects!$D$17),Projects!$B$17*INDEX(Curves!$B$4:$AR$4,1,69-Projects!$C$17+1),0)+IF(AND(Projects!$G$18="Yes",Projects!$M$18="Yes",69&gt;=Projects!$C$18,69&lt;Projects!$C$18+Projects!$D$18),Projects!$B$18*INDEX(Curves!$B$4:$AR$4,1,69-Projects!$C$18+1),0)+IF(AND(Projects!$G$19="Yes",Projects!$M$19="Yes",69&gt;=Projects!$C$19,69&lt;Projects!$C$19+Projects!$D$19),Projects!$B$19*INDEX(Curves!$B$4:$AR$4,1,69-Projects!$C$19+1),0)+IF(AND(Projects!$G$20="Yes",Projects!$M$20="Yes",69&gt;=Projects!$C$20,69&lt;Projects!$C$20+Projects!$D$20),Projects!$B$20*INDEX(Curves!$B$4:$AR$4,1,69-Projects!$C$20+1),0)+IF(AND(Projects!$G$21="Yes",Projects!$M$21="Yes",69&gt;=Projects!$C$21,69&lt;Projects!$C$21+Projects!$D$21),Projects!$B$21*INDEX(Curves!$B$4:$AR$4,1,69-Projects!$C$21+1),0)+IF(AND(Projects!$G$22="Yes",Projects!$M$22="Yes",69&gt;=Projects!$C$22,69&lt;Projects!$C$22+Projects!$D$22),Projects!$B$22*INDEX(Curves!$B$4:$AR$4,1,69-Projects!$C$22+1),0)+IF(AND(Projects!$G$23="Yes",Projects!$M$23="Yes",69&gt;=Projects!$C$23,69&lt;Projects!$C$23+Projects!$D$23),Projects!$B$23*INDEX(Curves!$B$4:$AR$4,1,69-Projects!$C$23+1),0)+IF(AND(Projects!$G$24="Yes",Projects!$M$24="Yes",69&gt;=Projects!$C$24,69&lt;Projects!$C$24+Projects!$D$24),Projects!$B$24*INDEX(Curves!$B$4:$AR$4,1,69-Projects!$C$24+1),0)+IF(AND(Projects!$G$25="Yes",Projects!$M$25="Yes",69&gt;=Projects!$C$25,69&lt;Projects!$C$25+Projects!$D$25),Projects!$B$25*INDEX(Curves!$B$4:$AR$4,1,69-Projects!$C$25+1),0)+IF(AND(Projects!$G$26="Yes",Projects!$M$26="Yes",69&gt;=Projects!$C$26,69&lt;Projects!$C$26+Projects!$D$26),Projects!$B$26*INDEX(Curves!$B$4:$AR$4,1,69-Projects!$C$26+1),0)+IF(AND(Projects!$G$27="Yes",Projects!$M$27="Yes",69&gt;=Projects!$C$27,69&lt;Projects!$C$27+Projects!$D$27),Projects!$B$27*INDEX(Curves!$B$4:$AR$4,1,69-Projects!$C$27+1),0)+IF(AND(Projects!$G$28="Yes",Projects!$M$28="Yes",69&gt;=Projects!$C$28,69&lt;Projects!$C$28+Projects!$D$28),Projects!$B$28*INDEX(Curves!$B$4:$AR$4,1,69-Projects!$C$28+1),0)+IF(AND(Projects!$G$29="Yes",Projects!$M$29="Yes",69&gt;=Projects!$C$29,69&lt;Projects!$C$29+Projects!$D$29),Projects!$B$29*INDEX(Curves!$B$4:$AR$4,1,69-Projects!$C$29+1),0)+IF(AND(Projects!$G$30="Yes",Projects!$M$30="Yes",69&gt;=Projects!$C$30,69&lt;Projects!$C$30+Projects!$D$30),Projects!$B$30*INDEX(Curves!$B$4:$AR$4,1,69-Projects!$C$30+1),0)+IF(AND(Projects!$G$31="Yes",Projects!$M$31="Yes",69&gt;=Projects!$C$31,69&lt;Projects!$C$31+Projects!$D$31),Projects!$B$31*INDEX(Curves!$B$4:$AR$4,1,69-Projects!$C$31+1),0)+IF(AND(Projects!$G$32="Yes",Projects!$M$32="Yes",69&gt;=Projects!$C$32,69&lt;Projects!$C$32+Projects!$D$32),Projects!$B$32*INDEX(Curves!$B$4:$AR$4,1,69-Projects!$C$32+1),0)+IF(AND(Projects!$G$33="Yes",Projects!$M$33="Yes",69&gt;=Projects!$C$33,69&lt;Projects!$C$33+Projects!$D$33),Projects!$B$33*INDEX(Curves!$B$4:$AR$4,1,69-Projects!$C$33+1),0)+IF(AND(Projects!$G$34="Yes",Projects!$M$34="Yes",69&gt;=Projects!$C$34,69&lt;Projects!$C$34+Projects!$D$34),Projects!$B$34*INDEX(Curves!$B$4:$AR$4,1,69-Projects!$C$34+1),0)+IF(AND(Projects!$G$35="Yes",Projects!$M$35="Yes",69&gt;=Projects!$C$35,69&lt;Projects!$C$35+Projects!$D$35),Projects!$B$35*INDEX(Curves!$B$4:$AR$4,1,69-Projects!$C$35+1),0)+IF(AND(Projects!$G$36="Yes",Projects!$M$36="Yes",69&gt;=Projects!$C$36,69&lt;Projects!$C$36+Projects!$D$36),Projects!$B$36*INDEX(Curves!$B$4:$AR$4,1,69-Projects!$C$36+1),0)+IF(AND(Projects!$G$37="Yes",Projects!$M$37="Yes",69&gt;=Projects!$C$37,69&lt;Projects!$C$37+Projects!$D$37),Projects!$B$37*INDEX(Curves!$B$4:$AR$4,1,69-Projects!$C$37+1),0)+IF(AND(Projects!$G$38="Yes",Projects!$M$38="Yes",69&gt;=Projects!$C$38,69&lt;Projects!$C$38+Projects!$D$38),Projects!$B$38*INDEX(Curves!$B$4:$AR$4,1,69-Projects!$C$38+1),0)+IF(AND(Projects!$G$39="Yes",Projects!$M$39="Yes",69&gt;=Projects!$C$39,69&lt;Projects!$C$39+Projects!$D$39),Projects!$B$39*INDEX(Curves!$B$4:$AR$4,1,69-Projects!$C$39+1),0)+IF(AND(Projects!$G$40="Yes",Projects!$M$40="Yes",69&gt;=Projects!$C$40,69&lt;Projects!$C$40+Projects!$D$40),Projects!$B$40*INDEX(Curves!$B$4:$AR$4,1,69-Projects!$C$40+1),0)+IF(AND(Projects!$G$41="Yes",Projects!$M$41="Yes",69&gt;=Projects!$C$41,69&lt;Projects!$C$41+Projects!$D$41),Projects!$B$41*INDEX(Curves!$B$4:$AR$4,1,69-Projects!$C$41+1),0)+IF(AND(Projects!$G$42="Yes",Projects!$M$42="Yes",69&gt;=Projects!$C$42,69&lt;Projects!$C$42+Projects!$D$42),Projects!$B$42*INDEX(Curves!$B$4:$AR$4,1,69-Projects!$C$42+1),0)+IF(AND(Projects!$G$43="Yes",Projects!$M$43="Yes",69&gt;=Projects!$C$43,69&lt;Projects!$C$43+Projects!$D$43),Projects!$B$43*INDEX(Curves!$B$4:$AR$4,1,69-Projects!$C$43+1),0)+IF(AND(Projects!$G$44="Yes",Projects!$M$44="Yes",69&gt;=Projects!$C$44,69&lt;Projects!$C$44+Projects!$D$44),Projects!$B$44*INDEX(Curves!$B$4:$AR$4,1,69-Projects!$C$44+1),0)+IF(AND(Projects!$G$45="Yes",Projects!$M$45="Yes",69&gt;=Projects!$C$45,69&lt;Projects!$C$45+Projects!$D$45),Projects!$B$45*INDEX(Curves!$B$4:$AR$4,1,69-Projects!$C$45+1),0)+IF(AND(Projects!$G$46="Yes",Projects!$M$46="Yes",69&gt;=Projects!$C$46,69&lt;Projects!$C$46+Projects!$D$46),Projects!$B$46*INDEX(Curves!$B$4:$AR$4,1,69-Projects!$C$46+1),0)</f>
        <v>0</v>
      </c>
      <c r="BW101" s="87" t="n">
        <f aca="false">IF(AND(Projects!$G$17="Yes",Projects!$M$17="Yes",70&gt;=Projects!$C$17,70&lt;Projects!$C$17+Projects!$D$17),Projects!$B$17*INDEX(Curves!$B$4:$AR$4,1,70-Projects!$C$17+1),0)+IF(AND(Projects!$G$18="Yes",Projects!$M$18="Yes",70&gt;=Projects!$C$18,70&lt;Projects!$C$18+Projects!$D$18),Projects!$B$18*INDEX(Curves!$B$4:$AR$4,1,70-Projects!$C$18+1),0)+IF(AND(Projects!$G$19="Yes",Projects!$M$19="Yes",70&gt;=Projects!$C$19,70&lt;Projects!$C$19+Projects!$D$19),Projects!$B$19*INDEX(Curves!$B$4:$AR$4,1,70-Projects!$C$19+1),0)+IF(AND(Projects!$G$20="Yes",Projects!$M$20="Yes",70&gt;=Projects!$C$20,70&lt;Projects!$C$20+Projects!$D$20),Projects!$B$20*INDEX(Curves!$B$4:$AR$4,1,70-Projects!$C$20+1),0)+IF(AND(Projects!$G$21="Yes",Projects!$M$21="Yes",70&gt;=Projects!$C$21,70&lt;Projects!$C$21+Projects!$D$21),Projects!$B$21*INDEX(Curves!$B$4:$AR$4,1,70-Projects!$C$21+1),0)+IF(AND(Projects!$G$22="Yes",Projects!$M$22="Yes",70&gt;=Projects!$C$22,70&lt;Projects!$C$22+Projects!$D$22),Projects!$B$22*INDEX(Curves!$B$4:$AR$4,1,70-Projects!$C$22+1),0)+IF(AND(Projects!$G$23="Yes",Projects!$M$23="Yes",70&gt;=Projects!$C$23,70&lt;Projects!$C$23+Projects!$D$23),Projects!$B$23*INDEX(Curves!$B$4:$AR$4,1,70-Projects!$C$23+1),0)+IF(AND(Projects!$G$24="Yes",Projects!$M$24="Yes",70&gt;=Projects!$C$24,70&lt;Projects!$C$24+Projects!$D$24),Projects!$B$24*INDEX(Curves!$B$4:$AR$4,1,70-Projects!$C$24+1),0)+IF(AND(Projects!$G$25="Yes",Projects!$M$25="Yes",70&gt;=Projects!$C$25,70&lt;Projects!$C$25+Projects!$D$25),Projects!$B$25*INDEX(Curves!$B$4:$AR$4,1,70-Projects!$C$25+1),0)+IF(AND(Projects!$G$26="Yes",Projects!$M$26="Yes",70&gt;=Projects!$C$26,70&lt;Projects!$C$26+Projects!$D$26),Projects!$B$26*INDEX(Curves!$B$4:$AR$4,1,70-Projects!$C$26+1),0)+IF(AND(Projects!$G$27="Yes",Projects!$M$27="Yes",70&gt;=Projects!$C$27,70&lt;Projects!$C$27+Projects!$D$27),Projects!$B$27*INDEX(Curves!$B$4:$AR$4,1,70-Projects!$C$27+1),0)+IF(AND(Projects!$G$28="Yes",Projects!$M$28="Yes",70&gt;=Projects!$C$28,70&lt;Projects!$C$28+Projects!$D$28),Projects!$B$28*INDEX(Curves!$B$4:$AR$4,1,70-Projects!$C$28+1),0)+IF(AND(Projects!$G$29="Yes",Projects!$M$29="Yes",70&gt;=Projects!$C$29,70&lt;Projects!$C$29+Projects!$D$29),Projects!$B$29*INDEX(Curves!$B$4:$AR$4,1,70-Projects!$C$29+1),0)+IF(AND(Projects!$G$30="Yes",Projects!$M$30="Yes",70&gt;=Projects!$C$30,70&lt;Projects!$C$30+Projects!$D$30),Projects!$B$30*INDEX(Curves!$B$4:$AR$4,1,70-Projects!$C$30+1),0)+IF(AND(Projects!$G$31="Yes",Projects!$M$31="Yes",70&gt;=Projects!$C$31,70&lt;Projects!$C$31+Projects!$D$31),Projects!$B$31*INDEX(Curves!$B$4:$AR$4,1,70-Projects!$C$31+1),0)+IF(AND(Projects!$G$32="Yes",Projects!$M$32="Yes",70&gt;=Projects!$C$32,70&lt;Projects!$C$32+Projects!$D$32),Projects!$B$32*INDEX(Curves!$B$4:$AR$4,1,70-Projects!$C$32+1),0)+IF(AND(Projects!$G$33="Yes",Projects!$M$33="Yes",70&gt;=Projects!$C$33,70&lt;Projects!$C$33+Projects!$D$33),Projects!$B$33*INDEX(Curves!$B$4:$AR$4,1,70-Projects!$C$33+1),0)+IF(AND(Projects!$G$34="Yes",Projects!$M$34="Yes",70&gt;=Projects!$C$34,70&lt;Projects!$C$34+Projects!$D$34),Projects!$B$34*INDEX(Curves!$B$4:$AR$4,1,70-Projects!$C$34+1),0)+IF(AND(Projects!$G$35="Yes",Projects!$M$35="Yes",70&gt;=Projects!$C$35,70&lt;Projects!$C$35+Projects!$D$35),Projects!$B$35*INDEX(Curves!$B$4:$AR$4,1,70-Projects!$C$35+1),0)+IF(AND(Projects!$G$36="Yes",Projects!$M$36="Yes",70&gt;=Projects!$C$36,70&lt;Projects!$C$36+Projects!$D$36),Projects!$B$36*INDEX(Curves!$B$4:$AR$4,1,70-Projects!$C$36+1),0)+IF(AND(Projects!$G$37="Yes",Projects!$M$37="Yes",70&gt;=Projects!$C$37,70&lt;Projects!$C$37+Projects!$D$37),Projects!$B$37*INDEX(Curves!$B$4:$AR$4,1,70-Projects!$C$37+1),0)+IF(AND(Projects!$G$38="Yes",Projects!$M$38="Yes",70&gt;=Projects!$C$38,70&lt;Projects!$C$38+Projects!$D$38),Projects!$B$38*INDEX(Curves!$B$4:$AR$4,1,70-Projects!$C$38+1),0)+IF(AND(Projects!$G$39="Yes",Projects!$M$39="Yes",70&gt;=Projects!$C$39,70&lt;Projects!$C$39+Projects!$D$39),Projects!$B$39*INDEX(Curves!$B$4:$AR$4,1,70-Projects!$C$39+1),0)+IF(AND(Projects!$G$40="Yes",Projects!$M$40="Yes",70&gt;=Projects!$C$40,70&lt;Projects!$C$40+Projects!$D$40),Projects!$B$40*INDEX(Curves!$B$4:$AR$4,1,70-Projects!$C$40+1),0)+IF(AND(Projects!$G$41="Yes",Projects!$M$41="Yes",70&gt;=Projects!$C$41,70&lt;Projects!$C$41+Projects!$D$41),Projects!$B$41*INDEX(Curves!$B$4:$AR$4,1,70-Projects!$C$41+1),0)+IF(AND(Projects!$G$42="Yes",Projects!$M$42="Yes",70&gt;=Projects!$C$42,70&lt;Projects!$C$42+Projects!$D$42),Projects!$B$42*INDEX(Curves!$B$4:$AR$4,1,70-Projects!$C$42+1),0)+IF(AND(Projects!$G$43="Yes",Projects!$M$43="Yes",70&gt;=Projects!$C$43,70&lt;Projects!$C$43+Projects!$D$43),Projects!$B$43*INDEX(Curves!$B$4:$AR$4,1,70-Projects!$C$43+1),0)+IF(AND(Projects!$G$44="Yes",Projects!$M$44="Yes",70&gt;=Projects!$C$44,70&lt;Projects!$C$44+Projects!$D$44),Projects!$B$44*INDEX(Curves!$B$4:$AR$4,1,70-Projects!$C$44+1),0)+IF(AND(Projects!$G$45="Yes",Projects!$M$45="Yes",70&gt;=Projects!$C$45,70&lt;Projects!$C$45+Projects!$D$45),Projects!$B$45*INDEX(Curves!$B$4:$AR$4,1,70-Projects!$C$45+1),0)+IF(AND(Projects!$G$46="Yes",Projects!$M$46="Yes",70&gt;=Projects!$C$46,70&lt;Projects!$C$46+Projects!$D$46),Projects!$B$46*INDEX(Curves!$B$4:$AR$4,1,70-Projects!$C$46+1),0)</f>
        <v>0</v>
      </c>
      <c r="BX101" s="87" t="n">
        <f aca="false">IF(AND(Projects!$G$17="Yes",Projects!$M$17="Yes",71&gt;=Projects!$C$17,71&lt;Projects!$C$17+Projects!$D$17),Projects!$B$17*INDEX(Curves!$B$4:$AR$4,1,71-Projects!$C$17+1),0)+IF(AND(Projects!$G$18="Yes",Projects!$M$18="Yes",71&gt;=Projects!$C$18,71&lt;Projects!$C$18+Projects!$D$18),Projects!$B$18*INDEX(Curves!$B$4:$AR$4,1,71-Projects!$C$18+1),0)+IF(AND(Projects!$G$19="Yes",Projects!$M$19="Yes",71&gt;=Projects!$C$19,71&lt;Projects!$C$19+Projects!$D$19),Projects!$B$19*INDEX(Curves!$B$4:$AR$4,1,71-Projects!$C$19+1),0)+IF(AND(Projects!$G$20="Yes",Projects!$M$20="Yes",71&gt;=Projects!$C$20,71&lt;Projects!$C$20+Projects!$D$20),Projects!$B$20*INDEX(Curves!$B$4:$AR$4,1,71-Projects!$C$20+1),0)+IF(AND(Projects!$G$21="Yes",Projects!$M$21="Yes",71&gt;=Projects!$C$21,71&lt;Projects!$C$21+Projects!$D$21),Projects!$B$21*INDEX(Curves!$B$4:$AR$4,1,71-Projects!$C$21+1),0)+IF(AND(Projects!$G$22="Yes",Projects!$M$22="Yes",71&gt;=Projects!$C$22,71&lt;Projects!$C$22+Projects!$D$22),Projects!$B$22*INDEX(Curves!$B$4:$AR$4,1,71-Projects!$C$22+1),0)+IF(AND(Projects!$G$23="Yes",Projects!$M$23="Yes",71&gt;=Projects!$C$23,71&lt;Projects!$C$23+Projects!$D$23),Projects!$B$23*INDEX(Curves!$B$4:$AR$4,1,71-Projects!$C$23+1),0)+IF(AND(Projects!$G$24="Yes",Projects!$M$24="Yes",71&gt;=Projects!$C$24,71&lt;Projects!$C$24+Projects!$D$24),Projects!$B$24*INDEX(Curves!$B$4:$AR$4,1,71-Projects!$C$24+1),0)+IF(AND(Projects!$G$25="Yes",Projects!$M$25="Yes",71&gt;=Projects!$C$25,71&lt;Projects!$C$25+Projects!$D$25),Projects!$B$25*INDEX(Curves!$B$4:$AR$4,1,71-Projects!$C$25+1),0)+IF(AND(Projects!$G$26="Yes",Projects!$M$26="Yes",71&gt;=Projects!$C$26,71&lt;Projects!$C$26+Projects!$D$26),Projects!$B$26*INDEX(Curves!$B$4:$AR$4,1,71-Projects!$C$26+1),0)+IF(AND(Projects!$G$27="Yes",Projects!$M$27="Yes",71&gt;=Projects!$C$27,71&lt;Projects!$C$27+Projects!$D$27),Projects!$B$27*INDEX(Curves!$B$4:$AR$4,1,71-Projects!$C$27+1),0)+IF(AND(Projects!$G$28="Yes",Projects!$M$28="Yes",71&gt;=Projects!$C$28,71&lt;Projects!$C$28+Projects!$D$28),Projects!$B$28*INDEX(Curves!$B$4:$AR$4,1,71-Projects!$C$28+1),0)+IF(AND(Projects!$G$29="Yes",Projects!$M$29="Yes",71&gt;=Projects!$C$29,71&lt;Projects!$C$29+Projects!$D$29),Projects!$B$29*INDEX(Curves!$B$4:$AR$4,1,71-Projects!$C$29+1),0)+IF(AND(Projects!$G$30="Yes",Projects!$M$30="Yes",71&gt;=Projects!$C$30,71&lt;Projects!$C$30+Projects!$D$30),Projects!$B$30*INDEX(Curves!$B$4:$AR$4,1,71-Projects!$C$30+1),0)+IF(AND(Projects!$G$31="Yes",Projects!$M$31="Yes",71&gt;=Projects!$C$31,71&lt;Projects!$C$31+Projects!$D$31),Projects!$B$31*INDEX(Curves!$B$4:$AR$4,1,71-Projects!$C$31+1),0)+IF(AND(Projects!$G$32="Yes",Projects!$M$32="Yes",71&gt;=Projects!$C$32,71&lt;Projects!$C$32+Projects!$D$32),Projects!$B$32*INDEX(Curves!$B$4:$AR$4,1,71-Projects!$C$32+1),0)+IF(AND(Projects!$G$33="Yes",Projects!$M$33="Yes",71&gt;=Projects!$C$33,71&lt;Projects!$C$33+Projects!$D$33),Projects!$B$33*INDEX(Curves!$B$4:$AR$4,1,71-Projects!$C$33+1),0)+IF(AND(Projects!$G$34="Yes",Projects!$M$34="Yes",71&gt;=Projects!$C$34,71&lt;Projects!$C$34+Projects!$D$34),Projects!$B$34*INDEX(Curves!$B$4:$AR$4,1,71-Projects!$C$34+1),0)+IF(AND(Projects!$G$35="Yes",Projects!$M$35="Yes",71&gt;=Projects!$C$35,71&lt;Projects!$C$35+Projects!$D$35),Projects!$B$35*INDEX(Curves!$B$4:$AR$4,1,71-Projects!$C$35+1),0)+IF(AND(Projects!$G$36="Yes",Projects!$M$36="Yes",71&gt;=Projects!$C$36,71&lt;Projects!$C$36+Projects!$D$36),Projects!$B$36*INDEX(Curves!$B$4:$AR$4,1,71-Projects!$C$36+1),0)+IF(AND(Projects!$G$37="Yes",Projects!$M$37="Yes",71&gt;=Projects!$C$37,71&lt;Projects!$C$37+Projects!$D$37),Projects!$B$37*INDEX(Curves!$B$4:$AR$4,1,71-Projects!$C$37+1),0)+IF(AND(Projects!$G$38="Yes",Projects!$M$38="Yes",71&gt;=Projects!$C$38,71&lt;Projects!$C$38+Projects!$D$38),Projects!$B$38*INDEX(Curves!$B$4:$AR$4,1,71-Projects!$C$38+1),0)+IF(AND(Projects!$G$39="Yes",Projects!$M$39="Yes",71&gt;=Projects!$C$39,71&lt;Projects!$C$39+Projects!$D$39),Projects!$B$39*INDEX(Curves!$B$4:$AR$4,1,71-Projects!$C$39+1),0)+IF(AND(Projects!$G$40="Yes",Projects!$M$40="Yes",71&gt;=Projects!$C$40,71&lt;Projects!$C$40+Projects!$D$40),Projects!$B$40*INDEX(Curves!$B$4:$AR$4,1,71-Projects!$C$40+1),0)+IF(AND(Projects!$G$41="Yes",Projects!$M$41="Yes",71&gt;=Projects!$C$41,71&lt;Projects!$C$41+Projects!$D$41),Projects!$B$41*INDEX(Curves!$B$4:$AR$4,1,71-Projects!$C$41+1),0)+IF(AND(Projects!$G$42="Yes",Projects!$M$42="Yes",71&gt;=Projects!$C$42,71&lt;Projects!$C$42+Projects!$D$42),Projects!$B$42*INDEX(Curves!$B$4:$AR$4,1,71-Projects!$C$42+1),0)+IF(AND(Projects!$G$43="Yes",Projects!$M$43="Yes",71&gt;=Projects!$C$43,71&lt;Projects!$C$43+Projects!$D$43),Projects!$B$43*INDEX(Curves!$B$4:$AR$4,1,71-Projects!$C$43+1),0)+IF(AND(Projects!$G$44="Yes",Projects!$M$44="Yes",71&gt;=Projects!$C$44,71&lt;Projects!$C$44+Projects!$D$44),Projects!$B$44*INDEX(Curves!$B$4:$AR$4,1,71-Projects!$C$44+1),0)+IF(AND(Projects!$G$45="Yes",Projects!$M$45="Yes",71&gt;=Projects!$C$45,71&lt;Projects!$C$45+Projects!$D$45),Projects!$B$45*INDEX(Curves!$B$4:$AR$4,1,71-Projects!$C$45+1),0)+IF(AND(Projects!$G$46="Yes",Projects!$M$46="Yes",71&gt;=Projects!$C$46,71&lt;Projects!$C$46+Projects!$D$46),Projects!$B$46*INDEX(Curves!$B$4:$AR$4,1,71-Projects!$C$46+1),0)</f>
        <v>0</v>
      </c>
      <c r="BY101" s="87" t="n">
        <f aca="false">IF(AND(Projects!$G$17="Yes",Projects!$M$17="Yes",72&gt;=Projects!$C$17,72&lt;Projects!$C$17+Projects!$D$17),Projects!$B$17*INDEX(Curves!$B$4:$AR$4,1,72-Projects!$C$17+1),0)+IF(AND(Projects!$G$18="Yes",Projects!$M$18="Yes",72&gt;=Projects!$C$18,72&lt;Projects!$C$18+Projects!$D$18),Projects!$B$18*INDEX(Curves!$B$4:$AR$4,1,72-Projects!$C$18+1),0)+IF(AND(Projects!$G$19="Yes",Projects!$M$19="Yes",72&gt;=Projects!$C$19,72&lt;Projects!$C$19+Projects!$D$19),Projects!$B$19*INDEX(Curves!$B$4:$AR$4,1,72-Projects!$C$19+1),0)+IF(AND(Projects!$G$20="Yes",Projects!$M$20="Yes",72&gt;=Projects!$C$20,72&lt;Projects!$C$20+Projects!$D$20),Projects!$B$20*INDEX(Curves!$B$4:$AR$4,1,72-Projects!$C$20+1),0)+IF(AND(Projects!$G$21="Yes",Projects!$M$21="Yes",72&gt;=Projects!$C$21,72&lt;Projects!$C$21+Projects!$D$21),Projects!$B$21*INDEX(Curves!$B$4:$AR$4,1,72-Projects!$C$21+1),0)+IF(AND(Projects!$G$22="Yes",Projects!$M$22="Yes",72&gt;=Projects!$C$22,72&lt;Projects!$C$22+Projects!$D$22),Projects!$B$22*INDEX(Curves!$B$4:$AR$4,1,72-Projects!$C$22+1),0)+IF(AND(Projects!$G$23="Yes",Projects!$M$23="Yes",72&gt;=Projects!$C$23,72&lt;Projects!$C$23+Projects!$D$23),Projects!$B$23*INDEX(Curves!$B$4:$AR$4,1,72-Projects!$C$23+1),0)+IF(AND(Projects!$G$24="Yes",Projects!$M$24="Yes",72&gt;=Projects!$C$24,72&lt;Projects!$C$24+Projects!$D$24),Projects!$B$24*INDEX(Curves!$B$4:$AR$4,1,72-Projects!$C$24+1),0)+IF(AND(Projects!$G$25="Yes",Projects!$M$25="Yes",72&gt;=Projects!$C$25,72&lt;Projects!$C$25+Projects!$D$25),Projects!$B$25*INDEX(Curves!$B$4:$AR$4,1,72-Projects!$C$25+1),0)+IF(AND(Projects!$G$26="Yes",Projects!$M$26="Yes",72&gt;=Projects!$C$26,72&lt;Projects!$C$26+Projects!$D$26),Projects!$B$26*INDEX(Curves!$B$4:$AR$4,1,72-Projects!$C$26+1),0)+IF(AND(Projects!$G$27="Yes",Projects!$M$27="Yes",72&gt;=Projects!$C$27,72&lt;Projects!$C$27+Projects!$D$27),Projects!$B$27*INDEX(Curves!$B$4:$AR$4,1,72-Projects!$C$27+1),0)+IF(AND(Projects!$G$28="Yes",Projects!$M$28="Yes",72&gt;=Projects!$C$28,72&lt;Projects!$C$28+Projects!$D$28),Projects!$B$28*INDEX(Curves!$B$4:$AR$4,1,72-Projects!$C$28+1),0)+IF(AND(Projects!$G$29="Yes",Projects!$M$29="Yes",72&gt;=Projects!$C$29,72&lt;Projects!$C$29+Projects!$D$29),Projects!$B$29*INDEX(Curves!$B$4:$AR$4,1,72-Projects!$C$29+1),0)+IF(AND(Projects!$G$30="Yes",Projects!$M$30="Yes",72&gt;=Projects!$C$30,72&lt;Projects!$C$30+Projects!$D$30),Projects!$B$30*INDEX(Curves!$B$4:$AR$4,1,72-Projects!$C$30+1),0)+IF(AND(Projects!$G$31="Yes",Projects!$M$31="Yes",72&gt;=Projects!$C$31,72&lt;Projects!$C$31+Projects!$D$31),Projects!$B$31*INDEX(Curves!$B$4:$AR$4,1,72-Projects!$C$31+1),0)+IF(AND(Projects!$G$32="Yes",Projects!$M$32="Yes",72&gt;=Projects!$C$32,72&lt;Projects!$C$32+Projects!$D$32),Projects!$B$32*INDEX(Curves!$B$4:$AR$4,1,72-Projects!$C$32+1),0)+IF(AND(Projects!$G$33="Yes",Projects!$M$33="Yes",72&gt;=Projects!$C$33,72&lt;Projects!$C$33+Projects!$D$33),Projects!$B$33*INDEX(Curves!$B$4:$AR$4,1,72-Projects!$C$33+1),0)+IF(AND(Projects!$G$34="Yes",Projects!$M$34="Yes",72&gt;=Projects!$C$34,72&lt;Projects!$C$34+Projects!$D$34),Projects!$B$34*INDEX(Curves!$B$4:$AR$4,1,72-Projects!$C$34+1),0)+IF(AND(Projects!$G$35="Yes",Projects!$M$35="Yes",72&gt;=Projects!$C$35,72&lt;Projects!$C$35+Projects!$D$35),Projects!$B$35*INDEX(Curves!$B$4:$AR$4,1,72-Projects!$C$35+1),0)+IF(AND(Projects!$G$36="Yes",Projects!$M$36="Yes",72&gt;=Projects!$C$36,72&lt;Projects!$C$36+Projects!$D$36),Projects!$B$36*INDEX(Curves!$B$4:$AR$4,1,72-Projects!$C$36+1),0)+IF(AND(Projects!$G$37="Yes",Projects!$M$37="Yes",72&gt;=Projects!$C$37,72&lt;Projects!$C$37+Projects!$D$37),Projects!$B$37*INDEX(Curves!$B$4:$AR$4,1,72-Projects!$C$37+1),0)+IF(AND(Projects!$G$38="Yes",Projects!$M$38="Yes",72&gt;=Projects!$C$38,72&lt;Projects!$C$38+Projects!$D$38),Projects!$B$38*INDEX(Curves!$B$4:$AR$4,1,72-Projects!$C$38+1),0)+IF(AND(Projects!$G$39="Yes",Projects!$M$39="Yes",72&gt;=Projects!$C$39,72&lt;Projects!$C$39+Projects!$D$39),Projects!$B$39*INDEX(Curves!$B$4:$AR$4,1,72-Projects!$C$39+1),0)+IF(AND(Projects!$G$40="Yes",Projects!$M$40="Yes",72&gt;=Projects!$C$40,72&lt;Projects!$C$40+Projects!$D$40),Projects!$B$40*INDEX(Curves!$B$4:$AR$4,1,72-Projects!$C$40+1),0)+IF(AND(Projects!$G$41="Yes",Projects!$M$41="Yes",72&gt;=Projects!$C$41,72&lt;Projects!$C$41+Projects!$D$41),Projects!$B$41*INDEX(Curves!$B$4:$AR$4,1,72-Projects!$C$41+1),0)+IF(AND(Projects!$G$42="Yes",Projects!$M$42="Yes",72&gt;=Projects!$C$42,72&lt;Projects!$C$42+Projects!$D$42),Projects!$B$42*INDEX(Curves!$B$4:$AR$4,1,72-Projects!$C$42+1),0)+IF(AND(Projects!$G$43="Yes",Projects!$M$43="Yes",72&gt;=Projects!$C$43,72&lt;Projects!$C$43+Projects!$D$43),Projects!$B$43*INDEX(Curves!$B$4:$AR$4,1,72-Projects!$C$43+1),0)+IF(AND(Projects!$G$44="Yes",Projects!$M$44="Yes",72&gt;=Projects!$C$44,72&lt;Projects!$C$44+Projects!$D$44),Projects!$B$44*INDEX(Curves!$B$4:$AR$4,1,72-Projects!$C$44+1),0)+IF(AND(Projects!$G$45="Yes",Projects!$M$45="Yes",72&gt;=Projects!$C$45,72&lt;Projects!$C$45+Projects!$D$45),Projects!$B$45*INDEX(Curves!$B$4:$AR$4,1,72-Projects!$C$45+1),0)+IF(AND(Projects!$G$46="Yes",Projects!$M$46="Yes",72&gt;=Projects!$C$46,72&lt;Projects!$C$46+Projects!$D$46),Projects!$B$46*INDEX(Curves!$B$4:$AR$4,1,72-Projects!$C$46+1),0)</f>
        <v>0</v>
      </c>
      <c r="BZ101" s="87" t="n">
        <f aca="false">IF(AND(Projects!$G$17="Yes",Projects!$M$17="Yes",73&gt;=Projects!$C$17,73&lt;Projects!$C$17+Projects!$D$17),Projects!$B$17*INDEX(Curves!$B$4:$AR$4,1,73-Projects!$C$17+1),0)+IF(AND(Projects!$G$18="Yes",Projects!$M$18="Yes",73&gt;=Projects!$C$18,73&lt;Projects!$C$18+Projects!$D$18),Projects!$B$18*INDEX(Curves!$B$4:$AR$4,1,73-Projects!$C$18+1),0)+IF(AND(Projects!$G$19="Yes",Projects!$M$19="Yes",73&gt;=Projects!$C$19,73&lt;Projects!$C$19+Projects!$D$19),Projects!$B$19*INDEX(Curves!$B$4:$AR$4,1,73-Projects!$C$19+1),0)+IF(AND(Projects!$G$20="Yes",Projects!$M$20="Yes",73&gt;=Projects!$C$20,73&lt;Projects!$C$20+Projects!$D$20),Projects!$B$20*INDEX(Curves!$B$4:$AR$4,1,73-Projects!$C$20+1),0)+IF(AND(Projects!$G$21="Yes",Projects!$M$21="Yes",73&gt;=Projects!$C$21,73&lt;Projects!$C$21+Projects!$D$21),Projects!$B$21*INDEX(Curves!$B$4:$AR$4,1,73-Projects!$C$21+1),0)+IF(AND(Projects!$G$22="Yes",Projects!$M$22="Yes",73&gt;=Projects!$C$22,73&lt;Projects!$C$22+Projects!$D$22),Projects!$B$22*INDEX(Curves!$B$4:$AR$4,1,73-Projects!$C$22+1),0)+IF(AND(Projects!$G$23="Yes",Projects!$M$23="Yes",73&gt;=Projects!$C$23,73&lt;Projects!$C$23+Projects!$D$23),Projects!$B$23*INDEX(Curves!$B$4:$AR$4,1,73-Projects!$C$23+1),0)+IF(AND(Projects!$G$24="Yes",Projects!$M$24="Yes",73&gt;=Projects!$C$24,73&lt;Projects!$C$24+Projects!$D$24),Projects!$B$24*INDEX(Curves!$B$4:$AR$4,1,73-Projects!$C$24+1),0)+IF(AND(Projects!$G$25="Yes",Projects!$M$25="Yes",73&gt;=Projects!$C$25,73&lt;Projects!$C$25+Projects!$D$25),Projects!$B$25*INDEX(Curves!$B$4:$AR$4,1,73-Projects!$C$25+1),0)+IF(AND(Projects!$G$26="Yes",Projects!$M$26="Yes",73&gt;=Projects!$C$26,73&lt;Projects!$C$26+Projects!$D$26),Projects!$B$26*INDEX(Curves!$B$4:$AR$4,1,73-Projects!$C$26+1),0)+IF(AND(Projects!$G$27="Yes",Projects!$M$27="Yes",73&gt;=Projects!$C$27,73&lt;Projects!$C$27+Projects!$D$27),Projects!$B$27*INDEX(Curves!$B$4:$AR$4,1,73-Projects!$C$27+1),0)+IF(AND(Projects!$G$28="Yes",Projects!$M$28="Yes",73&gt;=Projects!$C$28,73&lt;Projects!$C$28+Projects!$D$28),Projects!$B$28*INDEX(Curves!$B$4:$AR$4,1,73-Projects!$C$28+1),0)+IF(AND(Projects!$G$29="Yes",Projects!$M$29="Yes",73&gt;=Projects!$C$29,73&lt;Projects!$C$29+Projects!$D$29),Projects!$B$29*INDEX(Curves!$B$4:$AR$4,1,73-Projects!$C$29+1),0)+IF(AND(Projects!$G$30="Yes",Projects!$M$30="Yes",73&gt;=Projects!$C$30,73&lt;Projects!$C$30+Projects!$D$30),Projects!$B$30*INDEX(Curves!$B$4:$AR$4,1,73-Projects!$C$30+1),0)+IF(AND(Projects!$G$31="Yes",Projects!$M$31="Yes",73&gt;=Projects!$C$31,73&lt;Projects!$C$31+Projects!$D$31),Projects!$B$31*INDEX(Curves!$B$4:$AR$4,1,73-Projects!$C$31+1),0)+IF(AND(Projects!$G$32="Yes",Projects!$M$32="Yes",73&gt;=Projects!$C$32,73&lt;Projects!$C$32+Projects!$D$32),Projects!$B$32*INDEX(Curves!$B$4:$AR$4,1,73-Projects!$C$32+1),0)+IF(AND(Projects!$G$33="Yes",Projects!$M$33="Yes",73&gt;=Projects!$C$33,73&lt;Projects!$C$33+Projects!$D$33),Projects!$B$33*INDEX(Curves!$B$4:$AR$4,1,73-Projects!$C$33+1),0)+IF(AND(Projects!$G$34="Yes",Projects!$M$34="Yes",73&gt;=Projects!$C$34,73&lt;Projects!$C$34+Projects!$D$34),Projects!$B$34*INDEX(Curves!$B$4:$AR$4,1,73-Projects!$C$34+1),0)+IF(AND(Projects!$G$35="Yes",Projects!$M$35="Yes",73&gt;=Projects!$C$35,73&lt;Projects!$C$35+Projects!$D$35),Projects!$B$35*INDEX(Curves!$B$4:$AR$4,1,73-Projects!$C$35+1),0)+IF(AND(Projects!$G$36="Yes",Projects!$M$36="Yes",73&gt;=Projects!$C$36,73&lt;Projects!$C$36+Projects!$D$36),Projects!$B$36*INDEX(Curves!$B$4:$AR$4,1,73-Projects!$C$36+1),0)+IF(AND(Projects!$G$37="Yes",Projects!$M$37="Yes",73&gt;=Projects!$C$37,73&lt;Projects!$C$37+Projects!$D$37),Projects!$B$37*INDEX(Curves!$B$4:$AR$4,1,73-Projects!$C$37+1),0)+IF(AND(Projects!$G$38="Yes",Projects!$M$38="Yes",73&gt;=Projects!$C$38,73&lt;Projects!$C$38+Projects!$D$38),Projects!$B$38*INDEX(Curves!$B$4:$AR$4,1,73-Projects!$C$38+1),0)+IF(AND(Projects!$G$39="Yes",Projects!$M$39="Yes",73&gt;=Projects!$C$39,73&lt;Projects!$C$39+Projects!$D$39),Projects!$B$39*INDEX(Curves!$B$4:$AR$4,1,73-Projects!$C$39+1),0)+IF(AND(Projects!$G$40="Yes",Projects!$M$40="Yes",73&gt;=Projects!$C$40,73&lt;Projects!$C$40+Projects!$D$40),Projects!$B$40*INDEX(Curves!$B$4:$AR$4,1,73-Projects!$C$40+1),0)+IF(AND(Projects!$G$41="Yes",Projects!$M$41="Yes",73&gt;=Projects!$C$41,73&lt;Projects!$C$41+Projects!$D$41),Projects!$B$41*INDEX(Curves!$B$4:$AR$4,1,73-Projects!$C$41+1),0)+IF(AND(Projects!$G$42="Yes",Projects!$M$42="Yes",73&gt;=Projects!$C$42,73&lt;Projects!$C$42+Projects!$D$42),Projects!$B$42*INDEX(Curves!$B$4:$AR$4,1,73-Projects!$C$42+1),0)+IF(AND(Projects!$G$43="Yes",Projects!$M$43="Yes",73&gt;=Projects!$C$43,73&lt;Projects!$C$43+Projects!$D$43),Projects!$B$43*INDEX(Curves!$B$4:$AR$4,1,73-Projects!$C$43+1),0)+IF(AND(Projects!$G$44="Yes",Projects!$M$44="Yes",73&gt;=Projects!$C$44,73&lt;Projects!$C$44+Projects!$D$44),Projects!$B$44*INDEX(Curves!$B$4:$AR$4,1,73-Projects!$C$44+1),0)+IF(AND(Projects!$G$45="Yes",Projects!$M$45="Yes",73&gt;=Projects!$C$45,73&lt;Projects!$C$45+Projects!$D$45),Projects!$B$45*INDEX(Curves!$B$4:$AR$4,1,73-Projects!$C$45+1),0)+IF(AND(Projects!$G$46="Yes",Projects!$M$46="Yes",73&gt;=Projects!$C$46,73&lt;Projects!$C$46+Projects!$D$46),Projects!$B$46*INDEX(Curves!$B$4:$AR$4,1,73-Projects!$C$46+1),0)</f>
        <v>0</v>
      </c>
      <c r="CA101" s="87" t="n">
        <f aca="false">IF(AND(Projects!$G$17="Yes",Projects!$M$17="Yes",74&gt;=Projects!$C$17,74&lt;Projects!$C$17+Projects!$D$17),Projects!$B$17*INDEX(Curves!$B$4:$AR$4,1,74-Projects!$C$17+1),0)+IF(AND(Projects!$G$18="Yes",Projects!$M$18="Yes",74&gt;=Projects!$C$18,74&lt;Projects!$C$18+Projects!$D$18),Projects!$B$18*INDEX(Curves!$B$4:$AR$4,1,74-Projects!$C$18+1),0)+IF(AND(Projects!$G$19="Yes",Projects!$M$19="Yes",74&gt;=Projects!$C$19,74&lt;Projects!$C$19+Projects!$D$19),Projects!$B$19*INDEX(Curves!$B$4:$AR$4,1,74-Projects!$C$19+1),0)+IF(AND(Projects!$G$20="Yes",Projects!$M$20="Yes",74&gt;=Projects!$C$20,74&lt;Projects!$C$20+Projects!$D$20),Projects!$B$20*INDEX(Curves!$B$4:$AR$4,1,74-Projects!$C$20+1),0)+IF(AND(Projects!$G$21="Yes",Projects!$M$21="Yes",74&gt;=Projects!$C$21,74&lt;Projects!$C$21+Projects!$D$21),Projects!$B$21*INDEX(Curves!$B$4:$AR$4,1,74-Projects!$C$21+1),0)+IF(AND(Projects!$G$22="Yes",Projects!$M$22="Yes",74&gt;=Projects!$C$22,74&lt;Projects!$C$22+Projects!$D$22),Projects!$B$22*INDEX(Curves!$B$4:$AR$4,1,74-Projects!$C$22+1),0)+IF(AND(Projects!$G$23="Yes",Projects!$M$23="Yes",74&gt;=Projects!$C$23,74&lt;Projects!$C$23+Projects!$D$23),Projects!$B$23*INDEX(Curves!$B$4:$AR$4,1,74-Projects!$C$23+1),0)+IF(AND(Projects!$G$24="Yes",Projects!$M$24="Yes",74&gt;=Projects!$C$24,74&lt;Projects!$C$24+Projects!$D$24),Projects!$B$24*INDEX(Curves!$B$4:$AR$4,1,74-Projects!$C$24+1),0)+IF(AND(Projects!$G$25="Yes",Projects!$M$25="Yes",74&gt;=Projects!$C$25,74&lt;Projects!$C$25+Projects!$D$25),Projects!$B$25*INDEX(Curves!$B$4:$AR$4,1,74-Projects!$C$25+1),0)+IF(AND(Projects!$G$26="Yes",Projects!$M$26="Yes",74&gt;=Projects!$C$26,74&lt;Projects!$C$26+Projects!$D$26),Projects!$B$26*INDEX(Curves!$B$4:$AR$4,1,74-Projects!$C$26+1),0)+IF(AND(Projects!$G$27="Yes",Projects!$M$27="Yes",74&gt;=Projects!$C$27,74&lt;Projects!$C$27+Projects!$D$27),Projects!$B$27*INDEX(Curves!$B$4:$AR$4,1,74-Projects!$C$27+1),0)+IF(AND(Projects!$G$28="Yes",Projects!$M$28="Yes",74&gt;=Projects!$C$28,74&lt;Projects!$C$28+Projects!$D$28),Projects!$B$28*INDEX(Curves!$B$4:$AR$4,1,74-Projects!$C$28+1),0)+IF(AND(Projects!$G$29="Yes",Projects!$M$29="Yes",74&gt;=Projects!$C$29,74&lt;Projects!$C$29+Projects!$D$29),Projects!$B$29*INDEX(Curves!$B$4:$AR$4,1,74-Projects!$C$29+1),0)+IF(AND(Projects!$G$30="Yes",Projects!$M$30="Yes",74&gt;=Projects!$C$30,74&lt;Projects!$C$30+Projects!$D$30),Projects!$B$30*INDEX(Curves!$B$4:$AR$4,1,74-Projects!$C$30+1),0)+IF(AND(Projects!$G$31="Yes",Projects!$M$31="Yes",74&gt;=Projects!$C$31,74&lt;Projects!$C$31+Projects!$D$31),Projects!$B$31*INDEX(Curves!$B$4:$AR$4,1,74-Projects!$C$31+1),0)+IF(AND(Projects!$G$32="Yes",Projects!$M$32="Yes",74&gt;=Projects!$C$32,74&lt;Projects!$C$32+Projects!$D$32),Projects!$B$32*INDEX(Curves!$B$4:$AR$4,1,74-Projects!$C$32+1),0)+IF(AND(Projects!$G$33="Yes",Projects!$M$33="Yes",74&gt;=Projects!$C$33,74&lt;Projects!$C$33+Projects!$D$33),Projects!$B$33*INDEX(Curves!$B$4:$AR$4,1,74-Projects!$C$33+1),0)+IF(AND(Projects!$G$34="Yes",Projects!$M$34="Yes",74&gt;=Projects!$C$34,74&lt;Projects!$C$34+Projects!$D$34),Projects!$B$34*INDEX(Curves!$B$4:$AR$4,1,74-Projects!$C$34+1),0)+IF(AND(Projects!$G$35="Yes",Projects!$M$35="Yes",74&gt;=Projects!$C$35,74&lt;Projects!$C$35+Projects!$D$35),Projects!$B$35*INDEX(Curves!$B$4:$AR$4,1,74-Projects!$C$35+1),0)+IF(AND(Projects!$G$36="Yes",Projects!$M$36="Yes",74&gt;=Projects!$C$36,74&lt;Projects!$C$36+Projects!$D$36),Projects!$B$36*INDEX(Curves!$B$4:$AR$4,1,74-Projects!$C$36+1),0)+IF(AND(Projects!$G$37="Yes",Projects!$M$37="Yes",74&gt;=Projects!$C$37,74&lt;Projects!$C$37+Projects!$D$37),Projects!$B$37*INDEX(Curves!$B$4:$AR$4,1,74-Projects!$C$37+1),0)+IF(AND(Projects!$G$38="Yes",Projects!$M$38="Yes",74&gt;=Projects!$C$38,74&lt;Projects!$C$38+Projects!$D$38),Projects!$B$38*INDEX(Curves!$B$4:$AR$4,1,74-Projects!$C$38+1),0)+IF(AND(Projects!$G$39="Yes",Projects!$M$39="Yes",74&gt;=Projects!$C$39,74&lt;Projects!$C$39+Projects!$D$39),Projects!$B$39*INDEX(Curves!$B$4:$AR$4,1,74-Projects!$C$39+1),0)+IF(AND(Projects!$G$40="Yes",Projects!$M$40="Yes",74&gt;=Projects!$C$40,74&lt;Projects!$C$40+Projects!$D$40),Projects!$B$40*INDEX(Curves!$B$4:$AR$4,1,74-Projects!$C$40+1),0)+IF(AND(Projects!$G$41="Yes",Projects!$M$41="Yes",74&gt;=Projects!$C$41,74&lt;Projects!$C$41+Projects!$D$41),Projects!$B$41*INDEX(Curves!$B$4:$AR$4,1,74-Projects!$C$41+1),0)+IF(AND(Projects!$G$42="Yes",Projects!$M$42="Yes",74&gt;=Projects!$C$42,74&lt;Projects!$C$42+Projects!$D$42),Projects!$B$42*INDEX(Curves!$B$4:$AR$4,1,74-Projects!$C$42+1),0)+IF(AND(Projects!$G$43="Yes",Projects!$M$43="Yes",74&gt;=Projects!$C$43,74&lt;Projects!$C$43+Projects!$D$43),Projects!$B$43*INDEX(Curves!$B$4:$AR$4,1,74-Projects!$C$43+1),0)+IF(AND(Projects!$G$44="Yes",Projects!$M$44="Yes",74&gt;=Projects!$C$44,74&lt;Projects!$C$44+Projects!$D$44),Projects!$B$44*INDEX(Curves!$B$4:$AR$4,1,74-Projects!$C$44+1),0)+IF(AND(Projects!$G$45="Yes",Projects!$M$45="Yes",74&gt;=Projects!$C$45,74&lt;Projects!$C$45+Projects!$D$45),Projects!$B$45*INDEX(Curves!$B$4:$AR$4,1,74-Projects!$C$45+1),0)+IF(AND(Projects!$G$46="Yes",Projects!$M$46="Yes",74&gt;=Projects!$C$46,74&lt;Projects!$C$46+Projects!$D$46),Projects!$B$46*INDEX(Curves!$B$4:$AR$4,1,74-Projects!$C$46+1),0)</f>
        <v>0</v>
      </c>
      <c r="CB101" s="87" t="n">
        <f aca="false">IF(AND(Projects!$G$17="Yes",Projects!$M$17="Yes",75&gt;=Projects!$C$17,75&lt;Projects!$C$17+Projects!$D$17),Projects!$B$17*INDEX(Curves!$B$4:$AR$4,1,75-Projects!$C$17+1),0)+IF(AND(Projects!$G$18="Yes",Projects!$M$18="Yes",75&gt;=Projects!$C$18,75&lt;Projects!$C$18+Projects!$D$18),Projects!$B$18*INDEX(Curves!$B$4:$AR$4,1,75-Projects!$C$18+1),0)+IF(AND(Projects!$G$19="Yes",Projects!$M$19="Yes",75&gt;=Projects!$C$19,75&lt;Projects!$C$19+Projects!$D$19),Projects!$B$19*INDEX(Curves!$B$4:$AR$4,1,75-Projects!$C$19+1),0)+IF(AND(Projects!$G$20="Yes",Projects!$M$20="Yes",75&gt;=Projects!$C$20,75&lt;Projects!$C$20+Projects!$D$20),Projects!$B$20*INDEX(Curves!$B$4:$AR$4,1,75-Projects!$C$20+1),0)+IF(AND(Projects!$G$21="Yes",Projects!$M$21="Yes",75&gt;=Projects!$C$21,75&lt;Projects!$C$21+Projects!$D$21),Projects!$B$21*INDEX(Curves!$B$4:$AR$4,1,75-Projects!$C$21+1),0)+IF(AND(Projects!$G$22="Yes",Projects!$M$22="Yes",75&gt;=Projects!$C$22,75&lt;Projects!$C$22+Projects!$D$22),Projects!$B$22*INDEX(Curves!$B$4:$AR$4,1,75-Projects!$C$22+1),0)+IF(AND(Projects!$G$23="Yes",Projects!$M$23="Yes",75&gt;=Projects!$C$23,75&lt;Projects!$C$23+Projects!$D$23),Projects!$B$23*INDEX(Curves!$B$4:$AR$4,1,75-Projects!$C$23+1),0)+IF(AND(Projects!$G$24="Yes",Projects!$M$24="Yes",75&gt;=Projects!$C$24,75&lt;Projects!$C$24+Projects!$D$24),Projects!$B$24*INDEX(Curves!$B$4:$AR$4,1,75-Projects!$C$24+1),0)+IF(AND(Projects!$G$25="Yes",Projects!$M$25="Yes",75&gt;=Projects!$C$25,75&lt;Projects!$C$25+Projects!$D$25),Projects!$B$25*INDEX(Curves!$B$4:$AR$4,1,75-Projects!$C$25+1),0)+IF(AND(Projects!$G$26="Yes",Projects!$M$26="Yes",75&gt;=Projects!$C$26,75&lt;Projects!$C$26+Projects!$D$26),Projects!$B$26*INDEX(Curves!$B$4:$AR$4,1,75-Projects!$C$26+1),0)+IF(AND(Projects!$G$27="Yes",Projects!$M$27="Yes",75&gt;=Projects!$C$27,75&lt;Projects!$C$27+Projects!$D$27),Projects!$B$27*INDEX(Curves!$B$4:$AR$4,1,75-Projects!$C$27+1),0)+IF(AND(Projects!$G$28="Yes",Projects!$M$28="Yes",75&gt;=Projects!$C$28,75&lt;Projects!$C$28+Projects!$D$28),Projects!$B$28*INDEX(Curves!$B$4:$AR$4,1,75-Projects!$C$28+1),0)+IF(AND(Projects!$G$29="Yes",Projects!$M$29="Yes",75&gt;=Projects!$C$29,75&lt;Projects!$C$29+Projects!$D$29),Projects!$B$29*INDEX(Curves!$B$4:$AR$4,1,75-Projects!$C$29+1),0)+IF(AND(Projects!$G$30="Yes",Projects!$M$30="Yes",75&gt;=Projects!$C$30,75&lt;Projects!$C$30+Projects!$D$30),Projects!$B$30*INDEX(Curves!$B$4:$AR$4,1,75-Projects!$C$30+1),0)+IF(AND(Projects!$G$31="Yes",Projects!$M$31="Yes",75&gt;=Projects!$C$31,75&lt;Projects!$C$31+Projects!$D$31),Projects!$B$31*INDEX(Curves!$B$4:$AR$4,1,75-Projects!$C$31+1),0)+IF(AND(Projects!$G$32="Yes",Projects!$M$32="Yes",75&gt;=Projects!$C$32,75&lt;Projects!$C$32+Projects!$D$32),Projects!$B$32*INDEX(Curves!$B$4:$AR$4,1,75-Projects!$C$32+1),0)+IF(AND(Projects!$G$33="Yes",Projects!$M$33="Yes",75&gt;=Projects!$C$33,75&lt;Projects!$C$33+Projects!$D$33),Projects!$B$33*INDEX(Curves!$B$4:$AR$4,1,75-Projects!$C$33+1),0)+IF(AND(Projects!$G$34="Yes",Projects!$M$34="Yes",75&gt;=Projects!$C$34,75&lt;Projects!$C$34+Projects!$D$34),Projects!$B$34*INDEX(Curves!$B$4:$AR$4,1,75-Projects!$C$34+1),0)+IF(AND(Projects!$G$35="Yes",Projects!$M$35="Yes",75&gt;=Projects!$C$35,75&lt;Projects!$C$35+Projects!$D$35),Projects!$B$35*INDEX(Curves!$B$4:$AR$4,1,75-Projects!$C$35+1),0)+IF(AND(Projects!$G$36="Yes",Projects!$M$36="Yes",75&gt;=Projects!$C$36,75&lt;Projects!$C$36+Projects!$D$36),Projects!$B$36*INDEX(Curves!$B$4:$AR$4,1,75-Projects!$C$36+1),0)+IF(AND(Projects!$G$37="Yes",Projects!$M$37="Yes",75&gt;=Projects!$C$37,75&lt;Projects!$C$37+Projects!$D$37),Projects!$B$37*INDEX(Curves!$B$4:$AR$4,1,75-Projects!$C$37+1),0)+IF(AND(Projects!$G$38="Yes",Projects!$M$38="Yes",75&gt;=Projects!$C$38,75&lt;Projects!$C$38+Projects!$D$38),Projects!$B$38*INDEX(Curves!$B$4:$AR$4,1,75-Projects!$C$38+1),0)+IF(AND(Projects!$G$39="Yes",Projects!$M$39="Yes",75&gt;=Projects!$C$39,75&lt;Projects!$C$39+Projects!$D$39),Projects!$B$39*INDEX(Curves!$B$4:$AR$4,1,75-Projects!$C$39+1),0)+IF(AND(Projects!$G$40="Yes",Projects!$M$40="Yes",75&gt;=Projects!$C$40,75&lt;Projects!$C$40+Projects!$D$40),Projects!$B$40*INDEX(Curves!$B$4:$AR$4,1,75-Projects!$C$40+1),0)+IF(AND(Projects!$G$41="Yes",Projects!$M$41="Yes",75&gt;=Projects!$C$41,75&lt;Projects!$C$41+Projects!$D$41),Projects!$B$41*INDEX(Curves!$B$4:$AR$4,1,75-Projects!$C$41+1),0)+IF(AND(Projects!$G$42="Yes",Projects!$M$42="Yes",75&gt;=Projects!$C$42,75&lt;Projects!$C$42+Projects!$D$42),Projects!$B$42*INDEX(Curves!$B$4:$AR$4,1,75-Projects!$C$42+1),0)+IF(AND(Projects!$G$43="Yes",Projects!$M$43="Yes",75&gt;=Projects!$C$43,75&lt;Projects!$C$43+Projects!$D$43),Projects!$B$43*INDEX(Curves!$B$4:$AR$4,1,75-Projects!$C$43+1),0)+IF(AND(Projects!$G$44="Yes",Projects!$M$44="Yes",75&gt;=Projects!$C$44,75&lt;Projects!$C$44+Projects!$D$44),Projects!$B$44*INDEX(Curves!$B$4:$AR$4,1,75-Projects!$C$44+1),0)+IF(AND(Projects!$G$45="Yes",Projects!$M$45="Yes",75&gt;=Projects!$C$45,75&lt;Projects!$C$45+Projects!$D$45),Projects!$B$45*INDEX(Curves!$B$4:$AR$4,1,75-Projects!$C$45+1),0)+IF(AND(Projects!$G$46="Yes",Projects!$M$46="Yes",75&gt;=Projects!$C$46,75&lt;Projects!$C$46+Projects!$D$46),Projects!$B$46*INDEX(Curves!$B$4:$AR$4,1,75-Projects!$C$46+1),0)</f>
        <v>0</v>
      </c>
      <c r="CC101" s="87" t="n">
        <f aca="false">IF(AND(Projects!$G$17="Yes",Projects!$M$17="Yes",76&gt;=Projects!$C$17,76&lt;Projects!$C$17+Projects!$D$17),Projects!$B$17*INDEX(Curves!$B$4:$AR$4,1,76-Projects!$C$17+1),0)+IF(AND(Projects!$G$18="Yes",Projects!$M$18="Yes",76&gt;=Projects!$C$18,76&lt;Projects!$C$18+Projects!$D$18),Projects!$B$18*INDEX(Curves!$B$4:$AR$4,1,76-Projects!$C$18+1),0)+IF(AND(Projects!$G$19="Yes",Projects!$M$19="Yes",76&gt;=Projects!$C$19,76&lt;Projects!$C$19+Projects!$D$19),Projects!$B$19*INDEX(Curves!$B$4:$AR$4,1,76-Projects!$C$19+1),0)+IF(AND(Projects!$G$20="Yes",Projects!$M$20="Yes",76&gt;=Projects!$C$20,76&lt;Projects!$C$20+Projects!$D$20),Projects!$B$20*INDEX(Curves!$B$4:$AR$4,1,76-Projects!$C$20+1),0)+IF(AND(Projects!$G$21="Yes",Projects!$M$21="Yes",76&gt;=Projects!$C$21,76&lt;Projects!$C$21+Projects!$D$21),Projects!$B$21*INDEX(Curves!$B$4:$AR$4,1,76-Projects!$C$21+1),0)+IF(AND(Projects!$G$22="Yes",Projects!$M$22="Yes",76&gt;=Projects!$C$22,76&lt;Projects!$C$22+Projects!$D$22),Projects!$B$22*INDEX(Curves!$B$4:$AR$4,1,76-Projects!$C$22+1),0)+IF(AND(Projects!$G$23="Yes",Projects!$M$23="Yes",76&gt;=Projects!$C$23,76&lt;Projects!$C$23+Projects!$D$23),Projects!$B$23*INDEX(Curves!$B$4:$AR$4,1,76-Projects!$C$23+1),0)+IF(AND(Projects!$G$24="Yes",Projects!$M$24="Yes",76&gt;=Projects!$C$24,76&lt;Projects!$C$24+Projects!$D$24),Projects!$B$24*INDEX(Curves!$B$4:$AR$4,1,76-Projects!$C$24+1),0)+IF(AND(Projects!$G$25="Yes",Projects!$M$25="Yes",76&gt;=Projects!$C$25,76&lt;Projects!$C$25+Projects!$D$25),Projects!$B$25*INDEX(Curves!$B$4:$AR$4,1,76-Projects!$C$25+1),0)+IF(AND(Projects!$G$26="Yes",Projects!$M$26="Yes",76&gt;=Projects!$C$26,76&lt;Projects!$C$26+Projects!$D$26),Projects!$B$26*INDEX(Curves!$B$4:$AR$4,1,76-Projects!$C$26+1),0)+IF(AND(Projects!$G$27="Yes",Projects!$M$27="Yes",76&gt;=Projects!$C$27,76&lt;Projects!$C$27+Projects!$D$27),Projects!$B$27*INDEX(Curves!$B$4:$AR$4,1,76-Projects!$C$27+1),0)+IF(AND(Projects!$G$28="Yes",Projects!$M$28="Yes",76&gt;=Projects!$C$28,76&lt;Projects!$C$28+Projects!$D$28),Projects!$B$28*INDEX(Curves!$B$4:$AR$4,1,76-Projects!$C$28+1),0)+IF(AND(Projects!$G$29="Yes",Projects!$M$29="Yes",76&gt;=Projects!$C$29,76&lt;Projects!$C$29+Projects!$D$29),Projects!$B$29*INDEX(Curves!$B$4:$AR$4,1,76-Projects!$C$29+1),0)+IF(AND(Projects!$G$30="Yes",Projects!$M$30="Yes",76&gt;=Projects!$C$30,76&lt;Projects!$C$30+Projects!$D$30),Projects!$B$30*INDEX(Curves!$B$4:$AR$4,1,76-Projects!$C$30+1),0)+IF(AND(Projects!$G$31="Yes",Projects!$M$31="Yes",76&gt;=Projects!$C$31,76&lt;Projects!$C$31+Projects!$D$31),Projects!$B$31*INDEX(Curves!$B$4:$AR$4,1,76-Projects!$C$31+1),0)+IF(AND(Projects!$G$32="Yes",Projects!$M$32="Yes",76&gt;=Projects!$C$32,76&lt;Projects!$C$32+Projects!$D$32),Projects!$B$32*INDEX(Curves!$B$4:$AR$4,1,76-Projects!$C$32+1),0)+IF(AND(Projects!$G$33="Yes",Projects!$M$33="Yes",76&gt;=Projects!$C$33,76&lt;Projects!$C$33+Projects!$D$33),Projects!$B$33*INDEX(Curves!$B$4:$AR$4,1,76-Projects!$C$33+1),0)+IF(AND(Projects!$G$34="Yes",Projects!$M$34="Yes",76&gt;=Projects!$C$34,76&lt;Projects!$C$34+Projects!$D$34),Projects!$B$34*INDEX(Curves!$B$4:$AR$4,1,76-Projects!$C$34+1),0)+IF(AND(Projects!$G$35="Yes",Projects!$M$35="Yes",76&gt;=Projects!$C$35,76&lt;Projects!$C$35+Projects!$D$35),Projects!$B$35*INDEX(Curves!$B$4:$AR$4,1,76-Projects!$C$35+1),0)+IF(AND(Projects!$G$36="Yes",Projects!$M$36="Yes",76&gt;=Projects!$C$36,76&lt;Projects!$C$36+Projects!$D$36),Projects!$B$36*INDEX(Curves!$B$4:$AR$4,1,76-Projects!$C$36+1),0)+IF(AND(Projects!$G$37="Yes",Projects!$M$37="Yes",76&gt;=Projects!$C$37,76&lt;Projects!$C$37+Projects!$D$37),Projects!$B$37*INDEX(Curves!$B$4:$AR$4,1,76-Projects!$C$37+1),0)+IF(AND(Projects!$G$38="Yes",Projects!$M$38="Yes",76&gt;=Projects!$C$38,76&lt;Projects!$C$38+Projects!$D$38),Projects!$B$38*INDEX(Curves!$B$4:$AR$4,1,76-Projects!$C$38+1),0)+IF(AND(Projects!$G$39="Yes",Projects!$M$39="Yes",76&gt;=Projects!$C$39,76&lt;Projects!$C$39+Projects!$D$39),Projects!$B$39*INDEX(Curves!$B$4:$AR$4,1,76-Projects!$C$39+1),0)+IF(AND(Projects!$G$40="Yes",Projects!$M$40="Yes",76&gt;=Projects!$C$40,76&lt;Projects!$C$40+Projects!$D$40),Projects!$B$40*INDEX(Curves!$B$4:$AR$4,1,76-Projects!$C$40+1),0)+IF(AND(Projects!$G$41="Yes",Projects!$M$41="Yes",76&gt;=Projects!$C$41,76&lt;Projects!$C$41+Projects!$D$41),Projects!$B$41*INDEX(Curves!$B$4:$AR$4,1,76-Projects!$C$41+1),0)+IF(AND(Projects!$G$42="Yes",Projects!$M$42="Yes",76&gt;=Projects!$C$42,76&lt;Projects!$C$42+Projects!$D$42),Projects!$B$42*INDEX(Curves!$B$4:$AR$4,1,76-Projects!$C$42+1),0)+IF(AND(Projects!$G$43="Yes",Projects!$M$43="Yes",76&gt;=Projects!$C$43,76&lt;Projects!$C$43+Projects!$D$43),Projects!$B$43*INDEX(Curves!$B$4:$AR$4,1,76-Projects!$C$43+1),0)+IF(AND(Projects!$G$44="Yes",Projects!$M$44="Yes",76&gt;=Projects!$C$44,76&lt;Projects!$C$44+Projects!$D$44),Projects!$B$44*INDEX(Curves!$B$4:$AR$4,1,76-Projects!$C$44+1),0)+IF(AND(Projects!$G$45="Yes",Projects!$M$45="Yes",76&gt;=Projects!$C$45,76&lt;Projects!$C$45+Projects!$D$45),Projects!$B$45*INDEX(Curves!$B$4:$AR$4,1,76-Projects!$C$45+1),0)+IF(AND(Projects!$G$46="Yes",Projects!$M$46="Yes",76&gt;=Projects!$C$46,76&lt;Projects!$C$46+Projects!$D$46),Projects!$B$46*INDEX(Curves!$B$4:$AR$4,1,76-Projects!$C$46+1),0)</f>
        <v>0</v>
      </c>
      <c r="CD101" s="87" t="n">
        <f aca="false">IF(AND(Projects!$G$17="Yes",Projects!$M$17="Yes",77&gt;=Projects!$C$17,77&lt;Projects!$C$17+Projects!$D$17),Projects!$B$17*INDEX(Curves!$B$4:$AR$4,1,77-Projects!$C$17+1),0)+IF(AND(Projects!$G$18="Yes",Projects!$M$18="Yes",77&gt;=Projects!$C$18,77&lt;Projects!$C$18+Projects!$D$18),Projects!$B$18*INDEX(Curves!$B$4:$AR$4,1,77-Projects!$C$18+1),0)+IF(AND(Projects!$G$19="Yes",Projects!$M$19="Yes",77&gt;=Projects!$C$19,77&lt;Projects!$C$19+Projects!$D$19),Projects!$B$19*INDEX(Curves!$B$4:$AR$4,1,77-Projects!$C$19+1),0)+IF(AND(Projects!$G$20="Yes",Projects!$M$20="Yes",77&gt;=Projects!$C$20,77&lt;Projects!$C$20+Projects!$D$20),Projects!$B$20*INDEX(Curves!$B$4:$AR$4,1,77-Projects!$C$20+1),0)+IF(AND(Projects!$G$21="Yes",Projects!$M$21="Yes",77&gt;=Projects!$C$21,77&lt;Projects!$C$21+Projects!$D$21),Projects!$B$21*INDEX(Curves!$B$4:$AR$4,1,77-Projects!$C$21+1),0)+IF(AND(Projects!$G$22="Yes",Projects!$M$22="Yes",77&gt;=Projects!$C$22,77&lt;Projects!$C$22+Projects!$D$22),Projects!$B$22*INDEX(Curves!$B$4:$AR$4,1,77-Projects!$C$22+1),0)+IF(AND(Projects!$G$23="Yes",Projects!$M$23="Yes",77&gt;=Projects!$C$23,77&lt;Projects!$C$23+Projects!$D$23),Projects!$B$23*INDEX(Curves!$B$4:$AR$4,1,77-Projects!$C$23+1),0)+IF(AND(Projects!$G$24="Yes",Projects!$M$24="Yes",77&gt;=Projects!$C$24,77&lt;Projects!$C$24+Projects!$D$24),Projects!$B$24*INDEX(Curves!$B$4:$AR$4,1,77-Projects!$C$24+1),0)+IF(AND(Projects!$G$25="Yes",Projects!$M$25="Yes",77&gt;=Projects!$C$25,77&lt;Projects!$C$25+Projects!$D$25),Projects!$B$25*INDEX(Curves!$B$4:$AR$4,1,77-Projects!$C$25+1),0)+IF(AND(Projects!$G$26="Yes",Projects!$M$26="Yes",77&gt;=Projects!$C$26,77&lt;Projects!$C$26+Projects!$D$26),Projects!$B$26*INDEX(Curves!$B$4:$AR$4,1,77-Projects!$C$26+1),0)+IF(AND(Projects!$G$27="Yes",Projects!$M$27="Yes",77&gt;=Projects!$C$27,77&lt;Projects!$C$27+Projects!$D$27),Projects!$B$27*INDEX(Curves!$B$4:$AR$4,1,77-Projects!$C$27+1),0)+IF(AND(Projects!$G$28="Yes",Projects!$M$28="Yes",77&gt;=Projects!$C$28,77&lt;Projects!$C$28+Projects!$D$28),Projects!$B$28*INDEX(Curves!$B$4:$AR$4,1,77-Projects!$C$28+1),0)+IF(AND(Projects!$G$29="Yes",Projects!$M$29="Yes",77&gt;=Projects!$C$29,77&lt;Projects!$C$29+Projects!$D$29),Projects!$B$29*INDEX(Curves!$B$4:$AR$4,1,77-Projects!$C$29+1),0)+IF(AND(Projects!$G$30="Yes",Projects!$M$30="Yes",77&gt;=Projects!$C$30,77&lt;Projects!$C$30+Projects!$D$30),Projects!$B$30*INDEX(Curves!$B$4:$AR$4,1,77-Projects!$C$30+1),0)+IF(AND(Projects!$G$31="Yes",Projects!$M$31="Yes",77&gt;=Projects!$C$31,77&lt;Projects!$C$31+Projects!$D$31),Projects!$B$31*INDEX(Curves!$B$4:$AR$4,1,77-Projects!$C$31+1),0)+IF(AND(Projects!$G$32="Yes",Projects!$M$32="Yes",77&gt;=Projects!$C$32,77&lt;Projects!$C$32+Projects!$D$32),Projects!$B$32*INDEX(Curves!$B$4:$AR$4,1,77-Projects!$C$32+1),0)+IF(AND(Projects!$G$33="Yes",Projects!$M$33="Yes",77&gt;=Projects!$C$33,77&lt;Projects!$C$33+Projects!$D$33),Projects!$B$33*INDEX(Curves!$B$4:$AR$4,1,77-Projects!$C$33+1),0)+IF(AND(Projects!$G$34="Yes",Projects!$M$34="Yes",77&gt;=Projects!$C$34,77&lt;Projects!$C$34+Projects!$D$34),Projects!$B$34*INDEX(Curves!$B$4:$AR$4,1,77-Projects!$C$34+1),0)+IF(AND(Projects!$G$35="Yes",Projects!$M$35="Yes",77&gt;=Projects!$C$35,77&lt;Projects!$C$35+Projects!$D$35),Projects!$B$35*INDEX(Curves!$B$4:$AR$4,1,77-Projects!$C$35+1),0)+IF(AND(Projects!$G$36="Yes",Projects!$M$36="Yes",77&gt;=Projects!$C$36,77&lt;Projects!$C$36+Projects!$D$36),Projects!$B$36*INDEX(Curves!$B$4:$AR$4,1,77-Projects!$C$36+1),0)+IF(AND(Projects!$G$37="Yes",Projects!$M$37="Yes",77&gt;=Projects!$C$37,77&lt;Projects!$C$37+Projects!$D$37),Projects!$B$37*INDEX(Curves!$B$4:$AR$4,1,77-Projects!$C$37+1),0)+IF(AND(Projects!$G$38="Yes",Projects!$M$38="Yes",77&gt;=Projects!$C$38,77&lt;Projects!$C$38+Projects!$D$38),Projects!$B$38*INDEX(Curves!$B$4:$AR$4,1,77-Projects!$C$38+1),0)+IF(AND(Projects!$G$39="Yes",Projects!$M$39="Yes",77&gt;=Projects!$C$39,77&lt;Projects!$C$39+Projects!$D$39),Projects!$B$39*INDEX(Curves!$B$4:$AR$4,1,77-Projects!$C$39+1),0)+IF(AND(Projects!$G$40="Yes",Projects!$M$40="Yes",77&gt;=Projects!$C$40,77&lt;Projects!$C$40+Projects!$D$40),Projects!$B$40*INDEX(Curves!$B$4:$AR$4,1,77-Projects!$C$40+1),0)+IF(AND(Projects!$G$41="Yes",Projects!$M$41="Yes",77&gt;=Projects!$C$41,77&lt;Projects!$C$41+Projects!$D$41),Projects!$B$41*INDEX(Curves!$B$4:$AR$4,1,77-Projects!$C$41+1),0)+IF(AND(Projects!$G$42="Yes",Projects!$M$42="Yes",77&gt;=Projects!$C$42,77&lt;Projects!$C$42+Projects!$D$42),Projects!$B$42*INDEX(Curves!$B$4:$AR$4,1,77-Projects!$C$42+1),0)+IF(AND(Projects!$G$43="Yes",Projects!$M$43="Yes",77&gt;=Projects!$C$43,77&lt;Projects!$C$43+Projects!$D$43),Projects!$B$43*INDEX(Curves!$B$4:$AR$4,1,77-Projects!$C$43+1),0)+IF(AND(Projects!$G$44="Yes",Projects!$M$44="Yes",77&gt;=Projects!$C$44,77&lt;Projects!$C$44+Projects!$D$44),Projects!$B$44*INDEX(Curves!$B$4:$AR$4,1,77-Projects!$C$44+1),0)+IF(AND(Projects!$G$45="Yes",Projects!$M$45="Yes",77&gt;=Projects!$C$45,77&lt;Projects!$C$45+Projects!$D$45),Projects!$B$45*INDEX(Curves!$B$4:$AR$4,1,77-Projects!$C$45+1),0)+IF(AND(Projects!$G$46="Yes",Projects!$M$46="Yes",77&gt;=Projects!$C$46,77&lt;Projects!$C$46+Projects!$D$46),Projects!$B$46*INDEX(Curves!$B$4:$AR$4,1,77-Projects!$C$46+1),0)</f>
        <v>0</v>
      </c>
      <c r="CE101" s="87" t="n">
        <f aca="false">IF(AND(Projects!$G$17="Yes",Projects!$M$17="Yes",78&gt;=Projects!$C$17,78&lt;Projects!$C$17+Projects!$D$17),Projects!$B$17*INDEX(Curves!$B$4:$AR$4,1,78-Projects!$C$17+1),0)+IF(AND(Projects!$G$18="Yes",Projects!$M$18="Yes",78&gt;=Projects!$C$18,78&lt;Projects!$C$18+Projects!$D$18),Projects!$B$18*INDEX(Curves!$B$4:$AR$4,1,78-Projects!$C$18+1),0)+IF(AND(Projects!$G$19="Yes",Projects!$M$19="Yes",78&gt;=Projects!$C$19,78&lt;Projects!$C$19+Projects!$D$19),Projects!$B$19*INDEX(Curves!$B$4:$AR$4,1,78-Projects!$C$19+1),0)+IF(AND(Projects!$G$20="Yes",Projects!$M$20="Yes",78&gt;=Projects!$C$20,78&lt;Projects!$C$20+Projects!$D$20),Projects!$B$20*INDEX(Curves!$B$4:$AR$4,1,78-Projects!$C$20+1),0)+IF(AND(Projects!$G$21="Yes",Projects!$M$21="Yes",78&gt;=Projects!$C$21,78&lt;Projects!$C$21+Projects!$D$21),Projects!$B$21*INDEX(Curves!$B$4:$AR$4,1,78-Projects!$C$21+1),0)+IF(AND(Projects!$G$22="Yes",Projects!$M$22="Yes",78&gt;=Projects!$C$22,78&lt;Projects!$C$22+Projects!$D$22),Projects!$B$22*INDEX(Curves!$B$4:$AR$4,1,78-Projects!$C$22+1),0)+IF(AND(Projects!$G$23="Yes",Projects!$M$23="Yes",78&gt;=Projects!$C$23,78&lt;Projects!$C$23+Projects!$D$23),Projects!$B$23*INDEX(Curves!$B$4:$AR$4,1,78-Projects!$C$23+1),0)+IF(AND(Projects!$G$24="Yes",Projects!$M$24="Yes",78&gt;=Projects!$C$24,78&lt;Projects!$C$24+Projects!$D$24),Projects!$B$24*INDEX(Curves!$B$4:$AR$4,1,78-Projects!$C$24+1),0)+IF(AND(Projects!$G$25="Yes",Projects!$M$25="Yes",78&gt;=Projects!$C$25,78&lt;Projects!$C$25+Projects!$D$25),Projects!$B$25*INDEX(Curves!$B$4:$AR$4,1,78-Projects!$C$25+1),0)+IF(AND(Projects!$G$26="Yes",Projects!$M$26="Yes",78&gt;=Projects!$C$26,78&lt;Projects!$C$26+Projects!$D$26),Projects!$B$26*INDEX(Curves!$B$4:$AR$4,1,78-Projects!$C$26+1),0)+IF(AND(Projects!$G$27="Yes",Projects!$M$27="Yes",78&gt;=Projects!$C$27,78&lt;Projects!$C$27+Projects!$D$27),Projects!$B$27*INDEX(Curves!$B$4:$AR$4,1,78-Projects!$C$27+1),0)+IF(AND(Projects!$G$28="Yes",Projects!$M$28="Yes",78&gt;=Projects!$C$28,78&lt;Projects!$C$28+Projects!$D$28),Projects!$B$28*INDEX(Curves!$B$4:$AR$4,1,78-Projects!$C$28+1),0)+IF(AND(Projects!$G$29="Yes",Projects!$M$29="Yes",78&gt;=Projects!$C$29,78&lt;Projects!$C$29+Projects!$D$29),Projects!$B$29*INDEX(Curves!$B$4:$AR$4,1,78-Projects!$C$29+1),0)+IF(AND(Projects!$G$30="Yes",Projects!$M$30="Yes",78&gt;=Projects!$C$30,78&lt;Projects!$C$30+Projects!$D$30),Projects!$B$30*INDEX(Curves!$B$4:$AR$4,1,78-Projects!$C$30+1),0)+IF(AND(Projects!$G$31="Yes",Projects!$M$31="Yes",78&gt;=Projects!$C$31,78&lt;Projects!$C$31+Projects!$D$31),Projects!$B$31*INDEX(Curves!$B$4:$AR$4,1,78-Projects!$C$31+1),0)+IF(AND(Projects!$G$32="Yes",Projects!$M$32="Yes",78&gt;=Projects!$C$32,78&lt;Projects!$C$32+Projects!$D$32),Projects!$B$32*INDEX(Curves!$B$4:$AR$4,1,78-Projects!$C$32+1),0)+IF(AND(Projects!$G$33="Yes",Projects!$M$33="Yes",78&gt;=Projects!$C$33,78&lt;Projects!$C$33+Projects!$D$33),Projects!$B$33*INDEX(Curves!$B$4:$AR$4,1,78-Projects!$C$33+1),0)+IF(AND(Projects!$G$34="Yes",Projects!$M$34="Yes",78&gt;=Projects!$C$34,78&lt;Projects!$C$34+Projects!$D$34),Projects!$B$34*INDEX(Curves!$B$4:$AR$4,1,78-Projects!$C$34+1),0)+IF(AND(Projects!$G$35="Yes",Projects!$M$35="Yes",78&gt;=Projects!$C$35,78&lt;Projects!$C$35+Projects!$D$35),Projects!$B$35*INDEX(Curves!$B$4:$AR$4,1,78-Projects!$C$35+1),0)+IF(AND(Projects!$G$36="Yes",Projects!$M$36="Yes",78&gt;=Projects!$C$36,78&lt;Projects!$C$36+Projects!$D$36),Projects!$B$36*INDEX(Curves!$B$4:$AR$4,1,78-Projects!$C$36+1),0)+IF(AND(Projects!$G$37="Yes",Projects!$M$37="Yes",78&gt;=Projects!$C$37,78&lt;Projects!$C$37+Projects!$D$37),Projects!$B$37*INDEX(Curves!$B$4:$AR$4,1,78-Projects!$C$37+1),0)+IF(AND(Projects!$G$38="Yes",Projects!$M$38="Yes",78&gt;=Projects!$C$38,78&lt;Projects!$C$38+Projects!$D$38),Projects!$B$38*INDEX(Curves!$B$4:$AR$4,1,78-Projects!$C$38+1),0)+IF(AND(Projects!$G$39="Yes",Projects!$M$39="Yes",78&gt;=Projects!$C$39,78&lt;Projects!$C$39+Projects!$D$39),Projects!$B$39*INDEX(Curves!$B$4:$AR$4,1,78-Projects!$C$39+1),0)+IF(AND(Projects!$G$40="Yes",Projects!$M$40="Yes",78&gt;=Projects!$C$40,78&lt;Projects!$C$40+Projects!$D$40),Projects!$B$40*INDEX(Curves!$B$4:$AR$4,1,78-Projects!$C$40+1),0)+IF(AND(Projects!$G$41="Yes",Projects!$M$41="Yes",78&gt;=Projects!$C$41,78&lt;Projects!$C$41+Projects!$D$41),Projects!$B$41*INDEX(Curves!$B$4:$AR$4,1,78-Projects!$C$41+1),0)+IF(AND(Projects!$G$42="Yes",Projects!$M$42="Yes",78&gt;=Projects!$C$42,78&lt;Projects!$C$42+Projects!$D$42),Projects!$B$42*INDEX(Curves!$B$4:$AR$4,1,78-Projects!$C$42+1),0)+IF(AND(Projects!$G$43="Yes",Projects!$M$43="Yes",78&gt;=Projects!$C$43,78&lt;Projects!$C$43+Projects!$D$43),Projects!$B$43*INDEX(Curves!$B$4:$AR$4,1,78-Projects!$C$43+1),0)+IF(AND(Projects!$G$44="Yes",Projects!$M$44="Yes",78&gt;=Projects!$C$44,78&lt;Projects!$C$44+Projects!$D$44),Projects!$B$44*INDEX(Curves!$B$4:$AR$4,1,78-Projects!$C$44+1),0)+IF(AND(Projects!$G$45="Yes",Projects!$M$45="Yes",78&gt;=Projects!$C$45,78&lt;Projects!$C$45+Projects!$D$45),Projects!$B$45*INDEX(Curves!$B$4:$AR$4,1,78-Projects!$C$45+1),0)+IF(AND(Projects!$G$46="Yes",Projects!$M$46="Yes",78&gt;=Projects!$C$46,78&lt;Projects!$C$46+Projects!$D$46),Projects!$B$46*INDEX(Curves!$B$4:$AR$4,1,78-Projects!$C$46+1),0)</f>
        <v>0</v>
      </c>
      <c r="CF101" s="87" t="n">
        <f aca="false">IF(AND(Projects!$G$17="Yes",Projects!$M$17="Yes",79&gt;=Projects!$C$17,79&lt;Projects!$C$17+Projects!$D$17),Projects!$B$17*INDEX(Curves!$B$4:$AR$4,1,79-Projects!$C$17+1),0)+IF(AND(Projects!$G$18="Yes",Projects!$M$18="Yes",79&gt;=Projects!$C$18,79&lt;Projects!$C$18+Projects!$D$18),Projects!$B$18*INDEX(Curves!$B$4:$AR$4,1,79-Projects!$C$18+1),0)+IF(AND(Projects!$G$19="Yes",Projects!$M$19="Yes",79&gt;=Projects!$C$19,79&lt;Projects!$C$19+Projects!$D$19),Projects!$B$19*INDEX(Curves!$B$4:$AR$4,1,79-Projects!$C$19+1),0)+IF(AND(Projects!$G$20="Yes",Projects!$M$20="Yes",79&gt;=Projects!$C$20,79&lt;Projects!$C$20+Projects!$D$20),Projects!$B$20*INDEX(Curves!$B$4:$AR$4,1,79-Projects!$C$20+1),0)+IF(AND(Projects!$G$21="Yes",Projects!$M$21="Yes",79&gt;=Projects!$C$21,79&lt;Projects!$C$21+Projects!$D$21),Projects!$B$21*INDEX(Curves!$B$4:$AR$4,1,79-Projects!$C$21+1),0)+IF(AND(Projects!$G$22="Yes",Projects!$M$22="Yes",79&gt;=Projects!$C$22,79&lt;Projects!$C$22+Projects!$D$22),Projects!$B$22*INDEX(Curves!$B$4:$AR$4,1,79-Projects!$C$22+1),0)+IF(AND(Projects!$G$23="Yes",Projects!$M$23="Yes",79&gt;=Projects!$C$23,79&lt;Projects!$C$23+Projects!$D$23),Projects!$B$23*INDEX(Curves!$B$4:$AR$4,1,79-Projects!$C$23+1),0)+IF(AND(Projects!$G$24="Yes",Projects!$M$24="Yes",79&gt;=Projects!$C$24,79&lt;Projects!$C$24+Projects!$D$24),Projects!$B$24*INDEX(Curves!$B$4:$AR$4,1,79-Projects!$C$24+1),0)+IF(AND(Projects!$G$25="Yes",Projects!$M$25="Yes",79&gt;=Projects!$C$25,79&lt;Projects!$C$25+Projects!$D$25),Projects!$B$25*INDEX(Curves!$B$4:$AR$4,1,79-Projects!$C$25+1),0)+IF(AND(Projects!$G$26="Yes",Projects!$M$26="Yes",79&gt;=Projects!$C$26,79&lt;Projects!$C$26+Projects!$D$26),Projects!$B$26*INDEX(Curves!$B$4:$AR$4,1,79-Projects!$C$26+1),0)+IF(AND(Projects!$G$27="Yes",Projects!$M$27="Yes",79&gt;=Projects!$C$27,79&lt;Projects!$C$27+Projects!$D$27),Projects!$B$27*INDEX(Curves!$B$4:$AR$4,1,79-Projects!$C$27+1),0)+IF(AND(Projects!$G$28="Yes",Projects!$M$28="Yes",79&gt;=Projects!$C$28,79&lt;Projects!$C$28+Projects!$D$28),Projects!$B$28*INDEX(Curves!$B$4:$AR$4,1,79-Projects!$C$28+1),0)+IF(AND(Projects!$G$29="Yes",Projects!$M$29="Yes",79&gt;=Projects!$C$29,79&lt;Projects!$C$29+Projects!$D$29),Projects!$B$29*INDEX(Curves!$B$4:$AR$4,1,79-Projects!$C$29+1),0)+IF(AND(Projects!$G$30="Yes",Projects!$M$30="Yes",79&gt;=Projects!$C$30,79&lt;Projects!$C$30+Projects!$D$30),Projects!$B$30*INDEX(Curves!$B$4:$AR$4,1,79-Projects!$C$30+1),0)+IF(AND(Projects!$G$31="Yes",Projects!$M$31="Yes",79&gt;=Projects!$C$31,79&lt;Projects!$C$31+Projects!$D$31),Projects!$B$31*INDEX(Curves!$B$4:$AR$4,1,79-Projects!$C$31+1),0)+IF(AND(Projects!$G$32="Yes",Projects!$M$32="Yes",79&gt;=Projects!$C$32,79&lt;Projects!$C$32+Projects!$D$32),Projects!$B$32*INDEX(Curves!$B$4:$AR$4,1,79-Projects!$C$32+1),0)+IF(AND(Projects!$G$33="Yes",Projects!$M$33="Yes",79&gt;=Projects!$C$33,79&lt;Projects!$C$33+Projects!$D$33),Projects!$B$33*INDEX(Curves!$B$4:$AR$4,1,79-Projects!$C$33+1),0)+IF(AND(Projects!$G$34="Yes",Projects!$M$34="Yes",79&gt;=Projects!$C$34,79&lt;Projects!$C$34+Projects!$D$34),Projects!$B$34*INDEX(Curves!$B$4:$AR$4,1,79-Projects!$C$34+1),0)+IF(AND(Projects!$G$35="Yes",Projects!$M$35="Yes",79&gt;=Projects!$C$35,79&lt;Projects!$C$35+Projects!$D$35),Projects!$B$35*INDEX(Curves!$B$4:$AR$4,1,79-Projects!$C$35+1),0)+IF(AND(Projects!$G$36="Yes",Projects!$M$36="Yes",79&gt;=Projects!$C$36,79&lt;Projects!$C$36+Projects!$D$36),Projects!$B$36*INDEX(Curves!$B$4:$AR$4,1,79-Projects!$C$36+1),0)+IF(AND(Projects!$G$37="Yes",Projects!$M$37="Yes",79&gt;=Projects!$C$37,79&lt;Projects!$C$37+Projects!$D$37),Projects!$B$37*INDEX(Curves!$B$4:$AR$4,1,79-Projects!$C$37+1),0)+IF(AND(Projects!$G$38="Yes",Projects!$M$38="Yes",79&gt;=Projects!$C$38,79&lt;Projects!$C$38+Projects!$D$38),Projects!$B$38*INDEX(Curves!$B$4:$AR$4,1,79-Projects!$C$38+1),0)+IF(AND(Projects!$G$39="Yes",Projects!$M$39="Yes",79&gt;=Projects!$C$39,79&lt;Projects!$C$39+Projects!$D$39),Projects!$B$39*INDEX(Curves!$B$4:$AR$4,1,79-Projects!$C$39+1),0)+IF(AND(Projects!$G$40="Yes",Projects!$M$40="Yes",79&gt;=Projects!$C$40,79&lt;Projects!$C$40+Projects!$D$40),Projects!$B$40*INDEX(Curves!$B$4:$AR$4,1,79-Projects!$C$40+1),0)+IF(AND(Projects!$G$41="Yes",Projects!$M$41="Yes",79&gt;=Projects!$C$41,79&lt;Projects!$C$41+Projects!$D$41),Projects!$B$41*INDEX(Curves!$B$4:$AR$4,1,79-Projects!$C$41+1),0)+IF(AND(Projects!$G$42="Yes",Projects!$M$42="Yes",79&gt;=Projects!$C$42,79&lt;Projects!$C$42+Projects!$D$42),Projects!$B$42*INDEX(Curves!$B$4:$AR$4,1,79-Projects!$C$42+1),0)+IF(AND(Projects!$G$43="Yes",Projects!$M$43="Yes",79&gt;=Projects!$C$43,79&lt;Projects!$C$43+Projects!$D$43),Projects!$B$43*INDEX(Curves!$B$4:$AR$4,1,79-Projects!$C$43+1),0)+IF(AND(Projects!$G$44="Yes",Projects!$M$44="Yes",79&gt;=Projects!$C$44,79&lt;Projects!$C$44+Projects!$D$44),Projects!$B$44*INDEX(Curves!$B$4:$AR$4,1,79-Projects!$C$44+1),0)+IF(AND(Projects!$G$45="Yes",Projects!$M$45="Yes",79&gt;=Projects!$C$45,79&lt;Projects!$C$45+Projects!$D$45),Projects!$B$45*INDEX(Curves!$B$4:$AR$4,1,79-Projects!$C$45+1),0)+IF(AND(Projects!$G$46="Yes",Projects!$M$46="Yes",79&gt;=Projects!$C$46,79&lt;Projects!$C$46+Projects!$D$46),Projects!$B$46*INDEX(Curves!$B$4:$AR$4,1,79-Projects!$C$46+1),0)</f>
        <v>0</v>
      </c>
      <c r="CG101" s="87" t="n">
        <f aca="false">IF(AND(Projects!$G$17="Yes",Projects!$M$17="Yes",80&gt;=Projects!$C$17,80&lt;Projects!$C$17+Projects!$D$17),Projects!$B$17*INDEX(Curves!$B$4:$AR$4,1,80-Projects!$C$17+1),0)+IF(AND(Projects!$G$18="Yes",Projects!$M$18="Yes",80&gt;=Projects!$C$18,80&lt;Projects!$C$18+Projects!$D$18),Projects!$B$18*INDEX(Curves!$B$4:$AR$4,1,80-Projects!$C$18+1),0)+IF(AND(Projects!$G$19="Yes",Projects!$M$19="Yes",80&gt;=Projects!$C$19,80&lt;Projects!$C$19+Projects!$D$19),Projects!$B$19*INDEX(Curves!$B$4:$AR$4,1,80-Projects!$C$19+1),0)+IF(AND(Projects!$G$20="Yes",Projects!$M$20="Yes",80&gt;=Projects!$C$20,80&lt;Projects!$C$20+Projects!$D$20),Projects!$B$20*INDEX(Curves!$B$4:$AR$4,1,80-Projects!$C$20+1),0)+IF(AND(Projects!$G$21="Yes",Projects!$M$21="Yes",80&gt;=Projects!$C$21,80&lt;Projects!$C$21+Projects!$D$21),Projects!$B$21*INDEX(Curves!$B$4:$AR$4,1,80-Projects!$C$21+1),0)+IF(AND(Projects!$G$22="Yes",Projects!$M$22="Yes",80&gt;=Projects!$C$22,80&lt;Projects!$C$22+Projects!$D$22),Projects!$B$22*INDEX(Curves!$B$4:$AR$4,1,80-Projects!$C$22+1),0)+IF(AND(Projects!$G$23="Yes",Projects!$M$23="Yes",80&gt;=Projects!$C$23,80&lt;Projects!$C$23+Projects!$D$23),Projects!$B$23*INDEX(Curves!$B$4:$AR$4,1,80-Projects!$C$23+1),0)+IF(AND(Projects!$G$24="Yes",Projects!$M$24="Yes",80&gt;=Projects!$C$24,80&lt;Projects!$C$24+Projects!$D$24),Projects!$B$24*INDEX(Curves!$B$4:$AR$4,1,80-Projects!$C$24+1),0)+IF(AND(Projects!$G$25="Yes",Projects!$M$25="Yes",80&gt;=Projects!$C$25,80&lt;Projects!$C$25+Projects!$D$25),Projects!$B$25*INDEX(Curves!$B$4:$AR$4,1,80-Projects!$C$25+1),0)+IF(AND(Projects!$G$26="Yes",Projects!$M$26="Yes",80&gt;=Projects!$C$26,80&lt;Projects!$C$26+Projects!$D$26),Projects!$B$26*INDEX(Curves!$B$4:$AR$4,1,80-Projects!$C$26+1),0)+IF(AND(Projects!$G$27="Yes",Projects!$M$27="Yes",80&gt;=Projects!$C$27,80&lt;Projects!$C$27+Projects!$D$27),Projects!$B$27*INDEX(Curves!$B$4:$AR$4,1,80-Projects!$C$27+1),0)+IF(AND(Projects!$G$28="Yes",Projects!$M$28="Yes",80&gt;=Projects!$C$28,80&lt;Projects!$C$28+Projects!$D$28),Projects!$B$28*INDEX(Curves!$B$4:$AR$4,1,80-Projects!$C$28+1),0)+IF(AND(Projects!$G$29="Yes",Projects!$M$29="Yes",80&gt;=Projects!$C$29,80&lt;Projects!$C$29+Projects!$D$29),Projects!$B$29*INDEX(Curves!$B$4:$AR$4,1,80-Projects!$C$29+1),0)+IF(AND(Projects!$G$30="Yes",Projects!$M$30="Yes",80&gt;=Projects!$C$30,80&lt;Projects!$C$30+Projects!$D$30),Projects!$B$30*INDEX(Curves!$B$4:$AR$4,1,80-Projects!$C$30+1),0)+IF(AND(Projects!$G$31="Yes",Projects!$M$31="Yes",80&gt;=Projects!$C$31,80&lt;Projects!$C$31+Projects!$D$31),Projects!$B$31*INDEX(Curves!$B$4:$AR$4,1,80-Projects!$C$31+1),0)+IF(AND(Projects!$G$32="Yes",Projects!$M$32="Yes",80&gt;=Projects!$C$32,80&lt;Projects!$C$32+Projects!$D$32),Projects!$B$32*INDEX(Curves!$B$4:$AR$4,1,80-Projects!$C$32+1),0)+IF(AND(Projects!$G$33="Yes",Projects!$M$33="Yes",80&gt;=Projects!$C$33,80&lt;Projects!$C$33+Projects!$D$33),Projects!$B$33*INDEX(Curves!$B$4:$AR$4,1,80-Projects!$C$33+1),0)+IF(AND(Projects!$G$34="Yes",Projects!$M$34="Yes",80&gt;=Projects!$C$34,80&lt;Projects!$C$34+Projects!$D$34),Projects!$B$34*INDEX(Curves!$B$4:$AR$4,1,80-Projects!$C$34+1),0)+IF(AND(Projects!$G$35="Yes",Projects!$M$35="Yes",80&gt;=Projects!$C$35,80&lt;Projects!$C$35+Projects!$D$35),Projects!$B$35*INDEX(Curves!$B$4:$AR$4,1,80-Projects!$C$35+1),0)+IF(AND(Projects!$G$36="Yes",Projects!$M$36="Yes",80&gt;=Projects!$C$36,80&lt;Projects!$C$36+Projects!$D$36),Projects!$B$36*INDEX(Curves!$B$4:$AR$4,1,80-Projects!$C$36+1),0)+IF(AND(Projects!$G$37="Yes",Projects!$M$37="Yes",80&gt;=Projects!$C$37,80&lt;Projects!$C$37+Projects!$D$37),Projects!$B$37*INDEX(Curves!$B$4:$AR$4,1,80-Projects!$C$37+1),0)+IF(AND(Projects!$G$38="Yes",Projects!$M$38="Yes",80&gt;=Projects!$C$38,80&lt;Projects!$C$38+Projects!$D$38),Projects!$B$38*INDEX(Curves!$B$4:$AR$4,1,80-Projects!$C$38+1),0)+IF(AND(Projects!$G$39="Yes",Projects!$M$39="Yes",80&gt;=Projects!$C$39,80&lt;Projects!$C$39+Projects!$D$39),Projects!$B$39*INDEX(Curves!$B$4:$AR$4,1,80-Projects!$C$39+1),0)+IF(AND(Projects!$G$40="Yes",Projects!$M$40="Yes",80&gt;=Projects!$C$40,80&lt;Projects!$C$40+Projects!$D$40),Projects!$B$40*INDEX(Curves!$B$4:$AR$4,1,80-Projects!$C$40+1),0)+IF(AND(Projects!$G$41="Yes",Projects!$M$41="Yes",80&gt;=Projects!$C$41,80&lt;Projects!$C$41+Projects!$D$41),Projects!$B$41*INDEX(Curves!$B$4:$AR$4,1,80-Projects!$C$41+1),0)+IF(AND(Projects!$G$42="Yes",Projects!$M$42="Yes",80&gt;=Projects!$C$42,80&lt;Projects!$C$42+Projects!$D$42),Projects!$B$42*INDEX(Curves!$B$4:$AR$4,1,80-Projects!$C$42+1),0)+IF(AND(Projects!$G$43="Yes",Projects!$M$43="Yes",80&gt;=Projects!$C$43,80&lt;Projects!$C$43+Projects!$D$43),Projects!$B$43*INDEX(Curves!$B$4:$AR$4,1,80-Projects!$C$43+1),0)+IF(AND(Projects!$G$44="Yes",Projects!$M$44="Yes",80&gt;=Projects!$C$44,80&lt;Projects!$C$44+Projects!$D$44),Projects!$B$44*INDEX(Curves!$B$4:$AR$4,1,80-Projects!$C$44+1),0)+IF(AND(Projects!$G$45="Yes",Projects!$M$45="Yes",80&gt;=Projects!$C$45,80&lt;Projects!$C$45+Projects!$D$45),Projects!$B$45*INDEX(Curves!$B$4:$AR$4,1,80-Projects!$C$45+1),0)+IF(AND(Projects!$G$46="Yes",Projects!$M$46="Yes",80&gt;=Projects!$C$46,80&lt;Projects!$C$46+Projects!$D$46),Projects!$B$46*INDEX(Curves!$B$4:$AR$4,1,80-Projects!$C$46+1),0)</f>
        <v>0</v>
      </c>
      <c r="CH101" s="87" t="n">
        <f aca="false">IF(AND(Projects!$G$17="Yes",Projects!$M$17="Yes",81&gt;=Projects!$C$17,81&lt;Projects!$C$17+Projects!$D$17),Projects!$B$17*INDEX(Curves!$B$4:$AR$4,1,81-Projects!$C$17+1),0)+IF(AND(Projects!$G$18="Yes",Projects!$M$18="Yes",81&gt;=Projects!$C$18,81&lt;Projects!$C$18+Projects!$D$18),Projects!$B$18*INDEX(Curves!$B$4:$AR$4,1,81-Projects!$C$18+1),0)+IF(AND(Projects!$G$19="Yes",Projects!$M$19="Yes",81&gt;=Projects!$C$19,81&lt;Projects!$C$19+Projects!$D$19),Projects!$B$19*INDEX(Curves!$B$4:$AR$4,1,81-Projects!$C$19+1),0)+IF(AND(Projects!$G$20="Yes",Projects!$M$20="Yes",81&gt;=Projects!$C$20,81&lt;Projects!$C$20+Projects!$D$20),Projects!$B$20*INDEX(Curves!$B$4:$AR$4,1,81-Projects!$C$20+1),0)+IF(AND(Projects!$G$21="Yes",Projects!$M$21="Yes",81&gt;=Projects!$C$21,81&lt;Projects!$C$21+Projects!$D$21),Projects!$B$21*INDEX(Curves!$B$4:$AR$4,1,81-Projects!$C$21+1),0)+IF(AND(Projects!$G$22="Yes",Projects!$M$22="Yes",81&gt;=Projects!$C$22,81&lt;Projects!$C$22+Projects!$D$22),Projects!$B$22*INDEX(Curves!$B$4:$AR$4,1,81-Projects!$C$22+1),0)+IF(AND(Projects!$G$23="Yes",Projects!$M$23="Yes",81&gt;=Projects!$C$23,81&lt;Projects!$C$23+Projects!$D$23),Projects!$B$23*INDEX(Curves!$B$4:$AR$4,1,81-Projects!$C$23+1),0)+IF(AND(Projects!$G$24="Yes",Projects!$M$24="Yes",81&gt;=Projects!$C$24,81&lt;Projects!$C$24+Projects!$D$24),Projects!$B$24*INDEX(Curves!$B$4:$AR$4,1,81-Projects!$C$24+1),0)+IF(AND(Projects!$G$25="Yes",Projects!$M$25="Yes",81&gt;=Projects!$C$25,81&lt;Projects!$C$25+Projects!$D$25),Projects!$B$25*INDEX(Curves!$B$4:$AR$4,1,81-Projects!$C$25+1),0)+IF(AND(Projects!$G$26="Yes",Projects!$M$26="Yes",81&gt;=Projects!$C$26,81&lt;Projects!$C$26+Projects!$D$26),Projects!$B$26*INDEX(Curves!$B$4:$AR$4,1,81-Projects!$C$26+1),0)+IF(AND(Projects!$G$27="Yes",Projects!$M$27="Yes",81&gt;=Projects!$C$27,81&lt;Projects!$C$27+Projects!$D$27),Projects!$B$27*INDEX(Curves!$B$4:$AR$4,1,81-Projects!$C$27+1),0)+IF(AND(Projects!$G$28="Yes",Projects!$M$28="Yes",81&gt;=Projects!$C$28,81&lt;Projects!$C$28+Projects!$D$28),Projects!$B$28*INDEX(Curves!$B$4:$AR$4,1,81-Projects!$C$28+1),0)+IF(AND(Projects!$G$29="Yes",Projects!$M$29="Yes",81&gt;=Projects!$C$29,81&lt;Projects!$C$29+Projects!$D$29),Projects!$B$29*INDEX(Curves!$B$4:$AR$4,1,81-Projects!$C$29+1),0)+IF(AND(Projects!$G$30="Yes",Projects!$M$30="Yes",81&gt;=Projects!$C$30,81&lt;Projects!$C$30+Projects!$D$30),Projects!$B$30*INDEX(Curves!$B$4:$AR$4,1,81-Projects!$C$30+1),0)+IF(AND(Projects!$G$31="Yes",Projects!$M$31="Yes",81&gt;=Projects!$C$31,81&lt;Projects!$C$31+Projects!$D$31),Projects!$B$31*INDEX(Curves!$B$4:$AR$4,1,81-Projects!$C$31+1),0)+IF(AND(Projects!$G$32="Yes",Projects!$M$32="Yes",81&gt;=Projects!$C$32,81&lt;Projects!$C$32+Projects!$D$32),Projects!$B$32*INDEX(Curves!$B$4:$AR$4,1,81-Projects!$C$32+1),0)+IF(AND(Projects!$G$33="Yes",Projects!$M$33="Yes",81&gt;=Projects!$C$33,81&lt;Projects!$C$33+Projects!$D$33),Projects!$B$33*INDEX(Curves!$B$4:$AR$4,1,81-Projects!$C$33+1),0)+IF(AND(Projects!$G$34="Yes",Projects!$M$34="Yes",81&gt;=Projects!$C$34,81&lt;Projects!$C$34+Projects!$D$34),Projects!$B$34*INDEX(Curves!$B$4:$AR$4,1,81-Projects!$C$34+1),0)+IF(AND(Projects!$G$35="Yes",Projects!$M$35="Yes",81&gt;=Projects!$C$35,81&lt;Projects!$C$35+Projects!$D$35),Projects!$B$35*INDEX(Curves!$B$4:$AR$4,1,81-Projects!$C$35+1),0)+IF(AND(Projects!$G$36="Yes",Projects!$M$36="Yes",81&gt;=Projects!$C$36,81&lt;Projects!$C$36+Projects!$D$36),Projects!$B$36*INDEX(Curves!$B$4:$AR$4,1,81-Projects!$C$36+1),0)+IF(AND(Projects!$G$37="Yes",Projects!$M$37="Yes",81&gt;=Projects!$C$37,81&lt;Projects!$C$37+Projects!$D$37),Projects!$B$37*INDEX(Curves!$B$4:$AR$4,1,81-Projects!$C$37+1),0)+IF(AND(Projects!$G$38="Yes",Projects!$M$38="Yes",81&gt;=Projects!$C$38,81&lt;Projects!$C$38+Projects!$D$38),Projects!$B$38*INDEX(Curves!$B$4:$AR$4,1,81-Projects!$C$38+1),0)+IF(AND(Projects!$G$39="Yes",Projects!$M$39="Yes",81&gt;=Projects!$C$39,81&lt;Projects!$C$39+Projects!$D$39),Projects!$B$39*INDEX(Curves!$B$4:$AR$4,1,81-Projects!$C$39+1),0)+IF(AND(Projects!$G$40="Yes",Projects!$M$40="Yes",81&gt;=Projects!$C$40,81&lt;Projects!$C$40+Projects!$D$40),Projects!$B$40*INDEX(Curves!$B$4:$AR$4,1,81-Projects!$C$40+1),0)+IF(AND(Projects!$G$41="Yes",Projects!$M$41="Yes",81&gt;=Projects!$C$41,81&lt;Projects!$C$41+Projects!$D$41),Projects!$B$41*INDEX(Curves!$B$4:$AR$4,1,81-Projects!$C$41+1),0)+IF(AND(Projects!$G$42="Yes",Projects!$M$42="Yes",81&gt;=Projects!$C$42,81&lt;Projects!$C$42+Projects!$D$42),Projects!$B$42*INDEX(Curves!$B$4:$AR$4,1,81-Projects!$C$42+1),0)+IF(AND(Projects!$G$43="Yes",Projects!$M$43="Yes",81&gt;=Projects!$C$43,81&lt;Projects!$C$43+Projects!$D$43),Projects!$B$43*INDEX(Curves!$B$4:$AR$4,1,81-Projects!$C$43+1),0)+IF(AND(Projects!$G$44="Yes",Projects!$M$44="Yes",81&gt;=Projects!$C$44,81&lt;Projects!$C$44+Projects!$D$44),Projects!$B$44*INDEX(Curves!$B$4:$AR$4,1,81-Projects!$C$44+1),0)+IF(AND(Projects!$G$45="Yes",Projects!$M$45="Yes",81&gt;=Projects!$C$45,81&lt;Projects!$C$45+Projects!$D$45),Projects!$B$45*INDEX(Curves!$B$4:$AR$4,1,81-Projects!$C$45+1),0)+IF(AND(Projects!$G$46="Yes",Projects!$M$46="Yes",81&gt;=Projects!$C$46,81&lt;Projects!$C$46+Projects!$D$46),Projects!$B$46*INDEX(Curves!$B$4:$AR$4,1,81-Projects!$C$46+1),0)</f>
        <v>0</v>
      </c>
      <c r="CI101" s="87" t="n">
        <f aca="false">IF(AND(Projects!$G$17="Yes",Projects!$M$17="Yes",82&gt;=Projects!$C$17,82&lt;Projects!$C$17+Projects!$D$17),Projects!$B$17*INDEX(Curves!$B$4:$AR$4,1,82-Projects!$C$17+1),0)+IF(AND(Projects!$G$18="Yes",Projects!$M$18="Yes",82&gt;=Projects!$C$18,82&lt;Projects!$C$18+Projects!$D$18),Projects!$B$18*INDEX(Curves!$B$4:$AR$4,1,82-Projects!$C$18+1),0)+IF(AND(Projects!$G$19="Yes",Projects!$M$19="Yes",82&gt;=Projects!$C$19,82&lt;Projects!$C$19+Projects!$D$19),Projects!$B$19*INDEX(Curves!$B$4:$AR$4,1,82-Projects!$C$19+1),0)+IF(AND(Projects!$G$20="Yes",Projects!$M$20="Yes",82&gt;=Projects!$C$20,82&lt;Projects!$C$20+Projects!$D$20),Projects!$B$20*INDEX(Curves!$B$4:$AR$4,1,82-Projects!$C$20+1),0)+IF(AND(Projects!$G$21="Yes",Projects!$M$21="Yes",82&gt;=Projects!$C$21,82&lt;Projects!$C$21+Projects!$D$21),Projects!$B$21*INDEX(Curves!$B$4:$AR$4,1,82-Projects!$C$21+1),0)+IF(AND(Projects!$G$22="Yes",Projects!$M$22="Yes",82&gt;=Projects!$C$22,82&lt;Projects!$C$22+Projects!$D$22),Projects!$B$22*INDEX(Curves!$B$4:$AR$4,1,82-Projects!$C$22+1),0)+IF(AND(Projects!$G$23="Yes",Projects!$M$23="Yes",82&gt;=Projects!$C$23,82&lt;Projects!$C$23+Projects!$D$23),Projects!$B$23*INDEX(Curves!$B$4:$AR$4,1,82-Projects!$C$23+1),0)+IF(AND(Projects!$G$24="Yes",Projects!$M$24="Yes",82&gt;=Projects!$C$24,82&lt;Projects!$C$24+Projects!$D$24),Projects!$B$24*INDEX(Curves!$B$4:$AR$4,1,82-Projects!$C$24+1),0)+IF(AND(Projects!$G$25="Yes",Projects!$M$25="Yes",82&gt;=Projects!$C$25,82&lt;Projects!$C$25+Projects!$D$25),Projects!$B$25*INDEX(Curves!$B$4:$AR$4,1,82-Projects!$C$25+1),0)+IF(AND(Projects!$G$26="Yes",Projects!$M$26="Yes",82&gt;=Projects!$C$26,82&lt;Projects!$C$26+Projects!$D$26),Projects!$B$26*INDEX(Curves!$B$4:$AR$4,1,82-Projects!$C$26+1),0)+IF(AND(Projects!$G$27="Yes",Projects!$M$27="Yes",82&gt;=Projects!$C$27,82&lt;Projects!$C$27+Projects!$D$27),Projects!$B$27*INDEX(Curves!$B$4:$AR$4,1,82-Projects!$C$27+1),0)+IF(AND(Projects!$G$28="Yes",Projects!$M$28="Yes",82&gt;=Projects!$C$28,82&lt;Projects!$C$28+Projects!$D$28),Projects!$B$28*INDEX(Curves!$B$4:$AR$4,1,82-Projects!$C$28+1),0)+IF(AND(Projects!$G$29="Yes",Projects!$M$29="Yes",82&gt;=Projects!$C$29,82&lt;Projects!$C$29+Projects!$D$29),Projects!$B$29*INDEX(Curves!$B$4:$AR$4,1,82-Projects!$C$29+1),0)+IF(AND(Projects!$G$30="Yes",Projects!$M$30="Yes",82&gt;=Projects!$C$30,82&lt;Projects!$C$30+Projects!$D$30),Projects!$B$30*INDEX(Curves!$B$4:$AR$4,1,82-Projects!$C$30+1),0)+IF(AND(Projects!$G$31="Yes",Projects!$M$31="Yes",82&gt;=Projects!$C$31,82&lt;Projects!$C$31+Projects!$D$31),Projects!$B$31*INDEX(Curves!$B$4:$AR$4,1,82-Projects!$C$31+1),0)+IF(AND(Projects!$G$32="Yes",Projects!$M$32="Yes",82&gt;=Projects!$C$32,82&lt;Projects!$C$32+Projects!$D$32),Projects!$B$32*INDEX(Curves!$B$4:$AR$4,1,82-Projects!$C$32+1),0)+IF(AND(Projects!$G$33="Yes",Projects!$M$33="Yes",82&gt;=Projects!$C$33,82&lt;Projects!$C$33+Projects!$D$33),Projects!$B$33*INDEX(Curves!$B$4:$AR$4,1,82-Projects!$C$33+1),0)+IF(AND(Projects!$G$34="Yes",Projects!$M$34="Yes",82&gt;=Projects!$C$34,82&lt;Projects!$C$34+Projects!$D$34),Projects!$B$34*INDEX(Curves!$B$4:$AR$4,1,82-Projects!$C$34+1),0)+IF(AND(Projects!$G$35="Yes",Projects!$M$35="Yes",82&gt;=Projects!$C$35,82&lt;Projects!$C$35+Projects!$D$35),Projects!$B$35*INDEX(Curves!$B$4:$AR$4,1,82-Projects!$C$35+1),0)+IF(AND(Projects!$G$36="Yes",Projects!$M$36="Yes",82&gt;=Projects!$C$36,82&lt;Projects!$C$36+Projects!$D$36),Projects!$B$36*INDEX(Curves!$B$4:$AR$4,1,82-Projects!$C$36+1),0)+IF(AND(Projects!$G$37="Yes",Projects!$M$37="Yes",82&gt;=Projects!$C$37,82&lt;Projects!$C$37+Projects!$D$37),Projects!$B$37*INDEX(Curves!$B$4:$AR$4,1,82-Projects!$C$37+1),0)+IF(AND(Projects!$G$38="Yes",Projects!$M$38="Yes",82&gt;=Projects!$C$38,82&lt;Projects!$C$38+Projects!$D$38),Projects!$B$38*INDEX(Curves!$B$4:$AR$4,1,82-Projects!$C$38+1),0)+IF(AND(Projects!$G$39="Yes",Projects!$M$39="Yes",82&gt;=Projects!$C$39,82&lt;Projects!$C$39+Projects!$D$39),Projects!$B$39*INDEX(Curves!$B$4:$AR$4,1,82-Projects!$C$39+1),0)+IF(AND(Projects!$G$40="Yes",Projects!$M$40="Yes",82&gt;=Projects!$C$40,82&lt;Projects!$C$40+Projects!$D$40),Projects!$B$40*INDEX(Curves!$B$4:$AR$4,1,82-Projects!$C$40+1),0)+IF(AND(Projects!$G$41="Yes",Projects!$M$41="Yes",82&gt;=Projects!$C$41,82&lt;Projects!$C$41+Projects!$D$41),Projects!$B$41*INDEX(Curves!$B$4:$AR$4,1,82-Projects!$C$41+1),0)+IF(AND(Projects!$G$42="Yes",Projects!$M$42="Yes",82&gt;=Projects!$C$42,82&lt;Projects!$C$42+Projects!$D$42),Projects!$B$42*INDEX(Curves!$B$4:$AR$4,1,82-Projects!$C$42+1),0)+IF(AND(Projects!$G$43="Yes",Projects!$M$43="Yes",82&gt;=Projects!$C$43,82&lt;Projects!$C$43+Projects!$D$43),Projects!$B$43*INDEX(Curves!$B$4:$AR$4,1,82-Projects!$C$43+1),0)+IF(AND(Projects!$G$44="Yes",Projects!$M$44="Yes",82&gt;=Projects!$C$44,82&lt;Projects!$C$44+Projects!$D$44),Projects!$B$44*INDEX(Curves!$B$4:$AR$4,1,82-Projects!$C$44+1),0)+IF(AND(Projects!$G$45="Yes",Projects!$M$45="Yes",82&gt;=Projects!$C$45,82&lt;Projects!$C$45+Projects!$D$45),Projects!$B$45*INDEX(Curves!$B$4:$AR$4,1,82-Projects!$C$45+1),0)+IF(AND(Projects!$G$46="Yes",Projects!$M$46="Yes",82&gt;=Projects!$C$46,82&lt;Projects!$C$46+Projects!$D$46),Projects!$B$46*INDEX(Curves!$B$4:$AR$4,1,82-Projects!$C$46+1),0)</f>
        <v>0</v>
      </c>
      <c r="CJ101" s="87" t="n">
        <f aca="false">IF(AND(Projects!$G$17="Yes",Projects!$M$17="Yes",83&gt;=Projects!$C$17,83&lt;Projects!$C$17+Projects!$D$17),Projects!$B$17*INDEX(Curves!$B$4:$AR$4,1,83-Projects!$C$17+1),0)+IF(AND(Projects!$G$18="Yes",Projects!$M$18="Yes",83&gt;=Projects!$C$18,83&lt;Projects!$C$18+Projects!$D$18),Projects!$B$18*INDEX(Curves!$B$4:$AR$4,1,83-Projects!$C$18+1),0)+IF(AND(Projects!$G$19="Yes",Projects!$M$19="Yes",83&gt;=Projects!$C$19,83&lt;Projects!$C$19+Projects!$D$19),Projects!$B$19*INDEX(Curves!$B$4:$AR$4,1,83-Projects!$C$19+1),0)+IF(AND(Projects!$G$20="Yes",Projects!$M$20="Yes",83&gt;=Projects!$C$20,83&lt;Projects!$C$20+Projects!$D$20),Projects!$B$20*INDEX(Curves!$B$4:$AR$4,1,83-Projects!$C$20+1),0)+IF(AND(Projects!$G$21="Yes",Projects!$M$21="Yes",83&gt;=Projects!$C$21,83&lt;Projects!$C$21+Projects!$D$21),Projects!$B$21*INDEX(Curves!$B$4:$AR$4,1,83-Projects!$C$21+1),0)+IF(AND(Projects!$G$22="Yes",Projects!$M$22="Yes",83&gt;=Projects!$C$22,83&lt;Projects!$C$22+Projects!$D$22),Projects!$B$22*INDEX(Curves!$B$4:$AR$4,1,83-Projects!$C$22+1),0)+IF(AND(Projects!$G$23="Yes",Projects!$M$23="Yes",83&gt;=Projects!$C$23,83&lt;Projects!$C$23+Projects!$D$23),Projects!$B$23*INDEX(Curves!$B$4:$AR$4,1,83-Projects!$C$23+1),0)+IF(AND(Projects!$G$24="Yes",Projects!$M$24="Yes",83&gt;=Projects!$C$24,83&lt;Projects!$C$24+Projects!$D$24),Projects!$B$24*INDEX(Curves!$B$4:$AR$4,1,83-Projects!$C$24+1),0)+IF(AND(Projects!$G$25="Yes",Projects!$M$25="Yes",83&gt;=Projects!$C$25,83&lt;Projects!$C$25+Projects!$D$25),Projects!$B$25*INDEX(Curves!$B$4:$AR$4,1,83-Projects!$C$25+1),0)+IF(AND(Projects!$G$26="Yes",Projects!$M$26="Yes",83&gt;=Projects!$C$26,83&lt;Projects!$C$26+Projects!$D$26),Projects!$B$26*INDEX(Curves!$B$4:$AR$4,1,83-Projects!$C$26+1),0)+IF(AND(Projects!$G$27="Yes",Projects!$M$27="Yes",83&gt;=Projects!$C$27,83&lt;Projects!$C$27+Projects!$D$27),Projects!$B$27*INDEX(Curves!$B$4:$AR$4,1,83-Projects!$C$27+1),0)+IF(AND(Projects!$G$28="Yes",Projects!$M$28="Yes",83&gt;=Projects!$C$28,83&lt;Projects!$C$28+Projects!$D$28),Projects!$B$28*INDEX(Curves!$B$4:$AR$4,1,83-Projects!$C$28+1),0)+IF(AND(Projects!$G$29="Yes",Projects!$M$29="Yes",83&gt;=Projects!$C$29,83&lt;Projects!$C$29+Projects!$D$29),Projects!$B$29*INDEX(Curves!$B$4:$AR$4,1,83-Projects!$C$29+1),0)+IF(AND(Projects!$G$30="Yes",Projects!$M$30="Yes",83&gt;=Projects!$C$30,83&lt;Projects!$C$30+Projects!$D$30),Projects!$B$30*INDEX(Curves!$B$4:$AR$4,1,83-Projects!$C$30+1),0)+IF(AND(Projects!$G$31="Yes",Projects!$M$31="Yes",83&gt;=Projects!$C$31,83&lt;Projects!$C$31+Projects!$D$31),Projects!$B$31*INDEX(Curves!$B$4:$AR$4,1,83-Projects!$C$31+1),0)+IF(AND(Projects!$G$32="Yes",Projects!$M$32="Yes",83&gt;=Projects!$C$32,83&lt;Projects!$C$32+Projects!$D$32),Projects!$B$32*INDEX(Curves!$B$4:$AR$4,1,83-Projects!$C$32+1),0)+IF(AND(Projects!$G$33="Yes",Projects!$M$33="Yes",83&gt;=Projects!$C$33,83&lt;Projects!$C$33+Projects!$D$33),Projects!$B$33*INDEX(Curves!$B$4:$AR$4,1,83-Projects!$C$33+1),0)+IF(AND(Projects!$G$34="Yes",Projects!$M$34="Yes",83&gt;=Projects!$C$34,83&lt;Projects!$C$34+Projects!$D$34),Projects!$B$34*INDEX(Curves!$B$4:$AR$4,1,83-Projects!$C$34+1),0)+IF(AND(Projects!$G$35="Yes",Projects!$M$35="Yes",83&gt;=Projects!$C$35,83&lt;Projects!$C$35+Projects!$D$35),Projects!$B$35*INDEX(Curves!$B$4:$AR$4,1,83-Projects!$C$35+1),0)+IF(AND(Projects!$G$36="Yes",Projects!$M$36="Yes",83&gt;=Projects!$C$36,83&lt;Projects!$C$36+Projects!$D$36),Projects!$B$36*INDEX(Curves!$B$4:$AR$4,1,83-Projects!$C$36+1),0)+IF(AND(Projects!$G$37="Yes",Projects!$M$37="Yes",83&gt;=Projects!$C$37,83&lt;Projects!$C$37+Projects!$D$37),Projects!$B$37*INDEX(Curves!$B$4:$AR$4,1,83-Projects!$C$37+1),0)+IF(AND(Projects!$G$38="Yes",Projects!$M$38="Yes",83&gt;=Projects!$C$38,83&lt;Projects!$C$38+Projects!$D$38),Projects!$B$38*INDEX(Curves!$B$4:$AR$4,1,83-Projects!$C$38+1),0)+IF(AND(Projects!$G$39="Yes",Projects!$M$39="Yes",83&gt;=Projects!$C$39,83&lt;Projects!$C$39+Projects!$D$39),Projects!$B$39*INDEX(Curves!$B$4:$AR$4,1,83-Projects!$C$39+1),0)+IF(AND(Projects!$G$40="Yes",Projects!$M$40="Yes",83&gt;=Projects!$C$40,83&lt;Projects!$C$40+Projects!$D$40),Projects!$B$40*INDEX(Curves!$B$4:$AR$4,1,83-Projects!$C$40+1),0)+IF(AND(Projects!$G$41="Yes",Projects!$M$41="Yes",83&gt;=Projects!$C$41,83&lt;Projects!$C$41+Projects!$D$41),Projects!$B$41*INDEX(Curves!$B$4:$AR$4,1,83-Projects!$C$41+1),0)+IF(AND(Projects!$G$42="Yes",Projects!$M$42="Yes",83&gt;=Projects!$C$42,83&lt;Projects!$C$42+Projects!$D$42),Projects!$B$42*INDEX(Curves!$B$4:$AR$4,1,83-Projects!$C$42+1),0)+IF(AND(Projects!$G$43="Yes",Projects!$M$43="Yes",83&gt;=Projects!$C$43,83&lt;Projects!$C$43+Projects!$D$43),Projects!$B$43*INDEX(Curves!$B$4:$AR$4,1,83-Projects!$C$43+1),0)+IF(AND(Projects!$G$44="Yes",Projects!$M$44="Yes",83&gt;=Projects!$C$44,83&lt;Projects!$C$44+Projects!$D$44),Projects!$B$44*INDEX(Curves!$B$4:$AR$4,1,83-Projects!$C$44+1),0)+IF(AND(Projects!$G$45="Yes",Projects!$M$45="Yes",83&gt;=Projects!$C$45,83&lt;Projects!$C$45+Projects!$D$45),Projects!$B$45*INDEX(Curves!$B$4:$AR$4,1,83-Projects!$C$45+1),0)+IF(AND(Projects!$G$46="Yes",Projects!$M$46="Yes",83&gt;=Projects!$C$46,83&lt;Projects!$C$46+Projects!$D$46),Projects!$B$46*INDEX(Curves!$B$4:$AR$4,1,83-Projects!$C$46+1),0)</f>
        <v>0</v>
      </c>
      <c r="CK101" s="87" t="n">
        <f aca="false">IF(AND(Projects!$G$17="Yes",Projects!$M$17="Yes",84&gt;=Projects!$C$17,84&lt;Projects!$C$17+Projects!$D$17),Projects!$B$17*INDEX(Curves!$B$4:$AR$4,1,84-Projects!$C$17+1),0)+IF(AND(Projects!$G$18="Yes",Projects!$M$18="Yes",84&gt;=Projects!$C$18,84&lt;Projects!$C$18+Projects!$D$18),Projects!$B$18*INDEX(Curves!$B$4:$AR$4,1,84-Projects!$C$18+1),0)+IF(AND(Projects!$G$19="Yes",Projects!$M$19="Yes",84&gt;=Projects!$C$19,84&lt;Projects!$C$19+Projects!$D$19),Projects!$B$19*INDEX(Curves!$B$4:$AR$4,1,84-Projects!$C$19+1),0)+IF(AND(Projects!$G$20="Yes",Projects!$M$20="Yes",84&gt;=Projects!$C$20,84&lt;Projects!$C$20+Projects!$D$20),Projects!$B$20*INDEX(Curves!$B$4:$AR$4,1,84-Projects!$C$20+1),0)+IF(AND(Projects!$G$21="Yes",Projects!$M$21="Yes",84&gt;=Projects!$C$21,84&lt;Projects!$C$21+Projects!$D$21),Projects!$B$21*INDEX(Curves!$B$4:$AR$4,1,84-Projects!$C$21+1),0)+IF(AND(Projects!$G$22="Yes",Projects!$M$22="Yes",84&gt;=Projects!$C$22,84&lt;Projects!$C$22+Projects!$D$22),Projects!$B$22*INDEX(Curves!$B$4:$AR$4,1,84-Projects!$C$22+1),0)+IF(AND(Projects!$G$23="Yes",Projects!$M$23="Yes",84&gt;=Projects!$C$23,84&lt;Projects!$C$23+Projects!$D$23),Projects!$B$23*INDEX(Curves!$B$4:$AR$4,1,84-Projects!$C$23+1),0)+IF(AND(Projects!$G$24="Yes",Projects!$M$24="Yes",84&gt;=Projects!$C$24,84&lt;Projects!$C$24+Projects!$D$24),Projects!$B$24*INDEX(Curves!$B$4:$AR$4,1,84-Projects!$C$24+1),0)+IF(AND(Projects!$G$25="Yes",Projects!$M$25="Yes",84&gt;=Projects!$C$25,84&lt;Projects!$C$25+Projects!$D$25),Projects!$B$25*INDEX(Curves!$B$4:$AR$4,1,84-Projects!$C$25+1),0)+IF(AND(Projects!$G$26="Yes",Projects!$M$26="Yes",84&gt;=Projects!$C$26,84&lt;Projects!$C$26+Projects!$D$26),Projects!$B$26*INDEX(Curves!$B$4:$AR$4,1,84-Projects!$C$26+1),0)+IF(AND(Projects!$G$27="Yes",Projects!$M$27="Yes",84&gt;=Projects!$C$27,84&lt;Projects!$C$27+Projects!$D$27),Projects!$B$27*INDEX(Curves!$B$4:$AR$4,1,84-Projects!$C$27+1),0)+IF(AND(Projects!$G$28="Yes",Projects!$M$28="Yes",84&gt;=Projects!$C$28,84&lt;Projects!$C$28+Projects!$D$28),Projects!$B$28*INDEX(Curves!$B$4:$AR$4,1,84-Projects!$C$28+1),0)+IF(AND(Projects!$G$29="Yes",Projects!$M$29="Yes",84&gt;=Projects!$C$29,84&lt;Projects!$C$29+Projects!$D$29),Projects!$B$29*INDEX(Curves!$B$4:$AR$4,1,84-Projects!$C$29+1),0)+IF(AND(Projects!$G$30="Yes",Projects!$M$30="Yes",84&gt;=Projects!$C$30,84&lt;Projects!$C$30+Projects!$D$30),Projects!$B$30*INDEX(Curves!$B$4:$AR$4,1,84-Projects!$C$30+1),0)+IF(AND(Projects!$G$31="Yes",Projects!$M$31="Yes",84&gt;=Projects!$C$31,84&lt;Projects!$C$31+Projects!$D$31),Projects!$B$31*INDEX(Curves!$B$4:$AR$4,1,84-Projects!$C$31+1),0)+IF(AND(Projects!$G$32="Yes",Projects!$M$32="Yes",84&gt;=Projects!$C$32,84&lt;Projects!$C$32+Projects!$D$32),Projects!$B$32*INDEX(Curves!$B$4:$AR$4,1,84-Projects!$C$32+1),0)+IF(AND(Projects!$G$33="Yes",Projects!$M$33="Yes",84&gt;=Projects!$C$33,84&lt;Projects!$C$33+Projects!$D$33),Projects!$B$33*INDEX(Curves!$B$4:$AR$4,1,84-Projects!$C$33+1),0)+IF(AND(Projects!$G$34="Yes",Projects!$M$34="Yes",84&gt;=Projects!$C$34,84&lt;Projects!$C$34+Projects!$D$34),Projects!$B$34*INDEX(Curves!$B$4:$AR$4,1,84-Projects!$C$34+1),0)+IF(AND(Projects!$G$35="Yes",Projects!$M$35="Yes",84&gt;=Projects!$C$35,84&lt;Projects!$C$35+Projects!$D$35),Projects!$B$35*INDEX(Curves!$B$4:$AR$4,1,84-Projects!$C$35+1),0)+IF(AND(Projects!$G$36="Yes",Projects!$M$36="Yes",84&gt;=Projects!$C$36,84&lt;Projects!$C$36+Projects!$D$36),Projects!$B$36*INDEX(Curves!$B$4:$AR$4,1,84-Projects!$C$36+1),0)+IF(AND(Projects!$G$37="Yes",Projects!$M$37="Yes",84&gt;=Projects!$C$37,84&lt;Projects!$C$37+Projects!$D$37),Projects!$B$37*INDEX(Curves!$B$4:$AR$4,1,84-Projects!$C$37+1),0)+IF(AND(Projects!$G$38="Yes",Projects!$M$38="Yes",84&gt;=Projects!$C$38,84&lt;Projects!$C$38+Projects!$D$38),Projects!$B$38*INDEX(Curves!$B$4:$AR$4,1,84-Projects!$C$38+1),0)+IF(AND(Projects!$G$39="Yes",Projects!$M$39="Yes",84&gt;=Projects!$C$39,84&lt;Projects!$C$39+Projects!$D$39),Projects!$B$39*INDEX(Curves!$B$4:$AR$4,1,84-Projects!$C$39+1),0)+IF(AND(Projects!$G$40="Yes",Projects!$M$40="Yes",84&gt;=Projects!$C$40,84&lt;Projects!$C$40+Projects!$D$40),Projects!$B$40*INDEX(Curves!$B$4:$AR$4,1,84-Projects!$C$40+1),0)+IF(AND(Projects!$G$41="Yes",Projects!$M$41="Yes",84&gt;=Projects!$C$41,84&lt;Projects!$C$41+Projects!$D$41),Projects!$B$41*INDEX(Curves!$B$4:$AR$4,1,84-Projects!$C$41+1),0)+IF(AND(Projects!$G$42="Yes",Projects!$M$42="Yes",84&gt;=Projects!$C$42,84&lt;Projects!$C$42+Projects!$D$42),Projects!$B$42*INDEX(Curves!$B$4:$AR$4,1,84-Projects!$C$42+1),0)+IF(AND(Projects!$G$43="Yes",Projects!$M$43="Yes",84&gt;=Projects!$C$43,84&lt;Projects!$C$43+Projects!$D$43),Projects!$B$43*INDEX(Curves!$B$4:$AR$4,1,84-Projects!$C$43+1),0)+IF(AND(Projects!$G$44="Yes",Projects!$M$44="Yes",84&gt;=Projects!$C$44,84&lt;Projects!$C$44+Projects!$D$44),Projects!$B$44*INDEX(Curves!$B$4:$AR$4,1,84-Projects!$C$44+1),0)+IF(AND(Projects!$G$45="Yes",Projects!$M$45="Yes",84&gt;=Projects!$C$45,84&lt;Projects!$C$45+Projects!$D$45),Projects!$B$45*INDEX(Curves!$B$4:$AR$4,1,84-Projects!$C$45+1),0)+IF(AND(Projects!$G$46="Yes",Projects!$M$46="Yes",84&gt;=Projects!$C$46,84&lt;Projects!$C$46+Projects!$D$46),Projects!$B$46*INDEX(Curves!$B$4:$AR$4,1,84-Projects!$C$46+1),0)</f>
        <v>0</v>
      </c>
      <c r="CL101" s="87" t="n">
        <f aca="false">IF(AND(Projects!$G$17="Yes",Projects!$M$17="Yes",85&gt;=Projects!$C$17,85&lt;Projects!$C$17+Projects!$D$17),Projects!$B$17*INDEX(Curves!$B$4:$AR$4,1,85-Projects!$C$17+1),0)+IF(AND(Projects!$G$18="Yes",Projects!$M$18="Yes",85&gt;=Projects!$C$18,85&lt;Projects!$C$18+Projects!$D$18),Projects!$B$18*INDEX(Curves!$B$4:$AR$4,1,85-Projects!$C$18+1),0)+IF(AND(Projects!$G$19="Yes",Projects!$M$19="Yes",85&gt;=Projects!$C$19,85&lt;Projects!$C$19+Projects!$D$19),Projects!$B$19*INDEX(Curves!$B$4:$AR$4,1,85-Projects!$C$19+1),0)+IF(AND(Projects!$G$20="Yes",Projects!$M$20="Yes",85&gt;=Projects!$C$20,85&lt;Projects!$C$20+Projects!$D$20),Projects!$B$20*INDEX(Curves!$B$4:$AR$4,1,85-Projects!$C$20+1),0)+IF(AND(Projects!$G$21="Yes",Projects!$M$21="Yes",85&gt;=Projects!$C$21,85&lt;Projects!$C$21+Projects!$D$21),Projects!$B$21*INDEX(Curves!$B$4:$AR$4,1,85-Projects!$C$21+1),0)+IF(AND(Projects!$G$22="Yes",Projects!$M$22="Yes",85&gt;=Projects!$C$22,85&lt;Projects!$C$22+Projects!$D$22),Projects!$B$22*INDEX(Curves!$B$4:$AR$4,1,85-Projects!$C$22+1),0)+IF(AND(Projects!$G$23="Yes",Projects!$M$23="Yes",85&gt;=Projects!$C$23,85&lt;Projects!$C$23+Projects!$D$23),Projects!$B$23*INDEX(Curves!$B$4:$AR$4,1,85-Projects!$C$23+1),0)+IF(AND(Projects!$G$24="Yes",Projects!$M$24="Yes",85&gt;=Projects!$C$24,85&lt;Projects!$C$24+Projects!$D$24),Projects!$B$24*INDEX(Curves!$B$4:$AR$4,1,85-Projects!$C$24+1),0)+IF(AND(Projects!$G$25="Yes",Projects!$M$25="Yes",85&gt;=Projects!$C$25,85&lt;Projects!$C$25+Projects!$D$25),Projects!$B$25*INDEX(Curves!$B$4:$AR$4,1,85-Projects!$C$25+1),0)+IF(AND(Projects!$G$26="Yes",Projects!$M$26="Yes",85&gt;=Projects!$C$26,85&lt;Projects!$C$26+Projects!$D$26),Projects!$B$26*INDEX(Curves!$B$4:$AR$4,1,85-Projects!$C$26+1),0)+IF(AND(Projects!$G$27="Yes",Projects!$M$27="Yes",85&gt;=Projects!$C$27,85&lt;Projects!$C$27+Projects!$D$27),Projects!$B$27*INDEX(Curves!$B$4:$AR$4,1,85-Projects!$C$27+1),0)+IF(AND(Projects!$G$28="Yes",Projects!$M$28="Yes",85&gt;=Projects!$C$28,85&lt;Projects!$C$28+Projects!$D$28),Projects!$B$28*INDEX(Curves!$B$4:$AR$4,1,85-Projects!$C$28+1),0)+IF(AND(Projects!$G$29="Yes",Projects!$M$29="Yes",85&gt;=Projects!$C$29,85&lt;Projects!$C$29+Projects!$D$29),Projects!$B$29*INDEX(Curves!$B$4:$AR$4,1,85-Projects!$C$29+1),0)+IF(AND(Projects!$G$30="Yes",Projects!$M$30="Yes",85&gt;=Projects!$C$30,85&lt;Projects!$C$30+Projects!$D$30),Projects!$B$30*INDEX(Curves!$B$4:$AR$4,1,85-Projects!$C$30+1),0)+IF(AND(Projects!$G$31="Yes",Projects!$M$31="Yes",85&gt;=Projects!$C$31,85&lt;Projects!$C$31+Projects!$D$31),Projects!$B$31*INDEX(Curves!$B$4:$AR$4,1,85-Projects!$C$31+1),0)+IF(AND(Projects!$G$32="Yes",Projects!$M$32="Yes",85&gt;=Projects!$C$32,85&lt;Projects!$C$32+Projects!$D$32),Projects!$B$32*INDEX(Curves!$B$4:$AR$4,1,85-Projects!$C$32+1),0)+IF(AND(Projects!$G$33="Yes",Projects!$M$33="Yes",85&gt;=Projects!$C$33,85&lt;Projects!$C$33+Projects!$D$33),Projects!$B$33*INDEX(Curves!$B$4:$AR$4,1,85-Projects!$C$33+1),0)+IF(AND(Projects!$G$34="Yes",Projects!$M$34="Yes",85&gt;=Projects!$C$34,85&lt;Projects!$C$34+Projects!$D$34),Projects!$B$34*INDEX(Curves!$B$4:$AR$4,1,85-Projects!$C$34+1),0)+IF(AND(Projects!$G$35="Yes",Projects!$M$35="Yes",85&gt;=Projects!$C$35,85&lt;Projects!$C$35+Projects!$D$35),Projects!$B$35*INDEX(Curves!$B$4:$AR$4,1,85-Projects!$C$35+1),0)+IF(AND(Projects!$G$36="Yes",Projects!$M$36="Yes",85&gt;=Projects!$C$36,85&lt;Projects!$C$36+Projects!$D$36),Projects!$B$36*INDEX(Curves!$B$4:$AR$4,1,85-Projects!$C$36+1),0)+IF(AND(Projects!$G$37="Yes",Projects!$M$37="Yes",85&gt;=Projects!$C$37,85&lt;Projects!$C$37+Projects!$D$37),Projects!$B$37*INDEX(Curves!$B$4:$AR$4,1,85-Projects!$C$37+1),0)+IF(AND(Projects!$G$38="Yes",Projects!$M$38="Yes",85&gt;=Projects!$C$38,85&lt;Projects!$C$38+Projects!$D$38),Projects!$B$38*INDEX(Curves!$B$4:$AR$4,1,85-Projects!$C$38+1),0)+IF(AND(Projects!$G$39="Yes",Projects!$M$39="Yes",85&gt;=Projects!$C$39,85&lt;Projects!$C$39+Projects!$D$39),Projects!$B$39*INDEX(Curves!$B$4:$AR$4,1,85-Projects!$C$39+1),0)+IF(AND(Projects!$G$40="Yes",Projects!$M$40="Yes",85&gt;=Projects!$C$40,85&lt;Projects!$C$40+Projects!$D$40),Projects!$B$40*INDEX(Curves!$B$4:$AR$4,1,85-Projects!$C$40+1),0)+IF(AND(Projects!$G$41="Yes",Projects!$M$41="Yes",85&gt;=Projects!$C$41,85&lt;Projects!$C$41+Projects!$D$41),Projects!$B$41*INDEX(Curves!$B$4:$AR$4,1,85-Projects!$C$41+1),0)+IF(AND(Projects!$G$42="Yes",Projects!$M$42="Yes",85&gt;=Projects!$C$42,85&lt;Projects!$C$42+Projects!$D$42),Projects!$B$42*INDEX(Curves!$B$4:$AR$4,1,85-Projects!$C$42+1),0)+IF(AND(Projects!$G$43="Yes",Projects!$M$43="Yes",85&gt;=Projects!$C$43,85&lt;Projects!$C$43+Projects!$D$43),Projects!$B$43*INDEX(Curves!$B$4:$AR$4,1,85-Projects!$C$43+1),0)+IF(AND(Projects!$G$44="Yes",Projects!$M$44="Yes",85&gt;=Projects!$C$44,85&lt;Projects!$C$44+Projects!$D$44),Projects!$B$44*INDEX(Curves!$B$4:$AR$4,1,85-Projects!$C$44+1),0)+IF(AND(Projects!$G$45="Yes",Projects!$M$45="Yes",85&gt;=Projects!$C$45,85&lt;Projects!$C$45+Projects!$D$45),Projects!$B$45*INDEX(Curves!$B$4:$AR$4,1,85-Projects!$C$45+1),0)+IF(AND(Projects!$G$46="Yes",Projects!$M$46="Yes",85&gt;=Projects!$C$46,85&lt;Projects!$C$46+Projects!$D$46),Projects!$B$46*INDEX(Curves!$B$4:$AR$4,1,85-Projects!$C$46+1),0)</f>
        <v>0</v>
      </c>
      <c r="CM101" s="87" t="n">
        <f aca="false">IF(AND(Projects!$G$17="Yes",Projects!$M$17="Yes",86&gt;=Projects!$C$17,86&lt;Projects!$C$17+Projects!$D$17),Projects!$B$17*INDEX(Curves!$B$4:$AR$4,1,86-Projects!$C$17+1),0)+IF(AND(Projects!$G$18="Yes",Projects!$M$18="Yes",86&gt;=Projects!$C$18,86&lt;Projects!$C$18+Projects!$D$18),Projects!$B$18*INDEX(Curves!$B$4:$AR$4,1,86-Projects!$C$18+1),0)+IF(AND(Projects!$G$19="Yes",Projects!$M$19="Yes",86&gt;=Projects!$C$19,86&lt;Projects!$C$19+Projects!$D$19),Projects!$B$19*INDEX(Curves!$B$4:$AR$4,1,86-Projects!$C$19+1),0)+IF(AND(Projects!$G$20="Yes",Projects!$M$20="Yes",86&gt;=Projects!$C$20,86&lt;Projects!$C$20+Projects!$D$20),Projects!$B$20*INDEX(Curves!$B$4:$AR$4,1,86-Projects!$C$20+1),0)+IF(AND(Projects!$G$21="Yes",Projects!$M$21="Yes",86&gt;=Projects!$C$21,86&lt;Projects!$C$21+Projects!$D$21),Projects!$B$21*INDEX(Curves!$B$4:$AR$4,1,86-Projects!$C$21+1),0)+IF(AND(Projects!$G$22="Yes",Projects!$M$22="Yes",86&gt;=Projects!$C$22,86&lt;Projects!$C$22+Projects!$D$22),Projects!$B$22*INDEX(Curves!$B$4:$AR$4,1,86-Projects!$C$22+1),0)+IF(AND(Projects!$G$23="Yes",Projects!$M$23="Yes",86&gt;=Projects!$C$23,86&lt;Projects!$C$23+Projects!$D$23),Projects!$B$23*INDEX(Curves!$B$4:$AR$4,1,86-Projects!$C$23+1),0)+IF(AND(Projects!$G$24="Yes",Projects!$M$24="Yes",86&gt;=Projects!$C$24,86&lt;Projects!$C$24+Projects!$D$24),Projects!$B$24*INDEX(Curves!$B$4:$AR$4,1,86-Projects!$C$24+1),0)+IF(AND(Projects!$G$25="Yes",Projects!$M$25="Yes",86&gt;=Projects!$C$25,86&lt;Projects!$C$25+Projects!$D$25),Projects!$B$25*INDEX(Curves!$B$4:$AR$4,1,86-Projects!$C$25+1),0)+IF(AND(Projects!$G$26="Yes",Projects!$M$26="Yes",86&gt;=Projects!$C$26,86&lt;Projects!$C$26+Projects!$D$26),Projects!$B$26*INDEX(Curves!$B$4:$AR$4,1,86-Projects!$C$26+1),0)+IF(AND(Projects!$G$27="Yes",Projects!$M$27="Yes",86&gt;=Projects!$C$27,86&lt;Projects!$C$27+Projects!$D$27),Projects!$B$27*INDEX(Curves!$B$4:$AR$4,1,86-Projects!$C$27+1),0)+IF(AND(Projects!$G$28="Yes",Projects!$M$28="Yes",86&gt;=Projects!$C$28,86&lt;Projects!$C$28+Projects!$D$28),Projects!$B$28*INDEX(Curves!$B$4:$AR$4,1,86-Projects!$C$28+1),0)+IF(AND(Projects!$G$29="Yes",Projects!$M$29="Yes",86&gt;=Projects!$C$29,86&lt;Projects!$C$29+Projects!$D$29),Projects!$B$29*INDEX(Curves!$B$4:$AR$4,1,86-Projects!$C$29+1),0)+IF(AND(Projects!$G$30="Yes",Projects!$M$30="Yes",86&gt;=Projects!$C$30,86&lt;Projects!$C$30+Projects!$D$30),Projects!$B$30*INDEX(Curves!$B$4:$AR$4,1,86-Projects!$C$30+1),0)+IF(AND(Projects!$G$31="Yes",Projects!$M$31="Yes",86&gt;=Projects!$C$31,86&lt;Projects!$C$31+Projects!$D$31),Projects!$B$31*INDEX(Curves!$B$4:$AR$4,1,86-Projects!$C$31+1),0)+IF(AND(Projects!$G$32="Yes",Projects!$M$32="Yes",86&gt;=Projects!$C$32,86&lt;Projects!$C$32+Projects!$D$32),Projects!$B$32*INDEX(Curves!$B$4:$AR$4,1,86-Projects!$C$32+1),0)+IF(AND(Projects!$G$33="Yes",Projects!$M$33="Yes",86&gt;=Projects!$C$33,86&lt;Projects!$C$33+Projects!$D$33),Projects!$B$33*INDEX(Curves!$B$4:$AR$4,1,86-Projects!$C$33+1),0)+IF(AND(Projects!$G$34="Yes",Projects!$M$34="Yes",86&gt;=Projects!$C$34,86&lt;Projects!$C$34+Projects!$D$34),Projects!$B$34*INDEX(Curves!$B$4:$AR$4,1,86-Projects!$C$34+1),0)+IF(AND(Projects!$G$35="Yes",Projects!$M$35="Yes",86&gt;=Projects!$C$35,86&lt;Projects!$C$35+Projects!$D$35),Projects!$B$35*INDEX(Curves!$B$4:$AR$4,1,86-Projects!$C$35+1),0)+IF(AND(Projects!$G$36="Yes",Projects!$M$36="Yes",86&gt;=Projects!$C$36,86&lt;Projects!$C$36+Projects!$D$36),Projects!$B$36*INDEX(Curves!$B$4:$AR$4,1,86-Projects!$C$36+1),0)+IF(AND(Projects!$G$37="Yes",Projects!$M$37="Yes",86&gt;=Projects!$C$37,86&lt;Projects!$C$37+Projects!$D$37),Projects!$B$37*INDEX(Curves!$B$4:$AR$4,1,86-Projects!$C$37+1),0)+IF(AND(Projects!$G$38="Yes",Projects!$M$38="Yes",86&gt;=Projects!$C$38,86&lt;Projects!$C$38+Projects!$D$38),Projects!$B$38*INDEX(Curves!$B$4:$AR$4,1,86-Projects!$C$38+1),0)+IF(AND(Projects!$G$39="Yes",Projects!$M$39="Yes",86&gt;=Projects!$C$39,86&lt;Projects!$C$39+Projects!$D$39),Projects!$B$39*INDEX(Curves!$B$4:$AR$4,1,86-Projects!$C$39+1),0)+IF(AND(Projects!$G$40="Yes",Projects!$M$40="Yes",86&gt;=Projects!$C$40,86&lt;Projects!$C$40+Projects!$D$40),Projects!$B$40*INDEX(Curves!$B$4:$AR$4,1,86-Projects!$C$40+1),0)+IF(AND(Projects!$G$41="Yes",Projects!$M$41="Yes",86&gt;=Projects!$C$41,86&lt;Projects!$C$41+Projects!$D$41),Projects!$B$41*INDEX(Curves!$B$4:$AR$4,1,86-Projects!$C$41+1),0)+IF(AND(Projects!$G$42="Yes",Projects!$M$42="Yes",86&gt;=Projects!$C$42,86&lt;Projects!$C$42+Projects!$D$42),Projects!$B$42*INDEX(Curves!$B$4:$AR$4,1,86-Projects!$C$42+1),0)+IF(AND(Projects!$G$43="Yes",Projects!$M$43="Yes",86&gt;=Projects!$C$43,86&lt;Projects!$C$43+Projects!$D$43),Projects!$B$43*INDEX(Curves!$B$4:$AR$4,1,86-Projects!$C$43+1),0)+IF(AND(Projects!$G$44="Yes",Projects!$M$44="Yes",86&gt;=Projects!$C$44,86&lt;Projects!$C$44+Projects!$D$44),Projects!$B$44*INDEX(Curves!$B$4:$AR$4,1,86-Projects!$C$44+1),0)+IF(AND(Projects!$G$45="Yes",Projects!$M$45="Yes",86&gt;=Projects!$C$45,86&lt;Projects!$C$45+Projects!$D$45),Projects!$B$45*INDEX(Curves!$B$4:$AR$4,1,86-Projects!$C$45+1),0)+IF(AND(Projects!$G$46="Yes",Projects!$M$46="Yes",86&gt;=Projects!$C$46,86&lt;Projects!$C$46+Projects!$D$46),Projects!$B$46*INDEX(Curves!$B$4:$AR$4,1,86-Projects!$C$46+1),0)</f>
        <v>0</v>
      </c>
      <c r="CN101" s="87" t="n">
        <f aca="false">IF(AND(Projects!$G$17="Yes",Projects!$M$17="Yes",87&gt;=Projects!$C$17,87&lt;Projects!$C$17+Projects!$D$17),Projects!$B$17*INDEX(Curves!$B$4:$AR$4,1,87-Projects!$C$17+1),0)+IF(AND(Projects!$G$18="Yes",Projects!$M$18="Yes",87&gt;=Projects!$C$18,87&lt;Projects!$C$18+Projects!$D$18),Projects!$B$18*INDEX(Curves!$B$4:$AR$4,1,87-Projects!$C$18+1),0)+IF(AND(Projects!$G$19="Yes",Projects!$M$19="Yes",87&gt;=Projects!$C$19,87&lt;Projects!$C$19+Projects!$D$19),Projects!$B$19*INDEX(Curves!$B$4:$AR$4,1,87-Projects!$C$19+1),0)+IF(AND(Projects!$G$20="Yes",Projects!$M$20="Yes",87&gt;=Projects!$C$20,87&lt;Projects!$C$20+Projects!$D$20),Projects!$B$20*INDEX(Curves!$B$4:$AR$4,1,87-Projects!$C$20+1),0)+IF(AND(Projects!$G$21="Yes",Projects!$M$21="Yes",87&gt;=Projects!$C$21,87&lt;Projects!$C$21+Projects!$D$21),Projects!$B$21*INDEX(Curves!$B$4:$AR$4,1,87-Projects!$C$21+1),0)+IF(AND(Projects!$G$22="Yes",Projects!$M$22="Yes",87&gt;=Projects!$C$22,87&lt;Projects!$C$22+Projects!$D$22),Projects!$B$22*INDEX(Curves!$B$4:$AR$4,1,87-Projects!$C$22+1),0)+IF(AND(Projects!$G$23="Yes",Projects!$M$23="Yes",87&gt;=Projects!$C$23,87&lt;Projects!$C$23+Projects!$D$23),Projects!$B$23*INDEX(Curves!$B$4:$AR$4,1,87-Projects!$C$23+1),0)+IF(AND(Projects!$G$24="Yes",Projects!$M$24="Yes",87&gt;=Projects!$C$24,87&lt;Projects!$C$24+Projects!$D$24),Projects!$B$24*INDEX(Curves!$B$4:$AR$4,1,87-Projects!$C$24+1),0)+IF(AND(Projects!$G$25="Yes",Projects!$M$25="Yes",87&gt;=Projects!$C$25,87&lt;Projects!$C$25+Projects!$D$25),Projects!$B$25*INDEX(Curves!$B$4:$AR$4,1,87-Projects!$C$25+1),0)+IF(AND(Projects!$G$26="Yes",Projects!$M$26="Yes",87&gt;=Projects!$C$26,87&lt;Projects!$C$26+Projects!$D$26),Projects!$B$26*INDEX(Curves!$B$4:$AR$4,1,87-Projects!$C$26+1),0)+IF(AND(Projects!$G$27="Yes",Projects!$M$27="Yes",87&gt;=Projects!$C$27,87&lt;Projects!$C$27+Projects!$D$27),Projects!$B$27*INDEX(Curves!$B$4:$AR$4,1,87-Projects!$C$27+1),0)+IF(AND(Projects!$G$28="Yes",Projects!$M$28="Yes",87&gt;=Projects!$C$28,87&lt;Projects!$C$28+Projects!$D$28),Projects!$B$28*INDEX(Curves!$B$4:$AR$4,1,87-Projects!$C$28+1),0)+IF(AND(Projects!$G$29="Yes",Projects!$M$29="Yes",87&gt;=Projects!$C$29,87&lt;Projects!$C$29+Projects!$D$29),Projects!$B$29*INDEX(Curves!$B$4:$AR$4,1,87-Projects!$C$29+1),0)+IF(AND(Projects!$G$30="Yes",Projects!$M$30="Yes",87&gt;=Projects!$C$30,87&lt;Projects!$C$30+Projects!$D$30),Projects!$B$30*INDEX(Curves!$B$4:$AR$4,1,87-Projects!$C$30+1),0)+IF(AND(Projects!$G$31="Yes",Projects!$M$31="Yes",87&gt;=Projects!$C$31,87&lt;Projects!$C$31+Projects!$D$31),Projects!$B$31*INDEX(Curves!$B$4:$AR$4,1,87-Projects!$C$31+1),0)+IF(AND(Projects!$G$32="Yes",Projects!$M$32="Yes",87&gt;=Projects!$C$32,87&lt;Projects!$C$32+Projects!$D$32),Projects!$B$32*INDEX(Curves!$B$4:$AR$4,1,87-Projects!$C$32+1),0)+IF(AND(Projects!$G$33="Yes",Projects!$M$33="Yes",87&gt;=Projects!$C$33,87&lt;Projects!$C$33+Projects!$D$33),Projects!$B$33*INDEX(Curves!$B$4:$AR$4,1,87-Projects!$C$33+1),0)+IF(AND(Projects!$G$34="Yes",Projects!$M$34="Yes",87&gt;=Projects!$C$34,87&lt;Projects!$C$34+Projects!$D$34),Projects!$B$34*INDEX(Curves!$B$4:$AR$4,1,87-Projects!$C$34+1),0)+IF(AND(Projects!$G$35="Yes",Projects!$M$35="Yes",87&gt;=Projects!$C$35,87&lt;Projects!$C$35+Projects!$D$35),Projects!$B$35*INDEX(Curves!$B$4:$AR$4,1,87-Projects!$C$35+1),0)+IF(AND(Projects!$G$36="Yes",Projects!$M$36="Yes",87&gt;=Projects!$C$36,87&lt;Projects!$C$36+Projects!$D$36),Projects!$B$36*INDEX(Curves!$B$4:$AR$4,1,87-Projects!$C$36+1),0)+IF(AND(Projects!$G$37="Yes",Projects!$M$37="Yes",87&gt;=Projects!$C$37,87&lt;Projects!$C$37+Projects!$D$37),Projects!$B$37*INDEX(Curves!$B$4:$AR$4,1,87-Projects!$C$37+1),0)+IF(AND(Projects!$G$38="Yes",Projects!$M$38="Yes",87&gt;=Projects!$C$38,87&lt;Projects!$C$38+Projects!$D$38),Projects!$B$38*INDEX(Curves!$B$4:$AR$4,1,87-Projects!$C$38+1),0)+IF(AND(Projects!$G$39="Yes",Projects!$M$39="Yes",87&gt;=Projects!$C$39,87&lt;Projects!$C$39+Projects!$D$39),Projects!$B$39*INDEX(Curves!$B$4:$AR$4,1,87-Projects!$C$39+1),0)+IF(AND(Projects!$G$40="Yes",Projects!$M$40="Yes",87&gt;=Projects!$C$40,87&lt;Projects!$C$40+Projects!$D$40),Projects!$B$40*INDEX(Curves!$B$4:$AR$4,1,87-Projects!$C$40+1),0)+IF(AND(Projects!$G$41="Yes",Projects!$M$41="Yes",87&gt;=Projects!$C$41,87&lt;Projects!$C$41+Projects!$D$41),Projects!$B$41*INDEX(Curves!$B$4:$AR$4,1,87-Projects!$C$41+1),0)+IF(AND(Projects!$G$42="Yes",Projects!$M$42="Yes",87&gt;=Projects!$C$42,87&lt;Projects!$C$42+Projects!$D$42),Projects!$B$42*INDEX(Curves!$B$4:$AR$4,1,87-Projects!$C$42+1),0)+IF(AND(Projects!$G$43="Yes",Projects!$M$43="Yes",87&gt;=Projects!$C$43,87&lt;Projects!$C$43+Projects!$D$43),Projects!$B$43*INDEX(Curves!$B$4:$AR$4,1,87-Projects!$C$43+1),0)+IF(AND(Projects!$G$44="Yes",Projects!$M$44="Yes",87&gt;=Projects!$C$44,87&lt;Projects!$C$44+Projects!$D$44),Projects!$B$44*INDEX(Curves!$B$4:$AR$4,1,87-Projects!$C$44+1),0)+IF(AND(Projects!$G$45="Yes",Projects!$M$45="Yes",87&gt;=Projects!$C$45,87&lt;Projects!$C$45+Projects!$D$45),Projects!$B$45*INDEX(Curves!$B$4:$AR$4,1,87-Projects!$C$45+1),0)+IF(AND(Projects!$G$46="Yes",Projects!$M$46="Yes",87&gt;=Projects!$C$46,87&lt;Projects!$C$46+Projects!$D$46),Projects!$B$46*INDEX(Curves!$B$4:$AR$4,1,87-Projects!$C$46+1),0)</f>
        <v>0</v>
      </c>
      <c r="CO101" s="87" t="n">
        <f aca="false">IF(AND(Projects!$G$17="Yes",Projects!$M$17="Yes",88&gt;=Projects!$C$17,88&lt;Projects!$C$17+Projects!$D$17),Projects!$B$17*INDEX(Curves!$B$4:$AR$4,1,88-Projects!$C$17+1),0)+IF(AND(Projects!$G$18="Yes",Projects!$M$18="Yes",88&gt;=Projects!$C$18,88&lt;Projects!$C$18+Projects!$D$18),Projects!$B$18*INDEX(Curves!$B$4:$AR$4,1,88-Projects!$C$18+1),0)+IF(AND(Projects!$G$19="Yes",Projects!$M$19="Yes",88&gt;=Projects!$C$19,88&lt;Projects!$C$19+Projects!$D$19),Projects!$B$19*INDEX(Curves!$B$4:$AR$4,1,88-Projects!$C$19+1),0)+IF(AND(Projects!$G$20="Yes",Projects!$M$20="Yes",88&gt;=Projects!$C$20,88&lt;Projects!$C$20+Projects!$D$20),Projects!$B$20*INDEX(Curves!$B$4:$AR$4,1,88-Projects!$C$20+1),0)+IF(AND(Projects!$G$21="Yes",Projects!$M$21="Yes",88&gt;=Projects!$C$21,88&lt;Projects!$C$21+Projects!$D$21),Projects!$B$21*INDEX(Curves!$B$4:$AR$4,1,88-Projects!$C$21+1),0)+IF(AND(Projects!$G$22="Yes",Projects!$M$22="Yes",88&gt;=Projects!$C$22,88&lt;Projects!$C$22+Projects!$D$22),Projects!$B$22*INDEX(Curves!$B$4:$AR$4,1,88-Projects!$C$22+1),0)+IF(AND(Projects!$G$23="Yes",Projects!$M$23="Yes",88&gt;=Projects!$C$23,88&lt;Projects!$C$23+Projects!$D$23),Projects!$B$23*INDEX(Curves!$B$4:$AR$4,1,88-Projects!$C$23+1),0)+IF(AND(Projects!$G$24="Yes",Projects!$M$24="Yes",88&gt;=Projects!$C$24,88&lt;Projects!$C$24+Projects!$D$24),Projects!$B$24*INDEX(Curves!$B$4:$AR$4,1,88-Projects!$C$24+1),0)+IF(AND(Projects!$G$25="Yes",Projects!$M$25="Yes",88&gt;=Projects!$C$25,88&lt;Projects!$C$25+Projects!$D$25),Projects!$B$25*INDEX(Curves!$B$4:$AR$4,1,88-Projects!$C$25+1),0)+IF(AND(Projects!$G$26="Yes",Projects!$M$26="Yes",88&gt;=Projects!$C$26,88&lt;Projects!$C$26+Projects!$D$26),Projects!$B$26*INDEX(Curves!$B$4:$AR$4,1,88-Projects!$C$26+1),0)+IF(AND(Projects!$G$27="Yes",Projects!$M$27="Yes",88&gt;=Projects!$C$27,88&lt;Projects!$C$27+Projects!$D$27),Projects!$B$27*INDEX(Curves!$B$4:$AR$4,1,88-Projects!$C$27+1),0)+IF(AND(Projects!$G$28="Yes",Projects!$M$28="Yes",88&gt;=Projects!$C$28,88&lt;Projects!$C$28+Projects!$D$28),Projects!$B$28*INDEX(Curves!$B$4:$AR$4,1,88-Projects!$C$28+1),0)+IF(AND(Projects!$G$29="Yes",Projects!$M$29="Yes",88&gt;=Projects!$C$29,88&lt;Projects!$C$29+Projects!$D$29),Projects!$B$29*INDEX(Curves!$B$4:$AR$4,1,88-Projects!$C$29+1),0)+IF(AND(Projects!$G$30="Yes",Projects!$M$30="Yes",88&gt;=Projects!$C$30,88&lt;Projects!$C$30+Projects!$D$30),Projects!$B$30*INDEX(Curves!$B$4:$AR$4,1,88-Projects!$C$30+1),0)+IF(AND(Projects!$G$31="Yes",Projects!$M$31="Yes",88&gt;=Projects!$C$31,88&lt;Projects!$C$31+Projects!$D$31),Projects!$B$31*INDEX(Curves!$B$4:$AR$4,1,88-Projects!$C$31+1),0)+IF(AND(Projects!$G$32="Yes",Projects!$M$32="Yes",88&gt;=Projects!$C$32,88&lt;Projects!$C$32+Projects!$D$32),Projects!$B$32*INDEX(Curves!$B$4:$AR$4,1,88-Projects!$C$32+1),0)+IF(AND(Projects!$G$33="Yes",Projects!$M$33="Yes",88&gt;=Projects!$C$33,88&lt;Projects!$C$33+Projects!$D$33),Projects!$B$33*INDEX(Curves!$B$4:$AR$4,1,88-Projects!$C$33+1),0)+IF(AND(Projects!$G$34="Yes",Projects!$M$34="Yes",88&gt;=Projects!$C$34,88&lt;Projects!$C$34+Projects!$D$34),Projects!$B$34*INDEX(Curves!$B$4:$AR$4,1,88-Projects!$C$34+1),0)+IF(AND(Projects!$G$35="Yes",Projects!$M$35="Yes",88&gt;=Projects!$C$35,88&lt;Projects!$C$35+Projects!$D$35),Projects!$B$35*INDEX(Curves!$B$4:$AR$4,1,88-Projects!$C$35+1),0)+IF(AND(Projects!$G$36="Yes",Projects!$M$36="Yes",88&gt;=Projects!$C$36,88&lt;Projects!$C$36+Projects!$D$36),Projects!$B$36*INDEX(Curves!$B$4:$AR$4,1,88-Projects!$C$36+1),0)+IF(AND(Projects!$G$37="Yes",Projects!$M$37="Yes",88&gt;=Projects!$C$37,88&lt;Projects!$C$37+Projects!$D$37),Projects!$B$37*INDEX(Curves!$B$4:$AR$4,1,88-Projects!$C$37+1),0)+IF(AND(Projects!$G$38="Yes",Projects!$M$38="Yes",88&gt;=Projects!$C$38,88&lt;Projects!$C$38+Projects!$D$38),Projects!$B$38*INDEX(Curves!$B$4:$AR$4,1,88-Projects!$C$38+1),0)+IF(AND(Projects!$G$39="Yes",Projects!$M$39="Yes",88&gt;=Projects!$C$39,88&lt;Projects!$C$39+Projects!$D$39),Projects!$B$39*INDEX(Curves!$B$4:$AR$4,1,88-Projects!$C$39+1),0)+IF(AND(Projects!$G$40="Yes",Projects!$M$40="Yes",88&gt;=Projects!$C$40,88&lt;Projects!$C$40+Projects!$D$40),Projects!$B$40*INDEX(Curves!$B$4:$AR$4,1,88-Projects!$C$40+1),0)+IF(AND(Projects!$G$41="Yes",Projects!$M$41="Yes",88&gt;=Projects!$C$41,88&lt;Projects!$C$41+Projects!$D$41),Projects!$B$41*INDEX(Curves!$B$4:$AR$4,1,88-Projects!$C$41+1),0)+IF(AND(Projects!$G$42="Yes",Projects!$M$42="Yes",88&gt;=Projects!$C$42,88&lt;Projects!$C$42+Projects!$D$42),Projects!$B$42*INDEX(Curves!$B$4:$AR$4,1,88-Projects!$C$42+1),0)+IF(AND(Projects!$G$43="Yes",Projects!$M$43="Yes",88&gt;=Projects!$C$43,88&lt;Projects!$C$43+Projects!$D$43),Projects!$B$43*INDEX(Curves!$B$4:$AR$4,1,88-Projects!$C$43+1),0)+IF(AND(Projects!$G$44="Yes",Projects!$M$44="Yes",88&gt;=Projects!$C$44,88&lt;Projects!$C$44+Projects!$D$44),Projects!$B$44*INDEX(Curves!$B$4:$AR$4,1,88-Projects!$C$44+1),0)+IF(AND(Projects!$G$45="Yes",Projects!$M$45="Yes",88&gt;=Projects!$C$45,88&lt;Projects!$C$45+Projects!$D$45),Projects!$B$45*INDEX(Curves!$B$4:$AR$4,1,88-Projects!$C$45+1),0)+IF(AND(Projects!$G$46="Yes",Projects!$M$46="Yes",88&gt;=Projects!$C$46,88&lt;Projects!$C$46+Projects!$D$46),Projects!$B$46*INDEX(Curves!$B$4:$AR$4,1,88-Projects!$C$46+1),0)</f>
        <v>0</v>
      </c>
      <c r="CP101" s="87" t="n">
        <f aca="false">IF(AND(Projects!$G$17="Yes",Projects!$M$17="Yes",89&gt;=Projects!$C$17,89&lt;Projects!$C$17+Projects!$D$17),Projects!$B$17*INDEX(Curves!$B$4:$AR$4,1,89-Projects!$C$17+1),0)+IF(AND(Projects!$G$18="Yes",Projects!$M$18="Yes",89&gt;=Projects!$C$18,89&lt;Projects!$C$18+Projects!$D$18),Projects!$B$18*INDEX(Curves!$B$4:$AR$4,1,89-Projects!$C$18+1),0)+IF(AND(Projects!$G$19="Yes",Projects!$M$19="Yes",89&gt;=Projects!$C$19,89&lt;Projects!$C$19+Projects!$D$19),Projects!$B$19*INDEX(Curves!$B$4:$AR$4,1,89-Projects!$C$19+1),0)+IF(AND(Projects!$G$20="Yes",Projects!$M$20="Yes",89&gt;=Projects!$C$20,89&lt;Projects!$C$20+Projects!$D$20),Projects!$B$20*INDEX(Curves!$B$4:$AR$4,1,89-Projects!$C$20+1),0)+IF(AND(Projects!$G$21="Yes",Projects!$M$21="Yes",89&gt;=Projects!$C$21,89&lt;Projects!$C$21+Projects!$D$21),Projects!$B$21*INDEX(Curves!$B$4:$AR$4,1,89-Projects!$C$21+1),0)+IF(AND(Projects!$G$22="Yes",Projects!$M$22="Yes",89&gt;=Projects!$C$22,89&lt;Projects!$C$22+Projects!$D$22),Projects!$B$22*INDEX(Curves!$B$4:$AR$4,1,89-Projects!$C$22+1),0)+IF(AND(Projects!$G$23="Yes",Projects!$M$23="Yes",89&gt;=Projects!$C$23,89&lt;Projects!$C$23+Projects!$D$23),Projects!$B$23*INDEX(Curves!$B$4:$AR$4,1,89-Projects!$C$23+1),0)+IF(AND(Projects!$G$24="Yes",Projects!$M$24="Yes",89&gt;=Projects!$C$24,89&lt;Projects!$C$24+Projects!$D$24),Projects!$B$24*INDEX(Curves!$B$4:$AR$4,1,89-Projects!$C$24+1),0)+IF(AND(Projects!$G$25="Yes",Projects!$M$25="Yes",89&gt;=Projects!$C$25,89&lt;Projects!$C$25+Projects!$D$25),Projects!$B$25*INDEX(Curves!$B$4:$AR$4,1,89-Projects!$C$25+1),0)+IF(AND(Projects!$G$26="Yes",Projects!$M$26="Yes",89&gt;=Projects!$C$26,89&lt;Projects!$C$26+Projects!$D$26),Projects!$B$26*INDEX(Curves!$B$4:$AR$4,1,89-Projects!$C$26+1),0)+IF(AND(Projects!$G$27="Yes",Projects!$M$27="Yes",89&gt;=Projects!$C$27,89&lt;Projects!$C$27+Projects!$D$27),Projects!$B$27*INDEX(Curves!$B$4:$AR$4,1,89-Projects!$C$27+1),0)+IF(AND(Projects!$G$28="Yes",Projects!$M$28="Yes",89&gt;=Projects!$C$28,89&lt;Projects!$C$28+Projects!$D$28),Projects!$B$28*INDEX(Curves!$B$4:$AR$4,1,89-Projects!$C$28+1),0)+IF(AND(Projects!$G$29="Yes",Projects!$M$29="Yes",89&gt;=Projects!$C$29,89&lt;Projects!$C$29+Projects!$D$29),Projects!$B$29*INDEX(Curves!$B$4:$AR$4,1,89-Projects!$C$29+1),0)+IF(AND(Projects!$G$30="Yes",Projects!$M$30="Yes",89&gt;=Projects!$C$30,89&lt;Projects!$C$30+Projects!$D$30),Projects!$B$30*INDEX(Curves!$B$4:$AR$4,1,89-Projects!$C$30+1),0)+IF(AND(Projects!$G$31="Yes",Projects!$M$31="Yes",89&gt;=Projects!$C$31,89&lt;Projects!$C$31+Projects!$D$31),Projects!$B$31*INDEX(Curves!$B$4:$AR$4,1,89-Projects!$C$31+1),0)+IF(AND(Projects!$G$32="Yes",Projects!$M$32="Yes",89&gt;=Projects!$C$32,89&lt;Projects!$C$32+Projects!$D$32),Projects!$B$32*INDEX(Curves!$B$4:$AR$4,1,89-Projects!$C$32+1),0)+IF(AND(Projects!$G$33="Yes",Projects!$M$33="Yes",89&gt;=Projects!$C$33,89&lt;Projects!$C$33+Projects!$D$33),Projects!$B$33*INDEX(Curves!$B$4:$AR$4,1,89-Projects!$C$33+1),0)+IF(AND(Projects!$G$34="Yes",Projects!$M$34="Yes",89&gt;=Projects!$C$34,89&lt;Projects!$C$34+Projects!$D$34),Projects!$B$34*INDEX(Curves!$B$4:$AR$4,1,89-Projects!$C$34+1),0)+IF(AND(Projects!$G$35="Yes",Projects!$M$35="Yes",89&gt;=Projects!$C$35,89&lt;Projects!$C$35+Projects!$D$35),Projects!$B$35*INDEX(Curves!$B$4:$AR$4,1,89-Projects!$C$35+1),0)+IF(AND(Projects!$G$36="Yes",Projects!$M$36="Yes",89&gt;=Projects!$C$36,89&lt;Projects!$C$36+Projects!$D$36),Projects!$B$36*INDEX(Curves!$B$4:$AR$4,1,89-Projects!$C$36+1),0)+IF(AND(Projects!$G$37="Yes",Projects!$M$37="Yes",89&gt;=Projects!$C$37,89&lt;Projects!$C$37+Projects!$D$37),Projects!$B$37*INDEX(Curves!$B$4:$AR$4,1,89-Projects!$C$37+1),0)+IF(AND(Projects!$G$38="Yes",Projects!$M$38="Yes",89&gt;=Projects!$C$38,89&lt;Projects!$C$38+Projects!$D$38),Projects!$B$38*INDEX(Curves!$B$4:$AR$4,1,89-Projects!$C$38+1),0)+IF(AND(Projects!$G$39="Yes",Projects!$M$39="Yes",89&gt;=Projects!$C$39,89&lt;Projects!$C$39+Projects!$D$39),Projects!$B$39*INDEX(Curves!$B$4:$AR$4,1,89-Projects!$C$39+1),0)+IF(AND(Projects!$G$40="Yes",Projects!$M$40="Yes",89&gt;=Projects!$C$40,89&lt;Projects!$C$40+Projects!$D$40),Projects!$B$40*INDEX(Curves!$B$4:$AR$4,1,89-Projects!$C$40+1),0)+IF(AND(Projects!$G$41="Yes",Projects!$M$41="Yes",89&gt;=Projects!$C$41,89&lt;Projects!$C$41+Projects!$D$41),Projects!$B$41*INDEX(Curves!$B$4:$AR$4,1,89-Projects!$C$41+1),0)+IF(AND(Projects!$G$42="Yes",Projects!$M$42="Yes",89&gt;=Projects!$C$42,89&lt;Projects!$C$42+Projects!$D$42),Projects!$B$42*INDEX(Curves!$B$4:$AR$4,1,89-Projects!$C$42+1),0)+IF(AND(Projects!$G$43="Yes",Projects!$M$43="Yes",89&gt;=Projects!$C$43,89&lt;Projects!$C$43+Projects!$D$43),Projects!$B$43*INDEX(Curves!$B$4:$AR$4,1,89-Projects!$C$43+1),0)+IF(AND(Projects!$G$44="Yes",Projects!$M$44="Yes",89&gt;=Projects!$C$44,89&lt;Projects!$C$44+Projects!$D$44),Projects!$B$44*INDEX(Curves!$B$4:$AR$4,1,89-Projects!$C$44+1),0)+IF(AND(Projects!$G$45="Yes",Projects!$M$45="Yes",89&gt;=Projects!$C$45,89&lt;Projects!$C$45+Projects!$D$45),Projects!$B$45*INDEX(Curves!$B$4:$AR$4,1,89-Projects!$C$45+1),0)+IF(AND(Projects!$G$46="Yes",Projects!$M$46="Yes",89&gt;=Projects!$C$46,89&lt;Projects!$C$46+Projects!$D$46),Projects!$B$46*INDEX(Curves!$B$4:$AR$4,1,89-Projects!$C$46+1),0)</f>
        <v>0</v>
      </c>
      <c r="CQ101" s="87" t="n">
        <f aca="false">IF(AND(Projects!$G$17="Yes",Projects!$M$17="Yes",90&gt;=Projects!$C$17,90&lt;Projects!$C$17+Projects!$D$17),Projects!$B$17*INDEX(Curves!$B$4:$AR$4,1,90-Projects!$C$17+1),0)+IF(AND(Projects!$G$18="Yes",Projects!$M$18="Yes",90&gt;=Projects!$C$18,90&lt;Projects!$C$18+Projects!$D$18),Projects!$B$18*INDEX(Curves!$B$4:$AR$4,1,90-Projects!$C$18+1),0)+IF(AND(Projects!$G$19="Yes",Projects!$M$19="Yes",90&gt;=Projects!$C$19,90&lt;Projects!$C$19+Projects!$D$19),Projects!$B$19*INDEX(Curves!$B$4:$AR$4,1,90-Projects!$C$19+1),0)+IF(AND(Projects!$G$20="Yes",Projects!$M$20="Yes",90&gt;=Projects!$C$20,90&lt;Projects!$C$20+Projects!$D$20),Projects!$B$20*INDEX(Curves!$B$4:$AR$4,1,90-Projects!$C$20+1),0)+IF(AND(Projects!$G$21="Yes",Projects!$M$21="Yes",90&gt;=Projects!$C$21,90&lt;Projects!$C$21+Projects!$D$21),Projects!$B$21*INDEX(Curves!$B$4:$AR$4,1,90-Projects!$C$21+1),0)+IF(AND(Projects!$G$22="Yes",Projects!$M$22="Yes",90&gt;=Projects!$C$22,90&lt;Projects!$C$22+Projects!$D$22),Projects!$B$22*INDEX(Curves!$B$4:$AR$4,1,90-Projects!$C$22+1),0)+IF(AND(Projects!$G$23="Yes",Projects!$M$23="Yes",90&gt;=Projects!$C$23,90&lt;Projects!$C$23+Projects!$D$23),Projects!$B$23*INDEX(Curves!$B$4:$AR$4,1,90-Projects!$C$23+1),0)+IF(AND(Projects!$G$24="Yes",Projects!$M$24="Yes",90&gt;=Projects!$C$24,90&lt;Projects!$C$24+Projects!$D$24),Projects!$B$24*INDEX(Curves!$B$4:$AR$4,1,90-Projects!$C$24+1),0)+IF(AND(Projects!$G$25="Yes",Projects!$M$25="Yes",90&gt;=Projects!$C$25,90&lt;Projects!$C$25+Projects!$D$25),Projects!$B$25*INDEX(Curves!$B$4:$AR$4,1,90-Projects!$C$25+1),0)+IF(AND(Projects!$G$26="Yes",Projects!$M$26="Yes",90&gt;=Projects!$C$26,90&lt;Projects!$C$26+Projects!$D$26),Projects!$B$26*INDEX(Curves!$B$4:$AR$4,1,90-Projects!$C$26+1),0)+IF(AND(Projects!$G$27="Yes",Projects!$M$27="Yes",90&gt;=Projects!$C$27,90&lt;Projects!$C$27+Projects!$D$27),Projects!$B$27*INDEX(Curves!$B$4:$AR$4,1,90-Projects!$C$27+1),0)+IF(AND(Projects!$G$28="Yes",Projects!$M$28="Yes",90&gt;=Projects!$C$28,90&lt;Projects!$C$28+Projects!$D$28),Projects!$B$28*INDEX(Curves!$B$4:$AR$4,1,90-Projects!$C$28+1),0)+IF(AND(Projects!$G$29="Yes",Projects!$M$29="Yes",90&gt;=Projects!$C$29,90&lt;Projects!$C$29+Projects!$D$29),Projects!$B$29*INDEX(Curves!$B$4:$AR$4,1,90-Projects!$C$29+1),0)+IF(AND(Projects!$G$30="Yes",Projects!$M$30="Yes",90&gt;=Projects!$C$30,90&lt;Projects!$C$30+Projects!$D$30),Projects!$B$30*INDEX(Curves!$B$4:$AR$4,1,90-Projects!$C$30+1),0)+IF(AND(Projects!$G$31="Yes",Projects!$M$31="Yes",90&gt;=Projects!$C$31,90&lt;Projects!$C$31+Projects!$D$31),Projects!$B$31*INDEX(Curves!$B$4:$AR$4,1,90-Projects!$C$31+1),0)+IF(AND(Projects!$G$32="Yes",Projects!$M$32="Yes",90&gt;=Projects!$C$32,90&lt;Projects!$C$32+Projects!$D$32),Projects!$B$32*INDEX(Curves!$B$4:$AR$4,1,90-Projects!$C$32+1),0)+IF(AND(Projects!$G$33="Yes",Projects!$M$33="Yes",90&gt;=Projects!$C$33,90&lt;Projects!$C$33+Projects!$D$33),Projects!$B$33*INDEX(Curves!$B$4:$AR$4,1,90-Projects!$C$33+1),0)+IF(AND(Projects!$G$34="Yes",Projects!$M$34="Yes",90&gt;=Projects!$C$34,90&lt;Projects!$C$34+Projects!$D$34),Projects!$B$34*INDEX(Curves!$B$4:$AR$4,1,90-Projects!$C$34+1),0)+IF(AND(Projects!$G$35="Yes",Projects!$M$35="Yes",90&gt;=Projects!$C$35,90&lt;Projects!$C$35+Projects!$D$35),Projects!$B$35*INDEX(Curves!$B$4:$AR$4,1,90-Projects!$C$35+1),0)+IF(AND(Projects!$G$36="Yes",Projects!$M$36="Yes",90&gt;=Projects!$C$36,90&lt;Projects!$C$36+Projects!$D$36),Projects!$B$36*INDEX(Curves!$B$4:$AR$4,1,90-Projects!$C$36+1),0)+IF(AND(Projects!$G$37="Yes",Projects!$M$37="Yes",90&gt;=Projects!$C$37,90&lt;Projects!$C$37+Projects!$D$37),Projects!$B$37*INDEX(Curves!$B$4:$AR$4,1,90-Projects!$C$37+1),0)+IF(AND(Projects!$G$38="Yes",Projects!$M$38="Yes",90&gt;=Projects!$C$38,90&lt;Projects!$C$38+Projects!$D$38),Projects!$B$38*INDEX(Curves!$B$4:$AR$4,1,90-Projects!$C$38+1),0)+IF(AND(Projects!$G$39="Yes",Projects!$M$39="Yes",90&gt;=Projects!$C$39,90&lt;Projects!$C$39+Projects!$D$39),Projects!$B$39*INDEX(Curves!$B$4:$AR$4,1,90-Projects!$C$39+1),0)+IF(AND(Projects!$G$40="Yes",Projects!$M$40="Yes",90&gt;=Projects!$C$40,90&lt;Projects!$C$40+Projects!$D$40),Projects!$B$40*INDEX(Curves!$B$4:$AR$4,1,90-Projects!$C$40+1),0)+IF(AND(Projects!$G$41="Yes",Projects!$M$41="Yes",90&gt;=Projects!$C$41,90&lt;Projects!$C$41+Projects!$D$41),Projects!$B$41*INDEX(Curves!$B$4:$AR$4,1,90-Projects!$C$41+1),0)+IF(AND(Projects!$G$42="Yes",Projects!$M$42="Yes",90&gt;=Projects!$C$42,90&lt;Projects!$C$42+Projects!$D$42),Projects!$B$42*INDEX(Curves!$B$4:$AR$4,1,90-Projects!$C$42+1),0)+IF(AND(Projects!$G$43="Yes",Projects!$M$43="Yes",90&gt;=Projects!$C$43,90&lt;Projects!$C$43+Projects!$D$43),Projects!$B$43*INDEX(Curves!$B$4:$AR$4,1,90-Projects!$C$43+1),0)+IF(AND(Projects!$G$44="Yes",Projects!$M$44="Yes",90&gt;=Projects!$C$44,90&lt;Projects!$C$44+Projects!$D$44),Projects!$B$44*INDEX(Curves!$B$4:$AR$4,1,90-Projects!$C$44+1),0)+IF(AND(Projects!$G$45="Yes",Projects!$M$45="Yes",90&gt;=Projects!$C$45,90&lt;Projects!$C$45+Projects!$D$45),Projects!$B$45*INDEX(Curves!$B$4:$AR$4,1,90-Projects!$C$45+1),0)+IF(AND(Projects!$G$46="Yes",Projects!$M$46="Yes",90&gt;=Projects!$C$46,90&lt;Projects!$C$46+Projects!$D$46),Projects!$B$46*INDEX(Curves!$B$4:$AR$4,1,90-Projects!$C$46+1),0)</f>
        <v>0</v>
      </c>
      <c r="CR101" s="87" t="n">
        <f aca="false">IF(AND(Projects!$G$17="Yes",Projects!$M$17="Yes",91&gt;=Projects!$C$17,91&lt;Projects!$C$17+Projects!$D$17),Projects!$B$17*INDEX(Curves!$B$4:$AR$4,1,91-Projects!$C$17+1),0)+IF(AND(Projects!$G$18="Yes",Projects!$M$18="Yes",91&gt;=Projects!$C$18,91&lt;Projects!$C$18+Projects!$D$18),Projects!$B$18*INDEX(Curves!$B$4:$AR$4,1,91-Projects!$C$18+1),0)+IF(AND(Projects!$G$19="Yes",Projects!$M$19="Yes",91&gt;=Projects!$C$19,91&lt;Projects!$C$19+Projects!$D$19),Projects!$B$19*INDEX(Curves!$B$4:$AR$4,1,91-Projects!$C$19+1),0)+IF(AND(Projects!$G$20="Yes",Projects!$M$20="Yes",91&gt;=Projects!$C$20,91&lt;Projects!$C$20+Projects!$D$20),Projects!$B$20*INDEX(Curves!$B$4:$AR$4,1,91-Projects!$C$20+1),0)+IF(AND(Projects!$G$21="Yes",Projects!$M$21="Yes",91&gt;=Projects!$C$21,91&lt;Projects!$C$21+Projects!$D$21),Projects!$B$21*INDEX(Curves!$B$4:$AR$4,1,91-Projects!$C$21+1),0)+IF(AND(Projects!$G$22="Yes",Projects!$M$22="Yes",91&gt;=Projects!$C$22,91&lt;Projects!$C$22+Projects!$D$22),Projects!$B$22*INDEX(Curves!$B$4:$AR$4,1,91-Projects!$C$22+1),0)+IF(AND(Projects!$G$23="Yes",Projects!$M$23="Yes",91&gt;=Projects!$C$23,91&lt;Projects!$C$23+Projects!$D$23),Projects!$B$23*INDEX(Curves!$B$4:$AR$4,1,91-Projects!$C$23+1),0)+IF(AND(Projects!$G$24="Yes",Projects!$M$24="Yes",91&gt;=Projects!$C$24,91&lt;Projects!$C$24+Projects!$D$24),Projects!$B$24*INDEX(Curves!$B$4:$AR$4,1,91-Projects!$C$24+1),0)+IF(AND(Projects!$G$25="Yes",Projects!$M$25="Yes",91&gt;=Projects!$C$25,91&lt;Projects!$C$25+Projects!$D$25),Projects!$B$25*INDEX(Curves!$B$4:$AR$4,1,91-Projects!$C$25+1),0)+IF(AND(Projects!$G$26="Yes",Projects!$M$26="Yes",91&gt;=Projects!$C$26,91&lt;Projects!$C$26+Projects!$D$26),Projects!$B$26*INDEX(Curves!$B$4:$AR$4,1,91-Projects!$C$26+1),0)+IF(AND(Projects!$G$27="Yes",Projects!$M$27="Yes",91&gt;=Projects!$C$27,91&lt;Projects!$C$27+Projects!$D$27),Projects!$B$27*INDEX(Curves!$B$4:$AR$4,1,91-Projects!$C$27+1),0)+IF(AND(Projects!$G$28="Yes",Projects!$M$28="Yes",91&gt;=Projects!$C$28,91&lt;Projects!$C$28+Projects!$D$28),Projects!$B$28*INDEX(Curves!$B$4:$AR$4,1,91-Projects!$C$28+1),0)+IF(AND(Projects!$G$29="Yes",Projects!$M$29="Yes",91&gt;=Projects!$C$29,91&lt;Projects!$C$29+Projects!$D$29),Projects!$B$29*INDEX(Curves!$B$4:$AR$4,1,91-Projects!$C$29+1),0)+IF(AND(Projects!$G$30="Yes",Projects!$M$30="Yes",91&gt;=Projects!$C$30,91&lt;Projects!$C$30+Projects!$D$30),Projects!$B$30*INDEX(Curves!$B$4:$AR$4,1,91-Projects!$C$30+1),0)+IF(AND(Projects!$G$31="Yes",Projects!$M$31="Yes",91&gt;=Projects!$C$31,91&lt;Projects!$C$31+Projects!$D$31),Projects!$B$31*INDEX(Curves!$B$4:$AR$4,1,91-Projects!$C$31+1),0)+IF(AND(Projects!$G$32="Yes",Projects!$M$32="Yes",91&gt;=Projects!$C$32,91&lt;Projects!$C$32+Projects!$D$32),Projects!$B$32*INDEX(Curves!$B$4:$AR$4,1,91-Projects!$C$32+1),0)+IF(AND(Projects!$G$33="Yes",Projects!$M$33="Yes",91&gt;=Projects!$C$33,91&lt;Projects!$C$33+Projects!$D$33),Projects!$B$33*INDEX(Curves!$B$4:$AR$4,1,91-Projects!$C$33+1),0)+IF(AND(Projects!$G$34="Yes",Projects!$M$34="Yes",91&gt;=Projects!$C$34,91&lt;Projects!$C$34+Projects!$D$34),Projects!$B$34*INDEX(Curves!$B$4:$AR$4,1,91-Projects!$C$34+1),0)+IF(AND(Projects!$G$35="Yes",Projects!$M$35="Yes",91&gt;=Projects!$C$35,91&lt;Projects!$C$35+Projects!$D$35),Projects!$B$35*INDEX(Curves!$B$4:$AR$4,1,91-Projects!$C$35+1),0)+IF(AND(Projects!$G$36="Yes",Projects!$M$36="Yes",91&gt;=Projects!$C$36,91&lt;Projects!$C$36+Projects!$D$36),Projects!$B$36*INDEX(Curves!$B$4:$AR$4,1,91-Projects!$C$36+1),0)+IF(AND(Projects!$G$37="Yes",Projects!$M$37="Yes",91&gt;=Projects!$C$37,91&lt;Projects!$C$37+Projects!$D$37),Projects!$B$37*INDEX(Curves!$B$4:$AR$4,1,91-Projects!$C$37+1),0)+IF(AND(Projects!$G$38="Yes",Projects!$M$38="Yes",91&gt;=Projects!$C$38,91&lt;Projects!$C$38+Projects!$D$38),Projects!$B$38*INDEX(Curves!$B$4:$AR$4,1,91-Projects!$C$38+1),0)+IF(AND(Projects!$G$39="Yes",Projects!$M$39="Yes",91&gt;=Projects!$C$39,91&lt;Projects!$C$39+Projects!$D$39),Projects!$B$39*INDEX(Curves!$B$4:$AR$4,1,91-Projects!$C$39+1),0)+IF(AND(Projects!$G$40="Yes",Projects!$M$40="Yes",91&gt;=Projects!$C$40,91&lt;Projects!$C$40+Projects!$D$40),Projects!$B$40*INDEX(Curves!$B$4:$AR$4,1,91-Projects!$C$40+1),0)+IF(AND(Projects!$G$41="Yes",Projects!$M$41="Yes",91&gt;=Projects!$C$41,91&lt;Projects!$C$41+Projects!$D$41),Projects!$B$41*INDEX(Curves!$B$4:$AR$4,1,91-Projects!$C$41+1),0)+IF(AND(Projects!$G$42="Yes",Projects!$M$42="Yes",91&gt;=Projects!$C$42,91&lt;Projects!$C$42+Projects!$D$42),Projects!$B$42*INDEX(Curves!$B$4:$AR$4,1,91-Projects!$C$42+1),0)+IF(AND(Projects!$G$43="Yes",Projects!$M$43="Yes",91&gt;=Projects!$C$43,91&lt;Projects!$C$43+Projects!$D$43),Projects!$B$43*INDEX(Curves!$B$4:$AR$4,1,91-Projects!$C$43+1),0)+IF(AND(Projects!$G$44="Yes",Projects!$M$44="Yes",91&gt;=Projects!$C$44,91&lt;Projects!$C$44+Projects!$D$44),Projects!$B$44*INDEX(Curves!$B$4:$AR$4,1,91-Projects!$C$44+1),0)+IF(AND(Projects!$G$45="Yes",Projects!$M$45="Yes",91&gt;=Projects!$C$45,91&lt;Projects!$C$45+Projects!$D$45),Projects!$B$45*INDEX(Curves!$B$4:$AR$4,1,91-Projects!$C$45+1),0)+IF(AND(Projects!$G$46="Yes",Projects!$M$46="Yes",91&gt;=Projects!$C$46,91&lt;Projects!$C$46+Projects!$D$46),Projects!$B$46*INDEX(Curves!$B$4:$AR$4,1,91-Projects!$C$46+1),0)</f>
        <v>0</v>
      </c>
      <c r="CS101" s="87" t="n">
        <f aca="false">IF(AND(Projects!$G$17="Yes",Projects!$M$17="Yes",92&gt;=Projects!$C$17,92&lt;Projects!$C$17+Projects!$D$17),Projects!$B$17*INDEX(Curves!$B$4:$AR$4,1,92-Projects!$C$17+1),0)+IF(AND(Projects!$G$18="Yes",Projects!$M$18="Yes",92&gt;=Projects!$C$18,92&lt;Projects!$C$18+Projects!$D$18),Projects!$B$18*INDEX(Curves!$B$4:$AR$4,1,92-Projects!$C$18+1),0)+IF(AND(Projects!$G$19="Yes",Projects!$M$19="Yes",92&gt;=Projects!$C$19,92&lt;Projects!$C$19+Projects!$D$19),Projects!$B$19*INDEX(Curves!$B$4:$AR$4,1,92-Projects!$C$19+1),0)+IF(AND(Projects!$G$20="Yes",Projects!$M$20="Yes",92&gt;=Projects!$C$20,92&lt;Projects!$C$20+Projects!$D$20),Projects!$B$20*INDEX(Curves!$B$4:$AR$4,1,92-Projects!$C$20+1),0)+IF(AND(Projects!$G$21="Yes",Projects!$M$21="Yes",92&gt;=Projects!$C$21,92&lt;Projects!$C$21+Projects!$D$21),Projects!$B$21*INDEX(Curves!$B$4:$AR$4,1,92-Projects!$C$21+1),0)+IF(AND(Projects!$G$22="Yes",Projects!$M$22="Yes",92&gt;=Projects!$C$22,92&lt;Projects!$C$22+Projects!$D$22),Projects!$B$22*INDEX(Curves!$B$4:$AR$4,1,92-Projects!$C$22+1),0)+IF(AND(Projects!$G$23="Yes",Projects!$M$23="Yes",92&gt;=Projects!$C$23,92&lt;Projects!$C$23+Projects!$D$23),Projects!$B$23*INDEX(Curves!$B$4:$AR$4,1,92-Projects!$C$23+1),0)+IF(AND(Projects!$G$24="Yes",Projects!$M$24="Yes",92&gt;=Projects!$C$24,92&lt;Projects!$C$24+Projects!$D$24),Projects!$B$24*INDEX(Curves!$B$4:$AR$4,1,92-Projects!$C$24+1),0)+IF(AND(Projects!$G$25="Yes",Projects!$M$25="Yes",92&gt;=Projects!$C$25,92&lt;Projects!$C$25+Projects!$D$25),Projects!$B$25*INDEX(Curves!$B$4:$AR$4,1,92-Projects!$C$25+1),0)+IF(AND(Projects!$G$26="Yes",Projects!$M$26="Yes",92&gt;=Projects!$C$26,92&lt;Projects!$C$26+Projects!$D$26),Projects!$B$26*INDEX(Curves!$B$4:$AR$4,1,92-Projects!$C$26+1),0)+IF(AND(Projects!$G$27="Yes",Projects!$M$27="Yes",92&gt;=Projects!$C$27,92&lt;Projects!$C$27+Projects!$D$27),Projects!$B$27*INDEX(Curves!$B$4:$AR$4,1,92-Projects!$C$27+1),0)+IF(AND(Projects!$G$28="Yes",Projects!$M$28="Yes",92&gt;=Projects!$C$28,92&lt;Projects!$C$28+Projects!$D$28),Projects!$B$28*INDEX(Curves!$B$4:$AR$4,1,92-Projects!$C$28+1),0)+IF(AND(Projects!$G$29="Yes",Projects!$M$29="Yes",92&gt;=Projects!$C$29,92&lt;Projects!$C$29+Projects!$D$29),Projects!$B$29*INDEX(Curves!$B$4:$AR$4,1,92-Projects!$C$29+1),0)+IF(AND(Projects!$G$30="Yes",Projects!$M$30="Yes",92&gt;=Projects!$C$30,92&lt;Projects!$C$30+Projects!$D$30),Projects!$B$30*INDEX(Curves!$B$4:$AR$4,1,92-Projects!$C$30+1),0)+IF(AND(Projects!$G$31="Yes",Projects!$M$31="Yes",92&gt;=Projects!$C$31,92&lt;Projects!$C$31+Projects!$D$31),Projects!$B$31*INDEX(Curves!$B$4:$AR$4,1,92-Projects!$C$31+1),0)+IF(AND(Projects!$G$32="Yes",Projects!$M$32="Yes",92&gt;=Projects!$C$32,92&lt;Projects!$C$32+Projects!$D$32),Projects!$B$32*INDEX(Curves!$B$4:$AR$4,1,92-Projects!$C$32+1),0)+IF(AND(Projects!$G$33="Yes",Projects!$M$33="Yes",92&gt;=Projects!$C$33,92&lt;Projects!$C$33+Projects!$D$33),Projects!$B$33*INDEX(Curves!$B$4:$AR$4,1,92-Projects!$C$33+1),0)+IF(AND(Projects!$G$34="Yes",Projects!$M$34="Yes",92&gt;=Projects!$C$34,92&lt;Projects!$C$34+Projects!$D$34),Projects!$B$34*INDEX(Curves!$B$4:$AR$4,1,92-Projects!$C$34+1),0)+IF(AND(Projects!$G$35="Yes",Projects!$M$35="Yes",92&gt;=Projects!$C$35,92&lt;Projects!$C$35+Projects!$D$35),Projects!$B$35*INDEX(Curves!$B$4:$AR$4,1,92-Projects!$C$35+1),0)+IF(AND(Projects!$G$36="Yes",Projects!$M$36="Yes",92&gt;=Projects!$C$36,92&lt;Projects!$C$36+Projects!$D$36),Projects!$B$36*INDEX(Curves!$B$4:$AR$4,1,92-Projects!$C$36+1),0)+IF(AND(Projects!$G$37="Yes",Projects!$M$37="Yes",92&gt;=Projects!$C$37,92&lt;Projects!$C$37+Projects!$D$37),Projects!$B$37*INDEX(Curves!$B$4:$AR$4,1,92-Projects!$C$37+1),0)+IF(AND(Projects!$G$38="Yes",Projects!$M$38="Yes",92&gt;=Projects!$C$38,92&lt;Projects!$C$38+Projects!$D$38),Projects!$B$38*INDEX(Curves!$B$4:$AR$4,1,92-Projects!$C$38+1),0)+IF(AND(Projects!$G$39="Yes",Projects!$M$39="Yes",92&gt;=Projects!$C$39,92&lt;Projects!$C$39+Projects!$D$39),Projects!$B$39*INDEX(Curves!$B$4:$AR$4,1,92-Projects!$C$39+1),0)+IF(AND(Projects!$G$40="Yes",Projects!$M$40="Yes",92&gt;=Projects!$C$40,92&lt;Projects!$C$40+Projects!$D$40),Projects!$B$40*INDEX(Curves!$B$4:$AR$4,1,92-Projects!$C$40+1),0)+IF(AND(Projects!$G$41="Yes",Projects!$M$41="Yes",92&gt;=Projects!$C$41,92&lt;Projects!$C$41+Projects!$D$41),Projects!$B$41*INDEX(Curves!$B$4:$AR$4,1,92-Projects!$C$41+1),0)+IF(AND(Projects!$G$42="Yes",Projects!$M$42="Yes",92&gt;=Projects!$C$42,92&lt;Projects!$C$42+Projects!$D$42),Projects!$B$42*INDEX(Curves!$B$4:$AR$4,1,92-Projects!$C$42+1),0)+IF(AND(Projects!$G$43="Yes",Projects!$M$43="Yes",92&gt;=Projects!$C$43,92&lt;Projects!$C$43+Projects!$D$43),Projects!$B$43*INDEX(Curves!$B$4:$AR$4,1,92-Projects!$C$43+1),0)+IF(AND(Projects!$G$44="Yes",Projects!$M$44="Yes",92&gt;=Projects!$C$44,92&lt;Projects!$C$44+Projects!$D$44),Projects!$B$44*INDEX(Curves!$B$4:$AR$4,1,92-Projects!$C$44+1),0)+IF(AND(Projects!$G$45="Yes",Projects!$M$45="Yes",92&gt;=Projects!$C$45,92&lt;Projects!$C$45+Projects!$D$45),Projects!$B$45*INDEX(Curves!$B$4:$AR$4,1,92-Projects!$C$45+1),0)+IF(AND(Projects!$G$46="Yes",Projects!$M$46="Yes",92&gt;=Projects!$C$46,92&lt;Projects!$C$46+Projects!$D$46),Projects!$B$46*INDEX(Curves!$B$4:$AR$4,1,92-Projects!$C$46+1),0)</f>
        <v>0</v>
      </c>
      <c r="CT101" s="87" t="n">
        <f aca="false">IF(AND(Projects!$G$17="Yes",Projects!$M$17="Yes",93&gt;=Projects!$C$17,93&lt;Projects!$C$17+Projects!$D$17),Projects!$B$17*INDEX(Curves!$B$4:$AR$4,1,93-Projects!$C$17+1),0)+IF(AND(Projects!$G$18="Yes",Projects!$M$18="Yes",93&gt;=Projects!$C$18,93&lt;Projects!$C$18+Projects!$D$18),Projects!$B$18*INDEX(Curves!$B$4:$AR$4,1,93-Projects!$C$18+1),0)+IF(AND(Projects!$G$19="Yes",Projects!$M$19="Yes",93&gt;=Projects!$C$19,93&lt;Projects!$C$19+Projects!$D$19),Projects!$B$19*INDEX(Curves!$B$4:$AR$4,1,93-Projects!$C$19+1),0)+IF(AND(Projects!$G$20="Yes",Projects!$M$20="Yes",93&gt;=Projects!$C$20,93&lt;Projects!$C$20+Projects!$D$20),Projects!$B$20*INDEX(Curves!$B$4:$AR$4,1,93-Projects!$C$20+1),0)+IF(AND(Projects!$G$21="Yes",Projects!$M$21="Yes",93&gt;=Projects!$C$21,93&lt;Projects!$C$21+Projects!$D$21),Projects!$B$21*INDEX(Curves!$B$4:$AR$4,1,93-Projects!$C$21+1),0)+IF(AND(Projects!$G$22="Yes",Projects!$M$22="Yes",93&gt;=Projects!$C$22,93&lt;Projects!$C$22+Projects!$D$22),Projects!$B$22*INDEX(Curves!$B$4:$AR$4,1,93-Projects!$C$22+1),0)+IF(AND(Projects!$G$23="Yes",Projects!$M$23="Yes",93&gt;=Projects!$C$23,93&lt;Projects!$C$23+Projects!$D$23),Projects!$B$23*INDEX(Curves!$B$4:$AR$4,1,93-Projects!$C$23+1),0)+IF(AND(Projects!$G$24="Yes",Projects!$M$24="Yes",93&gt;=Projects!$C$24,93&lt;Projects!$C$24+Projects!$D$24),Projects!$B$24*INDEX(Curves!$B$4:$AR$4,1,93-Projects!$C$24+1),0)+IF(AND(Projects!$G$25="Yes",Projects!$M$25="Yes",93&gt;=Projects!$C$25,93&lt;Projects!$C$25+Projects!$D$25),Projects!$B$25*INDEX(Curves!$B$4:$AR$4,1,93-Projects!$C$25+1),0)+IF(AND(Projects!$G$26="Yes",Projects!$M$26="Yes",93&gt;=Projects!$C$26,93&lt;Projects!$C$26+Projects!$D$26),Projects!$B$26*INDEX(Curves!$B$4:$AR$4,1,93-Projects!$C$26+1),0)+IF(AND(Projects!$G$27="Yes",Projects!$M$27="Yes",93&gt;=Projects!$C$27,93&lt;Projects!$C$27+Projects!$D$27),Projects!$B$27*INDEX(Curves!$B$4:$AR$4,1,93-Projects!$C$27+1),0)+IF(AND(Projects!$G$28="Yes",Projects!$M$28="Yes",93&gt;=Projects!$C$28,93&lt;Projects!$C$28+Projects!$D$28),Projects!$B$28*INDEX(Curves!$B$4:$AR$4,1,93-Projects!$C$28+1),0)+IF(AND(Projects!$G$29="Yes",Projects!$M$29="Yes",93&gt;=Projects!$C$29,93&lt;Projects!$C$29+Projects!$D$29),Projects!$B$29*INDEX(Curves!$B$4:$AR$4,1,93-Projects!$C$29+1),0)+IF(AND(Projects!$G$30="Yes",Projects!$M$30="Yes",93&gt;=Projects!$C$30,93&lt;Projects!$C$30+Projects!$D$30),Projects!$B$30*INDEX(Curves!$B$4:$AR$4,1,93-Projects!$C$30+1),0)+IF(AND(Projects!$G$31="Yes",Projects!$M$31="Yes",93&gt;=Projects!$C$31,93&lt;Projects!$C$31+Projects!$D$31),Projects!$B$31*INDEX(Curves!$B$4:$AR$4,1,93-Projects!$C$31+1),0)+IF(AND(Projects!$G$32="Yes",Projects!$M$32="Yes",93&gt;=Projects!$C$32,93&lt;Projects!$C$32+Projects!$D$32),Projects!$B$32*INDEX(Curves!$B$4:$AR$4,1,93-Projects!$C$32+1),0)+IF(AND(Projects!$G$33="Yes",Projects!$M$33="Yes",93&gt;=Projects!$C$33,93&lt;Projects!$C$33+Projects!$D$33),Projects!$B$33*INDEX(Curves!$B$4:$AR$4,1,93-Projects!$C$33+1),0)+IF(AND(Projects!$G$34="Yes",Projects!$M$34="Yes",93&gt;=Projects!$C$34,93&lt;Projects!$C$34+Projects!$D$34),Projects!$B$34*INDEX(Curves!$B$4:$AR$4,1,93-Projects!$C$34+1),0)+IF(AND(Projects!$G$35="Yes",Projects!$M$35="Yes",93&gt;=Projects!$C$35,93&lt;Projects!$C$35+Projects!$D$35),Projects!$B$35*INDEX(Curves!$B$4:$AR$4,1,93-Projects!$C$35+1),0)+IF(AND(Projects!$G$36="Yes",Projects!$M$36="Yes",93&gt;=Projects!$C$36,93&lt;Projects!$C$36+Projects!$D$36),Projects!$B$36*INDEX(Curves!$B$4:$AR$4,1,93-Projects!$C$36+1),0)+IF(AND(Projects!$G$37="Yes",Projects!$M$37="Yes",93&gt;=Projects!$C$37,93&lt;Projects!$C$37+Projects!$D$37),Projects!$B$37*INDEX(Curves!$B$4:$AR$4,1,93-Projects!$C$37+1),0)+IF(AND(Projects!$G$38="Yes",Projects!$M$38="Yes",93&gt;=Projects!$C$38,93&lt;Projects!$C$38+Projects!$D$38),Projects!$B$38*INDEX(Curves!$B$4:$AR$4,1,93-Projects!$C$38+1),0)+IF(AND(Projects!$G$39="Yes",Projects!$M$39="Yes",93&gt;=Projects!$C$39,93&lt;Projects!$C$39+Projects!$D$39),Projects!$B$39*INDEX(Curves!$B$4:$AR$4,1,93-Projects!$C$39+1),0)+IF(AND(Projects!$G$40="Yes",Projects!$M$40="Yes",93&gt;=Projects!$C$40,93&lt;Projects!$C$40+Projects!$D$40),Projects!$B$40*INDEX(Curves!$B$4:$AR$4,1,93-Projects!$C$40+1),0)+IF(AND(Projects!$G$41="Yes",Projects!$M$41="Yes",93&gt;=Projects!$C$41,93&lt;Projects!$C$41+Projects!$D$41),Projects!$B$41*INDEX(Curves!$B$4:$AR$4,1,93-Projects!$C$41+1),0)+IF(AND(Projects!$G$42="Yes",Projects!$M$42="Yes",93&gt;=Projects!$C$42,93&lt;Projects!$C$42+Projects!$D$42),Projects!$B$42*INDEX(Curves!$B$4:$AR$4,1,93-Projects!$C$42+1),0)+IF(AND(Projects!$G$43="Yes",Projects!$M$43="Yes",93&gt;=Projects!$C$43,93&lt;Projects!$C$43+Projects!$D$43),Projects!$B$43*INDEX(Curves!$B$4:$AR$4,1,93-Projects!$C$43+1),0)+IF(AND(Projects!$G$44="Yes",Projects!$M$44="Yes",93&gt;=Projects!$C$44,93&lt;Projects!$C$44+Projects!$D$44),Projects!$B$44*INDEX(Curves!$B$4:$AR$4,1,93-Projects!$C$44+1),0)+IF(AND(Projects!$G$45="Yes",Projects!$M$45="Yes",93&gt;=Projects!$C$45,93&lt;Projects!$C$45+Projects!$D$45),Projects!$B$45*INDEX(Curves!$B$4:$AR$4,1,93-Projects!$C$45+1),0)+IF(AND(Projects!$G$46="Yes",Projects!$M$46="Yes",93&gt;=Projects!$C$46,93&lt;Projects!$C$46+Projects!$D$46),Projects!$B$46*INDEX(Curves!$B$4:$AR$4,1,93-Projects!$C$46+1),0)</f>
        <v>0</v>
      </c>
      <c r="CU101" s="87" t="n">
        <f aca="false">IF(AND(Projects!$G$17="Yes",Projects!$M$17="Yes",94&gt;=Projects!$C$17,94&lt;Projects!$C$17+Projects!$D$17),Projects!$B$17*INDEX(Curves!$B$4:$AR$4,1,94-Projects!$C$17+1),0)+IF(AND(Projects!$G$18="Yes",Projects!$M$18="Yes",94&gt;=Projects!$C$18,94&lt;Projects!$C$18+Projects!$D$18),Projects!$B$18*INDEX(Curves!$B$4:$AR$4,1,94-Projects!$C$18+1),0)+IF(AND(Projects!$G$19="Yes",Projects!$M$19="Yes",94&gt;=Projects!$C$19,94&lt;Projects!$C$19+Projects!$D$19),Projects!$B$19*INDEX(Curves!$B$4:$AR$4,1,94-Projects!$C$19+1),0)+IF(AND(Projects!$G$20="Yes",Projects!$M$20="Yes",94&gt;=Projects!$C$20,94&lt;Projects!$C$20+Projects!$D$20),Projects!$B$20*INDEX(Curves!$B$4:$AR$4,1,94-Projects!$C$20+1),0)+IF(AND(Projects!$G$21="Yes",Projects!$M$21="Yes",94&gt;=Projects!$C$21,94&lt;Projects!$C$21+Projects!$D$21),Projects!$B$21*INDEX(Curves!$B$4:$AR$4,1,94-Projects!$C$21+1),0)+IF(AND(Projects!$G$22="Yes",Projects!$M$22="Yes",94&gt;=Projects!$C$22,94&lt;Projects!$C$22+Projects!$D$22),Projects!$B$22*INDEX(Curves!$B$4:$AR$4,1,94-Projects!$C$22+1),0)+IF(AND(Projects!$G$23="Yes",Projects!$M$23="Yes",94&gt;=Projects!$C$23,94&lt;Projects!$C$23+Projects!$D$23),Projects!$B$23*INDEX(Curves!$B$4:$AR$4,1,94-Projects!$C$23+1),0)+IF(AND(Projects!$G$24="Yes",Projects!$M$24="Yes",94&gt;=Projects!$C$24,94&lt;Projects!$C$24+Projects!$D$24),Projects!$B$24*INDEX(Curves!$B$4:$AR$4,1,94-Projects!$C$24+1),0)+IF(AND(Projects!$G$25="Yes",Projects!$M$25="Yes",94&gt;=Projects!$C$25,94&lt;Projects!$C$25+Projects!$D$25),Projects!$B$25*INDEX(Curves!$B$4:$AR$4,1,94-Projects!$C$25+1),0)+IF(AND(Projects!$G$26="Yes",Projects!$M$26="Yes",94&gt;=Projects!$C$26,94&lt;Projects!$C$26+Projects!$D$26),Projects!$B$26*INDEX(Curves!$B$4:$AR$4,1,94-Projects!$C$26+1),0)+IF(AND(Projects!$G$27="Yes",Projects!$M$27="Yes",94&gt;=Projects!$C$27,94&lt;Projects!$C$27+Projects!$D$27),Projects!$B$27*INDEX(Curves!$B$4:$AR$4,1,94-Projects!$C$27+1),0)+IF(AND(Projects!$G$28="Yes",Projects!$M$28="Yes",94&gt;=Projects!$C$28,94&lt;Projects!$C$28+Projects!$D$28),Projects!$B$28*INDEX(Curves!$B$4:$AR$4,1,94-Projects!$C$28+1),0)+IF(AND(Projects!$G$29="Yes",Projects!$M$29="Yes",94&gt;=Projects!$C$29,94&lt;Projects!$C$29+Projects!$D$29),Projects!$B$29*INDEX(Curves!$B$4:$AR$4,1,94-Projects!$C$29+1),0)+IF(AND(Projects!$G$30="Yes",Projects!$M$30="Yes",94&gt;=Projects!$C$30,94&lt;Projects!$C$30+Projects!$D$30),Projects!$B$30*INDEX(Curves!$B$4:$AR$4,1,94-Projects!$C$30+1),0)+IF(AND(Projects!$G$31="Yes",Projects!$M$31="Yes",94&gt;=Projects!$C$31,94&lt;Projects!$C$31+Projects!$D$31),Projects!$B$31*INDEX(Curves!$B$4:$AR$4,1,94-Projects!$C$31+1),0)+IF(AND(Projects!$G$32="Yes",Projects!$M$32="Yes",94&gt;=Projects!$C$32,94&lt;Projects!$C$32+Projects!$D$32),Projects!$B$32*INDEX(Curves!$B$4:$AR$4,1,94-Projects!$C$32+1),0)+IF(AND(Projects!$G$33="Yes",Projects!$M$33="Yes",94&gt;=Projects!$C$33,94&lt;Projects!$C$33+Projects!$D$33),Projects!$B$33*INDEX(Curves!$B$4:$AR$4,1,94-Projects!$C$33+1),0)+IF(AND(Projects!$G$34="Yes",Projects!$M$34="Yes",94&gt;=Projects!$C$34,94&lt;Projects!$C$34+Projects!$D$34),Projects!$B$34*INDEX(Curves!$B$4:$AR$4,1,94-Projects!$C$34+1),0)+IF(AND(Projects!$G$35="Yes",Projects!$M$35="Yes",94&gt;=Projects!$C$35,94&lt;Projects!$C$35+Projects!$D$35),Projects!$B$35*INDEX(Curves!$B$4:$AR$4,1,94-Projects!$C$35+1),0)+IF(AND(Projects!$G$36="Yes",Projects!$M$36="Yes",94&gt;=Projects!$C$36,94&lt;Projects!$C$36+Projects!$D$36),Projects!$B$36*INDEX(Curves!$B$4:$AR$4,1,94-Projects!$C$36+1),0)+IF(AND(Projects!$G$37="Yes",Projects!$M$37="Yes",94&gt;=Projects!$C$37,94&lt;Projects!$C$37+Projects!$D$37),Projects!$B$37*INDEX(Curves!$B$4:$AR$4,1,94-Projects!$C$37+1),0)+IF(AND(Projects!$G$38="Yes",Projects!$M$38="Yes",94&gt;=Projects!$C$38,94&lt;Projects!$C$38+Projects!$D$38),Projects!$B$38*INDEX(Curves!$B$4:$AR$4,1,94-Projects!$C$38+1),0)+IF(AND(Projects!$G$39="Yes",Projects!$M$39="Yes",94&gt;=Projects!$C$39,94&lt;Projects!$C$39+Projects!$D$39),Projects!$B$39*INDEX(Curves!$B$4:$AR$4,1,94-Projects!$C$39+1),0)+IF(AND(Projects!$G$40="Yes",Projects!$M$40="Yes",94&gt;=Projects!$C$40,94&lt;Projects!$C$40+Projects!$D$40),Projects!$B$40*INDEX(Curves!$B$4:$AR$4,1,94-Projects!$C$40+1),0)+IF(AND(Projects!$G$41="Yes",Projects!$M$41="Yes",94&gt;=Projects!$C$41,94&lt;Projects!$C$41+Projects!$D$41),Projects!$B$41*INDEX(Curves!$B$4:$AR$4,1,94-Projects!$C$41+1),0)+IF(AND(Projects!$G$42="Yes",Projects!$M$42="Yes",94&gt;=Projects!$C$42,94&lt;Projects!$C$42+Projects!$D$42),Projects!$B$42*INDEX(Curves!$B$4:$AR$4,1,94-Projects!$C$42+1),0)+IF(AND(Projects!$G$43="Yes",Projects!$M$43="Yes",94&gt;=Projects!$C$43,94&lt;Projects!$C$43+Projects!$D$43),Projects!$B$43*INDEX(Curves!$B$4:$AR$4,1,94-Projects!$C$43+1),0)+IF(AND(Projects!$G$44="Yes",Projects!$M$44="Yes",94&gt;=Projects!$C$44,94&lt;Projects!$C$44+Projects!$D$44),Projects!$B$44*INDEX(Curves!$B$4:$AR$4,1,94-Projects!$C$44+1),0)+IF(AND(Projects!$G$45="Yes",Projects!$M$45="Yes",94&gt;=Projects!$C$45,94&lt;Projects!$C$45+Projects!$D$45),Projects!$B$45*INDEX(Curves!$B$4:$AR$4,1,94-Projects!$C$45+1),0)+IF(AND(Projects!$G$46="Yes",Projects!$M$46="Yes",94&gt;=Projects!$C$46,94&lt;Projects!$C$46+Projects!$D$46),Projects!$B$46*INDEX(Curves!$B$4:$AR$4,1,94-Projects!$C$46+1),0)</f>
        <v>0</v>
      </c>
      <c r="CV101" s="87" t="n">
        <f aca="false">IF(AND(Projects!$G$17="Yes",Projects!$M$17="Yes",95&gt;=Projects!$C$17,95&lt;Projects!$C$17+Projects!$D$17),Projects!$B$17*INDEX(Curves!$B$4:$AR$4,1,95-Projects!$C$17+1),0)+IF(AND(Projects!$G$18="Yes",Projects!$M$18="Yes",95&gt;=Projects!$C$18,95&lt;Projects!$C$18+Projects!$D$18),Projects!$B$18*INDEX(Curves!$B$4:$AR$4,1,95-Projects!$C$18+1),0)+IF(AND(Projects!$G$19="Yes",Projects!$M$19="Yes",95&gt;=Projects!$C$19,95&lt;Projects!$C$19+Projects!$D$19),Projects!$B$19*INDEX(Curves!$B$4:$AR$4,1,95-Projects!$C$19+1),0)+IF(AND(Projects!$G$20="Yes",Projects!$M$20="Yes",95&gt;=Projects!$C$20,95&lt;Projects!$C$20+Projects!$D$20),Projects!$B$20*INDEX(Curves!$B$4:$AR$4,1,95-Projects!$C$20+1),0)+IF(AND(Projects!$G$21="Yes",Projects!$M$21="Yes",95&gt;=Projects!$C$21,95&lt;Projects!$C$21+Projects!$D$21),Projects!$B$21*INDEX(Curves!$B$4:$AR$4,1,95-Projects!$C$21+1),0)+IF(AND(Projects!$G$22="Yes",Projects!$M$22="Yes",95&gt;=Projects!$C$22,95&lt;Projects!$C$22+Projects!$D$22),Projects!$B$22*INDEX(Curves!$B$4:$AR$4,1,95-Projects!$C$22+1),0)+IF(AND(Projects!$G$23="Yes",Projects!$M$23="Yes",95&gt;=Projects!$C$23,95&lt;Projects!$C$23+Projects!$D$23),Projects!$B$23*INDEX(Curves!$B$4:$AR$4,1,95-Projects!$C$23+1),0)+IF(AND(Projects!$G$24="Yes",Projects!$M$24="Yes",95&gt;=Projects!$C$24,95&lt;Projects!$C$24+Projects!$D$24),Projects!$B$24*INDEX(Curves!$B$4:$AR$4,1,95-Projects!$C$24+1),0)+IF(AND(Projects!$G$25="Yes",Projects!$M$25="Yes",95&gt;=Projects!$C$25,95&lt;Projects!$C$25+Projects!$D$25),Projects!$B$25*INDEX(Curves!$B$4:$AR$4,1,95-Projects!$C$25+1),0)+IF(AND(Projects!$G$26="Yes",Projects!$M$26="Yes",95&gt;=Projects!$C$26,95&lt;Projects!$C$26+Projects!$D$26),Projects!$B$26*INDEX(Curves!$B$4:$AR$4,1,95-Projects!$C$26+1),0)+IF(AND(Projects!$G$27="Yes",Projects!$M$27="Yes",95&gt;=Projects!$C$27,95&lt;Projects!$C$27+Projects!$D$27),Projects!$B$27*INDEX(Curves!$B$4:$AR$4,1,95-Projects!$C$27+1),0)+IF(AND(Projects!$G$28="Yes",Projects!$M$28="Yes",95&gt;=Projects!$C$28,95&lt;Projects!$C$28+Projects!$D$28),Projects!$B$28*INDEX(Curves!$B$4:$AR$4,1,95-Projects!$C$28+1),0)+IF(AND(Projects!$G$29="Yes",Projects!$M$29="Yes",95&gt;=Projects!$C$29,95&lt;Projects!$C$29+Projects!$D$29),Projects!$B$29*INDEX(Curves!$B$4:$AR$4,1,95-Projects!$C$29+1),0)+IF(AND(Projects!$G$30="Yes",Projects!$M$30="Yes",95&gt;=Projects!$C$30,95&lt;Projects!$C$30+Projects!$D$30),Projects!$B$30*INDEX(Curves!$B$4:$AR$4,1,95-Projects!$C$30+1),0)+IF(AND(Projects!$G$31="Yes",Projects!$M$31="Yes",95&gt;=Projects!$C$31,95&lt;Projects!$C$31+Projects!$D$31),Projects!$B$31*INDEX(Curves!$B$4:$AR$4,1,95-Projects!$C$31+1),0)+IF(AND(Projects!$G$32="Yes",Projects!$M$32="Yes",95&gt;=Projects!$C$32,95&lt;Projects!$C$32+Projects!$D$32),Projects!$B$32*INDEX(Curves!$B$4:$AR$4,1,95-Projects!$C$32+1),0)+IF(AND(Projects!$G$33="Yes",Projects!$M$33="Yes",95&gt;=Projects!$C$33,95&lt;Projects!$C$33+Projects!$D$33),Projects!$B$33*INDEX(Curves!$B$4:$AR$4,1,95-Projects!$C$33+1),0)+IF(AND(Projects!$G$34="Yes",Projects!$M$34="Yes",95&gt;=Projects!$C$34,95&lt;Projects!$C$34+Projects!$D$34),Projects!$B$34*INDEX(Curves!$B$4:$AR$4,1,95-Projects!$C$34+1),0)+IF(AND(Projects!$G$35="Yes",Projects!$M$35="Yes",95&gt;=Projects!$C$35,95&lt;Projects!$C$35+Projects!$D$35),Projects!$B$35*INDEX(Curves!$B$4:$AR$4,1,95-Projects!$C$35+1),0)+IF(AND(Projects!$G$36="Yes",Projects!$M$36="Yes",95&gt;=Projects!$C$36,95&lt;Projects!$C$36+Projects!$D$36),Projects!$B$36*INDEX(Curves!$B$4:$AR$4,1,95-Projects!$C$36+1),0)+IF(AND(Projects!$G$37="Yes",Projects!$M$37="Yes",95&gt;=Projects!$C$37,95&lt;Projects!$C$37+Projects!$D$37),Projects!$B$37*INDEX(Curves!$B$4:$AR$4,1,95-Projects!$C$37+1),0)+IF(AND(Projects!$G$38="Yes",Projects!$M$38="Yes",95&gt;=Projects!$C$38,95&lt;Projects!$C$38+Projects!$D$38),Projects!$B$38*INDEX(Curves!$B$4:$AR$4,1,95-Projects!$C$38+1),0)+IF(AND(Projects!$G$39="Yes",Projects!$M$39="Yes",95&gt;=Projects!$C$39,95&lt;Projects!$C$39+Projects!$D$39),Projects!$B$39*INDEX(Curves!$B$4:$AR$4,1,95-Projects!$C$39+1),0)+IF(AND(Projects!$G$40="Yes",Projects!$M$40="Yes",95&gt;=Projects!$C$40,95&lt;Projects!$C$40+Projects!$D$40),Projects!$B$40*INDEX(Curves!$B$4:$AR$4,1,95-Projects!$C$40+1),0)+IF(AND(Projects!$G$41="Yes",Projects!$M$41="Yes",95&gt;=Projects!$C$41,95&lt;Projects!$C$41+Projects!$D$41),Projects!$B$41*INDEX(Curves!$B$4:$AR$4,1,95-Projects!$C$41+1),0)+IF(AND(Projects!$G$42="Yes",Projects!$M$42="Yes",95&gt;=Projects!$C$42,95&lt;Projects!$C$42+Projects!$D$42),Projects!$B$42*INDEX(Curves!$B$4:$AR$4,1,95-Projects!$C$42+1),0)+IF(AND(Projects!$G$43="Yes",Projects!$M$43="Yes",95&gt;=Projects!$C$43,95&lt;Projects!$C$43+Projects!$D$43),Projects!$B$43*INDEX(Curves!$B$4:$AR$4,1,95-Projects!$C$43+1),0)+IF(AND(Projects!$G$44="Yes",Projects!$M$44="Yes",95&gt;=Projects!$C$44,95&lt;Projects!$C$44+Projects!$D$44),Projects!$B$44*INDEX(Curves!$B$4:$AR$4,1,95-Projects!$C$44+1),0)+IF(AND(Projects!$G$45="Yes",Projects!$M$45="Yes",95&gt;=Projects!$C$45,95&lt;Projects!$C$45+Projects!$D$45),Projects!$B$45*INDEX(Curves!$B$4:$AR$4,1,95-Projects!$C$45+1),0)+IF(AND(Projects!$G$46="Yes",Projects!$M$46="Yes",95&gt;=Projects!$C$46,95&lt;Projects!$C$46+Projects!$D$46),Projects!$B$46*INDEX(Curves!$B$4:$AR$4,1,95-Projects!$C$46+1),0)</f>
        <v>0</v>
      </c>
      <c r="CW101" s="87" t="n">
        <f aca="false">IF(AND(Projects!$G$17="Yes",Projects!$M$17="Yes",96&gt;=Projects!$C$17,96&lt;Projects!$C$17+Projects!$D$17),Projects!$B$17*INDEX(Curves!$B$4:$AR$4,1,96-Projects!$C$17+1),0)+IF(AND(Projects!$G$18="Yes",Projects!$M$18="Yes",96&gt;=Projects!$C$18,96&lt;Projects!$C$18+Projects!$D$18),Projects!$B$18*INDEX(Curves!$B$4:$AR$4,1,96-Projects!$C$18+1),0)+IF(AND(Projects!$G$19="Yes",Projects!$M$19="Yes",96&gt;=Projects!$C$19,96&lt;Projects!$C$19+Projects!$D$19),Projects!$B$19*INDEX(Curves!$B$4:$AR$4,1,96-Projects!$C$19+1),0)+IF(AND(Projects!$G$20="Yes",Projects!$M$20="Yes",96&gt;=Projects!$C$20,96&lt;Projects!$C$20+Projects!$D$20),Projects!$B$20*INDEX(Curves!$B$4:$AR$4,1,96-Projects!$C$20+1),0)+IF(AND(Projects!$G$21="Yes",Projects!$M$21="Yes",96&gt;=Projects!$C$21,96&lt;Projects!$C$21+Projects!$D$21),Projects!$B$21*INDEX(Curves!$B$4:$AR$4,1,96-Projects!$C$21+1),0)+IF(AND(Projects!$G$22="Yes",Projects!$M$22="Yes",96&gt;=Projects!$C$22,96&lt;Projects!$C$22+Projects!$D$22),Projects!$B$22*INDEX(Curves!$B$4:$AR$4,1,96-Projects!$C$22+1),0)+IF(AND(Projects!$G$23="Yes",Projects!$M$23="Yes",96&gt;=Projects!$C$23,96&lt;Projects!$C$23+Projects!$D$23),Projects!$B$23*INDEX(Curves!$B$4:$AR$4,1,96-Projects!$C$23+1),0)+IF(AND(Projects!$G$24="Yes",Projects!$M$24="Yes",96&gt;=Projects!$C$24,96&lt;Projects!$C$24+Projects!$D$24),Projects!$B$24*INDEX(Curves!$B$4:$AR$4,1,96-Projects!$C$24+1),0)+IF(AND(Projects!$G$25="Yes",Projects!$M$25="Yes",96&gt;=Projects!$C$25,96&lt;Projects!$C$25+Projects!$D$25),Projects!$B$25*INDEX(Curves!$B$4:$AR$4,1,96-Projects!$C$25+1),0)+IF(AND(Projects!$G$26="Yes",Projects!$M$26="Yes",96&gt;=Projects!$C$26,96&lt;Projects!$C$26+Projects!$D$26),Projects!$B$26*INDEX(Curves!$B$4:$AR$4,1,96-Projects!$C$26+1),0)+IF(AND(Projects!$G$27="Yes",Projects!$M$27="Yes",96&gt;=Projects!$C$27,96&lt;Projects!$C$27+Projects!$D$27),Projects!$B$27*INDEX(Curves!$B$4:$AR$4,1,96-Projects!$C$27+1),0)+IF(AND(Projects!$G$28="Yes",Projects!$M$28="Yes",96&gt;=Projects!$C$28,96&lt;Projects!$C$28+Projects!$D$28),Projects!$B$28*INDEX(Curves!$B$4:$AR$4,1,96-Projects!$C$28+1),0)+IF(AND(Projects!$G$29="Yes",Projects!$M$29="Yes",96&gt;=Projects!$C$29,96&lt;Projects!$C$29+Projects!$D$29),Projects!$B$29*INDEX(Curves!$B$4:$AR$4,1,96-Projects!$C$29+1),0)+IF(AND(Projects!$G$30="Yes",Projects!$M$30="Yes",96&gt;=Projects!$C$30,96&lt;Projects!$C$30+Projects!$D$30),Projects!$B$30*INDEX(Curves!$B$4:$AR$4,1,96-Projects!$C$30+1),0)+IF(AND(Projects!$G$31="Yes",Projects!$M$31="Yes",96&gt;=Projects!$C$31,96&lt;Projects!$C$31+Projects!$D$31),Projects!$B$31*INDEX(Curves!$B$4:$AR$4,1,96-Projects!$C$31+1),0)+IF(AND(Projects!$G$32="Yes",Projects!$M$32="Yes",96&gt;=Projects!$C$32,96&lt;Projects!$C$32+Projects!$D$32),Projects!$B$32*INDEX(Curves!$B$4:$AR$4,1,96-Projects!$C$32+1),0)+IF(AND(Projects!$G$33="Yes",Projects!$M$33="Yes",96&gt;=Projects!$C$33,96&lt;Projects!$C$33+Projects!$D$33),Projects!$B$33*INDEX(Curves!$B$4:$AR$4,1,96-Projects!$C$33+1),0)+IF(AND(Projects!$G$34="Yes",Projects!$M$34="Yes",96&gt;=Projects!$C$34,96&lt;Projects!$C$34+Projects!$D$34),Projects!$B$34*INDEX(Curves!$B$4:$AR$4,1,96-Projects!$C$34+1),0)+IF(AND(Projects!$G$35="Yes",Projects!$M$35="Yes",96&gt;=Projects!$C$35,96&lt;Projects!$C$35+Projects!$D$35),Projects!$B$35*INDEX(Curves!$B$4:$AR$4,1,96-Projects!$C$35+1),0)+IF(AND(Projects!$G$36="Yes",Projects!$M$36="Yes",96&gt;=Projects!$C$36,96&lt;Projects!$C$36+Projects!$D$36),Projects!$B$36*INDEX(Curves!$B$4:$AR$4,1,96-Projects!$C$36+1),0)+IF(AND(Projects!$G$37="Yes",Projects!$M$37="Yes",96&gt;=Projects!$C$37,96&lt;Projects!$C$37+Projects!$D$37),Projects!$B$37*INDEX(Curves!$B$4:$AR$4,1,96-Projects!$C$37+1),0)+IF(AND(Projects!$G$38="Yes",Projects!$M$38="Yes",96&gt;=Projects!$C$38,96&lt;Projects!$C$38+Projects!$D$38),Projects!$B$38*INDEX(Curves!$B$4:$AR$4,1,96-Projects!$C$38+1),0)+IF(AND(Projects!$G$39="Yes",Projects!$M$39="Yes",96&gt;=Projects!$C$39,96&lt;Projects!$C$39+Projects!$D$39),Projects!$B$39*INDEX(Curves!$B$4:$AR$4,1,96-Projects!$C$39+1),0)+IF(AND(Projects!$G$40="Yes",Projects!$M$40="Yes",96&gt;=Projects!$C$40,96&lt;Projects!$C$40+Projects!$D$40),Projects!$B$40*INDEX(Curves!$B$4:$AR$4,1,96-Projects!$C$40+1),0)+IF(AND(Projects!$G$41="Yes",Projects!$M$41="Yes",96&gt;=Projects!$C$41,96&lt;Projects!$C$41+Projects!$D$41),Projects!$B$41*INDEX(Curves!$B$4:$AR$4,1,96-Projects!$C$41+1),0)+IF(AND(Projects!$G$42="Yes",Projects!$M$42="Yes",96&gt;=Projects!$C$42,96&lt;Projects!$C$42+Projects!$D$42),Projects!$B$42*INDEX(Curves!$B$4:$AR$4,1,96-Projects!$C$42+1),0)+IF(AND(Projects!$G$43="Yes",Projects!$M$43="Yes",96&gt;=Projects!$C$43,96&lt;Projects!$C$43+Projects!$D$43),Projects!$B$43*INDEX(Curves!$B$4:$AR$4,1,96-Projects!$C$43+1),0)+IF(AND(Projects!$G$44="Yes",Projects!$M$44="Yes",96&gt;=Projects!$C$44,96&lt;Projects!$C$44+Projects!$D$44),Projects!$B$44*INDEX(Curves!$B$4:$AR$4,1,96-Projects!$C$44+1),0)+IF(AND(Projects!$G$45="Yes",Projects!$M$45="Yes",96&gt;=Projects!$C$45,96&lt;Projects!$C$45+Projects!$D$45),Projects!$B$45*INDEX(Curves!$B$4:$AR$4,1,96-Projects!$C$45+1),0)+IF(AND(Projects!$G$46="Yes",Projects!$M$46="Yes",96&gt;=Projects!$C$46,96&lt;Projects!$C$46+Projects!$D$46),Projects!$B$46*INDEX(Curves!$B$4:$AR$4,1,96-Projects!$C$46+1),0)</f>
        <v>0</v>
      </c>
      <c r="CX101" s="87" t="n">
        <f aca="false">IF(AND(Projects!$G$17="Yes",Projects!$M$17="Yes",97&gt;=Projects!$C$17,97&lt;Projects!$C$17+Projects!$D$17),Projects!$B$17*INDEX(Curves!$B$4:$AR$4,1,97-Projects!$C$17+1),0)+IF(AND(Projects!$G$18="Yes",Projects!$M$18="Yes",97&gt;=Projects!$C$18,97&lt;Projects!$C$18+Projects!$D$18),Projects!$B$18*INDEX(Curves!$B$4:$AR$4,1,97-Projects!$C$18+1),0)+IF(AND(Projects!$G$19="Yes",Projects!$M$19="Yes",97&gt;=Projects!$C$19,97&lt;Projects!$C$19+Projects!$D$19),Projects!$B$19*INDEX(Curves!$B$4:$AR$4,1,97-Projects!$C$19+1),0)+IF(AND(Projects!$G$20="Yes",Projects!$M$20="Yes",97&gt;=Projects!$C$20,97&lt;Projects!$C$20+Projects!$D$20),Projects!$B$20*INDEX(Curves!$B$4:$AR$4,1,97-Projects!$C$20+1),0)+IF(AND(Projects!$G$21="Yes",Projects!$M$21="Yes",97&gt;=Projects!$C$21,97&lt;Projects!$C$21+Projects!$D$21),Projects!$B$21*INDEX(Curves!$B$4:$AR$4,1,97-Projects!$C$21+1),0)+IF(AND(Projects!$G$22="Yes",Projects!$M$22="Yes",97&gt;=Projects!$C$22,97&lt;Projects!$C$22+Projects!$D$22),Projects!$B$22*INDEX(Curves!$B$4:$AR$4,1,97-Projects!$C$22+1),0)+IF(AND(Projects!$G$23="Yes",Projects!$M$23="Yes",97&gt;=Projects!$C$23,97&lt;Projects!$C$23+Projects!$D$23),Projects!$B$23*INDEX(Curves!$B$4:$AR$4,1,97-Projects!$C$23+1),0)+IF(AND(Projects!$G$24="Yes",Projects!$M$24="Yes",97&gt;=Projects!$C$24,97&lt;Projects!$C$24+Projects!$D$24),Projects!$B$24*INDEX(Curves!$B$4:$AR$4,1,97-Projects!$C$24+1),0)+IF(AND(Projects!$G$25="Yes",Projects!$M$25="Yes",97&gt;=Projects!$C$25,97&lt;Projects!$C$25+Projects!$D$25),Projects!$B$25*INDEX(Curves!$B$4:$AR$4,1,97-Projects!$C$25+1),0)+IF(AND(Projects!$G$26="Yes",Projects!$M$26="Yes",97&gt;=Projects!$C$26,97&lt;Projects!$C$26+Projects!$D$26),Projects!$B$26*INDEX(Curves!$B$4:$AR$4,1,97-Projects!$C$26+1),0)+IF(AND(Projects!$G$27="Yes",Projects!$M$27="Yes",97&gt;=Projects!$C$27,97&lt;Projects!$C$27+Projects!$D$27),Projects!$B$27*INDEX(Curves!$B$4:$AR$4,1,97-Projects!$C$27+1),0)+IF(AND(Projects!$G$28="Yes",Projects!$M$28="Yes",97&gt;=Projects!$C$28,97&lt;Projects!$C$28+Projects!$D$28),Projects!$B$28*INDEX(Curves!$B$4:$AR$4,1,97-Projects!$C$28+1),0)+IF(AND(Projects!$G$29="Yes",Projects!$M$29="Yes",97&gt;=Projects!$C$29,97&lt;Projects!$C$29+Projects!$D$29),Projects!$B$29*INDEX(Curves!$B$4:$AR$4,1,97-Projects!$C$29+1),0)+IF(AND(Projects!$G$30="Yes",Projects!$M$30="Yes",97&gt;=Projects!$C$30,97&lt;Projects!$C$30+Projects!$D$30),Projects!$B$30*INDEX(Curves!$B$4:$AR$4,1,97-Projects!$C$30+1),0)+IF(AND(Projects!$G$31="Yes",Projects!$M$31="Yes",97&gt;=Projects!$C$31,97&lt;Projects!$C$31+Projects!$D$31),Projects!$B$31*INDEX(Curves!$B$4:$AR$4,1,97-Projects!$C$31+1),0)+IF(AND(Projects!$G$32="Yes",Projects!$M$32="Yes",97&gt;=Projects!$C$32,97&lt;Projects!$C$32+Projects!$D$32),Projects!$B$32*INDEX(Curves!$B$4:$AR$4,1,97-Projects!$C$32+1),0)+IF(AND(Projects!$G$33="Yes",Projects!$M$33="Yes",97&gt;=Projects!$C$33,97&lt;Projects!$C$33+Projects!$D$33),Projects!$B$33*INDEX(Curves!$B$4:$AR$4,1,97-Projects!$C$33+1),0)+IF(AND(Projects!$G$34="Yes",Projects!$M$34="Yes",97&gt;=Projects!$C$34,97&lt;Projects!$C$34+Projects!$D$34),Projects!$B$34*INDEX(Curves!$B$4:$AR$4,1,97-Projects!$C$34+1),0)+IF(AND(Projects!$G$35="Yes",Projects!$M$35="Yes",97&gt;=Projects!$C$35,97&lt;Projects!$C$35+Projects!$D$35),Projects!$B$35*INDEX(Curves!$B$4:$AR$4,1,97-Projects!$C$35+1),0)+IF(AND(Projects!$G$36="Yes",Projects!$M$36="Yes",97&gt;=Projects!$C$36,97&lt;Projects!$C$36+Projects!$D$36),Projects!$B$36*INDEX(Curves!$B$4:$AR$4,1,97-Projects!$C$36+1),0)+IF(AND(Projects!$G$37="Yes",Projects!$M$37="Yes",97&gt;=Projects!$C$37,97&lt;Projects!$C$37+Projects!$D$37),Projects!$B$37*INDEX(Curves!$B$4:$AR$4,1,97-Projects!$C$37+1),0)+IF(AND(Projects!$G$38="Yes",Projects!$M$38="Yes",97&gt;=Projects!$C$38,97&lt;Projects!$C$38+Projects!$D$38),Projects!$B$38*INDEX(Curves!$B$4:$AR$4,1,97-Projects!$C$38+1),0)+IF(AND(Projects!$G$39="Yes",Projects!$M$39="Yes",97&gt;=Projects!$C$39,97&lt;Projects!$C$39+Projects!$D$39),Projects!$B$39*INDEX(Curves!$B$4:$AR$4,1,97-Projects!$C$39+1),0)+IF(AND(Projects!$G$40="Yes",Projects!$M$40="Yes",97&gt;=Projects!$C$40,97&lt;Projects!$C$40+Projects!$D$40),Projects!$B$40*INDEX(Curves!$B$4:$AR$4,1,97-Projects!$C$40+1),0)+IF(AND(Projects!$G$41="Yes",Projects!$M$41="Yes",97&gt;=Projects!$C$41,97&lt;Projects!$C$41+Projects!$D$41),Projects!$B$41*INDEX(Curves!$B$4:$AR$4,1,97-Projects!$C$41+1),0)+IF(AND(Projects!$G$42="Yes",Projects!$M$42="Yes",97&gt;=Projects!$C$42,97&lt;Projects!$C$42+Projects!$D$42),Projects!$B$42*INDEX(Curves!$B$4:$AR$4,1,97-Projects!$C$42+1),0)+IF(AND(Projects!$G$43="Yes",Projects!$M$43="Yes",97&gt;=Projects!$C$43,97&lt;Projects!$C$43+Projects!$D$43),Projects!$B$43*INDEX(Curves!$B$4:$AR$4,1,97-Projects!$C$43+1),0)+IF(AND(Projects!$G$44="Yes",Projects!$M$44="Yes",97&gt;=Projects!$C$44,97&lt;Projects!$C$44+Projects!$D$44),Projects!$B$44*INDEX(Curves!$B$4:$AR$4,1,97-Projects!$C$44+1),0)+IF(AND(Projects!$G$45="Yes",Projects!$M$45="Yes",97&gt;=Projects!$C$45,97&lt;Projects!$C$45+Projects!$D$45),Projects!$B$45*INDEX(Curves!$B$4:$AR$4,1,97-Projects!$C$45+1),0)+IF(AND(Projects!$G$46="Yes",Projects!$M$46="Yes",97&gt;=Projects!$C$46,97&lt;Projects!$C$46+Projects!$D$46),Projects!$B$46*INDEX(Curves!$B$4:$AR$4,1,97-Projects!$C$46+1),0)</f>
        <v>0</v>
      </c>
      <c r="CY101" s="87" t="n">
        <f aca="false">IF(AND(Projects!$G$17="Yes",Projects!$M$17="Yes",98&gt;=Projects!$C$17,98&lt;Projects!$C$17+Projects!$D$17),Projects!$B$17*INDEX(Curves!$B$4:$AR$4,1,98-Projects!$C$17+1),0)+IF(AND(Projects!$G$18="Yes",Projects!$M$18="Yes",98&gt;=Projects!$C$18,98&lt;Projects!$C$18+Projects!$D$18),Projects!$B$18*INDEX(Curves!$B$4:$AR$4,1,98-Projects!$C$18+1),0)+IF(AND(Projects!$G$19="Yes",Projects!$M$19="Yes",98&gt;=Projects!$C$19,98&lt;Projects!$C$19+Projects!$D$19),Projects!$B$19*INDEX(Curves!$B$4:$AR$4,1,98-Projects!$C$19+1),0)+IF(AND(Projects!$G$20="Yes",Projects!$M$20="Yes",98&gt;=Projects!$C$20,98&lt;Projects!$C$20+Projects!$D$20),Projects!$B$20*INDEX(Curves!$B$4:$AR$4,1,98-Projects!$C$20+1),0)+IF(AND(Projects!$G$21="Yes",Projects!$M$21="Yes",98&gt;=Projects!$C$21,98&lt;Projects!$C$21+Projects!$D$21),Projects!$B$21*INDEX(Curves!$B$4:$AR$4,1,98-Projects!$C$21+1),0)+IF(AND(Projects!$G$22="Yes",Projects!$M$22="Yes",98&gt;=Projects!$C$22,98&lt;Projects!$C$22+Projects!$D$22),Projects!$B$22*INDEX(Curves!$B$4:$AR$4,1,98-Projects!$C$22+1),0)+IF(AND(Projects!$G$23="Yes",Projects!$M$23="Yes",98&gt;=Projects!$C$23,98&lt;Projects!$C$23+Projects!$D$23),Projects!$B$23*INDEX(Curves!$B$4:$AR$4,1,98-Projects!$C$23+1),0)+IF(AND(Projects!$G$24="Yes",Projects!$M$24="Yes",98&gt;=Projects!$C$24,98&lt;Projects!$C$24+Projects!$D$24),Projects!$B$24*INDEX(Curves!$B$4:$AR$4,1,98-Projects!$C$24+1),0)+IF(AND(Projects!$G$25="Yes",Projects!$M$25="Yes",98&gt;=Projects!$C$25,98&lt;Projects!$C$25+Projects!$D$25),Projects!$B$25*INDEX(Curves!$B$4:$AR$4,1,98-Projects!$C$25+1),0)+IF(AND(Projects!$G$26="Yes",Projects!$M$26="Yes",98&gt;=Projects!$C$26,98&lt;Projects!$C$26+Projects!$D$26),Projects!$B$26*INDEX(Curves!$B$4:$AR$4,1,98-Projects!$C$26+1),0)+IF(AND(Projects!$G$27="Yes",Projects!$M$27="Yes",98&gt;=Projects!$C$27,98&lt;Projects!$C$27+Projects!$D$27),Projects!$B$27*INDEX(Curves!$B$4:$AR$4,1,98-Projects!$C$27+1),0)+IF(AND(Projects!$G$28="Yes",Projects!$M$28="Yes",98&gt;=Projects!$C$28,98&lt;Projects!$C$28+Projects!$D$28),Projects!$B$28*INDEX(Curves!$B$4:$AR$4,1,98-Projects!$C$28+1),0)+IF(AND(Projects!$G$29="Yes",Projects!$M$29="Yes",98&gt;=Projects!$C$29,98&lt;Projects!$C$29+Projects!$D$29),Projects!$B$29*INDEX(Curves!$B$4:$AR$4,1,98-Projects!$C$29+1),0)+IF(AND(Projects!$G$30="Yes",Projects!$M$30="Yes",98&gt;=Projects!$C$30,98&lt;Projects!$C$30+Projects!$D$30),Projects!$B$30*INDEX(Curves!$B$4:$AR$4,1,98-Projects!$C$30+1),0)+IF(AND(Projects!$G$31="Yes",Projects!$M$31="Yes",98&gt;=Projects!$C$31,98&lt;Projects!$C$31+Projects!$D$31),Projects!$B$31*INDEX(Curves!$B$4:$AR$4,1,98-Projects!$C$31+1),0)+IF(AND(Projects!$G$32="Yes",Projects!$M$32="Yes",98&gt;=Projects!$C$32,98&lt;Projects!$C$32+Projects!$D$32),Projects!$B$32*INDEX(Curves!$B$4:$AR$4,1,98-Projects!$C$32+1),0)+IF(AND(Projects!$G$33="Yes",Projects!$M$33="Yes",98&gt;=Projects!$C$33,98&lt;Projects!$C$33+Projects!$D$33),Projects!$B$33*INDEX(Curves!$B$4:$AR$4,1,98-Projects!$C$33+1),0)+IF(AND(Projects!$G$34="Yes",Projects!$M$34="Yes",98&gt;=Projects!$C$34,98&lt;Projects!$C$34+Projects!$D$34),Projects!$B$34*INDEX(Curves!$B$4:$AR$4,1,98-Projects!$C$34+1),0)+IF(AND(Projects!$G$35="Yes",Projects!$M$35="Yes",98&gt;=Projects!$C$35,98&lt;Projects!$C$35+Projects!$D$35),Projects!$B$35*INDEX(Curves!$B$4:$AR$4,1,98-Projects!$C$35+1),0)+IF(AND(Projects!$G$36="Yes",Projects!$M$36="Yes",98&gt;=Projects!$C$36,98&lt;Projects!$C$36+Projects!$D$36),Projects!$B$36*INDEX(Curves!$B$4:$AR$4,1,98-Projects!$C$36+1),0)+IF(AND(Projects!$G$37="Yes",Projects!$M$37="Yes",98&gt;=Projects!$C$37,98&lt;Projects!$C$37+Projects!$D$37),Projects!$B$37*INDEX(Curves!$B$4:$AR$4,1,98-Projects!$C$37+1),0)+IF(AND(Projects!$G$38="Yes",Projects!$M$38="Yes",98&gt;=Projects!$C$38,98&lt;Projects!$C$38+Projects!$D$38),Projects!$B$38*INDEX(Curves!$B$4:$AR$4,1,98-Projects!$C$38+1),0)+IF(AND(Projects!$G$39="Yes",Projects!$M$39="Yes",98&gt;=Projects!$C$39,98&lt;Projects!$C$39+Projects!$D$39),Projects!$B$39*INDEX(Curves!$B$4:$AR$4,1,98-Projects!$C$39+1),0)+IF(AND(Projects!$G$40="Yes",Projects!$M$40="Yes",98&gt;=Projects!$C$40,98&lt;Projects!$C$40+Projects!$D$40),Projects!$B$40*INDEX(Curves!$B$4:$AR$4,1,98-Projects!$C$40+1),0)+IF(AND(Projects!$G$41="Yes",Projects!$M$41="Yes",98&gt;=Projects!$C$41,98&lt;Projects!$C$41+Projects!$D$41),Projects!$B$41*INDEX(Curves!$B$4:$AR$4,1,98-Projects!$C$41+1),0)+IF(AND(Projects!$G$42="Yes",Projects!$M$42="Yes",98&gt;=Projects!$C$42,98&lt;Projects!$C$42+Projects!$D$42),Projects!$B$42*INDEX(Curves!$B$4:$AR$4,1,98-Projects!$C$42+1),0)+IF(AND(Projects!$G$43="Yes",Projects!$M$43="Yes",98&gt;=Projects!$C$43,98&lt;Projects!$C$43+Projects!$D$43),Projects!$B$43*INDEX(Curves!$B$4:$AR$4,1,98-Projects!$C$43+1),0)+IF(AND(Projects!$G$44="Yes",Projects!$M$44="Yes",98&gt;=Projects!$C$44,98&lt;Projects!$C$44+Projects!$D$44),Projects!$B$44*INDEX(Curves!$B$4:$AR$4,1,98-Projects!$C$44+1),0)+IF(AND(Projects!$G$45="Yes",Projects!$M$45="Yes",98&gt;=Projects!$C$45,98&lt;Projects!$C$45+Projects!$D$45),Projects!$B$45*INDEX(Curves!$B$4:$AR$4,1,98-Projects!$C$45+1),0)+IF(AND(Projects!$G$46="Yes",Projects!$M$46="Yes",98&gt;=Projects!$C$46,98&lt;Projects!$C$46+Projects!$D$46),Projects!$B$46*INDEX(Curves!$B$4:$AR$4,1,98-Projects!$C$46+1),0)</f>
        <v>0</v>
      </c>
      <c r="CZ101" s="87" t="n">
        <f aca="false">IF(AND(Projects!$G$17="Yes",Projects!$M$17="Yes",99&gt;=Projects!$C$17,99&lt;Projects!$C$17+Projects!$D$17),Projects!$B$17*INDEX(Curves!$B$4:$AR$4,1,99-Projects!$C$17+1),0)+IF(AND(Projects!$G$18="Yes",Projects!$M$18="Yes",99&gt;=Projects!$C$18,99&lt;Projects!$C$18+Projects!$D$18),Projects!$B$18*INDEX(Curves!$B$4:$AR$4,1,99-Projects!$C$18+1),0)+IF(AND(Projects!$G$19="Yes",Projects!$M$19="Yes",99&gt;=Projects!$C$19,99&lt;Projects!$C$19+Projects!$D$19),Projects!$B$19*INDEX(Curves!$B$4:$AR$4,1,99-Projects!$C$19+1),0)+IF(AND(Projects!$G$20="Yes",Projects!$M$20="Yes",99&gt;=Projects!$C$20,99&lt;Projects!$C$20+Projects!$D$20),Projects!$B$20*INDEX(Curves!$B$4:$AR$4,1,99-Projects!$C$20+1),0)+IF(AND(Projects!$G$21="Yes",Projects!$M$21="Yes",99&gt;=Projects!$C$21,99&lt;Projects!$C$21+Projects!$D$21),Projects!$B$21*INDEX(Curves!$B$4:$AR$4,1,99-Projects!$C$21+1),0)+IF(AND(Projects!$G$22="Yes",Projects!$M$22="Yes",99&gt;=Projects!$C$22,99&lt;Projects!$C$22+Projects!$D$22),Projects!$B$22*INDEX(Curves!$B$4:$AR$4,1,99-Projects!$C$22+1),0)+IF(AND(Projects!$G$23="Yes",Projects!$M$23="Yes",99&gt;=Projects!$C$23,99&lt;Projects!$C$23+Projects!$D$23),Projects!$B$23*INDEX(Curves!$B$4:$AR$4,1,99-Projects!$C$23+1),0)+IF(AND(Projects!$G$24="Yes",Projects!$M$24="Yes",99&gt;=Projects!$C$24,99&lt;Projects!$C$24+Projects!$D$24),Projects!$B$24*INDEX(Curves!$B$4:$AR$4,1,99-Projects!$C$24+1),0)+IF(AND(Projects!$G$25="Yes",Projects!$M$25="Yes",99&gt;=Projects!$C$25,99&lt;Projects!$C$25+Projects!$D$25),Projects!$B$25*INDEX(Curves!$B$4:$AR$4,1,99-Projects!$C$25+1),0)+IF(AND(Projects!$G$26="Yes",Projects!$M$26="Yes",99&gt;=Projects!$C$26,99&lt;Projects!$C$26+Projects!$D$26),Projects!$B$26*INDEX(Curves!$B$4:$AR$4,1,99-Projects!$C$26+1),0)+IF(AND(Projects!$G$27="Yes",Projects!$M$27="Yes",99&gt;=Projects!$C$27,99&lt;Projects!$C$27+Projects!$D$27),Projects!$B$27*INDEX(Curves!$B$4:$AR$4,1,99-Projects!$C$27+1),0)+IF(AND(Projects!$G$28="Yes",Projects!$M$28="Yes",99&gt;=Projects!$C$28,99&lt;Projects!$C$28+Projects!$D$28),Projects!$B$28*INDEX(Curves!$B$4:$AR$4,1,99-Projects!$C$28+1),0)+IF(AND(Projects!$G$29="Yes",Projects!$M$29="Yes",99&gt;=Projects!$C$29,99&lt;Projects!$C$29+Projects!$D$29),Projects!$B$29*INDEX(Curves!$B$4:$AR$4,1,99-Projects!$C$29+1),0)+IF(AND(Projects!$G$30="Yes",Projects!$M$30="Yes",99&gt;=Projects!$C$30,99&lt;Projects!$C$30+Projects!$D$30),Projects!$B$30*INDEX(Curves!$B$4:$AR$4,1,99-Projects!$C$30+1),0)+IF(AND(Projects!$G$31="Yes",Projects!$M$31="Yes",99&gt;=Projects!$C$31,99&lt;Projects!$C$31+Projects!$D$31),Projects!$B$31*INDEX(Curves!$B$4:$AR$4,1,99-Projects!$C$31+1),0)+IF(AND(Projects!$G$32="Yes",Projects!$M$32="Yes",99&gt;=Projects!$C$32,99&lt;Projects!$C$32+Projects!$D$32),Projects!$B$32*INDEX(Curves!$B$4:$AR$4,1,99-Projects!$C$32+1),0)+IF(AND(Projects!$G$33="Yes",Projects!$M$33="Yes",99&gt;=Projects!$C$33,99&lt;Projects!$C$33+Projects!$D$33),Projects!$B$33*INDEX(Curves!$B$4:$AR$4,1,99-Projects!$C$33+1),0)+IF(AND(Projects!$G$34="Yes",Projects!$M$34="Yes",99&gt;=Projects!$C$34,99&lt;Projects!$C$34+Projects!$D$34),Projects!$B$34*INDEX(Curves!$B$4:$AR$4,1,99-Projects!$C$34+1),0)+IF(AND(Projects!$G$35="Yes",Projects!$M$35="Yes",99&gt;=Projects!$C$35,99&lt;Projects!$C$35+Projects!$D$35),Projects!$B$35*INDEX(Curves!$B$4:$AR$4,1,99-Projects!$C$35+1),0)+IF(AND(Projects!$G$36="Yes",Projects!$M$36="Yes",99&gt;=Projects!$C$36,99&lt;Projects!$C$36+Projects!$D$36),Projects!$B$36*INDEX(Curves!$B$4:$AR$4,1,99-Projects!$C$36+1),0)+IF(AND(Projects!$G$37="Yes",Projects!$M$37="Yes",99&gt;=Projects!$C$37,99&lt;Projects!$C$37+Projects!$D$37),Projects!$B$37*INDEX(Curves!$B$4:$AR$4,1,99-Projects!$C$37+1),0)+IF(AND(Projects!$G$38="Yes",Projects!$M$38="Yes",99&gt;=Projects!$C$38,99&lt;Projects!$C$38+Projects!$D$38),Projects!$B$38*INDEX(Curves!$B$4:$AR$4,1,99-Projects!$C$38+1),0)+IF(AND(Projects!$G$39="Yes",Projects!$M$39="Yes",99&gt;=Projects!$C$39,99&lt;Projects!$C$39+Projects!$D$39),Projects!$B$39*INDEX(Curves!$B$4:$AR$4,1,99-Projects!$C$39+1),0)+IF(AND(Projects!$G$40="Yes",Projects!$M$40="Yes",99&gt;=Projects!$C$40,99&lt;Projects!$C$40+Projects!$D$40),Projects!$B$40*INDEX(Curves!$B$4:$AR$4,1,99-Projects!$C$40+1),0)+IF(AND(Projects!$G$41="Yes",Projects!$M$41="Yes",99&gt;=Projects!$C$41,99&lt;Projects!$C$41+Projects!$D$41),Projects!$B$41*INDEX(Curves!$B$4:$AR$4,1,99-Projects!$C$41+1),0)+IF(AND(Projects!$G$42="Yes",Projects!$M$42="Yes",99&gt;=Projects!$C$42,99&lt;Projects!$C$42+Projects!$D$42),Projects!$B$42*INDEX(Curves!$B$4:$AR$4,1,99-Projects!$C$42+1),0)+IF(AND(Projects!$G$43="Yes",Projects!$M$43="Yes",99&gt;=Projects!$C$43,99&lt;Projects!$C$43+Projects!$D$43),Projects!$B$43*INDEX(Curves!$B$4:$AR$4,1,99-Projects!$C$43+1),0)+IF(AND(Projects!$G$44="Yes",Projects!$M$44="Yes",99&gt;=Projects!$C$44,99&lt;Projects!$C$44+Projects!$D$44),Projects!$B$44*INDEX(Curves!$B$4:$AR$4,1,99-Projects!$C$44+1),0)+IF(AND(Projects!$G$45="Yes",Projects!$M$45="Yes",99&gt;=Projects!$C$45,99&lt;Projects!$C$45+Projects!$D$45),Projects!$B$45*INDEX(Curves!$B$4:$AR$4,1,99-Projects!$C$45+1),0)+IF(AND(Projects!$G$46="Yes",Projects!$M$46="Yes",99&gt;=Projects!$C$46,99&lt;Projects!$C$46+Projects!$D$46),Projects!$B$46*INDEX(Curves!$B$4:$AR$4,1,99-Projects!$C$46+1),0)</f>
        <v>0</v>
      </c>
      <c r="DA101" s="87" t="n">
        <f aca="false">IF(AND(Projects!$G$17="Yes",Projects!$M$17="Yes",100&gt;=Projects!$C$17,100&lt;Projects!$C$17+Projects!$D$17),Projects!$B$17*INDEX(Curves!$B$4:$AR$4,1,100-Projects!$C$17+1),0)+IF(AND(Projects!$G$18="Yes",Projects!$M$18="Yes",100&gt;=Projects!$C$18,100&lt;Projects!$C$18+Projects!$D$18),Projects!$B$18*INDEX(Curves!$B$4:$AR$4,1,100-Projects!$C$18+1),0)+IF(AND(Projects!$G$19="Yes",Projects!$M$19="Yes",100&gt;=Projects!$C$19,100&lt;Projects!$C$19+Projects!$D$19),Projects!$B$19*INDEX(Curves!$B$4:$AR$4,1,100-Projects!$C$19+1),0)+IF(AND(Projects!$G$20="Yes",Projects!$M$20="Yes",100&gt;=Projects!$C$20,100&lt;Projects!$C$20+Projects!$D$20),Projects!$B$20*INDEX(Curves!$B$4:$AR$4,1,100-Projects!$C$20+1),0)+IF(AND(Projects!$G$21="Yes",Projects!$M$21="Yes",100&gt;=Projects!$C$21,100&lt;Projects!$C$21+Projects!$D$21),Projects!$B$21*INDEX(Curves!$B$4:$AR$4,1,100-Projects!$C$21+1),0)+IF(AND(Projects!$G$22="Yes",Projects!$M$22="Yes",100&gt;=Projects!$C$22,100&lt;Projects!$C$22+Projects!$D$22),Projects!$B$22*INDEX(Curves!$B$4:$AR$4,1,100-Projects!$C$22+1),0)+IF(AND(Projects!$G$23="Yes",Projects!$M$23="Yes",100&gt;=Projects!$C$23,100&lt;Projects!$C$23+Projects!$D$23),Projects!$B$23*INDEX(Curves!$B$4:$AR$4,1,100-Projects!$C$23+1),0)+IF(AND(Projects!$G$24="Yes",Projects!$M$24="Yes",100&gt;=Projects!$C$24,100&lt;Projects!$C$24+Projects!$D$24),Projects!$B$24*INDEX(Curves!$B$4:$AR$4,1,100-Projects!$C$24+1),0)+IF(AND(Projects!$G$25="Yes",Projects!$M$25="Yes",100&gt;=Projects!$C$25,100&lt;Projects!$C$25+Projects!$D$25),Projects!$B$25*INDEX(Curves!$B$4:$AR$4,1,100-Projects!$C$25+1),0)+IF(AND(Projects!$G$26="Yes",Projects!$M$26="Yes",100&gt;=Projects!$C$26,100&lt;Projects!$C$26+Projects!$D$26),Projects!$B$26*INDEX(Curves!$B$4:$AR$4,1,100-Projects!$C$26+1),0)+IF(AND(Projects!$G$27="Yes",Projects!$M$27="Yes",100&gt;=Projects!$C$27,100&lt;Projects!$C$27+Projects!$D$27),Projects!$B$27*INDEX(Curves!$B$4:$AR$4,1,100-Projects!$C$27+1),0)+IF(AND(Projects!$G$28="Yes",Projects!$M$28="Yes",100&gt;=Projects!$C$28,100&lt;Projects!$C$28+Projects!$D$28),Projects!$B$28*INDEX(Curves!$B$4:$AR$4,1,100-Projects!$C$28+1),0)+IF(AND(Projects!$G$29="Yes",Projects!$M$29="Yes",100&gt;=Projects!$C$29,100&lt;Projects!$C$29+Projects!$D$29),Projects!$B$29*INDEX(Curves!$B$4:$AR$4,1,100-Projects!$C$29+1),0)+IF(AND(Projects!$G$30="Yes",Projects!$M$30="Yes",100&gt;=Projects!$C$30,100&lt;Projects!$C$30+Projects!$D$30),Projects!$B$30*INDEX(Curves!$B$4:$AR$4,1,100-Projects!$C$30+1),0)+IF(AND(Projects!$G$31="Yes",Projects!$M$31="Yes",100&gt;=Projects!$C$31,100&lt;Projects!$C$31+Projects!$D$31),Projects!$B$31*INDEX(Curves!$B$4:$AR$4,1,100-Projects!$C$31+1),0)+IF(AND(Projects!$G$32="Yes",Projects!$M$32="Yes",100&gt;=Projects!$C$32,100&lt;Projects!$C$32+Projects!$D$32),Projects!$B$32*INDEX(Curves!$B$4:$AR$4,1,100-Projects!$C$32+1),0)+IF(AND(Projects!$G$33="Yes",Projects!$M$33="Yes",100&gt;=Projects!$C$33,100&lt;Projects!$C$33+Projects!$D$33),Projects!$B$33*INDEX(Curves!$B$4:$AR$4,1,100-Projects!$C$33+1),0)+IF(AND(Projects!$G$34="Yes",Projects!$M$34="Yes",100&gt;=Projects!$C$34,100&lt;Projects!$C$34+Projects!$D$34),Projects!$B$34*INDEX(Curves!$B$4:$AR$4,1,100-Projects!$C$34+1),0)+IF(AND(Projects!$G$35="Yes",Projects!$M$35="Yes",100&gt;=Projects!$C$35,100&lt;Projects!$C$35+Projects!$D$35),Projects!$B$35*INDEX(Curves!$B$4:$AR$4,1,100-Projects!$C$35+1),0)+IF(AND(Projects!$G$36="Yes",Projects!$M$36="Yes",100&gt;=Projects!$C$36,100&lt;Projects!$C$36+Projects!$D$36),Projects!$B$36*INDEX(Curves!$B$4:$AR$4,1,100-Projects!$C$36+1),0)+IF(AND(Projects!$G$37="Yes",Projects!$M$37="Yes",100&gt;=Projects!$C$37,100&lt;Projects!$C$37+Projects!$D$37),Projects!$B$37*INDEX(Curves!$B$4:$AR$4,1,100-Projects!$C$37+1),0)+IF(AND(Projects!$G$38="Yes",Projects!$M$38="Yes",100&gt;=Projects!$C$38,100&lt;Projects!$C$38+Projects!$D$38),Projects!$B$38*INDEX(Curves!$B$4:$AR$4,1,100-Projects!$C$38+1),0)+IF(AND(Projects!$G$39="Yes",Projects!$M$39="Yes",100&gt;=Projects!$C$39,100&lt;Projects!$C$39+Projects!$D$39),Projects!$B$39*INDEX(Curves!$B$4:$AR$4,1,100-Projects!$C$39+1),0)+IF(AND(Projects!$G$40="Yes",Projects!$M$40="Yes",100&gt;=Projects!$C$40,100&lt;Projects!$C$40+Projects!$D$40),Projects!$B$40*INDEX(Curves!$B$4:$AR$4,1,100-Projects!$C$40+1),0)+IF(AND(Projects!$G$41="Yes",Projects!$M$41="Yes",100&gt;=Projects!$C$41,100&lt;Projects!$C$41+Projects!$D$41),Projects!$B$41*INDEX(Curves!$B$4:$AR$4,1,100-Projects!$C$41+1),0)+IF(AND(Projects!$G$42="Yes",Projects!$M$42="Yes",100&gt;=Projects!$C$42,100&lt;Projects!$C$42+Projects!$D$42),Projects!$B$42*INDEX(Curves!$B$4:$AR$4,1,100-Projects!$C$42+1),0)+IF(AND(Projects!$G$43="Yes",Projects!$M$43="Yes",100&gt;=Projects!$C$43,100&lt;Projects!$C$43+Projects!$D$43),Projects!$B$43*INDEX(Curves!$B$4:$AR$4,1,100-Projects!$C$43+1),0)+IF(AND(Projects!$G$44="Yes",Projects!$M$44="Yes",100&gt;=Projects!$C$44,100&lt;Projects!$C$44+Projects!$D$44),Projects!$B$44*INDEX(Curves!$B$4:$AR$4,1,100-Projects!$C$44+1),0)+IF(AND(Projects!$G$45="Yes",Projects!$M$45="Yes",100&gt;=Projects!$C$45,100&lt;Projects!$C$45+Projects!$D$45),Projects!$B$45*INDEX(Curves!$B$4:$AR$4,1,100-Projects!$C$45+1),0)+IF(AND(Projects!$G$46="Yes",Projects!$M$46="Yes",100&gt;=Projects!$C$46,100&lt;Projects!$C$46+Projects!$D$46),Projects!$B$46*INDEX(Curves!$B$4:$AR$4,1,100-Projects!$C$46+1),0)</f>
        <v>0</v>
      </c>
      <c r="DB101" s="87" t="n">
        <f aca="false">IF(AND(Projects!$G$17="Yes",Projects!$M$17="Yes",101&gt;=Projects!$C$17,101&lt;Projects!$C$17+Projects!$D$17),Projects!$B$17*INDEX(Curves!$B$4:$AR$4,1,101-Projects!$C$17+1),0)+IF(AND(Projects!$G$18="Yes",Projects!$M$18="Yes",101&gt;=Projects!$C$18,101&lt;Projects!$C$18+Projects!$D$18),Projects!$B$18*INDEX(Curves!$B$4:$AR$4,1,101-Projects!$C$18+1),0)+IF(AND(Projects!$G$19="Yes",Projects!$M$19="Yes",101&gt;=Projects!$C$19,101&lt;Projects!$C$19+Projects!$D$19),Projects!$B$19*INDEX(Curves!$B$4:$AR$4,1,101-Projects!$C$19+1),0)+IF(AND(Projects!$G$20="Yes",Projects!$M$20="Yes",101&gt;=Projects!$C$20,101&lt;Projects!$C$20+Projects!$D$20),Projects!$B$20*INDEX(Curves!$B$4:$AR$4,1,101-Projects!$C$20+1),0)+IF(AND(Projects!$G$21="Yes",Projects!$M$21="Yes",101&gt;=Projects!$C$21,101&lt;Projects!$C$21+Projects!$D$21),Projects!$B$21*INDEX(Curves!$B$4:$AR$4,1,101-Projects!$C$21+1),0)+IF(AND(Projects!$G$22="Yes",Projects!$M$22="Yes",101&gt;=Projects!$C$22,101&lt;Projects!$C$22+Projects!$D$22),Projects!$B$22*INDEX(Curves!$B$4:$AR$4,1,101-Projects!$C$22+1),0)+IF(AND(Projects!$G$23="Yes",Projects!$M$23="Yes",101&gt;=Projects!$C$23,101&lt;Projects!$C$23+Projects!$D$23),Projects!$B$23*INDEX(Curves!$B$4:$AR$4,1,101-Projects!$C$23+1),0)+IF(AND(Projects!$G$24="Yes",Projects!$M$24="Yes",101&gt;=Projects!$C$24,101&lt;Projects!$C$24+Projects!$D$24),Projects!$B$24*INDEX(Curves!$B$4:$AR$4,1,101-Projects!$C$24+1),0)+IF(AND(Projects!$G$25="Yes",Projects!$M$25="Yes",101&gt;=Projects!$C$25,101&lt;Projects!$C$25+Projects!$D$25),Projects!$B$25*INDEX(Curves!$B$4:$AR$4,1,101-Projects!$C$25+1),0)+IF(AND(Projects!$G$26="Yes",Projects!$M$26="Yes",101&gt;=Projects!$C$26,101&lt;Projects!$C$26+Projects!$D$26),Projects!$B$26*INDEX(Curves!$B$4:$AR$4,1,101-Projects!$C$26+1),0)+IF(AND(Projects!$G$27="Yes",Projects!$M$27="Yes",101&gt;=Projects!$C$27,101&lt;Projects!$C$27+Projects!$D$27),Projects!$B$27*INDEX(Curves!$B$4:$AR$4,1,101-Projects!$C$27+1),0)+IF(AND(Projects!$G$28="Yes",Projects!$M$28="Yes",101&gt;=Projects!$C$28,101&lt;Projects!$C$28+Projects!$D$28),Projects!$B$28*INDEX(Curves!$B$4:$AR$4,1,101-Projects!$C$28+1),0)+IF(AND(Projects!$G$29="Yes",Projects!$M$29="Yes",101&gt;=Projects!$C$29,101&lt;Projects!$C$29+Projects!$D$29),Projects!$B$29*INDEX(Curves!$B$4:$AR$4,1,101-Projects!$C$29+1),0)+IF(AND(Projects!$G$30="Yes",Projects!$M$30="Yes",101&gt;=Projects!$C$30,101&lt;Projects!$C$30+Projects!$D$30),Projects!$B$30*INDEX(Curves!$B$4:$AR$4,1,101-Projects!$C$30+1),0)+IF(AND(Projects!$G$31="Yes",Projects!$M$31="Yes",101&gt;=Projects!$C$31,101&lt;Projects!$C$31+Projects!$D$31),Projects!$B$31*INDEX(Curves!$B$4:$AR$4,1,101-Projects!$C$31+1),0)+IF(AND(Projects!$G$32="Yes",Projects!$M$32="Yes",101&gt;=Projects!$C$32,101&lt;Projects!$C$32+Projects!$D$32),Projects!$B$32*INDEX(Curves!$B$4:$AR$4,1,101-Projects!$C$32+1),0)+IF(AND(Projects!$G$33="Yes",Projects!$M$33="Yes",101&gt;=Projects!$C$33,101&lt;Projects!$C$33+Projects!$D$33),Projects!$B$33*INDEX(Curves!$B$4:$AR$4,1,101-Projects!$C$33+1),0)+IF(AND(Projects!$G$34="Yes",Projects!$M$34="Yes",101&gt;=Projects!$C$34,101&lt;Projects!$C$34+Projects!$D$34),Projects!$B$34*INDEX(Curves!$B$4:$AR$4,1,101-Projects!$C$34+1),0)+IF(AND(Projects!$G$35="Yes",Projects!$M$35="Yes",101&gt;=Projects!$C$35,101&lt;Projects!$C$35+Projects!$D$35),Projects!$B$35*INDEX(Curves!$B$4:$AR$4,1,101-Projects!$C$35+1),0)+IF(AND(Projects!$G$36="Yes",Projects!$M$36="Yes",101&gt;=Projects!$C$36,101&lt;Projects!$C$36+Projects!$D$36),Projects!$B$36*INDEX(Curves!$B$4:$AR$4,1,101-Projects!$C$36+1),0)+IF(AND(Projects!$G$37="Yes",Projects!$M$37="Yes",101&gt;=Projects!$C$37,101&lt;Projects!$C$37+Projects!$D$37),Projects!$B$37*INDEX(Curves!$B$4:$AR$4,1,101-Projects!$C$37+1),0)+IF(AND(Projects!$G$38="Yes",Projects!$M$38="Yes",101&gt;=Projects!$C$38,101&lt;Projects!$C$38+Projects!$D$38),Projects!$B$38*INDEX(Curves!$B$4:$AR$4,1,101-Projects!$C$38+1),0)+IF(AND(Projects!$G$39="Yes",Projects!$M$39="Yes",101&gt;=Projects!$C$39,101&lt;Projects!$C$39+Projects!$D$39),Projects!$B$39*INDEX(Curves!$B$4:$AR$4,1,101-Projects!$C$39+1),0)+IF(AND(Projects!$G$40="Yes",Projects!$M$40="Yes",101&gt;=Projects!$C$40,101&lt;Projects!$C$40+Projects!$D$40),Projects!$B$40*INDEX(Curves!$B$4:$AR$4,1,101-Projects!$C$40+1),0)+IF(AND(Projects!$G$41="Yes",Projects!$M$41="Yes",101&gt;=Projects!$C$41,101&lt;Projects!$C$41+Projects!$D$41),Projects!$B$41*INDEX(Curves!$B$4:$AR$4,1,101-Projects!$C$41+1),0)+IF(AND(Projects!$G$42="Yes",Projects!$M$42="Yes",101&gt;=Projects!$C$42,101&lt;Projects!$C$42+Projects!$D$42),Projects!$B$42*INDEX(Curves!$B$4:$AR$4,1,101-Projects!$C$42+1),0)+IF(AND(Projects!$G$43="Yes",Projects!$M$43="Yes",101&gt;=Projects!$C$43,101&lt;Projects!$C$43+Projects!$D$43),Projects!$B$43*INDEX(Curves!$B$4:$AR$4,1,101-Projects!$C$43+1),0)+IF(AND(Projects!$G$44="Yes",Projects!$M$44="Yes",101&gt;=Projects!$C$44,101&lt;Projects!$C$44+Projects!$D$44),Projects!$B$44*INDEX(Curves!$B$4:$AR$4,1,101-Projects!$C$44+1),0)+IF(AND(Projects!$G$45="Yes",Projects!$M$45="Yes",101&gt;=Projects!$C$45,101&lt;Projects!$C$45+Projects!$D$45),Projects!$B$45*INDEX(Curves!$B$4:$AR$4,1,101-Projects!$C$45+1),0)+IF(AND(Projects!$G$46="Yes",Projects!$M$46="Yes",101&gt;=Projects!$C$46,101&lt;Projects!$C$46+Projects!$D$46),Projects!$B$46*INDEX(Curves!$B$4:$AR$4,1,101-Projects!$C$46+1),0)</f>
        <v>0</v>
      </c>
      <c r="DC101" s="87" t="n">
        <f aca="false">IF(AND(Projects!$G$17="Yes",Projects!$M$17="Yes",102&gt;=Projects!$C$17,102&lt;Projects!$C$17+Projects!$D$17),Projects!$B$17*INDEX(Curves!$B$4:$AR$4,1,102-Projects!$C$17+1),0)+IF(AND(Projects!$G$18="Yes",Projects!$M$18="Yes",102&gt;=Projects!$C$18,102&lt;Projects!$C$18+Projects!$D$18),Projects!$B$18*INDEX(Curves!$B$4:$AR$4,1,102-Projects!$C$18+1),0)+IF(AND(Projects!$G$19="Yes",Projects!$M$19="Yes",102&gt;=Projects!$C$19,102&lt;Projects!$C$19+Projects!$D$19),Projects!$B$19*INDEX(Curves!$B$4:$AR$4,1,102-Projects!$C$19+1),0)+IF(AND(Projects!$G$20="Yes",Projects!$M$20="Yes",102&gt;=Projects!$C$20,102&lt;Projects!$C$20+Projects!$D$20),Projects!$B$20*INDEX(Curves!$B$4:$AR$4,1,102-Projects!$C$20+1),0)+IF(AND(Projects!$G$21="Yes",Projects!$M$21="Yes",102&gt;=Projects!$C$21,102&lt;Projects!$C$21+Projects!$D$21),Projects!$B$21*INDEX(Curves!$B$4:$AR$4,1,102-Projects!$C$21+1),0)+IF(AND(Projects!$G$22="Yes",Projects!$M$22="Yes",102&gt;=Projects!$C$22,102&lt;Projects!$C$22+Projects!$D$22),Projects!$B$22*INDEX(Curves!$B$4:$AR$4,1,102-Projects!$C$22+1),0)+IF(AND(Projects!$G$23="Yes",Projects!$M$23="Yes",102&gt;=Projects!$C$23,102&lt;Projects!$C$23+Projects!$D$23),Projects!$B$23*INDEX(Curves!$B$4:$AR$4,1,102-Projects!$C$23+1),0)+IF(AND(Projects!$G$24="Yes",Projects!$M$24="Yes",102&gt;=Projects!$C$24,102&lt;Projects!$C$24+Projects!$D$24),Projects!$B$24*INDEX(Curves!$B$4:$AR$4,1,102-Projects!$C$24+1),0)+IF(AND(Projects!$G$25="Yes",Projects!$M$25="Yes",102&gt;=Projects!$C$25,102&lt;Projects!$C$25+Projects!$D$25),Projects!$B$25*INDEX(Curves!$B$4:$AR$4,1,102-Projects!$C$25+1),0)+IF(AND(Projects!$G$26="Yes",Projects!$M$26="Yes",102&gt;=Projects!$C$26,102&lt;Projects!$C$26+Projects!$D$26),Projects!$B$26*INDEX(Curves!$B$4:$AR$4,1,102-Projects!$C$26+1),0)+IF(AND(Projects!$G$27="Yes",Projects!$M$27="Yes",102&gt;=Projects!$C$27,102&lt;Projects!$C$27+Projects!$D$27),Projects!$B$27*INDEX(Curves!$B$4:$AR$4,1,102-Projects!$C$27+1),0)+IF(AND(Projects!$G$28="Yes",Projects!$M$28="Yes",102&gt;=Projects!$C$28,102&lt;Projects!$C$28+Projects!$D$28),Projects!$B$28*INDEX(Curves!$B$4:$AR$4,1,102-Projects!$C$28+1),0)+IF(AND(Projects!$G$29="Yes",Projects!$M$29="Yes",102&gt;=Projects!$C$29,102&lt;Projects!$C$29+Projects!$D$29),Projects!$B$29*INDEX(Curves!$B$4:$AR$4,1,102-Projects!$C$29+1),0)+IF(AND(Projects!$G$30="Yes",Projects!$M$30="Yes",102&gt;=Projects!$C$30,102&lt;Projects!$C$30+Projects!$D$30),Projects!$B$30*INDEX(Curves!$B$4:$AR$4,1,102-Projects!$C$30+1),0)+IF(AND(Projects!$G$31="Yes",Projects!$M$31="Yes",102&gt;=Projects!$C$31,102&lt;Projects!$C$31+Projects!$D$31),Projects!$B$31*INDEX(Curves!$B$4:$AR$4,1,102-Projects!$C$31+1),0)+IF(AND(Projects!$G$32="Yes",Projects!$M$32="Yes",102&gt;=Projects!$C$32,102&lt;Projects!$C$32+Projects!$D$32),Projects!$B$32*INDEX(Curves!$B$4:$AR$4,1,102-Projects!$C$32+1),0)+IF(AND(Projects!$G$33="Yes",Projects!$M$33="Yes",102&gt;=Projects!$C$33,102&lt;Projects!$C$33+Projects!$D$33),Projects!$B$33*INDEX(Curves!$B$4:$AR$4,1,102-Projects!$C$33+1),0)+IF(AND(Projects!$G$34="Yes",Projects!$M$34="Yes",102&gt;=Projects!$C$34,102&lt;Projects!$C$34+Projects!$D$34),Projects!$B$34*INDEX(Curves!$B$4:$AR$4,1,102-Projects!$C$34+1),0)+IF(AND(Projects!$G$35="Yes",Projects!$M$35="Yes",102&gt;=Projects!$C$35,102&lt;Projects!$C$35+Projects!$D$35),Projects!$B$35*INDEX(Curves!$B$4:$AR$4,1,102-Projects!$C$35+1),0)+IF(AND(Projects!$G$36="Yes",Projects!$M$36="Yes",102&gt;=Projects!$C$36,102&lt;Projects!$C$36+Projects!$D$36),Projects!$B$36*INDEX(Curves!$B$4:$AR$4,1,102-Projects!$C$36+1),0)+IF(AND(Projects!$G$37="Yes",Projects!$M$37="Yes",102&gt;=Projects!$C$37,102&lt;Projects!$C$37+Projects!$D$37),Projects!$B$37*INDEX(Curves!$B$4:$AR$4,1,102-Projects!$C$37+1),0)+IF(AND(Projects!$G$38="Yes",Projects!$M$38="Yes",102&gt;=Projects!$C$38,102&lt;Projects!$C$38+Projects!$D$38),Projects!$B$38*INDEX(Curves!$B$4:$AR$4,1,102-Projects!$C$38+1),0)+IF(AND(Projects!$G$39="Yes",Projects!$M$39="Yes",102&gt;=Projects!$C$39,102&lt;Projects!$C$39+Projects!$D$39),Projects!$B$39*INDEX(Curves!$B$4:$AR$4,1,102-Projects!$C$39+1),0)+IF(AND(Projects!$G$40="Yes",Projects!$M$40="Yes",102&gt;=Projects!$C$40,102&lt;Projects!$C$40+Projects!$D$40),Projects!$B$40*INDEX(Curves!$B$4:$AR$4,1,102-Projects!$C$40+1),0)+IF(AND(Projects!$G$41="Yes",Projects!$M$41="Yes",102&gt;=Projects!$C$41,102&lt;Projects!$C$41+Projects!$D$41),Projects!$B$41*INDEX(Curves!$B$4:$AR$4,1,102-Projects!$C$41+1),0)+IF(AND(Projects!$G$42="Yes",Projects!$M$42="Yes",102&gt;=Projects!$C$42,102&lt;Projects!$C$42+Projects!$D$42),Projects!$B$42*INDEX(Curves!$B$4:$AR$4,1,102-Projects!$C$42+1),0)+IF(AND(Projects!$G$43="Yes",Projects!$M$43="Yes",102&gt;=Projects!$C$43,102&lt;Projects!$C$43+Projects!$D$43),Projects!$B$43*INDEX(Curves!$B$4:$AR$4,1,102-Projects!$C$43+1),0)+IF(AND(Projects!$G$44="Yes",Projects!$M$44="Yes",102&gt;=Projects!$C$44,102&lt;Projects!$C$44+Projects!$D$44),Projects!$B$44*INDEX(Curves!$B$4:$AR$4,1,102-Projects!$C$44+1),0)+IF(AND(Projects!$G$45="Yes",Projects!$M$45="Yes",102&gt;=Projects!$C$45,102&lt;Projects!$C$45+Projects!$D$45),Projects!$B$45*INDEX(Curves!$B$4:$AR$4,1,102-Projects!$C$45+1),0)+IF(AND(Projects!$G$46="Yes",Projects!$M$46="Yes",102&gt;=Projects!$C$46,102&lt;Projects!$C$46+Projects!$D$46),Projects!$B$46*INDEX(Curves!$B$4:$AR$4,1,102-Projects!$C$46+1),0)</f>
        <v>0</v>
      </c>
      <c r="DD101" s="87" t="n">
        <f aca="false">IF(AND(Projects!$G$17="Yes",Projects!$M$17="Yes",103&gt;=Projects!$C$17,103&lt;Projects!$C$17+Projects!$D$17),Projects!$B$17*INDEX(Curves!$B$4:$AR$4,1,103-Projects!$C$17+1),0)+IF(AND(Projects!$G$18="Yes",Projects!$M$18="Yes",103&gt;=Projects!$C$18,103&lt;Projects!$C$18+Projects!$D$18),Projects!$B$18*INDEX(Curves!$B$4:$AR$4,1,103-Projects!$C$18+1),0)+IF(AND(Projects!$G$19="Yes",Projects!$M$19="Yes",103&gt;=Projects!$C$19,103&lt;Projects!$C$19+Projects!$D$19),Projects!$B$19*INDEX(Curves!$B$4:$AR$4,1,103-Projects!$C$19+1),0)+IF(AND(Projects!$G$20="Yes",Projects!$M$20="Yes",103&gt;=Projects!$C$20,103&lt;Projects!$C$20+Projects!$D$20),Projects!$B$20*INDEX(Curves!$B$4:$AR$4,1,103-Projects!$C$20+1),0)+IF(AND(Projects!$G$21="Yes",Projects!$M$21="Yes",103&gt;=Projects!$C$21,103&lt;Projects!$C$21+Projects!$D$21),Projects!$B$21*INDEX(Curves!$B$4:$AR$4,1,103-Projects!$C$21+1),0)+IF(AND(Projects!$G$22="Yes",Projects!$M$22="Yes",103&gt;=Projects!$C$22,103&lt;Projects!$C$22+Projects!$D$22),Projects!$B$22*INDEX(Curves!$B$4:$AR$4,1,103-Projects!$C$22+1),0)+IF(AND(Projects!$G$23="Yes",Projects!$M$23="Yes",103&gt;=Projects!$C$23,103&lt;Projects!$C$23+Projects!$D$23),Projects!$B$23*INDEX(Curves!$B$4:$AR$4,1,103-Projects!$C$23+1),0)+IF(AND(Projects!$G$24="Yes",Projects!$M$24="Yes",103&gt;=Projects!$C$24,103&lt;Projects!$C$24+Projects!$D$24),Projects!$B$24*INDEX(Curves!$B$4:$AR$4,1,103-Projects!$C$24+1),0)+IF(AND(Projects!$G$25="Yes",Projects!$M$25="Yes",103&gt;=Projects!$C$25,103&lt;Projects!$C$25+Projects!$D$25),Projects!$B$25*INDEX(Curves!$B$4:$AR$4,1,103-Projects!$C$25+1),0)+IF(AND(Projects!$G$26="Yes",Projects!$M$26="Yes",103&gt;=Projects!$C$26,103&lt;Projects!$C$26+Projects!$D$26),Projects!$B$26*INDEX(Curves!$B$4:$AR$4,1,103-Projects!$C$26+1),0)+IF(AND(Projects!$G$27="Yes",Projects!$M$27="Yes",103&gt;=Projects!$C$27,103&lt;Projects!$C$27+Projects!$D$27),Projects!$B$27*INDEX(Curves!$B$4:$AR$4,1,103-Projects!$C$27+1),0)+IF(AND(Projects!$G$28="Yes",Projects!$M$28="Yes",103&gt;=Projects!$C$28,103&lt;Projects!$C$28+Projects!$D$28),Projects!$B$28*INDEX(Curves!$B$4:$AR$4,1,103-Projects!$C$28+1),0)+IF(AND(Projects!$G$29="Yes",Projects!$M$29="Yes",103&gt;=Projects!$C$29,103&lt;Projects!$C$29+Projects!$D$29),Projects!$B$29*INDEX(Curves!$B$4:$AR$4,1,103-Projects!$C$29+1),0)+IF(AND(Projects!$G$30="Yes",Projects!$M$30="Yes",103&gt;=Projects!$C$30,103&lt;Projects!$C$30+Projects!$D$30),Projects!$B$30*INDEX(Curves!$B$4:$AR$4,1,103-Projects!$C$30+1),0)+IF(AND(Projects!$G$31="Yes",Projects!$M$31="Yes",103&gt;=Projects!$C$31,103&lt;Projects!$C$31+Projects!$D$31),Projects!$B$31*INDEX(Curves!$B$4:$AR$4,1,103-Projects!$C$31+1),0)+IF(AND(Projects!$G$32="Yes",Projects!$M$32="Yes",103&gt;=Projects!$C$32,103&lt;Projects!$C$32+Projects!$D$32),Projects!$B$32*INDEX(Curves!$B$4:$AR$4,1,103-Projects!$C$32+1),0)+IF(AND(Projects!$G$33="Yes",Projects!$M$33="Yes",103&gt;=Projects!$C$33,103&lt;Projects!$C$33+Projects!$D$33),Projects!$B$33*INDEX(Curves!$B$4:$AR$4,1,103-Projects!$C$33+1),0)+IF(AND(Projects!$G$34="Yes",Projects!$M$34="Yes",103&gt;=Projects!$C$34,103&lt;Projects!$C$34+Projects!$D$34),Projects!$B$34*INDEX(Curves!$B$4:$AR$4,1,103-Projects!$C$34+1),0)+IF(AND(Projects!$G$35="Yes",Projects!$M$35="Yes",103&gt;=Projects!$C$35,103&lt;Projects!$C$35+Projects!$D$35),Projects!$B$35*INDEX(Curves!$B$4:$AR$4,1,103-Projects!$C$35+1),0)+IF(AND(Projects!$G$36="Yes",Projects!$M$36="Yes",103&gt;=Projects!$C$36,103&lt;Projects!$C$36+Projects!$D$36),Projects!$B$36*INDEX(Curves!$B$4:$AR$4,1,103-Projects!$C$36+1),0)+IF(AND(Projects!$G$37="Yes",Projects!$M$37="Yes",103&gt;=Projects!$C$37,103&lt;Projects!$C$37+Projects!$D$37),Projects!$B$37*INDEX(Curves!$B$4:$AR$4,1,103-Projects!$C$37+1),0)+IF(AND(Projects!$G$38="Yes",Projects!$M$38="Yes",103&gt;=Projects!$C$38,103&lt;Projects!$C$38+Projects!$D$38),Projects!$B$38*INDEX(Curves!$B$4:$AR$4,1,103-Projects!$C$38+1),0)+IF(AND(Projects!$G$39="Yes",Projects!$M$39="Yes",103&gt;=Projects!$C$39,103&lt;Projects!$C$39+Projects!$D$39),Projects!$B$39*INDEX(Curves!$B$4:$AR$4,1,103-Projects!$C$39+1),0)+IF(AND(Projects!$G$40="Yes",Projects!$M$40="Yes",103&gt;=Projects!$C$40,103&lt;Projects!$C$40+Projects!$D$40),Projects!$B$40*INDEX(Curves!$B$4:$AR$4,1,103-Projects!$C$40+1),0)+IF(AND(Projects!$G$41="Yes",Projects!$M$41="Yes",103&gt;=Projects!$C$41,103&lt;Projects!$C$41+Projects!$D$41),Projects!$B$41*INDEX(Curves!$B$4:$AR$4,1,103-Projects!$C$41+1),0)+IF(AND(Projects!$G$42="Yes",Projects!$M$42="Yes",103&gt;=Projects!$C$42,103&lt;Projects!$C$42+Projects!$D$42),Projects!$B$42*INDEX(Curves!$B$4:$AR$4,1,103-Projects!$C$42+1),0)+IF(AND(Projects!$G$43="Yes",Projects!$M$43="Yes",103&gt;=Projects!$C$43,103&lt;Projects!$C$43+Projects!$D$43),Projects!$B$43*INDEX(Curves!$B$4:$AR$4,1,103-Projects!$C$43+1),0)+IF(AND(Projects!$G$44="Yes",Projects!$M$44="Yes",103&gt;=Projects!$C$44,103&lt;Projects!$C$44+Projects!$D$44),Projects!$B$44*INDEX(Curves!$B$4:$AR$4,1,103-Projects!$C$44+1),0)+IF(AND(Projects!$G$45="Yes",Projects!$M$45="Yes",103&gt;=Projects!$C$45,103&lt;Projects!$C$45+Projects!$D$45),Projects!$B$45*INDEX(Curves!$B$4:$AR$4,1,103-Projects!$C$45+1),0)+IF(AND(Projects!$G$46="Yes",Projects!$M$46="Yes",103&gt;=Projects!$C$46,103&lt;Projects!$C$46+Projects!$D$46),Projects!$B$46*INDEX(Curves!$B$4:$AR$4,1,103-Projects!$C$46+1),0)</f>
        <v>0</v>
      </c>
      <c r="DE101" s="87" t="n">
        <f aca="false">IF(AND(Projects!$G$17="Yes",Projects!$M$17="Yes",104&gt;=Projects!$C$17,104&lt;Projects!$C$17+Projects!$D$17),Projects!$B$17*INDEX(Curves!$B$4:$AR$4,1,104-Projects!$C$17+1),0)+IF(AND(Projects!$G$18="Yes",Projects!$M$18="Yes",104&gt;=Projects!$C$18,104&lt;Projects!$C$18+Projects!$D$18),Projects!$B$18*INDEX(Curves!$B$4:$AR$4,1,104-Projects!$C$18+1),0)+IF(AND(Projects!$G$19="Yes",Projects!$M$19="Yes",104&gt;=Projects!$C$19,104&lt;Projects!$C$19+Projects!$D$19),Projects!$B$19*INDEX(Curves!$B$4:$AR$4,1,104-Projects!$C$19+1),0)+IF(AND(Projects!$G$20="Yes",Projects!$M$20="Yes",104&gt;=Projects!$C$20,104&lt;Projects!$C$20+Projects!$D$20),Projects!$B$20*INDEX(Curves!$B$4:$AR$4,1,104-Projects!$C$20+1),0)+IF(AND(Projects!$G$21="Yes",Projects!$M$21="Yes",104&gt;=Projects!$C$21,104&lt;Projects!$C$21+Projects!$D$21),Projects!$B$21*INDEX(Curves!$B$4:$AR$4,1,104-Projects!$C$21+1),0)+IF(AND(Projects!$G$22="Yes",Projects!$M$22="Yes",104&gt;=Projects!$C$22,104&lt;Projects!$C$22+Projects!$D$22),Projects!$B$22*INDEX(Curves!$B$4:$AR$4,1,104-Projects!$C$22+1),0)+IF(AND(Projects!$G$23="Yes",Projects!$M$23="Yes",104&gt;=Projects!$C$23,104&lt;Projects!$C$23+Projects!$D$23),Projects!$B$23*INDEX(Curves!$B$4:$AR$4,1,104-Projects!$C$23+1),0)+IF(AND(Projects!$G$24="Yes",Projects!$M$24="Yes",104&gt;=Projects!$C$24,104&lt;Projects!$C$24+Projects!$D$24),Projects!$B$24*INDEX(Curves!$B$4:$AR$4,1,104-Projects!$C$24+1),0)+IF(AND(Projects!$G$25="Yes",Projects!$M$25="Yes",104&gt;=Projects!$C$25,104&lt;Projects!$C$25+Projects!$D$25),Projects!$B$25*INDEX(Curves!$B$4:$AR$4,1,104-Projects!$C$25+1),0)+IF(AND(Projects!$G$26="Yes",Projects!$M$26="Yes",104&gt;=Projects!$C$26,104&lt;Projects!$C$26+Projects!$D$26),Projects!$B$26*INDEX(Curves!$B$4:$AR$4,1,104-Projects!$C$26+1),0)+IF(AND(Projects!$G$27="Yes",Projects!$M$27="Yes",104&gt;=Projects!$C$27,104&lt;Projects!$C$27+Projects!$D$27),Projects!$B$27*INDEX(Curves!$B$4:$AR$4,1,104-Projects!$C$27+1),0)+IF(AND(Projects!$G$28="Yes",Projects!$M$28="Yes",104&gt;=Projects!$C$28,104&lt;Projects!$C$28+Projects!$D$28),Projects!$B$28*INDEX(Curves!$B$4:$AR$4,1,104-Projects!$C$28+1),0)+IF(AND(Projects!$G$29="Yes",Projects!$M$29="Yes",104&gt;=Projects!$C$29,104&lt;Projects!$C$29+Projects!$D$29),Projects!$B$29*INDEX(Curves!$B$4:$AR$4,1,104-Projects!$C$29+1),0)+IF(AND(Projects!$G$30="Yes",Projects!$M$30="Yes",104&gt;=Projects!$C$30,104&lt;Projects!$C$30+Projects!$D$30),Projects!$B$30*INDEX(Curves!$B$4:$AR$4,1,104-Projects!$C$30+1),0)+IF(AND(Projects!$G$31="Yes",Projects!$M$31="Yes",104&gt;=Projects!$C$31,104&lt;Projects!$C$31+Projects!$D$31),Projects!$B$31*INDEX(Curves!$B$4:$AR$4,1,104-Projects!$C$31+1),0)+IF(AND(Projects!$G$32="Yes",Projects!$M$32="Yes",104&gt;=Projects!$C$32,104&lt;Projects!$C$32+Projects!$D$32),Projects!$B$32*INDEX(Curves!$B$4:$AR$4,1,104-Projects!$C$32+1),0)+IF(AND(Projects!$G$33="Yes",Projects!$M$33="Yes",104&gt;=Projects!$C$33,104&lt;Projects!$C$33+Projects!$D$33),Projects!$B$33*INDEX(Curves!$B$4:$AR$4,1,104-Projects!$C$33+1),0)+IF(AND(Projects!$G$34="Yes",Projects!$M$34="Yes",104&gt;=Projects!$C$34,104&lt;Projects!$C$34+Projects!$D$34),Projects!$B$34*INDEX(Curves!$B$4:$AR$4,1,104-Projects!$C$34+1),0)+IF(AND(Projects!$G$35="Yes",Projects!$M$35="Yes",104&gt;=Projects!$C$35,104&lt;Projects!$C$35+Projects!$D$35),Projects!$B$35*INDEX(Curves!$B$4:$AR$4,1,104-Projects!$C$35+1),0)+IF(AND(Projects!$G$36="Yes",Projects!$M$36="Yes",104&gt;=Projects!$C$36,104&lt;Projects!$C$36+Projects!$D$36),Projects!$B$36*INDEX(Curves!$B$4:$AR$4,1,104-Projects!$C$36+1),0)+IF(AND(Projects!$G$37="Yes",Projects!$M$37="Yes",104&gt;=Projects!$C$37,104&lt;Projects!$C$37+Projects!$D$37),Projects!$B$37*INDEX(Curves!$B$4:$AR$4,1,104-Projects!$C$37+1),0)+IF(AND(Projects!$G$38="Yes",Projects!$M$38="Yes",104&gt;=Projects!$C$38,104&lt;Projects!$C$38+Projects!$D$38),Projects!$B$38*INDEX(Curves!$B$4:$AR$4,1,104-Projects!$C$38+1),0)+IF(AND(Projects!$G$39="Yes",Projects!$M$39="Yes",104&gt;=Projects!$C$39,104&lt;Projects!$C$39+Projects!$D$39),Projects!$B$39*INDEX(Curves!$B$4:$AR$4,1,104-Projects!$C$39+1),0)+IF(AND(Projects!$G$40="Yes",Projects!$M$40="Yes",104&gt;=Projects!$C$40,104&lt;Projects!$C$40+Projects!$D$40),Projects!$B$40*INDEX(Curves!$B$4:$AR$4,1,104-Projects!$C$40+1),0)+IF(AND(Projects!$G$41="Yes",Projects!$M$41="Yes",104&gt;=Projects!$C$41,104&lt;Projects!$C$41+Projects!$D$41),Projects!$B$41*INDEX(Curves!$B$4:$AR$4,1,104-Projects!$C$41+1),0)+IF(AND(Projects!$G$42="Yes",Projects!$M$42="Yes",104&gt;=Projects!$C$42,104&lt;Projects!$C$42+Projects!$D$42),Projects!$B$42*INDEX(Curves!$B$4:$AR$4,1,104-Projects!$C$42+1),0)+IF(AND(Projects!$G$43="Yes",Projects!$M$43="Yes",104&gt;=Projects!$C$43,104&lt;Projects!$C$43+Projects!$D$43),Projects!$B$43*INDEX(Curves!$B$4:$AR$4,1,104-Projects!$C$43+1),0)+IF(AND(Projects!$G$44="Yes",Projects!$M$44="Yes",104&gt;=Projects!$C$44,104&lt;Projects!$C$44+Projects!$D$44),Projects!$B$44*INDEX(Curves!$B$4:$AR$4,1,104-Projects!$C$44+1),0)+IF(AND(Projects!$G$45="Yes",Projects!$M$45="Yes",104&gt;=Projects!$C$45,104&lt;Projects!$C$45+Projects!$D$45),Projects!$B$45*INDEX(Curves!$B$4:$AR$4,1,104-Projects!$C$45+1),0)+IF(AND(Projects!$G$46="Yes",Projects!$M$46="Yes",104&gt;=Projects!$C$46,104&lt;Projects!$C$46+Projects!$D$46),Projects!$B$46*INDEX(Curves!$B$4:$AR$4,1,104-Projects!$C$46+1),0)</f>
        <v>0</v>
      </c>
      <c r="DF101" s="87" t="n">
        <f aca="false">IF(AND(Projects!$G$17="Yes",Projects!$M$17="Yes",105&gt;=Projects!$C$17,105&lt;Projects!$C$17+Projects!$D$17),Projects!$B$17*INDEX(Curves!$B$4:$AR$4,1,105-Projects!$C$17+1),0)+IF(AND(Projects!$G$18="Yes",Projects!$M$18="Yes",105&gt;=Projects!$C$18,105&lt;Projects!$C$18+Projects!$D$18),Projects!$B$18*INDEX(Curves!$B$4:$AR$4,1,105-Projects!$C$18+1),0)+IF(AND(Projects!$G$19="Yes",Projects!$M$19="Yes",105&gt;=Projects!$C$19,105&lt;Projects!$C$19+Projects!$D$19),Projects!$B$19*INDEX(Curves!$B$4:$AR$4,1,105-Projects!$C$19+1),0)+IF(AND(Projects!$G$20="Yes",Projects!$M$20="Yes",105&gt;=Projects!$C$20,105&lt;Projects!$C$20+Projects!$D$20),Projects!$B$20*INDEX(Curves!$B$4:$AR$4,1,105-Projects!$C$20+1),0)+IF(AND(Projects!$G$21="Yes",Projects!$M$21="Yes",105&gt;=Projects!$C$21,105&lt;Projects!$C$21+Projects!$D$21),Projects!$B$21*INDEX(Curves!$B$4:$AR$4,1,105-Projects!$C$21+1),0)+IF(AND(Projects!$G$22="Yes",Projects!$M$22="Yes",105&gt;=Projects!$C$22,105&lt;Projects!$C$22+Projects!$D$22),Projects!$B$22*INDEX(Curves!$B$4:$AR$4,1,105-Projects!$C$22+1),0)+IF(AND(Projects!$G$23="Yes",Projects!$M$23="Yes",105&gt;=Projects!$C$23,105&lt;Projects!$C$23+Projects!$D$23),Projects!$B$23*INDEX(Curves!$B$4:$AR$4,1,105-Projects!$C$23+1),0)+IF(AND(Projects!$G$24="Yes",Projects!$M$24="Yes",105&gt;=Projects!$C$24,105&lt;Projects!$C$24+Projects!$D$24),Projects!$B$24*INDEX(Curves!$B$4:$AR$4,1,105-Projects!$C$24+1),0)+IF(AND(Projects!$G$25="Yes",Projects!$M$25="Yes",105&gt;=Projects!$C$25,105&lt;Projects!$C$25+Projects!$D$25),Projects!$B$25*INDEX(Curves!$B$4:$AR$4,1,105-Projects!$C$25+1),0)+IF(AND(Projects!$G$26="Yes",Projects!$M$26="Yes",105&gt;=Projects!$C$26,105&lt;Projects!$C$26+Projects!$D$26),Projects!$B$26*INDEX(Curves!$B$4:$AR$4,1,105-Projects!$C$26+1),0)+IF(AND(Projects!$G$27="Yes",Projects!$M$27="Yes",105&gt;=Projects!$C$27,105&lt;Projects!$C$27+Projects!$D$27),Projects!$B$27*INDEX(Curves!$B$4:$AR$4,1,105-Projects!$C$27+1),0)+IF(AND(Projects!$G$28="Yes",Projects!$M$28="Yes",105&gt;=Projects!$C$28,105&lt;Projects!$C$28+Projects!$D$28),Projects!$B$28*INDEX(Curves!$B$4:$AR$4,1,105-Projects!$C$28+1),0)+IF(AND(Projects!$G$29="Yes",Projects!$M$29="Yes",105&gt;=Projects!$C$29,105&lt;Projects!$C$29+Projects!$D$29),Projects!$B$29*INDEX(Curves!$B$4:$AR$4,1,105-Projects!$C$29+1),0)+IF(AND(Projects!$G$30="Yes",Projects!$M$30="Yes",105&gt;=Projects!$C$30,105&lt;Projects!$C$30+Projects!$D$30),Projects!$B$30*INDEX(Curves!$B$4:$AR$4,1,105-Projects!$C$30+1),0)+IF(AND(Projects!$G$31="Yes",Projects!$M$31="Yes",105&gt;=Projects!$C$31,105&lt;Projects!$C$31+Projects!$D$31),Projects!$B$31*INDEX(Curves!$B$4:$AR$4,1,105-Projects!$C$31+1),0)+IF(AND(Projects!$G$32="Yes",Projects!$M$32="Yes",105&gt;=Projects!$C$32,105&lt;Projects!$C$32+Projects!$D$32),Projects!$B$32*INDEX(Curves!$B$4:$AR$4,1,105-Projects!$C$32+1),0)+IF(AND(Projects!$G$33="Yes",Projects!$M$33="Yes",105&gt;=Projects!$C$33,105&lt;Projects!$C$33+Projects!$D$33),Projects!$B$33*INDEX(Curves!$B$4:$AR$4,1,105-Projects!$C$33+1),0)+IF(AND(Projects!$G$34="Yes",Projects!$M$34="Yes",105&gt;=Projects!$C$34,105&lt;Projects!$C$34+Projects!$D$34),Projects!$B$34*INDEX(Curves!$B$4:$AR$4,1,105-Projects!$C$34+1),0)+IF(AND(Projects!$G$35="Yes",Projects!$M$35="Yes",105&gt;=Projects!$C$35,105&lt;Projects!$C$35+Projects!$D$35),Projects!$B$35*INDEX(Curves!$B$4:$AR$4,1,105-Projects!$C$35+1),0)+IF(AND(Projects!$G$36="Yes",Projects!$M$36="Yes",105&gt;=Projects!$C$36,105&lt;Projects!$C$36+Projects!$D$36),Projects!$B$36*INDEX(Curves!$B$4:$AR$4,1,105-Projects!$C$36+1),0)+IF(AND(Projects!$G$37="Yes",Projects!$M$37="Yes",105&gt;=Projects!$C$37,105&lt;Projects!$C$37+Projects!$D$37),Projects!$B$37*INDEX(Curves!$B$4:$AR$4,1,105-Projects!$C$37+1),0)+IF(AND(Projects!$G$38="Yes",Projects!$M$38="Yes",105&gt;=Projects!$C$38,105&lt;Projects!$C$38+Projects!$D$38),Projects!$B$38*INDEX(Curves!$B$4:$AR$4,1,105-Projects!$C$38+1),0)+IF(AND(Projects!$G$39="Yes",Projects!$M$39="Yes",105&gt;=Projects!$C$39,105&lt;Projects!$C$39+Projects!$D$39),Projects!$B$39*INDEX(Curves!$B$4:$AR$4,1,105-Projects!$C$39+1),0)+IF(AND(Projects!$G$40="Yes",Projects!$M$40="Yes",105&gt;=Projects!$C$40,105&lt;Projects!$C$40+Projects!$D$40),Projects!$B$40*INDEX(Curves!$B$4:$AR$4,1,105-Projects!$C$40+1),0)+IF(AND(Projects!$G$41="Yes",Projects!$M$41="Yes",105&gt;=Projects!$C$41,105&lt;Projects!$C$41+Projects!$D$41),Projects!$B$41*INDEX(Curves!$B$4:$AR$4,1,105-Projects!$C$41+1),0)+IF(AND(Projects!$G$42="Yes",Projects!$M$42="Yes",105&gt;=Projects!$C$42,105&lt;Projects!$C$42+Projects!$D$42),Projects!$B$42*INDEX(Curves!$B$4:$AR$4,1,105-Projects!$C$42+1),0)+IF(AND(Projects!$G$43="Yes",Projects!$M$43="Yes",105&gt;=Projects!$C$43,105&lt;Projects!$C$43+Projects!$D$43),Projects!$B$43*INDEX(Curves!$B$4:$AR$4,1,105-Projects!$C$43+1),0)+IF(AND(Projects!$G$44="Yes",Projects!$M$44="Yes",105&gt;=Projects!$C$44,105&lt;Projects!$C$44+Projects!$D$44),Projects!$B$44*INDEX(Curves!$B$4:$AR$4,1,105-Projects!$C$44+1),0)+IF(AND(Projects!$G$45="Yes",Projects!$M$45="Yes",105&gt;=Projects!$C$45,105&lt;Projects!$C$45+Projects!$D$45),Projects!$B$45*INDEX(Curves!$B$4:$AR$4,1,105-Projects!$C$45+1),0)+IF(AND(Projects!$G$46="Yes",Projects!$M$46="Yes",105&gt;=Projects!$C$46,105&lt;Projects!$C$46+Projects!$D$46),Projects!$B$46*INDEX(Curves!$B$4:$AR$4,1,105-Projects!$C$46+1)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6"/>
    <col collapsed="false" customWidth="true" hidden="false" outlineLevel="0" max="86" min="5" style="1" width="12"/>
  </cols>
  <sheetData>
    <row r="1" customFormat="false" ht="15.75" hidden="false" customHeight="true" outlineLevel="0" collapsed="false">
      <c r="A1" s="304" t="s">
        <v>848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</row>
    <row r="2" customFormat="false" ht="15" hidden="false" customHeight="true" outlineLevel="0" collapsed="false">
      <c r="A2" s="140"/>
      <c r="B2" s="140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/>
      <c r="CB2" s="305"/>
      <c r="CC2" s="305"/>
      <c r="CD2" s="305"/>
      <c r="CE2" s="305"/>
      <c r="CF2" s="305"/>
      <c r="CG2" s="305"/>
      <c r="CH2" s="305"/>
    </row>
    <row r="3" customFormat="false" ht="15" hidden="false" customHeight="true" outlineLevel="0" collapsed="false">
      <c r="A3" s="306"/>
      <c r="B3" s="307" t="s">
        <v>849</v>
      </c>
      <c r="C3" s="307" t="s">
        <v>850</v>
      </c>
      <c r="D3" s="307" t="s">
        <v>851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</row>
    <row r="4" customFormat="false" ht="15" hidden="false" customHeight="true" outlineLevel="0" collapsed="false">
      <c r="A4" s="140"/>
      <c r="B4" s="208"/>
      <c r="C4" s="208"/>
      <c r="D4" s="208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</row>
    <row r="5" customFormat="false" ht="15" hidden="false" customHeight="true" outlineLevel="0" collapsed="false">
      <c r="A5" s="308" t="s">
        <v>12</v>
      </c>
      <c r="B5" s="309"/>
      <c r="C5" s="309"/>
      <c r="D5" s="309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</row>
    <row r="6" customFormat="false" ht="15" hidden="false" customHeight="true" outlineLevel="0" collapsed="false">
      <c r="A6" s="310" t="s">
        <v>852</v>
      </c>
      <c r="B6" s="311" t="n">
        <f aca="false">SUM(Model!E162:CG162)</f>
        <v>987482</v>
      </c>
      <c r="C6" s="311" t="n">
        <f aca="false">Helpers!B47</f>
        <v>1988974</v>
      </c>
      <c r="D6" s="311" t="n">
        <f aca="false">B6+C6</f>
        <v>2976456</v>
      </c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</row>
    <row r="7" customFormat="false" ht="15" hidden="false" customHeight="true" outlineLevel="0" collapsed="false">
      <c r="A7" s="140" t="s">
        <v>853</v>
      </c>
      <c r="B7" s="208" t="n">
        <f aca="false">-Projects!$B$7*Assumptions!$B$47</f>
        <v>-427947.65</v>
      </c>
      <c r="C7" s="208" t="n">
        <v>0</v>
      </c>
      <c r="D7" s="208" t="n">
        <f aca="false">B7+C7</f>
        <v>-427947.65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</row>
    <row r="8" customFormat="false" ht="15" hidden="false" customHeight="true" outlineLevel="0" collapsed="false">
      <c r="A8" s="310" t="s">
        <v>854</v>
      </c>
      <c r="B8" s="311" t="n">
        <f aca="false">-Assumptions!$B$53*Assumptions!$B$48</f>
        <v>-150000</v>
      </c>
      <c r="C8" s="311" t="n">
        <v>0</v>
      </c>
      <c r="D8" s="311" t="n">
        <f aca="false">B8+C8</f>
        <v>-150000</v>
      </c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</row>
    <row r="9" customFormat="false" ht="15" hidden="false" customHeight="true" outlineLevel="0" collapsed="false">
      <c r="A9" s="140" t="s">
        <v>838</v>
      </c>
      <c r="B9" s="208" t="n">
        <v>0</v>
      </c>
      <c r="C9" s="208" t="n">
        <v>0</v>
      </c>
      <c r="D9" s="208" t="n">
        <f aca="false">B9+C9</f>
        <v>0</v>
      </c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</row>
    <row r="10" customFormat="false" ht="15" hidden="false" customHeight="true" outlineLevel="0" collapsed="false">
      <c r="A10" s="217" t="s">
        <v>855</v>
      </c>
      <c r="B10" s="220" t="n">
        <f aca="false">SUM(B6:B9)</f>
        <v>409534.35</v>
      </c>
      <c r="C10" s="220" t="n">
        <f aca="false">SUM(C6:C9)</f>
        <v>1988974</v>
      </c>
      <c r="D10" s="220" t="n">
        <f aca="false">SUM(D6:D9)</f>
        <v>2398508.35</v>
      </c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</row>
    <row r="11" customFormat="false" ht="15" hidden="false" customHeight="true" outlineLevel="0" collapsed="false">
      <c r="A11" s="312"/>
      <c r="B11" s="313"/>
      <c r="C11" s="313"/>
      <c r="D11" s="313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</row>
    <row r="12" customFormat="false" ht="15" hidden="false" customHeight="true" outlineLevel="0" collapsed="false">
      <c r="A12" s="282" t="s">
        <v>856</v>
      </c>
      <c r="B12" s="282"/>
      <c r="C12" s="314"/>
      <c r="D12" s="314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</row>
    <row r="13" customFormat="false" ht="15" hidden="false" customHeight="true" outlineLevel="0" collapsed="false">
      <c r="A13" s="310" t="s">
        <v>852</v>
      </c>
      <c r="B13" s="311" t="n">
        <f aca="false">SUM(Model!E164:CG164)</f>
        <v>219466</v>
      </c>
      <c r="C13" s="311" t="n">
        <f aca="false">Helpers!B48</f>
        <v>2706735</v>
      </c>
      <c r="D13" s="311" t="n">
        <f aca="false">B13+C13</f>
        <v>2926201</v>
      </c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</row>
    <row r="14" customFormat="false" ht="15" hidden="false" customHeight="true" outlineLevel="0" collapsed="false">
      <c r="A14" s="315" t="s">
        <v>853</v>
      </c>
      <c r="B14" s="316" t="n">
        <f aca="false">-Projects!$B$14*Assumptions!$B$47</f>
        <v>-413546.32</v>
      </c>
      <c r="C14" s="316" t="n">
        <v>0</v>
      </c>
      <c r="D14" s="316" t="n">
        <f aca="false">B14+C14</f>
        <v>-413546.32</v>
      </c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</row>
    <row r="15" customFormat="false" ht="15" hidden="false" customHeight="true" outlineLevel="0" collapsed="false">
      <c r="A15" s="310" t="s">
        <v>854</v>
      </c>
      <c r="B15" s="311" t="n">
        <f aca="false">-Assumptions!$B$55*Assumptions!$B$48</f>
        <v>-150000</v>
      </c>
      <c r="C15" s="311" t="n">
        <v>0</v>
      </c>
      <c r="D15" s="311" t="n">
        <f aca="false">B15+C15</f>
        <v>-150000</v>
      </c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</row>
    <row r="16" customFormat="false" ht="15" hidden="false" customHeight="true" outlineLevel="0" collapsed="false">
      <c r="A16" s="315" t="s">
        <v>838</v>
      </c>
      <c r="B16" s="316" t="n">
        <f aca="false">-SUM(Model!E238:CG238)</f>
        <v>-583237.358559202</v>
      </c>
      <c r="C16" s="316" t="n">
        <f aca="false">-Helpers!F93</f>
        <v>-240125.881206445</v>
      </c>
      <c r="D16" s="316" t="n">
        <f aca="false">B16+C16</f>
        <v>-823363.239765647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</row>
    <row r="17" customFormat="false" ht="15" hidden="false" customHeight="true" outlineLevel="0" collapsed="false">
      <c r="A17" s="118" t="s">
        <v>855</v>
      </c>
      <c r="B17" s="209" t="n">
        <f aca="false">SUM(B13:B16)</f>
        <v>-927317.678559202</v>
      </c>
      <c r="C17" s="209" t="n">
        <f aca="false">SUM(C13:C16)</f>
        <v>2466609.11879355</v>
      </c>
      <c r="D17" s="209" t="n">
        <f aca="false">SUM(D13:D16)</f>
        <v>1539291.44023435</v>
      </c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</row>
    <row r="18" customFormat="false" ht="15" hidden="false" customHeight="true" outlineLevel="0" collapsed="false">
      <c r="A18" s="317"/>
      <c r="B18" s="318"/>
      <c r="C18" s="318"/>
      <c r="D18" s="31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</row>
    <row r="19" customFormat="false" ht="15" hidden="false" customHeight="true" outlineLevel="0" collapsed="false">
      <c r="A19" s="319" t="s">
        <v>18</v>
      </c>
      <c r="B19" s="320"/>
      <c r="C19" s="320"/>
      <c r="D19" s="320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</row>
    <row r="20" customFormat="false" ht="15" hidden="false" customHeight="true" outlineLevel="0" collapsed="false">
      <c r="A20" s="321" t="s">
        <v>852</v>
      </c>
      <c r="B20" s="322" t="n">
        <f aca="false">SUM(Model!E163:CG163)</f>
        <v>1599927</v>
      </c>
      <c r="C20" s="322" t="n">
        <f aca="false">Helpers!B49</f>
        <v>2359498</v>
      </c>
      <c r="D20" s="322" t="n">
        <f aca="false">B20+C20</f>
        <v>3959425</v>
      </c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</row>
    <row r="21" customFormat="false" ht="15" hidden="false" customHeight="true" outlineLevel="0" collapsed="false">
      <c r="A21" s="323" t="s">
        <v>853</v>
      </c>
      <c r="B21" s="324" t="n">
        <f aca="false">-Projects!$B$13*Assumptions!$B$47</f>
        <v>-452667.7</v>
      </c>
      <c r="C21" s="324" t="n">
        <v>0</v>
      </c>
      <c r="D21" s="324" t="n">
        <f aca="false">B21+C21</f>
        <v>-452667.7</v>
      </c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</row>
    <row r="22" customFormat="false" ht="15" hidden="false" customHeight="true" outlineLevel="0" collapsed="false">
      <c r="A22" s="321" t="s">
        <v>854</v>
      </c>
      <c r="B22" s="322" t="n">
        <f aca="false">-Assumptions!$B$54*Assumptions!$B$48</f>
        <v>-150000</v>
      </c>
      <c r="C22" s="322" t="n">
        <v>0</v>
      </c>
      <c r="D22" s="322" t="n">
        <f aca="false">B22+C22</f>
        <v>-150000</v>
      </c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8"/>
      <c r="CG22" s="208"/>
      <c r="CH22" s="208"/>
    </row>
    <row r="23" customFormat="false" ht="15" hidden="false" customHeight="true" outlineLevel="0" collapsed="false">
      <c r="A23" s="140" t="s">
        <v>838</v>
      </c>
      <c r="B23" s="208" t="n">
        <f aca="false">-SUM(Model!E243:CG243)</f>
        <v>-735311.322547972</v>
      </c>
      <c r="C23" s="208" t="n">
        <v>0</v>
      </c>
      <c r="D23" s="208" t="n">
        <f aca="false">B23+C23</f>
        <v>-735311.322547972</v>
      </c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</row>
    <row r="24" customFormat="false" ht="15" hidden="false" customHeight="true" outlineLevel="0" collapsed="false">
      <c r="A24" s="222" t="s">
        <v>855</v>
      </c>
      <c r="B24" s="224" t="n">
        <f aca="false">SUM(B20:B23)</f>
        <v>261947.977452028</v>
      </c>
      <c r="C24" s="224" t="n">
        <f aca="false">SUM(C20:C23)</f>
        <v>2359498</v>
      </c>
      <c r="D24" s="224" t="n">
        <f aca="false">SUM(D20:D23)</f>
        <v>2621445.97745203</v>
      </c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</row>
    <row r="25" customFormat="false" ht="15" hidden="false" customHeight="true" outlineLevel="0" collapsed="false">
      <c r="A25" s="300"/>
      <c r="B25" s="325"/>
      <c r="C25" s="325"/>
      <c r="D25" s="325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</row>
    <row r="26" customFormat="false" ht="15" hidden="false" customHeight="true" outlineLevel="0" collapsed="false">
      <c r="A26" s="326" t="s">
        <v>857</v>
      </c>
      <c r="B26" s="327"/>
      <c r="C26" s="327"/>
      <c r="D26" s="327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</row>
    <row r="27" customFormat="false" ht="15" hidden="false" customHeight="true" outlineLevel="0" collapsed="false">
      <c r="A27" s="328" t="s">
        <v>858</v>
      </c>
      <c r="B27" s="329" t="n">
        <f aca="false">B6+B13+B20</f>
        <v>2806875</v>
      </c>
      <c r="C27" s="329" t="n">
        <f aca="false">C6+C13+C20</f>
        <v>7055207</v>
      </c>
      <c r="D27" s="329" t="n">
        <f aca="false">D6+D13+D20</f>
        <v>9862082</v>
      </c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</row>
    <row r="28" customFormat="false" ht="15" hidden="false" customHeight="true" outlineLevel="0" collapsed="false">
      <c r="A28" s="140" t="s">
        <v>859</v>
      </c>
      <c r="B28" s="208" t="n">
        <f aca="false">B7+B14+B21</f>
        <v>-1294161.67</v>
      </c>
      <c r="C28" s="208" t="n">
        <f aca="false">C7+C14+C21</f>
        <v>0</v>
      </c>
      <c r="D28" s="208" t="n">
        <f aca="false">D7+D14+D21</f>
        <v>-1294161.67</v>
      </c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</row>
    <row r="29" customFormat="false" ht="15" hidden="false" customHeight="true" outlineLevel="0" collapsed="false">
      <c r="A29" s="330" t="s">
        <v>860</v>
      </c>
      <c r="B29" s="331" t="n">
        <f aca="false">B8+B15+B22</f>
        <v>-450000</v>
      </c>
      <c r="C29" s="331" t="n">
        <f aca="false">C8+C15+C22</f>
        <v>0</v>
      </c>
      <c r="D29" s="331" t="n">
        <f aca="false">D8+D15+D22</f>
        <v>-450000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</row>
    <row r="30" customFormat="false" ht="15" hidden="false" customHeight="true" outlineLevel="0" collapsed="false">
      <c r="A30" s="332" t="s">
        <v>861</v>
      </c>
      <c r="B30" s="333" t="n">
        <f aca="false">B9+B16+B23</f>
        <v>-1318548.68110717</v>
      </c>
      <c r="C30" s="333" t="n">
        <f aca="false">C9+C16+C23</f>
        <v>-240125.881206445</v>
      </c>
      <c r="D30" s="333" t="n">
        <f aca="false">D9+D16+D23</f>
        <v>-1558674.56231362</v>
      </c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</row>
    <row r="31" customFormat="false" ht="15" hidden="false" customHeight="true" outlineLevel="0" collapsed="false">
      <c r="A31" s="118" t="s">
        <v>862</v>
      </c>
      <c r="B31" s="209" t="n">
        <f aca="false">B10+B17+B24</f>
        <v>-255835.351107174</v>
      </c>
      <c r="C31" s="209" t="n">
        <f aca="false">C10+C17+C24</f>
        <v>6815081.11879356</v>
      </c>
      <c r="D31" s="209" t="n">
        <f aca="false">D10+D17+D24</f>
        <v>6559245.76768638</v>
      </c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</row>
    <row r="32" customFormat="false" ht="15" hidden="false" customHeight="true" outlineLevel="0" collapsed="false">
      <c r="A32" s="334"/>
      <c r="B32" s="335"/>
      <c r="C32" s="335"/>
      <c r="D32" s="335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</row>
    <row r="33" customFormat="false" ht="15" hidden="false" customHeight="true" outlineLevel="0" collapsed="false">
      <c r="A33" s="300"/>
      <c r="B33" s="325"/>
      <c r="C33" s="325"/>
      <c r="D33" s="325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</row>
    <row r="34" customFormat="false" ht="15" hidden="false" customHeight="true" outlineLevel="0" collapsed="false">
      <c r="A34" s="334"/>
      <c r="B34" s="335"/>
      <c r="C34" s="335"/>
      <c r="D34" s="335"/>
    </row>
    <row r="35" customFormat="false" ht="15" hidden="false" customHeight="true" outlineLevel="0" collapsed="false">
      <c r="A35" s="312"/>
      <c r="B35" s="313"/>
      <c r="C35" s="313"/>
      <c r="D35" s="313"/>
    </row>
    <row r="37" customFormat="false" ht="15" hidden="false" customHeight="true" outlineLevel="0" collapsed="false">
      <c r="A37" s="336"/>
    </row>
    <row r="38" customFormat="false" ht="15" hidden="false" customHeight="true" outlineLevel="0" collapsed="false">
      <c r="A38" s="337"/>
    </row>
    <row r="39" customFormat="false" ht="15" hidden="false" customHeight="true" outlineLevel="0" collapsed="false">
      <c r="A39" s="337"/>
    </row>
    <row r="40" customFormat="false" ht="15" hidden="false" customHeight="true" outlineLevel="0" collapsed="false">
      <c r="A40" s="337" t="s">
        <v>863</v>
      </c>
    </row>
    <row r="41" customFormat="false" ht="15" hidden="false" customHeight="true" outlineLevel="0" collapsed="false">
      <c r="A41" s="337" t="s">
        <v>864</v>
      </c>
    </row>
    <row r="42" customFormat="false" ht="15" hidden="false" customHeight="true" outlineLevel="0" collapsed="false">
      <c r="A42" s="337" t="s">
        <v>865</v>
      </c>
    </row>
    <row r="43" customFormat="false" ht="15" hidden="false" customHeight="true" outlineLevel="0" collapsed="false">
      <c r="A43" s="337" t="s">
        <v>866</v>
      </c>
    </row>
    <row r="44" customFormat="false" ht="15" hidden="false" customHeight="true" outlineLevel="0" collapsed="false">
      <c r="A44" s="337" t="s">
        <v>867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DF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5"/>
    <col collapsed="false" customWidth="true" hidden="false" outlineLevel="0" max="3" min="3" style="1" width="12"/>
    <col collapsed="false" customWidth="true" hidden="false" outlineLevel="0" max="6" min="4" style="1" width="14"/>
    <col collapsed="false" customWidth="true" hidden="false" outlineLevel="0" max="7" min="7" style="1" width="12"/>
    <col collapsed="false" customWidth="true" hidden="false" outlineLevel="0" max="10" min="8" style="1" width="11"/>
    <col collapsed="false" customWidth="true" hidden="false" outlineLevel="0" max="97" min="11" style="1" width="14"/>
    <col collapsed="false" customWidth="true" hidden="false" outlineLevel="0" max="110" min="98" style="1" width="12"/>
  </cols>
  <sheetData>
    <row r="1" customFormat="false" ht="17.25" hidden="false" customHeight="true" outlineLevel="0" collapsed="false">
      <c r="A1" s="121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customFormat="false" ht="15" hidden="false" customHeight="true" outlineLevel="0" collapsed="false">
      <c r="A2" s="140" t="s">
        <v>869</v>
      </c>
      <c r="B2" s="338" t="n">
        <v>0.0025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customFormat="false" ht="15" hidden="false" customHeight="true" outlineLevel="0" collapsed="false">
      <c r="A3" s="140" t="s">
        <v>870</v>
      </c>
      <c r="B3" s="339" t="n">
        <v>0.1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customFormat="false" ht="30" hidden="false" customHeight="true" outlineLevel="0" collapsed="false">
      <c r="A5" s="340" t="s">
        <v>871</v>
      </c>
      <c r="B5" s="340" t="s">
        <v>872</v>
      </c>
      <c r="C5" s="340" t="s">
        <v>873</v>
      </c>
      <c r="D5" s="341" t="s">
        <v>874</v>
      </c>
      <c r="E5" s="341" t="s">
        <v>875</v>
      </c>
      <c r="F5" s="341" t="s">
        <v>876</v>
      </c>
      <c r="G5" s="342" t="s">
        <v>320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customFormat="false" ht="15" hidden="false" customHeight="true" outlineLevel="0" collapsed="false">
      <c r="A6" s="343" t="n">
        <v>2026</v>
      </c>
      <c r="B6" s="343" t="n">
        <v>-2</v>
      </c>
      <c r="C6" s="343" t="n">
        <v>9</v>
      </c>
      <c r="D6" s="344" t="n">
        <f aca="false">SUM(Helpers!C96:N96)</f>
        <v>0</v>
      </c>
      <c r="E6" s="344" t="n">
        <f aca="false">SUM(Helpers!C101:N101)</f>
        <v>0</v>
      </c>
      <c r="F6" s="344" t="n">
        <f aca="false">D6-E6</f>
        <v>0</v>
      </c>
      <c r="G6" s="345" t="n">
        <f aca="false">IF(F6&gt;=Assumptions!$B$86,Assumptions!$C$86,IF(F6&gt;=Assumptions!$B$85,Assumptions!$C$85,IF(F6&gt;=Assumptions!$B$84,Assumptions!$C$84,Assumptions!$C$83)))</f>
        <v>0.25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customFormat="false" ht="15" hidden="false" customHeight="true" outlineLevel="0" collapsed="false">
      <c r="A7" s="343" t="n">
        <v>2027</v>
      </c>
      <c r="B7" s="343" t="n">
        <v>10</v>
      </c>
      <c r="C7" s="343" t="n">
        <v>21</v>
      </c>
      <c r="D7" s="344" t="n">
        <f aca="false">SUM(Helpers!O96:Z96)</f>
        <v>0</v>
      </c>
      <c r="E7" s="344" t="n">
        <f aca="false">SUM(Helpers!O101:Z101)</f>
        <v>0</v>
      </c>
      <c r="F7" s="344" t="n">
        <f aca="false">D7-E7</f>
        <v>0</v>
      </c>
      <c r="G7" s="345" t="n">
        <f aca="false">IF(F7&gt;=Assumptions!$B$86,Assumptions!$C$86,IF(F7&gt;=Assumptions!$B$85,Assumptions!$C$85,IF(F7&gt;=Assumptions!$B$84,Assumptions!$C$84,Assumptions!$C$83)))</f>
        <v>0.25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customFormat="false" ht="15" hidden="false" customHeight="true" outlineLevel="0" collapsed="false">
      <c r="A8" s="343" t="n">
        <v>2028</v>
      </c>
      <c r="B8" s="343" t="n">
        <v>22</v>
      </c>
      <c r="C8" s="343" t="n">
        <v>33</v>
      </c>
      <c r="D8" s="344" t="n">
        <f aca="false">SUM(Helpers!AA96:AL96)</f>
        <v>0</v>
      </c>
      <c r="E8" s="344" t="n">
        <f aca="false">SUM(Helpers!AA101:AL101)</f>
        <v>0</v>
      </c>
      <c r="F8" s="344" t="n">
        <f aca="false">D8-E8</f>
        <v>0</v>
      </c>
      <c r="G8" s="345" t="n">
        <f aca="false">IF(F8&gt;=Assumptions!$B$86,Assumptions!$C$86,IF(F8&gt;=Assumptions!$B$85,Assumptions!$C$85,IF(F8&gt;=Assumptions!$B$84,Assumptions!$C$84,Assumptions!$C$83)))</f>
        <v>0.25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customFormat="false" ht="15" hidden="false" customHeight="true" outlineLevel="0" collapsed="false">
      <c r="A9" s="343" t="n">
        <v>2029</v>
      </c>
      <c r="B9" s="343" t="n">
        <v>34</v>
      </c>
      <c r="C9" s="343" t="n">
        <v>45</v>
      </c>
      <c r="D9" s="344" t="n">
        <f aca="false">SUM(Helpers!AM96:AX96)</f>
        <v>0</v>
      </c>
      <c r="E9" s="344" t="n">
        <f aca="false">SUM(Helpers!AM101:AX101)</f>
        <v>0</v>
      </c>
      <c r="F9" s="344" t="n">
        <f aca="false">D9-E9</f>
        <v>0</v>
      </c>
      <c r="G9" s="345" t="n">
        <f aca="false">IF(F9&gt;=Assumptions!$B$86,Assumptions!$C$86,IF(F9&gt;=Assumptions!$B$85,Assumptions!$C$85,IF(F9&gt;=Assumptions!$B$84,Assumptions!$C$84,Assumptions!$C$83)))</f>
        <v>0.25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customFormat="false" ht="15" hidden="false" customHeight="true" outlineLevel="0" collapsed="false">
      <c r="A10" s="343" t="n">
        <v>2030</v>
      </c>
      <c r="B10" s="343" t="n">
        <v>46</v>
      </c>
      <c r="C10" s="343" t="n">
        <v>57</v>
      </c>
      <c r="D10" s="344" t="n">
        <f aca="false">SUM(Helpers!AY96:BJ96)</f>
        <v>0</v>
      </c>
      <c r="E10" s="344" t="n">
        <f aca="false">SUM(Helpers!AY101:BJ101)</f>
        <v>0</v>
      </c>
      <c r="F10" s="344" t="n">
        <f aca="false">D10-E10</f>
        <v>0</v>
      </c>
      <c r="G10" s="345" t="n">
        <f aca="false">IF(F10&gt;=Assumptions!$B$86,Assumptions!$C$86,IF(F10&gt;=Assumptions!$B$85,Assumptions!$C$85,IF(F10&gt;=Assumptions!$B$84,Assumptions!$C$84,Assumptions!$C$83)))</f>
        <v>0.25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customFormat="false" ht="15" hidden="false" customHeight="true" outlineLevel="0" collapsed="false">
      <c r="A11" s="343" t="n">
        <v>2031</v>
      </c>
      <c r="B11" s="343" t="n">
        <v>58</v>
      </c>
      <c r="C11" s="343" t="n">
        <v>69</v>
      </c>
      <c r="D11" s="344" t="n">
        <f aca="false">SUM(Helpers!BK96:BV96)</f>
        <v>0</v>
      </c>
      <c r="E11" s="344" t="n">
        <f aca="false">SUM(Helpers!BK101:BV101)</f>
        <v>0</v>
      </c>
      <c r="F11" s="344" t="n">
        <f aca="false">D11-E11</f>
        <v>0</v>
      </c>
      <c r="G11" s="345" t="n">
        <f aca="false">IF(F11&gt;=Assumptions!$B$86,Assumptions!$C$86,IF(F11&gt;=Assumptions!$B$85,Assumptions!$C$85,IF(F11&gt;=Assumptions!$B$84,Assumptions!$C$84,Assumptions!$C$83)))</f>
        <v>0.25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customFormat="false" ht="15" hidden="false" customHeight="true" outlineLevel="0" collapsed="false">
      <c r="A12" s="343" t="n">
        <v>2032</v>
      </c>
      <c r="B12" s="343" t="n">
        <v>70</v>
      </c>
      <c r="C12" s="343" t="n">
        <v>81</v>
      </c>
      <c r="D12" s="344" t="n">
        <f aca="false">SUM(Helpers!BW96:CH96)</f>
        <v>0</v>
      </c>
      <c r="E12" s="344" t="n">
        <f aca="false">SUM(Helpers!BW101:CH101)</f>
        <v>0</v>
      </c>
      <c r="F12" s="344" t="n">
        <f aca="false">D12-E12</f>
        <v>0</v>
      </c>
      <c r="G12" s="345" t="n">
        <f aca="false">IF(F12&gt;=Assumptions!$B$86,Assumptions!$C$86,IF(F12&gt;=Assumptions!$B$85,Assumptions!$C$85,IF(F12&gt;=Assumptions!$B$84,Assumptions!$C$84,Assumptions!$C$83)))</f>
        <v>0.25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customFormat="false" ht="15" hidden="false" customHeight="true" outlineLevel="0" collapsed="false">
      <c r="A13" s="343" t="n">
        <v>2033</v>
      </c>
      <c r="B13" s="343" t="n">
        <v>82</v>
      </c>
      <c r="C13" s="343" t="n">
        <v>93</v>
      </c>
      <c r="D13" s="344" t="n">
        <f aca="false">SUM(Helpers!CI96:CT96)</f>
        <v>0</v>
      </c>
      <c r="E13" s="344" t="n">
        <f aca="false">SUM(Helpers!CI101:CT101)</f>
        <v>0</v>
      </c>
      <c r="F13" s="344" t="n">
        <f aca="false">D13-E13</f>
        <v>0</v>
      </c>
      <c r="G13" s="345" t="n">
        <f aca="false">IF(F13&gt;=Assumptions!$B$86,Assumptions!$C$86,IF(F13&gt;=Assumptions!$B$85,Assumptions!$C$85,IF(F13&gt;=Assumptions!$B$84,Assumptions!$C$84,Assumptions!$C$83)))</f>
        <v>0.25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customFormat="false" ht="15" hidden="false" customHeight="true" outlineLevel="0" collapsed="false">
      <c r="A14" s="343" t="n">
        <v>2034</v>
      </c>
      <c r="B14" s="343" t="n">
        <v>94</v>
      </c>
      <c r="C14" s="343" t="n">
        <v>105</v>
      </c>
      <c r="D14" s="344" t="n">
        <f aca="false">SUM(Helpers!CU96:DF96)</f>
        <v>0</v>
      </c>
      <c r="E14" s="344" t="n">
        <f aca="false">SUM(Helpers!CU101:DF101)</f>
        <v>0</v>
      </c>
      <c r="F14" s="344" t="n">
        <f aca="false">D14-E14</f>
        <v>0</v>
      </c>
      <c r="G14" s="345" t="n">
        <f aca="false">IF(F14&gt;=Assumptions!$B$86,Assumptions!$C$86,IF(F14&gt;=Assumptions!$B$85,Assumptions!$C$85,IF(F14&gt;=Assumptions!$B$84,Assumptions!$C$84,Assumptions!$C$83)))</f>
        <v>0.25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customFormat="false" ht="15" hidden="false" customHeight="true" outlineLevel="0" collapsed="false">
      <c r="A15" s="218" t="s">
        <v>1</v>
      </c>
      <c r="B15" s="3"/>
      <c r="C15" s="343" t="n">
        <f aca="false">Model!B3</f>
        <v>-2</v>
      </c>
      <c r="D15" s="343" t="n">
        <f aca="false">Model!C3</f>
        <v>-1</v>
      </c>
      <c r="E15" s="343" t="n">
        <f aca="false">Model!D3</f>
        <v>0</v>
      </c>
      <c r="F15" s="343" t="n">
        <f aca="false">Model!E3</f>
        <v>1</v>
      </c>
      <c r="G15" s="343" t="n">
        <f aca="false">Model!F3</f>
        <v>2</v>
      </c>
      <c r="H15" s="343" t="n">
        <f aca="false">Model!G3</f>
        <v>3</v>
      </c>
      <c r="I15" s="343" t="n">
        <f aca="false">Model!H3</f>
        <v>4</v>
      </c>
      <c r="J15" s="343" t="n">
        <f aca="false">Model!I3</f>
        <v>5</v>
      </c>
      <c r="K15" s="343" t="n">
        <f aca="false">Model!J3</f>
        <v>6</v>
      </c>
      <c r="L15" s="343" t="n">
        <f aca="false">Model!K3</f>
        <v>7</v>
      </c>
      <c r="M15" s="343" t="n">
        <f aca="false">Model!L3</f>
        <v>8</v>
      </c>
      <c r="N15" s="343" t="n">
        <f aca="false">Model!M3</f>
        <v>9</v>
      </c>
      <c r="O15" s="343" t="n">
        <f aca="false">Model!N3</f>
        <v>10</v>
      </c>
      <c r="P15" s="343" t="n">
        <f aca="false">Model!O3</f>
        <v>11</v>
      </c>
      <c r="Q15" s="343" t="n">
        <f aca="false">Model!P3</f>
        <v>12</v>
      </c>
      <c r="R15" s="343" t="n">
        <f aca="false">Model!Q3</f>
        <v>13</v>
      </c>
      <c r="S15" s="343" t="n">
        <f aca="false">Model!R3</f>
        <v>14</v>
      </c>
      <c r="T15" s="343" t="n">
        <f aca="false">Model!S3</f>
        <v>15</v>
      </c>
      <c r="U15" s="343" t="n">
        <f aca="false">Model!T3</f>
        <v>16</v>
      </c>
      <c r="V15" s="343" t="n">
        <f aca="false">Model!U3</f>
        <v>17</v>
      </c>
      <c r="W15" s="343" t="n">
        <f aca="false">Model!V3</f>
        <v>18</v>
      </c>
      <c r="X15" s="343" t="n">
        <f aca="false">Model!W3</f>
        <v>19</v>
      </c>
      <c r="Y15" s="343" t="n">
        <f aca="false">Model!X3</f>
        <v>20</v>
      </c>
      <c r="Z15" s="343" t="n">
        <f aca="false">Model!Y3</f>
        <v>21</v>
      </c>
      <c r="AA15" s="343" t="n">
        <f aca="false">Model!Z3</f>
        <v>22</v>
      </c>
      <c r="AB15" s="343" t="n">
        <f aca="false">Model!AA3</f>
        <v>23</v>
      </c>
      <c r="AC15" s="343" t="n">
        <f aca="false">Model!AB3</f>
        <v>24</v>
      </c>
      <c r="AD15" s="343" t="n">
        <f aca="false">Model!AC3</f>
        <v>25</v>
      </c>
      <c r="AE15" s="343" t="n">
        <f aca="false">Model!AD3</f>
        <v>26</v>
      </c>
      <c r="AF15" s="343" t="n">
        <f aca="false">Model!AE3</f>
        <v>27</v>
      </c>
      <c r="AG15" s="343" t="n">
        <f aca="false">Model!AF3</f>
        <v>28</v>
      </c>
      <c r="AH15" s="343" t="n">
        <f aca="false">Model!AG3</f>
        <v>29</v>
      </c>
      <c r="AI15" s="343" t="n">
        <f aca="false">Model!AH3</f>
        <v>30</v>
      </c>
      <c r="AJ15" s="343" t="n">
        <f aca="false">Model!AI3</f>
        <v>31</v>
      </c>
      <c r="AK15" s="343" t="n">
        <f aca="false">Model!AJ3</f>
        <v>32</v>
      </c>
      <c r="AL15" s="343" t="n">
        <f aca="false">Model!AK3</f>
        <v>33</v>
      </c>
      <c r="AM15" s="343" t="n">
        <f aca="false">Model!AL3</f>
        <v>34</v>
      </c>
      <c r="AN15" s="343" t="n">
        <f aca="false">Model!AM3</f>
        <v>35</v>
      </c>
      <c r="AO15" s="343" t="n">
        <f aca="false">Model!AN3</f>
        <v>36</v>
      </c>
      <c r="AP15" s="343" t="n">
        <f aca="false">Model!AO3</f>
        <v>37</v>
      </c>
      <c r="AQ15" s="343" t="n">
        <f aca="false">Model!AP3</f>
        <v>38</v>
      </c>
      <c r="AR15" s="343" t="n">
        <f aca="false">Model!AQ3</f>
        <v>39</v>
      </c>
      <c r="AS15" s="343" t="n">
        <f aca="false">Model!AR3</f>
        <v>40</v>
      </c>
      <c r="AT15" s="343" t="n">
        <f aca="false">Model!AS3</f>
        <v>41</v>
      </c>
      <c r="AU15" s="343" t="n">
        <f aca="false">Model!AT3</f>
        <v>42</v>
      </c>
      <c r="AV15" s="343" t="n">
        <f aca="false">Model!AU3</f>
        <v>43</v>
      </c>
      <c r="AW15" s="343" t="n">
        <f aca="false">Model!AV3</f>
        <v>44</v>
      </c>
      <c r="AX15" s="343" t="n">
        <f aca="false">Model!AW3</f>
        <v>45</v>
      </c>
      <c r="AY15" s="343" t="n">
        <f aca="false">Model!AX3</f>
        <v>46</v>
      </c>
      <c r="AZ15" s="343" t="n">
        <f aca="false">Model!AY3</f>
        <v>47</v>
      </c>
      <c r="BA15" s="343" t="n">
        <f aca="false">Model!AZ3</f>
        <v>48</v>
      </c>
      <c r="BB15" s="343" t="n">
        <f aca="false">Model!BA3</f>
        <v>49</v>
      </c>
      <c r="BC15" s="343" t="n">
        <f aca="false">Model!BB3</f>
        <v>50</v>
      </c>
      <c r="BD15" s="343" t="n">
        <f aca="false">Model!BC3</f>
        <v>51</v>
      </c>
      <c r="BE15" s="343" t="n">
        <f aca="false">Model!BD3</f>
        <v>52</v>
      </c>
      <c r="BF15" s="343" t="n">
        <f aca="false">Model!BE3</f>
        <v>53</v>
      </c>
      <c r="BG15" s="343" t="n">
        <f aca="false">Model!BF3</f>
        <v>54</v>
      </c>
      <c r="BH15" s="343" t="n">
        <f aca="false">Model!BG3</f>
        <v>55</v>
      </c>
      <c r="BI15" s="343" t="n">
        <f aca="false">Model!BH3</f>
        <v>56</v>
      </c>
      <c r="BJ15" s="343" t="n">
        <f aca="false">Model!BI3</f>
        <v>57</v>
      </c>
      <c r="BK15" s="343" t="n">
        <f aca="false">Model!BJ3</f>
        <v>58</v>
      </c>
      <c r="BL15" s="343" t="n">
        <f aca="false">Model!BK3</f>
        <v>59</v>
      </c>
      <c r="BM15" s="343" t="n">
        <f aca="false">Model!BL3</f>
        <v>60</v>
      </c>
      <c r="BN15" s="343" t="n">
        <f aca="false">Model!BM3</f>
        <v>61</v>
      </c>
      <c r="BO15" s="343" t="n">
        <f aca="false">Model!BN3</f>
        <v>62</v>
      </c>
      <c r="BP15" s="343" t="n">
        <f aca="false">Model!BO3</f>
        <v>63</v>
      </c>
      <c r="BQ15" s="343" t="n">
        <f aca="false">Model!BP3</f>
        <v>64</v>
      </c>
      <c r="BR15" s="343" t="n">
        <f aca="false">Model!BQ3</f>
        <v>65</v>
      </c>
      <c r="BS15" s="343" t="n">
        <f aca="false">Model!BR3</f>
        <v>66</v>
      </c>
      <c r="BT15" s="343" t="n">
        <f aca="false">Model!BS3</f>
        <v>67</v>
      </c>
      <c r="BU15" s="343" t="n">
        <f aca="false">Model!BT3</f>
        <v>68</v>
      </c>
      <c r="BV15" s="343" t="n">
        <f aca="false">Model!BU3</f>
        <v>69</v>
      </c>
      <c r="BW15" s="343" t="n">
        <f aca="false">Model!BV3</f>
        <v>70</v>
      </c>
      <c r="BX15" s="343" t="n">
        <f aca="false">Model!BW3</f>
        <v>71</v>
      </c>
      <c r="BY15" s="343" t="n">
        <f aca="false">Model!BX3</f>
        <v>72</v>
      </c>
      <c r="BZ15" s="343" t="n">
        <f aca="false">Model!BY3</f>
        <v>73</v>
      </c>
      <c r="CA15" s="343" t="n">
        <f aca="false">Model!BZ3</f>
        <v>74</v>
      </c>
      <c r="CB15" s="343" t="n">
        <f aca="false">Model!CA3</f>
        <v>75</v>
      </c>
      <c r="CC15" s="343" t="n">
        <f aca="false">Model!CB3</f>
        <v>76</v>
      </c>
      <c r="CD15" s="343" t="n">
        <f aca="false">Model!CC3</f>
        <v>77</v>
      </c>
      <c r="CE15" s="343" t="n">
        <f aca="false">Model!CD3</f>
        <v>78</v>
      </c>
      <c r="CF15" s="343" t="n">
        <f aca="false">Model!CE3</f>
        <v>79</v>
      </c>
      <c r="CG15" s="343" t="n">
        <f aca="false">Model!CF3</f>
        <v>80</v>
      </c>
      <c r="CH15" s="343" t="n">
        <f aca="false">Model!CG3</f>
        <v>81</v>
      </c>
      <c r="CI15" s="343" t="n">
        <f aca="false">Model!CH3</f>
        <v>82</v>
      </c>
      <c r="CJ15" s="343" t="n">
        <f aca="false">Model!CI3</f>
        <v>83</v>
      </c>
      <c r="CK15" s="343" t="n">
        <f aca="false">Model!CJ3</f>
        <v>84</v>
      </c>
      <c r="CL15" s="343" t="n">
        <f aca="false">Model!CK3</f>
        <v>85</v>
      </c>
      <c r="CM15" s="343" t="n">
        <f aca="false">Model!CL3</f>
        <v>86</v>
      </c>
      <c r="CN15" s="343" t="n">
        <f aca="false">Model!CM3</f>
        <v>87</v>
      </c>
      <c r="CO15" s="343" t="n">
        <f aca="false">Model!CN3</f>
        <v>88</v>
      </c>
      <c r="CP15" s="343" t="n">
        <f aca="false">Model!CO3</f>
        <v>89</v>
      </c>
      <c r="CQ15" s="343" t="n">
        <f aca="false">Model!CP3</f>
        <v>90</v>
      </c>
      <c r="CR15" s="343" t="n">
        <f aca="false">Model!CQ3</f>
        <v>91</v>
      </c>
      <c r="CS15" s="343" t="n">
        <f aca="false">Model!CR3</f>
        <v>92</v>
      </c>
      <c r="CT15" s="343" t="n">
        <f aca="false">Model!CS3</f>
        <v>93</v>
      </c>
      <c r="CU15" s="343" t="n">
        <f aca="false">Model!CT3</f>
        <v>94</v>
      </c>
      <c r="CV15" s="343" t="n">
        <f aca="false">Model!CU3</f>
        <v>95</v>
      </c>
      <c r="CW15" s="343" t="n">
        <f aca="false">Model!CV3</f>
        <v>96</v>
      </c>
      <c r="CX15" s="343" t="n">
        <f aca="false">Model!CW3</f>
        <v>97</v>
      </c>
      <c r="CY15" s="343" t="n">
        <f aca="false">Model!CX3</f>
        <v>98</v>
      </c>
      <c r="CZ15" s="343" t="n">
        <f aca="false">Model!CY3</f>
        <v>99</v>
      </c>
      <c r="DA15" s="343" t="n">
        <f aca="false">Model!CZ3</f>
        <v>100</v>
      </c>
      <c r="DB15" s="343" t="n">
        <f aca="false">Model!DA3</f>
        <v>101</v>
      </c>
      <c r="DC15" s="343" t="n">
        <f aca="false">Model!DB3</f>
        <v>102</v>
      </c>
      <c r="DD15" s="343" t="n">
        <f aca="false">Model!DC3</f>
        <v>103</v>
      </c>
      <c r="DE15" s="343" t="n">
        <f aca="false">Model!DD3</f>
        <v>104</v>
      </c>
      <c r="DF15" s="343" t="n">
        <f aca="false">Model!DE3</f>
        <v>105</v>
      </c>
    </row>
    <row r="16" customFormat="false" ht="15" hidden="false" customHeight="true" outlineLevel="0" collapsed="false">
      <c r="A16" s="218" t="s">
        <v>877</v>
      </c>
      <c r="B16" s="3"/>
      <c r="C16" s="344" t="n">
        <f aca="false">-SUM(Model!B111:B143)</f>
        <v>260601.5</v>
      </c>
      <c r="D16" s="344" t="n">
        <f aca="false">-SUM(Model!C111:C143)</f>
        <v>260308.54</v>
      </c>
      <c r="E16" s="344" t="n">
        <f aca="false">-SUM(Model!D111:D143)</f>
        <v>351937.74</v>
      </c>
      <c r="F16" s="344" t="n">
        <f aca="false">-SUM(Model!E111:E143)</f>
        <v>73431.56</v>
      </c>
      <c r="G16" s="344" t="n">
        <f aca="false">-SUM(Model!F111:F143)</f>
        <v>437914.85</v>
      </c>
      <c r="H16" s="344" t="n">
        <f aca="false">-SUM(Model!G111:G143)</f>
        <v>426674.543333333</v>
      </c>
      <c r="I16" s="344" t="n">
        <f aca="false">-SUM(Model!H111:H143)</f>
        <v>529245.725</v>
      </c>
      <c r="J16" s="344" t="n">
        <f aca="false">-SUM(Model!I111:I143)</f>
        <v>484245.725</v>
      </c>
      <c r="K16" s="344" t="n">
        <f aca="false">-SUM(Model!J111:J143)</f>
        <v>523512.391666667</v>
      </c>
      <c r="L16" s="344" t="n">
        <f aca="false">-SUM(Model!K111:K143)</f>
        <v>499512.391666667</v>
      </c>
      <c r="M16" s="344" t="n">
        <f aca="false">-SUM(Model!L111:L143)</f>
        <v>499512.391666667</v>
      </c>
      <c r="N16" s="344" t="n">
        <f aca="false">-SUM(Model!M111:M143)</f>
        <v>531416.558333333</v>
      </c>
      <c r="O16" s="344" t="n">
        <f aca="false">-SUM(Model!N111:N143)</f>
        <v>489572.815</v>
      </c>
      <c r="P16" s="344" t="n">
        <f aca="false">-SUM(Model!O111:O143)</f>
        <v>489572.815</v>
      </c>
      <c r="Q16" s="344" t="n">
        <f aca="false">-SUM(Model!P111:P143)</f>
        <v>489572.815</v>
      </c>
      <c r="R16" s="344" t="n">
        <f aca="false">-SUM(Model!Q111:Q143)</f>
        <v>536859.604633333</v>
      </c>
      <c r="S16" s="344" t="n">
        <f aca="false">-SUM(Model!R111:R143)</f>
        <v>512859.604633333</v>
      </c>
      <c r="T16" s="344" t="n">
        <f aca="false">-SUM(Model!S111:S143)</f>
        <v>512859.604633333</v>
      </c>
      <c r="U16" s="344" t="n">
        <f aca="false">-SUM(Model!T111:T143)</f>
        <v>512859.604633333</v>
      </c>
      <c r="V16" s="344" t="n">
        <f aca="false">-SUM(Model!U111:U143)</f>
        <v>512859.604633333</v>
      </c>
      <c r="W16" s="344" t="n">
        <f aca="false">-SUM(Model!V111:V143)</f>
        <v>512859.604633333</v>
      </c>
      <c r="X16" s="344" t="n">
        <f aca="false">-SUM(Model!W111:W143)</f>
        <v>512859.604633333</v>
      </c>
      <c r="Y16" s="344" t="n">
        <f aca="false">-SUM(Model!X111:X143)</f>
        <v>512859.604633333</v>
      </c>
      <c r="Z16" s="344" t="n">
        <f aca="false">-SUM(Model!Y111:Y143)</f>
        <v>512859.604633333</v>
      </c>
      <c r="AA16" s="344" t="n">
        <f aca="false">-SUM(Model!Z111:Z143)</f>
        <v>512859.604633333</v>
      </c>
      <c r="AB16" s="344" t="n">
        <f aca="false">-SUM(Model!AA111:AA143)</f>
        <v>512859.604633333</v>
      </c>
      <c r="AC16" s="344" t="n">
        <f aca="false">-SUM(Model!AB111:AB143)</f>
        <v>512859.604633333</v>
      </c>
      <c r="AD16" s="344" t="n">
        <f aca="false">-SUM(Model!AC111:AC143)</f>
        <v>521040.130059333</v>
      </c>
      <c r="AE16" s="344" t="n">
        <f aca="false">-SUM(Model!AD111:AD143)</f>
        <v>521040.130059333</v>
      </c>
      <c r="AF16" s="344" t="n">
        <f aca="false">-SUM(Model!AE111:AE143)</f>
        <v>521040.130059333</v>
      </c>
      <c r="AG16" s="344" t="n">
        <f aca="false">-SUM(Model!AF111:AF143)</f>
        <v>521040.130059333</v>
      </c>
      <c r="AH16" s="344" t="n">
        <f aca="false">-SUM(Model!AG111:AG143)</f>
        <v>521040.130059333</v>
      </c>
      <c r="AI16" s="344" t="n">
        <f aca="false">-SUM(Model!AH111:AH143)</f>
        <v>521040.130059333</v>
      </c>
      <c r="AJ16" s="344" t="n">
        <f aca="false">-SUM(Model!AI111:AI143)</f>
        <v>521040.130059333</v>
      </c>
      <c r="AK16" s="344" t="n">
        <f aca="false">-SUM(Model!AJ111:AJ143)</f>
        <v>521040.130059333</v>
      </c>
      <c r="AL16" s="344" t="n">
        <f aca="false">-SUM(Model!AK111:AK143)</f>
        <v>521040.130059333</v>
      </c>
      <c r="AM16" s="344" t="n">
        <f aca="false">-SUM(Model!AL111:AL143)</f>
        <v>521040.130059333</v>
      </c>
      <c r="AN16" s="344" t="n">
        <f aca="false">-SUM(Model!AM111:AM143)</f>
        <v>521040.130059333</v>
      </c>
      <c r="AO16" s="344" t="n">
        <f aca="false">-SUM(Model!AN111:AN143)</f>
        <v>521040.130059333</v>
      </c>
      <c r="AP16" s="344" t="n">
        <f aca="false">-SUM(Model!AO111:AO143)</f>
        <v>529384.265993853</v>
      </c>
      <c r="AQ16" s="344" t="n">
        <f aca="false">-SUM(Model!AP111:AP143)</f>
        <v>529384.265993853</v>
      </c>
      <c r="AR16" s="344" t="n">
        <f aca="false">-SUM(Model!AQ111:AQ143)</f>
        <v>529384.265993853</v>
      </c>
      <c r="AS16" s="344" t="n">
        <f aca="false">-SUM(Model!AR111:AR143)</f>
        <v>529384.265993853</v>
      </c>
      <c r="AT16" s="344" t="n">
        <f aca="false">-SUM(Model!AS111:AS143)</f>
        <v>529384.265993853</v>
      </c>
      <c r="AU16" s="344" t="n">
        <f aca="false">-SUM(Model!AT111:AT143)</f>
        <v>529384.265993853</v>
      </c>
      <c r="AV16" s="344" t="n">
        <f aca="false">-SUM(Model!AU111:AU143)</f>
        <v>529384.265993853</v>
      </c>
      <c r="AW16" s="344" t="n">
        <f aca="false">-SUM(Model!AV111:AV143)</f>
        <v>529384.265993853</v>
      </c>
      <c r="AX16" s="344" t="n">
        <f aca="false">-SUM(Model!AW111:AW143)</f>
        <v>529384.265993853</v>
      </c>
      <c r="AY16" s="344" t="n">
        <f aca="false">-SUM(Model!AX111:AX143)</f>
        <v>529384.265993853</v>
      </c>
      <c r="AZ16" s="344" t="n">
        <f aca="false">-SUM(Model!AY111:AY143)</f>
        <v>529384.265993853</v>
      </c>
      <c r="BA16" s="344" t="n">
        <f aca="false">-SUM(Model!AZ111:AZ143)</f>
        <v>529384.265993853</v>
      </c>
      <c r="BB16" s="344" t="n">
        <f aca="false">-SUM(Model!BA111:BA143)</f>
        <v>537895.284647064</v>
      </c>
      <c r="BC16" s="344" t="n">
        <f aca="false">-SUM(Model!BB111:BB143)</f>
        <v>537895.284647064</v>
      </c>
      <c r="BD16" s="344" t="n">
        <f aca="false">-SUM(Model!BC111:BC143)</f>
        <v>537895.284647064</v>
      </c>
      <c r="BE16" s="344" t="n">
        <f aca="false">-SUM(Model!BD111:BD143)</f>
        <v>537895.284647064</v>
      </c>
      <c r="BF16" s="344" t="n">
        <f aca="false">-SUM(Model!BE111:BE143)</f>
        <v>537895.284647064</v>
      </c>
      <c r="BG16" s="344" t="n">
        <f aca="false">-SUM(Model!BF111:BF143)</f>
        <v>537895.284647064</v>
      </c>
      <c r="BH16" s="344" t="n">
        <f aca="false">-SUM(Model!BG111:BG143)</f>
        <v>537895.284647064</v>
      </c>
      <c r="BI16" s="344" t="n">
        <f aca="false">-SUM(Model!BH111:BH143)</f>
        <v>537895.284647064</v>
      </c>
      <c r="BJ16" s="344" t="n">
        <f aca="false">-SUM(Model!BI111:BI143)</f>
        <v>537895.284647064</v>
      </c>
      <c r="BK16" s="344" t="n">
        <f aca="false">-SUM(Model!BJ111:BJ143)</f>
        <v>537895.284647064</v>
      </c>
      <c r="BL16" s="344" t="n">
        <f aca="false">-SUM(Model!BK111:BK143)</f>
        <v>537895.284647064</v>
      </c>
      <c r="BM16" s="344" t="n">
        <f aca="false">-SUM(Model!BL111:BL143)</f>
        <v>537895.284647064</v>
      </c>
      <c r="BN16" s="344" t="n">
        <f aca="false">-SUM(Model!BM111:BM143)</f>
        <v>546576.523673338</v>
      </c>
      <c r="BO16" s="344" t="n">
        <f aca="false">-SUM(Model!BN111:BN143)</f>
        <v>546576.523673338</v>
      </c>
      <c r="BP16" s="344" t="n">
        <f aca="false">-SUM(Model!BO111:BO143)</f>
        <v>546576.523673338</v>
      </c>
      <c r="BQ16" s="344" t="n">
        <f aca="false">-SUM(Model!BP111:BP143)</f>
        <v>546576.523673338</v>
      </c>
      <c r="BR16" s="344" t="n">
        <f aca="false">-SUM(Model!BQ111:BQ143)</f>
        <v>546576.523673338</v>
      </c>
      <c r="BS16" s="344" t="n">
        <f aca="false">-SUM(Model!BR111:BR143)</f>
        <v>546576.523673338</v>
      </c>
      <c r="BT16" s="344" t="n">
        <f aca="false">-SUM(Model!BS111:BS143)</f>
        <v>546576.523673338</v>
      </c>
      <c r="BU16" s="344" t="n">
        <f aca="false">-SUM(Model!BT111:BT143)</f>
        <v>546576.523673338</v>
      </c>
      <c r="BV16" s="344" t="n">
        <f aca="false">-SUM(Model!BU111:BU143)</f>
        <v>546576.523673338</v>
      </c>
      <c r="BW16" s="344" t="n">
        <f aca="false">-SUM(Model!BV111:BV143)</f>
        <v>546576.523673338</v>
      </c>
      <c r="BX16" s="344" t="n">
        <f aca="false">-SUM(Model!BW111:BW143)</f>
        <v>546576.523673338</v>
      </c>
      <c r="BY16" s="344" t="n">
        <f aca="false">-SUM(Model!BX111:BX143)</f>
        <v>546576.523673338</v>
      </c>
      <c r="BZ16" s="344" t="n">
        <f aca="false">-SUM(Model!BY111:BY143)</f>
        <v>555431.387480139</v>
      </c>
      <c r="CA16" s="344" t="n">
        <f aca="false">-SUM(Model!BZ111:BZ143)</f>
        <v>555431.387480139</v>
      </c>
      <c r="CB16" s="344" t="n">
        <f aca="false">-SUM(Model!CA111:CA143)</f>
        <v>555431.387480139</v>
      </c>
      <c r="CC16" s="344" t="n">
        <f aca="false">-SUM(Model!CB111:CB143)</f>
        <v>555431.387480139</v>
      </c>
      <c r="CD16" s="344" t="n">
        <f aca="false">-SUM(Model!CC111:CC143)</f>
        <v>555431.387480139</v>
      </c>
      <c r="CE16" s="344" t="n">
        <f aca="false">-SUM(Model!CD111:CD143)</f>
        <v>555431.387480139</v>
      </c>
      <c r="CF16" s="344" t="n">
        <f aca="false">-SUM(Model!CE111:CE143)</f>
        <v>555431.387480139</v>
      </c>
      <c r="CG16" s="344" t="n">
        <f aca="false">-SUM(Model!CF111:CF143)</f>
        <v>555431.387480139</v>
      </c>
      <c r="CH16" s="344" t="n">
        <f aca="false">-SUM(Model!CG111:CG143)</f>
        <v>555431.387480139</v>
      </c>
      <c r="CI16" s="344" t="n">
        <f aca="false">-SUM(Model!CH111:CH143)</f>
        <v>555431.387480139</v>
      </c>
      <c r="CJ16" s="344" t="n">
        <f aca="false">-SUM(Model!CI111:CI143)</f>
        <v>555431.387480139</v>
      </c>
      <c r="CK16" s="344" t="n">
        <f aca="false">-SUM(Model!CJ111:CJ143)</f>
        <v>555431.387480139</v>
      </c>
      <c r="CL16" s="344" t="n">
        <f aca="false">-SUM(Model!CK111:CK143)</f>
        <v>564463.348563075</v>
      </c>
      <c r="CM16" s="344" t="n">
        <f aca="false">-SUM(Model!CL111:CL143)</f>
        <v>564463.348563075</v>
      </c>
      <c r="CN16" s="344" t="n">
        <f aca="false">-SUM(Model!CM111:CM143)</f>
        <v>564463.348563075</v>
      </c>
      <c r="CO16" s="344" t="n">
        <f aca="false">-SUM(Model!CN111:CN143)</f>
        <v>564463.348563075</v>
      </c>
      <c r="CP16" s="344" t="n">
        <f aca="false">-SUM(Model!CO111:CO143)</f>
        <v>564463.348563075</v>
      </c>
      <c r="CQ16" s="344" t="n">
        <f aca="false">-SUM(Model!CP111:CP143)</f>
        <v>564463.348563075</v>
      </c>
      <c r="CR16" s="344" t="n">
        <f aca="false">-SUM(Model!CQ111:CQ143)</f>
        <v>564463.348563075</v>
      </c>
      <c r="CS16" s="344" t="n">
        <f aca="false">-SUM(Model!CR111:CR143)</f>
        <v>564463.348563075</v>
      </c>
      <c r="CT16" s="344" t="n">
        <f aca="false">-SUM(Model!CS111:CS143)</f>
        <v>564463.348563075</v>
      </c>
      <c r="CU16" s="344" t="n">
        <f aca="false">-SUM(Model!CT111:CT143)</f>
        <v>510019.23755921</v>
      </c>
      <c r="CV16" s="344" t="n">
        <f aca="false">-SUM(Model!CU111:CU143)</f>
        <v>510019.23755921</v>
      </c>
      <c r="CW16" s="344" t="n">
        <f aca="false">-SUM(Model!CV111:CV143)</f>
        <v>510019.23755921</v>
      </c>
      <c r="CX16" s="344" t="n">
        <f aca="false">-SUM(Model!CW111:CW143)</f>
        <v>518142.955643728</v>
      </c>
      <c r="CY16" s="344" t="n">
        <f aca="false">-SUM(Model!CX111:CX143)</f>
        <v>518142.955643728</v>
      </c>
      <c r="CZ16" s="344" t="n">
        <f aca="false">-SUM(Model!CY111:CY143)</f>
        <v>518142.955643728</v>
      </c>
      <c r="DA16" s="344" t="n">
        <f aca="false">-SUM(Model!CZ111:CZ143)</f>
        <v>518142.955643728</v>
      </c>
      <c r="DB16" s="344" t="n">
        <f aca="false">-SUM(Model!DA111:DA143)</f>
        <v>518142.955643728</v>
      </c>
      <c r="DC16" s="344" t="n">
        <f aca="false">-SUM(Model!DB111:DB143)</f>
        <v>518142.955643728</v>
      </c>
      <c r="DD16" s="344" t="n">
        <f aca="false">-SUM(Model!DC111:DC143)</f>
        <v>518142.955643728</v>
      </c>
      <c r="DE16" s="344" t="n">
        <f aca="false">-SUM(Model!DD111:DD143)</f>
        <v>518142.955643728</v>
      </c>
      <c r="DF16" s="344" t="n">
        <f aca="false">-SUM(Model!DE111:DE143)</f>
        <v>518142.955643728</v>
      </c>
    </row>
    <row r="17" customFormat="false" ht="15" hidden="false" customHeight="true" outlineLevel="0" collapsed="false">
      <c r="A17" s="218" t="s">
        <v>878</v>
      </c>
      <c r="B17" s="3"/>
      <c r="C17" s="343" t="n">
        <f aca="false">SUMPRODUCT((Projects!$G$2:$G$14="Yes")*(C$15&gt;=Projects!$C$2:$C$14)*(C$15&lt;Projects!$C$2:$C$14+Projects!$D$2:$D$14))+SUMPRODUCT((Projects!$G$17:$G$46="Yes")*(C$15&gt;=Projects!$C$17:$C$46)*(C$15&lt;Projects!$C$17:$C$46+Projects!$D$17:$D$46))</f>
        <v>0</v>
      </c>
      <c r="D17" s="343" t="n">
        <f aca="false">SUMPRODUCT((Projects!$G$2:$G$14="Yes")*(D$15&gt;=Projects!$C$2:$C$14)*(D$15&lt;Projects!$C$2:$C$14+Projects!$D$2:$D$14))+SUMPRODUCT((Projects!$G$17:$G$46="Yes")*(D$15&gt;=Projects!$C$17:$C$46)*(D$15&lt;Projects!$C$17:$C$46+Projects!$D$17:$D$46))</f>
        <v>0</v>
      </c>
      <c r="E17" s="343" t="n">
        <f aca="false">SUMPRODUCT((Projects!$G$2:$G$14="Yes")*(E$15&gt;=Projects!$C$2:$C$14)*(E$15&lt;Projects!$C$2:$C$14+Projects!$D$2:$D$14))+SUMPRODUCT((Projects!$G$17:$G$46="Yes")*(E$15&gt;=Projects!$C$17:$C$46)*(E$15&lt;Projects!$C$17:$C$46+Projects!$D$17:$D$46))</f>
        <v>0</v>
      </c>
      <c r="F17" s="343" t="n">
        <f aca="false">SUMPRODUCT((Projects!$G$2:$G$14="Yes")*(F$15&gt;=Projects!$C$2:$C$14)*(F$15&lt;Projects!$C$2:$C$14+Projects!$D$2:$D$14))+SUMPRODUCT((Projects!$G$17:$G$46="Yes")*(F$15&gt;=Projects!$C$17:$C$46)*(F$15&lt;Projects!$C$17:$C$46+Projects!$D$17:$D$46))</f>
        <v>5</v>
      </c>
      <c r="G17" s="343" t="n">
        <f aca="false">SUMPRODUCT((Projects!$G$2:$G$14="Yes")*(G$15&gt;=Projects!$C$2:$C$14)*(G$15&lt;Projects!$C$2:$C$14+Projects!$D$2:$D$14))+SUMPRODUCT((Projects!$G$17:$G$46="Yes")*(G$15&gt;=Projects!$C$17:$C$46)*(G$15&lt;Projects!$C$17:$C$46+Projects!$D$17:$D$46))</f>
        <v>5</v>
      </c>
      <c r="H17" s="343" t="n">
        <f aca="false">SUMPRODUCT((Projects!$G$2:$G$14="Yes")*(H$15&gt;=Projects!$C$2:$C$14)*(H$15&lt;Projects!$C$2:$C$14+Projects!$D$2:$D$14))+SUMPRODUCT((Projects!$G$17:$G$46="Yes")*(H$15&gt;=Projects!$C$17:$C$46)*(H$15&lt;Projects!$C$17:$C$46+Projects!$D$17:$D$46))</f>
        <v>5</v>
      </c>
      <c r="I17" s="343" t="n">
        <f aca="false">SUMPRODUCT((Projects!$G$2:$G$14="Yes")*(I$15&gt;=Projects!$C$2:$C$14)*(I$15&lt;Projects!$C$2:$C$14+Projects!$D$2:$D$14))+SUMPRODUCT((Projects!$G$17:$G$46="Yes")*(I$15&gt;=Projects!$C$17:$C$46)*(I$15&lt;Projects!$C$17:$C$46+Projects!$D$17:$D$46))</f>
        <v>5</v>
      </c>
      <c r="J17" s="343" t="n">
        <f aca="false">SUMPRODUCT((Projects!$G$2:$G$14="Yes")*(J$15&gt;=Projects!$C$2:$C$14)*(J$15&lt;Projects!$C$2:$C$14+Projects!$D$2:$D$14))+SUMPRODUCT((Projects!$G$17:$G$46="Yes")*(J$15&gt;=Projects!$C$17:$C$46)*(J$15&lt;Projects!$C$17:$C$46+Projects!$D$17:$D$46))</f>
        <v>8</v>
      </c>
      <c r="K17" s="343" t="n">
        <f aca="false">SUMPRODUCT((Projects!$G$2:$G$14="Yes")*(K$15&gt;=Projects!$C$2:$C$14)*(K$15&lt;Projects!$C$2:$C$14+Projects!$D$2:$D$14))+SUMPRODUCT((Projects!$G$17:$G$46="Yes")*(K$15&gt;=Projects!$C$17:$C$46)*(K$15&lt;Projects!$C$17:$C$46+Projects!$D$17:$D$46))</f>
        <v>9</v>
      </c>
      <c r="L17" s="343" t="n">
        <f aca="false">SUMPRODUCT((Projects!$G$2:$G$14="Yes")*(L$15&gt;=Projects!$C$2:$C$14)*(L$15&lt;Projects!$C$2:$C$14+Projects!$D$2:$D$14))+SUMPRODUCT((Projects!$G$17:$G$46="Yes")*(L$15&gt;=Projects!$C$17:$C$46)*(L$15&lt;Projects!$C$17:$C$46+Projects!$D$17:$D$46))</f>
        <v>11</v>
      </c>
      <c r="M17" s="343" t="n">
        <f aca="false">SUMPRODUCT((Projects!$G$2:$G$14="Yes")*(M$15&gt;=Projects!$C$2:$C$14)*(M$15&lt;Projects!$C$2:$C$14+Projects!$D$2:$D$14))+SUMPRODUCT((Projects!$G$17:$G$46="Yes")*(M$15&gt;=Projects!$C$17:$C$46)*(M$15&lt;Projects!$C$17:$C$46+Projects!$D$17:$D$46))</f>
        <v>11</v>
      </c>
      <c r="N17" s="343" t="n">
        <f aca="false">SUMPRODUCT((Projects!$G$2:$G$14="Yes")*(N$15&gt;=Projects!$C$2:$C$14)*(N$15&lt;Projects!$C$2:$C$14+Projects!$D$2:$D$14))+SUMPRODUCT((Projects!$G$17:$G$46="Yes")*(N$15&gt;=Projects!$C$17:$C$46)*(N$15&lt;Projects!$C$17:$C$46+Projects!$D$17:$D$46))</f>
        <v>10</v>
      </c>
      <c r="O17" s="343" t="n">
        <f aca="false">SUMPRODUCT((Projects!$G$2:$G$14="Yes")*(O$15&gt;=Projects!$C$2:$C$14)*(O$15&lt;Projects!$C$2:$C$14+Projects!$D$2:$D$14))+SUMPRODUCT((Projects!$G$17:$G$46="Yes")*(O$15&gt;=Projects!$C$17:$C$46)*(O$15&lt;Projects!$C$17:$C$46+Projects!$D$17:$D$46))</f>
        <v>10</v>
      </c>
      <c r="P17" s="343" t="n">
        <f aca="false">SUMPRODUCT((Projects!$G$2:$G$14="Yes")*(P$15&gt;=Projects!$C$2:$C$14)*(P$15&lt;Projects!$C$2:$C$14+Projects!$D$2:$D$14))+SUMPRODUCT((Projects!$G$17:$G$46="Yes")*(P$15&gt;=Projects!$C$17:$C$46)*(P$15&lt;Projects!$C$17:$C$46+Projects!$D$17:$D$46))</f>
        <v>10</v>
      </c>
      <c r="Q17" s="343" t="n">
        <f aca="false">SUMPRODUCT((Projects!$G$2:$G$14="Yes")*(Q$15&gt;=Projects!$C$2:$C$14)*(Q$15&lt;Projects!$C$2:$C$14+Projects!$D$2:$D$14))+SUMPRODUCT((Projects!$G$17:$G$46="Yes")*(Q$15&gt;=Projects!$C$17:$C$46)*(Q$15&lt;Projects!$C$17:$C$46+Projects!$D$17:$D$46))</f>
        <v>10</v>
      </c>
      <c r="R17" s="343" t="n">
        <f aca="false">SUMPRODUCT((Projects!$G$2:$G$14="Yes")*(R$15&gt;=Projects!$C$2:$C$14)*(R$15&lt;Projects!$C$2:$C$14+Projects!$D$2:$D$14))+SUMPRODUCT((Projects!$G$17:$G$46="Yes")*(R$15&gt;=Projects!$C$17:$C$46)*(R$15&lt;Projects!$C$17:$C$46+Projects!$D$17:$D$46))</f>
        <v>11</v>
      </c>
      <c r="S17" s="343" t="n">
        <f aca="false">SUMPRODUCT((Projects!$G$2:$G$14="Yes")*(S$15&gt;=Projects!$C$2:$C$14)*(S$15&lt;Projects!$C$2:$C$14+Projects!$D$2:$D$14))+SUMPRODUCT((Projects!$G$17:$G$46="Yes")*(S$15&gt;=Projects!$C$17:$C$46)*(S$15&lt;Projects!$C$17:$C$46+Projects!$D$17:$D$46))</f>
        <v>11</v>
      </c>
      <c r="T17" s="343" t="n">
        <f aca="false">SUMPRODUCT((Projects!$G$2:$G$14="Yes")*(T$15&gt;=Projects!$C$2:$C$14)*(T$15&lt;Projects!$C$2:$C$14+Projects!$D$2:$D$14))+SUMPRODUCT((Projects!$G$17:$G$46="Yes")*(T$15&gt;=Projects!$C$17:$C$46)*(T$15&lt;Projects!$C$17:$C$46+Projects!$D$17:$D$46))</f>
        <v>11</v>
      </c>
      <c r="U17" s="343" t="n">
        <f aca="false">SUMPRODUCT((Projects!$G$2:$G$14="Yes")*(U$15&gt;=Projects!$C$2:$C$14)*(U$15&lt;Projects!$C$2:$C$14+Projects!$D$2:$D$14))+SUMPRODUCT((Projects!$G$17:$G$46="Yes")*(U$15&gt;=Projects!$C$17:$C$46)*(U$15&lt;Projects!$C$17:$C$46+Projects!$D$17:$D$46))</f>
        <v>9</v>
      </c>
      <c r="V17" s="343" t="n">
        <f aca="false">SUMPRODUCT((Projects!$G$2:$G$14="Yes")*(V$15&gt;=Projects!$C$2:$C$14)*(V$15&lt;Projects!$C$2:$C$14+Projects!$D$2:$D$14))+SUMPRODUCT((Projects!$G$17:$G$46="Yes")*(V$15&gt;=Projects!$C$17:$C$46)*(V$15&lt;Projects!$C$17:$C$46+Projects!$D$17:$D$46))</f>
        <v>8</v>
      </c>
      <c r="W17" s="343" t="n">
        <f aca="false">SUMPRODUCT((Projects!$G$2:$G$14="Yes")*(W$15&gt;=Projects!$C$2:$C$14)*(W$15&lt;Projects!$C$2:$C$14+Projects!$D$2:$D$14))+SUMPRODUCT((Projects!$G$17:$G$46="Yes")*(W$15&gt;=Projects!$C$17:$C$46)*(W$15&lt;Projects!$C$17:$C$46+Projects!$D$17:$D$46))</f>
        <v>8</v>
      </c>
      <c r="X17" s="343" t="n">
        <f aca="false">SUMPRODUCT((Projects!$G$2:$G$14="Yes")*(X$15&gt;=Projects!$C$2:$C$14)*(X$15&lt;Projects!$C$2:$C$14+Projects!$D$2:$D$14))+SUMPRODUCT((Projects!$G$17:$G$46="Yes")*(X$15&gt;=Projects!$C$17:$C$46)*(X$15&lt;Projects!$C$17:$C$46+Projects!$D$17:$D$46))</f>
        <v>8</v>
      </c>
      <c r="Y17" s="343" t="n">
        <f aca="false">SUMPRODUCT((Projects!$G$2:$G$14="Yes")*(Y$15&gt;=Projects!$C$2:$C$14)*(Y$15&lt;Projects!$C$2:$C$14+Projects!$D$2:$D$14))+SUMPRODUCT((Projects!$G$17:$G$46="Yes")*(Y$15&gt;=Projects!$C$17:$C$46)*(Y$15&lt;Projects!$C$17:$C$46+Projects!$D$17:$D$46))</f>
        <v>7</v>
      </c>
      <c r="Z17" s="343" t="n">
        <f aca="false">SUMPRODUCT((Projects!$G$2:$G$14="Yes")*(Z$15&gt;=Projects!$C$2:$C$14)*(Z$15&lt;Projects!$C$2:$C$14+Projects!$D$2:$D$14))+SUMPRODUCT((Projects!$G$17:$G$46="Yes")*(Z$15&gt;=Projects!$C$17:$C$46)*(Z$15&lt;Projects!$C$17:$C$46+Projects!$D$17:$D$46))</f>
        <v>7</v>
      </c>
      <c r="AA17" s="343" t="n">
        <f aca="false">SUMPRODUCT((Projects!$G$2:$G$14="Yes")*(AA$15&gt;=Projects!$C$2:$C$14)*(AA$15&lt;Projects!$C$2:$C$14+Projects!$D$2:$D$14))+SUMPRODUCT((Projects!$G$17:$G$46="Yes")*(AA$15&gt;=Projects!$C$17:$C$46)*(AA$15&lt;Projects!$C$17:$C$46+Projects!$D$17:$D$46))</f>
        <v>7</v>
      </c>
      <c r="AB17" s="343" t="n">
        <f aca="false">SUMPRODUCT((Projects!$G$2:$G$14="Yes")*(AB$15&gt;=Projects!$C$2:$C$14)*(AB$15&lt;Projects!$C$2:$C$14+Projects!$D$2:$D$14))+SUMPRODUCT((Projects!$G$17:$G$46="Yes")*(AB$15&gt;=Projects!$C$17:$C$46)*(AB$15&lt;Projects!$C$17:$C$46+Projects!$D$17:$D$46))</f>
        <v>7</v>
      </c>
      <c r="AC17" s="343" t="n">
        <f aca="false">SUMPRODUCT((Projects!$G$2:$G$14="Yes")*(AC$15&gt;=Projects!$C$2:$C$14)*(AC$15&lt;Projects!$C$2:$C$14+Projects!$D$2:$D$14))+SUMPRODUCT((Projects!$G$17:$G$46="Yes")*(AC$15&gt;=Projects!$C$17:$C$46)*(AC$15&lt;Projects!$C$17:$C$46+Projects!$D$17:$D$46))</f>
        <v>6</v>
      </c>
      <c r="AD17" s="343" t="n">
        <f aca="false">SUMPRODUCT((Projects!$G$2:$G$14="Yes")*(AD$15&gt;=Projects!$C$2:$C$14)*(AD$15&lt;Projects!$C$2:$C$14+Projects!$D$2:$D$14))+SUMPRODUCT((Projects!$G$17:$G$46="Yes")*(AD$15&gt;=Projects!$C$17:$C$46)*(AD$15&lt;Projects!$C$17:$C$46+Projects!$D$17:$D$46))</f>
        <v>6</v>
      </c>
      <c r="AE17" s="343" t="n">
        <f aca="false">SUMPRODUCT((Projects!$G$2:$G$14="Yes")*(AE$15&gt;=Projects!$C$2:$C$14)*(AE$15&lt;Projects!$C$2:$C$14+Projects!$D$2:$D$14))+SUMPRODUCT((Projects!$G$17:$G$46="Yes")*(AE$15&gt;=Projects!$C$17:$C$46)*(AE$15&lt;Projects!$C$17:$C$46+Projects!$D$17:$D$46))</f>
        <v>4</v>
      </c>
      <c r="AF17" s="343" t="n">
        <f aca="false">SUMPRODUCT((Projects!$G$2:$G$14="Yes")*(AF$15&gt;=Projects!$C$2:$C$14)*(AF$15&lt;Projects!$C$2:$C$14+Projects!$D$2:$D$14))+SUMPRODUCT((Projects!$G$17:$G$46="Yes")*(AF$15&gt;=Projects!$C$17:$C$46)*(AF$15&lt;Projects!$C$17:$C$46+Projects!$D$17:$D$46))</f>
        <v>5</v>
      </c>
      <c r="AG17" s="343" t="n">
        <f aca="false">SUMPRODUCT((Projects!$G$2:$G$14="Yes")*(AG$15&gt;=Projects!$C$2:$C$14)*(AG$15&lt;Projects!$C$2:$C$14+Projects!$D$2:$D$14))+SUMPRODUCT((Projects!$G$17:$G$46="Yes")*(AG$15&gt;=Projects!$C$17:$C$46)*(AG$15&lt;Projects!$C$17:$C$46+Projects!$D$17:$D$46))</f>
        <v>5</v>
      </c>
      <c r="AH17" s="343" t="n">
        <f aca="false">SUMPRODUCT((Projects!$G$2:$G$14="Yes")*(AH$15&gt;=Projects!$C$2:$C$14)*(AH$15&lt;Projects!$C$2:$C$14+Projects!$D$2:$D$14))+SUMPRODUCT((Projects!$G$17:$G$46="Yes")*(AH$15&gt;=Projects!$C$17:$C$46)*(AH$15&lt;Projects!$C$17:$C$46+Projects!$D$17:$D$46))</f>
        <v>5</v>
      </c>
      <c r="AI17" s="343" t="n">
        <f aca="false">SUMPRODUCT((Projects!$G$2:$G$14="Yes")*(AI$15&gt;=Projects!$C$2:$C$14)*(AI$15&lt;Projects!$C$2:$C$14+Projects!$D$2:$D$14))+SUMPRODUCT((Projects!$G$17:$G$46="Yes")*(AI$15&gt;=Projects!$C$17:$C$46)*(AI$15&lt;Projects!$C$17:$C$46+Projects!$D$17:$D$46))</f>
        <v>4</v>
      </c>
      <c r="AJ17" s="343" t="n">
        <f aca="false">SUMPRODUCT((Projects!$G$2:$G$14="Yes")*(AJ$15&gt;=Projects!$C$2:$C$14)*(AJ$15&lt;Projects!$C$2:$C$14+Projects!$D$2:$D$14))+SUMPRODUCT((Projects!$G$17:$G$46="Yes")*(AJ$15&gt;=Projects!$C$17:$C$46)*(AJ$15&lt;Projects!$C$17:$C$46+Projects!$D$17:$D$46))</f>
        <v>4</v>
      </c>
      <c r="AK17" s="343" t="n">
        <f aca="false">SUMPRODUCT((Projects!$G$2:$G$14="Yes")*(AK$15&gt;=Projects!$C$2:$C$14)*(AK$15&lt;Projects!$C$2:$C$14+Projects!$D$2:$D$14))+SUMPRODUCT((Projects!$G$17:$G$46="Yes")*(AK$15&gt;=Projects!$C$17:$C$46)*(AK$15&lt;Projects!$C$17:$C$46+Projects!$D$17:$D$46))</f>
        <v>4</v>
      </c>
      <c r="AL17" s="343" t="n">
        <f aca="false">SUMPRODUCT((Projects!$G$2:$G$14="Yes")*(AL$15&gt;=Projects!$C$2:$C$14)*(AL$15&lt;Projects!$C$2:$C$14+Projects!$D$2:$D$14))+SUMPRODUCT((Projects!$G$17:$G$46="Yes")*(AL$15&gt;=Projects!$C$17:$C$46)*(AL$15&lt;Projects!$C$17:$C$46+Projects!$D$17:$D$46))</f>
        <v>4</v>
      </c>
      <c r="AM17" s="343" t="n">
        <f aca="false">SUMPRODUCT((Projects!$G$2:$G$14="Yes")*(AM$15&gt;=Projects!$C$2:$C$14)*(AM$15&lt;Projects!$C$2:$C$14+Projects!$D$2:$D$14))+SUMPRODUCT((Projects!$G$17:$G$46="Yes")*(AM$15&gt;=Projects!$C$17:$C$46)*(AM$15&lt;Projects!$C$17:$C$46+Projects!$D$17:$D$46))</f>
        <v>4</v>
      </c>
      <c r="AN17" s="343" t="n">
        <f aca="false">SUMPRODUCT((Projects!$G$2:$G$14="Yes")*(AN$15&gt;=Projects!$C$2:$C$14)*(AN$15&lt;Projects!$C$2:$C$14+Projects!$D$2:$D$14))+SUMPRODUCT((Projects!$G$17:$G$46="Yes")*(AN$15&gt;=Projects!$C$17:$C$46)*(AN$15&lt;Projects!$C$17:$C$46+Projects!$D$17:$D$46))</f>
        <v>2</v>
      </c>
      <c r="AO17" s="343" t="n">
        <f aca="false">SUMPRODUCT((Projects!$G$2:$G$14="Yes")*(AO$15&gt;=Projects!$C$2:$C$14)*(AO$15&lt;Projects!$C$2:$C$14+Projects!$D$2:$D$14))+SUMPRODUCT((Projects!$G$17:$G$46="Yes")*(AO$15&gt;=Projects!$C$17:$C$46)*(AO$15&lt;Projects!$C$17:$C$46+Projects!$D$17:$D$46))</f>
        <v>2</v>
      </c>
      <c r="AP17" s="343" t="n">
        <f aca="false">SUMPRODUCT((Projects!$G$2:$G$14="Yes")*(AP$15&gt;=Projects!$C$2:$C$14)*(AP$15&lt;Projects!$C$2:$C$14+Projects!$D$2:$D$14))+SUMPRODUCT((Projects!$G$17:$G$46="Yes")*(AP$15&gt;=Projects!$C$17:$C$46)*(AP$15&lt;Projects!$C$17:$C$46+Projects!$D$17:$D$46))</f>
        <v>2</v>
      </c>
      <c r="AQ17" s="343" t="n">
        <f aca="false">SUMPRODUCT((Projects!$G$2:$G$14="Yes")*(AQ$15&gt;=Projects!$C$2:$C$14)*(AQ$15&lt;Projects!$C$2:$C$14+Projects!$D$2:$D$14))+SUMPRODUCT((Projects!$G$17:$G$46="Yes")*(AQ$15&gt;=Projects!$C$17:$C$46)*(AQ$15&lt;Projects!$C$17:$C$46+Projects!$D$17:$D$46))</f>
        <v>2</v>
      </c>
      <c r="AR17" s="343" t="n">
        <f aca="false">SUMPRODUCT((Projects!$G$2:$G$14="Yes")*(AR$15&gt;=Projects!$C$2:$C$14)*(AR$15&lt;Projects!$C$2:$C$14+Projects!$D$2:$D$14))+SUMPRODUCT((Projects!$G$17:$G$46="Yes")*(AR$15&gt;=Projects!$C$17:$C$46)*(AR$15&lt;Projects!$C$17:$C$46+Projects!$D$17:$D$46))</f>
        <v>2</v>
      </c>
      <c r="AS17" s="343" t="n">
        <f aca="false">SUMPRODUCT((Projects!$G$2:$G$14="Yes")*(AS$15&gt;=Projects!$C$2:$C$14)*(AS$15&lt;Projects!$C$2:$C$14+Projects!$D$2:$D$14))+SUMPRODUCT((Projects!$G$17:$G$46="Yes")*(AS$15&gt;=Projects!$C$17:$C$46)*(AS$15&lt;Projects!$C$17:$C$46+Projects!$D$17:$D$46))</f>
        <v>2</v>
      </c>
      <c r="AT17" s="343" t="n">
        <f aca="false">SUMPRODUCT((Projects!$G$2:$G$14="Yes")*(AT$15&gt;=Projects!$C$2:$C$14)*(AT$15&lt;Projects!$C$2:$C$14+Projects!$D$2:$D$14))+SUMPRODUCT((Projects!$G$17:$G$46="Yes")*(AT$15&gt;=Projects!$C$17:$C$46)*(AT$15&lt;Projects!$C$17:$C$46+Projects!$D$17:$D$46))</f>
        <v>2</v>
      </c>
      <c r="AU17" s="343" t="n">
        <f aca="false">SUMPRODUCT((Projects!$G$2:$G$14="Yes")*(AU$15&gt;=Projects!$C$2:$C$14)*(AU$15&lt;Projects!$C$2:$C$14+Projects!$D$2:$D$14))+SUMPRODUCT((Projects!$G$17:$G$46="Yes")*(AU$15&gt;=Projects!$C$17:$C$46)*(AU$15&lt;Projects!$C$17:$C$46+Projects!$D$17:$D$46))</f>
        <v>2</v>
      </c>
      <c r="AV17" s="343" t="n">
        <f aca="false">SUMPRODUCT((Projects!$G$2:$G$14="Yes")*(AV$15&gt;=Projects!$C$2:$C$14)*(AV$15&lt;Projects!$C$2:$C$14+Projects!$D$2:$D$14))+SUMPRODUCT((Projects!$G$17:$G$46="Yes")*(AV$15&gt;=Projects!$C$17:$C$46)*(AV$15&lt;Projects!$C$17:$C$46+Projects!$D$17:$D$46))</f>
        <v>1</v>
      </c>
      <c r="AW17" s="343" t="n">
        <f aca="false">SUMPRODUCT((Projects!$G$2:$G$14="Yes")*(AW$15&gt;=Projects!$C$2:$C$14)*(AW$15&lt;Projects!$C$2:$C$14+Projects!$D$2:$D$14))+SUMPRODUCT((Projects!$G$17:$G$46="Yes")*(AW$15&gt;=Projects!$C$17:$C$46)*(AW$15&lt;Projects!$C$17:$C$46+Projects!$D$17:$D$46))</f>
        <v>1</v>
      </c>
      <c r="AX17" s="343" t="n">
        <f aca="false">SUMPRODUCT((Projects!$G$2:$G$14="Yes")*(AX$15&gt;=Projects!$C$2:$C$14)*(AX$15&lt;Projects!$C$2:$C$14+Projects!$D$2:$D$14))+SUMPRODUCT((Projects!$G$17:$G$46="Yes")*(AX$15&gt;=Projects!$C$17:$C$46)*(AX$15&lt;Projects!$C$17:$C$46+Projects!$D$17:$D$46))</f>
        <v>1</v>
      </c>
      <c r="AY17" s="343" t="n">
        <f aca="false">SUMPRODUCT((Projects!$G$2:$G$14="Yes")*(AY$15&gt;=Projects!$C$2:$C$14)*(AY$15&lt;Projects!$C$2:$C$14+Projects!$D$2:$D$14))+SUMPRODUCT((Projects!$G$17:$G$46="Yes")*(AY$15&gt;=Projects!$C$17:$C$46)*(AY$15&lt;Projects!$C$17:$C$46+Projects!$D$17:$D$46))</f>
        <v>1</v>
      </c>
      <c r="AZ17" s="343" t="n">
        <f aca="false">SUMPRODUCT((Projects!$G$2:$G$14="Yes")*(AZ$15&gt;=Projects!$C$2:$C$14)*(AZ$15&lt;Projects!$C$2:$C$14+Projects!$D$2:$D$14))+SUMPRODUCT((Projects!$G$17:$G$46="Yes")*(AZ$15&gt;=Projects!$C$17:$C$46)*(AZ$15&lt;Projects!$C$17:$C$46+Projects!$D$17:$D$46))</f>
        <v>1</v>
      </c>
      <c r="BA17" s="343" t="n">
        <f aca="false">SUMPRODUCT((Projects!$G$2:$G$14="Yes")*(BA$15&gt;=Projects!$C$2:$C$14)*(BA$15&lt;Projects!$C$2:$C$14+Projects!$D$2:$D$14))+SUMPRODUCT((Projects!$G$17:$G$46="Yes")*(BA$15&gt;=Projects!$C$17:$C$46)*(BA$15&lt;Projects!$C$17:$C$46+Projects!$D$17:$D$46))</f>
        <v>1</v>
      </c>
      <c r="BB17" s="343" t="n">
        <f aca="false">SUMPRODUCT((Projects!$G$2:$G$14="Yes")*(BB$15&gt;=Projects!$C$2:$C$14)*(BB$15&lt;Projects!$C$2:$C$14+Projects!$D$2:$D$14))+SUMPRODUCT((Projects!$G$17:$G$46="Yes")*(BB$15&gt;=Projects!$C$17:$C$46)*(BB$15&lt;Projects!$C$17:$C$46+Projects!$D$17:$D$46))</f>
        <v>1</v>
      </c>
      <c r="BC17" s="343" t="n">
        <f aca="false">SUMPRODUCT((Projects!$G$2:$G$14="Yes")*(BC$15&gt;=Projects!$C$2:$C$14)*(BC$15&lt;Projects!$C$2:$C$14+Projects!$D$2:$D$14))+SUMPRODUCT((Projects!$G$17:$G$46="Yes")*(BC$15&gt;=Projects!$C$17:$C$46)*(BC$15&lt;Projects!$C$17:$C$46+Projects!$D$17:$D$46))</f>
        <v>1</v>
      </c>
      <c r="BD17" s="343" t="n">
        <f aca="false">SUMPRODUCT((Projects!$G$2:$G$14="Yes")*(BD$15&gt;=Projects!$C$2:$C$14)*(BD$15&lt;Projects!$C$2:$C$14+Projects!$D$2:$D$14))+SUMPRODUCT((Projects!$G$17:$G$46="Yes")*(BD$15&gt;=Projects!$C$17:$C$46)*(BD$15&lt;Projects!$C$17:$C$46+Projects!$D$17:$D$46))</f>
        <v>1</v>
      </c>
      <c r="BE17" s="343" t="n">
        <f aca="false">SUMPRODUCT((Projects!$G$2:$G$14="Yes")*(BE$15&gt;=Projects!$C$2:$C$14)*(BE$15&lt;Projects!$C$2:$C$14+Projects!$D$2:$D$14))+SUMPRODUCT((Projects!$G$17:$G$46="Yes")*(BE$15&gt;=Projects!$C$17:$C$46)*(BE$15&lt;Projects!$C$17:$C$46+Projects!$D$17:$D$46))</f>
        <v>1</v>
      </c>
      <c r="BF17" s="343" t="n">
        <f aca="false">SUMPRODUCT((Projects!$G$2:$G$14="Yes")*(BF$15&gt;=Projects!$C$2:$C$14)*(BF$15&lt;Projects!$C$2:$C$14+Projects!$D$2:$D$14))+SUMPRODUCT((Projects!$G$17:$G$46="Yes")*(BF$15&gt;=Projects!$C$17:$C$46)*(BF$15&lt;Projects!$C$17:$C$46+Projects!$D$17:$D$46))</f>
        <v>1</v>
      </c>
      <c r="BG17" s="343" t="n">
        <f aca="false">SUMPRODUCT((Projects!$G$2:$G$14="Yes")*(BG$15&gt;=Projects!$C$2:$C$14)*(BG$15&lt;Projects!$C$2:$C$14+Projects!$D$2:$D$14))+SUMPRODUCT((Projects!$G$17:$G$46="Yes")*(BG$15&gt;=Projects!$C$17:$C$46)*(BG$15&lt;Projects!$C$17:$C$46+Projects!$D$17:$D$46))</f>
        <v>1</v>
      </c>
      <c r="BH17" s="343" t="n">
        <f aca="false">SUMPRODUCT((Projects!$G$2:$G$14="Yes")*(BH$15&gt;=Projects!$C$2:$C$14)*(BH$15&lt;Projects!$C$2:$C$14+Projects!$D$2:$D$14))+SUMPRODUCT((Projects!$G$17:$G$46="Yes")*(BH$15&gt;=Projects!$C$17:$C$46)*(BH$15&lt;Projects!$C$17:$C$46+Projects!$D$17:$D$46))</f>
        <v>1</v>
      </c>
      <c r="BI17" s="343" t="n">
        <f aca="false">SUMPRODUCT((Projects!$G$2:$G$14="Yes")*(BI$15&gt;=Projects!$C$2:$C$14)*(BI$15&lt;Projects!$C$2:$C$14+Projects!$D$2:$D$14))+SUMPRODUCT((Projects!$G$17:$G$46="Yes")*(BI$15&gt;=Projects!$C$17:$C$46)*(BI$15&lt;Projects!$C$17:$C$46+Projects!$D$17:$D$46))</f>
        <v>1</v>
      </c>
      <c r="BJ17" s="343" t="n">
        <f aca="false">SUMPRODUCT((Projects!$G$2:$G$14="Yes")*(BJ$15&gt;=Projects!$C$2:$C$14)*(BJ$15&lt;Projects!$C$2:$C$14+Projects!$D$2:$D$14))+SUMPRODUCT((Projects!$G$17:$G$46="Yes")*(BJ$15&gt;=Projects!$C$17:$C$46)*(BJ$15&lt;Projects!$C$17:$C$46+Projects!$D$17:$D$46))</f>
        <v>0</v>
      </c>
      <c r="BK17" s="343" t="n">
        <f aca="false">SUMPRODUCT((Projects!$G$2:$G$14="Yes")*(BK$15&gt;=Projects!$C$2:$C$14)*(BK$15&lt;Projects!$C$2:$C$14+Projects!$D$2:$D$14))+SUMPRODUCT((Projects!$G$17:$G$46="Yes")*(BK$15&gt;=Projects!$C$17:$C$46)*(BK$15&lt;Projects!$C$17:$C$46+Projects!$D$17:$D$46))</f>
        <v>0</v>
      </c>
      <c r="BL17" s="343" t="n">
        <f aca="false">SUMPRODUCT((Projects!$G$2:$G$14="Yes")*(BL$15&gt;=Projects!$C$2:$C$14)*(BL$15&lt;Projects!$C$2:$C$14+Projects!$D$2:$D$14))+SUMPRODUCT((Projects!$G$17:$G$46="Yes")*(BL$15&gt;=Projects!$C$17:$C$46)*(BL$15&lt;Projects!$C$17:$C$46+Projects!$D$17:$D$46))</f>
        <v>0</v>
      </c>
      <c r="BM17" s="343" t="n">
        <f aca="false">SUMPRODUCT((Projects!$G$2:$G$14="Yes")*(BM$15&gt;=Projects!$C$2:$C$14)*(BM$15&lt;Projects!$C$2:$C$14+Projects!$D$2:$D$14))+SUMPRODUCT((Projects!$G$17:$G$46="Yes")*(BM$15&gt;=Projects!$C$17:$C$46)*(BM$15&lt;Projects!$C$17:$C$46+Projects!$D$17:$D$46))</f>
        <v>0</v>
      </c>
      <c r="BN17" s="343" t="n">
        <f aca="false">SUMPRODUCT((Projects!$G$2:$G$14="Yes")*(BN$15&gt;=Projects!$C$2:$C$14)*(BN$15&lt;Projects!$C$2:$C$14+Projects!$D$2:$D$14))+SUMPRODUCT((Projects!$G$17:$G$46="Yes")*(BN$15&gt;=Projects!$C$17:$C$46)*(BN$15&lt;Projects!$C$17:$C$46+Projects!$D$17:$D$46))</f>
        <v>0</v>
      </c>
      <c r="BO17" s="343" t="n">
        <f aca="false">SUMPRODUCT((Projects!$G$2:$G$14="Yes")*(BO$15&gt;=Projects!$C$2:$C$14)*(BO$15&lt;Projects!$C$2:$C$14+Projects!$D$2:$D$14))+SUMPRODUCT((Projects!$G$17:$G$46="Yes")*(BO$15&gt;=Projects!$C$17:$C$46)*(BO$15&lt;Projects!$C$17:$C$46+Projects!$D$17:$D$46))</f>
        <v>0</v>
      </c>
      <c r="BP17" s="343" t="n">
        <f aca="false">SUMPRODUCT((Projects!$G$2:$G$14="Yes")*(BP$15&gt;=Projects!$C$2:$C$14)*(BP$15&lt;Projects!$C$2:$C$14+Projects!$D$2:$D$14))+SUMPRODUCT((Projects!$G$17:$G$46="Yes")*(BP$15&gt;=Projects!$C$17:$C$46)*(BP$15&lt;Projects!$C$17:$C$46+Projects!$D$17:$D$46))</f>
        <v>0</v>
      </c>
      <c r="BQ17" s="343" t="n">
        <f aca="false">SUMPRODUCT((Projects!$G$2:$G$14="Yes")*(BQ$15&gt;=Projects!$C$2:$C$14)*(BQ$15&lt;Projects!$C$2:$C$14+Projects!$D$2:$D$14))+SUMPRODUCT((Projects!$G$17:$G$46="Yes")*(BQ$15&gt;=Projects!$C$17:$C$46)*(BQ$15&lt;Projects!$C$17:$C$46+Projects!$D$17:$D$46))</f>
        <v>0</v>
      </c>
      <c r="BR17" s="343" t="n">
        <f aca="false">SUMPRODUCT((Projects!$G$2:$G$14="Yes")*(BR$15&gt;=Projects!$C$2:$C$14)*(BR$15&lt;Projects!$C$2:$C$14+Projects!$D$2:$D$14))+SUMPRODUCT((Projects!$G$17:$G$46="Yes")*(BR$15&gt;=Projects!$C$17:$C$46)*(BR$15&lt;Projects!$C$17:$C$46+Projects!$D$17:$D$46))</f>
        <v>0</v>
      </c>
      <c r="BS17" s="343" t="n">
        <f aca="false">SUMPRODUCT((Projects!$G$2:$G$14="Yes")*(BS$15&gt;=Projects!$C$2:$C$14)*(BS$15&lt;Projects!$C$2:$C$14+Projects!$D$2:$D$14))+SUMPRODUCT((Projects!$G$17:$G$46="Yes")*(BS$15&gt;=Projects!$C$17:$C$46)*(BS$15&lt;Projects!$C$17:$C$46+Projects!$D$17:$D$46))</f>
        <v>0</v>
      </c>
      <c r="BT17" s="343" t="n">
        <f aca="false">SUMPRODUCT((Projects!$G$2:$G$14="Yes")*(BT$15&gt;=Projects!$C$2:$C$14)*(BT$15&lt;Projects!$C$2:$C$14+Projects!$D$2:$D$14))+SUMPRODUCT((Projects!$G$17:$G$46="Yes")*(BT$15&gt;=Projects!$C$17:$C$46)*(BT$15&lt;Projects!$C$17:$C$46+Projects!$D$17:$D$46))</f>
        <v>0</v>
      </c>
      <c r="BU17" s="343" t="n">
        <f aca="false">SUMPRODUCT((Projects!$G$2:$G$14="Yes")*(BU$15&gt;=Projects!$C$2:$C$14)*(BU$15&lt;Projects!$C$2:$C$14+Projects!$D$2:$D$14))+SUMPRODUCT((Projects!$G$17:$G$46="Yes")*(BU$15&gt;=Projects!$C$17:$C$46)*(BU$15&lt;Projects!$C$17:$C$46+Projects!$D$17:$D$46))</f>
        <v>0</v>
      </c>
      <c r="BV17" s="343" t="n">
        <f aca="false">SUMPRODUCT((Projects!$G$2:$G$14="Yes")*(BV$15&gt;=Projects!$C$2:$C$14)*(BV$15&lt;Projects!$C$2:$C$14+Projects!$D$2:$D$14))+SUMPRODUCT((Projects!$G$17:$G$46="Yes")*(BV$15&gt;=Projects!$C$17:$C$46)*(BV$15&lt;Projects!$C$17:$C$46+Projects!$D$17:$D$46))</f>
        <v>0</v>
      </c>
      <c r="BW17" s="343" t="n">
        <f aca="false">SUMPRODUCT((Projects!$G$2:$G$14="Yes")*(BW$15&gt;=Projects!$C$2:$C$14)*(BW$15&lt;Projects!$C$2:$C$14+Projects!$D$2:$D$14))+SUMPRODUCT((Projects!$G$17:$G$46="Yes")*(BW$15&gt;=Projects!$C$17:$C$46)*(BW$15&lt;Projects!$C$17:$C$46+Projects!$D$17:$D$46))</f>
        <v>0</v>
      </c>
      <c r="BX17" s="343" t="n">
        <f aca="false">SUMPRODUCT((Projects!$G$2:$G$14="Yes")*(BX$15&gt;=Projects!$C$2:$C$14)*(BX$15&lt;Projects!$C$2:$C$14+Projects!$D$2:$D$14))+SUMPRODUCT((Projects!$G$17:$G$46="Yes")*(BX$15&gt;=Projects!$C$17:$C$46)*(BX$15&lt;Projects!$C$17:$C$46+Projects!$D$17:$D$46))</f>
        <v>0</v>
      </c>
      <c r="BY17" s="343" t="n">
        <f aca="false">SUMPRODUCT((Projects!$G$2:$G$14="Yes")*(BY$15&gt;=Projects!$C$2:$C$14)*(BY$15&lt;Projects!$C$2:$C$14+Projects!$D$2:$D$14))+SUMPRODUCT((Projects!$G$17:$G$46="Yes")*(BY$15&gt;=Projects!$C$17:$C$46)*(BY$15&lt;Projects!$C$17:$C$46+Projects!$D$17:$D$46))</f>
        <v>0</v>
      </c>
      <c r="BZ17" s="343" t="n">
        <f aca="false">SUMPRODUCT((Projects!$G$2:$G$14="Yes")*(BZ$15&gt;=Projects!$C$2:$C$14)*(BZ$15&lt;Projects!$C$2:$C$14+Projects!$D$2:$D$14))+SUMPRODUCT((Projects!$G$17:$G$46="Yes")*(BZ$15&gt;=Projects!$C$17:$C$46)*(BZ$15&lt;Projects!$C$17:$C$46+Projects!$D$17:$D$46))</f>
        <v>0</v>
      </c>
      <c r="CA17" s="343" t="n">
        <f aca="false">SUMPRODUCT((Projects!$G$2:$G$14="Yes")*(CA$15&gt;=Projects!$C$2:$C$14)*(CA$15&lt;Projects!$C$2:$C$14+Projects!$D$2:$D$14))+SUMPRODUCT((Projects!$G$17:$G$46="Yes")*(CA$15&gt;=Projects!$C$17:$C$46)*(CA$15&lt;Projects!$C$17:$C$46+Projects!$D$17:$D$46))</f>
        <v>0</v>
      </c>
      <c r="CB17" s="343" t="n">
        <f aca="false">SUMPRODUCT((Projects!$G$2:$G$14="Yes")*(CB$15&gt;=Projects!$C$2:$C$14)*(CB$15&lt;Projects!$C$2:$C$14+Projects!$D$2:$D$14))+SUMPRODUCT((Projects!$G$17:$G$46="Yes")*(CB$15&gt;=Projects!$C$17:$C$46)*(CB$15&lt;Projects!$C$17:$C$46+Projects!$D$17:$D$46))</f>
        <v>0</v>
      </c>
      <c r="CC17" s="343" t="n">
        <f aca="false">SUMPRODUCT((Projects!$G$2:$G$14="Yes")*(CC$15&gt;=Projects!$C$2:$C$14)*(CC$15&lt;Projects!$C$2:$C$14+Projects!$D$2:$D$14))+SUMPRODUCT((Projects!$G$17:$G$46="Yes")*(CC$15&gt;=Projects!$C$17:$C$46)*(CC$15&lt;Projects!$C$17:$C$46+Projects!$D$17:$D$46))</f>
        <v>0</v>
      </c>
      <c r="CD17" s="343" t="n">
        <f aca="false">SUMPRODUCT((Projects!$G$2:$G$14="Yes")*(CD$15&gt;=Projects!$C$2:$C$14)*(CD$15&lt;Projects!$C$2:$C$14+Projects!$D$2:$D$14))+SUMPRODUCT((Projects!$G$17:$G$46="Yes")*(CD$15&gt;=Projects!$C$17:$C$46)*(CD$15&lt;Projects!$C$17:$C$46+Projects!$D$17:$D$46))</f>
        <v>0</v>
      </c>
      <c r="CE17" s="343" t="n">
        <f aca="false">SUMPRODUCT((Projects!$G$2:$G$14="Yes")*(CE$15&gt;=Projects!$C$2:$C$14)*(CE$15&lt;Projects!$C$2:$C$14+Projects!$D$2:$D$14))+SUMPRODUCT((Projects!$G$17:$G$46="Yes")*(CE$15&gt;=Projects!$C$17:$C$46)*(CE$15&lt;Projects!$C$17:$C$46+Projects!$D$17:$D$46))</f>
        <v>0</v>
      </c>
      <c r="CF17" s="343" t="n">
        <f aca="false">SUMPRODUCT((Projects!$G$2:$G$14="Yes")*(CF$15&gt;=Projects!$C$2:$C$14)*(CF$15&lt;Projects!$C$2:$C$14+Projects!$D$2:$D$14))+SUMPRODUCT((Projects!$G$17:$G$46="Yes")*(CF$15&gt;=Projects!$C$17:$C$46)*(CF$15&lt;Projects!$C$17:$C$46+Projects!$D$17:$D$46))</f>
        <v>0</v>
      </c>
      <c r="CG17" s="343" t="n">
        <f aca="false">SUMPRODUCT((Projects!$G$2:$G$14="Yes")*(CG$15&gt;=Projects!$C$2:$C$14)*(CG$15&lt;Projects!$C$2:$C$14+Projects!$D$2:$D$14))+SUMPRODUCT((Projects!$G$17:$G$46="Yes")*(CG$15&gt;=Projects!$C$17:$C$46)*(CG$15&lt;Projects!$C$17:$C$46+Projects!$D$17:$D$46))</f>
        <v>0</v>
      </c>
      <c r="CH17" s="343" t="n">
        <f aca="false">SUMPRODUCT((Projects!$G$2:$G$14="Yes")*(CH$15&gt;=Projects!$C$2:$C$14)*(CH$15&lt;Projects!$C$2:$C$14+Projects!$D$2:$D$14))+SUMPRODUCT((Projects!$G$17:$G$46="Yes")*(CH$15&gt;=Projects!$C$17:$C$46)*(CH$15&lt;Projects!$C$17:$C$46+Projects!$D$17:$D$46))</f>
        <v>0</v>
      </c>
      <c r="CI17" s="343" t="n">
        <f aca="false">SUMPRODUCT((Projects!$G$2:$G$14="Yes")*(CI$15&gt;=Projects!$C$2:$C$14)*(CI$15&lt;Projects!$C$2:$C$14+Projects!$D$2:$D$14))+SUMPRODUCT((Projects!$G$17:$G$46="Yes")*(CI$15&gt;=Projects!$C$17:$C$46)*(CI$15&lt;Projects!$C$17:$C$46+Projects!$D$17:$D$46))</f>
        <v>0</v>
      </c>
      <c r="CJ17" s="343" t="n">
        <f aca="false">SUMPRODUCT((Projects!$G$2:$G$14="Yes")*(CJ$15&gt;=Projects!$C$2:$C$14)*(CJ$15&lt;Projects!$C$2:$C$14+Projects!$D$2:$D$14))+SUMPRODUCT((Projects!$G$17:$G$46="Yes")*(CJ$15&gt;=Projects!$C$17:$C$46)*(CJ$15&lt;Projects!$C$17:$C$46+Projects!$D$17:$D$46))</f>
        <v>0</v>
      </c>
      <c r="CK17" s="343" t="n">
        <f aca="false">SUMPRODUCT((Projects!$G$2:$G$14="Yes")*(CK$15&gt;=Projects!$C$2:$C$14)*(CK$15&lt;Projects!$C$2:$C$14+Projects!$D$2:$D$14))+SUMPRODUCT((Projects!$G$17:$G$46="Yes")*(CK$15&gt;=Projects!$C$17:$C$46)*(CK$15&lt;Projects!$C$17:$C$46+Projects!$D$17:$D$46))</f>
        <v>0</v>
      </c>
      <c r="CL17" s="343" t="n">
        <f aca="false">SUMPRODUCT((Projects!$G$2:$G$14="Yes")*(CL$15&gt;=Projects!$C$2:$C$14)*(CL$15&lt;Projects!$C$2:$C$14+Projects!$D$2:$D$14))+SUMPRODUCT((Projects!$G$17:$G$46="Yes")*(CL$15&gt;=Projects!$C$17:$C$46)*(CL$15&lt;Projects!$C$17:$C$46+Projects!$D$17:$D$46))</f>
        <v>0</v>
      </c>
      <c r="CM17" s="343" t="n">
        <f aca="false">SUMPRODUCT((Projects!$G$2:$G$14="Yes")*(CM$15&gt;=Projects!$C$2:$C$14)*(CM$15&lt;Projects!$C$2:$C$14+Projects!$D$2:$D$14))+SUMPRODUCT((Projects!$G$17:$G$46="Yes")*(CM$15&gt;=Projects!$C$17:$C$46)*(CM$15&lt;Projects!$C$17:$C$46+Projects!$D$17:$D$46))</f>
        <v>0</v>
      </c>
      <c r="CN17" s="343" t="n">
        <f aca="false">SUMPRODUCT((Projects!$G$2:$G$14="Yes")*(CN$15&gt;=Projects!$C$2:$C$14)*(CN$15&lt;Projects!$C$2:$C$14+Projects!$D$2:$D$14))+SUMPRODUCT((Projects!$G$17:$G$46="Yes")*(CN$15&gt;=Projects!$C$17:$C$46)*(CN$15&lt;Projects!$C$17:$C$46+Projects!$D$17:$D$46))</f>
        <v>0</v>
      </c>
      <c r="CO17" s="343" t="n">
        <f aca="false">SUMPRODUCT((Projects!$G$2:$G$14="Yes")*(CO$15&gt;=Projects!$C$2:$C$14)*(CO$15&lt;Projects!$C$2:$C$14+Projects!$D$2:$D$14))+SUMPRODUCT((Projects!$G$17:$G$46="Yes")*(CO$15&gt;=Projects!$C$17:$C$46)*(CO$15&lt;Projects!$C$17:$C$46+Projects!$D$17:$D$46))</f>
        <v>0</v>
      </c>
      <c r="CP17" s="343" t="n">
        <f aca="false">SUMPRODUCT((Projects!$G$2:$G$14="Yes")*(CP$15&gt;=Projects!$C$2:$C$14)*(CP$15&lt;Projects!$C$2:$C$14+Projects!$D$2:$D$14))+SUMPRODUCT((Projects!$G$17:$G$46="Yes")*(CP$15&gt;=Projects!$C$17:$C$46)*(CP$15&lt;Projects!$C$17:$C$46+Projects!$D$17:$D$46))</f>
        <v>0</v>
      </c>
      <c r="CQ17" s="343" t="n">
        <f aca="false">SUMPRODUCT((Projects!$G$2:$G$14="Yes")*(CQ$15&gt;=Projects!$C$2:$C$14)*(CQ$15&lt;Projects!$C$2:$C$14+Projects!$D$2:$D$14))+SUMPRODUCT((Projects!$G$17:$G$46="Yes")*(CQ$15&gt;=Projects!$C$17:$C$46)*(CQ$15&lt;Projects!$C$17:$C$46+Projects!$D$17:$D$46))</f>
        <v>0</v>
      </c>
      <c r="CR17" s="343" t="n">
        <f aca="false">SUMPRODUCT((Projects!$G$2:$G$14="Yes")*(CR$15&gt;=Projects!$C$2:$C$14)*(CR$15&lt;Projects!$C$2:$C$14+Projects!$D$2:$D$14))+SUMPRODUCT((Projects!$G$17:$G$46="Yes")*(CR$15&gt;=Projects!$C$17:$C$46)*(CR$15&lt;Projects!$C$17:$C$46+Projects!$D$17:$D$46))</f>
        <v>0</v>
      </c>
      <c r="CS17" s="343" t="n">
        <f aca="false">SUMPRODUCT((Projects!$G$2:$G$14="Yes")*(CS$15&gt;=Projects!$C$2:$C$14)*(CS$15&lt;Projects!$C$2:$C$14+Projects!$D$2:$D$14))+SUMPRODUCT((Projects!$G$17:$G$46="Yes")*(CS$15&gt;=Projects!$C$17:$C$46)*(CS$15&lt;Projects!$C$17:$C$46+Projects!$D$17:$D$46))</f>
        <v>0</v>
      </c>
      <c r="CT17" s="343" t="n">
        <f aca="false">SUMPRODUCT((Projects!$G$2:$G$14="Yes")*(CT$15&gt;=Projects!$C$2:$C$14)*(CT$15&lt;Projects!$C$2:$C$14+Projects!$D$2:$D$14))+SUMPRODUCT((Projects!$G$17:$G$46="Yes")*(CT$15&gt;=Projects!$C$17:$C$46)*(CT$15&lt;Projects!$C$17:$C$46+Projects!$D$17:$D$46))</f>
        <v>0</v>
      </c>
      <c r="CU17" s="343" t="n">
        <f aca="false">SUMPRODUCT((Projects!$G$2:$G$14="Yes")*(CU$15&gt;=Projects!$C$2:$C$14)*(CU$15&lt;Projects!$C$2:$C$14+Projects!$D$2:$D$14))+SUMPRODUCT((Projects!$G$17:$G$46="Yes")*(CU$15&gt;=Projects!$C$17:$C$46)*(CU$15&lt;Projects!$C$17:$C$46+Projects!$D$17:$D$46))</f>
        <v>0</v>
      </c>
      <c r="CV17" s="343" t="n">
        <f aca="false">SUMPRODUCT((Projects!$G$2:$G$14="Yes")*(CV$15&gt;=Projects!$C$2:$C$14)*(CV$15&lt;Projects!$C$2:$C$14+Projects!$D$2:$D$14))+SUMPRODUCT((Projects!$G$17:$G$46="Yes")*(CV$15&gt;=Projects!$C$17:$C$46)*(CV$15&lt;Projects!$C$17:$C$46+Projects!$D$17:$D$46))</f>
        <v>0</v>
      </c>
      <c r="CW17" s="343" t="n">
        <f aca="false">SUMPRODUCT((Projects!$G$2:$G$14="Yes")*(CW$15&gt;=Projects!$C$2:$C$14)*(CW$15&lt;Projects!$C$2:$C$14+Projects!$D$2:$D$14))+SUMPRODUCT((Projects!$G$17:$G$46="Yes")*(CW$15&gt;=Projects!$C$17:$C$46)*(CW$15&lt;Projects!$C$17:$C$46+Projects!$D$17:$D$46))</f>
        <v>0</v>
      </c>
      <c r="CX17" s="343" t="n">
        <f aca="false">SUMPRODUCT((Projects!$G$2:$G$14="Yes")*(CX$15&gt;=Projects!$C$2:$C$14)*(CX$15&lt;Projects!$C$2:$C$14+Projects!$D$2:$D$14))+SUMPRODUCT((Projects!$G$17:$G$46="Yes")*(CX$15&gt;=Projects!$C$17:$C$46)*(CX$15&lt;Projects!$C$17:$C$46+Projects!$D$17:$D$46))</f>
        <v>0</v>
      </c>
      <c r="CY17" s="343" t="n">
        <f aca="false">SUMPRODUCT((Projects!$G$2:$G$14="Yes")*(CY$15&gt;=Projects!$C$2:$C$14)*(CY$15&lt;Projects!$C$2:$C$14+Projects!$D$2:$D$14))+SUMPRODUCT((Projects!$G$17:$G$46="Yes")*(CY$15&gt;=Projects!$C$17:$C$46)*(CY$15&lt;Projects!$C$17:$C$46+Projects!$D$17:$D$46))</f>
        <v>0</v>
      </c>
      <c r="CZ17" s="343" t="n">
        <f aca="false">SUMPRODUCT((Projects!$G$2:$G$14="Yes")*(CZ$15&gt;=Projects!$C$2:$C$14)*(CZ$15&lt;Projects!$C$2:$C$14+Projects!$D$2:$D$14))+SUMPRODUCT((Projects!$G$17:$G$46="Yes")*(CZ$15&gt;=Projects!$C$17:$C$46)*(CZ$15&lt;Projects!$C$17:$C$46+Projects!$D$17:$D$46))</f>
        <v>0</v>
      </c>
      <c r="DA17" s="343" t="n">
        <f aca="false">SUMPRODUCT((Projects!$G$2:$G$14="Yes")*(DA$15&gt;=Projects!$C$2:$C$14)*(DA$15&lt;Projects!$C$2:$C$14+Projects!$D$2:$D$14))+SUMPRODUCT((Projects!$G$17:$G$46="Yes")*(DA$15&gt;=Projects!$C$17:$C$46)*(DA$15&lt;Projects!$C$17:$C$46+Projects!$D$17:$D$46))</f>
        <v>0</v>
      </c>
      <c r="DB17" s="343" t="n">
        <f aca="false">SUMPRODUCT((Projects!$G$2:$G$14="Yes")*(DB$15&gt;=Projects!$C$2:$C$14)*(DB$15&lt;Projects!$C$2:$C$14+Projects!$D$2:$D$14))+SUMPRODUCT((Projects!$G$17:$G$46="Yes")*(DB$15&gt;=Projects!$C$17:$C$46)*(DB$15&lt;Projects!$C$17:$C$46+Projects!$D$17:$D$46))</f>
        <v>0</v>
      </c>
      <c r="DC17" s="343" t="n">
        <f aca="false">SUMPRODUCT((Projects!$G$2:$G$14="Yes")*(DC$15&gt;=Projects!$C$2:$C$14)*(DC$15&lt;Projects!$C$2:$C$14+Projects!$D$2:$D$14))+SUMPRODUCT((Projects!$G$17:$G$46="Yes")*(DC$15&gt;=Projects!$C$17:$C$46)*(DC$15&lt;Projects!$C$17:$C$46+Projects!$D$17:$D$46))</f>
        <v>0</v>
      </c>
      <c r="DD17" s="343" t="n">
        <f aca="false">SUMPRODUCT((Projects!$G$2:$G$14="Yes")*(DD$15&gt;=Projects!$C$2:$C$14)*(DD$15&lt;Projects!$C$2:$C$14+Projects!$D$2:$D$14))+SUMPRODUCT((Projects!$G$17:$G$46="Yes")*(DD$15&gt;=Projects!$C$17:$C$46)*(DD$15&lt;Projects!$C$17:$C$46+Projects!$D$17:$D$46))</f>
        <v>0</v>
      </c>
      <c r="DE17" s="343" t="n">
        <f aca="false">SUMPRODUCT((Projects!$G$2:$G$14="Yes")*(DE$15&gt;=Projects!$C$2:$C$14)*(DE$15&lt;Projects!$C$2:$C$14+Projects!$D$2:$D$14))+SUMPRODUCT((Projects!$G$17:$G$46="Yes")*(DE$15&gt;=Projects!$C$17:$C$46)*(DE$15&lt;Projects!$C$17:$C$46+Projects!$D$17:$D$46))</f>
        <v>0</v>
      </c>
      <c r="DF17" s="343" t="n">
        <f aca="false">SUMPRODUCT((Projects!$G$2:$G$14="Yes")*(DF$15&gt;=Projects!$C$2:$C$14)*(DF$15&lt;Projects!$C$2:$C$14+Projects!$D$2:$D$14))+SUMPRODUCT((Projects!$G$17:$G$46="Yes")*(DF$15&gt;=Projects!$C$17:$C$46)*(DF$15&lt;Projects!$C$17:$C$46+Projects!$D$17:$D$46))</f>
        <v>0</v>
      </c>
    </row>
    <row r="18" customFormat="false" ht="15" hidden="false" customHeight="true" outlineLevel="0" collapsed="false">
      <c r="A18" s="218" t="s">
        <v>879</v>
      </c>
      <c r="B18" s="3"/>
      <c r="C18" s="344" t="n">
        <f aca="false">IFERROR(C16/C17,0)</f>
        <v>0</v>
      </c>
      <c r="D18" s="344" t="n">
        <f aca="false">IFERROR(D16/D17,0)</f>
        <v>0</v>
      </c>
      <c r="E18" s="344" t="n">
        <f aca="false">IFERROR(E16/E17,0)</f>
        <v>0</v>
      </c>
      <c r="F18" s="344" t="n">
        <f aca="false">IFERROR(F16/F17,0)</f>
        <v>14686.312</v>
      </c>
      <c r="G18" s="344" t="n">
        <f aca="false">IFERROR(G16/G17,0)</f>
        <v>87582.97</v>
      </c>
      <c r="H18" s="344" t="n">
        <f aca="false">IFERROR(H16/H17,0)</f>
        <v>85334.9086666667</v>
      </c>
      <c r="I18" s="344" t="n">
        <f aca="false">IFERROR(I16/I17,0)</f>
        <v>105849.145</v>
      </c>
      <c r="J18" s="344" t="n">
        <f aca="false">IFERROR(J16/J17,0)</f>
        <v>60530.715625</v>
      </c>
      <c r="K18" s="344" t="n">
        <f aca="false">IFERROR(K16/K17,0)</f>
        <v>58168.0435185185</v>
      </c>
      <c r="L18" s="344" t="n">
        <f aca="false">IFERROR(L16/L17,0)</f>
        <v>45410.2174242424</v>
      </c>
      <c r="M18" s="344" t="n">
        <f aca="false">IFERROR(M16/M17,0)</f>
        <v>45410.2174242424</v>
      </c>
      <c r="N18" s="344" t="n">
        <f aca="false">IFERROR(N16/N17,0)</f>
        <v>53141.6558333333</v>
      </c>
      <c r="O18" s="344" t="n">
        <f aca="false">IFERROR(O16/O17,0)</f>
        <v>48957.2815</v>
      </c>
      <c r="P18" s="344" t="n">
        <f aca="false">IFERROR(P16/P17,0)</f>
        <v>48957.2815</v>
      </c>
      <c r="Q18" s="344" t="n">
        <f aca="false">IFERROR(Q16/Q17,0)</f>
        <v>48957.2815</v>
      </c>
      <c r="R18" s="344" t="n">
        <f aca="false">IFERROR(R16/R17,0)</f>
        <v>48805.4186030303</v>
      </c>
      <c r="S18" s="344" t="n">
        <f aca="false">IFERROR(S16/S17,0)</f>
        <v>46623.6004212121</v>
      </c>
      <c r="T18" s="344" t="n">
        <f aca="false">IFERROR(T16/T17,0)</f>
        <v>46623.6004212121</v>
      </c>
      <c r="U18" s="344" t="n">
        <f aca="false">IFERROR(U16/U17,0)</f>
        <v>56984.4005148148</v>
      </c>
      <c r="V18" s="344" t="n">
        <f aca="false">IFERROR(V16/V17,0)</f>
        <v>64107.4505791667</v>
      </c>
      <c r="W18" s="344" t="n">
        <f aca="false">IFERROR(W16/W17,0)</f>
        <v>64107.4505791667</v>
      </c>
      <c r="X18" s="344" t="n">
        <f aca="false">IFERROR(X16/X17,0)</f>
        <v>64107.4505791667</v>
      </c>
      <c r="Y18" s="344" t="n">
        <f aca="false">IFERROR(Y16/Y17,0)</f>
        <v>73265.6578047619</v>
      </c>
      <c r="Z18" s="344" t="n">
        <f aca="false">IFERROR(Z16/Z17,0)</f>
        <v>73265.6578047619</v>
      </c>
      <c r="AA18" s="344" t="n">
        <f aca="false">IFERROR(AA16/AA17,0)</f>
        <v>73265.6578047619</v>
      </c>
      <c r="AB18" s="344" t="n">
        <f aca="false">IFERROR(AB16/AB17,0)</f>
        <v>73265.6578047619</v>
      </c>
      <c r="AC18" s="344" t="n">
        <f aca="false">IFERROR(AC16/AC17,0)</f>
        <v>85476.6007722222</v>
      </c>
      <c r="AD18" s="344" t="n">
        <f aca="false">IFERROR(AD16/AD17,0)</f>
        <v>86840.0216765556</v>
      </c>
      <c r="AE18" s="344" t="n">
        <f aca="false">IFERROR(AE16/AE17,0)</f>
        <v>130260.032514833</v>
      </c>
      <c r="AF18" s="344" t="n">
        <f aca="false">IFERROR(AF16/AF17,0)</f>
        <v>104208.026011867</v>
      </c>
      <c r="AG18" s="344" t="n">
        <f aca="false">IFERROR(AG16/AG17,0)</f>
        <v>104208.026011867</v>
      </c>
      <c r="AH18" s="344" t="n">
        <f aca="false">IFERROR(AH16/AH17,0)</f>
        <v>104208.026011867</v>
      </c>
      <c r="AI18" s="344" t="n">
        <f aca="false">IFERROR(AI16/AI17,0)</f>
        <v>130260.032514833</v>
      </c>
      <c r="AJ18" s="344" t="n">
        <f aca="false">IFERROR(AJ16/AJ17,0)</f>
        <v>130260.032514833</v>
      </c>
      <c r="AK18" s="344" t="n">
        <f aca="false">IFERROR(AK16/AK17,0)</f>
        <v>130260.032514833</v>
      </c>
      <c r="AL18" s="344" t="n">
        <f aca="false">IFERROR(AL16/AL17,0)</f>
        <v>130260.032514833</v>
      </c>
      <c r="AM18" s="344" t="n">
        <f aca="false">IFERROR(AM16/AM17,0)</f>
        <v>130260.032514833</v>
      </c>
      <c r="AN18" s="344" t="n">
        <f aca="false">IFERROR(AN16/AN17,0)</f>
        <v>260520.065029667</v>
      </c>
      <c r="AO18" s="344" t="n">
        <f aca="false">IFERROR(AO16/AO17,0)</f>
        <v>260520.065029667</v>
      </c>
      <c r="AP18" s="344" t="n">
        <f aca="false">IFERROR(AP16/AP17,0)</f>
        <v>264692.132996927</v>
      </c>
      <c r="AQ18" s="344" t="n">
        <f aca="false">IFERROR(AQ16/AQ17,0)</f>
        <v>264692.132996927</v>
      </c>
      <c r="AR18" s="344" t="n">
        <f aca="false">IFERROR(AR16/AR17,0)</f>
        <v>264692.132996927</v>
      </c>
      <c r="AS18" s="344" t="n">
        <f aca="false">IFERROR(AS16/AS17,0)</f>
        <v>264692.132996927</v>
      </c>
      <c r="AT18" s="344" t="n">
        <f aca="false">IFERROR(AT16/AT17,0)</f>
        <v>264692.132996927</v>
      </c>
      <c r="AU18" s="344" t="n">
        <f aca="false">IFERROR(AU16/AU17,0)</f>
        <v>264692.132996927</v>
      </c>
      <c r="AV18" s="344" t="n">
        <f aca="false">IFERROR(AV16/AV17,0)</f>
        <v>529384.265993853</v>
      </c>
      <c r="AW18" s="344" t="n">
        <f aca="false">IFERROR(AW16/AW17,0)</f>
        <v>529384.265993853</v>
      </c>
      <c r="AX18" s="344" t="n">
        <f aca="false">IFERROR(AX16/AX17,0)</f>
        <v>529384.265993853</v>
      </c>
      <c r="AY18" s="344" t="n">
        <f aca="false">IFERROR(AY16/AY17,0)</f>
        <v>529384.265993853</v>
      </c>
      <c r="AZ18" s="344" t="n">
        <f aca="false">IFERROR(AZ16/AZ17,0)</f>
        <v>529384.265993853</v>
      </c>
      <c r="BA18" s="344" t="n">
        <f aca="false">IFERROR(BA16/BA17,0)</f>
        <v>529384.265993853</v>
      </c>
      <c r="BB18" s="344" t="n">
        <f aca="false">IFERROR(BB16/BB17,0)</f>
        <v>537895.284647064</v>
      </c>
      <c r="BC18" s="344" t="n">
        <f aca="false">IFERROR(BC16/BC17,0)</f>
        <v>537895.284647064</v>
      </c>
      <c r="BD18" s="344" t="n">
        <f aca="false">IFERROR(BD16/BD17,0)</f>
        <v>537895.284647064</v>
      </c>
      <c r="BE18" s="344" t="n">
        <f aca="false">IFERROR(BE16/BE17,0)</f>
        <v>537895.284647064</v>
      </c>
      <c r="BF18" s="344" t="n">
        <f aca="false">IFERROR(BF16/BF17,0)</f>
        <v>537895.284647064</v>
      </c>
      <c r="BG18" s="344" t="n">
        <f aca="false">IFERROR(BG16/BG17,0)</f>
        <v>537895.284647064</v>
      </c>
      <c r="BH18" s="344" t="n">
        <f aca="false">IFERROR(BH16/BH17,0)</f>
        <v>537895.284647064</v>
      </c>
      <c r="BI18" s="344" t="n">
        <f aca="false">IFERROR(BI16/BI17,0)</f>
        <v>537895.284647064</v>
      </c>
      <c r="BJ18" s="344" t="n">
        <f aca="false">IFERROR(BJ16/BJ17,0)</f>
        <v>0</v>
      </c>
      <c r="BK18" s="344" t="n">
        <f aca="false">IFERROR(BK16/BK17,0)</f>
        <v>0</v>
      </c>
      <c r="BL18" s="344" t="n">
        <f aca="false">IFERROR(BL16/BL17,0)</f>
        <v>0</v>
      </c>
      <c r="BM18" s="344" t="n">
        <f aca="false">IFERROR(BM16/BM17,0)</f>
        <v>0</v>
      </c>
      <c r="BN18" s="344" t="n">
        <f aca="false">IFERROR(BN16/BN17,0)</f>
        <v>0</v>
      </c>
      <c r="BO18" s="344" t="n">
        <f aca="false">IFERROR(BO16/BO17,0)</f>
        <v>0</v>
      </c>
      <c r="BP18" s="344" t="n">
        <f aca="false">IFERROR(BP16/BP17,0)</f>
        <v>0</v>
      </c>
      <c r="BQ18" s="344" t="n">
        <f aca="false">IFERROR(BQ16/BQ17,0)</f>
        <v>0</v>
      </c>
      <c r="BR18" s="344" t="n">
        <f aca="false">IFERROR(BR16/BR17,0)</f>
        <v>0</v>
      </c>
      <c r="BS18" s="344" t="n">
        <f aca="false">IFERROR(BS16/BS17,0)</f>
        <v>0</v>
      </c>
      <c r="BT18" s="344" t="n">
        <f aca="false">IFERROR(BT16/BT17,0)</f>
        <v>0</v>
      </c>
      <c r="BU18" s="344" t="n">
        <f aca="false">IFERROR(BU16/BU17,0)</f>
        <v>0</v>
      </c>
      <c r="BV18" s="344" t="n">
        <f aca="false">IFERROR(BV16/BV17,0)</f>
        <v>0</v>
      </c>
      <c r="BW18" s="344" t="n">
        <f aca="false">IFERROR(BW16/BW17,0)</f>
        <v>0</v>
      </c>
      <c r="BX18" s="344" t="n">
        <f aca="false">IFERROR(BX16/BX17,0)</f>
        <v>0</v>
      </c>
      <c r="BY18" s="344" t="n">
        <f aca="false">IFERROR(BY16/BY17,0)</f>
        <v>0</v>
      </c>
      <c r="BZ18" s="344" t="n">
        <f aca="false">IFERROR(BZ16/BZ17,0)</f>
        <v>0</v>
      </c>
      <c r="CA18" s="344" t="n">
        <f aca="false">IFERROR(CA16/CA17,0)</f>
        <v>0</v>
      </c>
      <c r="CB18" s="344" t="n">
        <f aca="false">IFERROR(CB16/CB17,0)</f>
        <v>0</v>
      </c>
      <c r="CC18" s="344" t="n">
        <f aca="false">IFERROR(CC16/CC17,0)</f>
        <v>0</v>
      </c>
      <c r="CD18" s="344" t="n">
        <f aca="false">IFERROR(CD16/CD17,0)</f>
        <v>0</v>
      </c>
      <c r="CE18" s="344" t="n">
        <f aca="false">IFERROR(CE16/CE17,0)</f>
        <v>0</v>
      </c>
      <c r="CF18" s="344" t="n">
        <f aca="false">IFERROR(CF16/CF17,0)</f>
        <v>0</v>
      </c>
      <c r="CG18" s="344" t="n">
        <f aca="false">IFERROR(CG16/CG17,0)</f>
        <v>0</v>
      </c>
      <c r="CH18" s="344" t="n">
        <f aca="false">IFERROR(CH16/CH17,0)</f>
        <v>0</v>
      </c>
      <c r="CI18" s="344" t="n">
        <f aca="false">IFERROR(CI16/CI17,0)</f>
        <v>0</v>
      </c>
      <c r="CJ18" s="344" t="n">
        <f aca="false">IFERROR(CJ16/CJ17,0)</f>
        <v>0</v>
      </c>
      <c r="CK18" s="344" t="n">
        <f aca="false">IFERROR(CK16/CK17,0)</f>
        <v>0</v>
      </c>
      <c r="CL18" s="344" t="n">
        <f aca="false">IFERROR(CL16/CL17,0)</f>
        <v>0</v>
      </c>
      <c r="CM18" s="344" t="n">
        <f aca="false">IFERROR(CM16/CM17,0)</f>
        <v>0</v>
      </c>
      <c r="CN18" s="344" t="n">
        <f aca="false">IFERROR(CN16/CN17,0)</f>
        <v>0</v>
      </c>
      <c r="CO18" s="344" t="n">
        <f aca="false">IFERROR(CO16/CO17,0)</f>
        <v>0</v>
      </c>
      <c r="CP18" s="344" t="n">
        <f aca="false">IFERROR(CP16/CP17,0)</f>
        <v>0</v>
      </c>
      <c r="CQ18" s="344" t="n">
        <f aca="false">IFERROR(CQ16/CQ17,0)</f>
        <v>0</v>
      </c>
      <c r="CR18" s="344" t="n">
        <f aca="false">IFERROR(CR16/CR17,0)</f>
        <v>0</v>
      </c>
      <c r="CS18" s="344" t="n">
        <f aca="false">IFERROR(CS16/CS17,0)</f>
        <v>0</v>
      </c>
      <c r="CT18" s="344" t="n">
        <f aca="false">IFERROR(CT16/CT17,0)</f>
        <v>0</v>
      </c>
      <c r="CU18" s="344" t="n">
        <f aca="false">IFERROR(CU16/CU17,0)</f>
        <v>0</v>
      </c>
      <c r="CV18" s="344" t="n">
        <f aca="false">IFERROR(CV16/CV17,0)</f>
        <v>0</v>
      </c>
      <c r="CW18" s="344" t="n">
        <f aca="false">IFERROR(CW16/CW17,0)</f>
        <v>0</v>
      </c>
      <c r="CX18" s="344" t="n">
        <f aca="false">IFERROR(CX16/CX17,0)</f>
        <v>0</v>
      </c>
      <c r="CY18" s="344" t="n">
        <f aca="false">IFERROR(CY16/CY17,0)</f>
        <v>0</v>
      </c>
      <c r="CZ18" s="344" t="n">
        <f aca="false">IFERROR(CZ16/CZ17,0)</f>
        <v>0</v>
      </c>
      <c r="DA18" s="344" t="n">
        <f aca="false">IFERROR(DA16/DA17,0)</f>
        <v>0</v>
      </c>
      <c r="DB18" s="344" t="n">
        <f aca="false">IFERROR(DB16/DB17,0)</f>
        <v>0</v>
      </c>
      <c r="DC18" s="344" t="n">
        <f aca="false">IFERROR(DC16/DC17,0)</f>
        <v>0</v>
      </c>
      <c r="DD18" s="344" t="n">
        <f aca="false">IFERROR(DD16/DD17,0)</f>
        <v>0</v>
      </c>
      <c r="DE18" s="344" t="n">
        <f aca="false">IFERROR(DE16/DE17,0)</f>
        <v>0</v>
      </c>
      <c r="DF18" s="344" t="n">
        <f aca="false">IFERROR(DF16/DF17,0)</f>
        <v>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customFormat="false" ht="30" hidden="false" customHeight="true" outlineLevel="0" collapsed="false">
      <c r="A20" s="346" t="s">
        <v>880</v>
      </c>
      <c r="B20" s="346" t="s">
        <v>620</v>
      </c>
      <c r="C20" s="346" t="s">
        <v>494</v>
      </c>
      <c r="D20" s="346" t="s">
        <v>881</v>
      </c>
      <c r="E20" s="346" t="s">
        <v>343</v>
      </c>
      <c r="F20" s="346" t="s">
        <v>882</v>
      </c>
      <c r="G20" s="346" t="s">
        <v>883</v>
      </c>
      <c r="H20" s="346" t="s">
        <v>884</v>
      </c>
      <c r="I20" s="346" t="s">
        <v>885</v>
      </c>
      <c r="J20" s="346" t="s">
        <v>886</v>
      </c>
      <c r="K20" s="346" t="s">
        <v>887</v>
      </c>
      <c r="L20" s="346" t="s">
        <v>888</v>
      </c>
      <c r="M20" s="346" t="s">
        <v>889</v>
      </c>
      <c r="N20" s="346" t="s">
        <v>890</v>
      </c>
      <c r="O20" s="346" t="s">
        <v>891</v>
      </c>
      <c r="P20" s="346" t="s">
        <v>442</v>
      </c>
      <c r="Q20" s="346" t="s">
        <v>892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customFormat="false" ht="15" hidden="false" customHeight="true" outlineLevel="0" collapsed="false">
      <c r="A21" s="3" t="str">
        <f aca="false">Projects!A17</f>
        <v>BD-01</v>
      </c>
      <c r="B21" s="344" t="n">
        <f aca="false">Projects!B17</f>
        <v>18000000</v>
      </c>
      <c r="C21" s="343" t="n">
        <f aca="false">Projects!C17</f>
        <v>16</v>
      </c>
      <c r="D21" s="343" t="n">
        <f aca="false">Projects!D17</f>
        <v>19</v>
      </c>
      <c r="E21" s="3" t="str">
        <f aca="false">Projects!G17</f>
        <v>No</v>
      </c>
      <c r="F21" s="3" t="str">
        <f aca="false">Projects!M17</f>
        <v>Yes</v>
      </c>
      <c r="G21" s="343" t="n">
        <f aca="false">C21+D21-1</f>
        <v>34</v>
      </c>
      <c r="H21" s="343" t="n">
        <f aca="false">C21+1</f>
        <v>17</v>
      </c>
      <c r="I21" s="339" t="n">
        <f aca="false">IF($F21="Yes",INDEX($G$6:$G$14,MATCH(MIN($G21,105),$B$6:$B$14,1)),1)</f>
        <v>0.25</v>
      </c>
      <c r="J21" s="344" t="n">
        <f aca="false">IF($E21="Yes",$B21*Assumptions!$B$9*0.95/$D21*SUMPRODUCT(($C$15:$DF$15&gt;=$C21)*($C$15:$DF$15&lt;$C21+$D21))+$B21*Assumptions!$B$9*0.05*SUMPRODUCT(--($C$15:$DF$15=$G21)),0)</f>
        <v>0</v>
      </c>
      <c r="K21" s="344" t="n">
        <f aca="false">IF($E21="Yes",SUMPRODUCT(($C$15:$DF$15&gt;=$C21)*($C$15:$DF$15&lt;$C21+$D21)*$C$18:$DF$18),0)</f>
        <v>0</v>
      </c>
      <c r="L21" s="344" t="n">
        <f aca="false">J21-K21</f>
        <v>0</v>
      </c>
      <c r="M21" s="339" t="n">
        <f aca="false">$B$3*I21</f>
        <v>0.025</v>
      </c>
      <c r="N21" s="344" t="n">
        <f aca="false">IF($E21="Yes",$B$2*$B21,0)</f>
        <v>0</v>
      </c>
      <c r="O21" s="344" t="n">
        <f aca="false">M21*MAX(0,L21)</f>
        <v>0</v>
      </c>
      <c r="P21" s="344" t="n">
        <f aca="false">N21+Q21</f>
        <v>0</v>
      </c>
      <c r="Q21" s="344" t="n">
        <f aca="false">IF(AND($F21="Yes",$I21&lt;1),O21-N21,MAX(0,O21-N21))</f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customFormat="false" ht="15" hidden="false" customHeight="true" outlineLevel="0" collapsed="false">
      <c r="A22" s="3" t="str">
        <f aca="false">Projects!A18</f>
        <v>BD-02</v>
      </c>
      <c r="B22" s="344" t="n">
        <f aca="false">Projects!B18</f>
        <v>15000000</v>
      </c>
      <c r="C22" s="343" t="n">
        <f aca="false">Projects!C18</f>
        <v>18</v>
      </c>
      <c r="D22" s="343" t="n">
        <f aca="false">Projects!D18</f>
        <v>19</v>
      </c>
      <c r="E22" s="3" t="str">
        <f aca="false">Projects!G18</f>
        <v>No</v>
      </c>
      <c r="F22" s="3" t="str">
        <f aca="false">Projects!M18</f>
        <v>No</v>
      </c>
      <c r="G22" s="343" t="n">
        <f aca="false">C22+D22-1</f>
        <v>36</v>
      </c>
      <c r="H22" s="343" t="n">
        <f aca="false">C22+1</f>
        <v>19</v>
      </c>
      <c r="I22" s="339" t="n">
        <f aca="false">IF($F22="Yes",INDEX($G$6:$G$14,MATCH(MIN($G22,105),$B$6:$B$14,1)),1)</f>
        <v>1</v>
      </c>
      <c r="J22" s="344" t="n">
        <f aca="false">IF($E22="Yes",$B22*Assumptions!$B$9*0.95/$D22*SUMPRODUCT(($C$15:$DF$15&gt;=$C22)*($C$15:$DF$15&lt;$C22+$D22))+$B22*Assumptions!$B$9*0.05*SUMPRODUCT(--($C$15:$DF$15=$G22)),0)</f>
        <v>0</v>
      </c>
      <c r="K22" s="344" t="n">
        <f aca="false">IF($E22="Yes",SUMPRODUCT(($C$15:$DF$15&gt;=$C22)*($C$15:$DF$15&lt;$C22+$D22)*$C$18:$DF$18),0)</f>
        <v>0</v>
      </c>
      <c r="L22" s="344" t="n">
        <f aca="false">J22-K22</f>
        <v>0</v>
      </c>
      <c r="M22" s="339" t="n">
        <f aca="false">$B$3*I22</f>
        <v>0.1</v>
      </c>
      <c r="N22" s="344" t="n">
        <f aca="false">IF($E22="Yes",$B$2*$B22,0)</f>
        <v>0</v>
      </c>
      <c r="O22" s="344" t="n">
        <f aca="false">M22*MAX(0,L22)</f>
        <v>0</v>
      </c>
      <c r="P22" s="344" t="n">
        <f aca="false">N22+Q22</f>
        <v>0</v>
      </c>
      <c r="Q22" s="344" t="n">
        <f aca="false">IF(AND($F22="Yes",$I22&lt;1),O22-N22,MAX(0,O22-N22))</f>
        <v>0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customFormat="false" ht="15" hidden="false" customHeight="true" outlineLevel="0" collapsed="false">
      <c r="A23" s="3" t="str">
        <f aca="false">Projects!A19</f>
        <v>BD-03</v>
      </c>
      <c r="B23" s="344" t="n">
        <f aca="false">Projects!B19</f>
        <v>15000000</v>
      </c>
      <c r="C23" s="343" t="n">
        <f aca="false">Projects!C19</f>
        <v>21</v>
      </c>
      <c r="D23" s="343" t="n">
        <f aca="false">Projects!D19</f>
        <v>19</v>
      </c>
      <c r="E23" s="3" t="str">
        <f aca="false">Projects!G19</f>
        <v>No</v>
      </c>
      <c r="F23" s="3" t="str">
        <f aca="false">Projects!M19</f>
        <v>No</v>
      </c>
      <c r="G23" s="343" t="n">
        <f aca="false">C23+D23-1</f>
        <v>39</v>
      </c>
      <c r="H23" s="343" t="n">
        <f aca="false">C23+1</f>
        <v>22</v>
      </c>
      <c r="I23" s="339" t="n">
        <f aca="false">IF($F23="Yes",INDEX($G$6:$G$14,MATCH(MIN($G23,105),$B$6:$B$14,1)),1)</f>
        <v>1</v>
      </c>
      <c r="J23" s="344" t="n">
        <f aca="false">IF($E23="Yes",$B23*Assumptions!$B$9*0.95/$D23*SUMPRODUCT(($C$15:$DF$15&gt;=$C23)*($C$15:$DF$15&lt;$C23+$D23))+$B23*Assumptions!$B$9*0.05*SUMPRODUCT(--($C$15:$DF$15=$G23)),0)</f>
        <v>0</v>
      </c>
      <c r="K23" s="344" t="n">
        <f aca="false">IF($E23="Yes",SUMPRODUCT(($C$15:$DF$15&gt;=$C23)*($C$15:$DF$15&lt;$C23+$D23)*$C$18:$DF$18),0)</f>
        <v>0</v>
      </c>
      <c r="L23" s="344" t="n">
        <f aca="false">J23-K23</f>
        <v>0</v>
      </c>
      <c r="M23" s="339" t="n">
        <f aca="false">$B$3*I23</f>
        <v>0.1</v>
      </c>
      <c r="N23" s="344" t="n">
        <f aca="false">IF($E23="Yes",$B$2*$B23,0)</f>
        <v>0</v>
      </c>
      <c r="O23" s="344" t="n">
        <f aca="false">M23*MAX(0,L23)</f>
        <v>0</v>
      </c>
      <c r="P23" s="344" t="n">
        <f aca="false">N23+Q23</f>
        <v>0</v>
      </c>
      <c r="Q23" s="344" t="n">
        <f aca="false">IF(AND($F23="Yes",$I23&lt;1),O23-N23,MAX(0,O23-N23))</f>
        <v>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customFormat="false" ht="15" hidden="false" customHeight="true" outlineLevel="0" collapsed="false">
      <c r="A24" s="3" t="str">
        <f aca="false">Projects!A20</f>
        <v>BD-04</v>
      </c>
      <c r="B24" s="344" t="n">
        <f aca="false">Projects!B20</f>
        <v>15000000</v>
      </c>
      <c r="C24" s="343" t="n">
        <f aca="false">Projects!C20</f>
        <v>24</v>
      </c>
      <c r="D24" s="343" t="n">
        <f aca="false">Projects!D20</f>
        <v>19</v>
      </c>
      <c r="E24" s="3" t="str">
        <f aca="false">Projects!G20</f>
        <v>No</v>
      </c>
      <c r="F24" s="3" t="str">
        <f aca="false">Projects!M20</f>
        <v>Yes</v>
      </c>
      <c r="G24" s="343" t="n">
        <f aca="false">C24+D24-1</f>
        <v>42</v>
      </c>
      <c r="H24" s="343" t="n">
        <f aca="false">C24+1</f>
        <v>25</v>
      </c>
      <c r="I24" s="339" t="n">
        <f aca="false">IF($F24="Yes",INDEX($G$6:$G$14,MATCH(MIN($G24,105),$B$6:$B$14,1)),1)</f>
        <v>0.25</v>
      </c>
      <c r="J24" s="344" t="n">
        <f aca="false">IF($E24="Yes",$B24*Assumptions!$B$9*0.95/$D24*SUMPRODUCT(($C$15:$DF$15&gt;=$C24)*($C$15:$DF$15&lt;$C24+$D24))+$B24*Assumptions!$B$9*0.05*SUMPRODUCT(--($C$15:$DF$15=$G24)),0)</f>
        <v>0</v>
      </c>
      <c r="K24" s="344" t="n">
        <f aca="false">IF($E24="Yes",SUMPRODUCT(($C$15:$DF$15&gt;=$C24)*($C$15:$DF$15&lt;$C24+$D24)*$C$18:$DF$18),0)</f>
        <v>0</v>
      </c>
      <c r="L24" s="344" t="n">
        <f aca="false">J24-K24</f>
        <v>0</v>
      </c>
      <c r="M24" s="339" t="n">
        <f aca="false">$B$3*I24</f>
        <v>0.025</v>
      </c>
      <c r="N24" s="344" t="n">
        <f aca="false">IF($E24="Yes",$B$2*$B24,0)</f>
        <v>0</v>
      </c>
      <c r="O24" s="344" t="n">
        <f aca="false">M24*MAX(0,L24)</f>
        <v>0</v>
      </c>
      <c r="P24" s="344" t="n">
        <f aca="false">N24+Q24</f>
        <v>0</v>
      </c>
      <c r="Q24" s="344" t="n">
        <f aca="false">IF(AND($F24="Yes",$I24&lt;1),O24-N24,MAX(0,O24-N24))</f>
        <v>0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customFormat="false" ht="15" hidden="false" customHeight="true" outlineLevel="0" collapsed="false">
      <c r="A25" s="3" t="str">
        <f aca="false">Projects!A21</f>
        <v>BD-05</v>
      </c>
      <c r="B25" s="344" t="n">
        <f aca="false">Projects!B21</f>
        <v>15000000</v>
      </c>
      <c r="C25" s="343" t="n">
        <f aca="false">Projects!C21</f>
        <v>27</v>
      </c>
      <c r="D25" s="343" t="n">
        <f aca="false">Projects!D21</f>
        <v>19</v>
      </c>
      <c r="E25" s="3" t="str">
        <f aca="false">Projects!G21</f>
        <v>No</v>
      </c>
      <c r="F25" s="3" t="str">
        <f aca="false">Projects!M21</f>
        <v>No</v>
      </c>
      <c r="G25" s="343" t="n">
        <f aca="false">C25+D25-1</f>
        <v>45</v>
      </c>
      <c r="H25" s="343" t="n">
        <f aca="false">C25+1</f>
        <v>28</v>
      </c>
      <c r="I25" s="339" t="n">
        <f aca="false">IF($F25="Yes",INDEX($G$6:$G$14,MATCH(MIN($G25,105),$B$6:$B$14,1)),1)</f>
        <v>1</v>
      </c>
      <c r="J25" s="344" t="n">
        <f aca="false">IF($E25="Yes",$B25*Assumptions!$B$9*0.95/$D25*SUMPRODUCT(($C$15:$DF$15&gt;=$C25)*($C$15:$DF$15&lt;$C25+$D25))+$B25*Assumptions!$B$9*0.05*SUMPRODUCT(--($C$15:$DF$15=$G25)),0)</f>
        <v>0</v>
      </c>
      <c r="K25" s="344" t="n">
        <f aca="false">IF($E25="Yes",SUMPRODUCT(($C$15:$DF$15&gt;=$C25)*($C$15:$DF$15&lt;$C25+$D25)*$C$18:$DF$18),0)</f>
        <v>0</v>
      </c>
      <c r="L25" s="344" t="n">
        <f aca="false">J25-K25</f>
        <v>0</v>
      </c>
      <c r="M25" s="339" t="n">
        <f aca="false">$B$3*I25</f>
        <v>0.1</v>
      </c>
      <c r="N25" s="344" t="n">
        <f aca="false">IF($E25="Yes",$B$2*$B25,0)</f>
        <v>0</v>
      </c>
      <c r="O25" s="344" t="n">
        <f aca="false">M25*MAX(0,L25)</f>
        <v>0</v>
      </c>
      <c r="P25" s="344" t="n">
        <f aca="false">N25+Q25</f>
        <v>0</v>
      </c>
      <c r="Q25" s="344" t="n">
        <f aca="false">IF(AND($F25="Yes",$I25&lt;1),O25-N25,MAX(0,O25-N25))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customFormat="false" ht="15" hidden="false" customHeight="true" outlineLevel="0" collapsed="false">
      <c r="A26" s="3" t="str">
        <f aca="false">Projects!A22</f>
        <v>BD-06</v>
      </c>
      <c r="B26" s="344" t="n">
        <f aca="false">Projects!B22</f>
        <v>15000000</v>
      </c>
      <c r="C26" s="343" t="n">
        <f aca="false">Projects!C22</f>
        <v>31</v>
      </c>
      <c r="D26" s="343" t="n">
        <f aca="false">Projects!D22</f>
        <v>19</v>
      </c>
      <c r="E26" s="3" t="str">
        <f aca="false">Projects!G22</f>
        <v>No</v>
      </c>
      <c r="F26" s="3" t="str">
        <f aca="false">Projects!M22</f>
        <v>No</v>
      </c>
      <c r="G26" s="343" t="n">
        <f aca="false">C26+D26-1</f>
        <v>49</v>
      </c>
      <c r="H26" s="343" t="n">
        <f aca="false">C26+1</f>
        <v>32</v>
      </c>
      <c r="I26" s="339" t="n">
        <f aca="false">IF($F26="Yes",INDEX($G$6:$G$14,MATCH(MIN($G26,105),$B$6:$B$14,1)),1)</f>
        <v>1</v>
      </c>
      <c r="J26" s="344" t="n">
        <f aca="false">IF($E26="Yes",$B26*Assumptions!$B$9*0.95/$D26*SUMPRODUCT(($C$15:$DF$15&gt;=$C26)*($C$15:$DF$15&lt;$C26+$D26))+$B26*Assumptions!$B$9*0.05*SUMPRODUCT(--($C$15:$DF$15=$G26)),0)</f>
        <v>0</v>
      </c>
      <c r="K26" s="344" t="n">
        <f aca="false">IF($E26="Yes",SUMPRODUCT(($C$15:$DF$15&gt;=$C26)*($C$15:$DF$15&lt;$C26+$D26)*$C$18:$DF$18),0)</f>
        <v>0</v>
      </c>
      <c r="L26" s="344" t="n">
        <f aca="false">J26-K26</f>
        <v>0</v>
      </c>
      <c r="M26" s="339" t="n">
        <f aca="false">$B$3*I26</f>
        <v>0.1</v>
      </c>
      <c r="N26" s="344" t="n">
        <f aca="false">IF($E26="Yes",$B$2*$B26,0)</f>
        <v>0</v>
      </c>
      <c r="O26" s="344" t="n">
        <f aca="false">M26*MAX(0,L26)</f>
        <v>0</v>
      </c>
      <c r="P26" s="344" t="n">
        <f aca="false">N26+Q26</f>
        <v>0</v>
      </c>
      <c r="Q26" s="344" t="n">
        <f aca="false">IF(AND($F26="Yes",$I26&lt;1),O26-N26,MAX(0,O26-N26))</f>
        <v>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customFormat="false" ht="15" hidden="false" customHeight="true" outlineLevel="0" collapsed="false">
      <c r="A27" s="3" t="str">
        <f aca="false">Projects!A23</f>
        <v>BD-07</v>
      </c>
      <c r="B27" s="344" t="n">
        <f aca="false">Projects!B23</f>
        <v>15000000</v>
      </c>
      <c r="C27" s="343" t="n">
        <f aca="false">Projects!C23</f>
        <v>34</v>
      </c>
      <c r="D27" s="343" t="n">
        <f aca="false">Projects!D23</f>
        <v>19</v>
      </c>
      <c r="E27" s="3" t="str">
        <f aca="false">Projects!G23</f>
        <v>No</v>
      </c>
      <c r="F27" s="3" t="str">
        <f aca="false">Projects!M23</f>
        <v>Yes</v>
      </c>
      <c r="G27" s="343" t="n">
        <f aca="false">C27+D27-1</f>
        <v>52</v>
      </c>
      <c r="H27" s="343" t="n">
        <f aca="false">C27+1</f>
        <v>35</v>
      </c>
      <c r="I27" s="339" t="n">
        <f aca="false">IF($F27="Yes",INDEX($G$6:$G$14,MATCH(MIN($G27,105),$B$6:$B$14,1)),1)</f>
        <v>0.25</v>
      </c>
      <c r="J27" s="344" t="n">
        <f aca="false">IF($E27="Yes",$B27*Assumptions!$B$9*0.95/$D27*SUMPRODUCT(($C$15:$DF$15&gt;=$C27)*($C$15:$DF$15&lt;$C27+$D27))+$B27*Assumptions!$B$9*0.05*SUMPRODUCT(--($C$15:$DF$15=$G27)),0)</f>
        <v>0</v>
      </c>
      <c r="K27" s="344" t="n">
        <f aca="false">IF($E27="Yes",SUMPRODUCT(($C$15:$DF$15&gt;=$C27)*($C$15:$DF$15&lt;$C27+$D27)*$C$18:$DF$18),0)</f>
        <v>0</v>
      </c>
      <c r="L27" s="344" t="n">
        <f aca="false">J27-K27</f>
        <v>0</v>
      </c>
      <c r="M27" s="339" t="n">
        <f aca="false">$B$3*I27</f>
        <v>0.025</v>
      </c>
      <c r="N27" s="344" t="n">
        <f aca="false">IF($E27="Yes",$B$2*$B27,0)</f>
        <v>0</v>
      </c>
      <c r="O27" s="344" t="n">
        <f aca="false">M27*MAX(0,L27)</f>
        <v>0</v>
      </c>
      <c r="P27" s="344" t="n">
        <f aca="false">N27+Q27</f>
        <v>0</v>
      </c>
      <c r="Q27" s="344" t="n">
        <f aca="false">IF(AND($F27="Yes",$I27&lt;1),O27-N27,MAX(0,O27-N27))</f>
        <v>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customFormat="false" ht="15" hidden="false" customHeight="true" outlineLevel="0" collapsed="false">
      <c r="A28" s="3" t="str">
        <f aca="false">Projects!A24</f>
        <v>BD-08</v>
      </c>
      <c r="B28" s="344" t="n">
        <f aca="false">Projects!B24</f>
        <v>18000000</v>
      </c>
      <c r="C28" s="343" t="n">
        <f aca="false">Projects!C24</f>
        <v>37</v>
      </c>
      <c r="D28" s="343" t="n">
        <f aca="false">Projects!D24</f>
        <v>19</v>
      </c>
      <c r="E28" s="3" t="str">
        <f aca="false">Projects!G24</f>
        <v>No</v>
      </c>
      <c r="F28" s="3" t="str">
        <f aca="false">Projects!M24</f>
        <v>No</v>
      </c>
      <c r="G28" s="343" t="n">
        <f aca="false">C28+D28-1</f>
        <v>55</v>
      </c>
      <c r="H28" s="343" t="n">
        <f aca="false">C28+1</f>
        <v>38</v>
      </c>
      <c r="I28" s="339" t="n">
        <f aca="false">IF($F28="Yes",INDEX($G$6:$G$14,MATCH(MIN($G28,105),$B$6:$B$14,1)),1)</f>
        <v>1</v>
      </c>
      <c r="J28" s="344" t="n">
        <f aca="false">IF($E28="Yes",$B28*Assumptions!$B$9*0.95/$D28*SUMPRODUCT(($C$15:$DF$15&gt;=$C28)*($C$15:$DF$15&lt;$C28+$D28))+$B28*Assumptions!$B$9*0.05*SUMPRODUCT(--($C$15:$DF$15=$G28)),0)</f>
        <v>0</v>
      </c>
      <c r="K28" s="344" t="n">
        <f aca="false">IF($E28="Yes",SUMPRODUCT(($C$15:$DF$15&gt;=$C28)*($C$15:$DF$15&lt;$C28+$D28)*$C$18:$DF$18),0)</f>
        <v>0</v>
      </c>
      <c r="L28" s="344" t="n">
        <f aca="false">J28-K28</f>
        <v>0</v>
      </c>
      <c r="M28" s="339" t="n">
        <f aca="false">$B$3*I28</f>
        <v>0.1</v>
      </c>
      <c r="N28" s="344" t="n">
        <f aca="false">IF($E28="Yes",$B$2*$B28,0)</f>
        <v>0</v>
      </c>
      <c r="O28" s="344" t="n">
        <f aca="false">M28*MAX(0,L28)</f>
        <v>0</v>
      </c>
      <c r="P28" s="344" t="n">
        <f aca="false">N28+Q28</f>
        <v>0</v>
      </c>
      <c r="Q28" s="344" t="n">
        <f aca="false">IF(AND($F28="Yes",$I28&lt;1),O28-N28,MAX(0,O28-N28))</f>
        <v>0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customFormat="false" ht="15" hidden="false" customHeight="true" outlineLevel="0" collapsed="false">
      <c r="A29" s="3" t="str">
        <f aca="false">Projects!A25</f>
        <v>BD-09</v>
      </c>
      <c r="B29" s="344" t="n">
        <f aca="false">Projects!B25</f>
        <v>18000000</v>
      </c>
      <c r="C29" s="343" t="n">
        <f aca="false">Projects!C25</f>
        <v>40</v>
      </c>
      <c r="D29" s="343" t="n">
        <f aca="false">Projects!D25</f>
        <v>19</v>
      </c>
      <c r="E29" s="3" t="str">
        <f aca="false">Projects!G25</f>
        <v>No</v>
      </c>
      <c r="F29" s="3" t="str">
        <f aca="false">Projects!M25</f>
        <v>No</v>
      </c>
      <c r="G29" s="343" t="n">
        <f aca="false">C29+D29-1</f>
        <v>58</v>
      </c>
      <c r="H29" s="343" t="n">
        <f aca="false">C29+1</f>
        <v>41</v>
      </c>
      <c r="I29" s="339" t="n">
        <f aca="false">IF($F29="Yes",INDEX($G$6:$G$14,MATCH(MIN($G29,105),$B$6:$B$14,1)),1)</f>
        <v>1</v>
      </c>
      <c r="J29" s="344" t="n">
        <f aca="false">IF($E29="Yes",$B29*Assumptions!$B$9*0.95/$D29*SUMPRODUCT(($C$15:$DF$15&gt;=$C29)*($C$15:$DF$15&lt;$C29+$D29))+$B29*Assumptions!$B$9*0.05*SUMPRODUCT(--($C$15:$DF$15=$G29)),0)</f>
        <v>0</v>
      </c>
      <c r="K29" s="344" t="n">
        <f aca="false">IF($E29="Yes",SUMPRODUCT(($C$15:$DF$15&gt;=$C29)*($C$15:$DF$15&lt;$C29+$D29)*$C$18:$DF$18),0)</f>
        <v>0</v>
      </c>
      <c r="L29" s="344" t="n">
        <f aca="false">J29-K29</f>
        <v>0</v>
      </c>
      <c r="M29" s="339" t="n">
        <f aca="false">$B$3*I29</f>
        <v>0.1</v>
      </c>
      <c r="N29" s="344" t="n">
        <f aca="false">IF($E29="Yes",$B$2*$B29,0)</f>
        <v>0</v>
      </c>
      <c r="O29" s="344" t="n">
        <f aca="false">M29*MAX(0,L29)</f>
        <v>0</v>
      </c>
      <c r="P29" s="344" t="n">
        <f aca="false">N29+Q29</f>
        <v>0</v>
      </c>
      <c r="Q29" s="344" t="n">
        <f aca="false">IF(AND($F29="Yes",$I29&lt;1),O29-N29,MAX(0,O29-N29))</f>
        <v>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customFormat="false" ht="15" hidden="false" customHeight="true" outlineLevel="0" collapsed="false">
      <c r="A30" s="3" t="str">
        <f aca="false">Projects!A26</f>
        <v>BD-10</v>
      </c>
      <c r="B30" s="344" t="n">
        <f aca="false">Projects!B26</f>
        <v>18000000</v>
      </c>
      <c r="C30" s="343" t="n">
        <f aca="false">Projects!C26</f>
        <v>42</v>
      </c>
      <c r="D30" s="343" t="n">
        <f aca="false">Projects!D26</f>
        <v>19</v>
      </c>
      <c r="E30" s="3" t="str">
        <f aca="false">Projects!G26</f>
        <v>No</v>
      </c>
      <c r="F30" s="3" t="str">
        <f aca="false">Projects!M26</f>
        <v>No</v>
      </c>
      <c r="G30" s="343" t="n">
        <f aca="false">C30+D30-1</f>
        <v>60</v>
      </c>
      <c r="H30" s="343" t="n">
        <f aca="false">C30+1</f>
        <v>43</v>
      </c>
      <c r="I30" s="339" t="n">
        <f aca="false">IF($F30="Yes",INDEX($G$6:$G$14,MATCH(MIN($G30,105),$B$6:$B$14,1)),1)</f>
        <v>1</v>
      </c>
      <c r="J30" s="344" t="n">
        <f aca="false">IF($E30="Yes",$B30*Assumptions!$B$9*0.95/$D30*SUMPRODUCT(($C$15:$DF$15&gt;=$C30)*($C$15:$DF$15&lt;$C30+$D30))+$B30*Assumptions!$B$9*0.05*SUMPRODUCT(--($C$15:$DF$15=$G30)),0)</f>
        <v>0</v>
      </c>
      <c r="K30" s="344" t="n">
        <f aca="false">IF($E30="Yes",SUMPRODUCT(($C$15:$DF$15&gt;=$C30)*($C$15:$DF$15&lt;$C30+$D30)*$C$18:$DF$18),0)</f>
        <v>0</v>
      </c>
      <c r="L30" s="344" t="n">
        <f aca="false">J30-K30</f>
        <v>0</v>
      </c>
      <c r="M30" s="339" t="n">
        <f aca="false">$B$3*I30</f>
        <v>0.1</v>
      </c>
      <c r="N30" s="344" t="n">
        <f aca="false">IF($E30="Yes",$B$2*$B30,0)</f>
        <v>0</v>
      </c>
      <c r="O30" s="344" t="n">
        <f aca="false">M30*MAX(0,L30)</f>
        <v>0</v>
      </c>
      <c r="P30" s="344" t="n">
        <f aca="false">N30+Q30</f>
        <v>0</v>
      </c>
      <c r="Q30" s="344" t="n">
        <f aca="false">IF(AND($F30="Yes",$I30&lt;1),O30-N30,MAX(0,O30-N30))</f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customFormat="false" ht="15" hidden="false" customHeight="true" outlineLevel="0" collapsed="false">
      <c r="A31" s="3" t="str">
        <f aca="false">Projects!A27</f>
        <v>BD-11</v>
      </c>
      <c r="B31" s="344" t="n">
        <f aca="false">Projects!B27</f>
        <v>15000000</v>
      </c>
      <c r="C31" s="343" t="n">
        <f aca="false">Projects!C27</f>
        <v>44</v>
      </c>
      <c r="D31" s="343" t="n">
        <f aca="false">Projects!D27</f>
        <v>19</v>
      </c>
      <c r="E31" s="3" t="str">
        <f aca="false">Projects!G27</f>
        <v>No</v>
      </c>
      <c r="F31" s="3" t="str">
        <f aca="false">Projects!M27</f>
        <v>No</v>
      </c>
      <c r="G31" s="343" t="n">
        <f aca="false">C31+D31-1</f>
        <v>62</v>
      </c>
      <c r="H31" s="343" t="n">
        <f aca="false">C31+1</f>
        <v>45</v>
      </c>
      <c r="I31" s="339" t="n">
        <f aca="false">IF($F31="Yes",INDEX($G$6:$G$14,MATCH(MIN($G31,105),$B$6:$B$14,1)),1)</f>
        <v>1</v>
      </c>
      <c r="J31" s="344" t="n">
        <f aca="false">IF($E31="Yes",$B31*Assumptions!$B$9*0.95/$D31*SUMPRODUCT(($C$15:$DF$15&gt;=$C31)*($C$15:$DF$15&lt;$C31+$D31))+$B31*Assumptions!$B$9*0.05*SUMPRODUCT(--($C$15:$DF$15=$G31)),0)</f>
        <v>0</v>
      </c>
      <c r="K31" s="344" t="n">
        <f aca="false">IF($E31="Yes",SUMPRODUCT(($C$15:$DF$15&gt;=$C31)*($C$15:$DF$15&lt;$C31+$D31)*$C$18:$DF$18),0)</f>
        <v>0</v>
      </c>
      <c r="L31" s="344" t="n">
        <f aca="false">J31-K31</f>
        <v>0</v>
      </c>
      <c r="M31" s="339" t="n">
        <f aca="false">$B$3*I31</f>
        <v>0.1</v>
      </c>
      <c r="N31" s="344" t="n">
        <f aca="false">IF($E31="Yes",$B$2*$B31,0)</f>
        <v>0</v>
      </c>
      <c r="O31" s="344" t="n">
        <f aca="false">M31*MAX(0,L31)</f>
        <v>0</v>
      </c>
      <c r="P31" s="344" t="n">
        <f aca="false">N31+Q31</f>
        <v>0</v>
      </c>
      <c r="Q31" s="344" t="n">
        <f aca="false">IF(AND($F31="Yes",$I31&lt;1),O31-N31,MAX(0,O31-N31))</f>
        <v>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customFormat="false" ht="15" hidden="false" customHeight="true" outlineLevel="0" collapsed="false">
      <c r="A32" s="3" t="str">
        <f aca="false">Projects!A28</f>
        <v>BD-12</v>
      </c>
      <c r="B32" s="344" t="n">
        <f aca="false">Projects!B28</f>
        <v>15000000</v>
      </c>
      <c r="C32" s="343" t="n">
        <f aca="false">Projects!C28</f>
        <v>46</v>
      </c>
      <c r="D32" s="343" t="n">
        <f aca="false">Projects!D28</f>
        <v>19</v>
      </c>
      <c r="E32" s="3" t="str">
        <f aca="false">Projects!G28</f>
        <v>No</v>
      </c>
      <c r="F32" s="3" t="str">
        <f aca="false">Projects!M28</f>
        <v>Yes</v>
      </c>
      <c r="G32" s="343" t="n">
        <f aca="false">C32+D32-1</f>
        <v>64</v>
      </c>
      <c r="H32" s="343" t="n">
        <f aca="false">C32+1</f>
        <v>47</v>
      </c>
      <c r="I32" s="339" t="n">
        <f aca="false">IF($F32="Yes",INDEX($G$6:$G$14,MATCH(MIN($G32,105),$B$6:$B$14,1)),1)</f>
        <v>0.25</v>
      </c>
      <c r="J32" s="344" t="n">
        <f aca="false">IF($E32="Yes",$B32*Assumptions!$B$9*0.95/$D32*SUMPRODUCT(($C$15:$DF$15&gt;=$C32)*($C$15:$DF$15&lt;$C32+$D32))+$B32*Assumptions!$B$9*0.05*SUMPRODUCT(--($C$15:$DF$15=$G32)),0)</f>
        <v>0</v>
      </c>
      <c r="K32" s="344" t="n">
        <f aca="false">IF($E32="Yes",SUMPRODUCT(($C$15:$DF$15&gt;=$C32)*($C$15:$DF$15&lt;$C32+$D32)*$C$18:$DF$18),0)</f>
        <v>0</v>
      </c>
      <c r="L32" s="344" t="n">
        <f aca="false">J32-K32</f>
        <v>0</v>
      </c>
      <c r="M32" s="339" t="n">
        <f aca="false">$B$3*I32</f>
        <v>0.025</v>
      </c>
      <c r="N32" s="344" t="n">
        <f aca="false">IF($E32="Yes",$B$2*$B32,0)</f>
        <v>0</v>
      </c>
      <c r="O32" s="344" t="n">
        <f aca="false">M32*MAX(0,L32)</f>
        <v>0</v>
      </c>
      <c r="P32" s="344" t="n">
        <f aca="false">N32+Q32</f>
        <v>0</v>
      </c>
      <c r="Q32" s="344" t="n">
        <f aca="false">IF(AND($F32="Yes",$I32&lt;1),O32-N32,MAX(0,O32-N32))</f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customFormat="false" ht="15" hidden="false" customHeight="true" outlineLevel="0" collapsed="false">
      <c r="A33" s="3" t="str">
        <f aca="false">Projects!A29</f>
        <v>BD-13</v>
      </c>
      <c r="B33" s="344" t="n">
        <f aca="false">Projects!B29</f>
        <v>15000000</v>
      </c>
      <c r="C33" s="343" t="n">
        <f aca="false">Projects!C29</f>
        <v>48</v>
      </c>
      <c r="D33" s="343" t="n">
        <f aca="false">Projects!D29</f>
        <v>19</v>
      </c>
      <c r="E33" s="3" t="str">
        <f aca="false">Projects!G29</f>
        <v>No</v>
      </c>
      <c r="F33" s="3" t="str">
        <f aca="false">Projects!M29</f>
        <v>No</v>
      </c>
      <c r="G33" s="343" t="n">
        <f aca="false">C33+D33-1</f>
        <v>66</v>
      </c>
      <c r="H33" s="343" t="n">
        <f aca="false">C33+1</f>
        <v>49</v>
      </c>
      <c r="I33" s="339" t="n">
        <f aca="false">IF($F33="Yes",INDEX($G$6:$G$14,MATCH(MIN($G33,105),$B$6:$B$14,1)),1)</f>
        <v>1</v>
      </c>
      <c r="J33" s="344" t="n">
        <f aca="false">IF($E33="Yes",$B33*Assumptions!$B$9*0.95/$D33*SUMPRODUCT(($C$15:$DF$15&gt;=$C33)*($C$15:$DF$15&lt;$C33+$D33))+$B33*Assumptions!$B$9*0.05*SUMPRODUCT(--($C$15:$DF$15=$G33)),0)</f>
        <v>0</v>
      </c>
      <c r="K33" s="344" t="n">
        <f aca="false">IF($E33="Yes",SUMPRODUCT(($C$15:$DF$15&gt;=$C33)*($C$15:$DF$15&lt;$C33+$D33)*$C$18:$DF$18),0)</f>
        <v>0</v>
      </c>
      <c r="L33" s="344" t="n">
        <f aca="false">J33-K33</f>
        <v>0</v>
      </c>
      <c r="M33" s="339" t="n">
        <f aca="false">$B$3*I33</f>
        <v>0.1</v>
      </c>
      <c r="N33" s="344" t="n">
        <f aca="false">IF($E33="Yes",$B$2*$B33,0)</f>
        <v>0</v>
      </c>
      <c r="O33" s="344" t="n">
        <f aca="false">M33*MAX(0,L33)</f>
        <v>0</v>
      </c>
      <c r="P33" s="344" t="n">
        <f aca="false">N33+Q33</f>
        <v>0</v>
      </c>
      <c r="Q33" s="344" t="n">
        <f aca="false">IF(AND($F33="Yes",$I33&lt;1),O33-N33,MAX(0,O33-N33))</f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customFormat="false" ht="15" hidden="false" customHeight="true" outlineLevel="0" collapsed="false">
      <c r="A34" s="3" t="str">
        <f aca="false">Projects!A30</f>
        <v>BD-14</v>
      </c>
      <c r="B34" s="344" t="n">
        <f aca="false">Projects!B30</f>
        <v>15000000</v>
      </c>
      <c r="C34" s="343" t="n">
        <f aca="false">Projects!C30</f>
        <v>50</v>
      </c>
      <c r="D34" s="343" t="n">
        <f aca="false">Projects!D30</f>
        <v>19</v>
      </c>
      <c r="E34" s="3" t="str">
        <f aca="false">Projects!G30</f>
        <v>No</v>
      </c>
      <c r="F34" s="3" t="str">
        <f aca="false">Projects!M30</f>
        <v>No</v>
      </c>
      <c r="G34" s="343" t="n">
        <f aca="false">C34+D34-1</f>
        <v>68</v>
      </c>
      <c r="H34" s="343" t="n">
        <f aca="false">C34+1</f>
        <v>51</v>
      </c>
      <c r="I34" s="339" t="n">
        <f aca="false">IF($F34="Yes",INDEX($G$6:$G$14,MATCH(MIN($G34,105),$B$6:$B$14,1)),1)</f>
        <v>1</v>
      </c>
      <c r="J34" s="344" t="n">
        <f aca="false">IF($E34="Yes",$B34*Assumptions!$B$9*0.95/$D34*SUMPRODUCT(($C$15:$DF$15&gt;=$C34)*($C$15:$DF$15&lt;$C34+$D34))+$B34*Assumptions!$B$9*0.05*SUMPRODUCT(--($C$15:$DF$15=$G34)),0)</f>
        <v>0</v>
      </c>
      <c r="K34" s="344" t="n">
        <f aca="false">IF($E34="Yes",SUMPRODUCT(($C$15:$DF$15&gt;=$C34)*($C$15:$DF$15&lt;$C34+$D34)*$C$18:$DF$18),0)</f>
        <v>0</v>
      </c>
      <c r="L34" s="344" t="n">
        <f aca="false">J34-K34</f>
        <v>0</v>
      </c>
      <c r="M34" s="339" t="n">
        <f aca="false">$B$3*I34</f>
        <v>0.1</v>
      </c>
      <c r="N34" s="344" t="n">
        <f aca="false">IF($E34="Yes",$B$2*$B34,0)</f>
        <v>0</v>
      </c>
      <c r="O34" s="344" t="n">
        <f aca="false">M34*MAX(0,L34)</f>
        <v>0</v>
      </c>
      <c r="P34" s="344" t="n">
        <f aca="false">N34+Q34</f>
        <v>0</v>
      </c>
      <c r="Q34" s="344" t="n">
        <f aca="false">IF(AND($F34="Yes",$I34&lt;1),O34-N34,MAX(0,O34-N34))</f>
        <v>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customFormat="false" ht="15" hidden="false" customHeight="true" outlineLevel="0" collapsed="false">
      <c r="A35" s="3" t="str">
        <f aca="false">Projects!A31</f>
        <v>BD-15</v>
      </c>
      <c r="B35" s="344" t="n">
        <f aca="false">Projects!B31</f>
        <v>18000000</v>
      </c>
      <c r="C35" s="343" t="n">
        <f aca="false">Projects!C31</f>
        <v>52</v>
      </c>
      <c r="D35" s="343" t="n">
        <f aca="false">Projects!D31</f>
        <v>19</v>
      </c>
      <c r="E35" s="3" t="str">
        <f aca="false">Projects!G31</f>
        <v>No</v>
      </c>
      <c r="F35" s="3" t="str">
        <f aca="false">Projects!M31</f>
        <v>No</v>
      </c>
      <c r="G35" s="343" t="n">
        <f aca="false">C35+D35-1</f>
        <v>70</v>
      </c>
      <c r="H35" s="343" t="n">
        <f aca="false">C35+1</f>
        <v>53</v>
      </c>
      <c r="I35" s="339" t="n">
        <f aca="false">IF($F35="Yes",INDEX($G$6:$G$14,MATCH(MIN($G35,105),$B$6:$B$14,1)),1)</f>
        <v>1</v>
      </c>
      <c r="J35" s="344" t="n">
        <f aca="false">IF($E35="Yes",$B35*Assumptions!$B$9*0.95/$D35*SUMPRODUCT(($C$15:$DF$15&gt;=$C35)*($C$15:$DF$15&lt;$C35+$D35))+$B35*Assumptions!$B$9*0.05*SUMPRODUCT(--($C$15:$DF$15=$G35)),0)</f>
        <v>0</v>
      </c>
      <c r="K35" s="344" t="n">
        <f aca="false">IF($E35="Yes",SUMPRODUCT(($C$15:$DF$15&gt;=$C35)*($C$15:$DF$15&lt;$C35+$D35)*$C$18:$DF$18),0)</f>
        <v>0</v>
      </c>
      <c r="L35" s="344" t="n">
        <f aca="false">J35-K35</f>
        <v>0</v>
      </c>
      <c r="M35" s="339" t="n">
        <f aca="false">$B$3*I35</f>
        <v>0.1</v>
      </c>
      <c r="N35" s="344" t="n">
        <f aca="false">IF($E35="Yes",$B$2*$B35,0)</f>
        <v>0</v>
      </c>
      <c r="O35" s="344" t="n">
        <f aca="false">M35*MAX(0,L35)</f>
        <v>0</v>
      </c>
      <c r="P35" s="344" t="n">
        <f aca="false">N35+Q35</f>
        <v>0</v>
      </c>
      <c r="Q35" s="344" t="n">
        <f aca="false">IF(AND($F35="Yes",$I35&lt;1),O35-N35,MAX(0,O35-N35))</f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customFormat="false" ht="15" hidden="false" customHeight="true" outlineLevel="0" collapsed="false">
      <c r="A36" s="3" t="str">
        <f aca="false">Projects!A32</f>
        <v>BD-16</v>
      </c>
      <c r="B36" s="344" t="n">
        <f aca="false">Projects!B32</f>
        <v>15000000</v>
      </c>
      <c r="C36" s="343" t="n">
        <f aca="false">Projects!C32</f>
        <v>54</v>
      </c>
      <c r="D36" s="343" t="n">
        <f aca="false">Projects!D32</f>
        <v>19</v>
      </c>
      <c r="E36" s="3" t="str">
        <f aca="false">Projects!G32</f>
        <v>No</v>
      </c>
      <c r="F36" s="3" t="str">
        <f aca="false">Projects!M32</f>
        <v>No</v>
      </c>
      <c r="G36" s="343" t="n">
        <f aca="false">C36+D36-1</f>
        <v>72</v>
      </c>
      <c r="H36" s="343" t="n">
        <f aca="false">C36+1</f>
        <v>55</v>
      </c>
      <c r="I36" s="339" t="n">
        <f aca="false">IF($F36="Yes",INDEX($G$6:$G$14,MATCH(MIN($G36,105),$B$6:$B$14,1)),1)</f>
        <v>1</v>
      </c>
      <c r="J36" s="344" t="n">
        <f aca="false">IF($E36="Yes",$B36*Assumptions!$B$9*0.95/$D36*SUMPRODUCT(($C$15:$DF$15&gt;=$C36)*($C$15:$DF$15&lt;$C36+$D36))+$B36*Assumptions!$B$9*0.05*SUMPRODUCT(--($C$15:$DF$15=$G36)),0)</f>
        <v>0</v>
      </c>
      <c r="K36" s="344" t="n">
        <f aca="false">IF($E36="Yes",SUMPRODUCT(($C$15:$DF$15&gt;=$C36)*($C$15:$DF$15&lt;$C36+$D36)*$C$18:$DF$18),0)</f>
        <v>0</v>
      </c>
      <c r="L36" s="344" t="n">
        <f aca="false">J36-K36</f>
        <v>0</v>
      </c>
      <c r="M36" s="339" t="n">
        <f aca="false">$B$3*I36</f>
        <v>0.1</v>
      </c>
      <c r="N36" s="344" t="n">
        <f aca="false">IF($E36="Yes",$B$2*$B36,0)</f>
        <v>0</v>
      </c>
      <c r="O36" s="344" t="n">
        <f aca="false">M36*MAX(0,L36)</f>
        <v>0</v>
      </c>
      <c r="P36" s="344" t="n">
        <f aca="false">N36+Q36</f>
        <v>0</v>
      </c>
      <c r="Q36" s="344" t="n">
        <f aca="false">IF(AND($F36="Yes",$I36&lt;1),O36-N36,MAX(0,O36-N36))</f>
        <v>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customFormat="false" ht="15" hidden="false" customHeight="true" outlineLevel="0" collapsed="false">
      <c r="A37" s="3" t="str">
        <f aca="false">Projects!A33</f>
        <v>BD-17</v>
      </c>
      <c r="B37" s="344" t="n">
        <f aca="false">Projects!B33</f>
        <v>15000000</v>
      </c>
      <c r="C37" s="343" t="n">
        <f aca="false">Projects!C33</f>
        <v>56</v>
      </c>
      <c r="D37" s="343" t="n">
        <f aca="false">Projects!D33</f>
        <v>19</v>
      </c>
      <c r="E37" s="3" t="str">
        <f aca="false">Projects!G33</f>
        <v>No</v>
      </c>
      <c r="F37" s="3" t="str">
        <f aca="false">Projects!M33</f>
        <v>No</v>
      </c>
      <c r="G37" s="343" t="n">
        <f aca="false">C37+D37-1</f>
        <v>74</v>
      </c>
      <c r="H37" s="343" t="n">
        <f aca="false">C37+1</f>
        <v>57</v>
      </c>
      <c r="I37" s="339" t="n">
        <f aca="false">IF($F37="Yes",INDEX($G$6:$G$14,MATCH(MIN($G37,105),$B$6:$B$14,1)),1)</f>
        <v>1</v>
      </c>
      <c r="J37" s="344" t="n">
        <f aca="false">IF($E37="Yes",$B37*Assumptions!$B$9*0.95/$D37*SUMPRODUCT(($C$15:$DF$15&gt;=$C37)*($C$15:$DF$15&lt;$C37+$D37))+$B37*Assumptions!$B$9*0.05*SUMPRODUCT(--($C$15:$DF$15=$G37)),0)</f>
        <v>0</v>
      </c>
      <c r="K37" s="344" t="n">
        <f aca="false">IF($E37="Yes",SUMPRODUCT(($C$15:$DF$15&gt;=$C37)*($C$15:$DF$15&lt;$C37+$D37)*$C$18:$DF$18),0)</f>
        <v>0</v>
      </c>
      <c r="L37" s="344" t="n">
        <f aca="false">J37-K37</f>
        <v>0</v>
      </c>
      <c r="M37" s="339" t="n">
        <f aca="false">$B$3*I37</f>
        <v>0.1</v>
      </c>
      <c r="N37" s="344" t="n">
        <f aca="false">IF($E37="Yes",$B$2*$B37,0)</f>
        <v>0</v>
      </c>
      <c r="O37" s="344" t="n">
        <f aca="false">M37*MAX(0,L37)</f>
        <v>0</v>
      </c>
      <c r="P37" s="344" t="n">
        <f aca="false">N37+Q37</f>
        <v>0</v>
      </c>
      <c r="Q37" s="344" t="n">
        <f aca="false">IF(AND($F37="Yes",$I37&lt;1),O37-N37,MAX(0,O37-N37))</f>
        <v>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customFormat="false" ht="15" hidden="false" customHeight="true" outlineLevel="0" collapsed="false">
      <c r="A38" s="3" t="str">
        <f aca="false">Projects!A34</f>
        <v>BD-18</v>
      </c>
      <c r="B38" s="344" t="n">
        <f aca="false">Projects!B34</f>
        <v>18000000</v>
      </c>
      <c r="C38" s="343" t="n">
        <f aca="false">Projects!C34</f>
        <v>58</v>
      </c>
      <c r="D38" s="343" t="n">
        <f aca="false">Projects!D34</f>
        <v>19</v>
      </c>
      <c r="E38" s="3" t="str">
        <f aca="false">Projects!G34</f>
        <v>No</v>
      </c>
      <c r="F38" s="3" t="str">
        <f aca="false">Projects!M34</f>
        <v>Yes</v>
      </c>
      <c r="G38" s="343" t="n">
        <f aca="false">C38+D38-1</f>
        <v>76</v>
      </c>
      <c r="H38" s="343" t="n">
        <f aca="false">C38+1</f>
        <v>59</v>
      </c>
      <c r="I38" s="339" t="n">
        <f aca="false">IF($F38="Yes",INDEX($G$6:$G$14,MATCH(MIN($G38,105),$B$6:$B$14,1)),1)</f>
        <v>0.25</v>
      </c>
      <c r="J38" s="344" t="n">
        <f aca="false">IF($E38="Yes",$B38*Assumptions!$B$9*0.95/$D38*SUMPRODUCT(($C$15:$DF$15&gt;=$C38)*($C$15:$DF$15&lt;$C38+$D38))+$B38*Assumptions!$B$9*0.05*SUMPRODUCT(--($C$15:$DF$15=$G38)),0)</f>
        <v>0</v>
      </c>
      <c r="K38" s="344" t="n">
        <f aca="false">IF($E38="Yes",SUMPRODUCT(($C$15:$DF$15&gt;=$C38)*($C$15:$DF$15&lt;$C38+$D38)*$C$18:$DF$18),0)</f>
        <v>0</v>
      </c>
      <c r="L38" s="344" t="n">
        <f aca="false">J38-K38</f>
        <v>0</v>
      </c>
      <c r="M38" s="339" t="n">
        <f aca="false">$B$3*I38</f>
        <v>0.025</v>
      </c>
      <c r="N38" s="344" t="n">
        <f aca="false">IF($E38="Yes",$B$2*$B38,0)</f>
        <v>0</v>
      </c>
      <c r="O38" s="344" t="n">
        <f aca="false">M38*MAX(0,L38)</f>
        <v>0</v>
      </c>
      <c r="P38" s="344" t="n">
        <f aca="false">N38+Q38</f>
        <v>0</v>
      </c>
      <c r="Q38" s="344" t="n">
        <f aca="false">IF(AND($F38="Yes",$I38&lt;1),O38-N38,MAX(0,O38-N38))</f>
        <v>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customFormat="false" ht="15" hidden="false" customHeight="true" outlineLevel="0" collapsed="false">
      <c r="A39" s="3" t="str">
        <f aca="false">Projects!A35</f>
        <v>BD-19</v>
      </c>
      <c r="B39" s="344" t="n">
        <f aca="false">Projects!B35</f>
        <v>15000000</v>
      </c>
      <c r="C39" s="343" t="n">
        <f aca="false">Projects!C35</f>
        <v>60</v>
      </c>
      <c r="D39" s="343" t="n">
        <f aca="false">Projects!D35</f>
        <v>19</v>
      </c>
      <c r="E39" s="3" t="str">
        <f aca="false">Projects!G35</f>
        <v>No</v>
      </c>
      <c r="F39" s="3" t="str">
        <f aca="false">Projects!M35</f>
        <v>No</v>
      </c>
      <c r="G39" s="343" t="n">
        <f aca="false">C39+D39-1</f>
        <v>78</v>
      </c>
      <c r="H39" s="343" t="n">
        <f aca="false">C39+1</f>
        <v>61</v>
      </c>
      <c r="I39" s="339" t="n">
        <f aca="false">IF($F39="Yes",INDEX($G$6:$G$14,MATCH(MIN($G39,105),$B$6:$B$14,1)),1)</f>
        <v>1</v>
      </c>
      <c r="J39" s="344" t="n">
        <f aca="false">IF($E39="Yes",$B39*Assumptions!$B$9*0.95/$D39*SUMPRODUCT(($C$15:$DF$15&gt;=$C39)*($C$15:$DF$15&lt;$C39+$D39))+$B39*Assumptions!$B$9*0.05*SUMPRODUCT(--($C$15:$DF$15=$G39)),0)</f>
        <v>0</v>
      </c>
      <c r="K39" s="344" t="n">
        <f aca="false">IF($E39="Yes",SUMPRODUCT(($C$15:$DF$15&gt;=$C39)*($C$15:$DF$15&lt;$C39+$D39)*$C$18:$DF$18),0)</f>
        <v>0</v>
      </c>
      <c r="L39" s="344" t="n">
        <f aca="false">J39-K39</f>
        <v>0</v>
      </c>
      <c r="M39" s="339" t="n">
        <f aca="false">$B$3*I39</f>
        <v>0.1</v>
      </c>
      <c r="N39" s="344" t="n">
        <f aca="false">IF($E39="Yes",$B$2*$B39,0)</f>
        <v>0</v>
      </c>
      <c r="O39" s="344" t="n">
        <f aca="false">M39*MAX(0,L39)</f>
        <v>0</v>
      </c>
      <c r="P39" s="344" t="n">
        <f aca="false">N39+Q39</f>
        <v>0</v>
      </c>
      <c r="Q39" s="344" t="n">
        <f aca="false">IF(AND($F39="Yes",$I39&lt;1),O39-N39,MAX(0,O39-N39))</f>
        <v>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customFormat="false" ht="15" hidden="false" customHeight="true" outlineLevel="0" collapsed="false">
      <c r="A40" s="3" t="str">
        <f aca="false">Projects!A36</f>
        <v>BD-20</v>
      </c>
      <c r="B40" s="344" t="n">
        <f aca="false">Projects!B36</f>
        <v>18000000</v>
      </c>
      <c r="C40" s="343" t="n">
        <f aca="false">Projects!C36</f>
        <v>62</v>
      </c>
      <c r="D40" s="343" t="n">
        <f aca="false">Projects!D36</f>
        <v>19</v>
      </c>
      <c r="E40" s="3" t="str">
        <f aca="false">Projects!G36</f>
        <v>No</v>
      </c>
      <c r="F40" s="3" t="str">
        <f aca="false">Projects!M36</f>
        <v>No</v>
      </c>
      <c r="G40" s="343" t="n">
        <f aca="false">C40+D40-1</f>
        <v>80</v>
      </c>
      <c r="H40" s="343" t="n">
        <f aca="false">C40+1</f>
        <v>63</v>
      </c>
      <c r="I40" s="339" t="n">
        <f aca="false">IF($F40="Yes",INDEX($G$6:$G$14,MATCH(MIN($G40,105),$B$6:$B$14,1)),1)</f>
        <v>1</v>
      </c>
      <c r="J40" s="344" t="n">
        <f aca="false">IF($E40="Yes",$B40*Assumptions!$B$9*0.95/$D40*SUMPRODUCT(($C$15:$DF$15&gt;=$C40)*($C$15:$DF$15&lt;$C40+$D40))+$B40*Assumptions!$B$9*0.05*SUMPRODUCT(--($C$15:$DF$15=$G40)),0)</f>
        <v>0</v>
      </c>
      <c r="K40" s="344" t="n">
        <f aca="false">IF($E40="Yes",SUMPRODUCT(($C$15:$DF$15&gt;=$C40)*($C$15:$DF$15&lt;$C40+$D40)*$C$18:$DF$18),0)</f>
        <v>0</v>
      </c>
      <c r="L40" s="344" t="n">
        <f aca="false">J40-K40</f>
        <v>0</v>
      </c>
      <c r="M40" s="339" t="n">
        <f aca="false">$B$3*I40</f>
        <v>0.1</v>
      </c>
      <c r="N40" s="344" t="n">
        <f aca="false">IF($E40="Yes",$B$2*$B40,0)</f>
        <v>0</v>
      </c>
      <c r="O40" s="344" t="n">
        <f aca="false">M40*MAX(0,L40)</f>
        <v>0</v>
      </c>
      <c r="P40" s="344" t="n">
        <f aca="false">N40+Q40</f>
        <v>0</v>
      </c>
      <c r="Q40" s="344" t="n">
        <f aca="false">IF(AND($F40="Yes",$I40&lt;1),O40-N40,MAX(0,O40-N40))</f>
        <v>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customFormat="false" ht="15" hidden="false" customHeight="true" outlineLevel="0" collapsed="false">
      <c r="A41" s="3" t="str">
        <f aca="false">Projects!A37</f>
        <v>BD-21</v>
      </c>
      <c r="B41" s="344" t="n">
        <f aca="false">Projects!B37</f>
        <v>15000000</v>
      </c>
      <c r="C41" s="343" t="n">
        <f aca="false">Projects!C37</f>
        <v>64</v>
      </c>
      <c r="D41" s="343" t="n">
        <f aca="false">Projects!D37</f>
        <v>19</v>
      </c>
      <c r="E41" s="3" t="str">
        <f aca="false">Projects!G37</f>
        <v>No</v>
      </c>
      <c r="F41" s="3" t="str">
        <f aca="false">Projects!M37</f>
        <v>No</v>
      </c>
      <c r="G41" s="343" t="n">
        <f aca="false">C41+D41-1</f>
        <v>82</v>
      </c>
      <c r="H41" s="343" t="n">
        <f aca="false">C41+1</f>
        <v>65</v>
      </c>
      <c r="I41" s="339" t="n">
        <f aca="false">IF($F41="Yes",INDEX($G$6:$G$14,MATCH(MIN($G41,105),$B$6:$B$14,1)),1)</f>
        <v>1</v>
      </c>
      <c r="J41" s="344" t="n">
        <f aca="false">IF($E41="Yes",$B41*Assumptions!$B$9*0.95/$D41*SUMPRODUCT(($C$15:$DF$15&gt;=$C41)*($C$15:$DF$15&lt;$C41+$D41))+$B41*Assumptions!$B$9*0.05*SUMPRODUCT(--($C$15:$DF$15=$G41)),0)</f>
        <v>0</v>
      </c>
      <c r="K41" s="344" t="n">
        <f aca="false">IF($E41="Yes",SUMPRODUCT(($C$15:$DF$15&gt;=$C41)*($C$15:$DF$15&lt;$C41+$D41)*$C$18:$DF$18),0)</f>
        <v>0</v>
      </c>
      <c r="L41" s="344" t="n">
        <f aca="false">J41-K41</f>
        <v>0</v>
      </c>
      <c r="M41" s="339" t="n">
        <f aca="false">$B$3*I41</f>
        <v>0.1</v>
      </c>
      <c r="N41" s="344" t="n">
        <f aca="false">IF($E41="Yes",$B$2*$B41,0)</f>
        <v>0</v>
      </c>
      <c r="O41" s="344" t="n">
        <f aca="false">M41*MAX(0,L41)</f>
        <v>0</v>
      </c>
      <c r="P41" s="344" t="n">
        <f aca="false">N41+Q41</f>
        <v>0</v>
      </c>
      <c r="Q41" s="344" t="n">
        <f aca="false">IF(AND($F41="Yes",$I41&lt;1),O41-N41,MAX(0,O41-N41))</f>
        <v>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customFormat="false" ht="15" hidden="false" customHeight="true" outlineLevel="0" collapsed="false">
      <c r="A42" s="3" t="str">
        <f aca="false">Projects!A38</f>
        <v>BD-22</v>
      </c>
      <c r="B42" s="344" t="n">
        <f aca="false">Projects!B38</f>
        <v>15000000</v>
      </c>
      <c r="C42" s="343" t="n">
        <f aca="false">Projects!C38</f>
        <v>66</v>
      </c>
      <c r="D42" s="343" t="n">
        <f aca="false">Projects!D38</f>
        <v>19</v>
      </c>
      <c r="E42" s="3" t="str">
        <f aca="false">Projects!G38</f>
        <v>No</v>
      </c>
      <c r="F42" s="3" t="str">
        <f aca="false">Projects!M38</f>
        <v>No</v>
      </c>
      <c r="G42" s="343" t="n">
        <f aca="false">C42+D42-1</f>
        <v>84</v>
      </c>
      <c r="H42" s="343" t="n">
        <f aca="false">C42+1</f>
        <v>67</v>
      </c>
      <c r="I42" s="339" t="n">
        <f aca="false">IF($F42="Yes",INDEX($G$6:$G$14,MATCH(MIN($G42,105),$B$6:$B$14,1)),1)</f>
        <v>1</v>
      </c>
      <c r="J42" s="344" t="n">
        <f aca="false">IF($E42="Yes",$B42*Assumptions!$B$9*0.95/$D42*SUMPRODUCT(($C$15:$DF$15&gt;=$C42)*($C$15:$DF$15&lt;$C42+$D42))+$B42*Assumptions!$B$9*0.05*SUMPRODUCT(--($C$15:$DF$15=$G42)),0)</f>
        <v>0</v>
      </c>
      <c r="K42" s="344" t="n">
        <f aca="false">IF($E42="Yes",SUMPRODUCT(($C$15:$DF$15&gt;=$C42)*($C$15:$DF$15&lt;$C42+$D42)*$C$18:$DF$18),0)</f>
        <v>0</v>
      </c>
      <c r="L42" s="344" t="n">
        <f aca="false">J42-K42</f>
        <v>0</v>
      </c>
      <c r="M42" s="339" t="n">
        <f aca="false">$B$3*I42</f>
        <v>0.1</v>
      </c>
      <c r="N42" s="344" t="n">
        <f aca="false">IF($E42="Yes",$B$2*$B42,0)</f>
        <v>0</v>
      </c>
      <c r="O42" s="344" t="n">
        <f aca="false">M42*MAX(0,L42)</f>
        <v>0</v>
      </c>
      <c r="P42" s="344" t="n">
        <f aca="false">N42+Q42</f>
        <v>0</v>
      </c>
      <c r="Q42" s="344" t="n">
        <f aca="false">IF(AND($F42="Yes",$I42&lt;1),O42-N42,MAX(0,O42-N42))</f>
        <v>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customFormat="false" ht="15" hidden="false" customHeight="true" outlineLevel="0" collapsed="false">
      <c r="A43" s="3" t="str">
        <f aca="false">Projects!A39</f>
        <v>BD-23</v>
      </c>
      <c r="B43" s="344" t="n">
        <f aca="false">Projects!B39</f>
        <v>18000000</v>
      </c>
      <c r="C43" s="343" t="n">
        <f aca="false">Projects!C39</f>
        <v>68</v>
      </c>
      <c r="D43" s="343" t="n">
        <f aca="false">Projects!D39</f>
        <v>19</v>
      </c>
      <c r="E43" s="3" t="str">
        <f aca="false">Projects!G39</f>
        <v>No</v>
      </c>
      <c r="F43" s="3" t="str">
        <f aca="false">Projects!M39</f>
        <v>No</v>
      </c>
      <c r="G43" s="343" t="n">
        <f aca="false">C43+D43-1</f>
        <v>86</v>
      </c>
      <c r="H43" s="343" t="n">
        <f aca="false">C43+1</f>
        <v>69</v>
      </c>
      <c r="I43" s="339" t="n">
        <f aca="false">IF($F43="Yes",INDEX($G$6:$G$14,MATCH(MIN($G43,105),$B$6:$B$14,1)),1)</f>
        <v>1</v>
      </c>
      <c r="J43" s="344" t="n">
        <f aca="false">IF($E43="Yes",$B43*Assumptions!$B$9*0.95/$D43*SUMPRODUCT(($C$15:$DF$15&gt;=$C43)*($C$15:$DF$15&lt;$C43+$D43))+$B43*Assumptions!$B$9*0.05*SUMPRODUCT(--($C$15:$DF$15=$G43)),0)</f>
        <v>0</v>
      </c>
      <c r="K43" s="344" t="n">
        <f aca="false">IF($E43="Yes",SUMPRODUCT(($C$15:$DF$15&gt;=$C43)*($C$15:$DF$15&lt;$C43+$D43)*$C$18:$DF$18),0)</f>
        <v>0</v>
      </c>
      <c r="L43" s="344" t="n">
        <f aca="false">J43-K43</f>
        <v>0</v>
      </c>
      <c r="M43" s="339" t="n">
        <f aca="false">$B$3*I43</f>
        <v>0.1</v>
      </c>
      <c r="N43" s="344" t="n">
        <f aca="false">IF($E43="Yes",$B$2*$B43,0)</f>
        <v>0</v>
      </c>
      <c r="O43" s="344" t="n">
        <f aca="false">M43*MAX(0,L43)</f>
        <v>0</v>
      </c>
      <c r="P43" s="344" t="n">
        <f aca="false">N43+Q43</f>
        <v>0</v>
      </c>
      <c r="Q43" s="344" t="n">
        <f aca="false">IF(AND($F43="Yes",$I43&lt;1),O43-N43,MAX(0,O43-N43))</f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customFormat="false" ht="15" hidden="false" customHeight="true" outlineLevel="0" collapsed="false">
      <c r="A44" s="3" t="str">
        <f aca="false">Projects!A40</f>
        <v>BD-24</v>
      </c>
      <c r="B44" s="344" t="n">
        <f aca="false">Projects!B40</f>
        <v>15000000</v>
      </c>
      <c r="C44" s="343" t="n">
        <f aca="false">Projects!C40</f>
        <v>70</v>
      </c>
      <c r="D44" s="343" t="n">
        <f aca="false">Projects!D40</f>
        <v>19</v>
      </c>
      <c r="E44" s="3" t="str">
        <f aca="false">Projects!G40</f>
        <v>No</v>
      </c>
      <c r="F44" s="3" t="str">
        <f aca="false">Projects!M40</f>
        <v>Yes</v>
      </c>
      <c r="G44" s="343" t="n">
        <f aca="false">C44+D44-1</f>
        <v>88</v>
      </c>
      <c r="H44" s="343" t="n">
        <f aca="false">C44+1</f>
        <v>71</v>
      </c>
      <c r="I44" s="339" t="n">
        <f aca="false">IF($F44="Yes",INDEX($G$6:$G$14,MATCH(MIN($G44,105),$B$6:$B$14,1)),1)</f>
        <v>0.25</v>
      </c>
      <c r="J44" s="344" t="n">
        <f aca="false">IF($E44="Yes",$B44*Assumptions!$B$9*0.95/$D44*SUMPRODUCT(($C$15:$DF$15&gt;=$C44)*($C$15:$DF$15&lt;$C44+$D44))+$B44*Assumptions!$B$9*0.05*SUMPRODUCT(--($C$15:$DF$15=$G44)),0)</f>
        <v>0</v>
      </c>
      <c r="K44" s="344" t="n">
        <f aca="false">IF($E44="Yes",SUMPRODUCT(($C$15:$DF$15&gt;=$C44)*($C$15:$DF$15&lt;$C44+$D44)*$C$18:$DF$18),0)</f>
        <v>0</v>
      </c>
      <c r="L44" s="344" t="n">
        <f aca="false">J44-K44</f>
        <v>0</v>
      </c>
      <c r="M44" s="339" t="n">
        <f aca="false">$B$3*I44</f>
        <v>0.025</v>
      </c>
      <c r="N44" s="344" t="n">
        <f aca="false">IF($E44="Yes",$B$2*$B44,0)</f>
        <v>0</v>
      </c>
      <c r="O44" s="344" t="n">
        <f aca="false">M44*MAX(0,L44)</f>
        <v>0</v>
      </c>
      <c r="P44" s="344" t="n">
        <f aca="false">N44+Q44</f>
        <v>0</v>
      </c>
      <c r="Q44" s="344" t="n">
        <f aca="false">IF(AND($F44="Yes",$I44&lt;1),O44-N44,MAX(0,O44-N44))</f>
        <v>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customFormat="false" ht="15" hidden="false" customHeight="true" outlineLevel="0" collapsed="false">
      <c r="A45" s="3" t="str">
        <f aca="false">Projects!A41</f>
        <v>BD-25</v>
      </c>
      <c r="B45" s="344" t="n">
        <f aca="false">Projects!B41</f>
        <v>15000000</v>
      </c>
      <c r="C45" s="343" t="n">
        <f aca="false">Projects!C41</f>
        <v>72</v>
      </c>
      <c r="D45" s="343" t="n">
        <f aca="false">Projects!D41</f>
        <v>19</v>
      </c>
      <c r="E45" s="3" t="str">
        <f aca="false">Projects!G41</f>
        <v>No</v>
      </c>
      <c r="F45" s="3" t="str">
        <f aca="false">Projects!M41</f>
        <v>No</v>
      </c>
      <c r="G45" s="343" t="n">
        <f aca="false">C45+D45-1</f>
        <v>90</v>
      </c>
      <c r="H45" s="343" t="n">
        <f aca="false">C45+1</f>
        <v>73</v>
      </c>
      <c r="I45" s="339" t="n">
        <f aca="false">IF($F45="Yes",INDEX($G$6:$G$14,MATCH(MIN($G45,105),$B$6:$B$14,1)),1)</f>
        <v>1</v>
      </c>
      <c r="J45" s="344" t="n">
        <f aca="false">IF($E45="Yes",$B45*Assumptions!$B$9*0.95/$D45*SUMPRODUCT(($C$15:$DF$15&gt;=$C45)*($C$15:$DF$15&lt;$C45+$D45))+$B45*Assumptions!$B$9*0.05*SUMPRODUCT(--($C$15:$DF$15=$G45)),0)</f>
        <v>0</v>
      </c>
      <c r="K45" s="344" t="n">
        <f aca="false">IF($E45="Yes",SUMPRODUCT(($C$15:$DF$15&gt;=$C45)*($C$15:$DF$15&lt;$C45+$D45)*$C$18:$DF$18),0)</f>
        <v>0</v>
      </c>
      <c r="L45" s="344" t="n">
        <f aca="false">J45-K45</f>
        <v>0</v>
      </c>
      <c r="M45" s="339" t="n">
        <f aca="false">$B$3*I45</f>
        <v>0.1</v>
      </c>
      <c r="N45" s="344" t="n">
        <f aca="false">IF($E45="Yes",$B$2*$B45,0)</f>
        <v>0</v>
      </c>
      <c r="O45" s="344" t="n">
        <f aca="false">M45*MAX(0,L45)</f>
        <v>0</v>
      </c>
      <c r="P45" s="344" t="n">
        <f aca="false">N45+Q45</f>
        <v>0</v>
      </c>
      <c r="Q45" s="344" t="n">
        <f aca="false">IF(AND($F45="Yes",$I45&lt;1),O45-N45,MAX(0,O45-N45))</f>
        <v>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customFormat="false" ht="15" hidden="false" customHeight="true" outlineLevel="0" collapsed="false">
      <c r="A46" s="3" t="str">
        <f aca="false">Projects!A42</f>
        <v>BD-26</v>
      </c>
      <c r="B46" s="344" t="n">
        <f aca="false">Projects!B42</f>
        <v>18000000</v>
      </c>
      <c r="C46" s="343" t="n">
        <f aca="false">Projects!C42</f>
        <v>74</v>
      </c>
      <c r="D46" s="343" t="n">
        <f aca="false">Projects!D42</f>
        <v>19</v>
      </c>
      <c r="E46" s="3" t="str">
        <f aca="false">Projects!G42</f>
        <v>No</v>
      </c>
      <c r="F46" s="3" t="str">
        <f aca="false">Projects!M42</f>
        <v>No</v>
      </c>
      <c r="G46" s="343" t="n">
        <f aca="false">C46+D46-1</f>
        <v>92</v>
      </c>
      <c r="H46" s="343" t="n">
        <f aca="false">C46+1</f>
        <v>75</v>
      </c>
      <c r="I46" s="339" t="n">
        <f aca="false">IF($F46="Yes",INDEX($G$6:$G$14,MATCH(MIN($G46,105),$B$6:$B$14,1)),1)</f>
        <v>1</v>
      </c>
      <c r="J46" s="344" t="n">
        <f aca="false">IF($E46="Yes",$B46*Assumptions!$B$9*0.95/$D46*SUMPRODUCT(($C$15:$DF$15&gt;=$C46)*($C$15:$DF$15&lt;$C46+$D46))+$B46*Assumptions!$B$9*0.05*SUMPRODUCT(--($C$15:$DF$15=$G46)),0)</f>
        <v>0</v>
      </c>
      <c r="K46" s="344" t="n">
        <f aca="false">IF($E46="Yes",SUMPRODUCT(($C$15:$DF$15&gt;=$C46)*($C$15:$DF$15&lt;$C46+$D46)*$C$18:$DF$18),0)</f>
        <v>0</v>
      </c>
      <c r="L46" s="344" t="n">
        <f aca="false">J46-K46</f>
        <v>0</v>
      </c>
      <c r="M46" s="339" t="n">
        <f aca="false">$B$3*I46</f>
        <v>0.1</v>
      </c>
      <c r="N46" s="344" t="n">
        <f aca="false">IF($E46="Yes",$B$2*$B46,0)</f>
        <v>0</v>
      </c>
      <c r="O46" s="344" t="n">
        <f aca="false">M46*MAX(0,L46)</f>
        <v>0</v>
      </c>
      <c r="P46" s="344" t="n">
        <f aca="false">N46+Q46</f>
        <v>0</v>
      </c>
      <c r="Q46" s="344" t="n">
        <f aca="false">IF(AND($F46="Yes",$I46&lt;1),O46-N46,MAX(0,O46-N46))</f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customFormat="false" ht="15" hidden="false" customHeight="true" outlineLevel="0" collapsed="false">
      <c r="A47" s="3" t="str">
        <f aca="false">Projects!A43</f>
        <v>BD-27</v>
      </c>
      <c r="B47" s="344" t="n">
        <f aca="false">Projects!B43</f>
        <v>15000000</v>
      </c>
      <c r="C47" s="343" t="n">
        <f aca="false">Projects!C43</f>
        <v>76</v>
      </c>
      <c r="D47" s="343" t="n">
        <f aca="false">Projects!D43</f>
        <v>19</v>
      </c>
      <c r="E47" s="3" t="str">
        <f aca="false">Projects!G43</f>
        <v>No</v>
      </c>
      <c r="F47" s="3" t="str">
        <f aca="false">Projects!M43</f>
        <v>No</v>
      </c>
      <c r="G47" s="343" t="n">
        <f aca="false">C47+D47-1</f>
        <v>94</v>
      </c>
      <c r="H47" s="343" t="n">
        <f aca="false">C47+1</f>
        <v>77</v>
      </c>
      <c r="I47" s="339" t="n">
        <f aca="false">IF($F47="Yes",INDEX($G$6:$G$14,MATCH(MIN($G47,105),$B$6:$B$14,1)),1)</f>
        <v>1</v>
      </c>
      <c r="J47" s="344" t="n">
        <f aca="false">IF($E47="Yes",$B47*Assumptions!$B$9*0.95/$D47*SUMPRODUCT(($C$15:$DF$15&gt;=$C47)*($C$15:$DF$15&lt;$C47+$D47))+$B47*Assumptions!$B$9*0.05*SUMPRODUCT(--($C$15:$DF$15=$G47)),0)</f>
        <v>0</v>
      </c>
      <c r="K47" s="344" t="n">
        <f aca="false">IF($E47="Yes",SUMPRODUCT(($C$15:$DF$15&gt;=$C47)*($C$15:$DF$15&lt;$C47+$D47)*$C$18:$DF$18),0)</f>
        <v>0</v>
      </c>
      <c r="L47" s="344" t="n">
        <f aca="false">J47-K47</f>
        <v>0</v>
      </c>
      <c r="M47" s="339" t="n">
        <f aca="false">$B$3*I47</f>
        <v>0.1</v>
      </c>
      <c r="N47" s="344" t="n">
        <f aca="false">IF($E47="Yes",$B$2*$B47,0)</f>
        <v>0</v>
      </c>
      <c r="O47" s="344" t="n">
        <f aca="false">M47*MAX(0,L47)</f>
        <v>0</v>
      </c>
      <c r="P47" s="344" t="n">
        <f aca="false">N47+Q47</f>
        <v>0</v>
      </c>
      <c r="Q47" s="344" t="n">
        <f aca="false">IF(AND($F47="Yes",$I47&lt;1),O47-N47,MAX(0,O47-N47))</f>
        <v>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customFormat="false" ht="15" hidden="false" customHeight="true" outlineLevel="0" collapsed="false">
      <c r="A48" s="3" t="str">
        <f aca="false">Projects!A44</f>
        <v>BD-28</v>
      </c>
      <c r="B48" s="344" t="n">
        <f aca="false">Projects!B44</f>
        <v>15000000</v>
      </c>
      <c r="C48" s="343" t="n">
        <f aca="false">Projects!C44</f>
        <v>78</v>
      </c>
      <c r="D48" s="343" t="n">
        <f aca="false">Projects!D44</f>
        <v>19</v>
      </c>
      <c r="E48" s="3" t="str">
        <f aca="false">Projects!G44</f>
        <v>No</v>
      </c>
      <c r="F48" s="3" t="str">
        <f aca="false">Projects!M44</f>
        <v>No</v>
      </c>
      <c r="G48" s="343" t="n">
        <f aca="false">C48+D48-1</f>
        <v>96</v>
      </c>
      <c r="H48" s="343" t="n">
        <f aca="false">C48+1</f>
        <v>79</v>
      </c>
      <c r="I48" s="339" t="n">
        <f aca="false">IF($F48="Yes",INDEX($G$6:$G$14,MATCH(MIN($G48,105),$B$6:$B$14,1)),1)</f>
        <v>1</v>
      </c>
      <c r="J48" s="344" t="n">
        <f aca="false">IF($E48="Yes",$B48*Assumptions!$B$9*0.95/$D48*SUMPRODUCT(($C$15:$DF$15&gt;=$C48)*($C$15:$DF$15&lt;$C48+$D48))+$B48*Assumptions!$B$9*0.05*SUMPRODUCT(--($C$15:$DF$15=$G48)),0)</f>
        <v>0</v>
      </c>
      <c r="K48" s="344" t="n">
        <f aca="false">IF($E48="Yes",SUMPRODUCT(($C$15:$DF$15&gt;=$C48)*($C$15:$DF$15&lt;$C48+$D48)*$C$18:$DF$18),0)</f>
        <v>0</v>
      </c>
      <c r="L48" s="344" t="n">
        <f aca="false">J48-K48</f>
        <v>0</v>
      </c>
      <c r="M48" s="339" t="n">
        <f aca="false">$B$3*I48</f>
        <v>0.1</v>
      </c>
      <c r="N48" s="344" t="n">
        <f aca="false">IF($E48="Yes",$B$2*$B48,0)</f>
        <v>0</v>
      </c>
      <c r="O48" s="344" t="n">
        <f aca="false">M48*MAX(0,L48)</f>
        <v>0</v>
      </c>
      <c r="P48" s="344" t="n">
        <f aca="false">N48+Q48</f>
        <v>0</v>
      </c>
      <c r="Q48" s="344" t="n">
        <f aca="false">IF(AND($F48="Yes",$I48&lt;1),O48-N48,MAX(0,O48-N48))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customFormat="false" ht="15" hidden="false" customHeight="true" outlineLevel="0" collapsed="false">
      <c r="A49" s="3" t="str">
        <f aca="false">Projects!A45</f>
        <v>BD-29</v>
      </c>
      <c r="B49" s="344" t="n">
        <f aca="false">Projects!B45</f>
        <v>18000000</v>
      </c>
      <c r="C49" s="343" t="n">
        <f aca="false">Projects!C45</f>
        <v>80</v>
      </c>
      <c r="D49" s="343" t="n">
        <f aca="false">Projects!D45</f>
        <v>19</v>
      </c>
      <c r="E49" s="3" t="str">
        <f aca="false">Projects!G45</f>
        <v>No</v>
      </c>
      <c r="F49" s="3" t="str">
        <f aca="false">Projects!M45</f>
        <v>No</v>
      </c>
      <c r="G49" s="343" t="n">
        <f aca="false">C49+D49-1</f>
        <v>98</v>
      </c>
      <c r="H49" s="343" t="n">
        <f aca="false">C49+1</f>
        <v>81</v>
      </c>
      <c r="I49" s="339" t="n">
        <f aca="false">IF($F49="Yes",INDEX($G$6:$G$14,MATCH(MIN($G49,105),$B$6:$B$14,1)),1)</f>
        <v>1</v>
      </c>
      <c r="J49" s="344" t="n">
        <f aca="false">IF($E49="Yes",$B49*Assumptions!$B$9*0.95/$D49*SUMPRODUCT(($C$15:$DF$15&gt;=$C49)*($C$15:$DF$15&lt;$C49+$D49))+$B49*Assumptions!$B$9*0.05*SUMPRODUCT(--($C$15:$DF$15=$G49)),0)</f>
        <v>0</v>
      </c>
      <c r="K49" s="344" t="n">
        <f aca="false">IF($E49="Yes",SUMPRODUCT(($C$15:$DF$15&gt;=$C49)*($C$15:$DF$15&lt;$C49+$D49)*$C$18:$DF$18),0)</f>
        <v>0</v>
      </c>
      <c r="L49" s="344" t="n">
        <f aca="false">J49-K49</f>
        <v>0</v>
      </c>
      <c r="M49" s="339" t="n">
        <f aca="false">$B$3*I49</f>
        <v>0.1</v>
      </c>
      <c r="N49" s="344" t="n">
        <f aca="false">IF($E49="Yes",$B$2*$B49,0)</f>
        <v>0</v>
      </c>
      <c r="O49" s="344" t="n">
        <f aca="false">M49*MAX(0,L49)</f>
        <v>0</v>
      </c>
      <c r="P49" s="344" t="n">
        <f aca="false">N49+Q49</f>
        <v>0</v>
      </c>
      <c r="Q49" s="344" t="n">
        <f aca="false">IF(AND($F49="Yes",$I49&lt;1),O49-N49,MAX(0,O49-N49))</f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customFormat="false" ht="15" hidden="false" customHeight="true" outlineLevel="0" collapsed="false">
      <c r="A50" s="3" t="str">
        <f aca="false">Projects!A46</f>
        <v>BD-30</v>
      </c>
      <c r="B50" s="344" t="n">
        <f aca="false">Projects!B46</f>
        <v>15000000</v>
      </c>
      <c r="C50" s="343" t="n">
        <f aca="false">Projects!C46</f>
        <v>82</v>
      </c>
      <c r="D50" s="343" t="n">
        <f aca="false">Projects!D46</f>
        <v>19</v>
      </c>
      <c r="E50" s="3" t="str">
        <f aca="false">Projects!G46</f>
        <v>No</v>
      </c>
      <c r="F50" s="3" t="str">
        <f aca="false">Projects!M46</f>
        <v>Yes</v>
      </c>
      <c r="G50" s="343" t="n">
        <f aca="false">C50+D50-1</f>
        <v>100</v>
      </c>
      <c r="H50" s="343" t="n">
        <f aca="false">C50+1</f>
        <v>83</v>
      </c>
      <c r="I50" s="339" t="n">
        <f aca="false">IF($F50="Yes",INDEX($G$6:$G$14,MATCH(MIN($G50,105),$B$6:$B$14,1)),1)</f>
        <v>0.25</v>
      </c>
      <c r="J50" s="344" t="n">
        <f aca="false">IF($E50="Yes",$B50*Assumptions!$B$9*0.95/$D50*SUMPRODUCT(($C$15:$DF$15&gt;=$C50)*($C$15:$DF$15&lt;$C50+$D50))+$B50*Assumptions!$B$9*0.05*SUMPRODUCT(--($C$15:$DF$15=$G50)),0)</f>
        <v>0</v>
      </c>
      <c r="K50" s="344" t="n">
        <f aca="false">IF($E50="Yes",SUMPRODUCT(($C$15:$DF$15&gt;=$C50)*($C$15:$DF$15&lt;$C50+$D50)*$C$18:$DF$18),0)</f>
        <v>0</v>
      </c>
      <c r="L50" s="344" t="n">
        <f aca="false">J50-K50</f>
        <v>0</v>
      </c>
      <c r="M50" s="339" t="n">
        <f aca="false">$B$3*I50</f>
        <v>0.025</v>
      </c>
      <c r="N50" s="344" t="n">
        <f aca="false">IF($E50="Yes",$B$2*$B50,0)</f>
        <v>0</v>
      </c>
      <c r="O50" s="344" t="n">
        <f aca="false">M50*MAX(0,L50)</f>
        <v>0</v>
      </c>
      <c r="P50" s="344" t="n">
        <f aca="false">N50+Q50</f>
        <v>0</v>
      </c>
      <c r="Q50" s="344" t="n">
        <f aca="false">IF(AND($F50="Yes",$I50&lt;1),O50-N50,MAX(0,O50-N50))</f>
        <v>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customFormat="false" ht="1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customFormat="false" ht="1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customFormat="false" ht="15" hidden="false" customHeight="true" outlineLevel="0" collapsed="false">
      <c r="A53" s="81" t="s">
        <v>893</v>
      </c>
      <c r="B53" s="3"/>
      <c r="C53" s="344" t="n">
        <f aca="false">SUMPRODUCT(($H$21:$H$50=C$15)*$N$21:$N$50)+SUMPRODUCT(($G$21:$G$50=C$15)*$Q$21:$Q$50)</f>
        <v>0</v>
      </c>
      <c r="D53" s="344" t="n">
        <f aca="false">SUMPRODUCT(($H$21:$H$50=D$15)*$N$21:$N$50)+SUMPRODUCT(($G$21:$G$50=D$15)*$Q$21:$Q$50)</f>
        <v>0</v>
      </c>
      <c r="E53" s="344" t="n">
        <f aca="false">SUMPRODUCT(($H$21:$H$50=E$15)*$N$21:$N$50)+SUMPRODUCT(($G$21:$G$50=E$15)*$Q$21:$Q$50)</f>
        <v>0</v>
      </c>
      <c r="F53" s="344" t="n">
        <f aca="false">SUMPRODUCT(($H$21:$H$50=F$15)*$N$21:$N$50)+SUMPRODUCT(($G$21:$G$50=F$15)*$Q$21:$Q$50)</f>
        <v>0</v>
      </c>
      <c r="G53" s="344" t="n">
        <f aca="false">SUMPRODUCT(($H$21:$H$50=G$15)*$N$21:$N$50)+SUMPRODUCT(($G$21:$G$50=G$15)*$Q$21:$Q$50)</f>
        <v>0</v>
      </c>
      <c r="H53" s="344" t="n">
        <f aca="false">SUMPRODUCT(($H$21:$H$50=H$15)*$N$21:$N$50)+SUMPRODUCT(($G$21:$G$50=H$15)*$Q$21:$Q$50)</f>
        <v>0</v>
      </c>
      <c r="I53" s="344" t="n">
        <f aca="false">SUMPRODUCT(($H$21:$H$50=I$15)*$N$21:$N$50)+SUMPRODUCT(($G$21:$G$50=I$15)*$Q$21:$Q$50)</f>
        <v>0</v>
      </c>
      <c r="J53" s="344" t="n">
        <f aca="false">SUMPRODUCT(($H$21:$H$50=J$15)*$N$21:$N$50)+SUMPRODUCT(($G$21:$G$50=J$15)*$Q$21:$Q$50)</f>
        <v>0</v>
      </c>
      <c r="K53" s="344" t="n">
        <f aca="false">SUMPRODUCT(($H$21:$H$50=K$15)*$N$21:$N$50)+SUMPRODUCT(($G$21:$G$50=K$15)*$Q$21:$Q$50)</f>
        <v>0</v>
      </c>
      <c r="L53" s="344" t="n">
        <f aca="false">SUMPRODUCT(($H$21:$H$50=L$15)*$N$21:$N$50)+SUMPRODUCT(($G$21:$G$50=L$15)*$Q$21:$Q$50)</f>
        <v>0</v>
      </c>
      <c r="M53" s="344" t="n">
        <f aca="false">SUMPRODUCT(($H$21:$H$50=M$15)*$N$21:$N$50)+SUMPRODUCT(($G$21:$G$50=M$15)*$Q$21:$Q$50)</f>
        <v>0</v>
      </c>
      <c r="N53" s="344" t="n">
        <f aca="false">SUMPRODUCT(($H$21:$H$50=N$15)*$N$21:$N$50)+SUMPRODUCT(($G$21:$G$50=N$15)*$Q$21:$Q$50)</f>
        <v>0</v>
      </c>
      <c r="O53" s="344" t="n">
        <f aca="false">SUMPRODUCT(($H$21:$H$50=O$15)*$N$21:$N$50)+SUMPRODUCT(($G$21:$G$50=O$15)*$Q$21:$Q$50)</f>
        <v>0</v>
      </c>
      <c r="P53" s="344" t="n">
        <f aca="false">SUMPRODUCT(($H$21:$H$50=P$15)*$N$21:$N$50)+SUMPRODUCT(($G$21:$G$50=P$15)*$Q$21:$Q$50)</f>
        <v>0</v>
      </c>
      <c r="Q53" s="344" t="n">
        <f aca="false">SUMPRODUCT(($H$21:$H$50=Q$15)*$N$21:$N$50)+SUMPRODUCT(($G$21:$G$50=Q$15)*$Q$21:$Q$50)</f>
        <v>0</v>
      </c>
      <c r="R53" s="344" t="n">
        <f aca="false">SUMPRODUCT(($H$21:$H$50=R$15)*$N$21:$N$50)+SUMPRODUCT(($G$21:$G$50=R$15)*$Q$21:$Q$50)</f>
        <v>0</v>
      </c>
      <c r="S53" s="344" t="n">
        <f aca="false">SUMPRODUCT(($H$21:$H$50=S$15)*$N$21:$N$50)+SUMPRODUCT(($G$21:$G$50=S$15)*$Q$21:$Q$50)</f>
        <v>0</v>
      </c>
      <c r="T53" s="344" t="n">
        <f aca="false">SUMPRODUCT(($H$21:$H$50=T$15)*$N$21:$N$50)+SUMPRODUCT(($G$21:$G$50=T$15)*$Q$21:$Q$50)</f>
        <v>0</v>
      </c>
      <c r="U53" s="344" t="n">
        <f aca="false">SUMPRODUCT(($H$21:$H$50=U$15)*$N$21:$N$50)+SUMPRODUCT(($G$21:$G$50=U$15)*$Q$21:$Q$50)</f>
        <v>0</v>
      </c>
      <c r="V53" s="344" t="n">
        <f aca="false">SUMPRODUCT(($H$21:$H$50=V$15)*$N$21:$N$50)+SUMPRODUCT(($G$21:$G$50=V$15)*$Q$21:$Q$50)</f>
        <v>0</v>
      </c>
      <c r="W53" s="344" t="n">
        <f aca="false">SUMPRODUCT(($H$21:$H$50=W$15)*$N$21:$N$50)+SUMPRODUCT(($G$21:$G$50=W$15)*$Q$21:$Q$50)</f>
        <v>0</v>
      </c>
      <c r="X53" s="344" t="n">
        <f aca="false">SUMPRODUCT(($H$21:$H$50=X$15)*$N$21:$N$50)+SUMPRODUCT(($G$21:$G$50=X$15)*$Q$21:$Q$50)</f>
        <v>0</v>
      </c>
      <c r="Y53" s="344" t="n">
        <f aca="false">SUMPRODUCT(($H$21:$H$50=Y$15)*$N$21:$N$50)+SUMPRODUCT(($G$21:$G$50=Y$15)*$Q$21:$Q$50)</f>
        <v>0</v>
      </c>
      <c r="Z53" s="344" t="n">
        <f aca="false">SUMPRODUCT(($H$21:$H$50=Z$15)*$N$21:$N$50)+SUMPRODUCT(($G$21:$G$50=Z$15)*$Q$21:$Q$50)</f>
        <v>0</v>
      </c>
      <c r="AA53" s="344" t="n">
        <f aca="false">SUMPRODUCT(($H$21:$H$50=AA$15)*$N$21:$N$50)+SUMPRODUCT(($G$21:$G$50=AA$15)*$Q$21:$Q$50)</f>
        <v>0</v>
      </c>
      <c r="AB53" s="344" t="n">
        <f aca="false">SUMPRODUCT(($H$21:$H$50=AB$15)*$N$21:$N$50)+SUMPRODUCT(($G$21:$G$50=AB$15)*$Q$21:$Q$50)</f>
        <v>0</v>
      </c>
      <c r="AC53" s="344" t="n">
        <f aca="false">SUMPRODUCT(($H$21:$H$50=AC$15)*$N$21:$N$50)+SUMPRODUCT(($G$21:$G$50=AC$15)*$Q$21:$Q$50)</f>
        <v>0</v>
      </c>
      <c r="AD53" s="344" t="n">
        <f aca="false">SUMPRODUCT(($H$21:$H$50=AD$15)*$N$21:$N$50)+SUMPRODUCT(($G$21:$G$50=AD$15)*$Q$21:$Q$50)</f>
        <v>0</v>
      </c>
      <c r="AE53" s="344" t="n">
        <f aca="false">SUMPRODUCT(($H$21:$H$50=AE$15)*$N$21:$N$50)+SUMPRODUCT(($G$21:$G$50=AE$15)*$Q$21:$Q$50)</f>
        <v>0</v>
      </c>
      <c r="AF53" s="344" t="n">
        <f aca="false">SUMPRODUCT(($H$21:$H$50=AF$15)*$N$21:$N$50)+SUMPRODUCT(($G$21:$G$50=AF$15)*$Q$21:$Q$50)</f>
        <v>0</v>
      </c>
      <c r="AG53" s="344" t="n">
        <f aca="false">SUMPRODUCT(($H$21:$H$50=AG$15)*$N$21:$N$50)+SUMPRODUCT(($G$21:$G$50=AG$15)*$Q$21:$Q$50)</f>
        <v>0</v>
      </c>
      <c r="AH53" s="344" t="n">
        <f aca="false">SUMPRODUCT(($H$21:$H$50=AH$15)*$N$21:$N$50)+SUMPRODUCT(($G$21:$G$50=AH$15)*$Q$21:$Q$50)</f>
        <v>0</v>
      </c>
      <c r="AI53" s="344" t="n">
        <f aca="false">SUMPRODUCT(($H$21:$H$50=AI$15)*$N$21:$N$50)+SUMPRODUCT(($G$21:$G$50=AI$15)*$Q$21:$Q$50)</f>
        <v>0</v>
      </c>
      <c r="AJ53" s="344" t="n">
        <f aca="false">SUMPRODUCT(($H$21:$H$50=AJ$15)*$N$21:$N$50)+SUMPRODUCT(($G$21:$G$50=AJ$15)*$Q$21:$Q$50)</f>
        <v>0</v>
      </c>
      <c r="AK53" s="344" t="n">
        <f aca="false">SUMPRODUCT(($H$21:$H$50=AK$15)*$N$21:$N$50)+SUMPRODUCT(($G$21:$G$50=AK$15)*$Q$21:$Q$50)</f>
        <v>0</v>
      </c>
      <c r="AL53" s="344" t="n">
        <f aca="false">SUMPRODUCT(($H$21:$H$50=AL$15)*$N$21:$N$50)+SUMPRODUCT(($G$21:$G$50=AL$15)*$Q$21:$Q$50)</f>
        <v>0</v>
      </c>
      <c r="AM53" s="344" t="n">
        <f aca="false">SUMPRODUCT(($H$21:$H$50=AM$15)*$N$21:$N$50)+SUMPRODUCT(($G$21:$G$50=AM$15)*$Q$21:$Q$50)</f>
        <v>0</v>
      </c>
      <c r="AN53" s="344" t="n">
        <f aca="false">SUMPRODUCT(($H$21:$H$50=AN$15)*$N$21:$N$50)+SUMPRODUCT(($G$21:$G$50=AN$15)*$Q$21:$Q$50)</f>
        <v>0</v>
      </c>
      <c r="AO53" s="344" t="n">
        <f aca="false">SUMPRODUCT(($H$21:$H$50=AO$15)*$N$21:$N$50)+SUMPRODUCT(($G$21:$G$50=AO$15)*$Q$21:$Q$50)</f>
        <v>0</v>
      </c>
      <c r="AP53" s="344" t="n">
        <f aca="false">SUMPRODUCT(($H$21:$H$50=AP$15)*$N$21:$N$50)+SUMPRODUCT(($G$21:$G$50=AP$15)*$Q$21:$Q$50)</f>
        <v>0</v>
      </c>
      <c r="AQ53" s="344" t="n">
        <f aca="false">SUMPRODUCT(($H$21:$H$50=AQ$15)*$N$21:$N$50)+SUMPRODUCT(($G$21:$G$50=AQ$15)*$Q$21:$Q$50)</f>
        <v>0</v>
      </c>
      <c r="AR53" s="344" t="n">
        <f aca="false">SUMPRODUCT(($H$21:$H$50=AR$15)*$N$21:$N$50)+SUMPRODUCT(($G$21:$G$50=AR$15)*$Q$21:$Q$50)</f>
        <v>0</v>
      </c>
      <c r="AS53" s="344" t="n">
        <f aca="false">SUMPRODUCT(($H$21:$H$50=AS$15)*$N$21:$N$50)+SUMPRODUCT(($G$21:$G$50=AS$15)*$Q$21:$Q$50)</f>
        <v>0</v>
      </c>
      <c r="AT53" s="344" t="n">
        <f aca="false">SUMPRODUCT(($H$21:$H$50=AT$15)*$N$21:$N$50)+SUMPRODUCT(($G$21:$G$50=AT$15)*$Q$21:$Q$50)</f>
        <v>0</v>
      </c>
      <c r="AU53" s="344" t="n">
        <f aca="false">SUMPRODUCT(($H$21:$H$50=AU$15)*$N$21:$N$50)+SUMPRODUCT(($G$21:$G$50=AU$15)*$Q$21:$Q$50)</f>
        <v>0</v>
      </c>
      <c r="AV53" s="344" t="n">
        <f aca="false">SUMPRODUCT(($H$21:$H$50=AV$15)*$N$21:$N$50)+SUMPRODUCT(($G$21:$G$50=AV$15)*$Q$21:$Q$50)</f>
        <v>0</v>
      </c>
      <c r="AW53" s="344" t="n">
        <f aca="false">SUMPRODUCT(($H$21:$H$50=AW$15)*$N$21:$N$50)+SUMPRODUCT(($G$21:$G$50=AW$15)*$Q$21:$Q$50)</f>
        <v>0</v>
      </c>
      <c r="AX53" s="344" t="n">
        <f aca="false">SUMPRODUCT(($H$21:$H$50=AX$15)*$N$21:$N$50)+SUMPRODUCT(($G$21:$G$50=AX$15)*$Q$21:$Q$50)</f>
        <v>0</v>
      </c>
      <c r="AY53" s="344" t="n">
        <f aca="false">SUMPRODUCT(($H$21:$H$50=AY$15)*$N$21:$N$50)+SUMPRODUCT(($G$21:$G$50=AY$15)*$Q$21:$Q$50)</f>
        <v>0</v>
      </c>
      <c r="AZ53" s="344" t="n">
        <f aca="false">SUMPRODUCT(($H$21:$H$50=AZ$15)*$N$21:$N$50)+SUMPRODUCT(($G$21:$G$50=AZ$15)*$Q$21:$Q$50)</f>
        <v>0</v>
      </c>
      <c r="BA53" s="344" t="n">
        <f aca="false">SUMPRODUCT(($H$21:$H$50=BA$15)*$N$21:$N$50)+SUMPRODUCT(($G$21:$G$50=BA$15)*$Q$21:$Q$50)</f>
        <v>0</v>
      </c>
      <c r="BB53" s="344" t="n">
        <f aca="false">SUMPRODUCT(($H$21:$H$50=BB$15)*$N$21:$N$50)+SUMPRODUCT(($G$21:$G$50=BB$15)*$Q$21:$Q$50)</f>
        <v>0</v>
      </c>
      <c r="BC53" s="344" t="n">
        <f aca="false">SUMPRODUCT(($H$21:$H$50=BC$15)*$N$21:$N$50)+SUMPRODUCT(($G$21:$G$50=BC$15)*$Q$21:$Q$50)</f>
        <v>0</v>
      </c>
      <c r="BD53" s="344" t="n">
        <f aca="false">SUMPRODUCT(($H$21:$H$50=BD$15)*$N$21:$N$50)+SUMPRODUCT(($G$21:$G$50=BD$15)*$Q$21:$Q$50)</f>
        <v>0</v>
      </c>
      <c r="BE53" s="344" t="n">
        <f aca="false">SUMPRODUCT(($H$21:$H$50=BE$15)*$N$21:$N$50)+SUMPRODUCT(($G$21:$G$50=BE$15)*$Q$21:$Q$50)</f>
        <v>0</v>
      </c>
      <c r="BF53" s="344" t="n">
        <f aca="false">SUMPRODUCT(($H$21:$H$50=BF$15)*$N$21:$N$50)+SUMPRODUCT(($G$21:$G$50=BF$15)*$Q$21:$Q$50)</f>
        <v>0</v>
      </c>
      <c r="BG53" s="344" t="n">
        <f aca="false">SUMPRODUCT(($H$21:$H$50=BG$15)*$N$21:$N$50)+SUMPRODUCT(($G$21:$G$50=BG$15)*$Q$21:$Q$50)</f>
        <v>0</v>
      </c>
      <c r="BH53" s="344" t="n">
        <f aca="false">SUMPRODUCT(($H$21:$H$50=BH$15)*$N$21:$N$50)+SUMPRODUCT(($G$21:$G$50=BH$15)*$Q$21:$Q$50)</f>
        <v>0</v>
      </c>
      <c r="BI53" s="344" t="n">
        <f aca="false">SUMPRODUCT(($H$21:$H$50=BI$15)*$N$21:$N$50)+SUMPRODUCT(($G$21:$G$50=BI$15)*$Q$21:$Q$50)</f>
        <v>0</v>
      </c>
      <c r="BJ53" s="344" t="n">
        <f aca="false">SUMPRODUCT(($H$21:$H$50=BJ$15)*$N$21:$N$50)+SUMPRODUCT(($G$21:$G$50=BJ$15)*$Q$21:$Q$50)</f>
        <v>0</v>
      </c>
      <c r="BK53" s="344" t="n">
        <f aca="false">SUMPRODUCT(($H$21:$H$50=BK$15)*$N$21:$N$50)+SUMPRODUCT(($G$21:$G$50=BK$15)*$Q$21:$Q$50)</f>
        <v>0</v>
      </c>
      <c r="BL53" s="344" t="n">
        <f aca="false">SUMPRODUCT(($H$21:$H$50=BL$15)*$N$21:$N$50)+SUMPRODUCT(($G$21:$G$50=BL$15)*$Q$21:$Q$50)</f>
        <v>0</v>
      </c>
      <c r="BM53" s="344" t="n">
        <f aca="false">SUMPRODUCT(($H$21:$H$50=BM$15)*$N$21:$N$50)+SUMPRODUCT(($G$21:$G$50=BM$15)*$Q$21:$Q$50)</f>
        <v>0</v>
      </c>
      <c r="BN53" s="344" t="n">
        <f aca="false">SUMPRODUCT(($H$21:$H$50=BN$15)*$N$21:$N$50)+SUMPRODUCT(($G$21:$G$50=BN$15)*$Q$21:$Q$50)</f>
        <v>0</v>
      </c>
      <c r="BO53" s="344" t="n">
        <f aca="false">SUMPRODUCT(($H$21:$H$50=BO$15)*$N$21:$N$50)+SUMPRODUCT(($G$21:$G$50=BO$15)*$Q$21:$Q$50)</f>
        <v>0</v>
      </c>
      <c r="BP53" s="344" t="n">
        <f aca="false">SUMPRODUCT(($H$21:$H$50=BP$15)*$N$21:$N$50)+SUMPRODUCT(($G$21:$G$50=BP$15)*$Q$21:$Q$50)</f>
        <v>0</v>
      </c>
      <c r="BQ53" s="344" t="n">
        <f aca="false">SUMPRODUCT(($H$21:$H$50=BQ$15)*$N$21:$N$50)+SUMPRODUCT(($G$21:$G$50=BQ$15)*$Q$21:$Q$50)</f>
        <v>0</v>
      </c>
      <c r="BR53" s="344" t="n">
        <f aca="false">SUMPRODUCT(($H$21:$H$50=BR$15)*$N$21:$N$50)+SUMPRODUCT(($G$21:$G$50=BR$15)*$Q$21:$Q$50)</f>
        <v>0</v>
      </c>
      <c r="BS53" s="344" t="n">
        <f aca="false">SUMPRODUCT(($H$21:$H$50=BS$15)*$N$21:$N$50)+SUMPRODUCT(($G$21:$G$50=BS$15)*$Q$21:$Q$50)</f>
        <v>0</v>
      </c>
      <c r="BT53" s="344" t="n">
        <f aca="false">SUMPRODUCT(($H$21:$H$50=BT$15)*$N$21:$N$50)+SUMPRODUCT(($G$21:$G$50=BT$15)*$Q$21:$Q$50)</f>
        <v>0</v>
      </c>
      <c r="BU53" s="344" t="n">
        <f aca="false">SUMPRODUCT(($H$21:$H$50=BU$15)*$N$21:$N$50)+SUMPRODUCT(($G$21:$G$50=BU$15)*$Q$21:$Q$50)</f>
        <v>0</v>
      </c>
      <c r="BV53" s="344" t="n">
        <f aca="false">SUMPRODUCT(($H$21:$H$50=BV$15)*$N$21:$N$50)+SUMPRODUCT(($G$21:$G$50=BV$15)*$Q$21:$Q$50)</f>
        <v>0</v>
      </c>
      <c r="BW53" s="344" t="n">
        <f aca="false">SUMPRODUCT(($H$21:$H$50=BW$15)*$N$21:$N$50)+SUMPRODUCT(($G$21:$G$50=BW$15)*$Q$21:$Q$50)</f>
        <v>0</v>
      </c>
      <c r="BX53" s="344" t="n">
        <f aca="false">SUMPRODUCT(($H$21:$H$50=BX$15)*$N$21:$N$50)+SUMPRODUCT(($G$21:$G$50=BX$15)*$Q$21:$Q$50)</f>
        <v>0</v>
      </c>
      <c r="BY53" s="344" t="n">
        <f aca="false">SUMPRODUCT(($H$21:$H$50=BY$15)*$N$21:$N$50)+SUMPRODUCT(($G$21:$G$50=BY$15)*$Q$21:$Q$50)</f>
        <v>0</v>
      </c>
      <c r="BZ53" s="344" t="n">
        <f aca="false">SUMPRODUCT(($H$21:$H$50=BZ$15)*$N$21:$N$50)+SUMPRODUCT(($G$21:$G$50=BZ$15)*$Q$21:$Q$50)</f>
        <v>0</v>
      </c>
      <c r="CA53" s="344" t="n">
        <f aca="false">SUMPRODUCT(($H$21:$H$50=CA$15)*$N$21:$N$50)+SUMPRODUCT(($G$21:$G$50=CA$15)*$Q$21:$Q$50)</f>
        <v>0</v>
      </c>
      <c r="CB53" s="344" t="n">
        <f aca="false">SUMPRODUCT(($H$21:$H$50=CB$15)*$N$21:$N$50)+SUMPRODUCT(($G$21:$G$50=CB$15)*$Q$21:$Q$50)</f>
        <v>0</v>
      </c>
      <c r="CC53" s="344" t="n">
        <f aca="false">SUMPRODUCT(($H$21:$H$50=CC$15)*$N$21:$N$50)+SUMPRODUCT(($G$21:$G$50=CC$15)*$Q$21:$Q$50)</f>
        <v>0</v>
      </c>
      <c r="CD53" s="344" t="n">
        <f aca="false">SUMPRODUCT(($H$21:$H$50=CD$15)*$N$21:$N$50)+SUMPRODUCT(($G$21:$G$50=CD$15)*$Q$21:$Q$50)</f>
        <v>0</v>
      </c>
      <c r="CE53" s="344" t="n">
        <f aca="false">SUMPRODUCT(($H$21:$H$50=CE$15)*$N$21:$N$50)+SUMPRODUCT(($G$21:$G$50=CE$15)*$Q$21:$Q$50)</f>
        <v>0</v>
      </c>
      <c r="CF53" s="344" t="n">
        <f aca="false">SUMPRODUCT(($H$21:$H$50=CF$15)*$N$21:$N$50)+SUMPRODUCT(($G$21:$G$50=CF$15)*$Q$21:$Q$50)</f>
        <v>0</v>
      </c>
      <c r="CG53" s="344" t="n">
        <f aca="false">SUMPRODUCT(($H$21:$H$50=CG$15)*$N$21:$N$50)+SUMPRODUCT(($G$21:$G$50=CG$15)*$Q$21:$Q$50)</f>
        <v>0</v>
      </c>
      <c r="CH53" s="344" t="n">
        <f aca="false">SUMPRODUCT(($H$21:$H$50=CH$15)*$N$21:$N$50)+SUMPRODUCT(($G$21:$G$50=CH$15)*$Q$21:$Q$50)</f>
        <v>0</v>
      </c>
      <c r="CI53" s="344" t="n">
        <f aca="false">SUMPRODUCT(($H$21:$H$50=CI$15)*$N$21:$N$50)+SUMPRODUCT(($G$21:$G$50=CI$15)*$Q$21:$Q$50)</f>
        <v>0</v>
      </c>
      <c r="CJ53" s="344" t="n">
        <f aca="false">SUMPRODUCT(($H$21:$H$50=CJ$15)*$N$21:$N$50)+SUMPRODUCT(($G$21:$G$50=CJ$15)*$Q$21:$Q$50)</f>
        <v>0</v>
      </c>
      <c r="CK53" s="344" t="n">
        <f aca="false">SUMPRODUCT(($H$21:$H$50=CK$15)*$N$21:$N$50)+SUMPRODUCT(($G$21:$G$50=CK$15)*$Q$21:$Q$50)</f>
        <v>0</v>
      </c>
      <c r="CL53" s="344" t="n">
        <f aca="false">SUMPRODUCT(($H$21:$H$50=CL$15)*$N$21:$N$50)+SUMPRODUCT(($G$21:$G$50=CL$15)*$Q$21:$Q$50)</f>
        <v>0</v>
      </c>
      <c r="CM53" s="344" t="n">
        <f aca="false">SUMPRODUCT(($H$21:$H$50=CM$15)*$N$21:$N$50)+SUMPRODUCT(($G$21:$G$50=CM$15)*$Q$21:$Q$50)</f>
        <v>0</v>
      </c>
      <c r="CN53" s="344" t="n">
        <f aca="false">SUMPRODUCT(($H$21:$H$50=CN$15)*$N$21:$N$50)+SUMPRODUCT(($G$21:$G$50=CN$15)*$Q$21:$Q$50)</f>
        <v>0</v>
      </c>
      <c r="CO53" s="344" t="n">
        <f aca="false">SUMPRODUCT(($H$21:$H$50=CO$15)*$N$21:$N$50)+SUMPRODUCT(($G$21:$G$50=CO$15)*$Q$21:$Q$50)</f>
        <v>0</v>
      </c>
      <c r="CP53" s="344" t="n">
        <f aca="false">SUMPRODUCT(($H$21:$H$50=CP$15)*$N$21:$N$50)+SUMPRODUCT(($G$21:$G$50=CP$15)*$Q$21:$Q$50)</f>
        <v>0</v>
      </c>
      <c r="CQ53" s="344" t="n">
        <f aca="false">SUMPRODUCT(($H$21:$H$50=CQ$15)*$N$21:$N$50)+SUMPRODUCT(($G$21:$G$50=CQ$15)*$Q$21:$Q$50)</f>
        <v>0</v>
      </c>
      <c r="CR53" s="344" t="n">
        <f aca="false">SUMPRODUCT(($H$21:$H$50=CR$15)*$N$21:$N$50)+SUMPRODUCT(($G$21:$G$50=CR$15)*$Q$21:$Q$50)</f>
        <v>0</v>
      </c>
      <c r="CS53" s="344" t="n">
        <f aca="false">SUMPRODUCT(($H$21:$H$50=CS$15)*$N$21:$N$50)+SUMPRODUCT(($G$21:$G$50=CS$15)*$Q$21:$Q$50)</f>
        <v>0</v>
      </c>
      <c r="CT53" s="344" t="n">
        <f aca="false">SUMPRODUCT(($H$21:$H$50=CT$15)*$N$21:$N$50)+SUMPRODUCT(($G$21:$G$50=CT$15)*$Q$21:$Q$50)</f>
        <v>0</v>
      </c>
      <c r="CU53" s="344" t="n">
        <f aca="false">SUMPRODUCT(($H$21:$H$50=CU$15)*$N$21:$N$50)+SUMPRODUCT(($G$21:$G$50=CU$15)*$Q$21:$Q$50)</f>
        <v>0</v>
      </c>
      <c r="CV53" s="344" t="n">
        <f aca="false">SUMPRODUCT(($H$21:$H$50=CV$15)*$N$21:$N$50)+SUMPRODUCT(($G$21:$G$50=CV$15)*$Q$21:$Q$50)</f>
        <v>0</v>
      </c>
      <c r="CW53" s="344" t="n">
        <f aca="false">SUMPRODUCT(($H$21:$H$50=CW$15)*$N$21:$N$50)+SUMPRODUCT(($G$21:$G$50=CW$15)*$Q$21:$Q$50)</f>
        <v>0</v>
      </c>
      <c r="CX53" s="344" t="n">
        <f aca="false">SUMPRODUCT(($H$21:$H$50=CX$15)*$N$21:$N$50)+SUMPRODUCT(($G$21:$G$50=CX$15)*$Q$21:$Q$50)</f>
        <v>0</v>
      </c>
      <c r="CY53" s="344" t="n">
        <f aca="false">SUMPRODUCT(($H$21:$H$50=CY$15)*$N$21:$N$50)+SUMPRODUCT(($G$21:$G$50=CY$15)*$Q$21:$Q$50)</f>
        <v>0</v>
      </c>
      <c r="CZ53" s="344" t="n">
        <f aca="false">SUMPRODUCT(($H$21:$H$50=CZ$15)*$N$21:$N$50)+SUMPRODUCT(($G$21:$G$50=CZ$15)*$Q$21:$Q$50)</f>
        <v>0</v>
      </c>
      <c r="DA53" s="344" t="n">
        <f aca="false">SUMPRODUCT(($H$21:$H$50=DA$15)*$N$21:$N$50)+SUMPRODUCT(($G$21:$G$50=DA$15)*$Q$21:$Q$50)</f>
        <v>0</v>
      </c>
      <c r="DB53" s="344" t="n">
        <f aca="false">SUMPRODUCT(($H$21:$H$50=DB$15)*$N$21:$N$50)+SUMPRODUCT(($G$21:$G$50=DB$15)*$Q$21:$Q$50)</f>
        <v>0</v>
      </c>
      <c r="DC53" s="344" t="n">
        <f aca="false">SUMPRODUCT(($H$21:$H$50=DC$15)*$N$21:$N$50)+SUMPRODUCT(($G$21:$G$50=DC$15)*$Q$21:$Q$50)</f>
        <v>0</v>
      </c>
      <c r="DD53" s="344" t="n">
        <f aca="false">SUMPRODUCT(($H$21:$H$50=DD$15)*$N$21:$N$50)+SUMPRODUCT(($G$21:$G$50=DD$15)*$Q$21:$Q$50)</f>
        <v>0</v>
      </c>
      <c r="DE53" s="344" t="n">
        <f aca="false">SUMPRODUCT(($H$21:$H$50=DE$15)*$N$21:$N$50)+SUMPRODUCT(($G$21:$G$50=DE$15)*$Q$21:$Q$50)</f>
        <v>0</v>
      </c>
      <c r="DF53" s="344" t="n">
        <f aca="false">SUMPRODUCT(($H$21:$H$50=DF$15)*$N$21:$N$50)+SUMPRODUCT(($G$21:$G$50=DF$15)*$Q$21:$Q$50)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O40" activeCellId="0" sqref="O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3" min="3" style="1" width="23"/>
    <col collapsed="false" customWidth="true" hidden="false" outlineLevel="0" max="4" min="4" style="1" width="17.57"/>
    <col collapsed="false" customWidth="true" hidden="false" outlineLevel="0" max="5" min="5" style="1" width="16.84"/>
    <col collapsed="false" customWidth="true" hidden="false" outlineLevel="0" max="6" min="6" style="1" width="21.84"/>
    <col collapsed="false" customWidth="true" hidden="false" outlineLevel="0" max="7" min="7" style="1" width="18.14"/>
  </cols>
  <sheetData>
    <row r="1" s="348" customFormat="true" ht="15" hidden="false" customHeight="true" outlineLevel="0" collapsed="false">
      <c r="A1" s="347" t="s">
        <v>337</v>
      </c>
      <c r="B1" s="347" t="s">
        <v>894</v>
      </c>
      <c r="C1" s="347" t="s">
        <v>895</v>
      </c>
      <c r="D1" s="347" t="s">
        <v>896</v>
      </c>
      <c r="E1" s="347" t="s">
        <v>897</v>
      </c>
      <c r="F1" s="347" t="s">
        <v>898</v>
      </c>
      <c r="G1" s="347" t="s">
        <v>899</v>
      </c>
    </row>
    <row r="2" customFormat="false" ht="15" hidden="false" customHeight="true" outlineLevel="0" collapsed="false">
      <c r="A2" s="175" t="s">
        <v>7</v>
      </c>
      <c r="B2" s="176" t="n">
        <v>52965.93</v>
      </c>
      <c r="C2" s="176" t="n">
        <v>484492.55</v>
      </c>
      <c r="D2" s="349" t="n">
        <f aca="false">C2*0.05</f>
        <v>24224.6275</v>
      </c>
      <c r="E2" s="349" t="n">
        <f aca="false">B2+D2</f>
        <v>77190.5575</v>
      </c>
      <c r="F2" s="350" t="n">
        <f aca="false">Projects!$C$2+Projects!$D$2-1</f>
        <v>8</v>
      </c>
      <c r="G2" s="351" t="n">
        <f aca="false">EDATE(DATE(2026,4,1),F2-1)</f>
        <v>46327</v>
      </c>
    </row>
    <row r="3" customFormat="false" ht="15" hidden="false" customHeight="true" outlineLevel="0" collapsed="false">
      <c r="A3" s="175" t="s">
        <v>8</v>
      </c>
      <c r="B3" s="176" t="n">
        <v>56550.1</v>
      </c>
      <c r="C3" s="176" t="n">
        <v>1618053.66</v>
      </c>
      <c r="D3" s="349" t="n">
        <f aca="false">C3*0.05</f>
        <v>80902.683</v>
      </c>
      <c r="E3" s="349" t="n">
        <f aca="false">B3+D3</f>
        <v>137452.783</v>
      </c>
      <c r="F3" s="350" t="n">
        <f aca="false">Projects!$C$3+Projects!$D$3-1</f>
        <v>16</v>
      </c>
      <c r="G3" s="351" t="n">
        <f aca="false">EDATE(DATE(2026,4,1),F3-1)</f>
        <v>46569</v>
      </c>
    </row>
    <row r="4" customFormat="false" ht="15" hidden="false" customHeight="true" outlineLevel="0" collapsed="false">
      <c r="A4" s="175" t="s">
        <v>9</v>
      </c>
      <c r="B4" s="176" t="n">
        <v>28618.65</v>
      </c>
      <c r="C4" s="176" t="n">
        <v>1427191.97</v>
      </c>
      <c r="D4" s="349" t="n">
        <f aca="false">C4*0.05</f>
        <v>71359.5985</v>
      </c>
      <c r="E4" s="349" t="n">
        <f aca="false">B4+D4</f>
        <v>99978.2485</v>
      </c>
      <c r="F4" s="350" t="n">
        <f aca="false">Projects!$C$4+Projects!$D$4-1</f>
        <v>15</v>
      </c>
      <c r="G4" s="351" t="n">
        <f aca="false">EDATE(DATE(2026,4,1),F4-1)</f>
        <v>46539</v>
      </c>
    </row>
    <row r="5" customFormat="false" ht="15" hidden="false" customHeight="true" outlineLevel="0" collapsed="false">
      <c r="A5" s="175" t="s">
        <v>10</v>
      </c>
      <c r="B5" s="176" t="n">
        <v>28203</v>
      </c>
      <c r="C5" s="176" t="n">
        <v>1760934.2</v>
      </c>
      <c r="D5" s="349" t="n">
        <f aca="false">C5*0.05</f>
        <v>88046.71</v>
      </c>
      <c r="E5" s="349" t="n">
        <f aca="false">B5+D5</f>
        <v>116249.71</v>
      </c>
      <c r="F5" s="350" t="n">
        <f aca="false">Projects!$C$5+Projects!$D$5-1</f>
        <v>15</v>
      </c>
      <c r="G5" s="351" t="n">
        <f aca="false">EDATE(DATE(2026,4,1),F5-1)</f>
        <v>46539</v>
      </c>
    </row>
    <row r="6" customFormat="false" ht="15" hidden="false" customHeight="true" outlineLevel="0" collapsed="false">
      <c r="A6" s="175" t="s">
        <v>11</v>
      </c>
      <c r="B6" s="176" t="n">
        <v>10538.39</v>
      </c>
      <c r="C6" s="176" t="n">
        <v>391271.27</v>
      </c>
      <c r="D6" s="349" t="n">
        <f aca="false">C6*0.05</f>
        <v>19563.5635</v>
      </c>
      <c r="E6" s="349" t="n">
        <f aca="false">B6+D6</f>
        <v>30101.9535</v>
      </c>
      <c r="F6" s="350" t="n">
        <f aca="false">Projects!$C$6+Projects!$D$6-1</f>
        <v>19</v>
      </c>
      <c r="G6" s="351" t="n">
        <f aca="false">EDATE(DATE(2026,4,1),F6-1)</f>
        <v>46661</v>
      </c>
    </row>
    <row r="7" customFormat="false" ht="15" hidden="false" customHeight="true" outlineLevel="0" collapsed="false">
      <c r="A7" s="175" t="s">
        <v>12</v>
      </c>
      <c r="B7" s="176" t="n">
        <v>0</v>
      </c>
      <c r="C7" s="349" t="n">
        <f aca="false">IF(Projects!$G$7="Yes",Projects!$B$7*(Assumptions!$B$10+Assumptions!$B$11+Assumptions!$B$12),0)</f>
        <v>5152104.553115</v>
      </c>
      <c r="D7" s="349" t="n">
        <f aca="false">C7*0.05</f>
        <v>257605.22765575</v>
      </c>
      <c r="E7" s="349" t="n">
        <f aca="false">B7+D7</f>
        <v>257605.22765575</v>
      </c>
      <c r="F7" s="350" t="n">
        <f aca="false">Projects!$C$7+Projects!$D$7-1</f>
        <v>34</v>
      </c>
      <c r="G7" s="351" t="n">
        <f aca="false">EDATE(DATE(2026,4,1),F7-1)</f>
        <v>47119</v>
      </c>
    </row>
    <row r="8" customFormat="false" ht="15" hidden="false" customHeight="true" outlineLevel="0" collapsed="false">
      <c r="A8" s="175" t="s">
        <v>13</v>
      </c>
      <c r="B8" s="176" t="n">
        <v>0</v>
      </c>
      <c r="C8" s="349" t="n">
        <f aca="false">IF(Projects!$G$8="Yes",Projects!$B$8*(Assumptions!$B$10+Assumptions!$B$11+Assumptions!$B$12),0)</f>
        <v>1564333.69243555</v>
      </c>
      <c r="D8" s="349" t="n">
        <f aca="false">C8*0.05</f>
        <v>78216.6846217775</v>
      </c>
      <c r="E8" s="349" t="n">
        <f aca="false">B8+D8</f>
        <v>78216.6846217775</v>
      </c>
      <c r="F8" s="350" t="n">
        <f aca="false">Projects!$C$8+Projects!$D$8-1</f>
        <v>23</v>
      </c>
      <c r="G8" s="351" t="n">
        <f aca="false">EDATE(DATE(2026,4,1),F8-1)</f>
        <v>46784</v>
      </c>
    </row>
    <row r="9" customFormat="false" ht="15" hidden="false" customHeight="true" outlineLevel="0" collapsed="false">
      <c r="A9" s="175" t="s">
        <v>14</v>
      </c>
      <c r="B9" s="176" t="n">
        <v>0</v>
      </c>
      <c r="C9" s="349" t="n">
        <f aca="false">IF(Projects!$G$9="Yes",Projects!$B$9*(Assumptions!$B$10+Assumptions!$B$11+Assumptions!$B$12),0)</f>
        <v>1726047.0672228</v>
      </c>
      <c r="D9" s="349" t="n">
        <f aca="false">C9*0.05</f>
        <v>86302.35336114</v>
      </c>
      <c r="E9" s="349" t="n">
        <f aca="false">B9+D9</f>
        <v>86302.35336114</v>
      </c>
      <c r="F9" s="350" t="n">
        <f aca="false">Projects!$C$9+Projects!$D$9-1</f>
        <v>34</v>
      </c>
      <c r="G9" s="351" t="n">
        <f aca="false">EDATE(DATE(2026,4,1),F9-1)</f>
        <v>47119</v>
      </c>
    </row>
    <row r="10" customFormat="false" ht="15" hidden="false" customHeight="true" outlineLevel="0" collapsed="false">
      <c r="A10" s="175" t="s">
        <v>15</v>
      </c>
      <c r="B10" s="176" t="n">
        <v>0</v>
      </c>
      <c r="C10" s="349" t="n">
        <f aca="false">IF(Projects!$G$10="Yes",Projects!$B$10*(Assumptions!$B$10+Assumptions!$B$11+Assumptions!$B$12),0)</f>
        <v>2559922.591355</v>
      </c>
      <c r="D10" s="349" t="n">
        <f aca="false">C10*0.05</f>
        <v>127996.12956775</v>
      </c>
      <c r="E10" s="349" t="n">
        <f aca="false">B10+D10</f>
        <v>127996.12956775</v>
      </c>
      <c r="F10" s="350" t="n">
        <f aca="false">Projects!$C$10+Projects!$D$10-1</f>
        <v>29</v>
      </c>
      <c r="G10" s="351" t="n">
        <f aca="false">EDATE(DATE(2026,4,1),F10-1)</f>
        <v>46966</v>
      </c>
    </row>
    <row r="11" customFormat="false" ht="15" hidden="false" customHeight="true" outlineLevel="0" collapsed="false">
      <c r="A11" s="175" t="s">
        <v>16</v>
      </c>
      <c r="B11" s="176" t="n">
        <v>0</v>
      </c>
      <c r="C11" s="349" t="n">
        <f aca="false">IF(Projects!$G$11="Yes",Projects!$B$11*(Assumptions!$B$10+Assumptions!$B$11+Assumptions!$B$12),0)</f>
        <v>1152997.729619</v>
      </c>
      <c r="D11" s="349" t="n">
        <f aca="false">C11*0.05</f>
        <v>57649.88648095</v>
      </c>
      <c r="E11" s="349" t="n">
        <f aca="false">B11+D11</f>
        <v>57649.88648095</v>
      </c>
      <c r="F11" s="350" t="n">
        <f aca="false">Projects!$C$11+Projects!$D$11-1</f>
        <v>25</v>
      </c>
      <c r="G11" s="351" t="n">
        <f aca="false">EDATE(DATE(2026,4,1),F11-1)</f>
        <v>46844</v>
      </c>
    </row>
    <row r="12" customFormat="false" ht="15" hidden="false" customHeight="true" outlineLevel="0" collapsed="false">
      <c r="A12" s="175" t="s">
        <v>17</v>
      </c>
      <c r="B12" s="176" t="n">
        <v>0</v>
      </c>
      <c r="C12" s="349" t="n">
        <f aca="false">IF(Projects!$G$12="Yes",Projects!$B$12*(Assumptions!$B$10+Assumptions!$B$11+Assumptions!$B$12),0)</f>
        <v>908374.534373</v>
      </c>
      <c r="D12" s="349" t="n">
        <f aca="false">C12*0.05</f>
        <v>45418.72671865</v>
      </c>
      <c r="E12" s="349" t="n">
        <f aca="false">B12+D12</f>
        <v>45418.72671865</v>
      </c>
      <c r="F12" s="350" t="n">
        <f aca="false">Projects!$C$12+Projects!$D$12-1</f>
        <v>25</v>
      </c>
      <c r="G12" s="351" t="n">
        <f aca="false">EDATE(DATE(2026,4,1),F12-1)</f>
        <v>46844</v>
      </c>
    </row>
    <row r="13" customFormat="false" ht="15" hidden="false" customHeight="true" outlineLevel="0" collapsed="false">
      <c r="A13" s="175" t="s">
        <v>18</v>
      </c>
      <c r="B13" s="176" t="n">
        <v>0</v>
      </c>
      <c r="C13" s="349" t="n">
        <f aca="false">IF(Projects!$G$13="Yes",Projects!$B$13*(Assumptions!$B$10+Assumptions!$B$11+Assumptions!$B$12),0)</f>
        <v>5449711.70707</v>
      </c>
      <c r="D13" s="349" t="n">
        <f aca="false">C13*0.05</f>
        <v>272485.5853535</v>
      </c>
      <c r="E13" s="349" t="n">
        <f aca="false">B13+D13</f>
        <v>272485.5853535</v>
      </c>
      <c r="F13" s="350" t="n">
        <f aca="false">Projects!$C$13+Projects!$D$13-1</f>
        <v>42</v>
      </c>
      <c r="G13" s="351" t="n">
        <f aca="false">EDATE(DATE(2026,4,1),F13-1)</f>
        <v>47362</v>
      </c>
    </row>
    <row r="14" customFormat="false" ht="15" hidden="false" customHeight="true" outlineLevel="0" collapsed="false">
      <c r="A14" s="175" t="s">
        <v>19</v>
      </c>
      <c r="B14" s="176" t="n">
        <v>0</v>
      </c>
      <c r="C14" s="349" t="n">
        <f aca="false">IF(Projects!$G$14="Yes",Projects!$B$14*(Assumptions!$B$10+Assumptions!$B$11+Assumptions!$B$12),0)</f>
        <v>4978725.501112</v>
      </c>
      <c r="D14" s="349" t="n">
        <f aca="false">C14*0.05</f>
        <v>248936.2750556</v>
      </c>
      <c r="E14" s="349" t="n">
        <f aca="false">B14+D14</f>
        <v>248936.2750556</v>
      </c>
      <c r="F14" s="350" t="n">
        <f aca="false">Projects!$C$14+Projects!$D$14-1</f>
        <v>56</v>
      </c>
      <c r="G14" s="351" t="n">
        <f aca="false">EDATE(DATE(2026,4,1),F14-1)</f>
        <v>47788</v>
      </c>
    </row>
    <row r="15" customFormat="false" ht="15" hidden="false" customHeight="true" outlineLevel="0" collapsed="false">
      <c r="A15" s="175" t="s">
        <v>20</v>
      </c>
      <c r="B15" s="176" t="n">
        <v>0</v>
      </c>
      <c r="C15" s="349" t="n">
        <f aca="false">IF(Projects!$G$17="Yes",Projects!$B$17*(Assumptions!$B$10+Assumptions!$B$11+Assumptions!$B$12),0)</f>
        <v>0</v>
      </c>
      <c r="D15" s="349" t="n">
        <f aca="false">C15*0.05</f>
        <v>0</v>
      </c>
      <c r="E15" s="349" t="n">
        <f aca="false">B15+D15</f>
        <v>0</v>
      </c>
      <c r="F15" s="350" t="n">
        <f aca="false">Projects!$C$17+Projects!$D$17-1</f>
        <v>34</v>
      </c>
      <c r="G15" s="351" t="n">
        <f aca="false">EDATE(DATE(2026,4,1),F15-1)</f>
        <v>47119</v>
      </c>
    </row>
    <row r="16" customFormat="false" ht="15" hidden="false" customHeight="true" outlineLevel="0" collapsed="false">
      <c r="A16" s="175" t="s">
        <v>21</v>
      </c>
      <c r="B16" s="176" t="n">
        <v>0</v>
      </c>
      <c r="C16" s="349" t="n">
        <f aca="false">IF(Projects!$G$18="Yes",Projects!$B$18*(Assumptions!$B$10+Assumptions!$B$11+Assumptions!$B$12),0)</f>
        <v>0</v>
      </c>
      <c r="D16" s="349" t="n">
        <f aca="false">C16*0.05</f>
        <v>0</v>
      </c>
      <c r="E16" s="349" t="n">
        <f aca="false">B16+D16</f>
        <v>0</v>
      </c>
      <c r="F16" s="350" t="n">
        <f aca="false">Projects!$C$18+Projects!$D$18-1</f>
        <v>36</v>
      </c>
      <c r="G16" s="351" t="n">
        <f aca="false">EDATE(DATE(2026,4,1),F16-1)</f>
        <v>47178</v>
      </c>
    </row>
    <row r="17" customFormat="false" ht="15" hidden="false" customHeight="true" outlineLevel="0" collapsed="false">
      <c r="A17" s="175" t="s">
        <v>22</v>
      </c>
      <c r="B17" s="176" t="n">
        <v>0</v>
      </c>
      <c r="C17" s="349" t="n">
        <f aca="false">IF(Projects!$G$19="Yes",Projects!$B$19*(Assumptions!$B$10+Assumptions!$B$11+Assumptions!$B$12),0)</f>
        <v>0</v>
      </c>
      <c r="D17" s="349" t="n">
        <f aca="false">C17*0.05</f>
        <v>0</v>
      </c>
      <c r="E17" s="349" t="n">
        <f aca="false">B17+D17</f>
        <v>0</v>
      </c>
      <c r="F17" s="350" t="n">
        <f aca="false">Projects!$C$19+Projects!$D$19-1</f>
        <v>39</v>
      </c>
      <c r="G17" s="351" t="n">
        <f aca="false">EDATE(DATE(2026,4,1),F17-1)</f>
        <v>47270</v>
      </c>
    </row>
    <row r="18" customFormat="false" ht="15" hidden="false" customHeight="true" outlineLevel="0" collapsed="false">
      <c r="A18" s="175" t="s">
        <v>23</v>
      </c>
      <c r="B18" s="176" t="n">
        <v>0</v>
      </c>
      <c r="C18" s="349" t="n">
        <f aca="false">IF(Projects!$G$20="Yes",Projects!$B$20*(Assumptions!$B$10+Assumptions!$B$11+Assumptions!$B$12),0)</f>
        <v>0</v>
      </c>
      <c r="D18" s="349" t="n">
        <f aca="false">C18*0.05</f>
        <v>0</v>
      </c>
      <c r="E18" s="349" t="n">
        <f aca="false">B18+D18</f>
        <v>0</v>
      </c>
      <c r="F18" s="350" t="n">
        <f aca="false">Projects!$C$20+Projects!$D$20-1</f>
        <v>42</v>
      </c>
      <c r="G18" s="351" t="n">
        <f aca="false">EDATE(DATE(2026,4,1),F18-1)</f>
        <v>47362</v>
      </c>
    </row>
    <row r="19" customFormat="false" ht="15" hidden="false" customHeight="true" outlineLevel="0" collapsed="false">
      <c r="A19" s="175" t="s">
        <v>24</v>
      </c>
      <c r="B19" s="176" t="n">
        <v>0</v>
      </c>
      <c r="C19" s="349" t="n">
        <f aca="false">IF(Projects!$G$21="Yes",Projects!$B$21*(Assumptions!$B$10+Assumptions!$B$11+Assumptions!$B$12),0)</f>
        <v>0</v>
      </c>
      <c r="D19" s="349" t="n">
        <f aca="false">C19*0.05</f>
        <v>0</v>
      </c>
      <c r="E19" s="349" t="n">
        <f aca="false">B19+D19</f>
        <v>0</v>
      </c>
      <c r="F19" s="350" t="n">
        <f aca="false">Projects!$C$21+Projects!$D$21-1</f>
        <v>45</v>
      </c>
      <c r="G19" s="351" t="n">
        <f aca="false">EDATE(DATE(2026,4,1),F19-1)</f>
        <v>47453</v>
      </c>
    </row>
    <row r="20" customFormat="false" ht="15" hidden="false" customHeight="true" outlineLevel="0" collapsed="false">
      <c r="A20" s="175" t="s">
        <v>25</v>
      </c>
      <c r="B20" s="176" t="n">
        <v>0</v>
      </c>
      <c r="C20" s="349" t="n">
        <f aca="false">IF(Projects!$G$22="Yes",Projects!$B$22*(Assumptions!$B$10+Assumptions!$B$11+Assumptions!$B$12),0)</f>
        <v>0</v>
      </c>
      <c r="D20" s="349" t="n">
        <f aca="false">C20*0.05</f>
        <v>0</v>
      </c>
      <c r="E20" s="349" t="n">
        <f aca="false">B20+D20</f>
        <v>0</v>
      </c>
      <c r="F20" s="350" t="n">
        <f aca="false">Projects!$C$22+Projects!$D$22-1</f>
        <v>49</v>
      </c>
      <c r="G20" s="351" t="n">
        <f aca="false">EDATE(DATE(2026,4,1),F20-1)</f>
        <v>47574</v>
      </c>
    </row>
    <row r="21" customFormat="false" ht="15" hidden="false" customHeight="true" outlineLevel="0" collapsed="false">
      <c r="A21" s="175" t="s">
        <v>26</v>
      </c>
      <c r="B21" s="176" t="n">
        <v>0</v>
      </c>
      <c r="C21" s="349" t="n">
        <f aca="false">IF(Projects!$G$23="Yes",Projects!$B$23*(Assumptions!$B$10+Assumptions!$B$11+Assumptions!$B$12),0)</f>
        <v>0</v>
      </c>
      <c r="D21" s="349" t="n">
        <f aca="false">C21*0.05</f>
        <v>0</v>
      </c>
      <c r="E21" s="349" t="n">
        <f aca="false">B21+D21</f>
        <v>0</v>
      </c>
      <c r="F21" s="350" t="n">
        <f aca="false">Projects!$C$23+Projects!$D$23-1</f>
        <v>52</v>
      </c>
      <c r="G21" s="351" t="n">
        <f aca="false">EDATE(DATE(2026,4,1),F21-1)</f>
        <v>47665</v>
      </c>
    </row>
    <row r="22" customFormat="false" ht="15" hidden="false" customHeight="true" outlineLevel="0" collapsed="false">
      <c r="A22" s="175" t="s">
        <v>27</v>
      </c>
      <c r="B22" s="176" t="n">
        <v>0</v>
      </c>
      <c r="C22" s="349" t="n">
        <f aca="false">IF(Projects!$G$24="Yes",Projects!$B$24*(Assumptions!$B$10+Assumptions!$B$11+Assumptions!$B$12),0)</f>
        <v>0</v>
      </c>
      <c r="D22" s="349" t="n">
        <f aca="false">C22*0.05</f>
        <v>0</v>
      </c>
      <c r="E22" s="349" t="n">
        <f aca="false">B22+D22</f>
        <v>0</v>
      </c>
      <c r="F22" s="350" t="n">
        <f aca="false">Projects!$C$24+Projects!$D$24-1</f>
        <v>55</v>
      </c>
      <c r="G22" s="351" t="n">
        <f aca="false">EDATE(DATE(2026,4,1),F22-1)</f>
        <v>47757</v>
      </c>
    </row>
    <row r="23" customFormat="false" ht="15" hidden="false" customHeight="true" outlineLevel="0" collapsed="false">
      <c r="A23" s="175" t="s">
        <v>28</v>
      </c>
      <c r="B23" s="176" t="n">
        <v>0</v>
      </c>
      <c r="C23" s="349" t="n">
        <f aca="false">IF(Projects!$G$25="Yes",Projects!$B$25*(Assumptions!$B$10+Assumptions!$B$11+Assumptions!$B$12),0)</f>
        <v>0</v>
      </c>
      <c r="D23" s="349" t="n">
        <f aca="false">C23*0.05</f>
        <v>0</v>
      </c>
      <c r="E23" s="349" t="n">
        <f aca="false">B23+D23</f>
        <v>0</v>
      </c>
      <c r="F23" s="350" t="n">
        <f aca="false">Projects!$C$25+Projects!$D$25-1</f>
        <v>58</v>
      </c>
      <c r="G23" s="351" t="n">
        <f aca="false">EDATE(DATE(2026,4,1),F23-1)</f>
        <v>47849</v>
      </c>
    </row>
    <row r="24" customFormat="false" ht="15" hidden="false" customHeight="true" outlineLevel="0" collapsed="false">
      <c r="A24" s="175" t="s">
        <v>29</v>
      </c>
      <c r="B24" s="176" t="n">
        <v>0</v>
      </c>
      <c r="C24" s="349" t="n">
        <f aca="false">IF(Projects!$G$26="Yes",Projects!$B$26*(Assumptions!$B$10+Assumptions!$B$11+Assumptions!$B$12),0)</f>
        <v>0</v>
      </c>
      <c r="D24" s="349" t="n">
        <f aca="false">C24*0.05</f>
        <v>0</v>
      </c>
      <c r="E24" s="349" t="n">
        <f aca="false">B24+D24</f>
        <v>0</v>
      </c>
      <c r="F24" s="350" t="n">
        <f aca="false">Projects!$C$26+Projects!$D$26-1</f>
        <v>60</v>
      </c>
      <c r="G24" s="351" t="n">
        <f aca="false">EDATE(DATE(2026,4,1),F24-1)</f>
        <v>47908</v>
      </c>
    </row>
    <row r="25" customFormat="false" ht="15" hidden="false" customHeight="true" outlineLevel="0" collapsed="false">
      <c r="A25" s="175" t="s">
        <v>30</v>
      </c>
      <c r="B25" s="176" t="n">
        <v>0</v>
      </c>
      <c r="C25" s="349" t="n">
        <f aca="false">IF(Projects!$G$27="Yes",Projects!$B$27*(Assumptions!$B$10+Assumptions!$B$11+Assumptions!$B$12),0)</f>
        <v>0</v>
      </c>
      <c r="D25" s="349" t="n">
        <f aca="false">C25*0.05</f>
        <v>0</v>
      </c>
      <c r="E25" s="349" t="n">
        <f aca="false">B25+D25</f>
        <v>0</v>
      </c>
      <c r="F25" s="350" t="n">
        <f aca="false">Projects!$C$27+Projects!$D$27-1</f>
        <v>62</v>
      </c>
      <c r="G25" s="351" t="n">
        <f aca="false">EDATE(DATE(2026,4,1),F25-1)</f>
        <v>47969</v>
      </c>
    </row>
    <row r="26" customFormat="false" ht="15" hidden="false" customHeight="true" outlineLevel="0" collapsed="false">
      <c r="A26" s="175" t="s">
        <v>31</v>
      </c>
      <c r="B26" s="176" t="n">
        <v>0</v>
      </c>
      <c r="C26" s="349" t="n">
        <f aca="false">IF(Projects!$G$28="Yes",Projects!$B$28*(Assumptions!$B$10+Assumptions!$B$11+Assumptions!$B$12),0)</f>
        <v>0</v>
      </c>
      <c r="D26" s="349" t="n">
        <f aca="false">C26*0.05</f>
        <v>0</v>
      </c>
      <c r="E26" s="349" t="n">
        <f aca="false">B26+D26</f>
        <v>0</v>
      </c>
      <c r="F26" s="350" t="n">
        <f aca="false">Projects!$C$28+Projects!$D$28-1</f>
        <v>64</v>
      </c>
      <c r="G26" s="351" t="n">
        <f aca="false">EDATE(DATE(2026,4,1),F26-1)</f>
        <v>48030</v>
      </c>
    </row>
    <row r="27" customFormat="false" ht="15" hidden="false" customHeight="true" outlineLevel="0" collapsed="false">
      <c r="A27" s="175" t="s">
        <v>32</v>
      </c>
      <c r="B27" s="176" t="n">
        <v>0</v>
      </c>
      <c r="C27" s="349" t="n">
        <f aca="false">IF(Projects!$G$29="Yes",Projects!$B$29*(Assumptions!$B$10+Assumptions!$B$11+Assumptions!$B$12),0)</f>
        <v>0</v>
      </c>
      <c r="D27" s="349" t="n">
        <f aca="false">C27*0.05</f>
        <v>0</v>
      </c>
      <c r="E27" s="349" t="n">
        <f aca="false">B27+D27</f>
        <v>0</v>
      </c>
      <c r="F27" s="350" t="n">
        <f aca="false">Projects!$C$29+Projects!$D$29-1</f>
        <v>66</v>
      </c>
      <c r="G27" s="351" t="n">
        <f aca="false">EDATE(DATE(2026,4,1),F27-1)</f>
        <v>48092</v>
      </c>
    </row>
    <row r="28" customFormat="false" ht="15" hidden="false" customHeight="true" outlineLevel="0" collapsed="false">
      <c r="A28" s="175" t="s">
        <v>33</v>
      </c>
      <c r="B28" s="176" t="n">
        <v>0</v>
      </c>
      <c r="C28" s="349" t="n">
        <f aca="false">IF(Projects!$G$30="Yes",Projects!$B$30*(Assumptions!$B$10+Assumptions!$B$11+Assumptions!$B$12),0)</f>
        <v>0</v>
      </c>
      <c r="D28" s="349" t="n">
        <f aca="false">C28*0.05</f>
        <v>0</v>
      </c>
      <c r="E28" s="349" t="n">
        <f aca="false">B28+D28</f>
        <v>0</v>
      </c>
      <c r="F28" s="350" t="n">
        <f aca="false">Projects!$C$30+Projects!$D$30-1</f>
        <v>68</v>
      </c>
      <c r="G28" s="351" t="n">
        <f aca="false">EDATE(DATE(2026,4,1),F28-1)</f>
        <v>48153</v>
      </c>
    </row>
    <row r="29" customFormat="false" ht="15" hidden="false" customHeight="true" outlineLevel="0" collapsed="false">
      <c r="A29" s="175" t="s">
        <v>34</v>
      </c>
      <c r="B29" s="176" t="n">
        <v>0</v>
      </c>
      <c r="C29" s="349" t="n">
        <f aca="false">IF(Projects!$G$31="Yes",Projects!$B$31*(Assumptions!$B$10+Assumptions!$B$11+Assumptions!$B$12),0)</f>
        <v>0</v>
      </c>
      <c r="D29" s="349" t="n">
        <f aca="false">C29*0.05</f>
        <v>0</v>
      </c>
      <c r="E29" s="349" t="n">
        <f aca="false">B29+D29</f>
        <v>0</v>
      </c>
      <c r="F29" s="350" t="n">
        <f aca="false">Projects!$C$31+Projects!$D$31-1</f>
        <v>70</v>
      </c>
      <c r="G29" s="351" t="n">
        <f aca="false">EDATE(DATE(2026,4,1),F29-1)</f>
        <v>48214</v>
      </c>
    </row>
    <row r="30" customFormat="false" ht="15" hidden="false" customHeight="true" outlineLevel="0" collapsed="false">
      <c r="A30" s="175" t="s">
        <v>35</v>
      </c>
      <c r="B30" s="176" t="n">
        <v>0</v>
      </c>
      <c r="C30" s="349" t="n">
        <f aca="false">IF(Projects!$G$32="Yes",Projects!$B$32*(Assumptions!$B$10+Assumptions!$B$11+Assumptions!$B$12),0)</f>
        <v>0</v>
      </c>
      <c r="D30" s="349" t="n">
        <f aca="false">C30*0.05</f>
        <v>0</v>
      </c>
      <c r="E30" s="349" t="n">
        <f aca="false">B30+D30</f>
        <v>0</v>
      </c>
      <c r="F30" s="350" t="n">
        <f aca="false">Projects!$C$32+Projects!$D$32-1</f>
        <v>72</v>
      </c>
      <c r="G30" s="351" t="n">
        <f aca="false">EDATE(DATE(2026,4,1),F30-1)</f>
        <v>48274</v>
      </c>
    </row>
    <row r="31" customFormat="false" ht="15" hidden="false" customHeight="true" outlineLevel="0" collapsed="false">
      <c r="A31" s="175" t="s">
        <v>36</v>
      </c>
      <c r="B31" s="176" t="n">
        <v>0</v>
      </c>
      <c r="C31" s="349" t="n">
        <f aca="false">IF(Projects!$G$33="Yes",Projects!$B$33*(Assumptions!$B$10+Assumptions!$B$11+Assumptions!$B$12),0)</f>
        <v>0</v>
      </c>
      <c r="D31" s="349" t="n">
        <f aca="false">C31*0.05</f>
        <v>0</v>
      </c>
      <c r="E31" s="349" t="n">
        <f aca="false">B31+D31</f>
        <v>0</v>
      </c>
      <c r="F31" s="350" t="n">
        <f aca="false">Projects!$C$33+Projects!$D$33-1</f>
        <v>74</v>
      </c>
      <c r="G31" s="351" t="n">
        <f aca="false">EDATE(DATE(2026,4,1),F31-1)</f>
        <v>48335</v>
      </c>
    </row>
    <row r="32" customFormat="false" ht="15" hidden="false" customHeight="true" outlineLevel="0" collapsed="false">
      <c r="A32" s="175" t="s">
        <v>37</v>
      </c>
      <c r="B32" s="176" t="n">
        <v>0</v>
      </c>
      <c r="C32" s="349" t="n">
        <f aca="false">IF(Projects!$G$34="Yes",Projects!$B$34*(Assumptions!$B$10+Assumptions!$B$11+Assumptions!$B$12),0)</f>
        <v>0</v>
      </c>
      <c r="D32" s="349" t="n">
        <f aca="false">C32*0.05</f>
        <v>0</v>
      </c>
      <c r="E32" s="349" t="n">
        <f aca="false">B32+D32</f>
        <v>0</v>
      </c>
      <c r="F32" s="350" t="n">
        <f aca="false">Projects!$C$34+Projects!$D$34-1</f>
        <v>76</v>
      </c>
      <c r="G32" s="351" t="n">
        <f aca="false">EDATE(DATE(2026,4,1),F32-1)</f>
        <v>48396</v>
      </c>
    </row>
    <row r="33" customFormat="false" ht="15" hidden="false" customHeight="true" outlineLevel="0" collapsed="false">
      <c r="A33" s="175" t="s">
        <v>38</v>
      </c>
      <c r="B33" s="176" t="n">
        <v>0</v>
      </c>
      <c r="C33" s="349" t="n">
        <f aca="false">IF(Projects!$G$35="Yes",Projects!$B$35*(Assumptions!$B$10+Assumptions!$B$11+Assumptions!$B$12),0)</f>
        <v>0</v>
      </c>
      <c r="D33" s="349" t="n">
        <f aca="false">C33*0.05</f>
        <v>0</v>
      </c>
      <c r="E33" s="349" t="n">
        <f aca="false">B33+D33</f>
        <v>0</v>
      </c>
      <c r="F33" s="350" t="n">
        <f aca="false">Projects!$C$35+Projects!$D$35-1</f>
        <v>78</v>
      </c>
      <c r="G33" s="351" t="n">
        <f aca="false">EDATE(DATE(2026,4,1),F33-1)</f>
        <v>48458</v>
      </c>
    </row>
    <row r="34" customFormat="false" ht="15" hidden="false" customHeight="true" outlineLevel="0" collapsed="false">
      <c r="A34" s="175" t="s">
        <v>39</v>
      </c>
      <c r="B34" s="176" t="n">
        <v>0</v>
      </c>
      <c r="C34" s="349" t="n">
        <f aca="false">IF(Projects!$G$36="Yes",Projects!$B$36*(Assumptions!$B$10+Assumptions!$B$11+Assumptions!$B$12),0)</f>
        <v>0</v>
      </c>
      <c r="D34" s="349" t="n">
        <f aca="false">C34*0.05</f>
        <v>0</v>
      </c>
      <c r="E34" s="349" t="n">
        <f aca="false">B34+D34</f>
        <v>0</v>
      </c>
      <c r="F34" s="350" t="n">
        <f aca="false">Projects!$C$36+Projects!$D$36-1</f>
        <v>80</v>
      </c>
      <c r="G34" s="351" t="n">
        <f aca="false">EDATE(DATE(2026,4,1),F34-1)</f>
        <v>48519</v>
      </c>
    </row>
    <row r="35" customFormat="false" ht="15" hidden="false" customHeight="true" outlineLevel="0" collapsed="false">
      <c r="A35" s="175" t="s">
        <v>40</v>
      </c>
      <c r="B35" s="176" t="n">
        <v>0</v>
      </c>
      <c r="C35" s="349" t="n">
        <f aca="false">IF(Projects!$G$37="Yes",Projects!$B$37*(Assumptions!$B$10+Assumptions!$B$11+Assumptions!$B$12),0)</f>
        <v>0</v>
      </c>
      <c r="D35" s="349" t="n">
        <f aca="false">C35*0.05</f>
        <v>0</v>
      </c>
      <c r="E35" s="349" t="n">
        <f aca="false">B35+D35</f>
        <v>0</v>
      </c>
      <c r="F35" s="350" t="n">
        <f aca="false">Projects!$C$37+Projects!$D$37-1</f>
        <v>82</v>
      </c>
      <c r="G35" s="351" t="n">
        <f aca="false">EDATE(DATE(2026,4,1),F35-1)</f>
        <v>48580</v>
      </c>
    </row>
    <row r="36" customFormat="false" ht="15" hidden="false" customHeight="true" outlineLevel="0" collapsed="false">
      <c r="A36" s="175" t="s">
        <v>41</v>
      </c>
      <c r="B36" s="176" t="n">
        <v>0</v>
      </c>
      <c r="C36" s="349" t="n">
        <f aca="false">IF(Projects!$G$38="Yes",Projects!$B$38*(Assumptions!$B$10+Assumptions!$B$11+Assumptions!$B$12),0)</f>
        <v>0</v>
      </c>
      <c r="D36" s="349" t="n">
        <f aca="false">C36*0.05</f>
        <v>0</v>
      </c>
      <c r="E36" s="349" t="n">
        <f aca="false">B36+D36</f>
        <v>0</v>
      </c>
      <c r="F36" s="350" t="n">
        <f aca="false">Projects!$C$38+Projects!$D$38-1</f>
        <v>84</v>
      </c>
      <c r="G36" s="351" t="n">
        <f aca="false">EDATE(DATE(2026,4,1),F36-1)</f>
        <v>48639</v>
      </c>
    </row>
    <row r="37" customFormat="false" ht="15" hidden="false" customHeight="true" outlineLevel="0" collapsed="false">
      <c r="A37" s="175" t="s">
        <v>42</v>
      </c>
      <c r="B37" s="176" t="n">
        <v>0</v>
      </c>
      <c r="C37" s="349" t="n">
        <f aca="false">IF(Projects!$G$39="Yes",Projects!$B$39*(Assumptions!$B$10+Assumptions!$B$11+Assumptions!$B$12),0)</f>
        <v>0</v>
      </c>
      <c r="D37" s="349" t="n">
        <f aca="false">C37*0.05</f>
        <v>0</v>
      </c>
      <c r="E37" s="349" t="n">
        <f aca="false">B37+D37</f>
        <v>0</v>
      </c>
      <c r="F37" s="350" t="n">
        <f aca="false">Projects!$C$39+Projects!$D$39-1</f>
        <v>86</v>
      </c>
      <c r="G37" s="351" t="n">
        <f aca="false">EDATE(DATE(2026,4,1),F37-1)</f>
        <v>48700</v>
      </c>
    </row>
    <row r="38" customFormat="false" ht="15" hidden="false" customHeight="true" outlineLevel="0" collapsed="false">
      <c r="A38" s="175" t="s">
        <v>43</v>
      </c>
      <c r="B38" s="176" t="n">
        <v>0</v>
      </c>
      <c r="C38" s="349" t="n">
        <f aca="false">IF(Projects!$G$40="Yes",Projects!$B$40*(Assumptions!$B$10+Assumptions!$B$11+Assumptions!$B$12),0)</f>
        <v>0</v>
      </c>
      <c r="D38" s="349" t="n">
        <f aca="false">C38*0.05</f>
        <v>0</v>
      </c>
      <c r="E38" s="349" t="n">
        <f aca="false">B38+D38</f>
        <v>0</v>
      </c>
      <c r="F38" s="350" t="n">
        <f aca="false">Projects!$C$40+Projects!$D$40-1</f>
        <v>88</v>
      </c>
      <c r="G38" s="351" t="n">
        <f aca="false">EDATE(DATE(2026,4,1),F38-1)</f>
        <v>48761</v>
      </c>
    </row>
    <row r="39" customFormat="false" ht="15" hidden="false" customHeight="true" outlineLevel="0" collapsed="false">
      <c r="A39" s="175" t="s">
        <v>44</v>
      </c>
      <c r="B39" s="176" t="n">
        <v>0</v>
      </c>
      <c r="C39" s="349" t="n">
        <f aca="false">IF(Projects!$G$41="Yes",Projects!$B$41*(Assumptions!$B$10+Assumptions!$B$11+Assumptions!$B$12),0)</f>
        <v>0</v>
      </c>
      <c r="D39" s="349" t="n">
        <f aca="false">C39*0.05</f>
        <v>0</v>
      </c>
      <c r="E39" s="349" t="n">
        <f aca="false">B39+D39</f>
        <v>0</v>
      </c>
      <c r="F39" s="350" t="n">
        <f aca="false">Projects!$C$41+Projects!$D$41-1</f>
        <v>90</v>
      </c>
      <c r="G39" s="351" t="n">
        <f aca="false">EDATE(DATE(2026,4,1),F39-1)</f>
        <v>48823</v>
      </c>
    </row>
    <row r="40" customFormat="false" ht="15" hidden="false" customHeight="true" outlineLevel="0" collapsed="false">
      <c r="A40" s="175" t="s">
        <v>45</v>
      </c>
      <c r="B40" s="176" t="n">
        <v>0</v>
      </c>
      <c r="C40" s="349" t="n">
        <f aca="false">IF(Projects!$G$42="Yes",Projects!$B$42*(Assumptions!$B$10+Assumptions!$B$11+Assumptions!$B$12),0)</f>
        <v>0</v>
      </c>
      <c r="D40" s="349" t="n">
        <f aca="false">C40*0.05</f>
        <v>0</v>
      </c>
      <c r="E40" s="349" t="n">
        <f aca="false">B40+D40</f>
        <v>0</v>
      </c>
      <c r="F40" s="350" t="n">
        <f aca="false">Projects!$C$42+Projects!$D$42-1</f>
        <v>92</v>
      </c>
      <c r="G40" s="351" t="n">
        <f aca="false">EDATE(DATE(2026,4,1),F40-1)</f>
        <v>48884</v>
      </c>
    </row>
    <row r="41" customFormat="false" ht="15" hidden="false" customHeight="true" outlineLevel="0" collapsed="false">
      <c r="A41" s="175" t="s">
        <v>46</v>
      </c>
      <c r="B41" s="176" t="n">
        <v>0</v>
      </c>
      <c r="C41" s="349" t="n">
        <f aca="false">IF(Projects!$G$43="Yes",Projects!$B$43*(Assumptions!$B$10+Assumptions!$B$11+Assumptions!$B$12),0)</f>
        <v>0</v>
      </c>
      <c r="D41" s="349" t="n">
        <f aca="false">C41*0.05</f>
        <v>0</v>
      </c>
      <c r="E41" s="349" t="n">
        <f aca="false">B41+D41</f>
        <v>0</v>
      </c>
      <c r="F41" s="350" t="n">
        <f aca="false">Projects!$C$43+Projects!$D$43-1</f>
        <v>94</v>
      </c>
      <c r="G41" s="351" t="n">
        <f aca="false">EDATE(DATE(2026,4,1),F41-1)</f>
        <v>48945</v>
      </c>
    </row>
    <row r="42" customFormat="false" ht="15" hidden="false" customHeight="true" outlineLevel="0" collapsed="false">
      <c r="A42" s="175" t="s">
        <v>47</v>
      </c>
      <c r="B42" s="176" t="n">
        <v>0</v>
      </c>
      <c r="C42" s="349" t="n">
        <f aca="false">IF(Projects!$G$44="Yes",Projects!$B$44*(Assumptions!$B$10+Assumptions!$B$11+Assumptions!$B$12),0)</f>
        <v>0</v>
      </c>
      <c r="D42" s="349" t="n">
        <f aca="false">C42*0.05</f>
        <v>0</v>
      </c>
      <c r="E42" s="349" t="n">
        <f aca="false">B42+D42</f>
        <v>0</v>
      </c>
      <c r="F42" s="350" t="n">
        <f aca="false">Projects!$C$44+Projects!$D$44-1</f>
        <v>96</v>
      </c>
      <c r="G42" s="351" t="n">
        <f aca="false">EDATE(DATE(2026,4,1),F42-1)</f>
        <v>49004</v>
      </c>
    </row>
    <row r="43" customFormat="false" ht="15" hidden="false" customHeight="true" outlineLevel="0" collapsed="false">
      <c r="A43" s="175" t="s">
        <v>48</v>
      </c>
      <c r="B43" s="176" t="n">
        <v>0</v>
      </c>
      <c r="C43" s="349" t="n">
        <f aca="false">IF(Projects!$G$45="Yes",Projects!$B$45*(Assumptions!$B$10+Assumptions!$B$11+Assumptions!$B$12),0)</f>
        <v>0</v>
      </c>
      <c r="D43" s="349" t="n">
        <f aca="false">C43*0.05</f>
        <v>0</v>
      </c>
      <c r="E43" s="349" t="n">
        <f aca="false">B43+D43</f>
        <v>0</v>
      </c>
      <c r="F43" s="350" t="n">
        <f aca="false">Projects!$C$45+Projects!$D$45-1</f>
        <v>98</v>
      </c>
      <c r="G43" s="351" t="n">
        <f aca="false">EDATE(DATE(2026,4,1),F43-1)</f>
        <v>49065</v>
      </c>
    </row>
    <row r="44" customFormat="false" ht="15" hidden="false" customHeight="true" outlineLevel="0" collapsed="false">
      <c r="A44" s="175" t="s">
        <v>49</v>
      </c>
      <c r="B44" s="176" t="n">
        <v>0</v>
      </c>
      <c r="C44" s="349" t="n">
        <f aca="false">IF(Projects!$G$46="Yes",Projects!$B$46*(Assumptions!$B$10+Assumptions!$B$11+Assumptions!$B$12),0)</f>
        <v>0</v>
      </c>
      <c r="D44" s="349" t="n">
        <f aca="false">C44*0.05</f>
        <v>0</v>
      </c>
      <c r="E44" s="349" t="n">
        <f aca="false">B44+D44</f>
        <v>0</v>
      </c>
      <c r="F44" s="350" t="n">
        <f aca="false">Projects!$C$46+Projects!$D$46-1</f>
        <v>100</v>
      </c>
      <c r="G44" s="351" t="n">
        <f aca="false">EDATE(DATE(2026,4,1),F44-1)</f>
        <v>49126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" min="2" style="1" width="14"/>
    <col collapsed="false" customWidth="true" hidden="false" outlineLevel="0" max="10" min="10" style="1" width="13"/>
  </cols>
  <sheetData>
    <row r="1" customFormat="false" ht="17.25" hidden="false" customHeight="true" outlineLevel="0" collapsed="false">
      <c r="A1" s="88" t="s">
        <v>197</v>
      </c>
      <c r="B1" s="88"/>
      <c r="C1" s="88"/>
      <c r="D1" s="88"/>
      <c r="E1" s="88"/>
      <c r="F1" s="4"/>
      <c r="G1" s="4"/>
      <c r="H1" s="4"/>
      <c r="I1" s="4"/>
    </row>
    <row r="2" customFormat="false" ht="15" hidden="false" customHeight="true" outlineLevel="0" collapsed="false">
      <c r="A2" s="16" t="s">
        <v>198</v>
      </c>
      <c r="B2" s="57" t="s">
        <v>199</v>
      </c>
      <c r="C2" s="57" t="s">
        <v>200</v>
      </c>
      <c r="D2" s="57" t="s">
        <v>201</v>
      </c>
      <c r="E2" s="57" t="s">
        <v>202</v>
      </c>
      <c r="F2" s="57" t="s">
        <v>203</v>
      </c>
      <c r="G2" s="57" t="s">
        <v>204</v>
      </c>
      <c r="H2" s="57" t="s">
        <v>205</v>
      </c>
      <c r="I2" s="57" t="s">
        <v>206</v>
      </c>
      <c r="J2" s="57" t="s">
        <v>207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</row>
    <row r="4" customFormat="false" ht="15" hidden="false" customHeight="true" outlineLevel="0" collapsed="false">
      <c r="A4" s="90" t="s">
        <v>208</v>
      </c>
      <c r="B4" s="91" t="n">
        <f aca="false">SUM(Model!B10:M10)</f>
        <v>4238127.34927743</v>
      </c>
      <c r="C4" s="91" t="n">
        <f aca="false">SUM(Model!N10:Y10)</f>
        <v>5267528.62265186</v>
      </c>
      <c r="D4" s="91" t="n">
        <f aca="false">SUM(Model!Z10:AK10)</f>
        <v>4272487.13143384</v>
      </c>
      <c r="E4" s="91" t="n">
        <f aca="false">SUM(Model!AL10:AW10)</f>
        <v>2445310.69381393</v>
      </c>
      <c r="F4" s="91" t="n">
        <f aca="false">SUM(Model!AX10:BI10)</f>
        <v>1133255.11019527</v>
      </c>
      <c r="G4" s="91" t="n">
        <f aca="false">SUM(Model!BJ10:BU10)</f>
        <v>0</v>
      </c>
      <c r="H4" s="91" t="n">
        <f aca="false">SUM(Model!BV10:CG10)</f>
        <v>0</v>
      </c>
      <c r="I4" s="91" t="n">
        <f aca="false">SUM(Model!CH10:CS10)</f>
        <v>0</v>
      </c>
      <c r="J4" s="91" t="n">
        <f aca="false">SUM(Model!CT10:DE10)</f>
        <v>0</v>
      </c>
    </row>
    <row r="5" customFormat="false" ht="15" hidden="false" customHeight="true" outlineLevel="0" collapsed="false">
      <c r="A5" s="90" t="s">
        <v>209</v>
      </c>
      <c r="B5" s="91" t="n">
        <f aca="false">SUM(Model!B11:M11)</f>
        <v>3305304.69719753</v>
      </c>
      <c r="C5" s="91" t="n">
        <f aca="false">SUM(Model!N11:Y11)</f>
        <v>4062062.46933252</v>
      </c>
      <c r="D5" s="91" t="n">
        <f aca="false">SUM(Model!Z11:AK11)</f>
        <v>3204349.82242111</v>
      </c>
      <c r="E5" s="91" t="n">
        <f aca="false">SUM(Model!AL11:AW11)</f>
        <v>1833974.134138</v>
      </c>
      <c r="F5" s="91" t="n">
        <f aca="false">SUM(Model!AX11:BI11)</f>
        <v>849937.214414347</v>
      </c>
      <c r="G5" s="91" t="n">
        <f aca="false">SUM(Model!BJ11:BU11)</f>
        <v>0</v>
      </c>
      <c r="H5" s="91" t="n">
        <f aca="false">SUM(Model!BV11:CG11)</f>
        <v>0</v>
      </c>
      <c r="I5" s="91" t="n">
        <f aca="false">SUM(Model!CH11:CS11)</f>
        <v>0</v>
      </c>
      <c r="J5" s="91" t="n">
        <f aca="false">SUM(Model!CT11:DE11)</f>
        <v>0</v>
      </c>
    </row>
    <row r="6" customFormat="false" ht="15" hidden="false" customHeight="true" outlineLevel="0" collapsed="false">
      <c r="A6" s="90" t="s">
        <v>210</v>
      </c>
      <c r="B6" s="91" t="n">
        <f aca="false">SUM(Model!B57:M57)</f>
        <v>53478057.9389449</v>
      </c>
      <c r="C6" s="91" t="n">
        <f aca="false">SUM(Model!N57:Y57)</f>
        <v>80347115.6656264</v>
      </c>
      <c r="D6" s="91" t="n">
        <f aca="false">SUM(Model!Z57:AK57)</f>
        <v>54644479.5897234</v>
      </c>
      <c r="E6" s="91" t="n">
        <f aca="false">SUM(Model!AL57:AW57)</f>
        <v>28651765.6665719</v>
      </c>
      <c r="F6" s="91" t="n">
        <f aca="false">SUM(Model!AX57:BI57)</f>
        <v>11275557.5955424</v>
      </c>
      <c r="G6" s="91" t="n">
        <f aca="false">SUM(Model!BJ57:BU57)</f>
        <v>0</v>
      </c>
      <c r="H6" s="91" t="n">
        <f aca="false">SUM(Model!BV57:CG57)</f>
        <v>0</v>
      </c>
      <c r="I6" s="91" t="n">
        <f aca="false">SUM(Model!CH57:CS57)</f>
        <v>0</v>
      </c>
      <c r="J6" s="91" t="n">
        <f aca="false">SUM(Model!CT57:DE57)</f>
        <v>0</v>
      </c>
    </row>
    <row r="7" customFormat="false" ht="15" hidden="false" customHeight="true" outlineLevel="0" collapsed="false">
      <c r="A7" s="33" t="s">
        <v>52</v>
      </c>
      <c r="B7" s="34" t="n">
        <f aca="false">SUM(Model!B58:M58)</f>
        <v>61021489.9854198</v>
      </c>
      <c r="C7" s="34" t="n">
        <f aca="false">SUM(Model!N58:Y58)</f>
        <v>89676706.7576108</v>
      </c>
      <c r="D7" s="34" t="n">
        <f aca="false">SUM(Model!Z58:AK58)</f>
        <v>62121316.5435783</v>
      </c>
      <c r="E7" s="34" t="n">
        <f aca="false">SUM(Model!AL58:AW58)</f>
        <v>32931050.4945238</v>
      </c>
      <c r="F7" s="34" t="n">
        <f aca="false">SUM(Model!AX58:BI58)</f>
        <v>13258749.920152</v>
      </c>
      <c r="G7" s="34" t="n">
        <f aca="false">SUM(Model!BJ58:BU58)</f>
        <v>0</v>
      </c>
      <c r="H7" s="34" t="n">
        <f aca="false">SUM(Model!BV58:CG58)</f>
        <v>0</v>
      </c>
      <c r="I7" s="34" t="n">
        <f aca="false">SUM(Model!CH58:CS58)</f>
        <v>0</v>
      </c>
      <c r="J7" s="34" t="n">
        <f aca="false">SUM(Model!CT58:DE58)</f>
        <v>0</v>
      </c>
    </row>
    <row r="8" customFormat="false" ht="15" hidden="false" customHeight="true" outlineLevel="0" collapsed="false">
      <c r="A8" s="90" t="s">
        <v>53</v>
      </c>
      <c r="B8" s="91" t="n">
        <f aca="false">SUM(Model!B104:M104)</f>
        <v>-54040891.682631</v>
      </c>
      <c r="C8" s="91" t="n">
        <f aca="false">SUM(Model!N104:Y104)</f>
        <v>-80724159.0319403</v>
      </c>
      <c r="D8" s="91" t="n">
        <f aca="false">SUM(Model!Z104:AK104)</f>
        <v>-54644479.5897234</v>
      </c>
      <c r="E8" s="91" t="n">
        <f aca="false">SUM(Model!AL104:AW104)</f>
        <v>-28651765.6665719</v>
      </c>
      <c r="F8" s="91" t="n">
        <f aca="false">SUM(Model!AX104:BI104)</f>
        <v>-11275557.5955424</v>
      </c>
      <c r="G8" s="91" t="n">
        <f aca="false">SUM(Model!BJ104:BU104)</f>
        <v>0</v>
      </c>
      <c r="H8" s="91" t="n">
        <f aca="false">SUM(Model!BV104:CG104)</f>
        <v>0</v>
      </c>
      <c r="I8" s="91" t="n">
        <f aca="false">SUM(Model!CH104:CS104)</f>
        <v>0</v>
      </c>
      <c r="J8" s="91" t="n">
        <f aca="false">SUM(Model!CT104:DE104)</f>
        <v>0</v>
      </c>
    </row>
    <row r="9" customFormat="false" ht="15" hidden="false" customHeight="true" outlineLevel="0" collapsed="false">
      <c r="A9" s="90" t="s">
        <v>211</v>
      </c>
      <c r="B9" s="91" t="n">
        <f aca="false">SUM(Model!B105:M105)</f>
        <v>1561967.335</v>
      </c>
      <c r="C9" s="91" t="n">
        <f aca="false">SUM(Model!N105:Y105)</f>
        <v>679001.55</v>
      </c>
      <c r="D9" s="91" t="n">
        <f aca="false">SUM(Model!Z105:AK105)</f>
        <v>620319.48</v>
      </c>
      <c r="E9" s="91" t="n">
        <f aca="false">SUM(Model!AL105:AW105)</f>
        <v>0</v>
      </c>
      <c r="F9" s="91" t="n">
        <f aca="false">SUM(Model!AX105:BI105)</f>
        <v>0</v>
      </c>
      <c r="G9" s="91" t="n">
        <f aca="false">SUM(Model!BJ105:BU105)</f>
        <v>0</v>
      </c>
      <c r="H9" s="91" t="n">
        <f aca="false">SUM(Model!BV105:CG105)</f>
        <v>0</v>
      </c>
      <c r="I9" s="91" t="n">
        <f aca="false">SUM(Model!CH105:CS105)</f>
        <v>0</v>
      </c>
      <c r="J9" s="91" t="n">
        <f aca="false">SUM(Model!CT105:DE105)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SUM(Model!B106:M106)</f>
        <v>-1898639.08580814</v>
      </c>
      <c r="C10" s="91" t="n">
        <f aca="false">SUM(Model!N106:Y106)</f>
        <v>-1471170.025</v>
      </c>
      <c r="D10" s="91" t="n">
        <f aca="false">SUM(Model!Z106:AK106)</f>
        <v>-1344025.54</v>
      </c>
      <c r="E10" s="91" t="n">
        <f aca="false">SUM(Model!AL106:AW106)</f>
        <v>0</v>
      </c>
      <c r="F10" s="91" t="n">
        <f aca="false">SUM(Model!AX106:BI106)</f>
        <v>0</v>
      </c>
      <c r="G10" s="91" t="n">
        <f aca="false">SUM(Model!BJ106:BU106)</f>
        <v>0</v>
      </c>
      <c r="H10" s="91" t="n">
        <f aca="false">SUM(Model!BV106:CG106)</f>
        <v>0</v>
      </c>
      <c r="I10" s="91" t="n">
        <f aca="false">SUM(Model!CH106:CS106)</f>
        <v>0</v>
      </c>
      <c r="J10" s="91" t="n">
        <f aca="false">SUM(Model!CT106:DE106)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SUM(Model!B107:M107)</f>
        <v>6643926.55198072</v>
      </c>
      <c r="C11" s="93" t="n">
        <f aca="false">SUM(Model!N107:Y107)</f>
        <v>8160379.25067049</v>
      </c>
      <c r="D11" s="93" t="n">
        <f aca="false">SUM(Model!Z107:AK107)</f>
        <v>6753130.89385496</v>
      </c>
      <c r="E11" s="93" t="n">
        <f aca="false">SUM(Model!AL107:AW107)</f>
        <v>4279284.82795193</v>
      </c>
      <c r="F11" s="93" t="n">
        <f aca="false">SUM(Model!AX107:BI107)</f>
        <v>1983192.32460961</v>
      </c>
      <c r="G11" s="93" t="n">
        <f aca="false">SUM(Model!BJ107:BU107)</f>
        <v>0</v>
      </c>
      <c r="H11" s="93" t="n">
        <f aca="false">SUM(Model!BV107:CG107)</f>
        <v>0</v>
      </c>
      <c r="I11" s="93" t="n">
        <f aca="false">SUM(Model!CH107:CS107)</f>
        <v>0</v>
      </c>
      <c r="J11" s="93" t="n">
        <f aca="false">SUM(Model!CT107:DE107)</f>
        <v>0</v>
      </c>
    </row>
    <row r="12" customFormat="false" ht="15" hidden="false" customHeight="true" outlineLevel="0" collapsed="false">
      <c r="A12" s="29" t="s">
        <v>58</v>
      </c>
      <c r="B12" s="94" t="n">
        <f aca="false">IFERROR(B11/B7,0)</f>
        <v>0.108878471397014</v>
      </c>
      <c r="C12" s="94" t="n">
        <f aca="false">IFERROR(C11/C7,0)</f>
        <v>0.0909977578985741</v>
      </c>
      <c r="D12" s="94" t="n">
        <f aca="false">IFERROR(D11/D7,0)</f>
        <v>0.108708753606624</v>
      </c>
      <c r="E12" s="94" t="n">
        <f aca="false">IFERROR(E11/E7,0)</f>
        <v>0.129946805938169</v>
      </c>
      <c r="F12" s="94" t="n">
        <f aca="false">IFERROR(F11/F7,0)</f>
        <v>0.14957611664395</v>
      </c>
      <c r="G12" s="94" t="n">
        <f aca="false">IFERROR(G11/G7,0)</f>
        <v>0</v>
      </c>
      <c r="H12" s="94" t="n">
        <f aca="false">IFERROR(H11/H7,0)</f>
        <v>0</v>
      </c>
      <c r="I12" s="94" t="n">
        <f aca="false">IFERROR(I11/I7,0)</f>
        <v>0</v>
      </c>
      <c r="J12" s="94" t="n">
        <f aca="false">IFERROR(J11/J7,0)</f>
        <v>0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</row>
    <row r="15" customFormat="false" ht="15" hidden="false" customHeight="true" outlineLevel="0" collapsed="false">
      <c r="A15" s="90" t="s">
        <v>213</v>
      </c>
      <c r="B15" s="91" t="n">
        <f aca="false">SUM(Model!B111:M112)+SUM(Model!B114:M118)</f>
        <v>-3114235.42333333</v>
      </c>
      <c r="C15" s="91" t="n">
        <f aca="false">SUM(Model!N111:Y112)+SUM(Model!N114:Y118)</f>
        <v>-4081456.4375</v>
      </c>
      <c r="D15" s="91" t="n">
        <f aca="false">SUM(Model!Z111:AK112)+SUM(Model!Z114:AK118)</f>
        <v>-4209801.56625</v>
      </c>
      <c r="E15" s="91" t="n">
        <f aca="false">SUM(Model!AL111:AW112)+SUM(Model!AL114:AW118)</f>
        <v>-4293997.597575</v>
      </c>
      <c r="F15" s="91" t="n">
        <f aca="false">SUM(Model!AX111:BI112)+SUM(Model!AX114:BI118)</f>
        <v>-4379877.5495265</v>
      </c>
      <c r="G15" s="91" t="n">
        <f aca="false">SUM(Model!BJ111:BU112)+SUM(Model!BJ114:BU118)</f>
        <v>-4467475.10051703</v>
      </c>
      <c r="H15" s="91" t="n">
        <f aca="false">SUM(Model!BV111:CG112)+SUM(Model!BV114:CG118)</f>
        <v>-4556824.60252737</v>
      </c>
      <c r="I15" s="91" t="n">
        <f aca="false">SUM(Model!CH111:CS112)+SUM(Model!CH114:CS118)</f>
        <v>-4647961.09457792</v>
      </c>
      <c r="J15" s="91" t="n">
        <f aca="false">SUM(Model!CT111:DE112)+SUM(Model!CT114:DE118)</f>
        <v>-4077791.04444241</v>
      </c>
    </row>
    <row r="16" customFormat="false" ht="15" hidden="false" customHeight="true" outlineLevel="0" collapsed="false">
      <c r="A16" s="90" t="s">
        <v>214</v>
      </c>
      <c r="B16" s="91" t="n">
        <f aca="false">SUM(Model!B119:M141)+SUM(Model!B143:M143)</f>
        <v>-1037245.16</v>
      </c>
      <c r="C16" s="91" t="n">
        <f aca="false">SUM(Model!N119:Y141)+SUM(Model!N143:Y143)</f>
        <v>-780998.4492</v>
      </c>
      <c r="D16" s="91" t="n">
        <f aca="false">SUM(Model!Z119:AK141)+SUM(Model!Z143:AK143)</f>
        <v>-772138.418184</v>
      </c>
      <c r="E16" s="91" t="n">
        <f aca="false">SUM(Model!AL119:AW141)+SUM(Model!AL143:AW143)</f>
        <v>-787581.18654768</v>
      </c>
      <c r="F16" s="91" t="n">
        <f aca="false">SUM(Model!AX119:BI141)+SUM(Model!AX143:BI143)</f>
        <v>-803332.810278634</v>
      </c>
      <c r="G16" s="91" t="n">
        <f aca="false">SUM(Model!BJ119:BU141)+SUM(Model!BJ143:BU143)</f>
        <v>-819399.466484206</v>
      </c>
      <c r="H16" s="91" t="n">
        <f aca="false">SUM(Model!BV119:CG141)+SUM(Model!BV143:CG143)</f>
        <v>-835787.45581389</v>
      </c>
      <c r="I16" s="91" t="n">
        <f aca="false">SUM(Model!CH119:CS141)+SUM(Model!CH143:CS143)</f>
        <v>-852503.204930168</v>
      </c>
      <c r="J16" s="91" t="n">
        <f aca="false">SUM(Model!CT119:DE141)+SUM(Model!CT143:DE143)</f>
        <v>-869553.269028772</v>
      </c>
    </row>
    <row r="17" customFormat="false" ht="15" hidden="false" customHeight="true" outlineLevel="0" collapsed="false">
      <c r="A17" s="90" t="s">
        <v>215</v>
      </c>
      <c r="B17" s="91" t="n">
        <f aca="false">SUM(Model!B113:M113)</f>
        <v>-726833.333333333</v>
      </c>
      <c r="C17" s="91" t="n">
        <f aca="false">SUM(Model!N113:Y113)</f>
        <v>-1246000</v>
      </c>
      <c r="D17" s="91" t="n">
        <f aca="false">SUM(Model!Z113:AK113)</f>
        <v>-1246000</v>
      </c>
      <c r="E17" s="91" t="n">
        <f aca="false">SUM(Model!AL113:AW113)</f>
        <v>-1246000</v>
      </c>
      <c r="F17" s="91" t="n">
        <f aca="false">SUM(Model!AX113:BI113)</f>
        <v>-1246000</v>
      </c>
      <c r="G17" s="91" t="n">
        <f aca="false">SUM(Model!BJ113:BU113)</f>
        <v>-1246000</v>
      </c>
      <c r="H17" s="91" t="n">
        <f aca="false">SUM(Model!BV113:CG113)</f>
        <v>-1246000</v>
      </c>
      <c r="I17" s="91" t="n">
        <f aca="false">SUM(Model!CH113:CS113)</f>
        <v>-1246000</v>
      </c>
      <c r="J17" s="91" t="n">
        <f aca="false">SUM(Model!CT113:DE113)</f>
        <v>-1246000</v>
      </c>
    </row>
    <row r="18" customFormat="false" ht="15" hidden="false" customHeight="true" outlineLevel="0" collapsed="false">
      <c r="A18" s="90" t="s">
        <v>216</v>
      </c>
      <c r="B18" s="91" t="n">
        <f aca="false">SUM(Model!B142:M142)</f>
        <v>0</v>
      </c>
      <c r="C18" s="91" t="n">
        <f aca="false">SUM(Model!N142:Y142)</f>
        <v>0</v>
      </c>
      <c r="D18" s="91" t="n">
        <f aca="false">SUM(Model!Z142:AK142)</f>
        <v>0</v>
      </c>
      <c r="E18" s="91" t="n">
        <f aca="false">SUM(Model!AL142:AW142)</f>
        <v>0</v>
      </c>
      <c r="F18" s="91" t="n">
        <f aca="false">SUM(Model!AX142:BI142)</f>
        <v>0</v>
      </c>
      <c r="G18" s="91" t="n">
        <f aca="false">SUM(Model!BJ142:BU142)</f>
        <v>0</v>
      </c>
      <c r="H18" s="91" t="n">
        <f aca="false">SUM(Model!BV142:CG142)</f>
        <v>0</v>
      </c>
      <c r="I18" s="91" t="n">
        <f aca="false">SUM(Model!CH142:CS142)</f>
        <v>0</v>
      </c>
      <c r="J18" s="91" t="n">
        <f aca="false">SUM(Model!CT142:DE142)</f>
        <v>0</v>
      </c>
    </row>
    <row r="19" customFormat="false" ht="15" hidden="false" customHeight="true" outlineLevel="0" collapsed="false">
      <c r="A19" s="33" t="s">
        <v>93</v>
      </c>
      <c r="B19" s="34" t="n">
        <f aca="false">SUM(Model!B144:M144)</f>
        <v>-4878313.91666667</v>
      </c>
      <c r="C19" s="34" t="n">
        <f aca="false">SUM(Model!N144:Y144)</f>
        <v>-6108454.8867</v>
      </c>
      <c r="D19" s="34" t="n">
        <f aca="false">SUM(Model!Z144:AK144)</f>
        <v>-6227939.984434</v>
      </c>
      <c r="E19" s="34" t="n">
        <f aca="false">SUM(Model!AL144:AW144)</f>
        <v>-6327578.78412268</v>
      </c>
      <c r="F19" s="34" t="n">
        <f aca="false">SUM(Model!AX144:BI144)</f>
        <v>-6429210.35980513</v>
      </c>
      <c r="G19" s="34" t="n">
        <f aca="false">SUM(Model!BJ144:BU144)</f>
        <v>-6532874.56700124</v>
      </c>
      <c r="H19" s="34" t="n">
        <f aca="false">SUM(Model!BV144:CG144)</f>
        <v>-6638612.05834126</v>
      </c>
      <c r="I19" s="34" t="n">
        <f aca="false">SUM(Model!CH144:CS144)</f>
        <v>-6746464.29950809</v>
      </c>
      <c r="J19" s="34" t="n">
        <f aca="false">SUM(Model!CT144:DE144)</f>
        <v>-6193344.31347118</v>
      </c>
    </row>
    <row r="20" customFormat="false" ht="15" hidden="false" customHeight="true" outlineLevel="0" collapsed="false">
      <c r="A20" s="33" t="s">
        <v>94</v>
      </c>
      <c r="B20" s="34" t="n">
        <f aca="false">SUM(Model!B145:M145)</f>
        <v>1765612.63531405</v>
      </c>
      <c r="C20" s="34" t="n">
        <f aca="false">SUM(Model!N145:Y145)</f>
        <v>2051924.36397049</v>
      </c>
      <c r="D20" s="34" t="n">
        <f aca="false">SUM(Model!Z145:AK145)</f>
        <v>525190.909420957</v>
      </c>
      <c r="E20" s="34" t="n">
        <f aca="false">SUM(Model!AL145:AW145)</f>
        <v>-2048293.95617075</v>
      </c>
      <c r="F20" s="34" t="n">
        <f aca="false">SUM(Model!AX145:BI145)</f>
        <v>-4446018.03519552</v>
      </c>
      <c r="G20" s="34" t="n">
        <f aca="false">SUM(Model!BJ145:BU145)</f>
        <v>-6532874.56700124</v>
      </c>
      <c r="H20" s="34" t="n">
        <f aca="false">SUM(Model!BV145:CG145)</f>
        <v>-6638612.05834126</v>
      </c>
      <c r="I20" s="34" t="n">
        <f aca="false">SUM(Model!CH145:CS145)</f>
        <v>-6746464.29950809</v>
      </c>
      <c r="J20" s="34" t="n">
        <f aca="false">SUM(Model!CT145:DE145)</f>
        <v>-6193344.31347118</v>
      </c>
    </row>
    <row r="21" customFormat="false" ht="15" hidden="false" customHeight="true" outlineLevel="0" collapsed="false">
      <c r="A21" s="29" t="s">
        <v>95</v>
      </c>
      <c r="B21" s="94" t="n">
        <f aca="false">IFERROR(B20/B7,0)</f>
        <v>0.0289342760351463</v>
      </c>
      <c r="C21" s="94" t="n">
        <f aca="false">IFERROR(C20/C7,0)</f>
        <v>0.0228813527855866</v>
      </c>
      <c r="D21" s="94" t="n">
        <f aca="false">IFERROR(D20/D7,0)</f>
        <v>0.00845427847705922</v>
      </c>
      <c r="E21" s="94" t="n">
        <f aca="false">IFERROR(E20/E7,0)</f>
        <v>-0.0621994720912826</v>
      </c>
      <c r="F21" s="94" t="n">
        <f aca="false">IFERROR(F20/F7,0)</f>
        <v>-0.335327090560627</v>
      </c>
      <c r="G21" s="94" t="n">
        <f aca="false">IFERROR(G20/G7,0)</f>
        <v>0</v>
      </c>
      <c r="H21" s="94" t="n">
        <f aca="false">IFERROR(H20/H7,0)</f>
        <v>0</v>
      </c>
      <c r="I21" s="94" t="n">
        <f aca="false">IFERROR(I20/I7,0)</f>
        <v>0</v>
      </c>
      <c r="J21" s="94" t="n">
        <f aca="false">IFERROR(J20/J7,0)</f>
        <v>0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</row>
    <row r="23" customFormat="false" ht="15" hidden="false" customHeight="true" outlineLevel="0" collapsed="false">
      <c r="A23" s="95" t="s">
        <v>96</v>
      </c>
      <c r="B23" s="96" t="n">
        <f aca="false">Model!E168+Model!F168+Model!G168+Model!H168+Model!I168+Model!J168+Model!K168+Model!L168+Model!M168+Model!B168+Model!C168+Model!D168</f>
        <v>1338352.12714286</v>
      </c>
      <c r="C23" s="96" t="n">
        <f aca="false">Model!N168+Model!O168+Model!P168+Model!Q168+Model!R168+Model!S168+Model!T168+Model!U168+Model!V168+Model!W168+Model!X168+Model!Y168</f>
        <v>891535.162857143</v>
      </c>
      <c r="D23" s="96" t="n">
        <f aca="false">Model!Z168+Model!AA168+Model!AB168+Model!AC168+Model!AD168+Model!AE168+Model!AF168+Model!AG168+Model!AH168+Model!AI168+Model!AJ168+Model!AK168</f>
        <v>217546.84</v>
      </c>
      <c r="E23" s="96" t="n">
        <f aca="false">Model!AL168+Model!AM168+Model!AN168+Model!AO168+Model!AP168+Model!AQ168+Model!AR168+Model!AS168+Model!AT168+Model!AU168+Model!AV168+Model!AW168</f>
        <v>104155</v>
      </c>
      <c r="F23" s="96" t="n">
        <f aca="false">Model!AX168+Model!AY168+Model!AZ168+Model!BA168+Model!BB168+Model!BC168+Model!BD168+Model!BE168+Model!BF168+Model!BG168+Model!BH168+Model!BI168</f>
        <v>1276957</v>
      </c>
      <c r="G23" s="96" t="n">
        <f aca="false">Model!BJ168+Model!BK168+Model!BL168+Model!BM168+Model!BN168+Model!BO168+Model!BP168+Model!BQ168+Model!BR168+Model!BS168+Model!BT168+Model!BU168</f>
        <v>546560</v>
      </c>
      <c r="H23" s="96" t="n">
        <f aca="false">Model!BV168+Model!BW168+Model!BX168+Model!BY168+Model!BZ168+Model!CA168+Model!CB168+Model!CC168+Model!CD168+Model!CE168+Model!CF168+Model!CG168</f>
        <v>819993</v>
      </c>
      <c r="I23" s="96" t="n">
        <f aca="false">Model!CH168+Model!CI168+Model!CJ168+Model!CK168+Model!CL168+Model!CM168+Model!CN168+Model!CO168+Model!CP168+Model!CQ168+Model!CR168+Model!CS168</f>
        <v>2310160</v>
      </c>
      <c r="J23" s="96" t="n">
        <f aca="false">Model!CT168+Model!CU168+Model!CV168+Model!CW168+Model!CX168+Model!CY168+Model!CZ168+Model!DA168+Model!DB168+Model!DC168+Model!DD168+Model!DE168</f>
        <v>2772192</v>
      </c>
    </row>
    <row r="24" customFormat="false" ht="15" hidden="false" customHeight="true" outlineLevel="0" collapsed="false">
      <c r="A24" s="29" t="s">
        <v>117</v>
      </c>
      <c r="B24" s="14" t="n">
        <f aca="false">Model!E199+Model!F199+Model!G199+Model!H199+Model!I199+Model!J199+Model!K199+Model!L199+Model!M199+Model!B199+Model!C199+Model!D199</f>
        <v>-2053634.2</v>
      </c>
      <c r="C24" s="14" t="n">
        <f aca="false">Model!N199+Model!O199+Model!P199+Model!Q199+Model!R199+Model!S199+Model!T199+Model!U199+Model!V199+Model!W199+Model!X199+Model!Y199</f>
        <v>-951137.3165</v>
      </c>
      <c r="D24" s="14" t="n">
        <f aca="false">Model!Z199+Model!AA199+Model!AB199+Model!AC199+Model!AD199+Model!AE199+Model!AF199+Model!AG199+Model!AH199+Model!AI199+Model!AJ199+Model!AK199</f>
        <v>-970160.06283</v>
      </c>
      <c r="E24" s="14" t="n">
        <f aca="false">Model!AL199+Model!AM199+Model!AN199+Model!AO199+Model!AP199+Model!AQ199+Model!AR199+Model!AS199+Model!AT199+Model!AU199+Model!AV199+Model!AW199</f>
        <v>-1152928.2640866</v>
      </c>
      <c r="F24" s="14" t="n">
        <f aca="false">Model!AX199+Model!AY199+Model!AZ199+Model!BA199+Model!BB199+Model!BC199+Model!BD199+Model!BE199+Model!BF199+Model!BG199+Model!BH199+Model!BI199</f>
        <v>-2286311.52936833</v>
      </c>
      <c r="G24" s="14" t="n">
        <f aca="false">Model!BJ199+Model!BK199+Model!BL199+Model!BM199+Model!BN199+Model!BO199+Model!BP199+Model!BQ199+Model!BR199+Model!BS199+Model!BT199+Model!BU199</f>
        <v>-1455089.2699557</v>
      </c>
      <c r="H24" s="14" t="n">
        <f aca="false">Model!BV199+Model!BW199+Model!BX199+Model!BY199+Model!BZ199+Model!CA199+Model!CB199+Model!CC199+Model!CD199+Model!CE199+Model!CF199+Model!CG199</f>
        <v>-1581603.45235481</v>
      </c>
      <c r="I24" s="14" t="n">
        <f aca="false">Model!CH199+Model!CI199+Model!CJ199+Model!CK199+Model!CL199+Model!CM199+Model!CN199+Model!CO199+Model!CP199+Model!CQ199+Model!CR199+Model!CS199</f>
        <v>-1877439.07479543</v>
      </c>
      <c r="J24" s="14" t="n">
        <f aca="false">Model!CT199+Model!CU199+Model!CV199+Model!CW199+Model!CX199+Model!CY199+Model!CZ199+Model!DA199+Model!DB199+Model!DC199+Model!DD199+Model!DE199</f>
        <v>-1306224.20306012</v>
      </c>
    </row>
    <row r="25" customFormat="false" ht="15" hidden="false" customHeight="true" outlineLevel="0" collapsed="false">
      <c r="A25" s="42" t="s">
        <v>133</v>
      </c>
      <c r="B25" s="43" t="n">
        <f aca="false">Model!E200+Model!F200+Model!G200+Model!H200+Model!I200+Model!J200+Model!K200+Model!L200+Model!M200+Model!B200+Model!C200+Model!D200</f>
        <v>-715282.072857143</v>
      </c>
      <c r="C25" s="43" t="n">
        <f aca="false">Model!N200+Model!O200+Model!P200+Model!Q200+Model!R200+Model!S200+Model!T200+Model!U200+Model!V200+Model!W200+Model!X200+Model!Y200</f>
        <v>-59602.1536428573</v>
      </c>
      <c r="D25" s="43" t="n">
        <f aca="false">Model!Z200+Model!AA200+Model!AB200+Model!AC200+Model!AD200+Model!AE200+Model!AF200+Model!AG200+Model!AH200+Model!AI200+Model!AJ200+Model!AK200</f>
        <v>-752613.22283</v>
      </c>
      <c r="E25" s="43" t="n">
        <f aca="false">Model!AL200+Model!AM200+Model!AN200+Model!AO200+Model!AP200+Model!AQ200+Model!AR200+Model!AS200+Model!AT200+Model!AU200+Model!AV200+Model!AW200</f>
        <v>-1048773.2640866</v>
      </c>
      <c r="F25" s="43" t="n">
        <f aca="false">Model!AX200+Model!AY200+Model!AZ200+Model!BA200+Model!BB200+Model!BC200+Model!BD200+Model!BE200+Model!BF200+Model!BG200+Model!BH200+Model!BI200</f>
        <v>-1009354.52936833</v>
      </c>
      <c r="G25" s="43" t="n">
        <f aca="false">Model!BJ200+Model!BK200+Model!BL200+Model!BM200+Model!BN200+Model!BO200+Model!BP200+Model!BQ200+Model!BR200+Model!BS200+Model!BT200+Model!BU200</f>
        <v>-908529.269955699</v>
      </c>
      <c r="H25" s="43" t="n">
        <f aca="false">Model!BV200+Model!BW200+Model!BX200+Model!BY200+Model!BZ200+Model!CA200+Model!CB200+Model!CC200+Model!CD200+Model!CE200+Model!CF200+Model!CG200</f>
        <v>-761610.452354813</v>
      </c>
      <c r="I25" s="43" t="n">
        <f aca="false">Model!CH200+Model!CI200+Model!CJ200+Model!CK200+Model!CL200+Model!CM200+Model!CN200+Model!CO200+Model!CP200+Model!CQ200+Model!CR200+Model!CS200</f>
        <v>432720.92520457</v>
      </c>
      <c r="J25" s="43" t="n">
        <f aca="false">Model!CT200+Model!CU200+Model!CV200+Model!CW200+Model!CX200+Model!CY200+Model!CZ200+Model!DA200+Model!DB200+Model!DC200+Model!DD200+Model!DE200</f>
        <v>1465967.79693988</v>
      </c>
    </row>
    <row r="26" customFormat="false" ht="15" hidden="false" customHeight="true" outlineLevel="0" collapsed="false">
      <c r="A26" s="4"/>
      <c r="B26" s="14"/>
      <c r="C26" s="14"/>
      <c r="D26" s="14"/>
      <c r="E26" s="14"/>
      <c r="F26" s="14"/>
      <c r="G26" s="14"/>
      <c r="H26" s="14"/>
      <c r="I26" s="97"/>
      <c r="J26" s="97"/>
    </row>
    <row r="27" customFormat="false" ht="15" hidden="false" customHeight="true" outlineLevel="0" collapsed="false">
      <c r="A27" s="42" t="s">
        <v>217</v>
      </c>
      <c r="B27" s="43" t="n">
        <f aca="false">Model!E209+Model!F209+Model!G209+Model!H209+Model!I209+Model!J209+Model!K209+Model!L209+Model!M209+Model!B209+Model!C209+Model!D209</f>
        <v>1050330.56245691</v>
      </c>
      <c r="C27" s="43" t="n">
        <f aca="false">Model!N209+Model!O209+Model!P209+Model!Q209+Model!R209+Model!S209+Model!T209+Model!U209+Model!V209+Model!W209+Model!X209+Model!Y209</f>
        <v>1992322.21032763</v>
      </c>
      <c r="D27" s="43" t="n">
        <f aca="false">Model!Z209+Model!AA209+Model!AB209+Model!AC209+Model!AD209+Model!AE209+Model!AF209+Model!AG209+Model!AH209+Model!AI209+Model!AJ209+Model!AK209</f>
        <v>-227422.313409044</v>
      </c>
      <c r="E27" s="43" t="n">
        <f aca="false">Model!AL209+Model!AM209+Model!AN209+Model!AO209+Model!AP209+Model!AQ209+Model!AR209+Model!AS209+Model!AT209+Model!AU209+Model!AV209+Model!AW209</f>
        <v>-3097067.22025735</v>
      </c>
      <c r="F27" s="43" t="n">
        <f aca="false">Model!AX209+Model!AY209+Model!AZ209+Model!BA209+Model!BB209+Model!BC209+Model!BD209+Model!BE209+Model!BF209+Model!BG209+Model!BH209+Model!BI209</f>
        <v>-5455372.56456385</v>
      </c>
      <c r="G27" s="43" t="n">
        <f aca="false">Model!BJ209+Model!BK209+Model!BL209+Model!BM209+Model!BN209+Model!BO209+Model!BP209+Model!BQ209+Model!BR209+Model!BS209+Model!BT209+Model!BU209</f>
        <v>-7441403.83695693</v>
      </c>
      <c r="H27" s="43" t="n">
        <f aca="false">Model!BV209+Model!BW209+Model!BX209+Model!BY209+Model!BZ209+Model!CA209+Model!CB209+Model!CC209+Model!CD209+Model!CE209+Model!CF209+Model!CG209</f>
        <v>-7400222.51069607</v>
      </c>
      <c r="I27" s="43" t="n">
        <f aca="false">Model!CH209+Model!CI209+Model!CJ209+Model!CK209+Model!CL209+Model!CM209+Model!CN209+Model!CO209+Model!CP209+Model!CQ209+Model!CR209+Model!CS209</f>
        <v>-6313743.37430352</v>
      </c>
      <c r="J27" s="43" t="n">
        <f aca="false">Model!CT209+Model!CU209+Model!CV209+Model!CW209+Model!CX209+Model!CY209+Model!CZ209+Model!DA209+Model!DB209+Model!DC209+Model!DD209+Model!DE209</f>
        <v>-4727376.51653129</v>
      </c>
    </row>
    <row r="28" customFormat="false" ht="15" hidden="false" customHeight="true" outlineLevel="0" collapsed="false">
      <c r="A28" s="4"/>
      <c r="B28" s="14"/>
      <c r="C28" s="14"/>
      <c r="D28" s="14"/>
      <c r="E28" s="14"/>
      <c r="F28" s="14"/>
      <c r="G28" s="14"/>
      <c r="H28" s="14"/>
      <c r="I28" s="97"/>
      <c r="J28" s="97"/>
    </row>
    <row r="29" customFormat="false" ht="15" hidden="false" customHeight="true" outlineLevel="0" collapsed="false">
      <c r="A29" s="38" t="s">
        <v>218</v>
      </c>
      <c r="B29" s="39"/>
      <c r="C29" s="39"/>
      <c r="D29" s="39"/>
      <c r="E29" s="39"/>
      <c r="F29" s="39"/>
      <c r="G29" s="39"/>
      <c r="H29" s="39"/>
      <c r="I29" s="98"/>
      <c r="J29" s="98"/>
    </row>
    <row r="30" customFormat="false" ht="15" hidden="false" customHeight="true" outlineLevel="0" collapsed="false">
      <c r="A30" s="29" t="s">
        <v>219</v>
      </c>
      <c r="B30" s="14" t="n">
        <f aca="false">Model!E194+Model!F194+Model!G194+Model!H194+Model!I194+Model!J194+Model!K194+Model!L194+Model!M194+Model!B194+Model!C194+Model!D194</f>
        <v>-171223.12</v>
      </c>
      <c r="C30" s="14" t="n">
        <f aca="false">Model!N194+Model!O194+Model!P194+Model!Q194+Model!R194+Model!S194+Model!T194+Model!U194+Model!V194+Model!W194+Model!X194+Model!Y194</f>
        <v>-0</v>
      </c>
      <c r="D30" s="14" t="n">
        <f aca="false">Model!Z194+Model!AA194+Model!AB194+Model!AC194+Model!AD194+Model!AE194+Model!AF194+Model!AG194+Model!AH194+Model!AI194+Model!AJ194+Model!AK194</f>
        <v>-0</v>
      </c>
      <c r="E30" s="14" t="n">
        <f aca="false">Model!AL194+Model!AM194+Model!AN194+Model!AO194+Model!AP194+Model!AQ194+Model!AR194+Model!AS194+Model!AT194+Model!AU194+Model!AV194+Model!AW194</f>
        <v>-0</v>
      </c>
      <c r="F30" s="14" t="n">
        <f aca="false">Model!AX194+Model!AY194+Model!AZ194+Model!BA194+Model!BB194+Model!BC194+Model!BD194+Model!BE194+Model!BF194+Model!BG194+Model!BH194+Model!BI194</f>
        <v>-0</v>
      </c>
      <c r="G30" s="14" t="n">
        <f aca="false">Model!BJ194+Model!BK194+Model!BL194+Model!BM194+Model!BN194+Model!BO194+Model!BP194+Model!BQ194+Model!BR194+Model!BS194+Model!BT194+Model!BU194</f>
        <v>-0</v>
      </c>
      <c r="H30" s="14" t="n">
        <f aca="false">Model!BV194+Model!BW194+Model!BX194+Model!BY194+Model!BZ194+Model!CA194+Model!CB194+Model!CC194+Model!CD194+Model!CE194+Model!CF194+Model!CG194</f>
        <v>-0</v>
      </c>
      <c r="I30" s="14" t="n">
        <f aca="false">Model!CH194+Model!CI194+Model!CJ194+Model!CK194+Model!CL194+Model!CM194+Model!CN194+Model!CO194+Model!CP194+Model!CQ194+Model!CR194+Model!CS194</f>
        <v>-0</v>
      </c>
      <c r="J30" s="14" t="n">
        <f aca="false">Model!CT194+Model!CU194+Model!CV194+Model!CW194+Model!CX194+Model!CY194+Model!CZ194+Model!DA194+Model!DB194+Model!DC194+Model!DD194+Model!DE194</f>
        <v>-0</v>
      </c>
    </row>
    <row r="31" customFormat="false" ht="15" hidden="false" customHeight="true" outlineLevel="0" collapsed="false">
      <c r="A31" s="29" t="s">
        <v>220</v>
      </c>
      <c r="B31" s="14" t="n">
        <f aca="false">Model!E195+Model!F195+Model!G195+Model!H195+Model!I195+Model!J195+Model!K195+Model!L195+Model!M195+Model!B195+Model!C195+Model!D195</f>
        <v>-120000</v>
      </c>
      <c r="C31" s="14" t="n">
        <f aca="false">Model!N195+Model!O195+Model!P195+Model!Q195+Model!R195+Model!S195+Model!T195+Model!U195+Model!V195+Model!W195+Model!X195+Model!Y195</f>
        <v>-0</v>
      </c>
      <c r="D31" s="14" t="n">
        <f aca="false">Model!Z195+Model!AA195+Model!AB195+Model!AC195+Model!AD195+Model!AE195+Model!AF195+Model!AG195+Model!AH195+Model!AI195+Model!AJ195+Model!AK195</f>
        <v>-0</v>
      </c>
      <c r="E31" s="14" t="n">
        <f aca="false">Model!AL195+Model!AM195+Model!AN195+Model!AO195+Model!AP195+Model!AQ195+Model!AR195+Model!AS195+Model!AT195+Model!AU195+Model!AV195+Model!AW195</f>
        <v>-0</v>
      </c>
      <c r="F31" s="14" t="n">
        <f aca="false">Model!AX195+Model!AY195+Model!AZ195+Model!BA195+Model!BB195+Model!BC195+Model!BD195+Model!BE195+Model!BF195+Model!BG195+Model!BH195+Model!BI195</f>
        <v>-0</v>
      </c>
      <c r="G31" s="14" t="n">
        <f aca="false">Model!BJ195+Model!BK195+Model!BL195+Model!BM195+Model!BN195+Model!BO195+Model!BP195+Model!BQ195+Model!BR195+Model!BS195+Model!BT195+Model!BU195</f>
        <v>-0</v>
      </c>
      <c r="H31" s="14" t="n">
        <f aca="false">Model!BV195+Model!BW195+Model!BX195+Model!BY195+Model!BZ195+Model!CA195+Model!CB195+Model!CC195+Model!CD195+Model!CE195+Model!CF195+Model!CG195</f>
        <v>-0</v>
      </c>
      <c r="I31" s="14" t="n">
        <f aca="false">Model!CH195+Model!CI195+Model!CJ195+Model!CK195+Model!CL195+Model!CM195+Model!CN195+Model!CO195+Model!CP195+Model!CQ195+Model!CR195+Model!CS195</f>
        <v>-0</v>
      </c>
      <c r="J31" s="14" t="n">
        <f aca="false">Model!CT195+Model!CU195+Model!CV195+Model!CW195+Model!CX195+Model!CY195+Model!CZ195+Model!DA195+Model!DB195+Model!DC195+Model!DD195+Model!DE195</f>
        <v>-0</v>
      </c>
    </row>
    <row r="32" customFormat="false" ht="15" hidden="false" customHeight="true" outlineLevel="0" collapsed="false">
      <c r="A32" s="29" t="s">
        <v>221</v>
      </c>
      <c r="B32" s="14" t="n">
        <f aca="false">Model!E196+Model!F196+Model!G196+Model!H196+Model!I196+Model!J196+Model!K196+Model!L196+Model!M196+Model!B196+Model!C196+Model!D196</f>
        <v>0</v>
      </c>
      <c r="C32" s="14" t="n">
        <f aca="false">Model!N196+Model!O196+Model!P196+Model!Q196+Model!R196+Model!S196+Model!T196+Model!U196+Model!V196+Model!W196+Model!X196+Model!Y196</f>
        <v>-0</v>
      </c>
      <c r="D32" s="14" t="n">
        <f aca="false">Model!Z196+Model!AA196+Model!AB196+Model!AC196+Model!AD196+Model!AE196+Model!AF196+Model!AG196+Model!AH196+Model!AI196+Model!AJ196+Model!AK196</f>
        <v>-0</v>
      </c>
      <c r="E32" s="14" t="n">
        <f aca="false">Model!AL196+Model!AM196+Model!AN196+Model!AO196+Model!AP196+Model!AQ196+Model!AR196+Model!AS196+Model!AT196+Model!AU196+Model!AV196+Model!AW196</f>
        <v>-163365</v>
      </c>
      <c r="F32" s="14" t="n">
        <f aca="false">Model!AX196+Model!AY196+Model!AZ196+Model!BA196+Model!BB196+Model!BC196+Model!BD196+Model!BE196+Model!BF196+Model!BG196+Model!BH196+Model!BI196</f>
        <v>-281718</v>
      </c>
      <c r="G32" s="14" t="n">
        <f aca="false">Model!BJ196+Model!BK196+Model!BL196+Model!BM196+Model!BN196+Model!BO196+Model!BP196+Model!BQ196+Model!BR196+Model!BS196+Model!BT196+Model!BU196</f>
        <v>-132864.65</v>
      </c>
      <c r="H32" s="14" t="n">
        <f aca="false">Model!BV196+Model!BW196+Model!BX196+Model!BY196+Model!BZ196+Model!CA196+Model!CB196+Model!CC196+Model!CD196+Model!CE196+Model!CF196+Model!CG196</f>
        <v>-0</v>
      </c>
      <c r="I32" s="14" t="n">
        <f aca="false">Model!CH196+Model!CI196+Model!CJ196+Model!CK196+Model!CL196+Model!CM196+Model!CN196+Model!CO196+Model!CP196+Model!CQ196+Model!CR196+Model!CS196</f>
        <v>-0</v>
      </c>
      <c r="J32" s="14" t="n">
        <f aca="false">Model!CT196+Model!CU196+Model!CV196+Model!CW196+Model!CX196+Model!CY196+Model!CZ196+Model!DA196+Model!DB196+Model!DC196+Model!DD196+Model!DE196</f>
        <v>-0</v>
      </c>
    </row>
    <row r="33" customFormat="false" ht="15" hidden="false" customHeight="true" outlineLevel="0" collapsed="false">
      <c r="A33" s="29" t="s">
        <v>222</v>
      </c>
      <c r="B33" s="14" t="n">
        <f aca="false">Model!E197+Model!F197+Model!G197+Model!H197+Model!I197+Model!J197+Model!K197+Model!L197+Model!M197+Model!B197+Model!C197+Model!D197</f>
        <v>0</v>
      </c>
      <c r="C33" s="14" t="n">
        <f aca="false">Model!N197+Model!O197+Model!P197+Model!Q197+Model!R197+Model!S197+Model!T197+Model!U197+Model!V197+Model!W197+Model!X197+Model!Y197</f>
        <v>-0</v>
      </c>
      <c r="D33" s="14" t="n">
        <f aca="false">Model!Z197+Model!AA197+Model!AB197+Model!AC197+Model!AD197+Model!AE197+Model!AF197+Model!AG197+Model!AH197+Model!AI197+Model!AJ197+Model!AK197</f>
        <v>-0</v>
      </c>
      <c r="E33" s="14" t="n">
        <f aca="false">Model!AL197+Model!AM197+Model!AN197+Model!AO197+Model!AP197+Model!AQ197+Model!AR197+Model!AS197+Model!AT197+Model!AU197+Model!AV197+Model!AW197</f>
        <v>-0</v>
      </c>
      <c r="F33" s="14" t="n">
        <f aca="false">Model!AX197+Model!AY197+Model!AZ197+Model!BA197+Model!BB197+Model!BC197+Model!BD197+Model!BE197+Model!BF197+Model!BG197+Model!BH197+Model!BI197</f>
        <v>-995239</v>
      </c>
      <c r="G33" s="14" t="n">
        <f aca="false">Model!BJ197+Model!BK197+Model!BL197+Model!BM197+Model!BN197+Model!BO197+Model!BP197+Model!BQ197+Model!BR197+Model!BS197+Model!BT197+Model!BU197</f>
        <v>-292683</v>
      </c>
      <c r="H33" s="14" t="n">
        <f aca="false">Model!BV197+Model!BW197+Model!BX197+Model!BY197+Model!BZ197+Model!CA197+Model!CB197+Model!CC197+Model!CD197+Model!CE197+Model!CF197+Model!CG197</f>
        <v>-312005</v>
      </c>
      <c r="I33" s="14" t="n">
        <f aca="false">Model!CH197+Model!CI197+Model!CJ197+Model!CK197+Model!CL197+Model!CM197+Model!CN197+Model!CO197+Model!CP197+Model!CQ197+Model!CR197+Model!CS197</f>
        <v>-74753.9733935208</v>
      </c>
      <c r="J33" s="14" t="n">
        <f aca="false">Model!CT197+Model!CU197+Model!CV197+Model!CW197+Model!CX197+Model!CY197+Model!CZ197+Model!DA197+Model!DB197+Model!DC197+Model!DD197+Model!DE197</f>
        <v>-0</v>
      </c>
    </row>
    <row r="34" customFormat="false" ht="15" hidden="false" customHeight="true" outlineLevel="0" collapsed="false">
      <c r="A34" s="29" t="s">
        <v>223</v>
      </c>
      <c r="B34" s="14" t="n">
        <f aca="false">Model!E198+Model!F198+Model!G198+Model!H198+Model!I198+Model!J198+Model!K198+Model!L198+Model!M198+Model!B198+Model!C198+Model!D198</f>
        <v>0</v>
      </c>
      <c r="C34" s="14" t="n">
        <f aca="false">Model!N198+Model!O198+Model!P198+Model!Q198+Model!R198+Model!S198+Model!T198+Model!U198+Model!V198+Model!W198+Model!X198+Model!Y198</f>
        <v>-0</v>
      </c>
      <c r="D34" s="14" t="n">
        <f aca="false">Model!Z198+Model!AA198+Model!AB198+Model!AC198+Model!AD198+Model!AE198+Model!AF198+Model!AG198+Model!AH198+Model!AI198+Model!AJ198+Model!AK198</f>
        <v>-0</v>
      </c>
      <c r="E34" s="14" t="n">
        <f aca="false">Model!AL198+Model!AM198+Model!AN198+Model!AO198+Model!AP198+Model!AQ198+Model!AR198+Model!AS198+Model!AT198+Model!AU198+Model!AV198+Model!AW198</f>
        <v>-0</v>
      </c>
      <c r="F34" s="14" t="n">
        <f aca="false">Model!AX198+Model!AY198+Model!AZ198+Model!BA198+Model!BB198+Model!BC198+Model!BD198+Model!BE198+Model!BF198+Model!BG198+Model!BH198+Model!BI198</f>
        <v>-0</v>
      </c>
      <c r="G34" s="14" t="n">
        <f aca="false">Model!BJ198+Model!BK198+Model!BL198+Model!BM198+Model!BN198+Model!BO198+Model!BP198+Model!BQ198+Model!BR198+Model!BS198+Model!BT198+Model!BU198</f>
        <v>-0</v>
      </c>
      <c r="H34" s="14" t="n">
        <f aca="false">Model!BV198+Model!BW198+Model!BX198+Model!BY198+Model!BZ198+Model!CA198+Model!CB198+Model!CC198+Model!CD198+Model!CE198+Model!CF198+Model!CG198</f>
        <v>-219466</v>
      </c>
      <c r="I34" s="14" t="n">
        <f aca="false">Model!CH198+Model!CI198+Model!CJ198+Model!CK198+Model!CL198+Model!CM198+Model!CN198+Model!CO198+Model!CP198+Model!CQ198+Model!CR198+Model!CS198</f>
        <v>-731550</v>
      </c>
      <c r="J34" s="14" t="n">
        <f aca="false">Model!CT198+Model!CU198+Model!CV198+Model!CW198+Model!CX198+Model!CY198+Model!CZ198+Model!DA198+Model!DB198+Model!DC198+Model!DD198+Model!DE198</f>
        <v>-236911.848936407</v>
      </c>
    </row>
    <row r="35" customFormat="false" ht="15" hidden="false" customHeight="true" outlineLevel="0" collapsed="false">
      <c r="A35" s="4"/>
      <c r="B35" s="14"/>
      <c r="C35" s="14"/>
      <c r="D35" s="14"/>
      <c r="E35" s="14"/>
      <c r="F35" s="14"/>
      <c r="G35" s="14"/>
      <c r="H35" s="14"/>
      <c r="I35" s="97"/>
      <c r="J35" s="97"/>
    </row>
    <row r="36" customFormat="false" ht="15" hidden="false" customHeight="true" outlineLevel="0" collapsed="false">
      <c r="A36" s="38" t="s">
        <v>224</v>
      </c>
      <c r="B36" s="39"/>
      <c r="C36" s="39"/>
      <c r="D36" s="39"/>
      <c r="E36" s="39"/>
      <c r="F36" s="39"/>
      <c r="G36" s="39"/>
      <c r="H36" s="39"/>
      <c r="I36" s="98"/>
      <c r="J36" s="98"/>
    </row>
    <row r="37" customFormat="false" ht="15" hidden="false" customHeight="true" outlineLevel="0" collapsed="false">
      <c r="A37" s="29" t="s">
        <v>225</v>
      </c>
      <c r="B37" s="14" t="n">
        <f aca="false">Model!E217+Model!F217+Model!G217+Model!H217+Model!I217+Model!J217+Model!K217+Model!L217+Model!M217+Model!B217+Model!C217+Model!D217</f>
        <v>0</v>
      </c>
      <c r="C37" s="14" t="n">
        <f aca="false">Model!N217+Model!O217+Model!P217+Model!Q217+Model!R217+Model!S217+Model!T217+Model!U217+Model!V217+Model!W217+Model!X217+Model!Y217</f>
        <v>-1344000</v>
      </c>
      <c r="D37" s="14" t="n">
        <f aca="false">Model!Z217+Model!AA217+Model!AB217+Model!AC217+Model!AD217+Model!AE217+Model!AF217+Model!AG217+Model!AH217+Model!AI217+Model!AJ217+Model!AK217</f>
        <v>-651981.430278598</v>
      </c>
      <c r="E37" s="14" t="n">
        <f aca="false">Model!AL217+Model!AM217+Model!AN217+Model!AO217+Model!AP217+Model!AQ217+Model!AR217+Model!AS217+Model!AT217+Model!AU217+Model!AV217+Model!AW217</f>
        <v>0</v>
      </c>
      <c r="F37" s="14" t="n">
        <f aca="false">Model!AX217+Model!AY217+Model!AZ217+Model!BA217+Model!BB217+Model!BC217+Model!BD217+Model!BE217+Model!BF217+Model!BG217+Model!BH217+Model!BI217</f>
        <v>0</v>
      </c>
      <c r="G37" s="14" t="n">
        <f aca="false">Model!BJ217+Model!BK217+Model!BL217+Model!BM217+Model!BN217+Model!BO217+Model!BP217+Model!BQ217+Model!BR217+Model!BS217+Model!BT217+Model!BU217</f>
        <v>0</v>
      </c>
      <c r="H37" s="14" t="n">
        <f aca="false">Model!BV217+Model!BW217+Model!BX217+Model!BY217+Model!BZ217+Model!CA217+Model!CB217+Model!CC217+Model!CD217+Model!CE217+Model!CF217+Model!CG217</f>
        <v>0</v>
      </c>
      <c r="I37" s="14" t="n">
        <f aca="false">Model!CH217+Model!CI217+Model!CJ217+Model!CK217+Model!CL217+Model!CM217+Model!CN217+Model!CO217+Model!CP217+Model!CQ217+Model!CR217+Model!CS217</f>
        <v>0</v>
      </c>
      <c r="J37" s="14" t="n">
        <f aca="false">Model!CT217+Model!CU217+Model!CV217+Model!CW217+Model!CX217+Model!CY217+Model!CZ217+Model!DA217+Model!DB217+Model!DC217+Model!DD217+Model!DE217</f>
        <v>0</v>
      </c>
    </row>
    <row r="38" customFormat="false" ht="15" hidden="false" customHeight="true" outlineLevel="0" collapsed="false">
      <c r="A38" s="29" t="s">
        <v>226</v>
      </c>
      <c r="B38" s="14" t="n">
        <f aca="false">Model!M218</f>
        <v>1804127.58143555</v>
      </c>
      <c r="C38" s="14" t="n">
        <f aca="false">Model!Y218</f>
        <v>633307.759294967</v>
      </c>
      <c r="D38" s="14" t="n">
        <f aca="false">Model!AK218</f>
        <v>0</v>
      </c>
      <c r="E38" s="14" t="n">
        <f aca="false">Model!AW218</f>
        <v>0</v>
      </c>
      <c r="F38" s="14" t="n">
        <f aca="false">Model!BI218</f>
        <v>0</v>
      </c>
      <c r="G38" s="14" t="n">
        <f aca="false">Model!BU218</f>
        <v>0</v>
      </c>
      <c r="H38" s="14" t="n">
        <f aca="false">Model!CG218</f>
        <v>0</v>
      </c>
      <c r="I38" s="14" t="n">
        <f aca="false">Model!CS218</f>
        <v>0</v>
      </c>
      <c r="J38" s="14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4" t="n">
        <f aca="false">Model!E223+Model!F223+Model!G223+Model!H223+Model!I223+Model!J223+Model!K223+Model!L223+Model!M223+Model!B223+Model!C223+Model!D223</f>
        <v>0</v>
      </c>
      <c r="C39" s="14" t="n">
        <f aca="false">Model!N223+Model!O223+Model!P223+Model!Q223+Model!R223+Model!S223+Model!T223+Model!U223+Model!V223+Model!W223+Model!X223+Model!Y223</f>
        <v>-250000</v>
      </c>
      <c r="D39" s="14" t="n">
        <f aca="false">Model!Z223+Model!AA223+Model!AB223+Model!AC223+Model!AD223+Model!AE223+Model!AF223+Model!AG223+Model!AH223+Model!AI223+Model!AJ223+Model!AK223</f>
        <v>-250000</v>
      </c>
      <c r="E39" s="14" t="n">
        <f aca="false">Model!AL223+Model!AM223+Model!AN223+Model!AO223+Model!AP223+Model!AQ223+Model!AR223+Model!AS223+Model!AT223+Model!AU223+Model!AV223+Model!AW223</f>
        <v>0</v>
      </c>
      <c r="F39" s="14" t="n">
        <f aca="false">Model!AX223+Model!AY223+Model!AZ223+Model!BA223+Model!BB223+Model!BC223+Model!BD223+Model!BE223+Model!BF223+Model!BG223+Model!BH223+Model!BI223</f>
        <v>0</v>
      </c>
      <c r="G39" s="14" t="n">
        <f aca="false">Model!BJ223+Model!BK223+Model!BL223+Model!BM223+Model!BN223+Model!BO223+Model!BP223+Model!BQ223+Model!BR223+Model!BS223+Model!BT223+Model!BU223</f>
        <v>0</v>
      </c>
      <c r="H39" s="14" t="n">
        <f aca="false">Model!BV223+Model!BW223+Model!BX223+Model!BY223+Model!BZ223+Model!CA223+Model!CB223+Model!CC223+Model!CD223+Model!CE223+Model!CF223+Model!CG223</f>
        <v>0</v>
      </c>
      <c r="I39" s="14" t="n">
        <f aca="false">Model!CH223+Model!CI223+Model!CJ223+Model!CK223+Model!CL223+Model!CM223+Model!CN223+Model!CO223+Model!CP223+Model!CQ223+Model!CR223+Model!CS223</f>
        <v>0</v>
      </c>
      <c r="J39" s="14" t="n">
        <f aca="false">Model!CT223+Model!CU223+Model!CV223+Model!CW223+Model!CX223+Model!CY223+Model!CZ223+Model!DA223+Model!DB223+Model!DC223+Model!DD223+Model!DE223</f>
        <v>0</v>
      </c>
    </row>
    <row r="40" customFormat="false" ht="15" hidden="false" customHeight="true" outlineLevel="0" collapsed="false">
      <c r="A40" s="29" t="s">
        <v>228</v>
      </c>
      <c r="B40" s="14" t="n">
        <f aca="false">Model!M224</f>
        <v>1000000</v>
      </c>
      <c r="C40" s="14" t="n">
        <f aca="false">Model!Y224</f>
        <v>750000</v>
      </c>
      <c r="D40" s="14" t="n">
        <f aca="false">Model!AK224</f>
        <v>500000</v>
      </c>
      <c r="E40" s="14" t="n">
        <f aca="false">Model!AW224</f>
        <v>500000</v>
      </c>
      <c r="F40" s="14" t="n">
        <f aca="false">Model!BI224</f>
        <v>500000</v>
      </c>
      <c r="G40" s="14" t="n">
        <f aca="false">Model!BU224</f>
        <v>500000</v>
      </c>
      <c r="H40" s="14" t="n">
        <f aca="false">Model!CG224</f>
        <v>500000</v>
      </c>
      <c r="I40" s="14" t="n">
        <f aca="false">Model!CS224</f>
        <v>500000</v>
      </c>
      <c r="J40" s="14" t="n">
        <f aca="false">Model!DE224</f>
        <v>500000</v>
      </c>
    </row>
    <row r="41" customFormat="false" ht="15" hidden="false" customHeight="true" outlineLevel="0" collapsed="false">
      <c r="A41" s="29" t="s">
        <v>229</v>
      </c>
      <c r="B41" s="14" t="n">
        <f aca="false">Model!E277+Model!F277+Model!G277+Model!H277+Model!I277+Model!J277+Model!K277+Model!L277+Model!M277+Model!B277+Model!C277+Model!D277</f>
        <v>0</v>
      </c>
      <c r="C41" s="14" t="n">
        <f aca="false">Model!N277+Model!O277+Model!P277+Model!Q277+Model!R277+Model!S277+Model!T277+Model!U277+Model!V277+Model!W277+Model!X277+Model!Y277</f>
        <v>0</v>
      </c>
      <c r="D41" s="14" t="n">
        <f aca="false">Model!Z277+Model!AA277+Model!AB277+Model!AC277+Model!AD277+Model!AE277+Model!AF277+Model!AG277+Model!AH277+Model!AI277+Model!AJ277+Model!AK277</f>
        <v>0</v>
      </c>
      <c r="E41" s="14" t="n">
        <f aca="false">Model!AL277+Model!AM277+Model!AN277+Model!AO277+Model!AP277+Model!AQ277+Model!AR277+Model!AS277+Model!AT277+Model!AU277+Model!AV277+Model!AW277</f>
        <v>0</v>
      </c>
      <c r="F41" s="14" t="n">
        <f aca="false">Model!AX277+Model!AY277+Model!AZ277+Model!BA277+Model!BB277+Model!BC277+Model!BD277+Model!BE277+Model!BF277+Model!BG277+Model!BH277+Model!BI277</f>
        <v>0</v>
      </c>
      <c r="G41" s="14" t="n">
        <f aca="false">Model!BJ277+Model!BK277+Model!BL277+Model!BM277+Model!BN277+Model!BO277+Model!BP277+Model!BQ277+Model!BR277+Model!BS277+Model!BT277+Model!BU277</f>
        <v>0</v>
      </c>
      <c r="H41" s="14" t="n">
        <f aca="false">Model!BV277+Model!BW277+Model!BX277+Model!BY277+Model!BZ277+Model!CA277+Model!CB277+Model!CC277+Model!CD277+Model!CE277+Model!CF277+Model!CG277</f>
        <v>0</v>
      </c>
      <c r="I41" s="14" t="n">
        <f aca="false">Model!CH277+Model!CI277+Model!CJ277+Model!CK277+Model!CL277+Model!CM277+Model!CN277+Model!CO277+Model!CP277+Model!CQ277+Model!CR277+Model!CS277</f>
        <v>0</v>
      </c>
      <c r="J41" s="14" t="n">
        <f aca="false">Model!CT277+Model!CU277+Model!CV277+Model!CW277+Model!CX277+Model!CY277+Model!CZ277+Model!DA277+Model!DB277+Model!DC277+Model!DD277+Model!DE277</f>
        <v>0</v>
      </c>
    </row>
    <row r="42" customFormat="false" ht="15" hidden="false" customHeight="true" outlineLevel="0" collapsed="false">
      <c r="A42" s="29" t="s">
        <v>230</v>
      </c>
      <c r="B42" s="14" t="n">
        <f aca="false">Model!M231+Model!M236+Model!M241+Model!M246</f>
        <v>2378399.92018311</v>
      </c>
      <c r="C42" s="14" t="n">
        <f aca="false">Model!Y231+Model!Y236+Model!Y241+Model!Y246</f>
        <v>1714451.09866009</v>
      </c>
      <c r="D42" s="14" t="n">
        <f aca="false">Model!AK231+Model!AK236+Model!AK241+Model!AK246</f>
        <v>1035128.51554915</v>
      </c>
      <c r="E42" s="14" t="n">
        <f aca="false">Model!AW231+Model!AW236+Model!AW241+Model!AW246</f>
        <v>1199352.08415979</v>
      </c>
      <c r="F42" s="14" t="n">
        <f aca="false">Model!BI231+Model!BI236+Model!BI241+Model!BI246</f>
        <v>975331.495449082</v>
      </c>
      <c r="G42" s="14" t="n">
        <f aca="false">Model!BU231+Model!BU236+Model!BU241+Model!BU246</f>
        <v>820735.28594806</v>
      </c>
      <c r="H42" s="14" t="n">
        <f aca="false">Model!CG231+Model!CG236+Model!CG241+Model!CG246</f>
        <v>621470.381107174</v>
      </c>
      <c r="I42" s="14" t="n">
        <f aca="false">Model!CS231+Model!CS236+Model!CS241+Model!CS246</f>
        <v>233637.0833122</v>
      </c>
      <c r="J42" s="14" t="n">
        <f aca="false">Model!DE231+Model!DE236+Model!DE241+Model!DE246</f>
        <v>0</v>
      </c>
    </row>
    <row r="43" customFormat="false" ht="15" hidden="false" customHeight="true" outlineLevel="0" collapsed="false">
      <c r="A43" s="4"/>
      <c r="B43" s="14"/>
      <c r="C43" s="14"/>
      <c r="D43" s="14"/>
      <c r="E43" s="14"/>
      <c r="F43" s="14"/>
      <c r="G43" s="14"/>
      <c r="H43" s="14"/>
      <c r="I43" s="97"/>
      <c r="J43" s="97"/>
    </row>
    <row r="44" customFormat="false" ht="15" hidden="false" customHeight="true" outlineLevel="0" collapsed="false">
      <c r="A44" s="29" t="s">
        <v>231</v>
      </c>
      <c r="B44" s="14" t="n">
        <f aca="false">Model!M257</f>
        <v>86032873.6923599</v>
      </c>
      <c r="C44" s="14" t="n">
        <f aca="false">Model!Y257</f>
        <v>52993542.7870939</v>
      </c>
      <c r="D44" s="14" t="n">
        <f aca="false">Model!AK257</f>
        <v>45500358.0697596</v>
      </c>
      <c r="E44" s="14" t="n">
        <f aca="false">Model!AW257</f>
        <v>13258584.501624</v>
      </c>
      <c r="F44" s="14" t="n">
        <f aca="false">Model!BI257</f>
        <v>0</v>
      </c>
      <c r="G44" s="14" t="n">
        <f aca="false">Model!BU257</f>
        <v>0</v>
      </c>
      <c r="H44" s="14" t="n">
        <f aca="false">Model!CG257</f>
        <v>0</v>
      </c>
      <c r="I44" s="14" t="n">
        <f aca="false">Model!CS257</f>
        <v>0</v>
      </c>
      <c r="J44" s="14" t="n">
        <f aca="false">Model!DE257</f>
        <v>0</v>
      </c>
    </row>
    <row r="45" customFormat="false" ht="15" hidden="false" customHeight="true" outlineLevel="0" collapsed="false">
      <c r="A45" s="4"/>
      <c r="B45" s="14"/>
      <c r="C45" s="14"/>
      <c r="D45" s="14"/>
      <c r="E45" s="14"/>
      <c r="F45" s="14"/>
      <c r="G45" s="14"/>
      <c r="H45" s="14"/>
      <c r="I45" s="97"/>
      <c r="J45" s="97"/>
    </row>
    <row r="46" customFormat="false" ht="15" hidden="false" customHeight="true" outlineLevel="0" collapsed="false">
      <c r="A46" s="99" t="s">
        <v>180</v>
      </c>
      <c r="B46" s="100" t="n">
        <f aca="false">Model!M270</f>
        <v>1588066.22189651</v>
      </c>
      <c r="C46" s="100" t="n">
        <f aca="false">Model!Y270</f>
        <v>3689305.96643115</v>
      </c>
      <c r="D46" s="100" t="n">
        <f aca="false">Model!AK270</f>
        <v>4274892.38174245</v>
      </c>
      <c r="E46" s="100" t="n">
        <f aca="false">Model!AW270</f>
        <v>3019409.68924575</v>
      </c>
      <c r="F46" s="100" t="n">
        <f aca="false">Model!BI270</f>
        <v>-1119172.04625611</v>
      </c>
      <c r="G46" s="100" t="n">
        <f aca="false">Model!BU270</f>
        <v>-7652046.61325735</v>
      </c>
      <c r="H46" s="100" t="n">
        <f aca="false">Model!CG270</f>
        <v>-14290658.6715986</v>
      </c>
      <c r="I46" s="100" t="n">
        <f aca="false">Model!CS270</f>
        <v>-21037122.9711067</v>
      </c>
      <c r="J46" s="100" t="n">
        <f aca="false">Model!DE270</f>
        <v>-27230467.2845779</v>
      </c>
    </row>
    <row r="47" customFormat="false" ht="15" hidden="false" customHeight="true" outlineLevel="0" collapsed="false">
      <c r="A47" s="99" t="s">
        <v>187</v>
      </c>
      <c r="B47" s="100" t="n">
        <f aca="false">Model!M278</f>
        <v>211768.977142857</v>
      </c>
      <c r="C47" s="100" t="n">
        <f aca="false">Model!Y278</f>
        <v>-1441833.1765</v>
      </c>
      <c r="D47" s="100" t="n">
        <f aca="false">Model!AK278</f>
        <v>-3096427.8296086</v>
      </c>
      <c r="E47" s="100" t="n">
        <f aca="false">Model!AW278</f>
        <v>-4145201.0936952</v>
      </c>
      <c r="F47" s="100" t="n">
        <f aca="false">Model!BI278</f>
        <v>-5154555.62306353</v>
      </c>
      <c r="G47" s="100" t="n">
        <f aca="false">Model!BU278</f>
        <v>-6063084.89301923</v>
      </c>
      <c r="H47" s="100" t="n">
        <f aca="false">Model!CG278</f>
        <v>-6824695.34537404</v>
      </c>
      <c r="I47" s="100" t="n">
        <f aca="false">Model!CS278</f>
        <v>-6391974.42016947</v>
      </c>
      <c r="J47" s="100" t="n">
        <f aca="false">Model!DE278</f>
        <v>-4926006.62322958</v>
      </c>
    </row>
    <row r="48" customFormat="false" ht="15" hidden="false" customHeight="true" outlineLevel="0" collapsed="false">
      <c r="A48" s="99" t="s">
        <v>190</v>
      </c>
      <c r="B48" s="100" t="n">
        <f aca="false">Model!E282+Model!F282+Model!G282+Model!H282+Model!I282+Model!J282+Model!K282+Model!L282+Model!M282+Model!B282+Model!C282+Model!D282</f>
        <v>0</v>
      </c>
      <c r="C48" s="100" t="n">
        <f aca="false">Model!N282+Model!O282+Model!P282+Model!Q282+Model!R282+Model!S282+Model!T282+Model!U282+Model!V282+Model!W282+Model!X282+Model!Y282</f>
        <v>-315099.168737073</v>
      </c>
      <c r="D48" s="100" t="n">
        <f aca="false">Model!Z282+Model!AA282+Model!AB282+Model!AC282+Model!AD282+Model!AE282+Model!AF282+Model!AG282+Model!AH282+Model!AI282+Model!AJ282+Model!AK282</f>
        <v>-597696.66309829</v>
      </c>
      <c r="E48" s="100" t="n">
        <f aca="false">Model!AL282+Model!AM282+Model!AN282+Model!AO282+Model!AP282+Model!AQ282+Model!AR282+Model!AS282+Model!AT282+Model!AU282+Model!AV282+Model!AW282</f>
        <v>0</v>
      </c>
      <c r="F48" s="100" t="n">
        <f aca="false">Model!AX282+Model!AY282+Model!AZ282+Model!BA282+Model!BB282+Model!BC282+Model!BD282+Model!BE282+Model!BF282+Model!BG282+Model!BH282+Model!BI282</f>
        <v>0</v>
      </c>
      <c r="G48" s="100" t="n">
        <f aca="false">Model!BJ282+Model!BK282+Model!BL282+Model!BM282+Model!BN282+Model!BO282+Model!BP282+Model!BQ282+Model!BR282+Model!BS282+Model!BT282+Model!BU282</f>
        <v>0</v>
      </c>
      <c r="H48" s="100" t="n">
        <f aca="false">Model!BV282+Model!BW282+Model!BX282+Model!BY282+Model!BZ282+Model!CA282+Model!CB282+Model!CC282+Model!CD282+Model!CE282+Model!CF282+Model!CG282</f>
        <v>0</v>
      </c>
      <c r="I48" s="100" t="n">
        <f aca="false">Model!CH282+Model!CI282+Model!CJ282+Model!CK282+Model!CL282+Model!CM282+Model!CN282+Model!CO282+Model!CP282+Model!CQ282+Model!CR282+Model!CS282</f>
        <v>0</v>
      </c>
      <c r="J48" s="100" t="n">
        <f aca="false">Model!CT282+Model!CU282+Model!CV282+Model!CW282+Model!CX282+Model!CY282+Model!CZ282+Model!DA282+Model!DB282+Model!DC282+Model!DD282+Model!DE282</f>
        <v>0</v>
      </c>
    </row>
    <row r="49" customFormat="false" ht="15" hidden="false" customHeight="true" outlineLevel="0" collapsed="false">
      <c r="A49" s="31" t="s">
        <v>191</v>
      </c>
      <c r="B49" s="101" t="n">
        <f aca="false">Model!M283</f>
        <v>1571049.35926167</v>
      </c>
      <c r="C49" s="101" t="n">
        <f aca="false">Model!Y283</f>
        <v>2120984.38408891</v>
      </c>
      <c r="D49" s="101" t="n">
        <f aca="false">Model!AK283</f>
        <v>1178864.80160189</v>
      </c>
      <c r="E49" s="101" t="n">
        <f aca="false">Model!AW283</f>
        <v>-746183.797280717</v>
      </c>
      <c r="F49" s="101" t="n">
        <f aca="false">Model!BI283</f>
        <v>-5735832.38467257</v>
      </c>
      <c r="G49" s="101" t="n">
        <f aca="false">Model!BU283</f>
        <v>-13168554.9826032</v>
      </c>
      <c r="H49" s="101" t="n">
        <f aca="false">Model!CG283</f>
        <v>-20559922.6294925</v>
      </c>
      <c r="I49" s="101" t="n">
        <f aca="false">Model!CS283</f>
        <v>-26864634.0427131</v>
      </c>
      <c r="J49" s="101" t="n">
        <f aca="false">Model!DE283</f>
        <v>-31638330.9521637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E1"/>
  </mergeCells>
  <conditionalFormatting sqref="B3:J48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2"/>
    <col collapsed="false" customWidth="true" hidden="false" outlineLevel="0" max="3" min="3" style="1" width="58"/>
  </cols>
  <sheetData>
    <row r="1" customFormat="false" ht="15.75" hidden="false" customHeight="true" outlineLevel="0" collapsed="false">
      <c r="A1" s="114" t="s">
        <v>900</v>
      </c>
    </row>
    <row r="2" customFormat="false" ht="15" hidden="false" customHeight="true" outlineLevel="0" collapsed="false">
      <c r="A2" s="115" t="s">
        <v>901</v>
      </c>
    </row>
    <row r="4" customFormat="false" ht="15" hidden="false" customHeight="true" outlineLevel="0" collapsed="false">
      <c r="A4" s="38" t="s">
        <v>902</v>
      </c>
      <c r="B4" s="38"/>
      <c r="C4" s="38"/>
    </row>
    <row r="5" customFormat="false" ht="15" hidden="false" customHeight="true" outlineLevel="0" collapsed="false">
      <c r="A5" s="175" t="s">
        <v>903</v>
      </c>
      <c r="B5" s="176" t="n">
        <v>180000</v>
      </c>
      <c r="C5" s="115" t="s">
        <v>904</v>
      </c>
    </row>
    <row r="6" customFormat="false" ht="15" hidden="false" customHeight="true" outlineLevel="0" collapsed="false">
      <c r="A6" s="175" t="s">
        <v>905</v>
      </c>
      <c r="B6" s="352" t="n">
        <v>1</v>
      </c>
      <c r="C6" s="115" t="s">
        <v>284</v>
      </c>
    </row>
    <row r="7" customFormat="false" ht="15" hidden="false" customHeight="true" outlineLevel="0" collapsed="false">
      <c r="A7" s="175" t="s">
        <v>906</v>
      </c>
      <c r="B7" s="352" t="n">
        <v>7</v>
      </c>
      <c r="C7" s="115" t="s">
        <v>907</v>
      </c>
    </row>
    <row r="8" customFormat="false" ht="15" hidden="false" customHeight="true" outlineLevel="0" collapsed="false">
      <c r="A8" s="175" t="s">
        <v>908</v>
      </c>
      <c r="B8" s="349" t="n">
        <f aca="false">B5/B7</f>
        <v>25714.2857142857</v>
      </c>
      <c r="C8" s="115" t="s">
        <v>909</v>
      </c>
    </row>
    <row r="9" customFormat="false" ht="15" hidden="false" customHeight="true" outlineLevel="0" collapsed="false">
      <c r="A9" s="175" t="s">
        <v>910</v>
      </c>
      <c r="B9" s="176" t="n">
        <v>2500</v>
      </c>
      <c r="C9" s="115" t="s">
        <v>911</v>
      </c>
    </row>
    <row r="10" customFormat="false" ht="15" hidden="false" customHeight="true" outlineLevel="0" collapsed="false">
      <c r="A10" s="175" t="s">
        <v>912</v>
      </c>
      <c r="B10" s="352" t="n">
        <v>9</v>
      </c>
      <c r="C10" s="115" t="s">
        <v>913</v>
      </c>
    </row>
    <row r="11" customFormat="false" ht="15" hidden="false" customHeight="true" outlineLevel="0" collapsed="false">
      <c r="A11" s="175" t="s">
        <v>914</v>
      </c>
      <c r="B11" s="352" t="n">
        <v>30</v>
      </c>
      <c r="C11" s="115" t="s">
        <v>915</v>
      </c>
    </row>
    <row r="12" customFormat="false" ht="15" hidden="false" customHeight="true" outlineLevel="0" collapsed="false">
      <c r="A12" s="175" t="s">
        <v>916</v>
      </c>
      <c r="B12" s="176" t="n">
        <v>2694</v>
      </c>
      <c r="C12" s="115" t="s">
        <v>917</v>
      </c>
    </row>
    <row r="13" customFormat="false" ht="15" hidden="false" customHeight="true" outlineLevel="0" collapsed="false">
      <c r="A13" s="175" t="s">
        <v>918</v>
      </c>
      <c r="B13" s="352" t="n">
        <v>2</v>
      </c>
      <c r="C13" s="115" t="s">
        <v>285</v>
      </c>
    </row>
    <row r="14" customFormat="false" ht="15" hidden="false" customHeight="true" outlineLevel="0" collapsed="false">
      <c r="A14" s="175" t="s">
        <v>919</v>
      </c>
      <c r="B14" s="352" t="n">
        <v>15</v>
      </c>
      <c r="C14" s="115" t="s">
        <v>920</v>
      </c>
    </row>
    <row r="15" customFormat="false" ht="15" hidden="false" customHeight="true" outlineLevel="0" collapsed="false">
      <c r="A15" s="175" t="s">
        <v>921</v>
      </c>
      <c r="B15" s="176" t="n">
        <v>2500</v>
      </c>
      <c r="C15" s="115" t="s">
        <v>922</v>
      </c>
    </row>
    <row r="16" customFormat="false" ht="15" hidden="false" customHeight="true" outlineLevel="0" collapsed="false">
      <c r="A16" s="175" t="s">
        <v>923</v>
      </c>
      <c r="B16" s="352" t="n">
        <v>2</v>
      </c>
      <c r="C16" s="115" t="s">
        <v>285</v>
      </c>
    </row>
    <row r="17" customFormat="false" ht="15" hidden="false" customHeight="true" outlineLevel="0" collapsed="false">
      <c r="A17" s="175" t="s">
        <v>924</v>
      </c>
      <c r="B17" s="352" t="n">
        <v>30</v>
      </c>
      <c r="C17" s="115" t="s">
        <v>925</v>
      </c>
    </row>
    <row r="18" customFormat="false" ht="15" hidden="false" customHeight="true" outlineLevel="0" collapsed="false">
      <c r="A18" s="175" t="s">
        <v>926</v>
      </c>
      <c r="B18" s="176" t="n">
        <v>7500</v>
      </c>
      <c r="C18" s="115" t="s">
        <v>927</v>
      </c>
    </row>
    <row r="19" customFormat="false" ht="15" hidden="false" customHeight="true" outlineLevel="0" collapsed="false">
      <c r="A19" s="175" t="s">
        <v>928</v>
      </c>
      <c r="B19" s="352" t="n">
        <v>2</v>
      </c>
      <c r="C19" s="115" t="s">
        <v>285</v>
      </c>
    </row>
    <row r="20" customFormat="false" ht="15" hidden="false" customHeight="true" outlineLevel="0" collapsed="false">
      <c r="A20" s="175" t="s">
        <v>929</v>
      </c>
      <c r="B20" s="176" t="n">
        <v>32000</v>
      </c>
      <c r="C20" s="115" t="s">
        <v>930</v>
      </c>
    </row>
    <row r="21" customFormat="false" ht="15" hidden="false" customHeight="true" outlineLevel="0" collapsed="false">
      <c r="A21" s="175" t="s">
        <v>931</v>
      </c>
      <c r="B21" s="176" t="n">
        <v>600000</v>
      </c>
      <c r="C21" s="115" t="s">
        <v>932</v>
      </c>
    </row>
    <row r="22" customFormat="false" ht="15" hidden="false" customHeight="true" outlineLevel="0" collapsed="false">
      <c r="A22" s="175" t="s">
        <v>933</v>
      </c>
      <c r="B22" s="352" t="n">
        <v>7</v>
      </c>
      <c r="C22" s="115" t="s">
        <v>934</v>
      </c>
    </row>
    <row r="23" customFormat="false" ht="15" hidden="false" customHeight="true" outlineLevel="0" collapsed="false">
      <c r="A23" s="175" t="s">
        <v>935</v>
      </c>
      <c r="B23" s="352" t="n">
        <v>12</v>
      </c>
      <c r="C23" s="115" t="s">
        <v>936</v>
      </c>
    </row>
    <row r="24" customFormat="false" ht="15" hidden="false" customHeight="true" outlineLevel="0" collapsed="false">
      <c r="A24" s="175" t="s">
        <v>937</v>
      </c>
      <c r="B24" s="349" t="n">
        <f aca="false">B21/B23</f>
        <v>50000</v>
      </c>
      <c r="C24" s="115" t="s">
        <v>909</v>
      </c>
    </row>
    <row r="25" customFormat="false" ht="15" hidden="false" customHeight="true" outlineLevel="0" collapsed="false">
      <c r="A25" s="175" t="s">
        <v>938</v>
      </c>
      <c r="B25" s="176" t="n">
        <v>2500</v>
      </c>
      <c r="C25" s="115" t="s">
        <v>932</v>
      </c>
    </row>
    <row r="26" customFormat="false" ht="15" hidden="false" customHeight="true" outlineLevel="0" collapsed="false">
      <c r="A26" s="175" t="s">
        <v>939</v>
      </c>
      <c r="B26" s="352" t="n">
        <v>22</v>
      </c>
      <c r="C26" s="115" t="s">
        <v>940</v>
      </c>
    </row>
    <row r="27" customFormat="false" ht="15" hidden="false" customHeight="true" outlineLevel="0" collapsed="false">
      <c r="A27" s="175" t="s">
        <v>941</v>
      </c>
      <c r="B27" s="352" t="n">
        <v>30</v>
      </c>
      <c r="C27" s="115" t="s">
        <v>942</v>
      </c>
    </row>
    <row r="28" customFormat="false" ht="15" hidden="false" customHeight="true" outlineLevel="0" collapsed="false">
      <c r="A28" s="38" t="s">
        <v>943</v>
      </c>
      <c r="B28" s="38"/>
      <c r="C28" s="38"/>
    </row>
    <row r="29" customFormat="false" ht="15" hidden="false" customHeight="true" outlineLevel="0" collapsed="false">
      <c r="A29" s="175" t="s">
        <v>944</v>
      </c>
      <c r="B29" s="176" t="n">
        <v>12500</v>
      </c>
      <c r="C29" s="115" t="s">
        <v>945</v>
      </c>
    </row>
    <row r="30" customFormat="false" ht="15" hidden="false" customHeight="true" outlineLevel="0" collapsed="false">
      <c r="A30" s="175" t="s">
        <v>946</v>
      </c>
      <c r="B30" s="352" t="n">
        <v>18750</v>
      </c>
      <c r="C30" s="115" t="s">
        <v>947</v>
      </c>
    </row>
    <row r="31" customFormat="false" ht="15" hidden="false" customHeight="true" outlineLevel="0" collapsed="false">
      <c r="A31" s="175" t="s">
        <v>948</v>
      </c>
      <c r="B31" s="350" t="n">
        <f aca="false">B22</f>
        <v>7</v>
      </c>
      <c r="C31" s="115" t="s">
        <v>949</v>
      </c>
    </row>
    <row r="32" customFormat="false" ht="15" hidden="false" customHeight="true" outlineLevel="0" collapsed="false">
      <c r="A32" s="175" t="s">
        <v>950</v>
      </c>
      <c r="B32" s="176" t="n">
        <v>365</v>
      </c>
      <c r="C32" s="115" t="s">
        <v>951</v>
      </c>
    </row>
    <row r="33" customFormat="false" ht="15" hidden="false" customHeight="true" outlineLevel="0" collapsed="false">
      <c r="A33" s="175" t="s">
        <v>952</v>
      </c>
      <c r="B33" s="176" t="n">
        <v>8000</v>
      </c>
      <c r="C33" s="115" t="s">
        <v>953</v>
      </c>
    </row>
    <row r="34" customFormat="false" ht="15" hidden="false" customHeight="true" outlineLevel="0" collapsed="false">
      <c r="A34" s="175" t="s">
        <v>954</v>
      </c>
      <c r="B34" s="352" t="n">
        <v>5000</v>
      </c>
      <c r="C34" s="115" t="s">
        <v>955</v>
      </c>
    </row>
    <row r="35" customFormat="false" ht="15" hidden="false" customHeight="true" outlineLevel="0" collapsed="false">
      <c r="A35" s="175" t="s">
        <v>956</v>
      </c>
      <c r="B35" s="352" t="n">
        <v>2500</v>
      </c>
      <c r="C35" s="115" t="s">
        <v>957</v>
      </c>
    </row>
    <row r="36" customFormat="false" ht="15" hidden="false" customHeight="true" outlineLevel="0" collapsed="false">
      <c r="A36" s="175" t="s">
        <v>958</v>
      </c>
      <c r="B36" s="352" t="n">
        <v>2</v>
      </c>
      <c r="C36" s="115" t="s">
        <v>285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AN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0" min="2" style="1" width="12.42"/>
  </cols>
  <sheetData>
    <row r="1" customFormat="false" ht="15.75" hidden="false" customHeight="true" outlineLevel="0" collapsed="false">
      <c r="A1" s="114" t="s">
        <v>959</v>
      </c>
    </row>
    <row r="3" customFormat="false" ht="15" hidden="false" customHeight="true" outlineLevel="0" collapsed="false">
      <c r="A3" s="57" t="s">
        <v>1</v>
      </c>
      <c r="B3" s="353" t="n">
        <v>1</v>
      </c>
      <c r="C3" s="353" t="n">
        <v>2</v>
      </c>
      <c r="D3" s="353" t="n">
        <v>3</v>
      </c>
      <c r="E3" s="353" t="n">
        <v>4</v>
      </c>
      <c r="F3" s="353" t="n">
        <v>5</v>
      </c>
      <c r="G3" s="353" t="n">
        <v>6</v>
      </c>
      <c r="H3" s="353" t="n">
        <v>7</v>
      </c>
      <c r="I3" s="353" t="n">
        <v>8</v>
      </c>
      <c r="J3" s="353" t="n">
        <v>9</v>
      </c>
      <c r="K3" s="353" t="n">
        <v>10</v>
      </c>
      <c r="L3" s="353" t="n">
        <v>11</v>
      </c>
      <c r="M3" s="353" t="n">
        <v>12</v>
      </c>
      <c r="N3" s="353" t="n">
        <v>13</v>
      </c>
      <c r="O3" s="353" t="n">
        <v>14</v>
      </c>
      <c r="P3" s="353" t="n">
        <v>15</v>
      </c>
      <c r="Q3" s="353" t="n">
        <v>16</v>
      </c>
      <c r="R3" s="353" t="n">
        <v>17</v>
      </c>
      <c r="S3" s="353" t="n">
        <v>18</v>
      </c>
      <c r="T3" s="353" t="n">
        <v>19</v>
      </c>
      <c r="U3" s="353" t="n">
        <v>20</v>
      </c>
      <c r="V3" s="353" t="n">
        <v>21</v>
      </c>
      <c r="W3" s="353" t="n">
        <v>22</v>
      </c>
      <c r="X3" s="353" t="n">
        <v>23</v>
      </c>
      <c r="Y3" s="353" t="n">
        <v>24</v>
      </c>
      <c r="Z3" s="353" t="n">
        <v>25</v>
      </c>
      <c r="AA3" s="353" t="n">
        <v>26</v>
      </c>
      <c r="AB3" s="353" t="n">
        <v>27</v>
      </c>
      <c r="AC3" s="353" t="n">
        <v>28</v>
      </c>
      <c r="AD3" s="353" t="n">
        <v>29</v>
      </c>
      <c r="AE3" s="353" t="n">
        <v>30</v>
      </c>
      <c r="AF3" s="353" t="n">
        <v>31</v>
      </c>
      <c r="AG3" s="353" t="n">
        <v>32</v>
      </c>
      <c r="AH3" s="353" t="n">
        <v>33</v>
      </c>
      <c r="AI3" s="353" t="n">
        <v>34</v>
      </c>
      <c r="AJ3" s="353" t="n">
        <v>35</v>
      </c>
      <c r="AK3" s="353" t="n">
        <v>36</v>
      </c>
      <c r="AL3" s="353" t="n">
        <v>37</v>
      </c>
      <c r="AM3" s="353" t="n">
        <v>38</v>
      </c>
      <c r="AN3" s="353"/>
    </row>
    <row r="4" customFormat="false" ht="15" hidden="false" customHeight="true" outlineLevel="0" collapsed="false">
      <c r="A4" s="6"/>
      <c r="B4" s="6" t="n">
        <v>46204</v>
      </c>
      <c r="C4" s="6" t="n">
        <v>46235</v>
      </c>
      <c r="D4" s="6" t="n">
        <v>46266</v>
      </c>
      <c r="E4" s="6" t="n">
        <v>46296</v>
      </c>
      <c r="F4" s="6" t="n">
        <v>46327</v>
      </c>
      <c r="G4" s="6" t="n">
        <v>46357</v>
      </c>
      <c r="H4" s="6" t="n">
        <v>46388</v>
      </c>
      <c r="I4" s="6" t="n">
        <v>46419</v>
      </c>
      <c r="J4" s="6" t="n">
        <v>46447</v>
      </c>
      <c r="K4" s="6" t="n">
        <v>46478</v>
      </c>
      <c r="L4" s="6" t="n">
        <v>46508</v>
      </c>
      <c r="M4" s="6" t="n">
        <v>46539</v>
      </c>
      <c r="N4" s="6" t="n">
        <v>46569</v>
      </c>
      <c r="O4" s="6" t="n">
        <v>46600</v>
      </c>
      <c r="P4" s="6" t="n">
        <v>46631</v>
      </c>
      <c r="Q4" s="6" t="n">
        <v>46661</v>
      </c>
      <c r="R4" s="6" t="n">
        <v>46692</v>
      </c>
      <c r="S4" s="6" t="n">
        <v>46722</v>
      </c>
      <c r="T4" s="6" t="n">
        <v>46753</v>
      </c>
      <c r="U4" s="6" t="n">
        <v>46784</v>
      </c>
      <c r="V4" s="6" t="n">
        <v>46813</v>
      </c>
      <c r="W4" s="6" t="n">
        <v>46844</v>
      </c>
      <c r="X4" s="6" t="n">
        <v>46874</v>
      </c>
      <c r="Y4" s="6" t="n">
        <v>46905</v>
      </c>
      <c r="Z4" s="6" t="n">
        <v>46935</v>
      </c>
      <c r="AA4" s="6" t="n">
        <v>46966</v>
      </c>
      <c r="AB4" s="6" t="n">
        <v>46997</v>
      </c>
      <c r="AC4" s="6" t="n">
        <v>47027</v>
      </c>
      <c r="AD4" s="6" t="n">
        <v>47058</v>
      </c>
      <c r="AE4" s="6" t="n">
        <v>47088</v>
      </c>
      <c r="AF4" s="6" t="n">
        <v>47119</v>
      </c>
      <c r="AG4" s="6" t="n">
        <v>47150</v>
      </c>
      <c r="AH4" s="6" t="n">
        <v>47178</v>
      </c>
      <c r="AI4" s="6" t="n">
        <v>47209</v>
      </c>
      <c r="AJ4" s="6" t="n">
        <v>47239</v>
      </c>
      <c r="AK4" s="6" t="n">
        <v>47270</v>
      </c>
      <c r="AL4" s="6" t="n">
        <v>47300</v>
      </c>
      <c r="AM4" s="6" t="n">
        <v>47331</v>
      </c>
      <c r="AN4" s="6" t="s">
        <v>442</v>
      </c>
    </row>
    <row r="6" customFormat="false" ht="15" hidden="false" customHeight="true" outlineLevel="0" collapsed="false">
      <c r="A6" s="38" t="s">
        <v>902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customFormat="false" ht="15" hidden="false" customHeight="true" outlineLevel="0" collapsed="false">
      <c r="A7" s="354" t="s">
        <v>960</v>
      </c>
      <c r="B7" s="349" t="n">
        <f aca="false">IF(AND(B$3&gt;='APA Assumptions'!$B$6,B$3&lt;'APA Assumptions'!$B$6+'APA Assumptions'!$B$7),'APA Assumptions'!$B$8,0)</f>
        <v>25714.2857142857</v>
      </c>
      <c r="C7" s="349" t="n">
        <f aca="false">IF(AND(C$3&gt;='APA Assumptions'!$B$6,C$3&lt;'APA Assumptions'!$B$6+'APA Assumptions'!$B$7),'APA Assumptions'!$B$8,0)</f>
        <v>25714.2857142857</v>
      </c>
      <c r="D7" s="349" t="n">
        <f aca="false">IF(AND(D$3&gt;='APA Assumptions'!$B$6,D$3&lt;'APA Assumptions'!$B$6+'APA Assumptions'!$B$7),'APA Assumptions'!$B$8,0)</f>
        <v>25714.2857142857</v>
      </c>
      <c r="E7" s="349" t="n">
        <f aca="false">IF(AND(E$3&gt;='APA Assumptions'!$B$6,E$3&lt;'APA Assumptions'!$B$6+'APA Assumptions'!$B$7),'APA Assumptions'!$B$8,0)</f>
        <v>25714.2857142857</v>
      </c>
      <c r="F7" s="349" t="n">
        <f aca="false">IF(AND(F$3&gt;='APA Assumptions'!$B$6,F$3&lt;'APA Assumptions'!$B$6+'APA Assumptions'!$B$7),'APA Assumptions'!$B$8,0)</f>
        <v>25714.2857142857</v>
      </c>
      <c r="G7" s="349" t="n">
        <f aca="false">IF(AND(G$3&gt;='APA Assumptions'!$B$6,G$3&lt;'APA Assumptions'!$B$6+'APA Assumptions'!$B$7),'APA Assumptions'!$B$8,0)</f>
        <v>25714.2857142857</v>
      </c>
      <c r="H7" s="349" t="n">
        <f aca="false">IF(AND(H$3&gt;='APA Assumptions'!$B$6,H$3&lt;'APA Assumptions'!$B$6+'APA Assumptions'!$B$7),'APA Assumptions'!$B$8,0)</f>
        <v>25714.2857142857</v>
      </c>
      <c r="I7" s="349" t="n">
        <f aca="false">IF(AND(I$3&gt;='APA Assumptions'!$B$6,I$3&lt;'APA Assumptions'!$B$6+'APA Assumptions'!$B$7),'APA Assumptions'!$B$8,0)</f>
        <v>0</v>
      </c>
      <c r="J7" s="349" t="n">
        <f aca="false">IF(AND(J$3&gt;='APA Assumptions'!$B$6,J$3&lt;'APA Assumptions'!$B$6+'APA Assumptions'!$B$7),'APA Assumptions'!$B$8,0)</f>
        <v>0</v>
      </c>
      <c r="K7" s="349" t="n">
        <f aca="false">IF(AND(K$3&gt;='APA Assumptions'!$B$6,K$3&lt;'APA Assumptions'!$B$6+'APA Assumptions'!$B$7),'APA Assumptions'!$B$8,0)</f>
        <v>0</v>
      </c>
      <c r="L7" s="349" t="n">
        <f aca="false">IF(AND(L$3&gt;='APA Assumptions'!$B$6,L$3&lt;'APA Assumptions'!$B$6+'APA Assumptions'!$B$7),'APA Assumptions'!$B$8,0)</f>
        <v>0</v>
      </c>
      <c r="M7" s="349" t="n">
        <f aca="false">IF(AND(M$3&gt;='APA Assumptions'!$B$6,M$3&lt;'APA Assumptions'!$B$6+'APA Assumptions'!$B$7),'APA Assumptions'!$B$8,0)</f>
        <v>0</v>
      </c>
      <c r="N7" s="349" t="n">
        <f aca="false">IF(AND(N$3&gt;='APA Assumptions'!$B$6,N$3&lt;'APA Assumptions'!$B$6+'APA Assumptions'!$B$7),'APA Assumptions'!$B$8,0)</f>
        <v>0</v>
      </c>
      <c r="O7" s="349" t="n">
        <f aca="false">IF(AND(O$3&gt;='APA Assumptions'!$B$6,O$3&lt;'APA Assumptions'!$B$6+'APA Assumptions'!$B$7),'APA Assumptions'!$B$8,0)</f>
        <v>0</v>
      </c>
      <c r="P7" s="349" t="n">
        <f aca="false">IF(AND(P$3&gt;='APA Assumptions'!$B$6,P$3&lt;'APA Assumptions'!$B$6+'APA Assumptions'!$B$7),'APA Assumptions'!$B$8,0)</f>
        <v>0</v>
      </c>
      <c r="Q7" s="349" t="n">
        <f aca="false">IF(AND(Q$3&gt;='APA Assumptions'!$B$6,Q$3&lt;'APA Assumptions'!$B$6+'APA Assumptions'!$B$7),'APA Assumptions'!$B$8,0)</f>
        <v>0</v>
      </c>
      <c r="R7" s="349" t="n">
        <f aca="false">IF(AND(R$3&gt;='APA Assumptions'!$B$6,R$3&lt;'APA Assumptions'!$B$6+'APA Assumptions'!$B$7),'APA Assumptions'!$B$8,0)</f>
        <v>0</v>
      </c>
      <c r="S7" s="349" t="n">
        <f aca="false">IF(AND(S$3&gt;='APA Assumptions'!$B$6,S$3&lt;'APA Assumptions'!$B$6+'APA Assumptions'!$B$7),'APA Assumptions'!$B$8,0)</f>
        <v>0</v>
      </c>
      <c r="T7" s="349" t="n">
        <f aca="false">IF(AND(T$3&gt;='APA Assumptions'!$B$6,T$3&lt;'APA Assumptions'!$B$6+'APA Assumptions'!$B$7),'APA Assumptions'!$B$8,0)</f>
        <v>0</v>
      </c>
      <c r="U7" s="349" t="n">
        <f aca="false">IF(AND(U$3&gt;='APA Assumptions'!$B$6,U$3&lt;'APA Assumptions'!$B$6+'APA Assumptions'!$B$7),'APA Assumptions'!$B$8,0)</f>
        <v>0</v>
      </c>
      <c r="V7" s="349" t="n">
        <f aca="false">IF(AND(V$3&gt;='APA Assumptions'!$B$6,V$3&lt;'APA Assumptions'!$B$6+'APA Assumptions'!$B$7),'APA Assumptions'!$B$8,0)</f>
        <v>0</v>
      </c>
      <c r="W7" s="349" t="n">
        <f aca="false">IF(AND(W$3&gt;='APA Assumptions'!$B$6,W$3&lt;'APA Assumptions'!$B$6+'APA Assumptions'!$B$7),'APA Assumptions'!$B$8,0)</f>
        <v>0</v>
      </c>
      <c r="X7" s="349" t="n">
        <f aca="false">IF(AND(X$3&gt;='APA Assumptions'!$B$6,X$3&lt;'APA Assumptions'!$B$6+'APA Assumptions'!$B$7),'APA Assumptions'!$B$8,0)</f>
        <v>0</v>
      </c>
      <c r="Y7" s="349" t="n">
        <f aca="false">IF(AND(Y$3&gt;='APA Assumptions'!$B$6,Y$3&lt;'APA Assumptions'!$B$6+'APA Assumptions'!$B$7),'APA Assumptions'!$B$8,0)</f>
        <v>0</v>
      </c>
      <c r="Z7" s="349" t="n">
        <f aca="false">IF(AND(Z$3&gt;='APA Assumptions'!$B$6,Z$3&lt;'APA Assumptions'!$B$6+'APA Assumptions'!$B$7),'APA Assumptions'!$B$8,0)</f>
        <v>0</v>
      </c>
      <c r="AA7" s="349" t="n">
        <f aca="false">IF(AND(AA$3&gt;='APA Assumptions'!$B$6,AA$3&lt;'APA Assumptions'!$B$6+'APA Assumptions'!$B$7),'APA Assumptions'!$B$8,0)</f>
        <v>0</v>
      </c>
      <c r="AB7" s="349" t="n">
        <f aca="false">IF(AND(AB$3&gt;='APA Assumptions'!$B$6,AB$3&lt;'APA Assumptions'!$B$6+'APA Assumptions'!$B$7),'APA Assumptions'!$B$8,0)</f>
        <v>0</v>
      </c>
      <c r="AC7" s="349" t="n">
        <f aca="false">IF(AND(AC$3&gt;='APA Assumptions'!$B$6,AC$3&lt;'APA Assumptions'!$B$6+'APA Assumptions'!$B$7),'APA Assumptions'!$B$8,0)</f>
        <v>0</v>
      </c>
      <c r="AD7" s="349" t="n">
        <f aca="false">IF(AND(AD$3&gt;='APA Assumptions'!$B$6,AD$3&lt;'APA Assumptions'!$B$6+'APA Assumptions'!$B$7),'APA Assumptions'!$B$8,0)</f>
        <v>0</v>
      </c>
      <c r="AE7" s="349" t="n">
        <f aca="false">IF(AND(AE$3&gt;='APA Assumptions'!$B$6,AE$3&lt;'APA Assumptions'!$B$6+'APA Assumptions'!$B$7),'APA Assumptions'!$B$8,0)</f>
        <v>0</v>
      </c>
      <c r="AF7" s="349" t="n">
        <f aca="false">IF(AND(AF$3&gt;='APA Assumptions'!$B$6,AF$3&lt;'APA Assumptions'!$B$6+'APA Assumptions'!$B$7),'APA Assumptions'!$B$8,0)</f>
        <v>0</v>
      </c>
      <c r="AG7" s="349" t="n">
        <f aca="false">IF(AND(AG$3&gt;='APA Assumptions'!$B$6,AG$3&lt;'APA Assumptions'!$B$6+'APA Assumptions'!$B$7),'APA Assumptions'!$B$8,0)</f>
        <v>0</v>
      </c>
      <c r="AH7" s="349" t="n">
        <f aca="false">IF(AND(AH$3&gt;='APA Assumptions'!$B$6,AH$3&lt;'APA Assumptions'!$B$6+'APA Assumptions'!$B$7),'APA Assumptions'!$B$8,0)</f>
        <v>0</v>
      </c>
      <c r="AI7" s="349" t="n">
        <f aca="false">IF(AND(AI$3&gt;='APA Assumptions'!$B$6,AI$3&lt;'APA Assumptions'!$B$6+'APA Assumptions'!$B$7),'APA Assumptions'!$B$8,0)</f>
        <v>0</v>
      </c>
      <c r="AJ7" s="349" t="n">
        <f aca="false">IF(AND(AJ$3&gt;='APA Assumptions'!$B$6,AJ$3&lt;'APA Assumptions'!$B$6+'APA Assumptions'!$B$7),'APA Assumptions'!$B$8,0)</f>
        <v>0</v>
      </c>
      <c r="AK7" s="349" t="n">
        <f aca="false">IF(AND(AK$3&gt;='APA Assumptions'!$B$6,AK$3&lt;'APA Assumptions'!$B$6+'APA Assumptions'!$B$7),'APA Assumptions'!$B$8,0)</f>
        <v>0</v>
      </c>
      <c r="AL7" s="349" t="n">
        <f aca="false">IF(AND(AL$3&gt;='APA Assumptions'!$B$6,AL$3&lt;'APA Assumptions'!$B$6+'APA Assumptions'!$B$7),'APA Assumptions'!$B$8,0)</f>
        <v>0</v>
      </c>
      <c r="AM7" s="349" t="n">
        <f aca="false">IF(AND(AM$3&gt;='APA Assumptions'!$B$6,AM$3&lt;'APA Assumptions'!$B$6+'APA Assumptions'!$B$7),'APA Assumptions'!$B$8,0)</f>
        <v>0</v>
      </c>
      <c r="AN7" s="349" t="n">
        <f aca="false">SUM(B7:AM7)</f>
        <v>180000</v>
      </c>
    </row>
    <row r="8" customFormat="false" ht="15" hidden="false" customHeight="true" outlineLevel="0" collapsed="false">
      <c r="A8" s="354" t="s">
        <v>961</v>
      </c>
      <c r="B8" s="349" t="n">
        <f aca="false">IF(AND(B$3&gt;='APA Assumptions'!$B$10,B$3&lt;'APA Assumptions'!$B$10+'APA Assumptions'!$B$11),'APA Assumptions'!$B$9,0)</f>
        <v>0</v>
      </c>
      <c r="C8" s="349" t="n">
        <f aca="false">IF(AND(C$3&gt;='APA Assumptions'!$B$10,C$3&lt;'APA Assumptions'!$B$10+'APA Assumptions'!$B$11),'APA Assumptions'!$B$9,0)</f>
        <v>0</v>
      </c>
      <c r="D8" s="349" t="n">
        <f aca="false">IF(AND(D$3&gt;='APA Assumptions'!$B$10,D$3&lt;'APA Assumptions'!$B$10+'APA Assumptions'!$B$11),'APA Assumptions'!$B$9,0)</f>
        <v>0</v>
      </c>
      <c r="E8" s="349" t="n">
        <f aca="false">IF(AND(E$3&gt;='APA Assumptions'!$B$10,E$3&lt;'APA Assumptions'!$B$10+'APA Assumptions'!$B$11),'APA Assumptions'!$B$9,0)</f>
        <v>0</v>
      </c>
      <c r="F8" s="349" t="n">
        <f aca="false">IF(AND(F$3&gt;='APA Assumptions'!$B$10,F$3&lt;'APA Assumptions'!$B$10+'APA Assumptions'!$B$11),'APA Assumptions'!$B$9,0)</f>
        <v>0</v>
      </c>
      <c r="G8" s="349" t="n">
        <f aca="false">IF(AND(G$3&gt;='APA Assumptions'!$B$10,G$3&lt;'APA Assumptions'!$B$10+'APA Assumptions'!$B$11),'APA Assumptions'!$B$9,0)</f>
        <v>0</v>
      </c>
      <c r="H8" s="349" t="n">
        <f aca="false">IF(AND(H$3&gt;='APA Assumptions'!$B$10,H$3&lt;'APA Assumptions'!$B$10+'APA Assumptions'!$B$11),'APA Assumptions'!$B$9,0)</f>
        <v>0</v>
      </c>
      <c r="I8" s="349" t="n">
        <f aca="false">IF(AND(I$3&gt;='APA Assumptions'!$B$10,I$3&lt;'APA Assumptions'!$B$10+'APA Assumptions'!$B$11),'APA Assumptions'!$B$9,0)</f>
        <v>0</v>
      </c>
      <c r="J8" s="349" t="n">
        <f aca="false">IF(AND(J$3&gt;='APA Assumptions'!$B$10,J$3&lt;'APA Assumptions'!$B$10+'APA Assumptions'!$B$11),'APA Assumptions'!$B$9,0)</f>
        <v>2500</v>
      </c>
      <c r="K8" s="349" t="n">
        <f aca="false">IF(AND(K$3&gt;='APA Assumptions'!$B$10,K$3&lt;'APA Assumptions'!$B$10+'APA Assumptions'!$B$11),'APA Assumptions'!$B$9,0)</f>
        <v>2500</v>
      </c>
      <c r="L8" s="349" t="n">
        <f aca="false">IF(AND(L$3&gt;='APA Assumptions'!$B$10,L$3&lt;'APA Assumptions'!$B$10+'APA Assumptions'!$B$11),'APA Assumptions'!$B$9,0)</f>
        <v>2500</v>
      </c>
      <c r="M8" s="349" t="n">
        <f aca="false">IF(AND(M$3&gt;='APA Assumptions'!$B$10,M$3&lt;'APA Assumptions'!$B$10+'APA Assumptions'!$B$11),'APA Assumptions'!$B$9,0)</f>
        <v>2500</v>
      </c>
      <c r="N8" s="349" t="n">
        <f aca="false">IF(AND(N$3&gt;='APA Assumptions'!$B$10,N$3&lt;'APA Assumptions'!$B$10+'APA Assumptions'!$B$11),'APA Assumptions'!$B$9,0)</f>
        <v>2500</v>
      </c>
      <c r="O8" s="349" t="n">
        <f aca="false">IF(AND(O$3&gt;='APA Assumptions'!$B$10,O$3&lt;'APA Assumptions'!$B$10+'APA Assumptions'!$B$11),'APA Assumptions'!$B$9,0)</f>
        <v>2500</v>
      </c>
      <c r="P8" s="349" t="n">
        <f aca="false">IF(AND(P$3&gt;='APA Assumptions'!$B$10,P$3&lt;'APA Assumptions'!$B$10+'APA Assumptions'!$B$11),'APA Assumptions'!$B$9,0)</f>
        <v>2500</v>
      </c>
      <c r="Q8" s="349" t="n">
        <f aca="false">IF(AND(Q$3&gt;='APA Assumptions'!$B$10,Q$3&lt;'APA Assumptions'!$B$10+'APA Assumptions'!$B$11),'APA Assumptions'!$B$9,0)</f>
        <v>2500</v>
      </c>
      <c r="R8" s="349" t="n">
        <f aca="false">IF(AND(R$3&gt;='APA Assumptions'!$B$10,R$3&lt;'APA Assumptions'!$B$10+'APA Assumptions'!$B$11),'APA Assumptions'!$B$9,0)</f>
        <v>2500</v>
      </c>
      <c r="S8" s="349" t="n">
        <f aca="false">IF(AND(S$3&gt;='APA Assumptions'!$B$10,S$3&lt;'APA Assumptions'!$B$10+'APA Assumptions'!$B$11),'APA Assumptions'!$B$9,0)</f>
        <v>2500</v>
      </c>
      <c r="T8" s="349" t="n">
        <f aca="false">IF(AND(T$3&gt;='APA Assumptions'!$B$10,T$3&lt;'APA Assumptions'!$B$10+'APA Assumptions'!$B$11),'APA Assumptions'!$B$9,0)</f>
        <v>2500</v>
      </c>
      <c r="U8" s="349" t="n">
        <f aca="false">IF(AND(U$3&gt;='APA Assumptions'!$B$10,U$3&lt;'APA Assumptions'!$B$10+'APA Assumptions'!$B$11),'APA Assumptions'!$B$9,0)</f>
        <v>2500</v>
      </c>
      <c r="V8" s="349" t="n">
        <f aca="false">IF(AND(V$3&gt;='APA Assumptions'!$B$10,V$3&lt;'APA Assumptions'!$B$10+'APA Assumptions'!$B$11),'APA Assumptions'!$B$9,0)</f>
        <v>2500</v>
      </c>
      <c r="W8" s="349" t="n">
        <f aca="false">IF(AND(W$3&gt;='APA Assumptions'!$B$10,W$3&lt;'APA Assumptions'!$B$10+'APA Assumptions'!$B$11),'APA Assumptions'!$B$9,0)</f>
        <v>2500</v>
      </c>
      <c r="X8" s="349" t="n">
        <f aca="false">IF(AND(X$3&gt;='APA Assumptions'!$B$10,X$3&lt;'APA Assumptions'!$B$10+'APA Assumptions'!$B$11),'APA Assumptions'!$B$9,0)</f>
        <v>2500</v>
      </c>
      <c r="Y8" s="349" t="n">
        <f aca="false">IF(AND(Y$3&gt;='APA Assumptions'!$B$10,Y$3&lt;'APA Assumptions'!$B$10+'APA Assumptions'!$B$11),'APA Assumptions'!$B$9,0)</f>
        <v>2500</v>
      </c>
      <c r="Z8" s="349" t="n">
        <f aca="false">IF(AND(Z$3&gt;='APA Assumptions'!$B$10,Z$3&lt;'APA Assumptions'!$B$10+'APA Assumptions'!$B$11),'APA Assumptions'!$B$9,0)</f>
        <v>2500</v>
      </c>
      <c r="AA8" s="349" t="n">
        <f aca="false">IF(AND(AA$3&gt;='APA Assumptions'!$B$10,AA$3&lt;'APA Assumptions'!$B$10+'APA Assumptions'!$B$11),'APA Assumptions'!$B$9,0)</f>
        <v>2500</v>
      </c>
      <c r="AB8" s="349" t="n">
        <f aca="false">IF(AND(AB$3&gt;='APA Assumptions'!$B$10,AB$3&lt;'APA Assumptions'!$B$10+'APA Assumptions'!$B$11),'APA Assumptions'!$B$9,0)</f>
        <v>2500</v>
      </c>
      <c r="AC8" s="349" t="n">
        <f aca="false">IF(AND(AC$3&gt;='APA Assumptions'!$B$10,AC$3&lt;'APA Assumptions'!$B$10+'APA Assumptions'!$B$11),'APA Assumptions'!$B$9,0)</f>
        <v>2500</v>
      </c>
      <c r="AD8" s="349" t="n">
        <f aca="false">IF(AND(AD$3&gt;='APA Assumptions'!$B$10,AD$3&lt;'APA Assumptions'!$B$10+'APA Assumptions'!$B$11),'APA Assumptions'!$B$9,0)</f>
        <v>2500</v>
      </c>
      <c r="AE8" s="349" t="n">
        <f aca="false">IF(AND(AE$3&gt;='APA Assumptions'!$B$10,AE$3&lt;'APA Assumptions'!$B$10+'APA Assumptions'!$B$11),'APA Assumptions'!$B$9,0)</f>
        <v>2500</v>
      </c>
      <c r="AF8" s="349" t="n">
        <f aca="false">IF(AND(AF$3&gt;='APA Assumptions'!$B$10,AF$3&lt;'APA Assumptions'!$B$10+'APA Assumptions'!$B$11),'APA Assumptions'!$B$9,0)</f>
        <v>2500</v>
      </c>
      <c r="AG8" s="349" t="n">
        <f aca="false">IF(AND(AG$3&gt;='APA Assumptions'!$B$10,AG$3&lt;'APA Assumptions'!$B$10+'APA Assumptions'!$B$11),'APA Assumptions'!$B$9,0)</f>
        <v>2500</v>
      </c>
      <c r="AH8" s="349" t="n">
        <f aca="false">IF(AND(AH$3&gt;='APA Assumptions'!$B$10,AH$3&lt;'APA Assumptions'!$B$10+'APA Assumptions'!$B$11),'APA Assumptions'!$B$9,0)</f>
        <v>2500</v>
      </c>
      <c r="AI8" s="349" t="n">
        <f aca="false">IF(AND(AI$3&gt;='APA Assumptions'!$B$10,AI$3&lt;'APA Assumptions'!$B$10+'APA Assumptions'!$B$11),'APA Assumptions'!$B$9,0)</f>
        <v>2500</v>
      </c>
      <c r="AJ8" s="349" t="n">
        <f aca="false">IF(AND(AJ$3&gt;='APA Assumptions'!$B$10,AJ$3&lt;'APA Assumptions'!$B$10+'APA Assumptions'!$B$11),'APA Assumptions'!$B$9,0)</f>
        <v>2500</v>
      </c>
      <c r="AK8" s="349" t="n">
        <f aca="false">IF(AND(AK$3&gt;='APA Assumptions'!$B$10,AK$3&lt;'APA Assumptions'!$B$10+'APA Assumptions'!$B$11),'APA Assumptions'!$B$9,0)</f>
        <v>2500</v>
      </c>
      <c r="AL8" s="349" t="n">
        <f aca="false">IF(AND(AL$3&gt;='APA Assumptions'!$B$10,AL$3&lt;'APA Assumptions'!$B$10+'APA Assumptions'!$B$11),'APA Assumptions'!$B$9,0)</f>
        <v>2500</v>
      </c>
      <c r="AM8" s="349" t="n">
        <f aca="false">IF(AND(AM$3&gt;='APA Assumptions'!$B$10,AM$3&lt;'APA Assumptions'!$B$10+'APA Assumptions'!$B$11),'APA Assumptions'!$B$9,0)</f>
        <v>2500</v>
      </c>
      <c r="AN8" s="349" t="n">
        <f aca="false">SUM(B8:AM8)</f>
        <v>75000</v>
      </c>
    </row>
    <row r="9" customFormat="false" ht="15" hidden="false" customHeight="true" outlineLevel="0" collapsed="false">
      <c r="A9" s="354" t="s">
        <v>962</v>
      </c>
      <c r="B9" s="349" t="n">
        <f aca="false">IF(AND(B$3&gt;='APA Assumptions'!$B$13,B$3&lt;'APA Assumptions'!$B$13+'APA Assumptions'!$B$14),'APA Assumptions'!$B$12,0)</f>
        <v>0</v>
      </c>
      <c r="C9" s="349" t="n">
        <f aca="false">IF(AND(C$3&gt;='APA Assumptions'!$B$13,C$3&lt;'APA Assumptions'!$B$13+'APA Assumptions'!$B$14),'APA Assumptions'!$B$12,0)</f>
        <v>2694</v>
      </c>
      <c r="D9" s="349" t="n">
        <f aca="false">IF(AND(D$3&gt;='APA Assumptions'!$B$13,D$3&lt;'APA Assumptions'!$B$13+'APA Assumptions'!$B$14),'APA Assumptions'!$B$12,0)</f>
        <v>2694</v>
      </c>
      <c r="E9" s="349" t="n">
        <f aca="false">IF(AND(E$3&gt;='APA Assumptions'!$B$13,E$3&lt;'APA Assumptions'!$B$13+'APA Assumptions'!$B$14),'APA Assumptions'!$B$12,0)</f>
        <v>2694</v>
      </c>
      <c r="F9" s="349" t="n">
        <f aca="false">IF(AND(F$3&gt;='APA Assumptions'!$B$13,F$3&lt;'APA Assumptions'!$B$13+'APA Assumptions'!$B$14),'APA Assumptions'!$B$12,0)</f>
        <v>2694</v>
      </c>
      <c r="G9" s="349" t="n">
        <f aca="false">IF(AND(G$3&gt;='APA Assumptions'!$B$13,G$3&lt;'APA Assumptions'!$B$13+'APA Assumptions'!$B$14),'APA Assumptions'!$B$12,0)</f>
        <v>2694</v>
      </c>
      <c r="H9" s="349" t="n">
        <f aca="false">IF(AND(H$3&gt;='APA Assumptions'!$B$13,H$3&lt;'APA Assumptions'!$B$13+'APA Assumptions'!$B$14),'APA Assumptions'!$B$12,0)</f>
        <v>2694</v>
      </c>
      <c r="I9" s="349" t="n">
        <f aca="false">IF(AND(I$3&gt;='APA Assumptions'!$B$13,I$3&lt;'APA Assumptions'!$B$13+'APA Assumptions'!$B$14),'APA Assumptions'!$B$12,0)</f>
        <v>2694</v>
      </c>
      <c r="J9" s="349" t="n">
        <f aca="false">IF(AND(J$3&gt;='APA Assumptions'!$B$13,J$3&lt;'APA Assumptions'!$B$13+'APA Assumptions'!$B$14),'APA Assumptions'!$B$12,0)</f>
        <v>2694</v>
      </c>
      <c r="K9" s="349" t="n">
        <f aca="false">IF(AND(K$3&gt;='APA Assumptions'!$B$13,K$3&lt;'APA Assumptions'!$B$13+'APA Assumptions'!$B$14),'APA Assumptions'!$B$12,0)</f>
        <v>2694</v>
      </c>
      <c r="L9" s="349" t="n">
        <f aca="false">IF(AND(L$3&gt;='APA Assumptions'!$B$13,L$3&lt;'APA Assumptions'!$B$13+'APA Assumptions'!$B$14),'APA Assumptions'!$B$12,0)</f>
        <v>2694</v>
      </c>
      <c r="M9" s="349" t="n">
        <f aca="false">IF(AND(M$3&gt;='APA Assumptions'!$B$13,M$3&lt;'APA Assumptions'!$B$13+'APA Assumptions'!$B$14),'APA Assumptions'!$B$12,0)</f>
        <v>2694</v>
      </c>
      <c r="N9" s="349" t="n">
        <f aca="false">IF(AND(N$3&gt;='APA Assumptions'!$B$13,N$3&lt;'APA Assumptions'!$B$13+'APA Assumptions'!$B$14),'APA Assumptions'!$B$12,0)</f>
        <v>2694</v>
      </c>
      <c r="O9" s="349" t="n">
        <f aca="false">IF(AND(O$3&gt;='APA Assumptions'!$B$13,O$3&lt;'APA Assumptions'!$B$13+'APA Assumptions'!$B$14),'APA Assumptions'!$B$12,0)</f>
        <v>2694</v>
      </c>
      <c r="P9" s="349" t="n">
        <f aca="false">IF(AND(P$3&gt;='APA Assumptions'!$B$13,P$3&lt;'APA Assumptions'!$B$13+'APA Assumptions'!$B$14),'APA Assumptions'!$B$12,0)</f>
        <v>2694</v>
      </c>
      <c r="Q9" s="349" t="n">
        <f aca="false">IF(AND(Q$3&gt;='APA Assumptions'!$B$13,Q$3&lt;'APA Assumptions'!$B$13+'APA Assumptions'!$B$14),'APA Assumptions'!$B$12,0)</f>
        <v>2694</v>
      </c>
      <c r="R9" s="349" t="n">
        <f aca="false">IF(AND(R$3&gt;='APA Assumptions'!$B$13,R$3&lt;'APA Assumptions'!$B$13+'APA Assumptions'!$B$14),'APA Assumptions'!$B$12,0)</f>
        <v>0</v>
      </c>
      <c r="S9" s="349" t="n">
        <f aca="false">IF(AND(S$3&gt;='APA Assumptions'!$B$13,S$3&lt;'APA Assumptions'!$B$13+'APA Assumptions'!$B$14),'APA Assumptions'!$B$12,0)</f>
        <v>0</v>
      </c>
      <c r="T9" s="349" t="n">
        <f aca="false">IF(AND(T$3&gt;='APA Assumptions'!$B$13,T$3&lt;'APA Assumptions'!$B$13+'APA Assumptions'!$B$14),'APA Assumptions'!$B$12,0)</f>
        <v>0</v>
      </c>
      <c r="U9" s="349" t="n">
        <f aca="false">IF(AND(U$3&gt;='APA Assumptions'!$B$13,U$3&lt;'APA Assumptions'!$B$13+'APA Assumptions'!$B$14),'APA Assumptions'!$B$12,0)</f>
        <v>0</v>
      </c>
      <c r="V9" s="349" t="n">
        <f aca="false">IF(AND(V$3&gt;='APA Assumptions'!$B$13,V$3&lt;'APA Assumptions'!$B$13+'APA Assumptions'!$B$14),'APA Assumptions'!$B$12,0)</f>
        <v>0</v>
      </c>
      <c r="W9" s="349" t="n">
        <f aca="false">IF(AND(W$3&gt;='APA Assumptions'!$B$13,W$3&lt;'APA Assumptions'!$B$13+'APA Assumptions'!$B$14),'APA Assumptions'!$B$12,0)</f>
        <v>0</v>
      </c>
      <c r="X9" s="349" t="n">
        <f aca="false">IF(AND(X$3&gt;='APA Assumptions'!$B$13,X$3&lt;'APA Assumptions'!$B$13+'APA Assumptions'!$B$14),'APA Assumptions'!$B$12,0)</f>
        <v>0</v>
      </c>
      <c r="Y9" s="349" t="n">
        <f aca="false">IF(AND(Y$3&gt;='APA Assumptions'!$B$13,Y$3&lt;'APA Assumptions'!$B$13+'APA Assumptions'!$B$14),'APA Assumptions'!$B$12,0)</f>
        <v>0</v>
      </c>
      <c r="Z9" s="349" t="n">
        <f aca="false">IF(AND(Z$3&gt;='APA Assumptions'!$B$13,Z$3&lt;'APA Assumptions'!$B$13+'APA Assumptions'!$B$14),'APA Assumptions'!$B$12,0)</f>
        <v>0</v>
      </c>
      <c r="AA9" s="349" t="n">
        <f aca="false">IF(AND(AA$3&gt;='APA Assumptions'!$B$13,AA$3&lt;'APA Assumptions'!$B$13+'APA Assumptions'!$B$14),'APA Assumptions'!$B$12,0)</f>
        <v>0</v>
      </c>
      <c r="AB9" s="349" t="n">
        <f aca="false">IF(AND(AB$3&gt;='APA Assumptions'!$B$13,AB$3&lt;'APA Assumptions'!$B$13+'APA Assumptions'!$B$14),'APA Assumptions'!$B$12,0)</f>
        <v>0</v>
      </c>
      <c r="AC9" s="349" t="n">
        <f aca="false">IF(AND(AC$3&gt;='APA Assumptions'!$B$13,AC$3&lt;'APA Assumptions'!$B$13+'APA Assumptions'!$B$14),'APA Assumptions'!$B$12,0)</f>
        <v>0</v>
      </c>
      <c r="AD9" s="349" t="n">
        <f aca="false">IF(AND(AD$3&gt;='APA Assumptions'!$B$13,AD$3&lt;'APA Assumptions'!$B$13+'APA Assumptions'!$B$14),'APA Assumptions'!$B$12,0)</f>
        <v>0</v>
      </c>
      <c r="AE9" s="349" t="n">
        <f aca="false">IF(AND(AE$3&gt;='APA Assumptions'!$B$13,AE$3&lt;'APA Assumptions'!$B$13+'APA Assumptions'!$B$14),'APA Assumptions'!$B$12,0)</f>
        <v>0</v>
      </c>
      <c r="AF9" s="349" t="n">
        <f aca="false">IF(AND(AF$3&gt;='APA Assumptions'!$B$13,AF$3&lt;'APA Assumptions'!$B$13+'APA Assumptions'!$B$14),'APA Assumptions'!$B$12,0)</f>
        <v>0</v>
      </c>
      <c r="AG9" s="349" t="n">
        <f aca="false">IF(AND(AG$3&gt;='APA Assumptions'!$B$13,AG$3&lt;'APA Assumptions'!$B$13+'APA Assumptions'!$B$14),'APA Assumptions'!$B$12,0)</f>
        <v>0</v>
      </c>
      <c r="AH9" s="349" t="n">
        <f aca="false">IF(AND(AH$3&gt;='APA Assumptions'!$B$13,AH$3&lt;'APA Assumptions'!$B$13+'APA Assumptions'!$B$14),'APA Assumptions'!$B$12,0)</f>
        <v>0</v>
      </c>
      <c r="AI9" s="349" t="n">
        <f aca="false">IF(AND(AI$3&gt;='APA Assumptions'!$B$13,AI$3&lt;'APA Assumptions'!$B$13+'APA Assumptions'!$B$14),'APA Assumptions'!$B$12,0)</f>
        <v>0</v>
      </c>
      <c r="AJ9" s="349" t="n">
        <f aca="false">IF(AND(AJ$3&gt;='APA Assumptions'!$B$13,AJ$3&lt;'APA Assumptions'!$B$13+'APA Assumptions'!$B$14),'APA Assumptions'!$B$12,0)</f>
        <v>0</v>
      </c>
      <c r="AK9" s="349" t="n">
        <f aca="false">IF(AND(AK$3&gt;='APA Assumptions'!$B$13,AK$3&lt;'APA Assumptions'!$B$13+'APA Assumptions'!$B$14),'APA Assumptions'!$B$12,0)</f>
        <v>0</v>
      </c>
      <c r="AL9" s="349" t="n">
        <f aca="false">IF(AND(AL$3&gt;='APA Assumptions'!$B$13,AL$3&lt;'APA Assumptions'!$B$13+'APA Assumptions'!$B$14),'APA Assumptions'!$B$12,0)</f>
        <v>0</v>
      </c>
      <c r="AM9" s="349" t="n">
        <f aca="false">IF(AND(AM$3&gt;='APA Assumptions'!$B$13,AM$3&lt;'APA Assumptions'!$B$13+'APA Assumptions'!$B$14),'APA Assumptions'!$B$12,0)</f>
        <v>0</v>
      </c>
      <c r="AN9" s="349" t="n">
        <f aca="false">SUM(B9:AM9)</f>
        <v>40410</v>
      </c>
    </row>
    <row r="10" customFormat="false" ht="15" hidden="false" customHeight="true" outlineLevel="0" collapsed="false">
      <c r="A10" s="354" t="s">
        <v>963</v>
      </c>
      <c r="B10" s="349" t="n">
        <f aca="false">IF(AND(B$3&gt;='APA Assumptions'!$B$16,B$3&lt;'APA Assumptions'!$B$16+'APA Assumptions'!$B$17),'APA Assumptions'!$B$15,0)</f>
        <v>0</v>
      </c>
      <c r="C10" s="349" t="n">
        <f aca="false">IF(AND(C$3&gt;='APA Assumptions'!$B$16,C$3&lt;'APA Assumptions'!$B$16+'APA Assumptions'!$B$17),'APA Assumptions'!$B$15,0)</f>
        <v>2500</v>
      </c>
      <c r="D10" s="349" t="n">
        <f aca="false">IF(AND(D$3&gt;='APA Assumptions'!$B$16,D$3&lt;'APA Assumptions'!$B$16+'APA Assumptions'!$B$17),'APA Assumptions'!$B$15,0)</f>
        <v>2500</v>
      </c>
      <c r="E10" s="349" t="n">
        <f aca="false">IF(AND(E$3&gt;='APA Assumptions'!$B$16,E$3&lt;'APA Assumptions'!$B$16+'APA Assumptions'!$B$17),'APA Assumptions'!$B$15,0)</f>
        <v>2500</v>
      </c>
      <c r="F10" s="349" t="n">
        <f aca="false">IF(AND(F$3&gt;='APA Assumptions'!$B$16,F$3&lt;'APA Assumptions'!$B$16+'APA Assumptions'!$B$17),'APA Assumptions'!$B$15,0)</f>
        <v>2500</v>
      </c>
      <c r="G10" s="349" t="n">
        <f aca="false">IF(AND(G$3&gt;='APA Assumptions'!$B$16,G$3&lt;'APA Assumptions'!$B$16+'APA Assumptions'!$B$17),'APA Assumptions'!$B$15,0)</f>
        <v>2500</v>
      </c>
      <c r="H10" s="349" t="n">
        <f aca="false">IF(AND(H$3&gt;='APA Assumptions'!$B$16,H$3&lt;'APA Assumptions'!$B$16+'APA Assumptions'!$B$17),'APA Assumptions'!$B$15,0)</f>
        <v>2500</v>
      </c>
      <c r="I10" s="349" t="n">
        <f aca="false">IF(AND(I$3&gt;='APA Assumptions'!$B$16,I$3&lt;'APA Assumptions'!$B$16+'APA Assumptions'!$B$17),'APA Assumptions'!$B$15,0)</f>
        <v>2500</v>
      </c>
      <c r="J10" s="349" t="n">
        <f aca="false">IF(AND(J$3&gt;='APA Assumptions'!$B$16,J$3&lt;'APA Assumptions'!$B$16+'APA Assumptions'!$B$17),'APA Assumptions'!$B$15,0)</f>
        <v>2500</v>
      </c>
      <c r="K10" s="349" t="n">
        <f aca="false">IF(AND(K$3&gt;='APA Assumptions'!$B$16,K$3&lt;'APA Assumptions'!$B$16+'APA Assumptions'!$B$17),'APA Assumptions'!$B$15,0)</f>
        <v>2500</v>
      </c>
      <c r="L10" s="349" t="n">
        <f aca="false">IF(AND(L$3&gt;='APA Assumptions'!$B$16,L$3&lt;'APA Assumptions'!$B$16+'APA Assumptions'!$B$17),'APA Assumptions'!$B$15,0)</f>
        <v>2500</v>
      </c>
      <c r="M10" s="349" t="n">
        <f aca="false">IF(AND(M$3&gt;='APA Assumptions'!$B$16,M$3&lt;'APA Assumptions'!$B$16+'APA Assumptions'!$B$17),'APA Assumptions'!$B$15,0)</f>
        <v>2500</v>
      </c>
      <c r="N10" s="349" t="n">
        <f aca="false">IF(AND(N$3&gt;='APA Assumptions'!$B$16,N$3&lt;'APA Assumptions'!$B$16+'APA Assumptions'!$B$17),'APA Assumptions'!$B$15,0)</f>
        <v>2500</v>
      </c>
      <c r="O10" s="349" t="n">
        <f aca="false">IF(AND(O$3&gt;='APA Assumptions'!$B$16,O$3&lt;'APA Assumptions'!$B$16+'APA Assumptions'!$B$17),'APA Assumptions'!$B$15,0)</f>
        <v>2500</v>
      </c>
      <c r="P10" s="349" t="n">
        <f aca="false">IF(AND(P$3&gt;='APA Assumptions'!$B$16,P$3&lt;'APA Assumptions'!$B$16+'APA Assumptions'!$B$17),'APA Assumptions'!$B$15,0)</f>
        <v>2500</v>
      </c>
      <c r="Q10" s="349" t="n">
        <f aca="false">IF(AND(Q$3&gt;='APA Assumptions'!$B$16,Q$3&lt;'APA Assumptions'!$B$16+'APA Assumptions'!$B$17),'APA Assumptions'!$B$15,0)</f>
        <v>2500</v>
      </c>
      <c r="R10" s="349" t="n">
        <f aca="false">IF(AND(R$3&gt;='APA Assumptions'!$B$16,R$3&lt;'APA Assumptions'!$B$16+'APA Assumptions'!$B$17),'APA Assumptions'!$B$15,0)</f>
        <v>2500</v>
      </c>
      <c r="S10" s="349" t="n">
        <f aca="false">IF(AND(S$3&gt;='APA Assumptions'!$B$16,S$3&lt;'APA Assumptions'!$B$16+'APA Assumptions'!$B$17),'APA Assumptions'!$B$15,0)</f>
        <v>2500</v>
      </c>
      <c r="T10" s="349" t="n">
        <f aca="false">IF(AND(T$3&gt;='APA Assumptions'!$B$16,T$3&lt;'APA Assumptions'!$B$16+'APA Assumptions'!$B$17),'APA Assumptions'!$B$15,0)</f>
        <v>2500</v>
      </c>
      <c r="U10" s="349" t="n">
        <f aca="false">IF(AND(U$3&gt;='APA Assumptions'!$B$16,U$3&lt;'APA Assumptions'!$B$16+'APA Assumptions'!$B$17),'APA Assumptions'!$B$15,0)</f>
        <v>2500</v>
      </c>
      <c r="V10" s="349" t="n">
        <f aca="false">IF(AND(V$3&gt;='APA Assumptions'!$B$16,V$3&lt;'APA Assumptions'!$B$16+'APA Assumptions'!$B$17),'APA Assumptions'!$B$15,0)</f>
        <v>2500</v>
      </c>
      <c r="W10" s="349" t="n">
        <f aca="false">IF(AND(W$3&gt;='APA Assumptions'!$B$16,W$3&lt;'APA Assumptions'!$B$16+'APA Assumptions'!$B$17),'APA Assumptions'!$B$15,0)</f>
        <v>2500</v>
      </c>
      <c r="X10" s="349" t="n">
        <f aca="false">IF(AND(X$3&gt;='APA Assumptions'!$B$16,X$3&lt;'APA Assumptions'!$B$16+'APA Assumptions'!$B$17),'APA Assumptions'!$B$15,0)</f>
        <v>2500</v>
      </c>
      <c r="Y10" s="349" t="n">
        <f aca="false">IF(AND(Y$3&gt;='APA Assumptions'!$B$16,Y$3&lt;'APA Assumptions'!$B$16+'APA Assumptions'!$B$17),'APA Assumptions'!$B$15,0)</f>
        <v>2500</v>
      </c>
      <c r="Z10" s="349" t="n">
        <f aca="false">IF(AND(Z$3&gt;='APA Assumptions'!$B$16,Z$3&lt;'APA Assumptions'!$B$16+'APA Assumptions'!$B$17),'APA Assumptions'!$B$15,0)</f>
        <v>2500</v>
      </c>
      <c r="AA10" s="349" t="n">
        <f aca="false">IF(AND(AA$3&gt;='APA Assumptions'!$B$16,AA$3&lt;'APA Assumptions'!$B$16+'APA Assumptions'!$B$17),'APA Assumptions'!$B$15,0)</f>
        <v>2500</v>
      </c>
      <c r="AB10" s="349" t="n">
        <f aca="false">IF(AND(AB$3&gt;='APA Assumptions'!$B$16,AB$3&lt;'APA Assumptions'!$B$16+'APA Assumptions'!$B$17),'APA Assumptions'!$B$15,0)</f>
        <v>2500</v>
      </c>
      <c r="AC10" s="349" t="n">
        <f aca="false">IF(AND(AC$3&gt;='APA Assumptions'!$B$16,AC$3&lt;'APA Assumptions'!$B$16+'APA Assumptions'!$B$17),'APA Assumptions'!$B$15,0)</f>
        <v>2500</v>
      </c>
      <c r="AD10" s="349" t="n">
        <f aca="false">IF(AND(AD$3&gt;='APA Assumptions'!$B$16,AD$3&lt;'APA Assumptions'!$B$16+'APA Assumptions'!$B$17),'APA Assumptions'!$B$15,0)</f>
        <v>2500</v>
      </c>
      <c r="AE10" s="349" t="n">
        <f aca="false">IF(AND(AE$3&gt;='APA Assumptions'!$B$16,AE$3&lt;'APA Assumptions'!$B$16+'APA Assumptions'!$B$17),'APA Assumptions'!$B$15,0)</f>
        <v>2500</v>
      </c>
      <c r="AF10" s="349" t="n">
        <f aca="false">IF(AND(AF$3&gt;='APA Assumptions'!$B$16,AF$3&lt;'APA Assumptions'!$B$16+'APA Assumptions'!$B$17),'APA Assumptions'!$B$15,0)</f>
        <v>2500</v>
      </c>
      <c r="AG10" s="349" t="n">
        <f aca="false">IF(AND(AG$3&gt;='APA Assumptions'!$B$16,AG$3&lt;'APA Assumptions'!$B$16+'APA Assumptions'!$B$17),'APA Assumptions'!$B$15,0)</f>
        <v>0</v>
      </c>
      <c r="AH10" s="349" t="n">
        <f aca="false">IF(AND(AH$3&gt;='APA Assumptions'!$B$16,AH$3&lt;'APA Assumptions'!$B$16+'APA Assumptions'!$B$17),'APA Assumptions'!$B$15,0)</f>
        <v>0</v>
      </c>
      <c r="AI10" s="349" t="n">
        <f aca="false">IF(AND(AI$3&gt;='APA Assumptions'!$B$16,AI$3&lt;'APA Assumptions'!$B$16+'APA Assumptions'!$B$17),'APA Assumptions'!$B$15,0)</f>
        <v>0</v>
      </c>
      <c r="AJ10" s="349" t="n">
        <f aca="false">IF(AND(AJ$3&gt;='APA Assumptions'!$B$16,AJ$3&lt;'APA Assumptions'!$B$16+'APA Assumptions'!$B$17),'APA Assumptions'!$B$15,0)</f>
        <v>0</v>
      </c>
      <c r="AK10" s="349" t="n">
        <f aca="false">IF(AND(AK$3&gt;='APA Assumptions'!$B$16,AK$3&lt;'APA Assumptions'!$B$16+'APA Assumptions'!$B$17),'APA Assumptions'!$B$15,0)</f>
        <v>0</v>
      </c>
      <c r="AL10" s="349" t="n">
        <f aca="false">IF(AND(AL$3&gt;='APA Assumptions'!$B$16,AL$3&lt;'APA Assumptions'!$B$16+'APA Assumptions'!$B$17),'APA Assumptions'!$B$15,0)</f>
        <v>0</v>
      </c>
      <c r="AM10" s="349" t="n">
        <f aca="false">IF(AND(AM$3&gt;='APA Assumptions'!$B$16,AM$3&lt;'APA Assumptions'!$B$16+'APA Assumptions'!$B$17),'APA Assumptions'!$B$15,0)</f>
        <v>0</v>
      </c>
      <c r="AN10" s="349" t="n">
        <f aca="false">SUM(B10:AM10)</f>
        <v>75000</v>
      </c>
    </row>
    <row r="11" customFormat="false" ht="15" hidden="false" customHeight="true" outlineLevel="0" collapsed="false">
      <c r="A11" s="354" t="s">
        <v>964</v>
      </c>
      <c r="B11" s="349" t="n">
        <f aca="false">IF(B$3&gt;='APA Assumptions'!$B$19,MAX(0,MIN('APA Assumptions'!$B$18,'APA Assumptions'!$B$20-'APA Assumptions'!$B$18*(B$3-'APA Assumptions'!$B$19))),0)</f>
        <v>0</v>
      </c>
      <c r="C11" s="349" t="n">
        <f aca="false">IF(C$3&gt;='APA Assumptions'!$B$19,MAX(0,MIN('APA Assumptions'!$B$18,'APA Assumptions'!$B$20-'APA Assumptions'!$B$18*(C$3-'APA Assumptions'!$B$19))),0)</f>
        <v>7500</v>
      </c>
      <c r="D11" s="349" t="n">
        <f aca="false">IF(D$3&gt;='APA Assumptions'!$B$19,MAX(0,MIN('APA Assumptions'!$B$18,'APA Assumptions'!$B$20-'APA Assumptions'!$B$18*(D$3-'APA Assumptions'!$B$19))),0)</f>
        <v>7500</v>
      </c>
      <c r="E11" s="349" t="n">
        <f aca="false">IF(E$3&gt;='APA Assumptions'!$B$19,MAX(0,MIN('APA Assumptions'!$B$18,'APA Assumptions'!$B$20-'APA Assumptions'!$B$18*(E$3-'APA Assumptions'!$B$19))),0)</f>
        <v>7500</v>
      </c>
      <c r="F11" s="349" t="n">
        <f aca="false">IF(F$3&gt;='APA Assumptions'!$B$19,MAX(0,MIN('APA Assumptions'!$B$18,'APA Assumptions'!$B$20-'APA Assumptions'!$B$18*(F$3-'APA Assumptions'!$B$19))),0)</f>
        <v>7500</v>
      </c>
      <c r="G11" s="349" t="n">
        <f aca="false">IF(G$3&gt;='APA Assumptions'!$B$19,MAX(0,MIN('APA Assumptions'!$B$18,'APA Assumptions'!$B$20-'APA Assumptions'!$B$18*(G$3-'APA Assumptions'!$B$19))),0)</f>
        <v>2000</v>
      </c>
      <c r="H11" s="349" t="n">
        <f aca="false">IF(H$3&gt;='APA Assumptions'!$B$19,MAX(0,MIN('APA Assumptions'!$B$18,'APA Assumptions'!$B$20-'APA Assumptions'!$B$18*(H$3-'APA Assumptions'!$B$19))),0)</f>
        <v>0</v>
      </c>
      <c r="I11" s="349" t="n">
        <f aca="false">IF(I$3&gt;='APA Assumptions'!$B$19,MAX(0,MIN('APA Assumptions'!$B$18,'APA Assumptions'!$B$20-'APA Assumptions'!$B$18*(I$3-'APA Assumptions'!$B$19))),0)</f>
        <v>0</v>
      </c>
      <c r="J11" s="349" t="n">
        <f aca="false">IF(J$3&gt;='APA Assumptions'!$B$19,MAX(0,MIN('APA Assumptions'!$B$18,'APA Assumptions'!$B$20-'APA Assumptions'!$B$18*(J$3-'APA Assumptions'!$B$19))),0)</f>
        <v>0</v>
      </c>
      <c r="K11" s="349" t="n">
        <f aca="false">IF(K$3&gt;='APA Assumptions'!$B$19,MAX(0,MIN('APA Assumptions'!$B$18,'APA Assumptions'!$B$20-'APA Assumptions'!$B$18*(K$3-'APA Assumptions'!$B$19))),0)</f>
        <v>0</v>
      </c>
      <c r="L11" s="349" t="n">
        <f aca="false">IF(L$3&gt;='APA Assumptions'!$B$19,MAX(0,MIN('APA Assumptions'!$B$18,'APA Assumptions'!$B$20-'APA Assumptions'!$B$18*(L$3-'APA Assumptions'!$B$19))),0)</f>
        <v>0</v>
      </c>
      <c r="M11" s="349" t="n">
        <f aca="false">IF(M$3&gt;='APA Assumptions'!$B$19,MAX(0,MIN('APA Assumptions'!$B$18,'APA Assumptions'!$B$20-'APA Assumptions'!$B$18*(M$3-'APA Assumptions'!$B$19))),0)</f>
        <v>0</v>
      </c>
      <c r="N11" s="349" t="n">
        <f aca="false">IF(N$3&gt;='APA Assumptions'!$B$19,MAX(0,MIN('APA Assumptions'!$B$18,'APA Assumptions'!$B$20-'APA Assumptions'!$B$18*(N$3-'APA Assumptions'!$B$19))),0)</f>
        <v>0</v>
      </c>
      <c r="O11" s="349" t="n">
        <f aca="false">IF(O$3&gt;='APA Assumptions'!$B$19,MAX(0,MIN('APA Assumptions'!$B$18,'APA Assumptions'!$B$20-'APA Assumptions'!$B$18*(O$3-'APA Assumptions'!$B$19))),0)</f>
        <v>0</v>
      </c>
      <c r="P11" s="349" t="n">
        <f aca="false">IF(P$3&gt;='APA Assumptions'!$B$19,MAX(0,MIN('APA Assumptions'!$B$18,'APA Assumptions'!$B$20-'APA Assumptions'!$B$18*(P$3-'APA Assumptions'!$B$19))),0)</f>
        <v>0</v>
      </c>
      <c r="Q11" s="349" t="n">
        <f aca="false">IF(Q$3&gt;='APA Assumptions'!$B$19,MAX(0,MIN('APA Assumptions'!$B$18,'APA Assumptions'!$B$20-'APA Assumptions'!$B$18*(Q$3-'APA Assumptions'!$B$19))),0)</f>
        <v>0</v>
      </c>
      <c r="R11" s="349" t="n">
        <f aca="false">IF(R$3&gt;='APA Assumptions'!$B$19,MAX(0,MIN('APA Assumptions'!$B$18,'APA Assumptions'!$B$20-'APA Assumptions'!$B$18*(R$3-'APA Assumptions'!$B$19))),0)</f>
        <v>0</v>
      </c>
      <c r="S11" s="349" t="n">
        <f aca="false">IF(S$3&gt;='APA Assumptions'!$B$19,MAX(0,MIN('APA Assumptions'!$B$18,'APA Assumptions'!$B$20-'APA Assumptions'!$B$18*(S$3-'APA Assumptions'!$B$19))),0)</f>
        <v>0</v>
      </c>
      <c r="T11" s="349" t="n">
        <f aca="false">IF(T$3&gt;='APA Assumptions'!$B$19,MAX(0,MIN('APA Assumptions'!$B$18,'APA Assumptions'!$B$20-'APA Assumptions'!$B$18*(T$3-'APA Assumptions'!$B$19))),0)</f>
        <v>0</v>
      </c>
      <c r="U11" s="349" t="n">
        <f aca="false">IF(U$3&gt;='APA Assumptions'!$B$19,MAX(0,MIN('APA Assumptions'!$B$18,'APA Assumptions'!$B$20-'APA Assumptions'!$B$18*(U$3-'APA Assumptions'!$B$19))),0)</f>
        <v>0</v>
      </c>
      <c r="V11" s="349" t="n">
        <f aca="false">IF(V$3&gt;='APA Assumptions'!$B$19,MAX(0,MIN('APA Assumptions'!$B$18,'APA Assumptions'!$B$20-'APA Assumptions'!$B$18*(V$3-'APA Assumptions'!$B$19))),0)</f>
        <v>0</v>
      </c>
      <c r="W11" s="349" t="n">
        <f aca="false">IF(W$3&gt;='APA Assumptions'!$B$19,MAX(0,MIN('APA Assumptions'!$B$18,'APA Assumptions'!$B$20-'APA Assumptions'!$B$18*(W$3-'APA Assumptions'!$B$19))),0)</f>
        <v>0</v>
      </c>
      <c r="X11" s="349" t="n">
        <f aca="false">IF(X$3&gt;='APA Assumptions'!$B$19,MAX(0,MIN('APA Assumptions'!$B$18,'APA Assumptions'!$B$20-'APA Assumptions'!$B$18*(X$3-'APA Assumptions'!$B$19))),0)</f>
        <v>0</v>
      </c>
      <c r="Y11" s="349" t="n">
        <f aca="false">IF(Y$3&gt;='APA Assumptions'!$B$19,MAX(0,MIN('APA Assumptions'!$B$18,'APA Assumptions'!$B$20-'APA Assumptions'!$B$18*(Y$3-'APA Assumptions'!$B$19))),0)</f>
        <v>0</v>
      </c>
      <c r="Z11" s="349" t="n">
        <f aca="false">IF(Z$3&gt;='APA Assumptions'!$B$19,MAX(0,MIN('APA Assumptions'!$B$18,'APA Assumptions'!$B$20-'APA Assumptions'!$B$18*(Z$3-'APA Assumptions'!$B$19))),0)</f>
        <v>0</v>
      </c>
      <c r="AA11" s="349" t="n">
        <f aca="false">IF(AA$3&gt;='APA Assumptions'!$B$19,MAX(0,MIN('APA Assumptions'!$B$18,'APA Assumptions'!$B$20-'APA Assumptions'!$B$18*(AA$3-'APA Assumptions'!$B$19))),0)</f>
        <v>0</v>
      </c>
      <c r="AB11" s="349" t="n">
        <f aca="false">IF(AB$3&gt;='APA Assumptions'!$B$19,MAX(0,MIN('APA Assumptions'!$B$18,'APA Assumptions'!$B$20-'APA Assumptions'!$B$18*(AB$3-'APA Assumptions'!$B$19))),0)</f>
        <v>0</v>
      </c>
      <c r="AC11" s="349" t="n">
        <f aca="false">IF(AC$3&gt;='APA Assumptions'!$B$19,MAX(0,MIN('APA Assumptions'!$B$18,'APA Assumptions'!$B$20-'APA Assumptions'!$B$18*(AC$3-'APA Assumptions'!$B$19))),0)</f>
        <v>0</v>
      </c>
      <c r="AD11" s="349" t="n">
        <f aca="false">IF(AD$3&gt;='APA Assumptions'!$B$19,MAX(0,MIN('APA Assumptions'!$B$18,'APA Assumptions'!$B$20-'APA Assumptions'!$B$18*(AD$3-'APA Assumptions'!$B$19))),0)</f>
        <v>0</v>
      </c>
      <c r="AE11" s="349" t="n">
        <f aca="false">IF(AE$3&gt;='APA Assumptions'!$B$19,MAX(0,MIN('APA Assumptions'!$B$18,'APA Assumptions'!$B$20-'APA Assumptions'!$B$18*(AE$3-'APA Assumptions'!$B$19))),0)</f>
        <v>0</v>
      </c>
      <c r="AF11" s="349" t="n">
        <f aca="false">IF(AF$3&gt;='APA Assumptions'!$B$19,MAX(0,MIN('APA Assumptions'!$B$18,'APA Assumptions'!$B$20-'APA Assumptions'!$B$18*(AF$3-'APA Assumptions'!$B$19))),0)</f>
        <v>0</v>
      </c>
      <c r="AG11" s="349" t="n">
        <f aca="false">IF(AG$3&gt;='APA Assumptions'!$B$19,MAX(0,MIN('APA Assumptions'!$B$18,'APA Assumptions'!$B$20-'APA Assumptions'!$B$18*(AG$3-'APA Assumptions'!$B$19))),0)</f>
        <v>0</v>
      </c>
      <c r="AH11" s="349" t="n">
        <f aca="false">IF(AH$3&gt;='APA Assumptions'!$B$19,MAX(0,MIN('APA Assumptions'!$B$18,'APA Assumptions'!$B$20-'APA Assumptions'!$B$18*(AH$3-'APA Assumptions'!$B$19))),0)</f>
        <v>0</v>
      </c>
      <c r="AI11" s="349" t="n">
        <f aca="false">IF(AI$3&gt;='APA Assumptions'!$B$19,MAX(0,MIN('APA Assumptions'!$B$18,'APA Assumptions'!$B$20-'APA Assumptions'!$B$18*(AI$3-'APA Assumptions'!$B$19))),0)</f>
        <v>0</v>
      </c>
      <c r="AJ11" s="349" t="n">
        <f aca="false">IF(AJ$3&gt;='APA Assumptions'!$B$19,MAX(0,MIN('APA Assumptions'!$B$18,'APA Assumptions'!$B$20-'APA Assumptions'!$B$18*(AJ$3-'APA Assumptions'!$B$19))),0)</f>
        <v>0</v>
      </c>
      <c r="AK11" s="349" t="n">
        <f aca="false">IF(AK$3&gt;='APA Assumptions'!$B$19,MAX(0,MIN('APA Assumptions'!$B$18,'APA Assumptions'!$B$20-'APA Assumptions'!$B$18*(AK$3-'APA Assumptions'!$B$19))),0)</f>
        <v>0</v>
      </c>
      <c r="AL11" s="349" t="n">
        <f aca="false">IF(AL$3&gt;='APA Assumptions'!$B$19,MAX(0,MIN('APA Assumptions'!$B$18,'APA Assumptions'!$B$20-'APA Assumptions'!$B$18*(AL$3-'APA Assumptions'!$B$19))),0)</f>
        <v>0</v>
      </c>
      <c r="AM11" s="349" t="n">
        <f aca="false">IF(AM$3&gt;='APA Assumptions'!$B$19,MAX(0,MIN('APA Assumptions'!$B$18,'APA Assumptions'!$B$20-'APA Assumptions'!$B$18*(AM$3-'APA Assumptions'!$B$19))),0)</f>
        <v>0</v>
      </c>
      <c r="AN11" s="349" t="n">
        <f aca="false">SUM(B11:AM11)</f>
        <v>32000</v>
      </c>
    </row>
    <row r="12" customFormat="false" ht="15" hidden="false" customHeight="true" outlineLevel="0" collapsed="false">
      <c r="A12" s="354" t="s">
        <v>965</v>
      </c>
      <c r="B12" s="349" t="n">
        <f aca="false">IF(AND(B$3&gt;='APA Assumptions'!$B$22,B$3&lt;'APA Assumptions'!$B$22+'APA Assumptions'!$B$23),'APA Assumptions'!$B$24,0)</f>
        <v>0</v>
      </c>
      <c r="C12" s="349" t="n">
        <f aca="false">IF(AND(C$3&gt;='APA Assumptions'!$B$22,C$3&lt;'APA Assumptions'!$B$22+'APA Assumptions'!$B$23),'APA Assumptions'!$B$24,0)</f>
        <v>0</v>
      </c>
      <c r="D12" s="349" t="n">
        <f aca="false">IF(AND(D$3&gt;='APA Assumptions'!$B$22,D$3&lt;'APA Assumptions'!$B$22+'APA Assumptions'!$B$23),'APA Assumptions'!$B$24,0)</f>
        <v>0</v>
      </c>
      <c r="E12" s="349" t="n">
        <f aca="false">IF(AND(E$3&gt;='APA Assumptions'!$B$22,E$3&lt;'APA Assumptions'!$B$22+'APA Assumptions'!$B$23),'APA Assumptions'!$B$24,0)</f>
        <v>0</v>
      </c>
      <c r="F12" s="349" t="n">
        <f aca="false">IF(AND(F$3&gt;='APA Assumptions'!$B$22,F$3&lt;'APA Assumptions'!$B$22+'APA Assumptions'!$B$23),'APA Assumptions'!$B$24,0)</f>
        <v>0</v>
      </c>
      <c r="G12" s="349" t="n">
        <f aca="false">IF(AND(G$3&gt;='APA Assumptions'!$B$22,G$3&lt;'APA Assumptions'!$B$22+'APA Assumptions'!$B$23),'APA Assumptions'!$B$24,0)</f>
        <v>0</v>
      </c>
      <c r="H12" s="349" t="n">
        <f aca="false">IF(AND(H$3&gt;='APA Assumptions'!$B$22,H$3&lt;'APA Assumptions'!$B$22+'APA Assumptions'!$B$23),'APA Assumptions'!$B$24,0)</f>
        <v>50000</v>
      </c>
      <c r="I12" s="349" t="n">
        <f aca="false">IF(AND(I$3&gt;='APA Assumptions'!$B$22,I$3&lt;'APA Assumptions'!$B$22+'APA Assumptions'!$B$23),'APA Assumptions'!$B$24,0)</f>
        <v>50000</v>
      </c>
      <c r="J12" s="349" t="n">
        <f aca="false">IF(AND(J$3&gt;='APA Assumptions'!$B$22,J$3&lt;'APA Assumptions'!$B$22+'APA Assumptions'!$B$23),'APA Assumptions'!$B$24,0)</f>
        <v>50000</v>
      </c>
      <c r="K12" s="349" t="n">
        <f aca="false">IF(AND(K$3&gt;='APA Assumptions'!$B$22,K$3&lt;'APA Assumptions'!$B$22+'APA Assumptions'!$B$23),'APA Assumptions'!$B$24,0)</f>
        <v>50000</v>
      </c>
      <c r="L12" s="349" t="n">
        <f aca="false">IF(AND(L$3&gt;='APA Assumptions'!$B$22,L$3&lt;'APA Assumptions'!$B$22+'APA Assumptions'!$B$23),'APA Assumptions'!$B$24,0)</f>
        <v>50000</v>
      </c>
      <c r="M12" s="349" t="n">
        <f aca="false">IF(AND(M$3&gt;='APA Assumptions'!$B$22,M$3&lt;'APA Assumptions'!$B$22+'APA Assumptions'!$B$23),'APA Assumptions'!$B$24,0)</f>
        <v>50000</v>
      </c>
      <c r="N12" s="349" t="n">
        <f aca="false">IF(AND(N$3&gt;='APA Assumptions'!$B$22,N$3&lt;'APA Assumptions'!$B$22+'APA Assumptions'!$B$23),'APA Assumptions'!$B$24,0)</f>
        <v>50000</v>
      </c>
      <c r="O12" s="349" t="n">
        <f aca="false">IF(AND(O$3&gt;='APA Assumptions'!$B$22,O$3&lt;'APA Assumptions'!$B$22+'APA Assumptions'!$B$23),'APA Assumptions'!$B$24,0)</f>
        <v>50000</v>
      </c>
      <c r="P12" s="349" t="n">
        <f aca="false">IF(AND(P$3&gt;='APA Assumptions'!$B$22,P$3&lt;'APA Assumptions'!$B$22+'APA Assumptions'!$B$23),'APA Assumptions'!$B$24,0)</f>
        <v>50000</v>
      </c>
      <c r="Q12" s="349" t="n">
        <f aca="false">IF(AND(Q$3&gt;='APA Assumptions'!$B$22,Q$3&lt;'APA Assumptions'!$B$22+'APA Assumptions'!$B$23),'APA Assumptions'!$B$24,0)</f>
        <v>50000</v>
      </c>
      <c r="R12" s="349" t="n">
        <f aca="false">IF(AND(R$3&gt;='APA Assumptions'!$B$22,R$3&lt;'APA Assumptions'!$B$22+'APA Assumptions'!$B$23),'APA Assumptions'!$B$24,0)</f>
        <v>50000</v>
      </c>
      <c r="S12" s="349" t="n">
        <f aca="false">IF(AND(S$3&gt;='APA Assumptions'!$B$22,S$3&lt;'APA Assumptions'!$B$22+'APA Assumptions'!$B$23),'APA Assumptions'!$B$24,0)</f>
        <v>50000</v>
      </c>
      <c r="T12" s="349" t="n">
        <f aca="false">IF(AND(T$3&gt;='APA Assumptions'!$B$22,T$3&lt;'APA Assumptions'!$B$22+'APA Assumptions'!$B$23),'APA Assumptions'!$B$24,0)</f>
        <v>0</v>
      </c>
      <c r="U12" s="349" t="n">
        <f aca="false">IF(AND(U$3&gt;='APA Assumptions'!$B$22,U$3&lt;'APA Assumptions'!$B$22+'APA Assumptions'!$B$23),'APA Assumptions'!$B$24,0)</f>
        <v>0</v>
      </c>
      <c r="V12" s="349" t="n">
        <f aca="false">IF(AND(V$3&gt;='APA Assumptions'!$B$22,V$3&lt;'APA Assumptions'!$B$22+'APA Assumptions'!$B$23),'APA Assumptions'!$B$24,0)</f>
        <v>0</v>
      </c>
      <c r="W12" s="349" t="n">
        <f aca="false">IF(AND(W$3&gt;='APA Assumptions'!$B$22,W$3&lt;'APA Assumptions'!$B$22+'APA Assumptions'!$B$23),'APA Assumptions'!$B$24,0)</f>
        <v>0</v>
      </c>
      <c r="X12" s="349" t="n">
        <f aca="false">IF(AND(X$3&gt;='APA Assumptions'!$B$22,X$3&lt;'APA Assumptions'!$B$22+'APA Assumptions'!$B$23),'APA Assumptions'!$B$24,0)</f>
        <v>0</v>
      </c>
      <c r="Y12" s="349" t="n">
        <f aca="false">IF(AND(Y$3&gt;='APA Assumptions'!$B$22,Y$3&lt;'APA Assumptions'!$B$22+'APA Assumptions'!$B$23),'APA Assumptions'!$B$24,0)</f>
        <v>0</v>
      </c>
      <c r="Z12" s="349" t="n">
        <f aca="false">IF(AND(Z$3&gt;='APA Assumptions'!$B$22,Z$3&lt;'APA Assumptions'!$B$22+'APA Assumptions'!$B$23),'APA Assumptions'!$B$24,0)</f>
        <v>0</v>
      </c>
      <c r="AA12" s="349" t="n">
        <f aca="false">IF(AND(AA$3&gt;='APA Assumptions'!$B$22,AA$3&lt;'APA Assumptions'!$B$22+'APA Assumptions'!$B$23),'APA Assumptions'!$B$24,0)</f>
        <v>0</v>
      </c>
      <c r="AB12" s="349" t="n">
        <f aca="false">IF(AND(AB$3&gt;='APA Assumptions'!$B$22,AB$3&lt;'APA Assumptions'!$B$22+'APA Assumptions'!$B$23),'APA Assumptions'!$B$24,0)</f>
        <v>0</v>
      </c>
      <c r="AC12" s="349" t="n">
        <f aca="false">IF(AND(AC$3&gt;='APA Assumptions'!$B$22,AC$3&lt;'APA Assumptions'!$B$22+'APA Assumptions'!$B$23),'APA Assumptions'!$B$24,0)</f>
        <v>0</v>
      </c>
      <c r="AD12" s="349" t="n">
        <f aca="false">IF(AND(AD$3&gt;='APA Assumptions'!$B$22,AD$3&lt;'APA Assumptions'!$B$22+'APA Assumptions'!$B$23),'APA Assumptions'!$B$24,0)</f>
        <v>0</v>
      </c>
      <c r="AE12" s="349" t="n">
        <f aca="false">IF(AND(AE$3&gt;='APA Assumptions'!$B$22,AE$3&lt;'APA Assumptions'!$B$22+'APA Assumptions'!$B$23),'APA Assumptions'!$B$24,0)</f>
        <v>0</v>
      </c>
      <c r="AF12" s="349" t="n">
        <f aca="false">IF(AND(AF$3&gt;='APA Assumptions'!$B$22,AF$3&lt;'APA Assumptions'!$B$22+'APA Assumptions'!$B$23),'APA Assumptions'!$B$24,0)</f>
        <v>0</v>
      </c>
      <c r="AG12" s="349" t="n">
        <f aca="false">IF(AND(AG$3&gt;='APA Assumptions'!$B$22,AG$3&lt;'APA Assumptions'!$B$22+'APA Assumptions'!$B$23),'APA Assumptions'!$B$24,0)</f>
        <v>0</v>
      </c>
      <c r="AH12" s="349" t="n">
        <f aca="false">IF(AND(AH$3&gt;='APA Assumptions'!$B$22,AH$3&lt;'APA Assumptions'!$B$22+'APA Assumptions'!$B$23),'APA Assumptions'!$B$24,0)</f>
        <v>0</v>
      </c>
      <c r="AI12" s="349" t="n">
        <f aca="false">IF(AND(AI$3&gt;='APA Assumptions'!$B$22,AI$3&lt;'APA Assumptions'!$B$22+'APA Assumptions'!$B$23),'APA Assumptions'!$B$24,0)</f>
        <v>0</v>
      </c>
      <c r="AJ12" s="349" t="n">
        <f aca="false">IF(AND(AJ$3&gt;='APA Assumptions'!$B$22,AJ$3&lt;'APA Assumptions'!$B$22+'APA Assumptions'!$B$23),'APA Assumptions'!$B$24,0)</f>
        <v>0</v>
      </c>
      <c r="AK12" s="349" t="n">
        <f aca="false">IF(AND(AK$3&gt;='APA Assumptions'!$B$22,AK$3&lt;'APA Assumptions'!$B$22+'APA Assumptions'!$B$23),'APA Assumptions'!$B$24,0)</f>
        <v>0</v>
      </c>
      <c r="AL12" s="349" t="n">
        <f aca="false">IF(AND(AL$3&gt;='APA Assumptions'!$B$22,AL$3&lt;'APA Assumptions'!$B$22+'APA Assumptions'!$B$23),'APA Assumptions'!$B$24,0)</f>
        <v>0</v>
      </c>
      <c r="AM12" s="349" t="n">
        <f aca="false">IF(AND(AM$3&gt;='APA Assumptions'!$B$22,AM$3&lt;'APA Assumptions'!$B$22+'APA Assumptions'!$B$23),'APA Assumptions'!$B$24,0)</f>
        <v>0</v>
      </c>
      <c r="AN12" s="349" t="n">
        <f aca="false">SUM(B12:AM12)</f>
        <v>600000</v>
      </c>
    </row>
    <row r="13" customFormat="false" ht="15" hidden="false" customHeight="true" outlineLevel="0" collapsed="false">
      <c r="A13" s="354" t="s">
        <v>966</v>
      </c>
      <c r="B13" s="349" t="n">
        <f aca="false">IF(AND(B$3&gt;='APA Assumptions'!$B$26,B$3&lt;'APA Assumptions'!$B$26+'APA Assumptions'!$B$27),'APA Assumptions'!$B$25,0)</f>
        <v>0</v>
      </c>
      <c r="C13" s="349" t="n">
        <f aca="false">IF(AND(C$3&gt;='APA Assumptions'!$B$26,C$3&lt;'APA Assumptions'!$B$26+'APA Assumptions'!$B$27),'APA Assumptions'!$B$25,0)</f>
        <v>0</v>
      </c>
      <c r="D13" s="349" t="n">
        <f aca="false">IF(AND(D$3&gt;='APA Assumptions'!$B$26,D$3&lt;'APA Assumptions'!$B$26+'APA Assumptions'!$B$27),'APA Assumptions'!$B$25,0)</f>
        <v>0</v>
      </c>
      <c r="E13" s="349" t="n">
        <f aca="false">IF(AND(E$3&gt;='APA Assumptions'!$B$26,E$3&lt;'APA Assumptions'!$B$26+'APA Assumptions'!$B$27),'APA Assumptions'!$B$25,0)</f>
        <v>0</v>
      </c>
      <c r="F13" s="349" t="n">
        <f aca="false">IF(AND(F$3&gt;='APA Assumptions'!$B$26,F$3&lt;'APA Assumptions'!$B$26+'APA Assumptions'!$B$27),'APA Assumptions'!$B$25,0)</f>
        <v>0</v>
      </c>
      <c r="G13" s="349" t="n">
        <f aca="false">IF(AND(G$3&gt;='APA Assumptions'!$B$26,G$3&lt;'APA Assumptions'!$B$26+'APA Assumptions'!$B$27),'APA Assumptions'!$B$25,0)</f>
        <v>0</v>
      </c>
      <c r="H13" s="349" t="n">
        <f aca="false">IF(AND(H$3&gt;='APA Assumptions'!$B$26,H$3&lt;'APA Assumptions'!$B$26+'APA Assumptions'!$B$27),'APA Assumptions'!$B$25,0)</f>
        <v>0</v>
      </c>
      <c r="I13" s="349" t="n">
        <f aca="false">IF(AND(I$3&gt;='APA Assumptions'!$B$26,I$3&lt;'APA Assumptions'!$B$26+'APA Assumptions'!$B$27),'APA Assumptions'!$B$25,0)</f>
        <v>0</v>
      </c>
      <c r="J13" s="349" t="n">
        <f aca="false">IF(AND(J$3&gt;='APA Assumptions'!$B$26,J$3&lt;'APA Assumptions'!$B$26+'APA Assumptions'!$B$27),'APA Assumptions'!$B$25,0)</f>
        <v>0</v>
      </c>
      <c r="K13" s="349" t="n">
        <f aca="false">IF(AND(K$3&gt;='APA Assumptions'!$B$26,K$3&lt;'APA Assumptions'!$B$26+'APA Assumptions'!$B$27),'APA Assumptions'!$B$25,0)</f>
        <v>0</v>
      </c>
      <c r="L13" s="349" t="n">
        <f aca="false">IF(AND(L$3&gt;='APA Assumptions'!$B$26,L$3&lt;'APA Assumptions'!$B$26+'APA Assumptions'!$B$27),'APA Assumptions'!$B$25,0)</f>
        <v>0</v>
      </c>
      <c r="M13" s="349" t="n">
        <f aca="false">IF(AND(M$3&gt;='APA Assumptions'!$B$26,M$3&lt;'APA Assumptions'!$B$26+'APA Assumptions'!$B$27),'APA Assumptions'!$B$25,0)</f>
        <v>0</v>
      </c>
      <c r="N13" s="349" t="n">
        <f aca="false">IF(AND(N$3&gt;='APA Assumptions'!$B$26,N$3&lt;'APA Assumptions'!$B$26+'APA Assumptions'!$B$27),'APA Assumptions'!$B$25,0)</f>
        <v>0</v>
      </c>
      <c r="O13" s="349" t="n">
        <f aca="false">IF(AND(O$3&gt;='APA Assumptions'!$B$26,O$3&lt;'APA Assumptions'!$B$26+'APA Assumptions'!$B$27),'APA Assumptions'!$B$25,0)</f>
        <v>0</v>
      </c>
      <c r="P13" s="349" t="n">
        <f aca="false">IF(AND(P$3&gt;='APA Assumptions'!$B$26,P$3&lt;'APA Assumptions'!$B$26+'APA Assumptions'!$B$27),'APA Assumptions'!$B$25,0)</f>
        <v>0</v>
      </c>
      <c r="Q13" s="349" t="n">
        <f aca="false">IF(AND(Q$3&gt;='APA Assumptions'!$B$26,Q$3&lt;'APA Assumptions'!$B$26+'APA Assumptions'!$B$27),'APA Assumptions'!$B$25,0)</f>
        <v>0</v>
      </c>
      <c r="R13" s="349" t="n">
        <f aca="false">IF(AND(R$3&gt;='APA Assumptions'!$B$26,R$3&lt;'APA Assumptions'!$B$26+'APA Assumptions'!$B$27),'APA Assumptions'!$B$25,0)</f>
        <v>0</v>
      </c>
      <c r="S13" s="349" t="n">
        <f aca="false">IF(AND(S$3&gt;='APA Assumptions'!$B$26,S$3&lt;'APA Assumptions'!$B$26+'APA Assumptions'!$B$27),'APA Assumptions'!$B$25,0)</f>
        <v>0</v>
      </c>
      <c r="T13" s="349" t="n">
        <f aca="false">IF(AND(T$3&gt;='APA Assumptions'!$B$26,T$3&lt;'APA Assumptions'!$B$26+'APA Assumptions'!$B$27),'APA Assumptions'!$B$25,0)</f>
        <v>0</v>
      </c>
      <c r="U13" s="349" t="n">
        <f aca="false">IF(AND(U$3&gt;='APA Assumptions'!$B$26,U$3&lt;'APA Assumptions'!$B$26+'APA Assumptions'!$B$27),'APA Assumptions'!$B$25,0)</f>
        <v>0</v>
      </c>
      <c r="V13" s="349" t="n">
        <f aca="false">IF(AND(V$3&gt;='APA Assumptions'!$B$26,V$3&lt;'APA Assumptions'!$B$26+'APA Assumptions'!$B$27),'APA Assumptions'!$B$25,0)</f>
        <v>0</v>
      </c>
      <c r="W13" s="349" t="n">
        <f aca="false">IF(AND(W$3&gt;='APA Assumptions'!$B$26,W$3&lt;'APA Assumptions'!$B$26+'APA Assumptions'!$B$27),'APA Assumptions'!$B$25,0)</f>
        <v>2500</v>
      </c>
      <c r="X13" s="349" t="n">
        <f aca="false">IF(AND(X$3&gt;='APA Assumptions'!$B$26,X$3&lt;'APA Assumptions'!$B$26+'APA Assumptions'!$B$27),'APA Assumptions'!$B$25,0)</f>
        <v>2500</v>
      </c>
      <c r="Y13" s="349" t="n">
        <f aca="false">IF(AND(Y$3&gt;='APA Assumptions'!$B$26,Y$3&lt;'APA Assumptions'!$B$26+'APA Assumptions'!$B$27),'APA Assumptions'!$B$25,0)</f>
        <v>2500</v>
      </c>
      <c r="Z13" s="349" t="n">
        <f aca="false">IF(AND(Z$3&gt;='APA Assumptions'!$B$26,Z$3&lt;'APA Assumptions'!$B$26+'APA Assumptions'!$B$27),'APA Assumptions'!$B$25,0)</f>
        <v>2500</v>
      </c>
      <c r="AA13" s="349" t="n">
        <f aca="false">IF(AND(AA$3&gt;='APA Assumptions'!$B$26,AA$3&lt;'APA Assumptions'!$B$26+'APA Assumptions'!$B$27),'APA Assumptions'!$B$25,0)</f>
        <v>2500</v>
      </c>
      <c r="AB13" s="349" t="n">
        <f aca="false">IF(AND(AB$3&gt;='APA Assumptions'!$B$26,AB$3&lt;'APA Assumptions'!$B$26+'APA Assumptions'!$B$27),'APA Assumptions'!$B$25,0)</f>
        <v>2500</v>
      </c>
      <c r="AC13" s="349" t="n">
        <f aca="false">IF(AND(AC$3&gt;='APA Assumptions'!$B$26,AC$3&lt;'APA Assumptions'!$B$26+'APA Assumptions'!$B$27),'APA Assumptions'!$B$25,0)</f>
        <v>2500</v>
      </c>
      <c r="AD13" s="349" t="n">
        <f aca="false">IF(AND(AD$3&gt;='APA Assumptions'!$B$26,AD$3&lt;'APA Assumptions'!$B$26+'APA Assumptions'!$B$27),'APA Assumptions'!$B$25,0)</f>
        <v>2500</v>
      </c>
      <c r="AE13" s="349" t="n">
        <f aca="false">IF(AND(AE$3&gt;='APA Assumptions'!$B$26,AE$3&lt;'APA Assumptions'!$B$26+'APA Assumptions'!$B$27),'APA Assumptions'!$B$25,0)</f>
        <v>2500</v>
      </c>
      <c r="AF13" s="349" t="n">
        <f aca="false">IF(AND(AF$3&gt;='APA Assumptions'!$B$26,AF$3&lt;'APA Assumptions'!$B$26+'APA Assumptions'!$B$27),'APA Assumptions'!$B$25,0)</f>
        <v>2500</v>
      </c>
      <c r="AG13" s="349" t="n">
        <f aca="false">IF(AND(AG$3&gt;='APA Assumptions'!$B$26,AG$3&lt;'APA Assumptions'!$B$26+'APA Assumptions'!$B$27),'APA Assumptions'!$B$25,0)</f>
        <v>2500</v>
      </c>
      <c r="AH13" s="349" t="n">
        <f aca="false">IF(AND(AH$3&gt;='APA Assumptions'!$B$26,AH$3&lt;'APA Assumptions'!$B$26+'APA Assumptions'!$B$27),'APA Assumptions'!$B$25,0)</f>
        <v>2500</v>
      </c>
      <c r="AI13" s="349" t="n">
        <f aca="false">IF(AND(AI$3&gt;='APA Assumptions'!$B$26,AI$3&lt;'APA Assumptions'!$B$26+'APA Assumptions'!$B$27),'APA Assumptions'!$B$25,0)</f>
        <v>2500</v>
      </c>
      <c r="AJ13" s="349" t="n">
        <f aca="false">IF(AND(AJ$3&gt;='APA Assumptions'!$B$26,AJ$3&lt;'APA Assumptions'!$B$26+'APA Assumptions'!$B$27),'APA Assumptions'!$B$25,0)</f>
        <v>2500</v>
      </c>
      <c r="AK13" s="349" t="n">
        <f aca="false">IF(AND(AK$3&gt;='APA Assumptions'!$B$26,AK$3&lt;'APA Assumptions'!$B$26+'APA Assumptions'!$B$27),'APA Assumptions'!$B$25,0)</f>
        <v>2500</v>
      </c>
      <c r="AL13" s="349" t="n">
        <f aca="false">IF(AND(AL$3&gt;='APA Assumptions'!$B$26,AL$3&lt;'APA Assumptions'!$B$26+'APA Assumptions'!$B$27),'APA Assumptions'!$B$25,0)</f>
        <v>2500</v>
      </c>
      <c r="AM13" s="349" t="n">
        <f aca="false">IF(AND(AM$3&gt;='APA Assumptions'!$B$26,AM$3&lt;'APA Assumptions'!$B$26+'APA Assumptions'!$B$27),'APA Assumptions'!$B$25,0)</f>
        <v>2500</v>
      </c>
      <c r="AN13" s="349" t="n">
        <f aca="false">SUM(B13:AM13)</f>
        <v>42500</v>
      </c>
    </row>
    <row r="14" customFormat="false" ht="15" hidden="false" customHeight="true" outlineLevel="0" collapsed="false">
      <c r="A14" s="355" t="s">
        <v>967</v>
      </c>
      <c r="B14" s="356" t="n">
        <f aca="false">SUM(B7:B13)</f>
        <v>25714.2857142857</v>
      </c>
      <c r="C14" s="356" t="n">
        <f aca="false">SUM(C7:C13)</f>
        <v>38408.2857142857</v>
      </c>
      <c r="D14" s="356" t="n">
        <f aca="false">SUM(D7:D13)</f>
        <v>38408.2857142857</v>
      </c>
      <c r="E14" s="356" t="n">
        <f aca="false">SUM(E7:E13)</f>
        <v>38408.2857142857</v>
      </c>
      <c r="F14" s="356" t="n">
        <f aca="false">SUM(F7:F13)</f>
        <v>38408.2857142857</v>
      </c>
      <c r="G14" s="356" t="n">
        <f aca="false">SUM(G7:G13)</f>
        <v>32908.2857142857</v>
      </c>
      <c r="H14" s="356" t="n">
        <f aca="false">SUM(H7:H13)</f>
        <v>80908.2857142857</v>
      </c>
      <c r="I14" s="356" t="n">
        <f aca="false">SUM(I7:I13)</f>
        <v>55194</v>
      </c>
      <c r="J14" s="356" t="n">
        <f aca="false">SUM(J7:J13)</f>
        <v>57694</v>
      </c>
      <c r="K14" s="356" t="n">
        <f aca="false">SUM(K7:K13)</f>
        <v>57694</v>
      </c>
      <c r="L14" s="356" t="n">
        <f aca="false">SUM(L7:L13)</f>
        <v>57694</v>
      </c>
      <c r="M14" s="356" t="n">
        <f aca="false">SUM(M7:M13)</f>
        <v>57694</v>
      </c>
      <c r="N14" s="356" t="n">
        <f aca="false">SUM(N7:N13)</f>
        <v>57694</v>
      </c>
      <c r="O14" s="356" t="n">
        <f aca="false">SUM(O7:O13)</f>
        <v>57694</v>
      </c>
      <c r="P14" s="356" t="n">
        <f aca="false">SUM(P7:P13)</f>
        <v>57694</v>
      </c>
      <c r="Q14" s="356" t="n">
        <f aca="false">SUM(Q7:Q13)</f>
        <v>57694</v>
      </c>
      <c r="R14" s="356" t="n">
        <f aca="false">SUM(R7:R13)</f>
        <v>55000</v>
      </c>
      <c r="S14" s="356" t="n">
        <f aca="false">SUM(S7:S13)</f>
        <v>55000</v>
      </c>
      <c r="T14" s="356" t="n">
        <f aca="false">SUM(T7:T13)</f>
        <v>5000</v>
      </c>
      <c r="U14" s="356" t="n">
        <f aca="false">SUM(U7:U13)</f>
        <v>5000</v>
      </c>
      <c r="V14" s="356" t="n">
        <f aca="false">SUM(V7:V13)</f>
        <v>5000</v>
      </c>
      <c r="W14" s="356" t="n">
        <f aca="false">SUM(W7:W13)</f>
        <v>7500</v>
      </c>
      <c r="X14" s="356" t="n">
        <f aca="false">SUM(X7:X13)</f>
        <v>7500</v>
      </c>
      <c r="Y14" s="356" t="n">
        <f aca="false">SUM(Y7:Y13)</f>
        <v>7500</v>
      </c>
      <c r="Z14" s="356" t="n">
        <f aca="false">SUM(Z7:Z13)</f>
        <v>7500</v>
      </c>
      <c r="AA14" s="356" t="n">
        <f aca="false">SUM(AA7:AA13)</f>
        <v>7500</v>
      </c>
      <c r="AB14" s="356" t="n">
        <f aca="false">SUM(AB7:AB13)</f>
        <v>7500</v>
      </c>
      <c r="AC14" s="356" t="n">
        <f aca="false">SUM(AC7:AC13)</f>
        <v>7500</v>
      </c>
      <c r="AD14" s="356" t="n">
        <f aca="false">SUM(AD7:AD13)</f>
        <v>7500</v>
      </c>
      <c r="AE14" s="356" t="n">
        <f aca="false">SUM(AE7:AE13)</f>
        <v>7500</v>
      </c>
      <c r="AF14" s="356" t="n">
        <f aca="false">SUM(AF7:AF13)</f>
        <v>7500</v>
      </c>
      <c r="AG14" s="356" t="n">
        <f aca="false">SUM(AG7:AG13)</f>
        <v>5000</v>
      </c>
      <c r="AH14" s="356" t="n">
        <f aca="false">SUM(AH7:AH13)</f>
        <v>5000</v>
      </c>
      <c r="AI14" s="356" t="n">
        <f aca="false">SUM(AI7:AI13)</f>
        <v>5000</v>
      </c>
      <c r="AJ14" s="356" t="n">
        <f aca="false">SUM(AJ7:AJ13)</f>
        <v>5000</v>
      </c>
      <c r="AK14" s="356" t="n">
        <f aca="false">SUM(AK7:AK13)</f>
        <v>5000</v>
      </c>
      <c r="AL14" s="356" t="n">
        <f aca="false">SUM(AL7:AL13)</f>
        <v>5000</v>
      </c>
      <c r="AM14" s="356" t="n">
        <f aca="false">SUM(AM7:AM13)</f>
        <v>5000</v>
      </c>
      <c r="AN14" s="356" t="n">
        <f aca="false">SUM(B14:AM14)</f>
        <v>1044910</v>
      </c>
    </row>
    <row r="16" customFormat="false" ht="15" hidden="false" customHeight="true" outlineLevel="0" collapsed="false">
      <c r="A16" s="38" t="s">
        <v>943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</row>
    <row r="17" customFormat="false" ht="15" hidden="false" customHeight="true" outlineLevel="0" collapsed="false">
      <c r="A17" s="354" t="s">
        <v>968</v>
      </c>
      <c r="B17" s="349" t="n">
        <f aca="false">IF(B$3&gt;='APA Assumptions'!$B$31,'APA Assumptions'!$B$30,'APA Assumptions'!$B$29)</f>
        <v>12500</v>
      </c>
      <c r="C17" s="349" t="n">
        <f aca="false">IF(C$3&gt;='APA Assumptions'!$B$31,'APA Assumptions'!$B$30,'APA Assumptions'!$B$29)</f>
        <v>12500</v>
      </c>
      <c r="D17" s="349" t="n">
        <f aca="false">IF(D$3&gt;='APA Assumptions'!$B$31,'APA Assumptions'!$B$30,'APA Assumptions'!$B$29)</f>
        <v>12500</v>
      </c>
      <c r="E17" s="349" t="n">
        <f aca="false">IF(E$3&gt;='APA Assumptions'!$B$31,'APA Assumptions'!$B$30,'APA Assumptions'!$B$29)</f>
        <v>12500</v>
      </c>
      <c r="F17" s="349" t="n">
        <f aca="false">IF(F$3&gt;='APA Assumptions'!$B$31,'APA Assumptions'!$B$30,'APA Assumptions'!$B$29)</f>
        <v>12500</v>
      </c>
      <c r="G17" s="349" t="n">
        <f aca="false">IF(G$3&gt;='APA Assumptions'!$B$31,'APA Assumptions'!$B$30,'APA Assumptions'!$B$29)</f>
        <v>12500</v>
      </c>
      <c r="H17" s="349" t="n">
        <f aca="false">IF(H$3&gt;='APA Assumptions'!$B$31,'APA Assumptions'!$B$30,'APA Assumptions'!$B$29)</f>
        <v>18750</v>
      </c>
      <c r="I17" s="349" t="n">
        <f aca="false">IF(I$3&gt;='APA Assumptions'!$B$31,'APA Assumptions'!$B$30,'APA Assumptions'!$B$29)</f>
        <v>18750</v>
      </c>
      <c r="J17" s="349" t="n">
        <f aca="false">IF(J$3&gt;='APA Assumptions'!$B$31,'APA Assumptions'!$B$30,'APA Assumptions'!$B$29)</f>
        <v>18750</v>
      </c>
      <c r="K17" s="349" t="n">
        <f aca="false">IF(K$3&gt;='APA Assumptions'!$B$31,'APA Assumptions'!$B$30,'APA Assumptions'!$B$29)</f>
        <v>18750</v>
      </c>
      <c r="L17" s="349" t="n">
        <f aca="false">IF(L$3&gt;='APA Assumptions'!$B$31,'APA Assumptions'!$B$30,'APA Assumptions'!$B$29)</f>
        <v>18750</v>
      </c>
      <c r="M17" s="349" t="n">
        <f aca="false">IF(M$3&gt;='APA Assumptions'!$B$31,'APA Assumptions'!$B$30,'APA Assumptions'!$B$29)</f>
        <v>18750</v>
      </c>
      <c r="N17" s="349" t="n">
        <f aca="false">IF(N$3&gt;='APA Assumptions'!$B$31,'APA Assumptions'!$B$30,'APA Assumptions'!$B$29)</f>
        <v>18750</v>
      </c>
      <c r="O17" s="349" t="n">
        <f aca="false">IF(O$3&gt;='APA Assumptions'!$B$31,'APA Assumptions'!$B$30,'APA Assumptions'!$B$29)</f>
        <v>18750</v>
      </c>
      <c r="P17" s="349" t="n">
        <f aca="false">IF(P$3&gt;='APA Assumptions'!$B$31,'APA Assumptions'!$B$30,'APA Assumptions'!$B$29)</f>
        <v>18750</v>
      </c>
      <c r="Q17" s="349" t="n">
        <f aca="false">IF(Q$3&gt;='APA Assumptions'!$B$31,'APA Assumptions'!$B$30,'APA Assumptions'!$B$29)</f>
        <v>18750</v>
      </c>
      <c r="R17" s="349" t="n">
        <f aca="false">IF(R$3&gt;='APA Assumptions'!$B$31,'APA Assumptions'!$B$30,'APA Assumptions'!$B$29)</f>
        <v>18750</v>
      </c>
      <c r="S17" s="349" t="n">
        <f aca="false">IF(S$3&gt;='APA Assumptions'!$B$31,'APA Assumptions'!$B$30,'APA Assumptions'!$B$29)</f>
        <v>18750</v>
      </c>
      <c r="T17" s="349" t="n">
        <f aca="false">IF(T$3&gt;='APA Assumptions'!$B$31,'APA Assumptions'!$B$30,'APA Assumptions'!$B$29)</f>
        <v>18750</v>
      </c>
      <c r="U17" s="349" t="n">
        <f aca="false">IF(U$3&gt;='APA Assumptions'!$B$31,'APA Assumptions'!$B$30,'APA Assumptions'!$B$29)</f>
        <v>18750</v>
      </c>
      <c r="V17" s="349" t="n">
        <f aca="false">IF(V$3&gt;='APA Assumptions'!$B$31,'APA Assumptions'!$B$30,'APA Assumptions'!$B$29)</f>
        <v>18750</v>
      </c>
      <c r="W17" s="349" t="n">
        <f aca="false">IF(W$3&gt;='APA Assumptions'!$B$31,'APA Assumptions'!$B$30,'APA Assumptions'!$B$29)</f>
        <v>18750</v>
      </c>
      <c r="X17" s="349" t="n">
        <f aca="false">IF(X$3&gt;='APA Assumptions'!$B$31,'APA Assumptions'!$B$30,'APA Assumptions'!$B$29)</f>
        <v>18750</v>
      </c>
      <c r="Y17" s="349" t="n">
        <f aca="false">IF(Y$3&gt;='APA Assumptions'!$B$31,'APA Assumptions'!$B$30,'APA Assumptions'!$B$29)</f>
        <v>18750</v>
      </c>
      <c r="Z17" s="349" t="n">
        <f aca="false">IF(Z$3&gt;='APA Assumptions'!$B$31,'APA Assumptions'!$B$30,'APA Assumptions'!$B$29)</f>
        <v>18750</v>
      </c>
      <c r="AA17" s="349" t="n">
        <f aca="false">IF(AA$3&gt;='APA Assumptions'!$B$31,'APA Assumptions'!$B$30,'APA Assumptions'!$B$29)</f>
        <v>18750</v>
      </c>
      <c r="AB17" s="349" t="n">
        <f aca="false">IF(AB$3&gt;='APA Assumptions'!$B$31,'APA Assumptions'!$B$30,'APA Assumptions'!$B$29)</f>
        <v>18750</v>
      </c>
      <c r="AC17" s="349" t="n">
        <f aca="false">IF(AC$3&gt;='APA Assumptions'!$B$31,'APA Assumptions'!$B$30,'APA Assumptions'!$B$29)</f>
        <v>18750</v>
      </c>
      <c r="AD17" s="349" t="n">
        <f aca="false">IF(AD$3&gt;='APA Assumptions'!$B$31,'APA Assumptions'!$B$30,'APA Assumptions'!$B$29)</f>
        <v>18750</v>
      </c>
      <c r="AE17" s="349" t="n">
        <f aca="false">IF(AE$3&gt;='APA Assumptions'!$B$31,'APA Assumptions'!$B$30,'APA Assumptions'!$B$29)</f>
        <v>18750</v>
      </c>
      <c r="AF17" s="349" t="n">
        <f aca="false">IF(AF$3&gt;='APA Assumptions'!$B$31,'APA Assumptions'!$B$30,'APA Assumptions'!$B$29)</f>
        <v>18750</v>
      </c>
      <c r="AG17" s="349" t="n">
        <f aca="false">IF(AG$3&gt;='APA Assumptions'!$B$31,'APA Assumptions'!$B$30,'APA Assumptions'!$B$29)</f>
        <v>18750</v>
      </c>
      <c r="AH17" s="349" t="n">
        <f aca="false">IF(AH$3&gt;='APA Assumptions'!$B$31,'APA Assumptions'!$B$30,'APA Assumptions'!$B$29)</f>
        <v>18750</v>
      </c>
      <c r="AI17" s="349" t="n">
        <f aca="false">IF(AI$3&gt;='APA Assumptions'!$B$31,'APA Assumptions'!$B$30,'APA Assumptions'!$B$29)</f>
        <v>18750</v>
      </c>
      <c r="AJ17" s="349" t="n">
        <f aca="false">IF(AJ$3&gt;='APA Assumptions'!$B$31,'APA Assumptions'!$B$30,'APA Assumptions'!$B$29)</f>
        <v>18750</v>
      </c>
      <c r="AK17" s="349" t="n">
        <f aca="false">IF(AK$3&gt;='APA Assumptions'!$B$31,'APA Assumptions'!$B$30,'APA Assumptions'!$B$29)</f>
        <v>18750</v>
      </c>
      <c r="AL17" s="349" t="n">
        <f aca="false">IF(AL$3&gt;='APA Assumptions'!$B$31,'APA Assumptions'!$B$30,'APA Assumptions'!$B$29)</f>
        <v>18750</v>
      </c>
      <c r="AM17" s="349" t="n">
        <f aca="false">IF(AM$3&gt;='APA Assumptions'!$B$31,'APA Assumptions'!$B$30,'APA Assumptions'!$B$29)</f>
        <v>18750</v>
      </c>
      <c r="AN17" s="349" t="n">
        <f aca="false">SUM(B17:AM17)</f>
        <v>675000</v>
      </c>
    </row>
    <row r="18" customFormat="false" ht="15" hidden="false" customHeight="true" outlineLevel="0" collapsed="false">
      <c r="A18" s="354" t="s">
        <v>969</v>
      </c>
      <c r="B18" s="349" t="n">
        <f aca="false">'APA Assumptions'!$B$32</f>
        <v>365</v>
      </c>
      <c r="C18" s="349" t="n">
        <f aca="false">'APA Assumptions'!$B$32</f>
        <v>365</v>
      </c>
      <c r="D18" s="349" t="n">
        <f aca="false">'APA Assumptions'!$B$32</f>
        <v>365</v>
      </c>
      <c r="E18" s="349" t="n">
        <f aca="false">'APA Assumptions'!$B$32</f>
        <v>365</v>
      </c>
      <c r="F18" s="349" t="n">
        <f aca="false">'APA Assumptions'!$B$32</f>
        <v>365</v>
      </c>
      <c r="G18" s="349" t="n">
        <f aca="false">'APA Assumptions'!$B$32</f>
        <v>365</v>
      </c>
      <c r="H18" s="349" t="n">
        <f aca="false">'APA Assumptions'!$B$32</f>
        <v>365</v>
      </c>
      <c r="I18" s="349" t="n">
        <f aca="false">'APA Assumptions'!$B$32</f>
        <v>365</v>
      </c>
      <c r="J18" s="349" t="n">
        <f aca="false">'APA Assumptions'!$B$32</f>
        <v>365</v>
      </c>
      <c r="K18" s="349" t="n">
        <f aca="false">'APA Assumptions'!$B$32</f>
        <v>365</v>
      </c>
      <c r="L18" s="349" t="n">
        <f aca="false">'APA Assumptions'!$B$32</f>
        <v>365</v>
      </c>
      <c r="M18" s="349" t="n">
        <f aca="false">'APA Assumptions'!$B$32</f>
        <v>365</v>
      </c>
      <c r="N18" s="349" t="n">
        <f aca="false">'APA Assumptions'!$B$32</f>
        <v>365</v>
      </c>
      <c r="O18" s="349" t="n">
        <f aca="false">'APA Assumptions'!$B$32</f>
        <v>365</v>
      </c>
      <c r="P18" s="349" t="n">
        <f aca="false">'APA Assumptions'!$B$32</f>
        <v>365</v>
      </c>
      <c r="Q18" s="349" t="n">
        <f aca="false">'APA Assumptions'!$B$32</f>
        <v>365</v>
      </c>
      <c r="R18" s="349" t="n">
        <f aca="false">'APA Assumptions'!$B$32</f>
        <v>365</v>
      </c>
      <c r="S18" s="349" t="n">
        <f aca="false">'APA Assumptions'!$B$32</f>
        <v>365</v>
      </c>
      <c r="T18" s="349" t="n">
        <f aca="false">'APA Assumptions'!$B$32</f>
        <v>365</v>
      </c>
      <c r="U18" s="349" t="n">
        <f aca="false">'APA Assumptions'!$B$32</f>
        <v>365</v>
      </c>
      <c r="V18" s="349" t="n">
        <f aca="false">'APA Assumptions'!$B$32</f>
        <v>365</v>
      </c>
      <c r="W18" s="349" t="n">
        <f aca="false">'APA Assumptions'!$B$32</f>
        <v>365</v>
      </c>
      <c r="X18" s="349" t="n">
        <f aca="false">'APA Assumptions'!$B$32</f>
        <v>365</v>
      </c>
      <c r="Y18" s="349" t="n">
        <f aca="false">'APA Assumptions'!$B$32</f>
        <v>365</v>
      </c>
      <c r="Z18" s="349" t="n">
        <f aca="false">'APA Assumptions'!$B$32</f>
        <v>365</v>
      </c>
      <c r="AA18" s="349" t="n">
        <f aca="false">'APA Assumptions'!$B$32</f>
        <v>365</v>
      </c>
      <c r="AB18" s="349" t="n">
        <f aca="false">'APA Assumptions'!$B$32</f>
        <v>365</v>
      </c>
      <c r="AC18" s="349" t="n">
        <f aca="false">'APA Assumptions'!$B$32</f>
        <v>365</v>
      </c>
      <c r="AD18" s="349" t="n">
        <f aca="false">'APA Assumptions'!$B$32</f>
        <v>365</v>
      </c>
      <c r="AE18" s="349" t="n">
        <f aca="false">'APA Assumptions'!$B$32</f>
        <v>365</v>
      </c>
      <c r="AF18" s="349" t="n">
        <f aca="false">'APA Assumptions'!$B$32</f>
        <v>365</v>
      </c>
      <c r="AG18" s="349" t="n">
        <f aca="false">'APA Assumptions'!$B$32</f>
        <v>365</v>
      </c>
      <c r="AH18" s="349" t="n">
        <f aca="false">'APA Assumptions'!$B$32</f>
        <v>365</v>
      </c>
      <c r="AI18" s="349" t="n">
        <f aca="false">'APA Assumptions'!$B$32</f>
        <v>365</v>
      </c>
      <c r="AJ18" s="349" t="n">
        <f aca="false">'APA Assumptions'!$B$32</f>
        <v>365</v>
      </c>
      <c r="AK18" s="349" t="n">
        <f aca="false">'APA Assumptions'!$B$32</f>
        <v>365</v>
      </c>
      <c r="AL18" s="349" t="n">
        <f aca="false">'APA Assumptions'!$B$32</f>
        <v>365</v>
      </c>
      <c r="AM18" s="349" t="n">
        <f aca="false">'APA Assumptions'!$B$32</f>
        <v>365</v>
      </c>
      <c r="AN18" s="349" t="n">
        <f aca="false">SUM(B18:AM18)</f>
        <v>13870</v>
      </c>
    </row>
    <row r="19" customFormat="false" ht="15" hidden="false" customHeight="true" outlineLevel="0" collapsed="false">
      <c r="A19" s="354" t="s">
        <v>970</v>
      </c>
      <c r="B19" s="349" t="n">
        <f aca="false">IF(MOD(B$3-1,12)=0,'APA Assumptions'!$B$33,0)</f>
        <v>8000</v>
      </c>
      <c r="C19" s="349" t="n">
        <f aca="false">IF(MOD(C$3-1,12)=0,'APA Assumptions'!$B$33,0)</f>
        <v>0</v>
      </c>
      <c r="D19" s="349" t="n">
        <f aca="false">IF(MOD(D$3-1,12)=0,'APA Assumptions'!$B$33,0)</f>
        <v>0</v>
      </c>
      <c r="E19" s="349" t="n">
        <f aca="false">IF(MOD(E$3-1,12)=0,'APA Assumptions'!$B$33,0)</f>
        <v>0</v>
      </c>
      <c r="F19" s="349" t="n">
        <f aca="false">IF(MOD(F$3-1,12)=0,'APA Assumptions'!$B$33,0)</f>
        <v>0</v>
      </c>
      <c r="G19" s="349" t="n">
        <f aca="false">IF(MOD(G$3-1,12)=0,'APA Assumptions'!$B$33,0)</f>
        <v>0</v>
      </c>
      <c r="H19" s="349" t="n">
        <f aca="false">IF(MOD(H$3-1,12)=0,'APA Assumptions'!$B$33,0)</f>
        <v>0</v>
      </c>
      <c r="I19" s="349" t="n">
        <f aca="false">IF(MOD(I$3-1,12)=0,'APA Assumptions'!$B$33,0)</f>
        <v>0</v>
      </c>
      <c r="J19" s="349" t="n">
        <f aca="false">IF(MOD(J$3-1,12)=0,'APA Assumptions'!$B$33,0)</f>
        <v>0</v>
      </c>
      <c r="K19" s="349" t="n">
        <f aca="false">IF(MOD(K$3-1,12)=0,'APA Assumptions'!$B$33,0)</f>
        <v>0</v>
      </c>
      <c r="L19" s="349" t="n">
        <f aca="false">IF(MOD(L$3-1,12)=0,'APA Assumptions'!$B$33,0)</f>
        <v>0</v>
      </c>
      <c r="M19" s="349" t="n">
        <f aca="false">IF(MOD(M$3-1,12)=0,'APA Assumptions'!$B$33,0)</f>
        <v>0</v>
      </c>
      <c r="N19" s="349" t="n">
        <f aca="false">IF(MOD(N$3-1,12)=0,'APA Assumptions'!$B$33,0)</f>
        <v>8000</v>
      </c>
      <c r="O19" s="349" t="n">
        <f aca="false">IF(MOD(O$3-1,12)=0,'APA Assumptions'!$B$33,0)</f>
        <v>0</v>
      </c>
      <c r="P19" s="349" t="n">
        <f aca="false">IF(MOD(P$3-1,12)=0,'APA Assumptions'!$B$33,0)</f>
        <v>0</v>
      </c>
      <c r="Q19" s="349" t="n">
        <f aca="false">IF(MOD(Q$3-1,12)=0,'APA Assumptions'!$B$33,0)</f>
        <v>0</v>
      </c>
      <c r="R19" s="349" t="n">
        <f aca="false">IF(MOD(R$3-1,12)=0,'APA Assumptions'!$B$33,0)</f>
        <v>0</v>
      </c>
      <c r="S19" s="349" t="n">
        <f aca="false">IF(MOD(S$3-1,12)=0,'APA Assumptions'!$B$33,0)</f>
        <v>0</v>
      </c>
      <c r="T19" s="349" t="n">
        <f aca="false">IF(MOD(T$3-1,12)=0,'APA Assumptions'!$B$33,0)</f>
        <v>0</v>
      </c>
      <c r="U19" s="349" t="n">
        <f aca="false">IF(MOD(U$3-1,12)=0,'APA Assumptions'!$B$33,0)</f>
        <v>0</v>
      </c>
      <c r="V19" s="349" t="n">
        <f aca="false">IF(MOD(V$3-1,12)=0,'APA Assumptions'!$B$33,0)</f>
        <v>0</v>
      </c>
      <c r="W19" s="349" t="n">
        <f aca="false">IF(MOD(W$3-1,12)=0,'APA Assumptions'!$B$33,0)</f>
        <v>0</v>
      </c>
      <c r="X19" s="349" t="n">
        <f aca="false">IF(MOD(X$3-1,12)=0,'APA Assumptions'!$B$33,0)</f>
        <v>0</v>
      </c>
      <c r="Y19" s="349" t="n">
        <f aca="false">IF(MOD(Y$3-1,12)=0,'APA Assumptions'!$B$33,0)</f>
        <v>0</v>
      </c>
      <c r="Z19" s="349" t="n">
        <f aca="false">IF(MOD(Z$3-1,12)=0,'APA Assumptions'!$B$33,0)</f>
        <v>8000</v>
      </c>
      <c r="AA19" s="349" t="n">
        <f aca="false">IF(MOD(AA$3-1,12)=0,'APA Assumptions'!$B$33,0)</f>
        <v>0</v>
      </c>
      <c r="AB19" s="349" t="n">
        <f aca="false">IF(MOD(AB$3-1,12)=0,'APA Assumptions'!$B$33,0)</f>
        <v>0</v>
      </c>
      <c r="AC19" s="349" t="n">
        <f aca="false">IF(MOD(AC$3-1,12)=0,'APA Assumptions'!$B$33,0)</f>
        <v>0</v>
      </c>
      <c r="AD19" s="349" t="n">
        <f aca="false">IF(MOD(AD$3-1,12)=0,'APA Assumptions'!$B$33,0)</f>
        <v>0</v>
      </c>
      <c r="AE19" s="349" t="n">
        <f aca="false">IF(MOD(AE$3-1,12)=0,'APA Assumptions'!$B$33,0)</f>
        <v>0</v>
      </c>
      <c r="AF19" s="349" t="n">
        <f aca="false">IF(MOD(AF$3-1,12)=0,'APA Assumptions'!$B$33,0)</f>
        <v>0</v>
      </c>
      <c r="AG19" s="349" t="n">
        <f aca="false">IF(MOD(AG$3-1,12)=0,'APA Assumptions'!$B$33,0)</f>
        <v>0</v>
      </c>
      <c r="AH19" s="349" t="n">
        <f aca="false">IF(MOD(AH$3-1,12)=0,'APA Assumptions'!$B$33,0)</f>
        <v>0</v>
      </c>
      <c r="AI19" s="349" t="n">
        <f aca="false">IF(MOD(AI$3-1,12)=0,'APA Assumptions'!$B$33,0)</f>
        <v>0</v>
      </c>
      <c r="AJ19" s="349" t="n">
        <f aca="false">IF(MOD(AJ$3-1,12)=0,'APA Assumptions'!$B$33,0)</f>
        <v>0</v>
      </c>
      <c r="AK19" s="349" t="n">
        <f aca="false">IF(MOD(AK$3-1,12)=0,'APA Assumptions'!$B$33,0)</f>
        <v>0</v>
      </c>
      <c r="AL19" s="349" t="n">
        <f aca="false">IF(MOD(AL$3-1,12)=0,'APA Assumptions'!$B$33,0)</f>
        <v>8000</v>
      </c>
      <c r="AM19" s="349" t="n">
        <f aca="false">IF(MOD(AM$3-1,12)=0,'APA Assumptions'!$B$33,0)</f>
        <v>0</v>
      </c>
      <c r="AN19" s="349" t="n">
        <f aca="false">SUM(B19:AM19)</f>
        <v>32000</v>
      </c>
    </row>
    <row r="20" customFormat="false" ht="15" hidden="false" customHeight="true" outlineLevel="0" collapsed="false">
      <c r="A20" s="354" t="s">
        <v>971</v>
      </c>
      <c r="B20" s="349" t="n">
        <f aca="false">IF(B$3='APA Assumptions'!$B$36,'APA Assumptions'!$B$34+'APA Assumptions'!$B$35,0)</f>
        <v>0</v>
      </c>
      <c r="C20" s="349" t="n">
        <f aca="false">IF(C$3='APA Assumptions'!$B$36,'APA Assumptions'!$B$34+'APA Assumptions'!$B$35,0)</f>
        <v>7500</v>
      </c>
      <c r="D20" s="349" t="n">
        <f aca="false">IF(D$3='APA Assumptions'!$B$36,'APA Assumptions'!$B$34+'APA Assumptions'!$B$35,0)</f>
        <v>0</v>
      </c>
      <c r="E20" s="349" t="n">
        <f aca="false">IF(E$3='APA Assumptions'!$B$36,'APA Assumptions'!$B$34+'APA Assumptions'!$B$35,0)</f>
        <v>0</v>
      </c>
      <c r="F20" s="349" t="n">
        <f aca="false">IF(F$3='APA Assumptions'!$B$36,'APA Assumptions'!$B$34+'APA Assumptions'!$B$35,0)</f>
        <v>0</v>
      </c>
      <c r="G20" s="349" t="n">
        <f aca="false">IF(G$3='APA Assumptions'!$B$36,'APA Assumptions'!$B$34+'APA Assumptions'!$B$35,0)</f>
        <v>0</v>
      </c>
      <c r="H20" s="349" t="n">
        <f aca="false">IF(H$3='APA Assumptions'!$B$36,'APA Assumptions'!$B$34+'APA Assumptions'!$B$35,0)</f>
        <v>0</v>
      </c>
      <c r="I20" s="349" t="n">
        <f aca="false">IF(I$3='APA Assumptions'!$B$36,'APA Assumptions'!$B$34+'APA Assumptions'!$B$35,0)</f>
        <v>0</v>
      </c>
      <c r="J20" s="349" t="n">
        <f aca="false">IF(J$3='APA Assumptions'!$B$36,'APA Assumptions'!$B$34+'APA Assumptions'!$B$35,0)</f>
        <v>0</v>
      </c>
      <c r="K20" s="349" t="n">
        <f aca="false">IF(K$3='APA Assumptions'!$B$36,'APA Assumptions'!$B$34+'APA Assumptions'!$B$35,0)</f>
        <v>0</v>
      </c>
      <c r="L20" s="349" t="n">
        <f aca="false">IF(L$3='APA Assumptions'!$B$36,'APA Assumptions'!$B$34+'APA Assumptions'!$B$35,0)</f>
        <v>0</v>
      </c>
      <c r="M20" s="349" t="n">
        <f aca="false">IF(M$3='APA Assumptions'!$B$36,'APA Assumptions'!$B$34+'APA Assumptions'!$B$35,0)</f>
        <v>0</v>
      </c>
      <c r="N20" s="349" t="n">
        <f aca="false">IF(N$3='APA Assumptions'!$B$36,'APA Assumptions'!$B$34+'APA Assumptions'!$B$35,0)</f>
        <v>0</v>
      </c>
      <c r="O20" s="349" t="n">
        <f aca="false">IF(O$3='APA Assumptions'!$B$36,'APA Assumptions'!$B$34+'APA Assumptions'!$B$35,0)</f>
        <v>0</v>
      </c>
      <c r="P20" s="349" t="n">
        <f aca="false">IF(P$3='APA Assumptions'!$B$36,'APA Assumptions'!$B$34+'APA Assumptions'!$B$35,0)</f>
        <v>0</v>
      </c>
      <c r="Q20" s="349" t="n">
        <f aca="false">IF(Q$3='APA Assumptions'!$B$36,'APA Assumptions'!$B$34+'APA Assumptions'!$B$35,0)</f>
        <v>0</v>
      </c>
      <c r="R20" s="349" t="n">
        <f aca="false">IF(R$3='APA Assumptions'!$B$36,'APA Assumptions'!$B$34+'APA Assumptions'!$B$35,0)</f>
        <v>0</v>
      </c>
      <c r="S20" s="349" t="n">
        <f aca="false">IF(S$3='APA Assumptions'!$B$36,'APA Assumptions'!$B$34+'APA Assumptions'!$B$35,0)</f>
        <v>0</v>
      </c>
      <c r="T20" s="349" t="n">
        <f aca="false">IF(T$3='APA Assumptions'!$B$36,'APA Assumptions'!$B$34+'APA Assumptions'!$B$35,0)</f>
        <v>0</v>
      </c>
      <c r="U20" s="349" t="n">
        <f aca="false">IF(U$3='APA Assumptions'!$B$36,'APA Assumptions'!$B$34+'APA Assumptions'!$B$35,0)</f>
        <v>0</v>
      </c>
      <c r="V20" s="349" t="n">
        <f aca="false">IF(V$3='APA Assumptions'!$B$36,'APA Assumptions'!$B$34+'APA Assumptions'!$B$35,0)</f>
        <v>0</v>
      </c>
      <c r="W20" s="349" t="n">
        <f aca="false">IF(W$3='APA Assumptions'!$B$36,'APA Assumptions'!$B$34+'APA Assumptions'!$B$35,0)</f>
        <v>0</v>
      </c>
      <c r="X20" s="349" t="n">
        <f aca="false">IF(X$3='APA Assumptions'!$B$36,'APA Assumptions'!$B$34+'APA Assumptions'!$B$35,0)</f>
        <v>0</v>
      </c>
      <c r="Y20" s="349" t="n">
        <f aca="false">IF(Y$3='APA Assumptions'!$B$36,'APA Assumptions'!$B$34+'APA Assumptions'!$B$35,0)</f>
        <v>0</v>
      </c>
      <c r="Z20" s="349" t="n">
        <f aca="false">IF(Z$3='APA Assumptions'!$B$36,'APA Assumptions'!$B$34+'APA Assumptions'!$B$35,0)</f>
        <v>0</v>
      </c>
      <c r="AA20" s="349" t="n">
        <f aca="false">IF(AA$3='APA Assumptions'!$B$36,'APA Assumptions'!$B$34+'APA Assumptions'!$B$35,0)</f>
        <v>0</v>
      </c>
      <c r="AB20" s="349" t="n">
        <f aca="false">IF(AB$3='APA Assumptions'!$B$36,'APA Assumptions'!$B$34+'APA Assumptions'!$B$35,0)</f>
        <v>0</v>
      </c>
      <c r="AC20" s="349" t="n">
        <f aca="false">IF(AC$3='APA Assumptions'!$B$36,'APA Assumptions'!$B$34+'APA Assumptions'!$B$35,0)</f>
        <v>0</v>
      </c>
      <c r="AD20" s="349" t="n">
        <f aca="false">IF(AD$3='APA Assumptions'!$B$36,'APA Assumptions'!$B$34+'APA Assumptions'!$B$35,0)</f>
        <v>0</v>
      </c>
      <c r="AE20" s="349" t="n">
        <f aca="false">IF(AE$3='APA Assumptions'!$B$36,'APA Assumptions'!$B$34+'APA Assumptions'!$B$35,0)</f>
        <v>0</v>
      </c>
      <c r="AF20" s="349" t="n">
        <f aca="false">IF(AF$3='APA Assumptions'!$B$36,'APA Assumptions'!$B$34+'APA Assumptions'!$B$35,0)</f>
        <v>0</v>
      </c>
      <c r="AG20" s="349" t="n">
        <f aca="false">IF(AG$3='APA Assumptions'!$B$36,'APA Assumptions'!$B$34+'APA Assumptions'!$B$35,0)</f>
        <v>0</v>
      </c>
      <c r="AH20" s="349" t="n">
        <f aca="false">IF(AH$3='APA Assumptions'!$B$36,'APA Assumptions'!$B$34+'APA Assumptions'!$B$35,0)</f>
        <v>0</v>
      </c>
      <c r="AI20" s="349" t="n">
        <f aca="false">IF(AI$3='APA Assumptions'!$B$36,'APA Assumptions'!$B$34+'APA Assumptions'!$B$35,0)</f>
        <v>0</v>
      </c>
      <c r="AJ20" s="349" t="n">
        <f aca="false">IF(AJ$3='APA Assumptions'!$B$36,'APA Assumptions'!$B$34+'APA Assumptions'!$B$35,0)</f>
        <v>0</v>
      </c>
      <c r="AK20" s="349" t="n">
        <f aca="false">IF(AK$3='APA Assumptions'!$B$36,'APA Assumptions'!$B$34+'APA Assumptions'!$B$35,0)</f>
        <v>0</v>
      </c>
      <c r="AL20" s="349" t="n">
        <f aca="false">IF(AL$3='APA Assumptions'!$B$36,'APA Assumptions'!$B$34+'APA Assumptions'!$B$35,0)</f>
        <v>0</v>
      </c>
      <c r="AM20" s="349" t="n">
        <f aca="false">IF(AM$3='APA Assumptions'!$B$36,'APA Assumptions'!$B$34+'APA Assumptions'!$B$35,0)</f>
        <v>0</v>
      </c>
      <c r="AN20" s="349" t="n">
        <f aca="false">SUM(B20:AM20)</f>
        <v>7500</v>
      </c>
    </row>
    <row r="21" customFormat="false" ht="15" hidden="false" customHeight="true" outlineLevel="0" collapsed="false">
      <c r="A21" s="355" t="s">
        <v>972</v>
      </c>
      <c r="B21" s="356" t="n">
        <f aca="false">SUM(B17:B20)</f>
        <v>20865</v>
      </c>
      <c r="C21" s="356" t="n">
        <f aca="false">SUM(C17:C20)</f>
        <v>20365</v>
      </c>
      <c r="D21" s="356" t="n">
        <f aca="false">SUM(D17:D20)</f>
        <v>12865</v>
      </c>
      <c r="E21" s="356" t="n">
        <f aca="false">SUM(E17:E20)</f>
        <v>12865</v>
      </c>
      <c r="F21" s="356" t="n">
        <f aca="false">SUM(F17:F20)</f>
        <v>12865</v>
      </c>
      <c r="G21" s="356" t="n">
        <f aca="false">SUM(G17:G20)</f>
        <v>12865</v>
      </c>
      <c r="H21" s="356" t="n">
        <f aca="false">SUM(H17:H20)</f>
        <v>19115</v>
      </c>
      <c r="I21" s="356" t="n">
        <f aca="false">SUM(I17:I20)</f>
        <v>19115</v>
      </c>
      <c r="J21" s="356" t="n">
        <f aca="false">SUM(J17:J20)</f>
        <v>19115</v>
      </c>
      <c r="K21" s="356" t="n">
        <f aca="false">SUM(K17:K20)</f>
        <v>19115</v>
      </c>
      <c r="L21" s="356" t="n">
        <f aca="false">SUM(L17:L20)</f>
        <v>19115</v>
      </c>
      <c r="M21" s="356" t="n">
        <f aca="false">SUM(M17:M20)</f>
        <v>19115</v>
      </c>
      <c r="N21" s="356" t="n">
        <f aca="false">SUM(N17:N20)</f>
        <v>27115</v>
      </c>
      <c r="O21" s="356" t="n">
        <f aca="false">SUM(O17:O20)</f>
        <v>19115</v>
      </c>
      <c r="P21" s="356" t="n">
        <f aca="false">SUM(P17:P20)</f>
        <v>19115</v>
      </c>
      <c r="Q21" s="356" t="n">
        <f aca="false">SUM(Q17:Q20)</f>
        <v>19115</v>
      </c>
      <c r="R21" s="356" t="n">
        <f aca="false">SUM(R17:R20)</f>
        <v>19115</v>
      </c>
      <c r="S21" s="356" t="n">
        <f aca="false">SUM(S17:S20)</f>
        <v>19115</v>
      </c>
      <c r="T21" s="356" t="n">
        <f aca="false">SUM(T17:T20)</f>
        <v>19115</v>
      </c>
      <c r="U21" s="356" t="n">
        <f aca="false">SUM(U17:U20)</f>
        <v>19115</v>
      </c>
      <c r="V21" s="356" t="n">
        <f aca="false">SUM(V17:V20)</f>
        <v>19115</v>
      </c>
      <c r="W21" s="356" t="n">
        <f aca="false">SUM(W17:W20)</f>
        <v>19115</v>
      </c>
      <c r="X21" s="356" t="n">
        <f aca="false">SUM(X17:X20)</f>
        <v>19115</v>
      </c>
      <c r="Y21" s="356" t="n">
        <f aca="false">SUM(Y17:Y20)</f>
        <v>19115</v>
      </c>
      <c r="Z21" s="356" t="n">
        <f aca="false">SUM(Z17:Z20)</f>
        <v>27115</v>
      </c>
      <c r="AA21" s="356" t="n">
        <f aca="false">SUM(AA17:AA20)</f>
        <v>19115</v>
      </c>
      <c r="AB21" s="356" t="n">
        <f aca="false">SUM(AB17:AB20)</f>
        <v>19115</v>
      </c>
      <c r="AC21" s="356" t="n">
        <f aca="false">SUM(AC17:AC20)</f>
        <v>19115</v>
      </c>
      <c r="AD21" s="356" t="n">
        <f aca="false">SUM(AD17:AD20)</f>
        <v>19115</v>
      </c>
      <c r="AE21" s="356" t="n">
        <f aca="false">SUM(AE17:AE20)</f>
        <v>19115</v>
      </c>
      <c r="AF21" s="356" t="n">
        <f aca="false">SUM(AF17:AF20)</f>
        <v>19115</v>
      </c>
      <c r="AG21" s="356" t="n">
        <f aca="false">SUM(AG17:AG20)</f>
        <v>19115</v>
      </c>
      <c r="AH21" s="356" t="n">
        <f aca="false">SUM(AH17:AH20)</f>
        <v>19115</v>
      </c>
      <c r="AI21" s="356" t="n">
        <f aca="false">SUM(AI17:AI20)</f>
        <v>19115</v>
      </c>
      <c r="AJ21" s="356" t="n">
        <f aca="false">SUM(AJ17:AJ20)</f>
        <v>19115</v>
      </c>
      <c r="AK21" s="356" t="n">
        <f aca="false">SUM(AK17:AK20)</f>
        <v>19115</v>
      </c>
      <c r="AL21" s="356" t="n">
        <f aca="false">SUM(AL17:AL20)</f>
        <v>27115</v>
      </c>
      <c r="AM21" s="356" t="n">
        <f aca="false">SUM(AM17:AM20)</f>
        <v>19115</v>
      </c>
      <c r="AN21" s="356" t="n">
        <f aca="false">SUM(B21:AM21)</f>
        <v>728370</v>
      </c>
    </row>
    <row r="23" customFormat="false" ht="15" hidden="false" customHeight="true" outlineLevel="0" collapsed="false">
      <c r="A23" s="357" t="s">
        <v>973</v>
      </c>
      <c r="B23" s="358" t="n">
        <f aca="false">B14-B21</f>
        <v>4849.28571428571</v>
      </c>
      <c r="C23" s="358" t="n">
        <f aca="false">C14-C21</f>
        <v>18043.2857142857</v>
      </c>
      <c r="D23" s="358" t="n">
        <f aca="false">D14-D21</f>
        <v>25543.2857142857</v>
      </c>
      <c r="E23" s="358" t="n">
        <f aca="false">E14-E21</f>
        <v>25543.2857142857</v>
      </c>
      <c r="F23" s="358" t="n">
        <f aca="false">F14-F21</f>
        <v>25543.2857142857</v>
      </c>
      <c r="G23" s="358" t="n">
        <f aca="false">G14-G21</f>
        <v>20043.2857142857</v>
      </c>
      <c r="H23" s="358" t="n">
        <f aca="false">H14-H21</f>
        <v>61793.2857142857</v>
      </c>
      <c r="I23" s="358" t="n">
        <f aca="false">I14-I21</f>
        <v>36079</v>
      </c>
      <c r="J23" s="358" t="n">
        <f aca="false">J14-J21</f>
        <v>38579</v>
      </c>
      <c r="K23" s="358" t="n">
        <f aca="false">K14-K21</f>
        <v>38579</v>
      </c>
      <c r="L23" s="358" t="n">
        <f aca="false">L14-L21</f>
        <v>38579</v>
      </c>
      <c r="M23" s="358" t="n">
        <f aca="false">M14-M21</f>
        <v>38579</v>
      </c>
      <c r="N23" s="358" t="n">
        <f aca="false">N14-N21</f>
        <v>30579</v>
      </c>
      <c r="O23" s="358" t="n">
        <f aca="false">O14-O21</f>
        <v>38579</v>
      </c>
      <c r="P23" s="358" t="n">
        <f aca="false">P14-P21</f>
        <v>38579</v>
      </c>
      <c r="Q23" s="358" t="n">
        <f aca="false">Q14-Q21</f>
        <v>38579</v>
      </c>
      <c r="R23" s="358" t="n">
        <f aca="false">R14-R21</f>
        <v>35885</v>
      </c>
      <c r="S23" s="358" t="n">
        <f aca="false">S14-S21</f>
        <v>35885</v>
      </c>
      <c r="T23" s="358" t="n">
        <f aca="false">T14-T21</f>
        <v>-14115</v>
      </c>
      <c r="U23" s="358" t="n">
        <f aca="false">U14-U21</f>
        <v>-14115</v>
      </c>
      <c r="V23" s="358" t="n">
        <f aca="false">V14-V21</f>
        <v>-14115</v>
      </c>
      <c r="W23" s="358" t="n">
        <f aca="false">W14-W21</f>
        <v>-11615</v>
      </c>
      <c r="X23" s="358" t="n">
        <f aca="false">X14-X21</f>
        <v>-11615</v>
      </c>
      <c r="Y23" s="358" t="n">
        <f aca="false">Y14-Y21</f>
        <v>-11615</v>
      </c>
      <c r="Z23" s="358" t="n">
        <f aca="false">Z14-Z21</f>
        <v>-19615</v>
      </c>
      <c r="AA23" s="358" t="n">
        <f aca="false">AA14-AA21</f>
        <v>-11615</v>
      </c>
      <c r="AB23" s="358" t="n">
        <f aca="false">AB14-AB21</f>
        <v>-11615</v>
      </c>
      <c r="AC23" s="358" t="n">
        <f aca="false">AC14-AC21</f>
        <v>-11615</v>
      </c>
      <c r="AD23" s="358" t="n">
        <f aca="false">AD14-AD21</f>
        <v>-11615</v>
      </c>
      <c r="AE23" s="358" t="n">
        <f aca="false">AE14-AE21</f>
        <v>-11615</v>
      </c>
      <c r="AF23" s="358" t="n">
        <f aca="false">AF14-AF21</f>
        <v>-11615</v>
      </c>
      <c r="AG23" s="358" t="n">
        <f aca="false">AG14-AG21</f>
        <v>-14115</v>
      </c>
      <c r="AH23" s="358" t="n">
        <f aca="false">AH14-AH21</f>
        <v>-14115</v>
      </c>
      <c r="AI23" s="358" t="n">
        <f aca="false">AI14-AI21</f>
        <v>-14115</v>
      </c>
      <c r="AJ23" s="358" t="n">
        <f aca="false">AJ14-AJ21</f>
        <v>-14115</v>
      </c>
      <c r="AK23" s="358" t="n">
        <f aca="false">AK14-AK21</f>
        <v>-14115</v>
      </c>
      <c r="AL23" s="358" t="n">
        <f aca="false">AL14-AL21</f>
        <v>-22115</v>
      </c>
      <c r="AM23" s="358" t="n">
        <f aca="false">AM14-AM21</f>
        <v>-14115</v>
      </c>
      <c r="AN23" s="358" t="n">
        <f aca="false">AN14-AN21</f>
        <v>316540</v>
      </c>
    </row>
    <row r="24" customFormat="false" ht="15" hidden="false" customHeight="true" outlineLevel="0" collapsed="false">
      <c r="A24" s="354" t="s">
        <v>974</v>
      </c>
      <c r="B24" s="349" t="n">
        <f aca="false">B23</f>
        <v>4849.28571428571</v>
      </c>
      <c r="C24" s="349" t="n">
        <f aca="false">B24+C23</f>
        <v>22892.5714285714</v>
      </c>
      <c r="D24" s="349" t="n">
        <f aca="false">C24+D23</f>
        <v>48435.8571428571</v>
      </c>
      <c r="E24" s="349" t="n">
        <f aca="false">D24+E23</f>
        <v>73979.1428571428</v>
      </c>
      <c r="F24" s="349" t="n">
        <f aca="false">E24+F23</f>
        <v>99522.4285714286</v>
      </c>
      <c r="G24" s="349" t="n">
        <f aca="false">F24+G23</f>
        <v>119565.714285714</v>
      </c>
      <c r="H24" s="349" t="n">
        <f aca="false">G24+H23</f>
        <v>181359</v>
      </c>
      <c r="I24" s="349" t="n">
        <f aca="false">H24+I23</f>
        <v>217438</v>
      </c>
      <c r="J24" s="349" t="n">
        <f aca="false">I24+J23</f>
        <v>256017</v>
      </c>
      <c r="K24" s="349" t="n">
        <f aca="false">J24+K23</f>
        <v>294596</v>
      </c>
      <c r="L24" s="349" t="n">
        <f aca="false">K24+L23</f>
        <v>333175</v>
      </c>
      <c r="M24" s="349" t="n">
        <f aca="false">L24+M23</f>
        <v>371754</v>
      </c>
      <c r="N24" s="349" t="n">
        <f aca="false">M24+N23</f>
        <v>402333</v>
      </c>
      <c r="O24" s="349" t="n">
        <f aca="false">N24+O23</f>
        <v>440912</v>
      </c>
      <c r="P24" s="349" t="n">
        <f aca="false">O24+P23</f>
        <v>479491</v>
      </c>
      <c r="Q24" s="349" t="n">
        <f aca="false">P24+Q23</f>
        <v>518070</v>
      </c>
      <c r="R24" s="349" t="n">
        <f aca="false">Q24+R23</f>
        <v>553955</v>
      </c>
      <c r="S24" s="349" t="n">
        <f aca="false">R24+S23</f>
        <v>589840</v>
      </c>
      <c r="T24" s="349" t="n">
        <f aca="false">S24+T23</f>
        <v>575725</v>
      </c>
      <c r="U24" s="349" t="n">
        <f aca="false">T24+U23</f>
        <v>561610</v>
      </c>
      <c r="V24" s="349" t="n">
        <f aca="false">U24+V23</f>
        <v>547495</v>
      </c>
      <c r="W24" s="349" t="n">
        <f aca="false">V24+W23</f>
        <v>535880</v>
      </c>
      <c r="X24" s="349" t="n">
        <f aca="false">W24+X23</f>
        <v>524265</v>
      </c>
      <c r="Y24" s="349" t="n">
        <f aca="false">X24+Y23</f>
        <v>512650</v>
      </c>
      <c r="Z24" s="349" t="n">
        <f aca="false">Y24+Z23</f>
        <v>493035</v>
      </c>
      <c r="AA24" s="349" t="n">
        <f aca="false">Z24+AA23</f>
        <v>481420</v>
      </c>
      <c r="AB24" s="349" t="n">
        <f aca="false">AA24+AB23</f>
        <v>469805</v>
      </c>
      <c r="AC24" s="349" t="n">
        <f aca="false">AB24+AC23</f>
        <v>458190</v>
      </c>
      <c r="AD24" s="349" t="n">
        <f aca="false">AC24+AD23</f>
        <v>446575</v>
      </c>
      <c r="AE24" s="349" t="n">
        <f aca="false">AD24+AE23</f>
        <v>434960</v>
      </c>
      <c r="AF24" s="349" t="n">
        <f aca="false">AE24+AF23</f>
        <v>423345</v>
      </c>
      <c r="AG24" s="349" t="n">
        <f aca="false">AF24+AG23</f>
        <v>409230</v>
      </c>
      <c r="AH24" s="349" t="n">
        <f aca="false">AG24+AH23</f>
        <v>395115</v>
      </c>
      <c r="AI24" s="349" t="n">
        <f aca="false">AH24+AI23</f>
        <v>381000</v>
      </c>
      <c r="AJ24" s="349" t="n">
        <f aca="false">AI24+AJ23</f>
        <v>366885</v>
      </c>
      <c r="AK24" s="349" t="n">
        <f aca="false">AJ24+AK23</f>
        <v>352770</v>
      </c>
      <c r="AL24" s="349" t="n">
        <f aca="false">AK24+AL23</f>
        <v>330655</v>
      </c>
      <c r="AM24" s="349" t="n">
        <f aca="false">AL24+AM23</f>
        <v>316540</v>
      </c>
      <c r="AN24" s="349"/>
    </row>
    <row r="27" customFormat="false" ht="15" hidden="false" customHeight="true" outlineLevel="0" collapsed="false">
      <c r="A27" s="38" t="s">
        <v>975</v>
      </c>
      <c r="B27" s="38"/>
      <c r="C27" s="38"/>
    </row>
    <row r="28" customFormat="false" ht="15" hidden="false" customHeight="true" outlineLevel="0" collapsed="false">
      <c r="A28" s="175" t="s">
        <v>967</v>
      </c>
      <c r="B28" s="349" t="n">
        <f aca="false">AN14</f>
        <v>1044910</v>
      </c>
    </row>
    <row r="29" customFormat="false" ht="15" hidden="false" customHeight="true" outlineLevel="0" collapsed="false">
      <c r="A29" s="175" t="s">
        <v>972</v>
      </c>
      <c r="B29" s="349" t="n">
        <f aca="false">AN21</f>
        <v>728370</v>
      </c>
    </row>
    <row r="30" customFormat="false" ht="15" hidden="false" customHeight="true" outlineLevel="0" collapsed="false">
      <c r="A30" s="81" t="s">
        <v>976</v>
      </c>
      <c r="B30" s="359" t="n">
        <f aca="false">B28-B29</f>
        <v>316540</v>
      </c>
    </row>
    <row r="31" customFormat="false" ht="15" hidden="false" customHeight="true" outlineLevel="0" collapsed="false">
      <c r="A31" s="81" t="s">
        <v>977</v>
      </c>
      <c r="B31" s="359" t="n">
        <f aca="false">B30*0.5</f>
        <v>158270</v>
      </c>
    </row>
    <row r="32" customFormat="false" ht="15" hidden="false" customHeight="true" outlineLevel="0" collapsed="false">
      <c r="A32" s="175" t="s">
        <v>978</v>
      </c>
      <c r="B32" s="349" t="n">
        <f aca="false">B30*0.5</f>
        <v>158270</v>
      </c>
    </row>
    <row r="33" customFormat="false" ht="15" hidden="false" customHeight="true" outlineLevel="0" collapsed="false">
      <c r="A33" s="175" t="s">
        <v>979</v>
      </c>
      <c r="B33" s="349" t="n">
        <f aca="false">AN17+B32</f>
        <v>833270</v>
      </c>
    </row>
    <row r="35" customFormat="false" ht="15" hidden="false" customHeight="true" outlineLevel="0" collapsed="false">
      <c r="A35" s="115" t="s">
        <v>980</v>
      </c>
    </row>
    <row r="36" customFormat="false" ht="15" hidden="false" customHeight="true" outlineLevel="0" collapsed="false">
      <c r="A36" s="115" t="s">
        <v>981</v>
      </c>
    </row>
    <row r="37" customFormat="false" ht="15" hidden="false" customHeight="true" outlineLevel="0" collapsed="false">
      <c r="A37" s="115" t="s">
        <v>982</v>
      </c>
    </row>
    <row r="38" customFormat="false" ht="15" hidden="false" customHeight="true" outlineLevel="0" collapsed="false">
      <c r="A38" s="115" t="s">
        <v>983</v>
      </c>
    </row>
    <row r="39" customFormat="false" ht="15" hidden="false" customHeight="true" outlineLevel="0" collapsed="false">
      <c r="A39" s="115" t="s">
        <v>984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C49" activeCellId="0" sqref="C4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37" min="2" style="1" width="13"/>
  </cols>
  <sheetData>
    <row r="1" customFormat="false" ht="17.25" hidden="false" customHeight="true" outlineLevel="0" collapsed="false">
      <c r="A1" s="2" t="s">
        <v>232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5" hidden="false" customHeight="true" outlineLevel="0" collapsed="false">
      <c r="A2" s="16" t="s">
        <v>198</v>
      </c>
      <c r="B2" s="102" t="s">
        <v>233</v>
      </c>
      <c r="C2" s="103" t="s">
        <v>234</v>
      </c>
      <c r="D2" s="103" t="s">
        <v>235</v>
      </c>
      <c r="E2" s="103" t="s">
        <v>236</v>
      </c>
      <c r="F2" s="103" t="s">
        <v>237</v>
      </c>
      <c r="G2" s="103" t="s">
        <v>238</v>
      </c>
      <c r="H2" s="103" t="s">
        <v>239</v>
      </c>
      <c r="I2" s="103" t="s">
        <v>240</v>
      </c>
      <c r="J2" s="103" t="s">
        <v>241</v>
      </c>
      <c r="K2" s="103" t="s">
        <v>242</v>
      </c>
      <c r="L2" s="103" t="s">
        <v>243</v>
      </c>
      <c r="M2" s="103" t="s">
        <v>244</v>
      </c>
      <c r="N2" s="103" t="s">
        <v>245</v>
      </c>
      <c r="O2" s="103" t="s">
        <v>246</v>
      </c>
      <c r="P2" s="103" t="s">
        <v>247</v>
      </c>
      <c r="Q2" s="103" t="s">
        <v>248</v>
      </c>
      <c r="R2" s="103" t="s">
        <v>249</v>
      </c>
      <c r="S2" s="103" t="s">
        <v>250</v>
      </c>
      <c r="T2" s="103" t="s">
        <v>251</v>
      </c>
      <c r="U2" s="103" t="s">
        <v>252</v>
      </c>
      <c r="V2" s="103" t="s">
        <v>253</v>
      </c>
      <c r="W2" s="103" t="s">
        <v>254</v>
      </c>
      <c r="X2" s="103" t="s">
        <v>255</v>
      </c>
      <c r="Y2" s="103" t="s">
        <v>256</v>
      </c>
      <c r="Z2" s="103" t="s">
        <v>257</v>
      </c>
      <c r="AA2" s="103" t="s">
        <v>258</v>
      </c>
      <c r="AB2" s="103" t="s">
        <v>259</v>
      </c>
      <c r="AC2" s="103" t="s">
        <v>260</v>
      </c>
      <c r="AD2" s="103" t="s">
        <v>261</v>
      </c>
      <c r="AE2" s="104" t="s">
        <v>262</v>
      </c>
      <c r="AF2" s="104" t="s">
        <v>263</v>
      </c>
      <c r="AG2" s="104" t="s">
        <v>264</v>
      </c>
      <c r="AH2" s="104" t="s">
        <v>265</v>
      </c>
      <c r="AI2" s="104" t="s">
        <v>266</v>
      </c>
      <c r="AJ2" s="104" t="s">
        <v>267</v>
      </c>
      <c r="AK2" s="104" t="s">
        <v>268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</row>
    <row r="4" customFormat="false" ht="15" hidden="false" customHeight="true" outlineLevel="0" collapsed="false">
      <c r="A4" s="90" t="s">
        <v>208</v>
      </c>
      <c r="B4" s="91" t="n">
        <f aca="false">SUM(Model!B10:D10)</f>
        <v>474538.45</v>
      </c>
      <c r="C4" s="91" t="n">
        <f aca="false">SUM(Model!E10:G10)</f>
        <v>854579.17</v>
      </c>
      <c r="D4" s="91" t="n">
        <f aca="false">SUM(Model!H10:J10)</f>
        <v>1289767.18036699</v>
      </c>
      <c r="E4" s="91" t="n">
        <f aca="false">SUM(Model!K10:M10)</f>
        <v>1619242.54891045</v>
      </c>
      <c r="F4" s="91" t="n">
        <f aca="false">SUM(Model!N10:P10)</f>
        <v>1394490.72261806</v>
      </c>
      <c r="G4" s="91" t="n">
        <f aca="false">SUM(Model!Q10:S10)</f>
        <v>1507358.24957029</v>
      </c>
      <c r="H4" s="91" t="n">
        <f aca="false">SUM(Model!T10:V10)</f>
        <v>1207112.31926478</v>
      </c>
      <c r="I4" s="91" t="n">
        <f aca="false">SUM(Model!W10:Y10)</f>
        <v>1158567.33119873</v>
      </c>
      <c r="J4" s="91" t="n">
        <f aca="false">SUM(Model!Z10:AB10)</f>
        <v>1153713.09135279</v>
      </c>
      <c r="K4" s="91" t="n">
        <f aca="false">SUM(Model!AC10:AE10)</f>
        <v>1050822.00558076</v>
      </c>
      <c r="L4" s="91" t="n">
        <f aca="false">SUM(Model!AF10:AH10)</f>
        <v>1128449.54715895</v>
      </c>
      <c r="M4" s="91" t="n">
        <f aca="false">SUM(Model!AI10:AK10)</f>
        <v>939502.487341345</v>
      </c>
      <c r="N4" s="91" t="n">
        <f aca="false">SUM(Model!AL10:AN10)</f>
        <v>887097.413792532</v>
      </c>
      <c r="O4" s="91" t="n">
        <f aca="false">SUM(Model!AO10:AQ10)</f>
        <v>566116.33830605</v>
      </c>
      <c r="P4" s="91" t="n">
        <f aca="false">SUM(Model!AR10:AT10)</f>
        <v>721822.71041355</v>
      </c>
      <c r="Q4" s="91" t="n">
        <f aca="false">SUM(Model!AU10:AW10)</f>
        <v>270274.2313018</v>
      </c>
      <c r="R4" s="91" t="n">
        <f aca="false">SUM(Model!AX10:AZ10)</f>
        <v>270274.2313018</v>
      </c>
      <c r="S4" s="91" t="n">
        <f aca="false">SUM(Model!BA10:BC10)</f>
        <v>270274.2313018</v>
      </c>
      <c r="T4" s="91" t="n">
        <f aca="false">SUM(Model!BD10:BF10)</f>
        <v>270274.2313018</v>
      </c>
      <c r="U4" s="91" t="n">
        <f aca="false">SUM(Model!BG10:BI10)</f>
        <v>322432.416289867</v>
      </c>
      <c r="V4" s="91" t="n">
        <f aca="false">SUM(Model!BJ10:BL10)</f>
        <v>0</v>
      </c>
      <c r="W4" s="91" t="n">
        <f aca="false">SUM(Model!BM10:BO10)</f>
        <v>0</v>
      </c>
      <c r="X4" s="91" t="n">
        <f aca="false">SUM(Model!BP10:BR10)</f>
        <v>0</v>
      </c>
      <c r="Y4" s="91" t="n">
        <f aca="false">SUM(Model!BS10:BU10)</f>
        <v>0</v>
      </c>
      <c r="Z4" s="91" t="n">
        <f aca="false">SUM(Model!BV10:BX10)</f>
        <v>0</v>
      </c>
      <c r="AA4" s="91" t="n">
        <f aca="false">SUM(Model!BY10:CA10)</f>
        <v>0</v>
      </c>
      <c r="AB4" s="91" t="n">
        <f aca="false">SUM(Model!CB10:CD10)</f>
        <v>0</v>
      </c>
      <c r="AC4" s="91" t="n">
        <f aca="false">SUM(Model!CE10:CG10)</f>
        <v>0</v>
      </c>
      <c r="AD4" s="91" t="n">
        <f aca="false">SUM(Model!CH10:CJ10)</f>
        <v>0</v>
      </c>
      <c r="AE4" s="91" t="n">
        <f aca="false">SUM(Model!CK10:CM10)</f>
        <v>0</v>
      </c>
      <c r="AF4" s="91" t="n">
        <f aca="false">SUM(Model!CN10:CP10)</f>
        <v>0</v>
      </c>
      <c r="AG4" s="91" t="n">
        <f aca="false">SUM(Model!CQ10:CS10)</f>
        <v>0</v>
      </c>
      <c r="AH4" s="91" t="n">
        <f aca="false">SUM(Model!CT10:CV10)</f>
        <v>0</v>
      </c>
      <c r="AI4" s="91" t="n">
        <f aca="false">SUM(Model!CW10:CY10)</f>
        <v>0</v>
      </c>
      <c r="AJ4" s="91" t="n">
        <f aca="false">SUM(Model!CZ10:DB10)</f>
        <v>0</v>
      </c>
      <c r="AK4" s="91" t="n">
        <f aca="false">SUM(Model!DC10:DE10)</f>
        <v>0</v>
      </c>
    </row>
    <row r="5" customFormat="false" ht="15" hidden="false" customHeight="true" outlineLevel="0" collapsed="false">
      <c r="A5" s="90" t="s">
        <v>209</v>
      </c>
      <c r="B5" s="91" t="n">
        <f aca="false">SUM(Model!B11:D11)</f>
        <v>319091.99</v>
      </c>
      <c r="C5" s="91" t="n">
        <f aca="false">SUM(Model!E11:G11)</f>
        <v>669542.47</v>
      </c>
      <c r="D5" s="91" t="n">
        <f aca="false">SUM(Model!H11:J11)</f>
        <v>1035088.3389348</v>
      </c>
      <c r="E5" s="91" t="n">
        <f aca="false">SUM(Model!K11:M11)</f>
        <v>1281581.89826273</v>
      </c>
      <c r="F5" s="91" t="n">
        <f aca="false">SUM(Model!N11:P11)</f>
        <v>1100517.26633386</v>
      </c>
      <c r="G5" s="91" t="n">
        <f aca="false">SUM(Model!Q11:S11)</f>
        <v>1170597.44960655</v>
      </c>
      <c r="H5" s="91" t="n">
        <f aca="false">SUM(Model!T11:V11)</f>
        <v>919439.346493063</v>
      </c>
      <c r="I5" s="91" t="n">
        <f aca="false">SUM(Model!W11:Y11)</f>
        <v>871508.406899045</v>
      </c>
      <c r="J5" s="91" t="n">
        <f aca="false">SUM(Model!Z11:AB11)</f>
        <v>865280.625938491</v>
      </c>
      <c r="K5" s="91" t="n">
        <f aca="false">SUM(Model!AC11:AE11)</f>
        <v>788112.685514134</v>
      </c>
      <c r="L5" s="91" t="n">
        <f aca="false">SUM(Model!AF11:AH11)</f>
        <v>846333.059600453</v>
      </c>
      <c r="M5" s="91" t="n">
        <f aca="false">SUM(Model!AI11:AK11)</f>
        <v>704623.451368036</v>
      </c>
      <c r="N5" s="91" t="n">
        <f aca="false">SUM(Model!AL11:AN11)</f>
        <v>665319.836645679</v>
      </c>
      <c r="O5" s="91" t="n">
        <f aca="false">SUM(Model!AO11:AQ11)</f>
        <v>424585.19647124</v>
      </c>
      <c r="P5" s="91" t="n">
        <f aca="false">SUM(Model!AR11:AT11)</f>
        <v>541364.40971724</v>
      </c>
      <c r="Q5" s="91" t="n">
        <f aca="false">SUM(Model!AU11:AW11)</f>
        <v>202704.69130384</v>
      </c>
      <c r="R5" s="91" t="n">
        <f aca="false">SUM(Model!AX11:AZ11)</f>
        <v>202704.69130384</v>
      </c>
      <c r="S5" s="91" t="n">
        <f aca="false">SUM(Model!BA11:BC11)</f>
        <v>202704.69130384</v>
      </c>
      <c r="T5" s="91" t="n">
        <f aca="false">SUM(Model!BD11:BF11)</f>
        <v>202704.69130384</v>
      </c>
      <c r="U5" s="91" t="n">
        <f aca="false">SUM(Model!BG11:BI11)</f>
        <v>241823.140502827</v>
      </c>
      <c r="V5" s="91" t="n">
        <f aca="false">SUM(Model!BJ11:BL11)</f>
        <v>0</v>
      </c>
      <c r="W5" s="91" t="n">
        <f aca="false">SUM(Model!BM11:BO11)</f>
        <v>0</v>
      </c>
      <c r="X5" s="91" t="n">
        <f aca="false">SUM(Model!BP11:BR11)</f>
        <v>0</v>
      </c>
      <c r="Y5" s="91" t="n">
        <f aca="false">SUM(Model!BS11:BU11)</f>
        <v>0</v>
      </c>
      <c r="Z5" s="91" t="n">
        <f aca="false">SUM(Model!BV11:BX11)</f>
        <v>0</v>
      </c>
      <c r="AA5" s="91" t="n">
        <f aca="false">SUM(Model!BY11:CA11)</f>
        <v>0</v>
      </c>
      <c r="AB5" s="91" t="n">
        <f aca="false">SUM(Model!CB11:CD11)</f>
        <v>0</v>
      </c>
      <c r="AC5" s="91" t="n">
        <f aca="false">SUM(Model!CE11:CG11)</f>
        <v>0</v>
      </c>
      <c r="AD5" s="91" t="n">
        <f aca="false">SUM(Model!CH11:CJ11)</f>
        <v>0</v>
      </c>
      <c r="AE5" s="91" t="n">
        <f aca="false">SUM(Model!CK11:CM11)</f>
        <v>0</v>
      </c>
      <c r="AF5" s="91" t="n">
        <f aca="false">SUM(Model!CN11:CP11)</f>
        <v>0</v>
      </c>
      <c r="AG5" s="91" t="n">
        <f aca="false">SUM(Model!CQ11:CS11)</f>
        <v>0</v>
      </c>
      <c r="AH5" s="91" t="n">
        <f aca="false">SUM(Model!CT11:CV11)</f>
        <v>0</v>
      </c>
      <c r="AI5" s="91" t="n">
        <f aca="false">SUM(Model!CW11:CY11)</f>
        <v>0</v>
      </c>
      <c r="AJ5" s="91" t="n">
        <f aca="false">SUM(Model!CZ11:DB11)</f>
        <v>0</v>
      </c>
      <c r="AK5" s="91" t="n">
        <f aca="false">SUM(Model!DC11:DE11)</f>
        <v>0</v>
      </c>
    </row>
    <row r="6" customFormat="false" ht="15" hidden="false" customHeight="true" outlineLevel="0" collapsed="false">
      <c r="A6" s="90" t="s">
        <v>210</v>
      </c>
      <c r="B6" s="91" t="n">
        <f aca="false">SUM(Model!B57:D57)</f>
        <v>6354898.1</v>
      </c>
      <c r="C6" s="91" t="n">
        <f aca="false">SUM(Model!E57:G57)</f>
        <v>12836560.87</v>
      </c>
      <c r="D6" s="91" t="n">
        <f aca="false">SUM(Model!H57:J57)</f>
        <v>15447263.3324776</v>
      </c>
      <c r="E6" s="91" t="n">
        <f aca="false">SUM(Model!K57:M57)</f>
        <v>18839335.6364672</v>
      </c>
      <c r="F6" s="91" t="n">
        <f aca="false">SUM(Model!N57:P57)</f>
        <v>19537834.3487311</v>
      </c>
      <c r="G6" s="91" t="n">
        <f aca="false">SUM(Model!Q57:S57)</f>
        <v>22016866.0488508</v>
      </c>
      <c r="H6" s="91" t="n">
        <f aca="false">SUM(Model!T57:V57)</f>
        <v>19847293.9100143</v>
      </c>
      <c r="I6" s="91" t="n">
        <f aca="false">SUM(Model!W57:Y57)</f>
        <v>18945121.3580302</v>
      </c>
      <c r="J6" s="91" t="n">
        <f aca="false">SUM(Model!Z57:AB57)</f>
        <v>16705947.3266612</v>
      </c>
      <c r="K6" s="91" t="n">
        <f aca="false">SUM(Model!AC57:AE57)</f>
        <v>13906572.1919455</v>
      </c>
      <c r="L6" s="91" t="n">
        <f aca="false">SUM(Model!AF57:AH57)</f>
        <v>12784288.1902736</v>
      </c>
      <c r="M6" s="91" t="n">
        <f aca="false">SUM(Model!AI57:AK57)</f>
        <v>11247671.880843</v>
      </c>
      <c r="N6" s="91" t="n">
        <f aca="false">SUM(Model!AL57:AN57)</f>
        <v>8694755.47780359</v>
      </c>
      <c r="O6" s="91" t="n">
        <f aca="false">SUM(Model!AO57:AQ57)</f>
        <v>7969650.95351671</v>
      </c>
      <c r="P6" s="91" t="n">
        <f aca="false">SUM(Model!AR57:AT57)</f>
        <v>6942761.80178521</v>
      </c>
      <c r="Q6" s="91" t="n">
        <f aca="false">SUM(Model!AU57:AW57)</f>
        <v>5044597.43346636</v>
      </c>
      <c r="R6" s="91" t="n">
        <f aca="false">SUM(Model!AX57:AZ57)</f>
        <v>4425063.69147436</v>
      </c>
      <c r="S6" s="91" t="n">
        <f aca="false">SUM(Model!BA57:BC57)</f>
        <v>3503558.42661836</v>
      </c>
      <c r="T6" s="91" t="n">
        <f aca="false">SUM(Model!BD57:BF57)</f>
        <v>2479535.02903436</v>
      </c>
      <c r="U6" s="91" t="n">
        <f aca="false">SUM(Model!BG57:BI57)</f>
        <v>867400.448415307</v>
      </c>
      <c r="V6" s="91" t="n">
        <f aca="false">SUM(Model!BJ57:BL57)</f>
        <v>0</v>
      </c>
      <c r="W6" s="91" t="n">
        <f aca="false">SUM(Model!BM57:BO57)</f>
        <v>0</v>
      </c>
      <c r="X6" s="91" t="n">
        <f aca="false">SUM(Model!BP57:BR57)</f>
        <v>0</v>
      </c>
      <c r="Y6" s="91" t="n">
        <f aca="false">SUM(Model!BS57:BU57)</f>
        <v>0</v>
      </c>
      <c r="Z6" s="91" t="n">
        <f aca="false">SUM(Model!BV57:BX57)</f>
        <v>0</v>
      </c>
      <c r="AA6" s="91" t="n">
        <f aca="false">SUM(Model!BY57:CA57)</f>
        <v>0</v>
      </c>
      <c r="AB6" s="91" t="n">
        <f aca="false">SUM(Model!CB57:CD57)</f>
        <v>0</v>
      </c>
      <c r="AC6" s="91" t="n">
        <f aca="false">SUM(Model!CE57:CG57)</f>
        <v>0</v>
      </c>
      <c r="AD6" s="91" t="n">
        <f aca="false">SUM(Model!CH57:CJ57)</f>
        <v>0</v>
      </c>
      <c r="AE6" s="91" t="n">
        <f aca="false">SUM(Model!CK57:CM57)</f>
        <v>0</v>
      </c>
      <c r="AF6" s="91" t="n">
        <f aca="false">SUM(Model!CN57:CP57)</f>
        <v>0</v>
      </c>
      <c r="AG6" s="91" t="n">
        <f aca="false">SUM(Model!CQ57:CS57)</f>
        <v>0</v>
      </c>
      <c r="AH6" s="91" t="n">
        <f aca="false">SUM(Model!CT57:CV57)</f>
        <v>0</v>
      </c>
      <c r="AI6" s="91" t="n">
        <f aca="false">SUM(Model!CW57:CY57)</f>
        <v>0</v>
      </c>
      <c r="AJ6" s="91" t="n">
        <f aca="false">SUM(Model!CZ57:DB57)</f>
        <v>0</v>
      </c>
      <c r="AK6" s="91" t="n">
        <f aca="false">SUM(Model!DC57:DE57)</f>
        <v>0</v>
      </c>
    </row>
    <row r="7" customFormat="false" ht="15" hidden="false" customHeight="true" outlineLevel="0" collapsed="false">
      <c r="A7" s="105" t="s">
        <v>52</v>
      </c>
      <c r="B7" s="106" t="n">
        <f aca="false">SUM(Model!B58:D58)</f>
        <v>7148528.54</v>
      </c>
      <c r="C7" s="106" t="n">
        <f aca="false">SUM(Model!E58:G58)</f>
        <v>14360682.51</v>
      </c>
      <c r="D7" s="106" t="n">
        <f aca="false">SUM(Model!H58:J58)</f>
        <v>17772118.8517794</v>
      </c>
      <c r="E7" s="106" t="n">
        <f aca="false">SUM(Model!K58:M58)</f>
        <v>21740160.0836404</v>
      </c>
      <c r="F7" s="106" t="n">
        <f aca="false">SUM(Model!N58:P58)</f>
        <v>22032842.337683</v>
      </c>
      <c r="G7" s="106" t="n">
        <f aca="false">SUM(Model!Q58:S58)</f>
        <v>24694821.7480277</v>
      </c>
      <c r="H7" s="106" t="n">
        <f aca="false">SUM(Model!T58:V58)</f>
        <v>21973845.5757721</v>
      </c>
      <c r="I7" s="106" t="n">
        <f aca="false">SUM(Model!W58:Y58)</f>
        <v>20975197.096128</v>
      </c>
      <c r="J7" s="106" t="n">
        <f aca="false">SUM(Model!Z58:AB58)</f>
        <v>18724941.0439525</v>
      </c>
      <c r="K7" s="106" t="n">
        <f aca="false">SUM(Model!AC58:AE58)</f>
        <v>15745506.8830404</v>
      </c>
      <c r="L7" s="106" t="n">
        <f aca="false">SUM(Model!AF58:AH58)</f>
        <v>14759070.797033</v>
      </c>
      <c r="M7" s="106" t="n">
        <f aca="false">SUM(Model!AI58:AK58)</f>
        <v>12891797.8195524</v>
      </c>
      <c r="N7" s="106" t="n">
        <f aca="false">SUM(Model!AL58:AN58)</f>
        <v>10247172.7282418</v>
      </c>
      <c r="O7" s="106" t="n">
        <f aca="false">SUM(Model!AO58:AQ58)</f>
        <v>8960352.488294</v>
      </c>
      <c r="P7" s="106" t="n">
        <f aca="false">SUM(Model!AR58:AT58)</f>
        <v>8205948.921916</v>
      </c>
      <c r="Q7" s="106" t="n">
        <f aca="false">SUM(Model!AU58:AW58)</f>
        <v>5517576.356072</v>
      </c>
      <c r="R7" s="106" t="n">
        <f aca="false">SUM(Model!AX58:AZ58)</f>
        <v>4898042.61408</v>
      </c>
      <c r="S7" s="106" t="n">
        <f aca="false">SUM(Model!BA58:BC58)</f>
        <v>3976537.349224</v>
      </c>
      <c r="T7" s="106" t="n">
        <f aca="false">SUM(Model!BD58:BF58)</f>
        <v>2952513.95164</v>
      </c>
      <c r="U7" s="106" t="n">
        <f aca="false">SUM(Model!BG58:BI58)</f>
        <v>1431656.005208</v>
      </c>
      <c r="V7" s="106" t="n">
        <f aca="false">SUM(Model!BJ58:BL58)</f>
        <v>0</v>
      </c>
      <c r="W7" s="106" t="n">
        <f aca="false">SUM(Model!BM58:BO58)</f>
        <v>0</v>
      </c>
      <c r="X7" s="106" t="n">
        <f aca="false">SUM(Model!BP58:BR58)</f>
        <v>0</v>
      </c>
      <c r="Y7" s="106" t="n">
        <f aca="false">SUM(Model!BS58:BU58)</f>
        <v>0</v>
      </c>
      <c r="Z7" s="106" t="n">
        <f aca="false">SUM(Model!BV58:BX58)</f>
        <v>0</v>
      </c>
      <c r="AA7" s="106" t="n">
        <f aca="false">SUM(Model!BY58:CA58)</f>
        <v>0</v>
      </c>
      <c r="AB7" s="106" t="n">
        <f aca="false">SUM(Model!CB58:CD58)</f>
        <v>0</v>
      </c>
      <c r="AC7" s="106" t="n">
        <f aca="false">SUM(Model!CE58:CG58)</f>
        <v>0</v>
      </c>
      <c r="AD7" s="106" t="n">
        <f aca="false">SUM(Model!CH58:CJ58)</f>
        <v>0</v>
      </c>
      <c r="AE7" s="106" t="n">
        <f aca="false">SUM(Model!CK58:CM58)</f>
        <v>0</v>
      </c>
      <c r="AF7" s="106" t="n">
        <f aca="false">SUM(Model!CN58:CP58)</f>
        <v>0</v>
      </c>
      <c r="AG7" s="106" t="n">
        <f aca="false">SUM(Model!CQ58:CS58)</f>
        <v>0</v>
      </c>
      <c r="AH7" s="106" t="n">
        <f aca="false">SUM(Model!CT58:CV58)</f>
        <v>0</v>
      </c>
      <c r="AI7" s="106" t="n">
        <f aca="false">SUM(Model!CW58:CY58)</f>
        <v>0</v>
      </c>
      <c r="AJ7" s="106" t="n">
        <f aca="false">SUM(Model!CZ58:DB58)</f>
        <v>0</v>
      </c>
      <c r="AK7" s="106" t="n">
        <f aca="false">SUM(Model!DC58:DE58)</f>
        <v>0</v>
      </c>
    </row>
    <row r="8" customFormat="false" ht="15" hidden="false" customHeight="true" outlineLevel="0" collapsed="false">
      <c r="A8" s="90" t="s">
        <v>53</v>
      </c>
      <c r="B8" s="91" t="n">
        <f aca="false">SUM(Model!B104:D104)</f>
        <v>-6384621.43</v>
      </c>
      <c r="C8" s="91" t="n">
        <f aca="false">SUM(Model!E104:G104)</f>
        <v>-12787892.43</v>
      </c>
      <c r="D8" s="91" t="n">
        <f aca="false">SUM(Model!H104:J104)</f>
        <v>-15743373.5435035</v>
      </c>
      <c r="E8" s="91" t="n">
        <f aca="false">SUM(Model!K104:M104)</f>
        <v>-19125004.2791275</v>
      </c>
      <c r="F8" s="91" t="n">
        <f aca="false">SUM(Model!N104:P104)</f>
        <v>-19762782.0709045</v>
      </c>
      <c r="G8" s="91" t="n">
        <f aca="false">SUM(Model!Q104:S104)</f>
        <v>-22160120.6112036</v>
      </c>
      <c r="H8" s="91" t="n">
        <f aca="false">SUM(Model!T104:V104)</f>
        <v>-19856032.6134204</v>
      </c>
      <c r="I8" s="91" t="n">
        <f aca="false">SUM(Model!W104:Y104)</f>
        <v>-18945223.7364117</v>
      </c>
      <c r="J8" s="91" t="n">
        <f aca="false">SUM(Model!Z104:AB104)</f>
        <v>-16705947.3266612</v>
      </c>
      <c r="K8" s="91" t="n">
        <f aca="false">SUM(Model!AC104:AE104)</f>
        <v>-13906572.1919455</v>
      </c>
      <c r="L8" s="91" t="n">
        <f aca="false">SUM(Model!AF104:AH104)</f>
        <v>-12784288.1902736</v>
      </c>
      <c r="M8" s="91" t="n">
        <f aca="false">SUM(Model!AI104:AK104)</f>
        <v>-11247671.880843</v>
      </c>
      <c r="N8" s="91" t="n">
        <f aca="false">SUM(Model!AL104:AN104)</f>
        <v>-8694755.47780359</v>
      </c>
      <c r="O8" s="91" t="n">
        <f aca="false">SUM(Model!AO104:AQ104)</f>
        <v>-7969650.95351671</v>
      </c>
      <c r="P8" s="91" t="n">
        <f aca="false">SUM(Model!AR104:AT104)</f>
        <v>-6942761.80178521</v>
      </c>
      <c r="Q8" s="91" t="n">
        <f aca="false">SUM(Model!AU104:AW104)</f>
        <v>-5044597.43346636</v>
      </c>
      <c r="R8" s="91" t="n">
        <f aca="false">SUM(Model!AX104:AZ104)</f>
        <v>-4425063.69147436</v>
      </c>
      <c r="S8" s="91" t="n">
        <f aca="false">SUM(Model!BA104:BC104)</f>
        <v>-3503558.42661836</v>
      </c>
      <c r="T8" s="91" t="n">
        <f aca="false">SUM(Model!BD104:BF104)</f>
        <v>-2479535.02903436</v>
      </c>
      <c r="U8" s="91" t="n">
        <f aca="false">SUM(Model!BG104:BI104)</f>
        <v>-867400.448415307</v>
      </c>
      <c r="V8" s="91" t="n">
        <f aca="false">SUM(Model!BJ104:BL104)</f>
        <v>0</v>
      </c>
      <c r="W8" s="91" t="n">
        <f aca="false">SUM(Model!BM104:BO104)</f>
        <v>0</v>
      </c>
      <c r="X8" s="91" t="n">
        <f aca="false">SUM(Model!BP104:BR104)</f>
        <v>0</v>
      </c>
      <c r="Y8" s="91" t="n">
        <f aca="false">SUM(Model!BS104:BU104)</f>
        <v>0</v>
      </c>
      <c r="Z8" s="91" t="n">
        <f aca="false">SUM(Model!BV104:BX104)</f>
        <v>0</v>
      </c>
      <c r="AA8" s="91" t="n">
        <f aca="false">SUM(Model!BY104:CA104)</f>
        <v>0</v>
      </c>
      <c r="AB8" s="91" t="n">
        <f aca="false">SUM(Model!CB104:CD104)</f>
        <v>0</v>
      </c>
      <c r="AC8" s="91" t="n">
        <f aca="false">SUM(Model!CE104:CG104)</f>
        <v>0</v>
      </c>
      <c r="AD8" s="91" t="n">
        <f aca="false">SUM(Model!CH104:CJ104)</f>
        <v>0</v>
      </c>
      <c r="AE8" s="91" t="n">
        <f aca="false">SUM(Model!CK104:CM104)</f>
        <v>0</v>
      </c>
      <c r="AF8" s="91" t="n">
        <f aca="false">SUM(Model!CN104:CP104)</f>
        <v>0</v>
      </c>
      <c r="AG8" s="91" t="n">
        <f aca="false">SUM(Model!CQ104:CS104)</f>
        <v>0</v>
      </c>
      <c r="AH8" s="91" t="n">
        <f aca="false">SUM(Model!CT104:CV104)</f>
        <v>0</v>
      </c>
      <c r="AI8" s="91" t="n">
        <f aca="false">SUM(Model!CW104:CY104)</f>
        <v>0</v>
      </c>
      <c r="AJ8" s="91" t="n">
        <f aca="false">SUM(Model!CZ104:DB104)</f>
        <v>0</v>
      </c>
      <c r="AK8" s="91" t="n">
        <f aca="false">SUM(Model!DC104:DE104)</f>
        <v>0</v>
      </c>
    </row>
    <row r="9" customFormat="false" ht="15" hidden="false" customHeight="true" outlineLevel="0" collapsed="false">
      <c r="A9" s="90" t="s">
        <v>211</v>
      </c>
      <c r="B9" s="91" t="n">
        <f aca="false">SUM(Model!B105:D105)</f>
        <v>0</v>
      </c>
      <c r="C9" s="91" t="n">
        <f aca="false">SUM(Model!E105:G105)</f>
        <v>0</v>
      </c>
      <c r="D9" s="91" t="n">
        <f aca="false">SUM(Model!H105:J105)</f>
        <v>1561967.335</v>
      </c>
      <c r="E9" s="91" t="n">
        <f aca="false">SUM(Model!K105:M105)</f>
        <v>0</v>
      </c>
      <c r="F9" s="91" t="n">
        <f aca="false">SUM(Model!N105:P105)</f>
        <v>0</v>
      </c>
      <c r="G9" s="91" t="n">
        <f aca="false">SUM(Model!Q105:S105)</f>
        <v>679001.55</v>
      </c>
      <c r="H9" s="91" t="n">
        <f aca="false">SUM(Model!T105:V105)</f>
        <v>0</v>
      </c>
      <c r="I9" s="91" t="n">
        <f aca="false">SUM(Model!W105:Y105)</f>
        <v>0</v>
      </c>
      <c r="J9" s="91" t="n">
        <f aca="false">SUM(Model!Z105:AB105)</f>
        <v>0</v>
      </c>
      <c r="K9" s="91" t="n">
        <f aca="false">SUM(Model!AC105:AE105)</f>
        <v>620319.48</v>
      </c>
      <c r="L9" s="91" t="n">
        <f aca="false">SUM(Model!AF105:AH105)</f>
        <v>0</v>
      </c>
      <c r="M9" s="91" t="n">
        <f aca="false">SUM(Model!AI105:AK105)</f>
        <v>0</v>
      </c>
      <c r="N9" s="91" t="n">
        <f aca="false">SUM(Model!AL105:AN105)</f>
        <v>0</v>
      </c>
      <c r="O9" s="91" t="n">
        <f aca="false">SUM(Model!AO105:AQ105)</f>
        <v>0</v>
      </c>
      <c r="P9" s="91" t="n">
        <f aca="false">SUM(Model!AR105:AT105)</f>
        <v>0</v>
      </c>
      <c r="Q9" s="91" t="n">
        <f aca="false">SUM(Model!AU105:AW105)</f>
        <v>0</v>
      </c>
      <c r="R9" s="91" t="n">
        <f aca="false">SUM(Model!AX105:AZ105)</f>
        <v>0</v>
      </c>
      <c r="S9" s="91" t="n">
        <f aca="false">SUM(Model!BA105:BC105)</f>
        <v>0</v>
      </c>
      <c r="T9" s="91" t="n">
        <f aca="false">SUM(Model!BD105:BF105)</f>
        <v>0</v>
      </c>
      <c r="U9" s="91" t="n">
        <f aca="false">SUM(Model!BG105:BI105)</f>
        <v>0</v>
      </c>
      <c r="V9" s="91" t="n">
        <f aca="false">SUM(Model!BJ105:BL105)</f>
        <v>0</v>
      </c>
      <c r="W9" s="91" t="n">
        <f aca="false">SUM(Model!BM105:BO105)</f>
        <v>0</v>
      </c>
      <c r="X9" s="91" t="n">
        <f aca="false">SUM(Model!BP105:BR105)</f>
        <v>0</v>
      </c>
      <c r="Y9" s="91" t="n">
        <f aca="false">SUM(Model!BS105:BU105)</f>
        <v>0</v>
      </c>
      <c r="Z9" s="91" t="n">
        <f aca="false">SUM(Model!BV105:BX105)</f>
        <v>0</v>
      </c>
      <c r="AA9" s="91" t="n">
        <f aca="false">SUM(Model!BY105:CA105)</f>
        <v>0</v>
      </c>
      <c r="AB9" s="91" t="n">
        <f aca="false">SUM(Model!CB105:CD105)</f>
        <v>0</v>
      </c>
      <c r="AC9" s="91" t="n">
        <f aca="false">SUM(Model!CE105:CG105)</f>
        <v>0</v>
      </c>
      <c r="AD9" s="91" t="n">
        <f aca="false">SUM(Model!CH105:CJ105)</f>
        <v>0</v>
      </c>
      <c r="AE9" s="91" t="n">
        <f aca="false">SUM(Model!CK105:CM105)</f>
        <v>0</v>
      </c>
      <c r="AF9" s="91" t="n">
        <f aca="false">SUM(Model!CN105:CP105)</f>
        <v>0</v>
      </c>
      <c r="AG9" s="91" t="n">
        <f aca="false">SUM(Model!CQ105:CS105)</f>
        <v>0</v>
      </c>
      <c r="AH9" s="91" t="n">
        <f aca="false">SUM(Model!CT105:CV105)</f>
        <v>0</v>
      </c>
      <c r="AI9" s="91" t="n">
        <f aca="false">SUM(Model!CW105:CY105)</f>
        <v>0</v>
      </c>
      <c r="AJ9" s="91" t="n">
        <f aca="false">SUM(Model!CZ105:DB105)</f>
        <v>0</v>
      </c>
      <c r="AK9" s="91" t="n">
        <f aca="false">SUM(Model!DC105:DE105)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SUM(Model!B106:D106)</f>
        <v>-1966.5</v>
      </c>
      <c r="C10" s="91" t="n">
        <f aca="false">SUM(Model!E106:G106)</f>
        <v>0</v>
      </c>
      <c r="D10" s="91" t="n">
        <f aca="false">SUM(Model!H106:J106)</f>
        <v>-1896672.58580814</v>
      </c>
      <c r="E10" s="91" t="n">
        <f aca="false">SUM(Model!K106:M106)</f>
        <v>0</v>
      </c>
      <c r="F10" s="91" t="n">
        <f aca="false">SUM(Model!N106:P106)</f>
        <v>0</v>
      </c>
      <c r="G10" s="91" t="n">
        <f aca="false">SUM(Model!Q106:S106)</f>
        <v>-1471170.025</v>
      </c>
      <c r="H10" s="91" t="n">
        <f aca="false">SUM(Model!T106:V106)</f>
        <v>0</v>
      </c>
      <c r="I10" s="91" t="n">
        <f aca="false">SUM(Model!W106:Y106)</f>
        <v>0</v>
      </c>
      <c r="J10" s="91" t="n">
        <f aca="false">SUM(Model!Z106:AB106)</f>
        <v>0</v>
      </c>
      <c r="K10" s="91" t="n">
        <f aca="false">SUM(Model!AC106:AE106)</f>
        <v>-1344025.54</v>
      </c>
      <c r="L10" s="91" t="n">
        <f aca="false">SUM(Model!AF106:AH106)</f>
        <v>0</v>
      </c>
      <c r="M10" s="91" t="n">
        <f aca="false">SUM(Model!AI106:AK106)</f>
        <v>0</v>
      </c>
      <c r="N10" s="91" t="n">
        <f aca="false">SUM(Model!AL106:AN106)</f>
        <v>0</v>
      </c>
      <c r="O10" s="91" t="n">
        <f aca="false">SUM(Model!AO106:AQ106)</f>
        <v>0</v>
      </c>
      <c r="P10" s="91" t="n">
        <f aca="false">SUM(Model!AR106:AT106)</f>
        <v>0</v>
      </c>
      <c r="Q10" s="91" t="n">
        <f aca="false">SUM(Model!AU106:AW106)</f>
        <v>0</v>
      </c>
      <c r="R10" s="91" t="n">
        <f aca="false">SUM(Model!AX106:AZ106)</f>
        <v>0</v>
      </c>
      <c r="S10" s="91" t="n">
        <f aca="false">SUM(Model!BA106:BC106)</f>
        <v>0</v>
      </c>
      <c r="T10" s="91" t="n">
        <f aca="false">SUM(Model!BD106:BF106)</f>
        <v>0</v>
      </c>
      <c r="U10" s="91" t="n">
        <f aca="false">SUM(Model!BG106:BI106)</f>
        <v>0</v>
      </c>
      <c r="V10" s="91" t="n">
        <f aca="false">SUM(Model!BJ106:BL106)</f>
        <v>0</v>
      </c>
      <c r="W10" s="91" t="n">
        <f aca="false">SUM(Model!BM106:BO106)</f>
        <v>0</v>
      </c>
      <c r="X10" s="91" t="n">
        <f aca="false">SUM(Model!BP106:BR106)</f>
        <v>0</v>
      </c>
      <c r="Y10" s="91" t="n">
        <f aca="false">SUM(Model!BS106:BU106)</f>
        <v>0</v>
      </c>
      <c r="Z10" s="91" t="n">
        <f aca="false">SUM(Model!BV106:BX106)</f>
        <v>0</v>
      </c>
      <c r="AA10" s="91" t="n">
        <f aca="false">SUM(Model!BY106:CA106)</f>
        <v>0</v>
      </c>
      <c r="AB10" s="91" t="n">
        <f aca="false">SUM(Model!CB106:CD106)</f>
        <v>0</v>
      </c>
      <c r="AC10" s="91" t="n">
        <f aca="false">SUM(Model!CE106:CG106)</f>
        <v>0</v>
      </c>
      <c r="AD10" s="91" t="n">
        <f aca="false">SUM(Model!CH106:CJ106)</f>
        <v>0</v>
      </c>
      <c r="AE10" s="91" t="n">
        <f aca="false">SUM(Model!CK106:CM106)</f>
        <v>0</v>
      </c>
      <c r="AF10" s="91" t="n">
        <f aca="false">SUM(Model!CN106:CP106)</f>
        <v>0</v>
      </c>
      <c r="AG10" s="91" t="n">
        <f aca="false">SUM(Model!CQ106:CS106)</f>
        <v>0</v>
      </c>
      <c r="AH10" s="91" t="n">
        <f aca="false">SUM(Model!CT106:CV106)</f>
        <v>0</v>
      </c>
      <c r="AI10" s="91" t="n">
        <f aca="false">SUM(Model!CW106:CY106)</f>
        <v>0</v>
      </c>
      <c r="AJ10" s="91" t="n">
        <f aca="false">SUM(Model!CZ106:DB106)</f>
        <v>0</v>
      </c>
      <c r="AK10" s="91" t="n">
        <f aca="false">SUM(Model!DC106:DE106)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SUM(Model!B107:D107)</f>
        <v>761940.61</v>
      </c>
      <c r="C11" s="93" t="n">
        <f aca="false">SUM(Model!E107:G107)</f>
        <v>1572790.08</v>
      </c>
      <c r="D11" s="93" t="n">
        <f aca="false">SUM(Model!H107:J107)</f>
        <v>1694040.05746782</v>
      </c>
      <c r="E11" s="93" t="n">
        <f aca="false">SUM(Model!K107:M107)</f>
        <v>2615155.8045129</v>
      </c>
      <c r="F11" s="93" t="n">
        <f aca="false">SUM(Model!N107:P107)</f>
        <v>2270060.26677845</v>
      </c>
      <c r="G11" s="93" t="n">
        <f aca="false">SUM(Model!Q107:S107)</f>
        <v>1742532.66182403</v>
      </c>
      <c r="H11" s="93" t="n">
        <f aca="false">SUM(Model!T107:V107)</f>
        <v>2117812.9623517</v>
      </c>
      <c r="I11" s="93" t="n">
        <f aca="false">SUM(Model!W107:Y107)</f>
        <v>2029973.35971631</v>
      </c>
      <c r="J11" s="93" t="n">
        <f aca="false">SUM(Model!Z107:AB107)</f>
        <v>2018993.71729128</v>
      </c>
      <c r="K11" s="93" t="n">
        <f aca="false">SUM(Model!AC107:AE107)</f>
        <v>1115228.63109489</v>
      </c>
      <c r="L11" s="93" t="n">
        <f aca="false">SUM(Model!AF107:AH107)</f>
        <v>1974782.6067594</v>
      </c>
      <c r="M11" s="93" t="n">
        <f aca="false">SUM(Model!AI107:AK107)</f>
        <v>1644125.93870938</v>
      </c>
      <c r="N11" s="93" t="n">
        <f aca="false">SUM(Model!AL107:AN107)</f>
        <v>1552417.25043821</v>
      </c>
      <c r="O11" s="93" t="n">
        <f aca="false">SUM(Model!AO107:AQ107)</f>
        <v>990701.534777289</v>
      </c>
      <c r="P11" s="93" t="n">
        <f aca="false">SUM(Model!AR107:AT107)</f>
        <v>1263187.12013079</v>
      </c>
      <c r="Q11" s="93" t="n">
        <f aca="false">SUM(Model!AU107:AW107)</f>
        <v>472978.92260564</v>
      </c>
      <c r="R11" s="93" t="n">
        <f aca="false">SUM(Model!AX107:AZ107)</f>
        <v>472978.92260564</v>
      </c>
      <c r="S11" s="93" t="n">
        <f aca="false">SUM(Model!BA107:BC107)</f>
        <v>472978.92260564</v>
      </c>
      <c r="T11" s="93" t="n">
        <f aca="false">SUM(Model!BD107:BF107)</f>
        <v>472978.92260564</v>
      </c>
      <c r="U11" s="93" t="n">
        <f aca="false">SUM(Model!BG107:BI107)</f>
        <v>564255.556792693</v>
      </c>
      <c r="V11" s="93" t="n">
        <f aca="false">SUM(Model!BJ107:BL107)</f>
        <v>0</v>
      </c>
      <c r="W11" s="93" t="n">
        <f aca="false">SUM(Model!BM107:BO107)</f>
        <v>0</v>
      </c>
      <c r="X11" s="93" t="n">
        <f aca="false">SUM(Model!BP107:BR107)</f>
        <v>0</v>
      </c>
      <c r="Y11" s="93" t="n">
        <f aca="false">SUM(Model!BS107:BU107)</f>
        <v>0</v>
      </c>
      <c r="Z11" s="93" t="n">
        <f aca="false">SUM(Model!BV107:BX107)</f>
        <v>0</v>
      </c>
      <c r="AA11" s="93" t="n">
        <f aca="false">SUM(Model!BY107:CA107)</f>
        <v>0</v>
      </c>
      <c r="AB11" s="93" t="n">
        <f aca="false">SUM(Model!CB107:CD107)</f>
        <v>0</v>
      </c>
      <c r="AC11" s="93" t="n">
        <f aca="false">SUM(Model!CE107:CG107)</f>
        <v>0</v>
      </c>
      <c r="AD11" s="93" t="n">
        <f aca="false">SUM(Model!CH107:CJ107)</f>
        <v>0</v>
      </c>
      <c r="AE11" s="93" t="n">
        <f aca="false">SUM(Model!CK107:CM107)</f>
        <v>0</v>
      </c>
      <c r="AF11" s="93" t="n">
        <f aca="false">SUM(Model!CN107:CP107)</f>
        <v>0</v>
      </c>
      <c r="AG11" s="93" t="n">
        <f aca="false">SUM(Model!CQ107:CS107)</f>
        <v>0</v>
      </c>
      <c r="AH11" s="93" t="n">
        <f aca="false">SUM(Model!CT107:CV107)</f>
        <v>0</v>
      </c>
      <c r="AI11" s="93" t="n">
        <f aca="false">SUM(Model!CW107:CY107)</f>
        <v>0</v>
      </c>
      <c r="AJ11" s="93" t="n">
        <f aca="false">SUM(Model!CZ107:DB107)</f>
        <v>0</v>
      </c>
      <c r="AK11" s="93" t="n">
        <f aca="false">SUM(Model!DC107:DE107)</f>
        <v>0</v>
      </c>
    </row>
    <row r="12" s="108" customFormat="true" ht="15" hidden="false" customHeight="true" outlineLevel="0" collapsed="false">
      <c r="A12" s="29" t="s">
        <v>58</v>
      </c>
      <c r="B12" s="107" t="n">
        <f aca="false">IFERROR(B11/B7,0)</f>
        <v>0.10658705574672</v>
      </c>
      <c r="C12" s="107" t="n">
        <f aca="false">IFERROR(C11/C7,0)</f>
        <v>0.109520566233868</v>
      </c>
      <c r="D12" s="107" t="n">
        <f aca="false">IFERROR(D11/D7,0)</f>
        <v>0.0953200950092794</v>
      </c>
      <c r="E12" s="107" t="n">
        <f aca="false">IFERROR(E11/E7,0)</f>
        <v>0.120291469540779</v>
      </c>
      <c r="F12" s="107" t="n">
        <f aca="false">IFERROR(F11/F7,0)</f>
        <v>0.103030749822775</v>
      </c>
      <c r="G12" s="107" t="n">
        <f aca="false">IFERROR(G11/G7,0)</f>
        <v>0.0705626742158284</v>
      </c>
      <c r="H12" s="107" t="n">
        <f aca="false">IFERROR(H11/H7,0)</f>
        <v>0.0963788042948093</v>
      </c>
      <c r="I12" s="107" t="n">
        <f aca="false">IFERROR(I11/I7,0)</f>
        <v>0.096779703685885</v>
      </c>
      <c r="J12" s="107" t="n">
        <f aca="false">IFERROR(J11/J7,0)</f>
        <v>0.107823768980215</v>
      </c>
      <c r="K12" s="107" t="n">
        <f aca="false">IFERROR(K11/K7,0)</f>
        <v>0.0708283727782758</v>
      </c>
      <c r="L12" s="107" t="n">
        <f aca="false">IFERROR(L11/L7,0)</f>
        <v>0.133801282879976</v>
      </c>
      <c r="M12" s="107" t="n">
        <f aca="false">IFERROR(M11/M7,0)</f>
        <v>0.127532712017544</v>
      </c>
      <c r="N12" s="107" t="n">
        <f aca="false">IFERROR(N11/N7,0)</f>
        <v>0.151497129170045</v>
      </c>
      <c r="O12" s="107" t="n">
        <f aca="false">IFERROR(O11/O7,0)</f>
        <v>0.110565018069497</v>
      </c>
      <c r="P12" s="107" t="n">
        <f aca="false">IFERROR(P11/P7,0)</f>
        <v>0.153935532886043</v>
      </c>
      <c r="Q12" s="107" t="n">
        <f aca="false">IFERROR(Q11/Q7,0)</f>
        <v>0.0857222251369725</v>
      </c>
      <c r="R12" s="107" t="n">
        <f aca="false">IFERROR(R11/R7,0)</f>
        <v>0.0965648851739277</v>
      </c>
      <c r="S12" s="107" t="n">
        <f aca="false">IFERROR(S11/S7,0)</f>
        <v>0.118942406689061</v>
      </c>
      <c r="T12" s="107" t="n">
        <f aca="false">IFERROR(T11/T7,0)</f>
        <v>0.160195321801247</v>
      </c>
      <c r="U12" s="107" t="n">
        <f aca="false">IFERROR(U11/U7,0)</f>
        <v>0.394127887383614</v>
      </c>
      <c r="V12" s="107" t="n">
        <f aca="false">IFERROR(V11/V7,0)</f>
        <v>0</v>
      </c>
      <c r="W12" s="107" t="n">
        <f aca="false">IFERROR(W11/W7,0)</f>
        <v>0</v>
      </c>
      <c r="X12" s="107" t="n">
        <f aca="false">IFERROR(X11/X7,0)</f>
        <v>0</v>
      </c>
      <c r="Y12" s="107" t="n">
        <f aca="false">IFERROR(Y11/Y7,0)</f>
        <v>0</v>
      </c>
      <c r="Z12" s="107" t="n">
        <f aca="false">IFERROR(Z11/Z7,0)</f>
        <v>0</v>
      </c>
      <c r="AA12" s="107" t="n">
        <f aca="false">IFERROR(AA11/AA7,0)</f>
        <v>0</v>
      </c>
      <c r="AB12" s="107" t="n">
        <f aca="false">IFERROR(AB11/AB7,0)</f>
        <v>0</v>
      </c>
      <c r="AC12" s="107" t="n">
        <f aca="false">IFERROR(AC11/AC7,0)</f>
        <v>0</v>
      </c>
      <c r="AD12" s="107" t="n">
        <f aca="false">IFERROR(AD11/AD7,0)</f>
        <v>0</v>
      </c>
      <c r="AE12" s="107" t="n">
        <f aca="false">IFERROR(AE11/AE7,0)</f>
        <v>0</v>
      </c>
      <c r="AF12" s="107" t="n">
        <f aca="false">IFERROR(AF11/AF7,0)</f>
        <v>0</v>
      </c>
      <c r="AG12" s="107" t="n">
        <f aca="false">IFERROR(AG11/AG7,0)</f>
        <v>0</v>
      </c>
      <c r="AH12" s="107" t="n">
        <f aca="false">IFERROR(AH11/AH7,0)</f>
        <v>0</v>
      </c>
      <c r="AI12" s="107" t="n">
        <f aca="false">IFERROR(AI11/AI7,0)</f>
        <v>0</v>
      </c>
      <c r="AJ12" s="107" t="n">
        <f aca="false">IFERROR(AJ11/AJ7,0)</f>
        <v>0</v>
      </c>
      <c r="AK12" s="107" t="n">
        <f aca="false">IFERROR(AK11/AK7,0)</f>
        <v>0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</row>
    <row r="15" customFormat="false" ht="15" hidden="false" customHeight="true" outlineLevel="0" collapsed="false">
      <c r="A15" s="90" t="s">
        <v>213</v>
      </c>
      <c r="B15" s="91" t="n">
        <f aca="false">SUM(Model!B111:D112)+SUM(Model!B114:D118)</f>
        <v>-637683.26</v>
      </c>
      <c r="C15" s="91" t="n">
        <f aca="false">SUM(Model!E111:G112)+SUM(Model!E114:G118)</f>
        <v>-493512.62</v>
      </c>
      <c r="D15" s="91" t="n">
        <f aca="false">SUM(Model!H111:J112)+SUM(Model!H114:J118)</f>
        <v>-970051.021666667</v>
      </c>
      <c r="E15" s="91" t="n">
        <f aca="false">SUM(Model!K111:M112)+SUM(Model!K114:M118)</f>
        <v>-1012988.52166667</v>
      </c>
      <c r="F15" s="91" t="n">
        <f aca="false">SUM(Model!N111:P112)+SUM(Model!N114:P118)</f>
        <v>-970765.625</v>
      </c>
      <c r="G15" s="91" t="n">
        <f aca="false">SUM(Model!Q111:S112)+SUM(Model!Q114:S118)</f>
        <v>-1036896.9375</v>
      </c>
      <c r="H15" s="91" t="n">
        <f aca="false">SUM(Model!T111:V112)+SUM(Model!T114:V118)</f>
        <v>-1036896.9375</v>
      </c>
      <c r="I15" s="91" t="n">
        <f aca="false">SUM(Model!W111:Y112)+SUM(Model!W114:Y118)</f>
        <v>-1036896.9375</v>
      </c>
      <c r="J15" s="91" t="n">
        <f aca="false">SUM(Model!Z111:AB112)+SUM(Model!Z114:AB118)</f>
        <v>-1036896.9375</v>
      </c>
      <c r="K15" s="91" t="n">
        <f aca="false">SUM(Model!AC111:AE112)+SUM(Model!AC114:AE118)</f>
        <v>-1057634.87625</v>
      </c>
      <c r="L15" s="91" t="n">
        <f aca="false">SUM(Model!AF111:AH112)+SUM(Model!AF114:AH118)</f>
        <v>-1057634.87625</v>
      </c>
      <c r="M15" s="91" t="n">
        <f aca="false">SUM(Model!AI111:AK112)+SUM(Model!AI114:AK118)</f>
        <v>-1057634.87625</v>
      </c>
      <c r="N15" s="91" t="n">
        <f aca="false">SUM(Model!AL111:AN112)+SUM(Model!AL114:AN118)</f>
        <v>-1057634.87625</v>
      </c>
      <c r="O15" s="91" t="n">
        <f aca="false">SUM(Model!AO111:AQ112)+SUM(Model!AO114:AQ118)</f>
        <v>-1078787.573775</v>
      </c>
      <c r="P15" s="91" t="n">
        <f aca="false">SUM(Model!AR111:AT112)+SUM(Model!AR114:AT118)</f>
        <v>-1078787.573775</v>
      </c>
      <c r="Q15" s="91" t="n">
        <f aca="false">SUM(Model!AU111:AW112)+SUM(Model!AU114:AW118)</f>
        <v>-1078787.573775</v>
      </c>
      <c r="R15" s="91" t="n">
        <f aca="false">SUM(Model!AX111:AZ112)+SUM(Model!AX114:AZ118)</f>
        <v>-1078787.573775</v>
      </c>
      <c r="S15" s="91" t="n">
        <f aca="false">SUM(Model!BA111:BC112)+SUM(Model!BA114:BC118)</f>
        <v>-1100363.3252505</v>
      </c>
      <c r="T15" s="91" t="n">
        <f aca="false">SUM(Model!BD111:BF112)+SUM(Model!BD114:BF118)</f>
        <v>-1100363.3252505</v>
      </c>
      <c r="U15" s="91" t="n">
        <f aca="false">SUM(Model!BG111:BI112)+SUM(Model!BG114:BI118)</f>
        <v>-1100363.3252505</v>
      </c>
      <c r="V15" s="91" t="n">
        <f aca="false">SUM(Model!BJ111:BL112)+SUM(Model!BJ114:BL118)</f>
        <v>-1100363.3252505</v>
      </c>
      <c r="W15" s="91" t="n">
        <f aca="false">SUM(Model!BM111:BO112)+SUM(Model!BM114:BO118)</f>
        <v>-1122370.59175551</v>
      </c>
      <c r="X15" s="91" t="n">
        <f aca="false">SUM(Model!BP111:BR112)+SUM(Model!BP114:BR118)</f>
        <v>-1122370.59175551</v>
      </c>
      <c r="Y15" s="91" t="n">
        <f aca="false">SUM(Model!BS111:BU112)+SUM(Model!BS114:BU118)</f>
        <v>-1122370.59175551</v>
      </c>
      <c r="Z15" s="91" t="n">
        <f aca="false">SUM(Model!BV111:BX112)+SUM(Model!BV114:BX118)</f>
        <v>-1122370.59175551</v>
      </c>
      <c r="AA15" s="91" t="n">
        <f aca="false">SUM(Model!BY111:CA112)+SUM(Model!BY114:CA118)</f>
        <v>-1144818.00359062</v>
      </c>
      <c r="AB15" s="91" t="n">
        <f aca="false">SUM(Model!CB111:CD112)+SUM(Model!CB114:CD118)</f>
        <v>-1144818.00359062</v>
      </c>
      <c r="AC15" s="91" t="n">
        <f aca="false">SUM(Model!CE111:CG112)+SUM(Model!CE114:CG118)</f>
        <v>-1144818.00359062</v>
      </c>
      <c r="AD15" s="91" t="n">
        <f aca="false">SUM(Model!CH111:CJ112)+SUM(Model!CH114:CJ118)</f>
        <v>-1144818.00359062</v>
      </c>
      <c r="AE15" s="91" t="n">
        <f aca="false">SUM(Model!CK111:CM112)+SUM(Model!CK114:CM118)</f>
        <v>-1167714.36366243</v>
      </c>
      <c r="AF15" s="91" t="n">
        <f aca="false">SUM(Model!CN111:CP112)+SUM(Model!CN114:CP118)</f>
        <v>-1167714.36366243</v>
      </c>
      <c r="AG15" s="91" t="n">
        <f aca="false">SUM(Model!CQ111:CS112)+SUM(Model!CQ114:CS118)</f>
        <v>-1167714.36366243</v>
      </c>
      <c r="AH15" s="91" t="n">
        <f aca="false">SUM(Model!CT111:CV112)+SUM(Model!CT114:CV118)</f>
        <v>-1004382.03065084</v>
      </c>
      <c r="AI15" s="91" t="n">
        <f aca="false">SUM(Model!CW111:CY112)+SUM(Model!CW114:CY118)</f>
        <v>-1024469.67126386</v>
      </c>
      <c r="AJ15" s="91" t="n">
        <f aca="false">SUM(Model!CZ111:DB112)+SUM(Model!CZ114:DB118)</f>
        <v>-1024469.67126386</v>
      </c>
      <c r="AK15" s="91" t="n">
        <f aca="false">SUM(Model!DC111:DE112)+SUM(Model!DC114:DE118)</f>
        <v>-1024469.67126386</v>
      </c>
    </row>
    <row r="16" customFormat="false" ht="15" hidden="false" customHeight="true" outlineLevel="0" collapsed="false">
      <c r="A16" s="90" t="s">
        <v>214</v>
      </c>
      <c r="B16" s="91" t="n">
        <f aca="false">SUM(Model!B119:D141)+SUM(Model!B143:D143)</f>
        <v>-235164.52</v>
      </c>
      <c r="C16" s="91" t="n">
        <f aca="false">SUM(Model!E119:G141)+SUM(Model!E143:G143)</f>
        <v>-340675</v>
      </c>
      <c r="D16" s="91" t="n">
        <f aca="false">SUM(Model!H119:J141)+SUM(Model!H143:J143)</f>
        <v>-255452.82</v>
      </c>
      <c r="E16" s="91" t="n">
        <f aca="false">SUM(Model!K119:M141)+SUM(Model!K143:M143)</f>
        <v>-205952.82</v>
      </c>
      <c r="F16" s="91" t="n">
        <f aca="false">SUM(Model!N119:P141)+SUM(Model!N143:P143)</f>
        <v>-186452.82</v>
      </c>
      <c r="G16" s="91" t="n">
        <f aca="false">SUM(Model!Q119:S141)+SUM(Model!Q143:S143)</f>
        <v>-214181.8764</v>
      </c>
      <c r="H16" s="91" t="n">
        <f aca="false">SUM(Model!T119:V141)+SUM(Model!T143:V143)</f>
        <v>-190181.8764</v>
      </c>
      <c r="I16" s="91" t="n">
        <f aca="false">SUM(Model!W119:Y141)+SUM(Model!W143:Y143)</f>
        <v>-190181.8764</v>
      </c>
      <c r="J16" s="91" t="n">
        <f aca="false">SUM(Model!Z119:AB141)+SUM(Model!Z143:AB143)</f>
        <v>-190181.8764</v>
      </c>
      <c r="K16" s="91" t="n">
        <f aca="false">SUM(Model!AC119:AE141)+SUM(Model!AC143:AE143)</f>
        <v>-193985.513928</v>
      </c>
      <c r="L16" s="91" t="n">
        <f aca="false">SUM(Model!AF119:AH141)+SUM(Model!AF143:AH143)</f>
        <v>-193985.513928</v>
      </c>
      <c r="M16" s="91" t="n">
        <f aca="false">SUM(Model!AI119:AK141)+SUM(Model!AI143:AK143)</f>
        <v>-193985.513928</v>
      </c>
      <c r="N16" s="91" t="n">
        <f aca="false">SUM(Model!AL119:AN141)+SUM(Model!AL143:AN143)</f>
        <v>-193985.513928</v>
      </c>
      <c r="O16" s="91" t="n">
        <f aca="false">SUM(Model!AO119:AQ141)+SUM(Model!AO143:AQ143)</f>
        <v>-197865.22420656</v>
      </c>
      <c r="P16" s="91" t="n">
        <f aca="false">SUM(Model!AR119:AT141)+SUM(Model!AR143:AT143)</f>
        <v>-197865.22420656</v>
      </c>
      <c r="Q16" s="91" t="n">
        <f aca="false">SUM(Model!AU119:AW141)+SUM(Model!AU143:AW143)</f>
        <v>-197865.22420656</v>
      </c>
      <c r="R16" s="91" t="n">
        <f aca="false">SUM(Model!AX119:AZ141)+SUM(Model!AX143:AZ143)</f>
        <v>-197865.22420656</v>
      </c>
      <c r="S16" s="91" t="n">
        <f aca="false">SUM(Model!BA119:BC141)+SUM(Model!BA143:BC143)</f>
        <v>-201822.528690691</v>
      </c>
      <c r="T16" s="91" t="n">
        <f aca="false">SUM(Model!BD119:BF141)+SUM(Model!BD143:BF143)</f>
        <v>-201822.528690691</v>
      </c>
      <c r="U16" s="91" t="n">
        <f aca="false">SUM(Model!BG119:BI141)+SUM(Model!BG143:BI143)</f>
        <v>-201822.528690691</v>
      </c>
      <c r="V16" s="91" t="n">
        <f aca="false">SUM(Model!BJ119:BL141)+SUM(Model!BJ143:BL143)</f>
        <v>-201822.528690691</v>
      </c>
      <c r="W16" s="91" t="n">
        <f aca="false">SUM(Model!BM119:BO141)+SUM(Model!BM143:BO143)</f>
        <v>-205858.979264505</v>
      </c>
      <c r="X16" s="91" t="n">
        <f aca="false">SUM(Model!BP119:BR141)+SUM(Model!BP143:BR143)</f>
        <v>-205858.979264505</v>
      </c>
      <c r="Y16" s="91" t="n">
        <f aca="false">SUM(Model!BS119:BU141)+SUM(Model!BS143:BU143)</f>
        <v>-205858.979264505</v>
      </c>
      <c r="Z16" s="91" t="n">
        <f aca="false">SUM(Model!BV119:BX141)+SUM(Model!BV143:BX143)</f>
        <v>-205858.979264505</v>
      </c>
      <c r="AA16" s="91" t="n">
        <f aca="false">SUM(Model!BY119:CA141)+SUM(Model!BY143:CA143)</f>
        <v>-209976.158849795</v>
      </c>
      <c r="AB16" s="91" t="n">
        <f aca="false">SUM(Model!CB119:CD141)+SUM(Model!CB143:CD143)</f>
        <v>-209976.158849795</v>
      </c>
      <c r="AC16" s="91" t="n">
        <f aca="false">SUM(Model!CE119:CG141)+SUM(Model!CE143:CG143)</f>
        <v>-209976.158849795</v>
      </c>
      <c r="AD16" s="91" t="n">
        <f aca="false">SUM(Model!CH119:CJ141)+SUM(Model!CH143:CJ143)</f>
        <v>-209976.158849795</v>
      </c>
      <c r="AE16" s="91" t="n">
        <f aca="false">SUM(Model!CK119:CM141)+SUM(Model!CK143:CM143)</f>
        <v>-214175.682026791</v>
      </c>
      <c r="AF16" s="91" t="n">
        <f aca="false">SUM(Model!CN119:CP141)+SUM(Model!CN143:CP143)</f>
        <v>-214175.682026791</v>
      </c>
      <c r="AG16" s="91" t="n">
        <f aca="false">SUM(Model!CQ119:CS141)+SUM(Model!CQ143:CS143)</f>
        <v>-214175.682026791</v>
      </c>
      <c r="AH16" s="91" t="n">
        <f aca="false">SUM(Model!CT119:CV141)+SUM(Model!CT143:CV143)</f>
        <v>-214175.682026791</v>
      </c>
      <c r="AI16" s="91" t="n">
        <f aca="false">SUM(Model!CW119:CY141)+SUM(Model!CW143:CY143)</f>
        <v>-218459.195667327</v>
      </c>
      <c r="AJ16" s="91" t="n">
        <f aca="false">SUM(Model!CZ119:DB141)+SUM(Model!CZ143:DB143)</f>
        <v>-218459.195667327</v>
      </c>
      <c r="AK16" s="91" t="n">
        <f aca="false">SUM(Model!DC119:DE141)+SUM(Model!DC143:DE143)</f>
        <v>-218459.195667327</v>
      </c>
    </row>
    <row r="17" customFormat="false" ht="15" hidden="false" customHeight="true" outlineLevel="0" collapsed="false">
      <c r="A17" s="90" t="s">
        <v>215</v>
      </c>
      <c r="B17" s="91" t="n">
        <f aca="false">SUM(Model!B113:D113)</f>
        <v>0</v>
      </c>
      <c r="C17" s="91" t="n">
        <f aca="false">SUM(Model!E113:G113)</f>
        <v>-103833.333333333</v>
      </c>
      <c r="D17" s="91" t="n">
        <f aca="false">SUM(Model!H113:J113)</f>
        <v>-311500</v>
      </c>
      <c r="E17" s="91" t="n">
        <f aca="false">SUM(Model!K113:M113)</f>
        <v>-311500</v>
      </c>
      <c r="F17" s="91" t="n">
        <f aca="false">SUM(Model!N113:P113)</f>
        <v>-311500</v>
      </c>
      <c r="G17" s="91" t="n">
        <f aca="false">SUM(Model!Q113:S113)</f>
        <v>-311500</v>
      </c>
      <c r="H17" s="91" t="n">
        <f aca="false">SUM(Model!T113:V113)</f>
        <v>-311500</v>
      </c>
      <c r="I17" s="91" t="n">
        <f aca="false">SUM(Model!W113:Y113)</f>
        <v>-311500</v>
      </c>
      <c r="J17" s="91" t="n">
        <f aca="false">SUM(Model!Z113:AB113)</f>
        <v>-311500</v>
      </c>
      <c r="K17" s="91" t="n">
        <f aca="false">SUM(Model!AC113:AE113)</f>
        <v>-311500</v>
      </c>
      <c r="L17" s="91" t="n">
        <f aca="false">SUM(Model!AF113:AH113)</f>
        <v>-311500</v>
      </c>
      <c r="M17" s="91" t="n">
        <f aca="false">SUM(Model!AI113:AK113)</f>
        <v>-311500</v>
      </c>
      <c r="N17" s="91" t="n">
        <f aca="false">SUM(Model!AL113:AN113)</f>
        <v>-311500</v>
      </c>
      <c r="O17" s="91" t="n">
        <f aca="false">SUM(Model!AO113:AQ113)</f>
        <v>-311500</v>
      </c>
      <c r="P17" s="91" t="n">
        <f aca="false">SUM(Model!AR113:AT113)</f>
        <v>-311500</v>
      </c>
      <c r="Q17" s="91" t="n">
        <f aca="false">SUM(Model!AU113:AW113)</f>
        <v>-311500</v>
      </c>
      <c r="R17" s="91" t="n">
        <f aca="false">SUM(Model!AX113:AZ113)</f>
        <v>-311500</v>
      </c>
      <c r="S17" s="91" t="n">
        <f aca="false">SUM(Model!BA113:BC113)</f>
        <v>-311500</v>
      </c>
      <c r="T17" s="91" t="n">
        <f aca="false">SUM(Model!BD113:BF113)</f>
        <v>-311500</v>
      </c>
      <c r="U17" s="91" t="n">
        <f aca="false">SUM(Model!BG113:BI113)</f>
        <v>-311500</v>
      </c>
      <c r="V17" s="91" t="n">
        <f aca="false">SUM(Model!BJ113:BL113)</f>
        <v>-311500</v>
      </c>
      <c r="W17" s="91" t="n">
        <f aca="false">SUM(Model!BM113:BO113)</f>
        <v>-311500</v>
      </c>
      <c r="X17" s="91" t="n">
        <f aca="false">SUM(Model!BP113:BR113)</f>
        <v>-311500</v>
      </c>
      <c r="Y17" s="91" t="n">
        <f aca="false">SUM(Model!BS113:BU113)</f>
        <v>-311500</v>
      </c>
      <c r="Z17" s="91" t="n">
        <f aca="false">SUM(Model!BV113:BX113)</f>
        <v>-311500</v>
      </c>
      <c r="AA17" s="91" t="n">
        <f aca="false">SUM(Model!BY113:CA113)</f>
        <v>-311500</v>
      </c>
      <c r="AB17" s="91" t="n">
        <f aca="false">SUM(Model!CB113:CD113)</f>
        <v>-311500</v>
      </c>
      <c r="AC17" s="91" t="n">
        <f aca="false">SUM(Model!CE113:CG113)</f>
        <v>-311500</v>
      </c>
      <c r="AD17" s="91" t="n">
        <f aca="false">SUM(Model!CH113:CJ113)</f>
        <v>-311500</v>
      </c>
      <c r="AE17" s="91" t="n">
        <f aca="false">SUM(Model!CK113:CM113)</f>
        <v>-311500</v>
      </c>
      <c r="AF17" s="91" t="n">
        <f aca="false">SUM(Model!CN113:CP113)</f>
        <v>-311500</v>
      </c>
      <c r="AG17" s="91" t="n">
        <f aca="false">SUM(Model!CQ113:CS113)</f>
        <v>-311500</v>
      </c>
      <c r="AH17" s="91" t="n">
        <f aca="false">SUM(Model!CT113:CV113)</f>
        <v>-311500</v>
      </c>
      <c r="AI17" s="91" t="n">
        <f aca="false">SUM(Model!CW113:CY113)</f>
        <v>-311500</v>
      </c>
      <c r="AJ17" s="91" t="n">
        <f aca="false">SUM(Model!CZ113:DB113)</f>
        <v>-311500</v>
      </c>
      <c r="AK17" s="91" t="n">
        <f aca="false">SUM(Model!DC113:DE113)</f>
        <v>-311500</v>
      </c>
    </row>
    <row r="18" customFormat="false" ht="15" hidden="false" customHeight="true" outlineLevel="0" collapsed="false">
      <c r="A18" s="90" t="s">
        <v>216</v>
      </c>
      <c r="B18" s="91" t="n">
        <f aca="false">SUM(Model!B142:D142)</f>
        <v>0</v>
      </c>
      <c r="C18" s="91" t="n">
        <f aca="false">SUM(Model!E142:G142)</f>
        <v>0</v>
      </c>
      <c r="D18" s="91" t="n">
        <f aca="false">SUM(Model!H142:J142)</f>
        <v>0</v>
      </c>
      <c r="E18" s="91" t="n">
        <f aca="false">SUM(Model!K142:M142)</f>
        <v>0</v>
      </c>
      <c r="F18" s="91" t="n">
        <f aca="false">SUM(Model!N142:P142)</f>
        <v>0</v>
      </c>
      <c r="G18" s="91" t="n">
        <f aca="false">SUM(Model!Q142:S142)</f>
        <v>0</v>
      </c>
      <c r="H18" s="91" t="n">
        <f aca="false">SUM(Model!T142:V142)</f>
        <v>0</v>
      </c>
      <c r="I18" s="91" t="n">
        <f aca="false">SUM(Model!W142:Y142)</f>
        <v>0</v>
      </c>
      <c r="J18" s="91" t="n">
        <f aca="false">SUM(Model!Z142:AB142)</f>
        <v>0</v>
      </c>
      <c r="K18" s="91" t="n">
        <f aca="false">SUM(Model!AC142:AE142)</f>
        <v>0</v>
      </c>
      <c r="L18" s="91" t="n">
        <f aca="false">SUM(Model!AF142:AH142)</f>
        <v>0</v>
      </c>
      <c r="M18" s="91" t="n">
        <f aca="false">SUM(Model!AI142:AK142)</f>
        <v>0</v>
      </c>
      <c r="N18" s="91" t="n">
        <f aca="false">SUM(Model!AL142:AN142)</f>
        <v>0</v>
      </c>
      <c r="O18" s="91" t="n">
        <f aca="false">SUM(Model!AO142:AQ142)</f>
        <v>0</v>
      </c>
      <c r="P18" s="91" t="n">
        <f aca="false">SUM(Model!AR142:AT142)</f>
        <v>0</v>
      </c>
      <c r="Q18" s="91" t="n">
        <f aca="false">SUM(Model!AU142:AW142)</f>
        <v>0</v>
      </c>
      <c r="R18" s="91" t="n">
        <f aca="false">SUM(Model!AX142:AZ142)</f>
        <v>0</v>
      </c>
      <c r="S18" s="91" t="n">
        <f aca="false">SUM(Model!BA142:BC142)</f>
        <v>0</v>
      </c>
      <c r="T18" s="91" t="n">
        <f aca="false">SUM(Model!BD142:BF142)</f>
        <v>0</v>
      </c>
      <c r="U18" s="91" t="n">
        <f aca="false">SUM(Model!BG142:BI142)</f>
        <v>0</v>
      </c>
      <c r="V18" s="91" t="n">
        <f aca="false">SUM(Model!BJ142:BL142)</f>
        <v>0</v>
      </c>
      <c r="W18" s="91" t="n">
        <f aca="false">SUM(Model!BM142:BO142)</f>
        <v>0</v>
      </c>
      <c r="X18" s="91" t="n">
        <f aca="false">SUM(Model!BP142:BR142)</f>
        <v>0</v>
      </c>
      <c r="Y18" s="91" t="n">
        <f aca="false">SUM(Model!BS142:BU142)</f>
        <v>0</v>
      </c>
      <c r="Z18" s="91" t="n">
        <f aca="false">SUM(Model!BV142:BX142)</f>
        <v>0</v>
      </c>
      <c r="AA18" s="91" t="n">
        <f aca="false">SUM(Model!BY142:CA142)</f>
        <v>0</v>
      </c>
      <c r="AB18" s="91" t="n">
        <f aca="false">SUM(Model!CB142:CD142)</f>
        <v>0</v>
      </c>
      <c r="AC18" s="91" t="n">
        <f aca="false">SUM(Model!CE142:CG142)</f>
        <v>0</v>
      </c>
      <c r="AD18" s="91" t="n">
        <f aca="false">SUM(Model!CH142:CJ142)</f>
        <v>0</v>
      </c>
      <c r="AE18" s="91" t="n">
        <f aca="false">SUM(Model!CK142:CM142)</f>
        <v>0</v>
      </c>
      <c r="AF18" s="91" t="n">
        <f aca="false">SUM(Model!CN142:CP142)</f>
        <v>0</v>
      </c>
      <c r="AG18" s="91" t="n">
        <f aca="false">SUM(Model!CQ142:CS142)</f>
        <v>0</v>
      </c>
      <c r="AH18" s="91" t="n">
        <f aca="false">SUM(Model!CT142:CV142)</f>
        <v>0</v>
      </c>
      <c r="AI18" s="91" t="n">
        <f aca="false">SUM(Model!CW142:CY142)</f>
        <v>0</v>
      </c>
      <c r="AJ18" s="91" t="n">
        <f aca="false">SUM(Model!CZ142:DB142)</f>
        <v>0</v>
      </c>
      <c r="AK18" s="91" t="n">
        <f aca="false">SUM(Model!DC142:DE142)</f>
        <v>0</v>
      </c>
    </row>
    <row r="19" customFormat="false" ht="15" hidden="false" customHeight="true" outlineLevel="0" collapsed="false">
      <c r="A19" s="105" t="s">
        <v>93</v>
      </c>
      <c r="B19" s="106" t="n">
        <f aca="false">SUM(Model!B144:D144)</f>
        <v>-872847.78</v>
      </c>
      <c r="C19" s="106" t="n">
        <f aca="false">SUM(Model!E144:G144)</f>
        <v>-938020.953333333</v>
      </c>
      <c r="D19" s="106" t="n">
        <f aca="false">SUM(Model!H144:J144)</f>
        <v>-1537003.84166667</v>
      </c>
      <c r="E19" s="106" t="n">
        <f aca="false">SUM(Model!K144:M144)</f>
        <v>-1530441.34166667</v>
      </c>
      <c r="F19" s="106" t="n">
        <f aca="false">SUM(Model!N144:P144)</f>
        <v>-1468718.445</v>
      </c>
      <c r="G19" s="106" t="n">
        <f aca="false">SUM(Model!Q144:S144)</f>
        <v>-1562578.8139</v>
      </c>
      <c r="H19" s="106" t="n">
        <f aca="false">SUM(Model!T144:V144)</f>
        <v>-1538578.8139</v>
      </c>
      <c r="I19" s="106" t="n">
        <f aca="false">SUM(Model!W144:Y144)</f>
        <v>-1538578.8139</v>
      </c>
      <c r="J19" s="106" t="n">
        <f aca="false">SUM(Model!Z144:AB144)</f>
        <v>-1538578.8139</v>
      </c>
      <c r="K19" s="106" t="n">
        <f aca="false">SUM(Model!AC144:AE144)</f>
        <v>-1563120.390178</v>
      </c>
      <c r="L19" s="106" t="n">
        <f aca="false">SUM(Model!AF144:AH144)</f>
        <v>-1563120.390178</v>
      </c>
      <c r="M19" s="106" t="n">
        <f aca="false">SUM(Model!AI144:AK144)</f>
        <v>-1563120.390178</v>
      </c>
      <c r="N19" s="106" t="n">
        <f aca="false">SUM(Model!AL144:AN144)</f>
        <v>-1563120.390178</v>
      </c>
      <c r="O19" s="106" t="n">
        <f aca="false">SUM(Model!AO144:AQ144)</f>
        <v>-1588152.79798156</v>
      </c>
      <c r="P19" s="106" t="n">
        <f aca="false">SUM(Model!AR144:AT144)</f>
        <v>-1588152.79798156</v>
      </c>
      <c r="Q19" s="106" t="n">
        <f aca="false">SUM(Model!AU144:AW144)</f>
        <v>-1588152.79798156</v>
      </c>
      <c r="R19" s="106" t="n">
        <f aca="false">SUM(Model!AX144:AZ144)</f>
        <v>-1588152.79798156</v>
      </c>
      <c r="S19" s="106" t="n">
        <f aca="false">SUM(Model!BA144:BC144)</f>
        <v>-1613685.85394119</v>
      </c>
      <c r="T19" s="106" t="n">
        <f aca="false">SUM(Model!BD144:BF144)</f>
        <v>-1613685.85394119</v>
      </c>
      <c r="U19" s="106" t="n">
        <f aca="false">SUM(Model!BG144:BI144)</f>
        <v>-1613685.85394119</v>
      </c>
      <c r="V19" s="106" t="n">
        <f aca="false">SUM(Model!BJ144:BL144)</f>
        <v>-1613685.85394119</v>
      </c>
      <c r="W19" s="106" t="n">
        <f aca="false">SUM(Model!BM144:BO144)</f>
        <v>-1639729.57102002</v>
      </c>
      <c r="X19" s="106" t="n">
        <f aca="false">SUM(Model!BP144:BR144)</f>
        <v>-1639729.57102002</v>
      </c>
      <c r="Y19" s="106" t="n">
        <f aca="false">SUM(Model!BS144:BU144)</f>
        <v>-1639729.57102002</v>
      </c>
      <c r="Z19" s="106" t="n">
        <f aca="false">SUM(Model!BV144:BX144)</f>
        <v>-1639729.57102002</v>
      </c>
      <c r="AA19" s="106" t="n">
        <f aca="false">SUM(Model!BY144:CA144)</f>
        <v>-1666294.16244042</v>
      </c>
      <c r="AB19" s="106" t="n">
        <f aca="false">SUM(Model!CB144:CD144)</f>
        <v>-1666294.16244042</v>
      </c>
      <c r="AC19" s="106" t="n">
        <f aca="false">SUM(Model!CE144:CG144)</f>
        <v>-1666294.16244042</v>
      </c>
      <c r="AD19" s="106" t="n">
        <f aca="false">SUM(Model!CH144:CJ144)</f>
        <v>-1666294.16244042</v>
      </c>
      <c r="AE19" s="106" t="n">
        <f aca="false">SUM(Model!CK144:CM144)</f>
        <v>-1693390.04568922</v>
      </c>
      <c r="AF19" s="106" t="n">
        <f aca="false">SUM(Model!CN144:CP144)</f>
        <v>-1693390.04568922</v>
      </c>
      <c r="AG19" s="106" t="n">
        <f aca="false">SUM(Model!CQ144:CS144)</f>
        <v>-1693390.04568922</v>
      </c>
      <c r="AH19" s="106" t="n">
        <f aca="false">SUM(Model!CT144:CV144)</f>
        <v>-1530057.71267763</v>
      </c>
      <c r="AI19" s="106" t="n">
        <f aca="false">SUM(Model!CW144:CY144)</f>
        <v>-1554428.86693118</v>
      </c>
      <c r="AJ19" s="106" t="n">
        <f aca="false">SUM(Model!CZ144:DB144)</f>
        <v>-1554428.86693118</v>
      </c>
      <c r="AK19" s="106" t="n">
        <f aca="false">SUM(Model!DC144:DE144)</f>
        <v>-1554428.86693118</v>
      </c>
    </row>
    <row r="20" customFormat="false" ht="15" hidden="false" customHeight="true" outlineLevel="0" collapsed="false">
      <c r="A20" s="105" t="s">
        <v>94</v>
      </c>
      <c r="B20" s="109" t="n">
        <f aca="false">SUM(Model!B145:D145)</f>
        <v>-110907.17</v>
      </c>
      <c r="C20" s="109" t="n">
        <f aca="false">SUM(Model!E145:G145)</f>
        <v>634769.126666667</v>
      </c>
      <c r="D20" s="109" t="n">
        <f aca="false">SUM(Model!H145:J145)</f>
        <v>157036.215801154</v>
      </c>
      <c r="E20" s="109" t="n">
        <f aca="false">SUM(Model!K145:M145)</f>
        <v>1084714.46284623</v>
      </c>
      <c r="F20" s="109" t="n">
        <f aca="false">SUM(Model!N145:P145)</f>
        <v>801341.821778454</v>
      </c>
      <c r="G20" s="109" t="n">
        <f aca="false">SUM(Model!Q145:S145)</f>
        <v>179953.847924031</v>
      </c>
      <c r="H20" s="109" t="n">
        <f aca="false">SUM(Model!T145:V145)</f>
        <v>579234.148451701</v>
      </c>
      <c r="I20" s="109" t="n">
        <f aca="false">SUM(Model!W145:Y145)</f>
        <v>491394.545816306</v>
      </c>
      <c r="J20" s="109" t="n">
        <f aca="false">SUM(Model!Z145:AB145)</f>
        <v>480414.903391281</v>
      </c>
      <c r="K20" s="109" t="n">
        <f aca="false">SUM(Model!AC145:AE145)</f>
        <v>-447891.759083107</v>
      </c>
      <c r="L20" s="109" t="n">
        <f aca="false">SUM(Model!AF145:AH145)</f>
        <v>411662.216581402</v>
      </c>
      <c r="M20" s="109" t="n">
        <f aca="false">SUM(Model!AI145:AK145)</f>
        <v>81005.548531381</v>
      </c>
      <c r="N20" s="109" t="n">
        <f aca="false">SUM(Model!AL145:AN145)</f>
        <v>-10703.139739789</v>
      </c>
      <c r="O20" s="109" t="n">
        <f aca="false">SUM(Model!AO145:AQ145)</f>
        <v>-597451.263204271</v>
      </c>
      <c r="P20" s="109" t="n">
        <f aca="false">SUM(Model!AR145:AT145)</f>
        <v>-324965.677850771</v>
      </c>
      <c r="Q20" s="109" t="n">
        <f aca="false">SUM(Model!AU145:AW145)</f>
        <v>-1115173.87537592</v>
      </c>
      <c r="R20" s="109" t="n">
        <f aca="false">SUM(Model!AX145:AZ145)</f>
        <v>-1115173.87537592</v>
      </c>
      <c r="S20" s="109" t="n">
        <f aca="false">SUM(Model!BA145:BC145)</f>
        <v>-1140706.93133555</v>
      </c>
      <c r="T20" s="109" t="n">
        <f aca="false">SUM(Model!BD145:BF145)</f>
        <v>-1140706.93133555</v>
      </c>
      <c r="U20" s="109" t="n">
        <f aca="false">SUM(Model!BG145:BI145)</f>
        <v>-1049430.2971485</v>
      </c>
      <c r="V20" s="109" t="n">
        <f aca="false">SUM(Model!BJ145:BL145)</f>
        <v>-1613685.85394119</v>
      </c>
      <c r="W20" s="109" t="n">
        <f aca="false">SUM(Model!BM145:BO145)</f>
        <v>-1639729.57102002</v>
      </c>
      <c r="X20" s="109" t="n">
        <f aca="false">SUM(Model!BP145:BR145)</f>
        <v>-1639729.57102002</v>
      </c>
      <c r="Y20" s="109" t="n">
        <f aca="false">SUM(Model!BS145:BU145)</f>
        <v>-1639729.57102002</v>
      </c>
      <c r="Z20" s="109" t="n">
        <f aca="false">SUM(Model!BV145:BX145)</f>
        <v>-1639729.57102002</v>
      </c>
      <c r="AA20" s="109" t="n">
        <f aca="false">SUM(Model!BY145:CA145)</f>
        <v>-1666294.16244042</v>
      </c>
      <c r="AB20" s="109" t="n">
        <f aca="false">SUM(Model!CB145:CD145)</f>
        <v>-1666294.16244042</v>
      </c>
      <c r="AC20" s="109" t="n">
        <f aca="false">SUM(Model!CE145:CG145)</f>
        <v>-1666294.16244042</v>
      </c>
      <c r="AD20" s="109" t="n">
        <f aca="false">SUM(Model!CH145:CJ145)</f>
        <v>-1666294.16244042</v>
      </c>
      <c r="AE20" s="109" t="n">
        <f aca="false">SUM(Model!CK145:CM145)</f>
        <v>-1693390.04568922</v>
      </c>
      <c r="AF20" s="109" t="n">
        <f aca="false">SUM(Model!CN145:CP145)</f>
        <v>-1693390.04568922</v>
      </c>
      <c r="AG20" s="109" t="n">
        <f aca="false">SUM(Model!CQ145:CS145)</f>
        <v>-1693390.04568922</v>
      </c>
      <c r="AH20" s="109" t="n">
        <f aca="false">SUM(Model!CT145:CV145)</f>
        <v>-1530057.71267763</v>
      </c>
      <c r="AI20" s="109" t="n">
        <f aca="false">SUM(Model!CW145:CY145)</f>
        <v>-1554428.86693118</v>
      </c>
      <c r="AJ20" s="109" t="n">
        <f aca="false">SUM(Model!CZ145:DB145)</f>
        <v>-1554428.86693118</v>
      </c>
      <c r="AK20" s="109" t="n">
        <f aca="false">SUM(Model!DC145:DE145)</f>
        <v>-1554428.86693118</v>
      </c>
    </row>
    <row r="21" customFormat="false" ht="15" hidden="false" customHeight="true" outlineLevel="0" collapsed="false">
      <c r="A21" s="29" t="s">
        <v>95</v>
      </c>
      <c r="B21" s="107" t="n">
        <f aca="false">IFERROR(B20/B7,0)</f>
        <v>-0.0155146852082093</v>
      </c>
      <c r="C21" s="107" t="n">
        <f aca="false">IFERROR(C20/C7,0)</f>
        <v>0.0442018773289256</v>
      </c>
      <c r="D21" s="107" t="n">
        <f aca="false">IFERROR(D20/D7,0)</f>
        <v>0.00883609979827648</v>
      </c>
      <c r="E21" s="107" t="n">
        <f aca="false">IFERROR(E20/E7,0)</f>
        <v>0.0498945020953404</v>
      </c>
      <c r="F21" s="107" t="n">
        <f aca="false">IFERROR(F20/F7,0)</f>
        <v>0.0363703334094082</v>
      </c>
      <c r="G21" s="107" t="n">
        <f aca="false">IFERROR(G20/G7,0)</f>
        <v>0.00728710859953479</v>
      </c>
      <c r="H21" s="107" t="n">
        <f aca="false">IFERROR(H20/H7,0)</f>
        <v>0.0263601628788341</v>
      </c>
      <c r="I21" s="107" t="n">
        <f aca="false">IFERROR(I20/I7,0)</f>
        <v>0.0234274101723229</v>
      </c>
      <c r="J21" s="107" t="n">
        <f aca="false">IFERROR(J20/J7,0)</f>
        <v>0.0256564174094656</v>
      </c>
      <c r="K21" s="107" t="n">
        <f aca="false">IFERROR(K20/K7,0)</f>
        <v>-0.028445686913105</v>
      </c>
      <c r="L21" s="107" t="n">
        <f aca="false">IFERROR(L20/L7,0)</f>
        <v>0.0278921500033836</v>
      </c>
      <c r="M21" s="107" t="n">
        <f aca="false">IFERROR(M20/M7,0)</f>
        <v>0.00628349510791455</v>
      </c>
      <c r="N21" s="107" t="n">
        <f aca="false">IFERROR(N20/N7,0)</f>
        <v>-0.00104449686012324</v>
      </c>
      <c r="O21" s="107" t="n">
        <f aca="false">IFERROR(O20/O7,0)</f>
        <v>-0.0666772053872651</v>
      </c>
      <c r="P21" s="107" t="n">
        <f aca="false">IFERROR(P20/P7,0)</f>
        <v>-0.0396012308805469</v>
      </c>
      <c r="Q21" s="107" t="n">
        <f aca="false">IFERROR(Q20/Q7,0)</f>
        <v>-0.202112993714838</v>
      </c>
      <c r="R21" s="107" t="n">
        <f aca="false">IFERROR(R20/R7,0)</f>
        <v>-0.227677454697969</v>
      </c>
      <c r="S21" s="107" t="n">
        <f aca="false">IFERROR(S20/S7,0)</f>
        <v>-0.286859353039436</v>
      </c>
      <c r="T21" s="107" t="n">
        <f aca="false">IFERROR(T20/T7,0)</f>
        <v>-0.386351072346986</v>
      </c>
      <c r="U21" s="107" t="n">
        <f aca="false">IFERROR(U20/U7,0)</f>
        <v>-0.733018471847244</v>
      </c>
      <c r="V21" s="107" t="n">
        <f aca="false">IFERROR(V20/V7,0)</f>
        <v>0</v>
      </c>
      <c r="W21" s="107" t="n">
        <f aca="false">IFERROR(W20/W7,0)</f>
        <v>0</v>
      </c>
      <c r="X21" s="107" t="n">
        <f aca="false">IFERROR(X20/X7,0)</f>
        <v>0</v>
      </c>
      <c r="Y21" s="107" t="n">
        <f aca="false">IFERROR(Y20/Y7,0)</f>
        <v>0</v>
      </c>
      <c r="Z21" s="107" t="n">
        <f aca="false">IFERROR(Z20/Z7,0)</f>
        <v>0</v>
      </c>
      <c r="AA21" s="107" t="n">
        <f aca="false">IFERROR(AA20/AA7,0)</f>
        <v>0</v>
      </c>
      <c r="AB21" s="107" t="n">
        <f aca="false">IFERROR(AB20/AB7,0)</f>
        <v>0</v>
      </c>
      <c r="AC21" s="107" t="n">
        <f aca="false">IFERROR(AC20/AC7,0)</f>
        <v>0</v>
      </c>
      <c r="AD21" s="107" t="n">
        <f aca="false">IFERROR(AD20/AD7,0)</f>
        <v>0</v>
      </c>
      <c r="AE21" s="107" t="n">
        <f aca="false">IFERROR(AE20/AE7,0)</f>
        <v>0</v>
      </c>
      <c r="AF21" s="107" t="n">
        <f aca="false">IFERROR(AF20/AF7,0)</f>
        <v>0</v>
      </c>
      <c r="AG21" s="107" t="n">
        <f aca="false">IFERROR(AG20/AG7,0)</f>
        <v>0</v>
      </c>
      <c r="AH21" s="107" t="n">
        <f aca="false">IFERROR(AH20/AH7,0)</f>
        <v>0</v>
      </c>
      <c r="AI21" s="107" t="n">
        <f aca="false">IFERROR(AI20/AI7,0)</f>
        <v>0</v>
      </c>
      <c r="AJ21" s="107" t="n">
        <f aca="false">IFERROR(AJ20/AJ7,0)</f>
        <v>0</v>
      </c>
      <c r="AK21" s="107" t="n">
        <f aca="false">IFERROR(AK20/AK7,0)</f>
        <v>0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</row>
    <row r="23" customFormat="false" ht="15" hidden="false" customHeight="true" outlineLevel="0" collapsed="false">
      <c r="A23" s="47" t="s">
        <v>96</v>
      </c>
      <c r="B23" s="91" t="n">
        <f aca="false">Model!B168+Model!C168+Model!D168</f>
        <v>102343.74</v>
      </c>
      <c r="C23" s="91" t="n">
        <f aca="false">Model!E168+Model!F168+Model!G168</f>
        <v>429843.74</v>
      </c>
      <c r="D23" s="91" t="n">
        <f aca="false">Model!H168+Model!I168+Model!J168</f>
        <v>408208.338571429</v>
      </c>
      <c r="E23" s="91" t="n">
        <f aca="false">Model!K168+Model!L168+Model!M168</f>
        <v>397956.308571429</v>
      </c>
      <c r="F23" s="91" t="n">
        <f aca="false">Model!N168+Model!O168+Model!P168</f>
        <v>239497.022857143</v>
      </c>
      <c r="G23" s="91" t="n">
        <f aca="false">Model!Q168+Model!R168+Model!S168</f>
        <v>229139.88</v>
      </c>
      <c r="H23" s="91" t="n">
        <f aca="false">Model!T168+Model!U168+Model!V168</f>
        <v>153421.13</v>
      </c>
      <c r="I23" s="91" t="n">
        <f aca="false">Model!W168+Model!X168+Model!Y168</f>
        <v>269477.13</v>
      </c>
      <c r="J23" s="91" t="n">
        <f aca="false">Model!Z168+Model!AA168+Model!AB168</f>
        <v>135755.13</v>
      </c>
      <c r="K23" s="91" t="n">
        <f aca="false">Model!AC168+Model!AD168+Model!AE168</f>
        <v>92136.71</v>
      </c>
      <c r="L23" s="91" t="n">
        <f aca="false">Model!AF168+Model!AG168+Model!AH168</f>
        <v>7077.5</v>
      </c>
      <c r="M23" s="91" t="n">
        <f aca="false">Model!AI168+Model!AJ168+Model!AK168</f>
        <v>-17422.5</v>
      </c>
      <c r="N23" s="91" t="n">
        <f aca="false">Model!AL168+Model!AM168+Model!AN168</f>
        <v>-19922.5</v>
      </c>
      <c r="O23" s="91" t="n">
        <f aca="false">Model!AO168+Model!AP168+Model!AQ168</f>
        <v>-21172.5</v>
      </c>
      <c r="P23" s="91" t="n">
        <f aca="false">Model!AR168+Model!AS168+Model!AT168</f>
        <v>63568</v>
      </c>
      <c r="Q23" s="91" t="n">
        <f aca="false">Model!AU168+Model!AV168+Model!AW168</f>
        <v>81682</v>
      </c>
      <c r="R23" s="91" t="n">
        <f aca="false">Model!AX168+Model!AY168+Model!AZ168</f>
        <v>81682</v>
      </c>
      <c r="S23" s="91" t="n">
        <f aca="false">Model!BA168+Model!BB168+Model!BC168</f>
        <v>933521</v>
      </c>
      <c r="T23" s="91" t="n">
        <f aca="false">Model!BD168+Model!BE168+Model!BF168</f>
        <v>130878</v>
      </c>
      <c r="U23" s="91" t="n">
        <f aca="false">Model!BG168+Model!BH168+Model!BI168</f>
        <v>130876</v>
      </c>
      <c r="V23" s="91" t="n">
        <f aca="false">Model!BJ168+Model!BK168+Model!BL168</f>
        <v>130876</v>
      </c>
      <c r="W23" s="91" t="n">
        <f aca="false">Model!BM168+Model!BN168+Model!BO168</f>
        <v>130876</v>
      </c>
      <c r="X23" s="91" t="n">
        <f aca="false">Model!BP168+Model!BQ168+Model!BR168</f>
        <v>142406</v>
      </c>
      <c r="Y23" s="91" t="n">
        <f aca="false">Model!BS168+Model!BT168+Model!BU168</f>
        <v>142402</v>
      </c>
      <c r="Z23" s="91" t="n">
        <f aca="false">Model!BV168+Model!BW168+Model!BX168</f>
        <v>142402</v>
      </c>
      <c r="AA23" s="91" t="n">
        <f aca="false">Model!BY168+Model!BZ168+Model!CA168</f>
        <v>215558</v>
      </c>
      <c r="AB23" s="91" t="n">
        <f aca="false">Model!CB168+Model!CC168+Model!CD168</f>
        <v>231017</v>
      </c>
      <c r="AC23" s="91" t="n">
        <f aca="false">Model!CE168+Model!CF168+Model!CG168</f>
        <v>231016</v>
      </c>
      <c r="AD23" s="91" t="n">
        <f aca="false">Model!CH168+Model!CI168+Model!CJ168</f>
        <v>231016</v>
      </c>
      <c r="AE23" s="91" t="n">
        <f aca="false">Model!CK168+Model!CL168+Model!CM168</f>
        <v>693048</v>
      </c>
      <c r="AF23" s="91" t="n">
        <f aca="false">Model!CN168+Model!CO168+Model!CP168</f>
        <v>693048</v>
      </c>
      <c r="AG23" s="91" t="n">
        <f aca="false">Model!CQ168+Model!CR168+Model!CS168</f>
        <v>693048</v>
      </c>
      <c r="AH23" s="91" t="n">
        <f aca="false">Model!CT168+Model!CU168+Model!CV168</f>
        <v>693048</v>
      </c>
      <c r="AI23" s="91" t="n">
        <f aca="false">Model!CW168+Model!CX168+Model!CY168</f>
        <v>693048</v>
      </c>
      <c r="AJ23" s="91" t="n">
        <f aca="false">Model!CZ168+Model!DA168+Model!DB168</f>
        <v>693048</v>
      </c>
      <c r="AK23" s="91" t="n">
        <f aca="false">Model!DC168+Model!DD168+Model!DE168</f>
        <v>693048</v>
      </c>
    </row>
    <row r="24" customFormat="false" ht="15" hidden="false" customHeight="true" outlineLevel="0" collapsed="false">
      <c r="A24" s="29" t="s">
        <v>117</v>
      </c>
      <c r="B24" s="110" t="n">
        <f aca="false">Model!B199+Model!C199+Model!D199</f>
        <v>-646353.82</v>
      </c>
      <c r="C24" s="110" t="n">
        <f aca="false">Model!E199+Model!F199+Model!G199</f>
        <v>-647516.71</v>
      </c>
      <c r="D24" s="110" t="n">
        <f aca="false">Model!H199+Model!I199+Model!J199</f>
        <v>-234270.275</v>
      </c>
      <c r="E24" s="110" t="n">
        <f aca="false">Model!K199+Model!L199+Model!M199</f>
        <v>-525493.395</v>
      </c>
      <c r="F24" s="110" t="n">
        <f aca="false">Model!N199+Model!O199+Model!P199</f>
        <v>-234270.275</v>
      </c>
      <c r="G24" s="110" t="n">
        <f aca="false">Model!Q199+Model!R199+Model!S199</f>
        <v>-238955.6805</v>
      </c>
      <c r="H24" s="110" t="n">
        <f aca="false">Model!T199+Model!U199+Model!V199</f>
        <v>-238955.6805</v>
      </c>
      <c r="I24" s="110" t="n">
        <f aca="false">Model!W199+Model!X199+Model!Y199</f>
        <v>-238955.6805</v>
      </c>
      <c r="J24" s="110" t="n">
        <f aca="false">Model!Z199+Model!AA199+Model!AB199</f>
        <v>-238955.6805</v>
      </c>
      <c r="K24" s="110" t="n">
        <f aca="false">Model!AC199+Model!AD199+Model!AE199</f>
        <v>-243734.79411</v>
      </c>
      <c r="L24" s="110" t="n">
        <f aca="false">Model!AF199+Model!AG199+Model!AH199</f>
        <v>-243734.79411</v>
      </c>
      <c r="M24" s="110" t="n">
        <f aca="false">Model!AI199+Model!AJ199+Model!AK199</f>
        <v>-243734.79411</v>
      </c>
      <c r="N24" s="110" t="n">
        <f aca="false">Model!AL199+Model!AM199+Model!AN199</f>
        <v>-243734.79411</v>
      </c>
      <c r="O24" s="110" t="n">
        <f aca="false">Model!AO199+Model!AP199+Model!AQ199</f>
        <v>-248609.4899922</v>
      </c>
      <c r="P24" s="110" t="n">
        <f aca="false">Model!AR199+Model!AS199+Model!AT199</f>
        <v>-330292.4899922</v>
      </c>
      <c r="Q24" s="110" t="n">
        <f aca="false">Model!AU199+Model!AV199+Model!AW199</f>
        <v>-330291.4899922</v>
      </c>
      <c r="R24" s="110" t="n">
        <f aca="false">Model!AX199+Model!AY199+Model!AZ199</f>
        <v>-330291.4899922</v>
      </c>
      <c r="S24" s="110" t="n">
        <f aca="false">Model!BA199+Model!BB199+Model!BC199</f>
        <v>-1187102.67979204</v>
      </c>
      <c r="T24" s="110" t="n">
        <f aca="false">Model!BD199+Model!BE199+Model!BF199</f>
        <v>-384459.679792044</v>
      </c>
      <c r="U24" s="110" t="n">
        <f aca="false">Model!BG199+Model!BH199+Model!BI199</f>
        <v>-384457.679792044</v>
      </c>
      <c r="V24" s="110" t="n">
        <f aca="false">Model!BJ199+Model!BK199+Model!BL199</f>
        <v>-384457.679792044</v>
      </c>
      <c r="W24" s="110" t="n">
        <f aca="false">Model!BM199+Model!BN199+Model!BO199</f>
        <v>-389529.313387885</v>
      </c>
      <c r="X24" s="110" t="n">
        <f aca="false">Model!BP199+Model!BQ199+Model!BR199</f>
        <v>-347808.963387885</v>
      </c>
      <c r="Y24" s="110" t="n">
        <f aca="false">Model!BS199+Model!BT199+Model!BU199</f>
        <v>-333293.313387885</v>
      </c>
      <c r="Z24" s="110" t="n">
        <f aca="false">Model!BV199+Model!BW199+Model!BX199</f>
        <v>-333293.313387885</v>
      </c>
      <c r="AA24" s="110" t="n">
        <f aca="false">Model!BY199+Model!BZ199+Model!CA199</f>
        <v>-411622.379655643</v>
      </c>
      <c r="AB24" s="110" t="n">
        <f aca="false">Model!CB199+Model!CC199+Model!CD199</f>
        <v>-418344.379655643</v>
      </c>
      <c r="AC24" s="110" t="n">
        <f aca="false">Model!CE199+Model!CF199+Model!CG199</f>
        <v>-418343.379655643</v>
      </c>
      <c r="AD24" s="110" t="n">
        <f aca="false">Model!CH199+Model!CI199+Model!CJ199</f>
        <v>-411735.353049163</v>
      </c>
      <c r="AE24" s="110" t="n">
        <f aca="false">Model!CK199+Model!CL199+Model!CM199</f>
        <v>-488567.907248755</v>
      </c>
      <c r="AF24" s="110" t="n">
        <f aca="false">Model!CN199+Model!CO199+Model!CP199</f>
        <v>-488567.907248755</v>
      </c>
      <c r="AG24" s="110" t="n">
        <f aca="false">Model!CQ199+Model!CR199+Model!CS199</f>
        <v>-488567.907248755</v>
      </c>
      <c r="AH24" s="110" t="n">
        <f aca="false">Model!CT199+Model!CU199+Model!CV199</f>
        <v>-482842.427124066</v>
      </c>
      <c r="AI24" s="110" t="n">
        <f aca="false">Model!CW199+Model!CX199+Model!CY199</f>
        <v>-286091.824602955</v>
      </c>
      <c r="AJ24" s="110" t="n">
        <f aca="false">Model!CZ199+Model!DA199+Model!DB199</f>
        <v>-268644.975666547</v>
      </c>
      <c r="AK24" s="110" t="n">
        <f aca="false">Model!DC199+Model!DD199+Model!DE199</f>
        <v>-268644.975666547</v>
      </c>
    </row>
    <row r="25" customFormat="false" ht="15" hidden="false" customHeight="true" outlineLevel="0" collapsed="false">
      <c r="A25" s="42" t="s">
        <v>133</v>
      </c>
      <c r="B25" s="111" t="n">
        <f aca="false">Model!B200+Model!C200+Model!D200</f>
        <v>-544010.08</v>
      </c>
      <c r="C25" s="111" t="n">
        <f aca="false">Model!E200+Model!F200+Model!G200</f>
        <v>-217672.97</v>
      </c>
      <c r="D25" s="111" t="n">
        <f aca="false">Model!H200+Model!I200+Model!J200</f>
        <v>173938.063571429</v>
      </c>
      <c r="E25" s="111" t="n">
        <f aca="false">Model!K200+Model!L200+Model!M200</f>
        <v>-127537.086428571</v>
      </c>
      <c r="F25" s="111" t="n">
        <f aca="false">Model!N200+Model!O200+Model!P200</f>
        <v>5226.74785714282</v>
      </c>
      <c r="G25" s="111" t="n">
        <f aca="false">Model!Q200+Model!R200+Model!S200</f>
        <v>-9815.80050000004</v>
      </c>
      <c r="H25" s="111" t="n">
        <f aca="false">Model!T200+Model!U200+Model!V200</f>
        <v>-85534.5505</v>
      </c>
      <c r="I25" s="111" t="n">
        <f aca="false">Model!W200+Model!X200+Model!Y200</f>
        <v>30521.4495</v>
      </c>
      <c r="J25" s="111" t="n">
        <f aca="false">Model!Z200+Model!AA200+Model!AB200</f>
        <v>-103200.5505</v>
      </c>
      <c r="K25" s="111" t="n">
        <f aca="false">Model!AC200+Model!AD200+Model!AE200</f>
        <v>-151598.08411</v>
      </c>
      <c r="L25" s="111" t="n">
        <f aca="false">Model!AF200+Model!AG200+Model!AH200</f>
        <v>-236657.29411</v>
      </c>
      <c r="M25" s="111" t="n">
        <f aca="false">Model!AI200+Model!AJ200+Model!AK200</f>
        <v>-261157.29411</v>
      </c>
      <c r="N25" s="111" t="n">
        <f aca="false">Model!AL200+Model!AM200+Model!AN200</f>
        <v>-263657.29411</v>
      </c>
      <c r="O25" s="111" t="n">
        <f aca="false">Model!AO200+Model!AP200+Model!AQ200</f>
        <v>-269781.9899922</v>
      </c>
      <c r="P25" s="111" t="n">
        <f aca="false">Model!AR200+Model!AS200+Model!AT200</f>
        <v>-266724.4899922</v>
      </c>
      <c r="Q25" s="111" t="n">
        <f aca="false">Model!AU200+Model!AV200+Model!AW200</f>
        <v>-248609.4899922</v>
      </c>
      <c r="R25" s="111" t="n">
        <f aca="false">Model!AX200+Model!AY200+Model!AZ200</f>
        <v>-248609.4899922</v>
      </c>
      <c r="S25" s="111" t="n">
        <f aca="false">Model!BA200+Model!BB200+Model!BC200</f>
        <v>-253581.679792044</v>
      </c>
      <c r="T25" s="111" t="n">
        <f aca="false">Model!BD200+Model!BE200+Model!BF200</f>
        <v>-253581.679792044</v>
      </c>
      <c r="U25" s="111" t="n">
        <f aca="false">Model!BG200+Model!BH200+Model!BI200</f>
        <v>-253581.679792044</v>
      </c>
      <c r="V25" s="111" t="n">
        <f aca="false">Model!BJ200+Model!BK200+Model!BL200</f>
        <v>-253581.679792044</v>
      </c>
      <c r="W25" s="111" t="n">
        <f aca="false">Model!BM200+Model!BN200+Model!BO200</f>
        <v>-258653.313387885</v>
      </c>
      <c r="X25" s="111" t="n">
        <f aca="false">Model!BP200+Model!BQ200+Model!BR200</f>
        <v>-205402.963387885</v>
      </c>
      <c r="Y25" s="111" t="n">
        <f aca="false">Model!BS200+Model!BT200+Model!BU200</f>
        <v>-190891.313387885</v>
      </c>
      <c r="Z25" s="111" t="n">
        <f aca="false">Model!BV200+Model!BW200+Model!BX200</f>
        <v>-190891.313387885</v>
      </c>
      <c r="AA25" s="111" t="n">
        <f aca="false">Model!BY200+Model!BZ200+Model!CA200</f>
        <v>-196064.379655643</v>
      </c>
      <c r="AB25" s="111" t="n">
        <f aca="false">Model!CB200+Model!CC200+Model!CD200</f>
        <v>-187327.379655643</v>
      </c>
      <c r="AC25" s="111" t="n">
        <f aca="false">Model!CE200+Model!CF200+Model!CG200</f>
        <v>-187327.379655643</v>
      </c>
      <c r="AD25" s="111" t="n">
        <f aca="false">Model!CH200+Model!CI200+Model!CJ200</f>
        <v>-180719.353049163</v>
      </c>
      <c r="AE25" s="111" t="n">
        <f aca="false">Model!CK200+Model!CL200+Model!CM200</f>
        <v>204480.092751245</v>
      </c>
      <c r="AF25" s="111" t="n">
        <f aca="false">Model!CN200+Model!CO200+Model!CP200</f>
        <v>204480.092751245</v>
      </c>
      <c r="AG25" s="111" t="n">
        <f aca="false">Model!CQ200+Model!CR200+Model!CS200</f>
        <v>204480.092751245</v>
      </c>
      <c r="AH25" s="111" t="n">
        <f aca="false">Model!CT200+Model!CU200+Model!CV200</f>
        <v>210205.572875934</v>
      </c>
      <c r="AI25" s="111" t="n">
        <f aca="false">Model!CW200+Model!CX200+Model!CY200</f>
        <v>406956.175397045</v>
      </c>
      <c r="AJ25" s="111" t="n">
        <f aca="false">Model!CZ200+Model!DA200+Model!DB200</f>
        <v>424403.024333453</v>
      </c>
      <c r="AK25" s="111" t="n">
        <f aca="false">Model!DC200+Model!DD200+Model!DE200</f>
        <v>424403.024333453</v>
      </c>
    </row>
    <row r="26" customFormat="false" ht="15" hidden="false" customHeight="true" outlineLevel="0" collapsed="false">
      <c r="A26" s="4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</row>
    <row r="27" customFormat="false" ht="15" hidden="false" customHeight="true" outlineLevel="0" collapsed="false">
      <c r="A27" s="42" t="s">
        <v>217</v>
      </c>
      <c r="B27" s="111" t="n">
        <f aca="false">Model!B209+Model!C209+Model!D209</f>
        <v>-654917.25</v>
      </c>
      <c r="C27" s="111" t="n">
        <f aca="false">Model!E209+Model!F209+Model!G209</f>
        <v>417096.156666667</v>
      </c>
      <c r="D27" s="111" t="n">
        <f aca="false">Model!H209+Model!I209+Model!J209</f>
        <v>330974.279372582</v>
      </c>
      <c r="E27" s="111" t="n">
        <f aca="false">Model!K209+Model!L209+Model!M209</f>
        <v>957177.376417661</v>
      </c>
      <c r="F27" s="111" t="n">
        <f aca="false">Model!N209+Model!O209+Model!P209</f>
        <v>806568.569635597</v>
      </c>
      <c r="G27" s="111" t="n">
        <f aca="false">Model!Q209+Model!R209+Model!S209</f>
        <v>170138.047424031</v>
      </c>
      <c r="H27" s="111" t="n">
        <f aca="false">Model!T209+Model!U209+Model!V209</f>
        <v>493699.597951701</v>
      </c>
      <c r="I27" s="111" t="n">
        <f aca="false">Model!W209+Model!X209+Model!Y209</f>
        <v>521915.995316306</v>
      </c>
      <c r="J27" s="111" t="n">
        <f aca="false">Model!Z209+Model!AA209+Model!AB209</f>
        <v>377214.35289128</v>
      </c>
      <c r="K27" s="111" t="n">
        <f aca="false">Model!AC209+Model!AD209+Model!AE209</f>
        <v>-599489.843193107</v>
      </c>
      <c r="L27" s="111" t="n">
        <f aca="false">Model!AF209+Model!AG209+Model!AH209</f>
        <v>175004.922471402</v>
      </c>
      <c r="M27" s="111" t="n">
        <f aca="false">Model!AI209+Model!AJ209+Model!AK209</f>
        <v>-180151.745578619</v>
      </c>
      <c r="N27" s="111" t="n">
        <f aca="false">Model!AL209+Model!AM209+Model!AN209</f>
        <v>-274360.433849789</v>
      </c>
      <c r="O27" s="111" t="n">
        <f aca="false">Model!AO209+Model!AP209+Model!AQ209</f>
        <v>-867233.253196471</v>
      </c>
      <c r="P27" s="111" t="n">
        <f aca="false">Model!AR209+Model!AS209+Model!AT209</f>
        <v>-591690.167842971</v>
      </c>
      <c r="Q27" s="111" t="n">
        <f aca="false">Model!AU209+Model!AV209+Model!AW209</f>
        <v>-1363783.36536812</v>
      </c>
      <c r="R27" s="111" t="n">
        <f aca="false">Model!AX209+Model!AY209+Model!AZ209</f>
        <v>-1363783.36536812</v>
      </c>
      <c r="S27" s="111" t="n">
        <f aca="false">Model!BA209+Model!BB209+Model!BC209</f>
        <v>-1394288.6111276</v>
      </c>
      <c r="T27" s="111" t="n">
        <f aca="false">Model!BD209+Model!BE209+Model!BF209</f>
        <v>-1394288.6111276</v>
      </c>
      <c r="U27" s="111" t="n">
        <f aca="false">Model!BG209+Model!BH209+Model!BI209</f>
        <v>-1303011.97694054</v>
      </c>
      <c r="V27" s="111" t="n">
        <f aca="false">Model!BJ209+Model!BK209+Model!BL209</f>
        <v>-1867267.53373324</v>
      </c>
      <c r="W27" s="111" t="n">
        <f aca="false">Model!BM209+Model!BN209+Model!BO209</f>
        <v>-1898382.8844079</v>
      </c>
      <c r="X27" s="111" t="n">
        <f aca="false">Model!BP209+Model!BQ209+Model!BR209</f>
        <v>-1845132.5344079</v>
      </c>
      <c r="Y27" s="111" t="n">
        <f aca="false">Model!BS209+Model!BT209+Model!BU209</f>
        <v>-1830620.8844079</v>
      </c>
      <c r="Z27" s="111" t="n">
        <f aca="false">Model!BV209+Model!BW209+Model!BX209</f>
        <v>-1830620.8844079</v>
      </c>
      <c r="AA27" s="111" t="n">
        <f aca="false">Model!BY209+Model!BZ209+Model!CA209</f>
        <v>-1862358.54209606</v>
      </c>
      <c r="AB27" s="111" t="n">
        <f aca="false">Model!CB209+Model!CC209+Model!CD209</f>
        <v>-1853621.54209606</v>
      </c>
      <c r="AC27" s="111" t="n">
        <f aca="false">Model!CE209+Model!CF209+Model!CG209</f>
        <v>-1853621.54209606</v>
      </c>
      <c r="AD27" s="111" t="n">
        <f aca="false">Model!CH209+Model!CI209+Model!CJ209</f>
        <v>-1847013.51548958</v>
      </c>
      <c r="AE27" s="111" t="n">
        <f aca="false">Model!CK209+Model!CL209+Model!CM209</f>
        <v>-1488909.95293798</v>
      </c>
      <c r="AF27" s="111" t="n">
        <f aca="false">Model!CN209+Model!CO209+Model!CP209</f>
        <v>-1488909.95293798</v>
      </c>
      <c r="AG27" s="111" t="n">
        <f aca="false">Model!CQ209+Model!CR209+Model!CS209</f>
        <v>-1488909.95293798</v>
      </c>
      <c r="AH27" s="111" t="n">
        <f aca="false">Model!CT209+Model!CU209+Model!CV209</f>
        <v>-1319852.1398017</v>
      </c>
      <c r="AI27" s="111" t="n">
        <f aca="false">Model!CW209+Model!CX209+Model!CY209</f>
        <v>-1147472.69153414</v>
      </c>
      <c r="AJ27" s="111" t="n">
        <f aca="false">Model!CZ209+Model!DA209+Model!DB209</f>
        <v>-1130025.84259773</v>
      </c>
      <c r="AK27" s="111" t="n">
        <f aca="false">Model!DC209+Model!DD209+Model!DE209</f>
        <v>-1130025.84259773</v>
      </c>
    </row>
    <row r="28" customFormat="false" ht="15" hidden="false" customHeight="true" outlineLevel="0" collapsed="false">
      <c r="A28" s="4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</row>
    <row r="29" customFormat="false" ht="15" hidden="false" customHeight="true" outlineLevel="0" collapsed="false">
      <c r="A29" s="38" t="s">
        <v>218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</row>
    <row r="30" customFormat="false" ht="15" hidden="false" customHeight="true" outlineLevel="0" collapsed="false">
      <c r="A30" s="29" t="s">
        <v>219</v>
      </c>
      <c r="B30" s="113" t="n">
        <f aca="false">Model!B194+Model!C194+Model!D194</f>
        <v>0</v>
      </c>
      <c r="C30" s="113" t="n">
        <f aca="false">Model!E194+Model!F194+Model!G194</f>
        <v>-0</v>
      </c>
      <c r="D30" s="113" t="n">
        <f aca="false">Model!H194+Model!I194+Model!J194</f>
        <v>-0</v>
      </c>
      <c r="E30" s="113" t="n">
        <f aca="false">Model!K194+Model!L194+Model!M194</f>
        <v>-171223.12</v>
      </c>
      <c r="F30" s="113" t="n">
        <f aca="false">Model!N194+Model!O194+Model!P194</f>
        <v>-0</v>
      </c>
      <c r="G30" s="113" t="n">
        <f aca="false">Model!Q194+Model!R194+Model!S194</f>
        <v>-0</v>
      </c>
      <c r="H30" s="113" t="n">
        <f aca="false">Model!T194+Model!U194+Model!V194</f>
        <v>-0</v>
      </c>
      <c r="I30" s="113" t="n">
        <f aca="false">Model!W194+Model!X194+Model!Y194</f>
        <v>-0</v>
      </c>
      <c r="J30" s="113" t="n">
        <f aca="false">Model!Z194+Model!AA194+Model!AB194</f>
        <v>-0</v>
      </c>
      <c r="K30" s="113" t="n">
        <f aca="false">Model!AC194+Model!AD194+Model!AE194</f>
        <v>-0</v>
      </c>
      <c r="L30" s="113" t="n">
        <f aca="false">Model!AF194+Model!AG194+Model!AH194</f>
        <v>-0</v>
      </c>
      <c r="M30" s="113" t="n">
        <f aca="false">Model!AI194+Model!AJ194+Model!AK194</f>
        <v>-0</v>
      </c>
      <c r="N30" s="113" t="n">
        <f aca="false">Model!AL194+Model!AM194+Model!AN194</f>
        <v>-0</v>
      </c>
      <c r="O30" s="113" t="n">
        <f aca="false">Model!AO194+Model!AP194+Model!AQ194</f>
        <v>-0</v>
      </c>
      <c r="P30" s="113" t="n">
        <f aca="false">Model!AR194+Model!AS194+Model!AT194</f>
        <v>-0</v>
      </c>
      <c r="Q30" s="113" t="n">
        <f aca="false">Model!AU194+Model!AV194+Model!AW194</f>
        <v>-0</v>
      </c>
      <c r="R30" s="113" t="n">
        <f aca="false">Model!AX194+Model!AY194+Model!AZ194</f>
        <v>-0</v>
      </c>
      <c r="S30" s="113" t="n">
        <f aca="false">Model!BA194+Model!BB194+Model!BC194</f>
        <v>-0</v>
      </c>
      <c r="T30" s="113" t="n">
        <f aca="false">Model!BD194+Model!BE194+Model!BF194</f>
        <v>-0</v>
      </c>
      <c r="U30" s="113" t="n">
        <f aca="false">Model!BG194+Model!BH194+Model!BI194</f>
        <v>-0</v>
      </c>
      <c r="V30" s="113" t="n">
        <f aca="false">Model!BJ194+Model!BK194+Model!BL194</f>
        <v>-0</v>
      </c>
      <c r="W30" s="113" t="n">
        <f aca="false">Model!BM194+Model!BN194+Model!BO194</f>
        <v>-0</v>
      </c>
      <c r="X30" s="113" t="n">
        <f aca="false">Model!BP194+Model!BQ194+Model!BR194</f>
        <v>-0</v>
      </c>
      <c r="Y30" s="113" t="n">
        <f aca="false">Model!BS194+Model!BT194+Model!BU194</f>
        <v>-0</v>
      </c>
      <c r="Z30" s="113" t="n">
        <f aca="false">Model!BV194+Model!BW194+Model!BX194</f>
        <v>-0</v>
      </c>
      <c r="AA30" s="113" t="n">
        <f aca="false">Model!BY194+Model!BZ194+Model!CA194</f>
        <v>-0</v>
      </c>
      <c r="AB30" s="113" t="n">
        <f aca="false">Model!CB194+Model!CC194+Model!CD194</f>
        <v>-0</v>
      </c>
      <c r="AC30" s="113" t="n">
        <f aca="false">Model!CE194+Model!CF194+Model!CG194</f>
        <v>-0</v>
      </c>
      <c r="AD30" s="113" t="n">
        <f aca="false">Model!CH194+Model!CI194+Model!CJ194</f>
        <v>-0</v>
      </c>
      <c r="AE30" s="113" t="n">
        <f aca="false">Model!CK194+Model!CL194+Model!CM194</f>
        <v>-0</v>
      </c>
      <c r="AF30" s="113" t="n">
        <f aca="false">Model!CN194+Model!CO194+Model!CP194</f>
        <v>-0</v>
      </c>
      <c r="AG30" s="113" t="n">
        <f aca="false">Model!CQ194+Model!CR194+Model!CS194</f>
        <v>-0</v>
      </c>
      <c r="AH30" s="113" t="n">
        <f aca="false">Model!CT194+Model!CU194+Model!CV194</f>
        <v>-0</v>
      </c>
      <c r="AI30" s="113" t="n">
        <f aca="false">Model!CW194+Model!CX194+Model!CY194</f>
        <v>-0</v>
      </c>
      <c r="AJ30" s="113" t="n">
        <f aca="false">Model!CZ194+Model!DA194+Model!DB194</f>
        <v>-0</v>
      </c>
      <c r="AK30" s="113" t="n">
        <f aca="false">Model!DC194+Model!DD194+Model!DE194</f>
        <v>-0</v>
      </c>
    </row>
    <row r="31" customFormat="false" ht="15" hidden="false" customHeight="true" outlineLevel="0" collapsed="false">
      <c r="A31" s="29" t="s">
        <v>220</v>
      </c>
      <c r="B31" s="113" t="n">
        <f aca="false">Model!B195+Model!C195+Model!D195</f>
        <v>0</v>
      </c>
      <c r="C31" s="113" t="n">
        <f aca="false">Model!E195+Model!F195+Model!G195</f>
        <v>-0</v>
      </c>
      <c r="D31" s="113" t="n">
        <f aca="false">Model!H195+Model!I195+Model!J195</f>
        <v>-0</v>
      </c>
      <c r="E31" s="113" t="n">
        <f aca="false">Model!K195+Model!L195+Model!M195</f>
        <v>-120000</v>
      </c>
      <c r="F31" s="113" t="n">
        <f aca="false">Model!N195+Model!O195+Model!P195</f>
        <v>-0</v>
      </c>
      <c r="G31" s="113" t="n">
        <f aca="false">Model!Q195+Model!R195+Model!S195</f>
        <v>-0</v>
      </c>
      <c r="H31" s="113" t="n">
        <f aca="false">Model!T195+Model!U195+Model!V195</f>
        <v>-0</v>
      </c>
      <c r="I31" s="113" t="n">
        <f aca="false">Model!W195+Model!X195+Model!Y195</f>
        <v>-0</v>
      </c>
      <c r="J31" s="113" t="n">
        <f aca="false">Model!Z195+Model!AA195+Model!AB195</f>
        <v>-0</v>
      </c>
      <c r="K31" s="113" t="n">
        <f aca="false">Model!AC195+Model!AD195+Model!AE195</f>
        <v>-0</v>
      </c>
      <c r="L31" s="113" t="n">
        <f aca="false">Model!AF195+Model!AG195+Model!AH195</f>
        <v>-0</v>
      </c>
      <c r="M31" s="113" t="n">
        <f aca="false">Model!AI195+Model!AJ195+Model!AK195</f>
        <v>-0</v>
      </c>
      <c r="N31" s="113" t="n">
        <f aca="false">Model!AL195+Model!AM195+Model!AN195</f>
        <v>-0</v>
      </c>
      <c r="O31" s="113" t="n">
        <f aca="false">Model!AO195+Model!AP195+Model!AQ195</f>
        <v>-0</v>
      </c>
      <c r="P31" s="113" t="n">
        <f aca="false">Model!AR195+Model!AS195+Model!AT195</f>
        <v>-0</v>
      </c>
      <c r="Q31" s="113" t="n">
        <f aca="false">Model!AU195+Model!AV195+Model!AW195</f>
        <v>-0</v>
      </c>
      <c r="R31" s="113" t="n">
        <f aca="false">Model!AX195+Model!AY195+Model!AZ195</f>
        <v>-0</v>
      </c>
      <c r="S31" s="113" t="n">
        <f aca="false">Model!BA195+Model!BB195+Model!BC195</f>
        <v>-0</v>
      </c>
      <c r="T31" s="113" t="n">
        <f aca="false">Model!BD195+Model!BE195+Model!BF195</f>
        <v>-0</v>
      </c>
      <c r="U31" s="113" t="n">
        <f aca="false">Model!BG195+Model!BH195+Model!BI195</f>
        <v>-0</v>
      </c>
      <c r="V31" s="113" t="n">
        <f aca="false">Model!BJ195+Model!BK195+Model!BL195</f>
        <v>-0</v>
      </c>
      <c r="W31" s="113" t="n">
        <f aca="false">Model!BM195+Model!BN195+Model!BO195</f>
        <v>-0</v>
      </c>
      <c r="X31" s="113" t="n">
        <f aca="false">Model!BP195+Model!BQ195+Model!BR195</f>
        <v>-0</v>
      </c>
      <c r="Y31" s="113" t="n">
        <f aca="false">Model!BS195+Model!BT195+Model!BU195</f>
        <v>-0</v>
      </c>
      <c r="Z31" s="113" t="n">
        <f aca="false">Model!BV195+Model!BW195+Model!BX195</f>
        <v>-0</v>
      </c>
      <c r="AA31" s="113" t="n">
        <f aca="false">Model!BY195+Model!BZ195+Model!CA195</f>
        <v>-0</v>
      </c>
      <c r="AB31" s="113" t="n">
        <f aca="false">Model!CB195+Model!CC195+Model!CD195</f>
        <v>-0</v>
      </c>
      <c r="AC31" s="113" t="n">
        <f aca="false">Model!CE195+Model!CF195+Model!CG195</f>
        <v>-0</v>
      </c>
      <c r="AD31" s="113" t="n">
        <f aca="false">Model!CH195+Model!CI195+Model!CJ195</f>
        <v>-0</v>
      </c>
      <c r="AE31" s="113" t="n">
        <f aca="false">Model!CK195+Model!CL195+Model!CM195</f>
        <v>-0</v>
      </c>
      <c r="AF31" s="113" t="n">
        <f aca="false">Model!CN195+Model!CO195+Model!CP195</f>
        <v>-0</v>
      </c>
      <c r="AG31" s="113" t="n">
        <f aca="false">Model!CQ195+Model!CR195+Model!CS195</f>
        <v>-0</v>
      </c>
      <c r="AH31" s="113" t="n">
        <f aca="false">Model!CT195+Model!CU195+Model!CV195</f>
        <v>-0</v>
      </c>
      <c r="AI31" s="113" t="n">
        <f aca="false">Model!CW195+Model!CX195+Model!CY195</f>
        <v>-0</v>
      </c>
      <c r="AJ31" s="113" t="n">
        <f aca="false">Model!CZ195+Model!DA195+Model!DB195</f>
        <v>-0</v>
      </c>
      <c r="AK31" s="113" t="n">
        <f aca="false">Model!DC195+Model!DD195+Model!DE195</f>
        <v>-0</v>
      </c>
    </row>
    <row r="32" customFormat="false" ht="15" hidden="false" customHeight="true" outlineLevel="0" collapsed="false">
      <c r="A32" s="29" t="s">
        <v>221</v>
      </c>
      <c r="B32" s="113" t="n">
        <f aca="false">Model!B196+Model!C196+Model!D196</f>
        <v>0</v>
      </c>
      <c r="C32" s="113" t="n">
        <f aca="false">Model!E196+Model!F196+Model!G196</f>
        <v>-0</v>
      </c>
      <c r="D32" s="113" t="n">
        <f aca="false">Model!H196+Model!I196+Model!J196</f>
        <v>-0</v>
      </c>
      <c r="E32" s="113" t="n">
        <f aca="false">Model!K196+Model!L196+Model!M196</f>
        <v>-0</v>
      </c>
      <c r="F32" s="113" t="n">
        <f aca="false">Model!N196+Model!O196+Model!P196</f>
        <v>-0</v>
      </c>
      <c r="G32" s="113" t="n">
        <f aca="false">Model!Q196+Model!R196+Model!S196</f>
        <v>-0</v>
      </c>
      <c r="H32" s="113" t="n">
        <f aca="false">Model!T196+Model!U196+Model!V196</f>
        <v>-0</v>
      </c>
      <c r="I32" s="113" t="n">
        <f aca="false">Model!W196+Model!X196+Model!Y196</f>
        <v>-0</v>
      </c>
      <c r="J32" s="113" t="n">
        <f aca="false">Model!Z196+Model!AA196+Model!AB196</f>
        <v>-0</v>
      </c>
      <c r="K32" s="113" t="n">
        <f aca="false">Model!AC196+Model!AD196+Model!AE196</f>
        <v>-0</v>
      </c>
      <c r="L32" s="113" t="n">
        <f aca="false">Model!AF196+Model!AG196+Model!AH196</f>
        <v>-0</v>
      </c>
      <c r="M32" s="113" t="n">
        <f aca="false">Model!AI196+Model!AJ196+Model!AK196</f>
        <v>-0</v>
      </c>
      <c r="N32" s="113" t="n">
        <f aca="false">Model!AL196+Model!AM196+Model!AN196</f>
        <v>-0</v>
      </c>
      <c r="O32" s="113" t="n">
        <f aca="false">Model!AO196+Model!AP196+Model!AQ196</f>
        <v>-0</v>
      </c>
      <c r="P32" s="113" t="n">
        <f aca="false">Model!AR196+Model!AS196+Model!AT196</f>
        <v>-81683</v>
      </c>
      <c r="Q32" s="113" t="n">
        <f aca="false">Model!AU196+Model!AV196+Model!AW196</f>
        <v>-81682</v>
      </c>
      <c r="R32" s="113" t="n">
        <f aca="false">Model!AX196+Model!AY196+Model!AZ196</f>
        <v>-81682</v>
      </c>
      <c r="S32" s="113" t="n">
        <f aca="false">Model!BA196+Model!BB196+Model!BC196</f>
        <v>-81682</v>
      </c>
      <c r="T32" s="113" t="n">
        <f aca="false">Model!BD196+Model!BE196+Model!BF196</f>
        <v>-59178</v>
      </c>
      <c r="U32" s="113" t="n">
        <f aca="false">Model!BG196+Model!BH196+Model!BI196</f>
        <v>-59176</v>
      </c>
      <c r="V32" s="113" t="n">
        <f aca="false">Model!BJ196+Model!BK196+Model!BL196</f>
        <v>-59176</v>
      </c>
      <c r="W32" s="113" t="n">
        <f aca="false">Model!BM196+Model!BN196+Model!BO196</f>
        <v>-59176</v>
      </c>
      <c r="X32" s="113" t="n">
        <f aca="false">Model!BP196+Model!BQ196+Model!BR196</f>
        <v>-14512.65</v>
      </c>
      <c r="Y32" s="113" t="n">
        <f aca="false">Model!BS196+Model!BT196+Model!BU196</f>
        <v>-0</v>
      </c>
      <c r="Z32" s="113" t="n">
        <f aca="false">Model!BV196+Model!BW196+Model!BX196</f>
        <v>-0</v>
      </c>
      <c r="AA32" s="113" t="n">
        <f aca="false">Model!BY196+Model!BZ196+Model!CA196</f>
        <v>-0</v>
      </c>
      <c r="AB32" s="113" t="n">
        <f aca="false">Model!CB196+Model!CC196+Model!CD196</f>
        <v>-0</v>
      </c>
      <c r="AC32" s="113" t="n">
        <f aca="false">Model!CE196+Model!CF196+Model!CG196</f>
        <v>-0</v>
      </c>
      <c r="AD32" s="113" t="n">
        <f aca="false">Model!CH196+Model!CI196+Model!CJ196</f>
        <v>-0</v>
      </c>
      <c r="AE32" s="113" t="n">
        <f aca="false">Model!CK196+Model!CL196+Model!CM196</f>
        <v>-0</v>
      </c>
      <c r="AF32" s="113" t="n">
        <f aca="false">Model!CN196+Model!CO196+Model!CP196</f>
        <v>-0</v>
      </c>
      <c r="AG32" s="113" t="n">
        <f aca="false">Model!CQ196+Model!CR196+Model!CS196</f>
        <v>-0</v>
      </c>
      <c r="AH32" s="113" t="n">
        <f aca="false">Model!CT196+Model!CU196+Model!CV196</f>
        <v>-0</v>
      </c>
      <c r="AI32" s="113" t="n">
        <f aca="false">Model!CW196+Model!CX196+Model!CY196</f>
        <v>-0</v>
      </c>
      <c r="AJ32" s="113" t="n">
        <f aca="false">Model!CZ196+Model!DA196+Model!DB196</f>
        <v>-0</v>
      </c>
      <c r="AK32" s="113" t="n">
        <f aca="false">Model!DC196+Model!DD196+Model!DE196</f>
        <v>-0</v>
      </c>
    </row>
    <row r="33" customFormat="false" ht="15" hidden="false" customHeight="true" outlineLevel="0" collapsed="false">
      <c r="A33" s="29" t="s">
        <v>222</v>
      </c>
      <c r="B33" s="113" t="n">
        <f aca="false">Model!B197+Model!C197+Model!D197</f>
        <v>0</v>
      </c>
      <c r="C33" s="113" t="n">
        <f aca="false">Model!E197+Model!F197+Model!G197</f>
        <v>-0</v>
      </c>
      <c r="D33" s="113" t="n">
        <f aca="false">Model!H197+Model!I197+Model!J197</f>
        <v>-0</v>
      </c>
      <c r="E33" s="113" t="n">
        <f aca="false">Model!K197+Model!L197+Model!M197</f>
        <v>-0</v>
      </c>
      <c r="F33" s="113" t="n">
        <f aca="false">Model!N197+Model!O197+Model!P197</f>
        <v>-0</v>
      </c>
      <c r="G33" s="113" t="n">
        <f aca="false">Model!Q197+Model!R197+Model!S197</f>
        <v>-0</v>
      </c>
      <c r="H33" s="113" t="n">
        <f aca="false">Model!T197+Model!U197+Model!V197</f>
        <v>-0</v>
      </c>
      <c r="I33" s="113" t="n">
        <f aca="false">Model!W197+Model!X197+Model!Y197</f>
        <v>-0</v>
      </c>
      <c r="J33" s="113" t="n">
        <f aca="false">Model!Z197+Model!AA197+Model!AB197</f>
        <v>-0</v>
      </c>
      <c r="K33" s="113" t="n">
        <f aca="false">Model!AC197+Model!AD197+Model!AE197</f>
        <v>-0</v>
      </c>
      <c r="L33" s="113" t="n">
        <f aca="false">Model!AF197+Model!AG197+Model!AH197</f>
        <v>-0</v>
      </c>
      <c r="M33" s="113" t="n">
        <f aca="false">Model!AI197+Model!AJ197+Model!AK197</f>
        <v>-0</v>
      </c>
      <c r="N33" s="113" t="n">
        <f aca="false">Model!AL197+Model!AM197+Model!AN197</f>
        <v>-0</v>
      </c>
      <c r="O33" s="113" t="n">
        <f aca="false">Model!AO197+Model!AP197+Model!AQ197</f>
        <v>-0</v>
      </c>
      <c r="P33" s="113" t="n">
        <f aca="false">Model!AR197+Model!AS197+Model!AT197</f>
        <v>-0</v>
      </c>
      <c r="Q33" s="113" t="n">
        <f aca="false">Model!AU197+Model!AV197+Model!AW197</f>
        <v>-0</v>
      </c>
      <c r="R33" s="113" t="n">
        <f aca="false">Model!AX197+Model!AY197+Model!AZ197</f>
        <v>-0</v>
      </c>
      <c r="S33" s="113" t="n">
        <f aca="false">Model!BA197+Model!BB197+Model!BC197</f>
        <v>-851839</v>
      </c>
      <c r="T33" s="113" t="n">
        <f aca="false">Model!BD197+Model!BE197+Model!BF197</f>
        <v>-71700</v>
      </c>
      <c r="U33" s="113" t="n">
        <f aca="false">Model!BG197+Model!BH197+Model!BI197</f>
        <v>-71700</v>
      </c>
      <c r="V33" s="113" t="n">
        <f aca="false">Model!BJ197+Model!BK197+Model!BL197</f>
        <v>-71700</v>
      </c>
      <c r="W33" s="113" t="n">
        <f aca="false">Model!BM197+Model!BN197+Model!BO197</f>
        <v>-71700</v>
      </c>
      <c r="X33" s="113" t="n">
        <f aca="false">Model!BP197+Model!BQ197+Model!BR197</f>
        <v>-74643</v>
      </c>
      <c r="Y33" s="113" t="n">
        <f aca="false">Model!BS197+Model!BT197+Model!BU197</f>
        <v>-74640</v>
      </c>
      <c r="Z33" s="113" t="n">
        <f aca="false">Model!BV197+Model!BW197+Model!BX197</f>
        <v>-74640</v>
      </c>
      <c r="AA33" s="113" t="n">
        <f aca="false">Model!BY197+Model!BZ197+Model!CA197</f>
        <v>-74640</v>
      </c>
      <c r="AB33" s="113" t="n">
        <f aca="false">Model!CB197+Model!CC197+Model!CD197</f>
        <v>-81363</v>
      </c>
      <c r="AC33" s="113" t="n">
        <f aca="false">Model!CE197+Model!CF197+Model!CG197</f>
        <v>-81362</v>
      </c>
      <c r="AD33" s="113" t="n">
        <f aca="false">Model!CH197+Model!CI197+Model!CJ197</f>
        <v>-74753.9733935208</v>
      </c>
      <c r="AE33" s="113" t="n">
        <f aca="false">Model!CK197+Model!CL197+Model!CM197</f>
        <v>-0</v>
      </c>
      <c r="AF33" s="113" t="n">
        <f aca="false">Model!CN197+Model!CO197+Model!CP197</f>
        <v>-0</v>
      </c>
      <c r="AG33" s="113" t="n">
        <f aca="false">Model!CQ197+Model!CR197+Model!CS197</f>
        <v>-0</v>
      </c>
      <c r="AH33" s="113" t="n">
        <f aca="false">Model!CT197+Model!CU197+Model!CV197</f>
        <v>-0</v>
      </c>
      <c r="AI33" s="113" t="n">
        <f aca="false">Model!CW197+Model!CX197+Model!CY197</f>
        <v>-0</v>
      </c>
      <c r="AJ33" s="113" t="n">
        <f aca="false">Model!CZ197+Model!DA197+Model!DB197</f>
        <v>-0</v>
      </c>
      <c r="AK33" s="113" t="n">
        <f aca="false">Model!DC197+Model!DD197+Model!DE197</f>
        <v>-0</v>
      </c>
    </row>
    <row r="34" customFormat="false" ht="15" hidden="false" customHeight="true" outlineLevel="0" collapsed="false">
      <c r="A34" s="29" t="s">
        <v>223</v>
      </c>
      <c r="B34" s="113" t="n">
        <f aca="false">Model!B198+Model!C198+Model!D198</f>
        <v>0</v>
      </c>
      <c r="C34" s="113" t="n">
        <f aca="false">Model!E198+Model!F198+Model!G198</f>
        <v>-0</v>
      </c>
      <c r="D34" s="113" t="n">
        <f aca="false">Model!H198+Model!I198+Model!J198</f>
        <v>-0</v>
      </c>
      <c r="E34" s="113" t="n">
        <f aca="false">Model!K198+Model!L198+Model!M198</f>
        <v>-0</v>
      </c>
      <c r="F34" s="113" t="n">
        <f aca="false">Model!N198+Model!O198+Model!P198</f>
        <v>-0</v>
      </c>
      <c r="G34" s="113" t="n">
        <f aca="false">Model!Q198+Model!R198+Model!S198</f>
        <v>-0</v>
      </c>
      <c r="H34" s="113" t="n">
        <f aca="false">Model!T198+Model!U198+Model!V198</f>
        <v>-0</v>
      </c>
      <c r="I34" s="113" t="n">
        <f aca="false">Model!W198+Model!X198+Model!Y198</f>
        <v>-0</v>
      </c>
      <c r="J34" s="113" t="n">
        <f aca="false">Model!Z198+Model!AA198+Model!AB198</f>
        <v>-0</v>
      </c>
      <c r="K34" s="113" t="n">
        <f aca="false">Model!AC198+Model!AD198+Model!AE198</f>
        <v>-0</v>
      </c>
      <c r="L34" s="113" t="n">
        <f aca="false">Model!AF198+Model!AG198+Model!AH198</f>
        <v>-0</v>
      </c>
      <c r="M34" s="113" t="n">
        <f aca="false">Model!AI198+Model!AJ198+Model!AK198</f>
        <v>-0</v>
      </c>
      <c r="N34" s="113" t="n">
        <f aca="false">Model!AL198+Model!AM198+Model!AN198</f>
        <v>-0</v>
      </c>
      <c r="O34" s="113" t="n">
        <f aca="false">Model!AO198+Model!AP198+Model!AQ198</f>
        <v>-0</v>
      </c>
      <c r="P34" s="113" t="n">
        <f aca="false">Model!AR198+Model!AS198+Model!AT198</f>
        <v>-0</v>
      </c>
      <c r="Q34" s="113" t="n">
        <f aca="false">Model!AU198+Model!AV198+Model!AW198</f>
        <v>-0</v>
      </c>
      <c r="R34" s="113" t="n">
        <f aca="false">Model!AX198+Model!AY198+Model!AZ198</f>
        <v>-0</v>
      </c>
      <c r="S34" s="113" t="n">
        <f aca="false">Model!BA198+Model!BB198+Model!BC198</f>
        <v>-0</v>
      </c>
      <c r="T34" s="113" t="n">
        <f aca="false">Model!BD198+Model!BE198+Model!BF198</f>
        <v>-0</v>
      </c>
      <c r="U34" s="113" t="n">
        <f aca="false">Model!BG198+Model!BH198+Model!BI198</f>
        <v>-0</v>
      </c>
      <c r="V34" s="113" t="n">
        <f aca="false">Model!BJ198+Model!BK198+Model!BL198</f>
        <v>-0</v>
      </c>
      <c r="W34" s="113" t="n">
        <f aca="false">Model!BM198+Model!BN198+Model!BO198</f>
        <v>-0</v>
      </c>
      <c r="X34" s="113" t="n">
        <f aca="false">Model!BP198+Model!BQ198+Model!BR198</f>
        <v>-0</v>
      </c>
      <c r="Y34" s="113" t="n">
        <f aca="false">Model!BS198+Model!BT198+Model!BU198</f>
        <v>-0</v>
      </c>
      <c r="Z34" s="113" t="n">
        <f aca="false">Model!BV198+Model!BW198+Model!BX198</f>
        <v>-0</v>
      </c>
      <c r="AA34" s="113" t="n">
        <f aca="false">Model!BY198+Model!BZ198+Model!CA198</f>
        <v>-73156</v>
      </c>
      <c r="AB34" s="113" t="n">
        <f aca="false">Model!CB198+Model!CC198+Model!CD198</f>
        <v>-73155</v>
      </c>
      <c r="AC34" s="113" t="n">
        <f aca="false">Model!CE198+Model!CF198+Model!CG198</f>
        <v>-73155</v>
      </c>
      <c r="AD34" s="113" t="n">
        <f aca="false">Model!CH198+Model!CI198+Model!CJ198</f>
        <v>-73155</v>
      </c>
      <c r="AE34" s="113" t="n">
        <f aca="false">Model!CK198+Model!CL198+Model!CM198</f>
        <v>-219465</v>
      </c>
      <c r="AF34" s="113" t="n">
        <f aca="false">Model!CN198+Model!CO198+Model!CP198</f>
        <v>-219465</v>
      </c>
      <c r="AG34" s="113" t="n">
        <f aca="false">Model!CQ198+Model!CR198+Model!CS198</f>
        <v>-219465</v>
      </c>
      <c r="AH34" s="113" t="n">
        <f aca="false">Model!CT198+Model!CU198+Model!CV198</f>
        <v>-219465</v>
      </c>
      <c r="AI34" s="113" t="n">
        <f aca="false">Model!CW198+Model!CX198+Model!CY198</f>
        <v>-17446.8489364072</v>
      </c>
      <c r="AJ34" s="113" t="n">
        <f aca="false">Model!CZ198+Model!DA198+Model!DB198</f>
        <v>-0</v>
      </c>
      <c r="AK34" s="113" t="n">
        <f aca="false">Model!DC198+Model!DD198+Model!DE198</f>
        <v>-0</v>
      </c>
    </row>
    <row r="35" customFormat="false" ht="1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customFormat="false" ht="15" hidden="false" customHeight="true" outlineLevel="0" collapsed="false">
      <c r="A36" s="38" t="s">
        <v>224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</row>
    <row r="37" customFormat="false" ht="15" hidden="false" customHeight="true" outlineLevel="0" collapsed="false">
      <c r="A37" s="29" t="s">
        <v>225</v>
      </c>
      <c r="B37" s="113" t="n">
        <f aca="false">Model!B217+Model!C217+Model!D217</f>
        <v>0</v>
      </c>
      <c r="C37" s="113" t="n">
        <f aca="false">Model!E217+Model!F217+Model!G217</f>
        <v>0</v>
      </c>
      <c r="D37" s="113" t="n">
        <f aca="false">Model!H217+Model!I217+Model!J217</f>
        <v>0</v>
      </c>
      <c r="E37" s="113" t="n">
        <f aca="false">Model!K217+Model!L217+Model!M217</f>
        <v>0</v>
      </c>
      <c r="F37" s="113" t="n">
        <f aca="false">Model!N217+Model!O217+Model!P217</f>
        <v>-336000</v>
      </c>
      <c r="G37" s="113" t="n">
        <f aca="false">Model!Q217+Model!R217+Model!S217</f>
        <v>-336000</v>
      </c>
      <c r="H37" s="113" t="n">
        <f aca="false">Model!T217+Model!U217+Model!V217</f>
        <v>-336000</v>
      </c>
      <c r="I37" s="113" t="n">
        <f aca="false">Model!W217+Model!X217+Model!Y217</f>
        <v>-336000</v>
      </c>
      <c r="J37" s="113" t="n">
        <f aca="false">Model!Z217+Model!AA217+Model!AB217</f>
        <v>-336000</v>
      </c>
      <c r="K37" s="113" t="n">
        <f aca="false">Model!AC217+Model!AD217+Model!AE217</f>
        <v>-315981.430278598</v>
      </c>
      <c r="L37" s="113" t="n">
        <f aca="false">Model!AF217+Model!AG217+Model!AH217</f>
        <v>0</v>
      </c>
      <c r="M37" s="113" t="n">
        <f aca="false">Model!AI217+Model!AJ217+Model!AK217</f>
        <v>0</v>
      </c>
      <c r="N37" s="113" t="n">
        <f aca="false">Model!AL217+Model!AM217+Model!AN217</f>
        <v>0</v>
      </c>
      <c r="O37" s="113" t="n">
        <f aca="false">Model!AO217+Model!AP217+Model!AQ217</f>
        <v>0</v>
      </c>
      <c r="P37" s="113" t="n">
        <f aca="false">Model!AR217+Model!AS217+Model!AT217</f>
        <v>0</v>
      </c>
      <c r="Q37" s="113" t="n">
        <f aca="false">Model!AU217+Model!AV217+Model!AW217</f>
        <v>0</v>
      </c>
      <c r="R37" s="113" t="n">
        <f aca="false">Model!AX217+Model!AY217+Model!AZ217</f>
        <v>0</v>
      </c>
      <c r="S37" s="113" t="n">
        <f aca="false">Model!BA217+Model!BB217+Model!BC217</f>
        <v>0</v>
      </c>
      <c r="T37" s="113" t="n">
        <f aca="false">Model!BD217+Model!BE217+Model!BF217</f>
        <v>0</v>
      </c>
      <c r="U37" s="113" t="n">
        <f aca="false">Model!BG217+Model!BH217+Model!BI217</f>
        <v>0</v>
      </c>
      <c r="V37" s="113" t="n">
        <f aca="false">Model!BJ217+Model!BK217+Model!BL217</f>
        <v>0</v>
      </c>
      <c r="W37" s="113" t="n">
        <f aca="false">Model!BM217+Model!BN217+Model!BO217</f>
        <v>0</v>
      </c>
      <c r="X37" s="113" t="n">
        <f aca="false">Model!BP217+Model!BQ217+Model!BR217</f>
        <v>0</v>
      </c>
      <c r="Y37" s="113" t="n">
        <f aca="false">Model!BS217+Model!BT217+Model!BU217</f>
        <v>0</v>
      </c>
      <c r="Z37" s="113" t="n">
        <f aca="false">Model!BV217+Model!BW217+Model!BX217</f>
        <v>0</v>
      </c>
      <c r="AA37" s="113" t="n">
        <f aca="false">Model!BY217+Model!BZ217+Model!CA217</f>
        <v>0</v>
      </c>
      <c r="AB37" s="113" t="n">
        <f aca="false">Model!CB217+Model!CC217+Model!CD217</f>
        <v>0</v>
      </c>
      <c r="AC37" s="113" t="n">
        <f aca="false">Model!CE217+Model!CF217+Model!CG217</f>
        <v>0</v>
      </c>
      <c r="AD37" s="113" t="n">
        <f aca="false">Model!CH217+Model!CI217+Model!CJ217</f>
        <v>0</v>
      </c>
      <c r="AE37" s="113" t="n">
        <f aca="false">Model!CK217+Model!CL217+Model!CM217</f>
        <v>0</v>
      </c>
      <c r="AF37" s="113" t="n">
        <f aca="false">Model!CN217+Model!CO217+Model!CP217</f>
        <v>0</v>
      </c>
      <c r="AG37" s="113" t="n">
        <f aca="false">Model!CQ217+Model!CR217+Model!CS217</f>
        <v>0</v>
      </c>
      <c r="AH37" s="113" t="n">
        <f aca="false">Model!CT217+Model!CU217+Model!CV217</f>
        <v>0</v>
      </c>
      <c r="AI37" s="113" t="n">
        <f aca="false">Model!CW217+Model!CX217+Model!CY217</f>
        <v>0</v>
      </c>
      <c r="AJ37" s="113" t="n">
        <f aca="false">Model!CZ217+Model!DA217+Model!DB217</f>
        <v>0</v>
      </c>
      <c r="AK37" s="113" t="n">
        <f aca="false">Model!DC217+Model!DD217+Model!DE217</f>
        <v>0</v>
      </c>
    </row>
    <row r="38" customFormat="false" ht="15" hidden="false" customHeight="true" outlineLevel="0" collapsed="false">
      <c r="A38" s="29" t="s">
        <v>226</v>
      </c>
      <c r="B38" s="113" t="n">
        <f aca="false">Model!B218+Model!C218+Model!D218</f>
        <v>0</v>
      </c>
      <c r="C38" s="113" t="n">
        <f aca="false">Model!G218</f>
        <v>1676065.6875</v>
      </c>
      <c r="D38" s="113" t="n">
        <f aca="false">Model!J218</f>
        <v>1738918.15078125</v>
      </c>
      <c r="E38" s="113" t="n">
        <f aca="false">Model!M218</f>
        <v>1804127.58143555</v>
      </c>
      <c r="F38" s="113" t="n">
        <f aca="false">Model!P218</f>
        <v>1527382.36573938</v>
      </c>
      <c r="G38" s="113" t="n">
        <f aca="false">Model!S218</f>
        <v>1240259.20445461</v>
      </c>
      <c r="H38" s="113" t="n">
        <f aca="false">Model!V218</f>
        <v>942368.924621655</v>
      </c>
      <c r="I38" s="113" t="n">
        <f aca="false">Model!Y218</f>
        <v>633307.759294967</v>
      </c>
      <c r="J38" s="113" t="n">
        <f aca="false">Model!AB218</f>
        <v>312656.800268528</v>
      </c>
      <c r="K38" s="113" t="n">
        <f aca="false">Model!AE218</f>
        <v>0</v>
      </c>
      <c r="L38" s="113" t="n">
        <f aca="false">Model!AH218</f>
        <v>0</v>
      </c>
      <c r="M38" s="113" t="n">
        <f aca="false">Model!AK218</f>
        <v>0</v>
      </c>
      <c r="N38" s="113" t="n">
        <f aca="false">Model!AN218</f>
        <v>0</v>
      </c>
      <c r="O38" s="113" t="n">
        <f aca="false">Model!AQ218</f>
        <v>0</v>
      </c>
      <c r="P38" s="113" t="n">
        <f aca="false">Model!AT218</f>
        <v>0</v>
      </c>
      <c r="Q38" s="113" t="n">
        <f aca="false">Model!AW218</f>
        <v>0</v>
      </c>
      <c r="R38" s="113" t="n">
        <f aca="false">Model!AZ218</f>
        <v>0</v>
      </c>
      <c r="S38" s="113" t="n">
        <f aca="false">Model!BC218</f>
        <v>0</v>
      </c>
      <c r="T38" s="113" t="n">
        <f aca="false">Model!BF218</f>
        <v>0</v>
      </c>
      <c r="U38" s="113" t="n">
        <f aca="false">Model!BI218</f>
        <v>0</v>
      </c>
      <c r="V38" s="113" t="n">
        <f aca="false">Model!BL218</f>
        <v>0</v>
      </c>
      <c r="W38" s="113" t="n">
        <f aca="false">Model!BO218</f>
        <v>0</v>
      </c>
      <c r="X38" s="113" t="n">
        <f aca="false">Model!BR218</f>
        <v>0</v>
      </c>
      <c r="Y38" s="113" t="n">
        <f aca="false">Model!BU218</f>
        <v>0</v>
      </c>
      <c r="Z38" s="113" t="n">
        <f aca="false">Model!BX218</f>
        <v>0</v>
      </c>
      <c r="AA38" s="113" t="n">
        <f aca="false">Model!CA218</f>
        <v>0</v>
      </c>
      <c r="AB38" s="113" t="n">
        <f aca="false">Model!CD218</f>
        <v>0</v>
      </c>
      <c r="AC38" s="113" t="n">
        <f aca="false">Model!CG218</f>
        <v>0</v>
      </c>
      <c r="AD38" s="113" t="n">
        <f aca="false">Model!CJ218</f>
        <v>0</v>
      </c>
      <c r="AE38" s="113" t="n">
        <f aca="false">Model!CM218</f>
        <v>0</v>
      </c>
      <c r="AF38" s="113" t="n">
        <f aca="false">Model!CP218</f>
        <v>0</v>
      </c>
      <c r="AG38" s="113" t="n">
        <f aca="false">Model!CS218</f>
        <v>0</v>
      </c>
      <c r="AH38" s="113" t="n">
        <f aca="false">Model!CV218</f>
        <v>0</v>
      </c>
      <c r="AI38" s="113" t="n">
        <f aca="false">Model!CY218</f>
        <v>0</v>
      </c>
      <c r="AJ38" s="113" t="n">
        <f aca="false">Model!DB218</f>
        <v>0</v>
      </c>
      <c r="AK38" s="113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13" t="n">
        <f aca="false">Model!B223+Model!C223+Model!D223</f>
        <v>0</v>
      </c>
      <c r="C39" s="113" t="n">
        <f aca="false">Model!E223+Model!F223+Model!G223</f>
        <v>0</v>
      </c>
      <c r="D39" s="113" t="n">
        <f aca="false">Model!H223+Model!I223+Model!J223</f>
        <v>0</v>
      </c>
      <c r="E39" s="113" t="n">
        <f aca="false">Model!K223+Model!L223+Model!M223</f>
        <v>0</v>
      </c>
      <c r="F39" s="113" t="n">
        <f aca="false">Model!N223+Model!O223+Model!P223</f>
        <v>-250000</v>
      </c>
      <c r="G39" s="113" t="n">
        <f aca="false">Model!Q223+Model!R223+Model!S223</f>
        <v>0</v>
      </c>
      <c r="H39" s="113" t="n">
        <f aca="false">Model!T223+Model!U223+Model!V223</f>
        <v>0</v>
      </c>
      <c r="I39" s="113" t="n">
        <f aca="false">Model!W223+Model!X223+Model!Y223</f>
        <v>0</v>
      </c>
      <c r="J39" s="113" t="n">
        <f aca="false">Model!Z223+Model!AA223+Model!AB223</f>
        <v>-250000</v>
      </c>
      <c r="K39" s="113" t="n">
        <f aca="false">Model!AC223+Model!AD223+Model!AE223</f>
        <v>0</v>
      </c>
      <c r="L39" s="113" t="n">
        <f aca="false">Model!AF223+Model!AG223+Model!AH223</f>
        <v>0</v>
      </c>
      <c r="M39" s="113" t="n">
        <f aca="false">Model!AI223+Model!AJ223+Model!AK223</f>
        <v>0</v>
      </c>
      <c r="N39" s="113" t="n">
        <f aca="false">Model!AL223+Model!AM223+Model!AN223</f>
        <v>0</v>
      </c>
      <c r="O39" s="113" t="n">
        <f aca="false">Model!AO223+Model!AP223+Model!AQ223</f>
        <v>0</v>
      </c>
      <c r="P39" s="113" t="n">
        <f aca="false">Model!AR223+Model!AS223+Model!AT223</f>
        <v>0</v>
      </c>
      <c r="Q39" s="113" t="n">
        <f aca="false">Model!AU223+Model!AV223+Model!AW223</f>
        <v>0</v>
      </c>
      <c r="R39" s="113" t="n">
        <f aca="false">Model!AX223+Model!AY223+Model!AZ223</f>
        <v>0</v>
      </c>
      <c r="S39" s="113" t="n">
        <f aca="false">Model!BA223+Model!BB223+Model!BC223</f>
        <v>0</v>
      </c>
      <c r="T39" s="113" t="n">
        <f aca="false">Model!BD223+Model!BE223+Model!BF223</f>
        <v>0</v>
      </c>
      <c r="U39" s="113" t="n">
        <f aca="false">Model!BG223+Model!BH223+Model!BI223</f>
        <v>0</v>
      </c>
      <c r="V39" s="113" t="n">
        <f aca="false">Model!BJ223+Model!BK223+Model!BL223</f>
        <v>0</v>
      </c>
      <c r="W39" s="113" t="n">
        <f aca="false">Model!BM223+Model!BN223+Model!BO223</f>
        <v>0</v>
      </c>
      <c r="X39" s="113" t="n">
        <f aca="false">Model!BP223+Model!BQ223+Model!BR223</f>
        <v>0</v>
      </c>
      <c r="Y39" s="113" t="n">
        <f aca="false">Model!BS223+Model!BT223+Model!BU223</f>
        <v>0</v>
      </c>
      <c r="Z39" s="113" t="n">
        <f aca="false">Model!BV223+Model!BW223+Model!BX223</f>
        <v>0</v>
      </c>
      <c r="AA39" s="113" t="n">
        <f aca="false">Model!BY223+Model!BZ223+Model!CA223</f>
        <v>0</v>
      </c>
      <c r="AB39" s="113" t="n">
        <f aca="false">Model!CB223+Model!CC223+Model!CD223</f>
        <v>0</v>
      </c>
      <c r="AC39" s="113" t="n">
        <f aca="false">Model!CE223+Model!CF223+Model!CG223</f>
        <v>0</v>
      </c>
      <c r="AD39" s="113" t="n">
        <f aca="false">Model!CH223+Model!CI223+Model!CJ223</f>
        <v>0</v>
      </c>
      <c r="AE39" s="113" t="n">
        <f aca="false">Model!CK223+Model!CL223+Model!CM223</f>
        <v>0</v>
      </c>
      <c r="AF39" s="113" t="n">
        <f aca="false">Model!CN223+Model!CO223+Model!CP223</f>
        <v>0</v>
      </c>
      <c r="AG39" s="113" t="n">
        <f aca="false">Model!CQ223+Model!CR223+Model!CS223</f>
        <v>0</v>
      </c>
      <c r="AH39" s="113" t="n">
        <f aca="false">Model!CT223+Model!CU223+Model!CV223</f>
        <v>0</v>
      </c>
      <c r="AI39" s="113" t="n">
        <f aca="false">Model!CW223+Model!CX223+Model!CY223</f>
        <v>0</v>
      </c>
      <c r="AJ39" s="113" t="n">
        <f aca="false">Model!CZ223+Model!DA223+Model!DB223</f>
        <v>0</v>
      </c>
      <c r="AK39" s="113" t="n">
        <f aca="false">Model!DC223+Model!DD223+Model!DE223</f>
        <v>0</v>
      </c>
    </row>
    <row r="40" customFormat="false" ht="15" hidden="false" customHeight="true" outlineLevel="0" collapsed="false">
      <c r="A40" s="29" t="s">
        <v>228</v>
      </c>
      <c r="B40" s="113" t="n">
        <f aca="false">Model!B224+Model!C224+Model!D224</f>
        <v>0</v>
      </c>
      <c r="C40" s="113" t="n">
        <f aca="false">Model!G224</f>
        <v>1000000</v>
      </c>
      <c r="D40" s="113" t="n">
        <f aca="false">Model!J224</f>
        <v>1000000</v>
      </c>
      <c r="E40" s="113" t="n">
        <f aca="false">Model!M224</f>
        <v>1000000</v>
      </c>
      <c r="F40" s="113" t="n">
        <f aca="false">Model!P224</f>
        <v>750000</v>
      </c>
      <c r="G40" s="113" t="n">
        <f aca="false">Model!S224</f>
        <v>750000</v>
      </c>
      <c r="H40" s="113" t="n">
        <f aca="false">Model!V224</f>
        <v>750000</v>
      </c>
      <c r="I40" s="113" t="n">
        <f aca="false">Model!Y224</f>
        <v>750000</v>
      </c>
      <c r="J40" s="113" t="n">
        <f aca="false">Model!AB224</f>
        <v>500000</v>
      </c>
      <c r="K40" s="113" t="n">
        <f aca="false">Model!AE224</f>
        <v>500000</v>
      </c>
      <c r="L40" s="113" t="n">
        <f aca="false">Model!AH224</f>
        <v>500000</v>
      </c>
      <c r="M40" s="113" t="n">
        <f aca="false">Model!AK224</f>
        <v>500000</v>
      </c>
      <c r="N40" s="113" t="n">
        <f aca="false">Model!AN224</f>
        <v>500000</v>
      </c>
      <c r="O40" s="113" t="n">
        <f aca="false">Model!AQ224</f>
        <v>500000</v>
      </c>
      <c r="P40" s="113" t="n">
        <f aca="false">Model!AT224</f>
        <v>500000</v>
      </c>
      <c r="Q40" s="113" t="n">
        <f aca="false">Model!AW224</f>
        <v>500000</v>
      </c>
      <c r="R40" s="113" t="n">
        <f aca="false">Model!AZ224</f>
        <v>500000</v>
      </c>
      <c r="S40" s="113" t="n">
        <f aca="false">Model!BC224</f>
        <v>500000</v>
      </c>
      <c r="T40" s="113" t="n">
        <f aca="false">Model!BF224</f>
        <v>500000</v>
      </c>
      <c r="U40" s="113" t="n">
        <f aca="false">Model!BI224</f>
        <v>500000</v>
      </c>
      <c r="V40" s="113" t="n">
        <f aca="false">Model!BL224</f>
        <v>500000</v>
      </c>
      <c r="W40" s="113" t="n">
        <f aca="false">Model!BO224</f>
        <v>500000</v>
      </c>
      <c r="X40" s="113" t="n">
        <f aca="false">Model!BR224</f>
        <v>500000</v>
      </c>
      <c r="Y40" s="113" t="n">
        <f aca="false">Model!BU224</f>
        <v>500000</v>
      </c>
      <c r="Z40" s="113" t="n">
        <f aca="false">Model!BX224</f>
        <v>500000</v>
      </c>
      <c r="AA40" s="113" t="n">
        <f aca="false">Model!CA224</f>
        <v>500000</v>
      </c>
      <c r="AB40" s="113" t="n">
        <f aca="false">Model!CD224</f>
        <v>500000</v>
      </c>
      <c r="AC40" s="113" t="n">
        <f aca="false">Model!CG224</f>
        <v>500000</v>
      </c>
      <c r="AD40" s="113" t="n">
        <f aca="false">Model!CJ224</f>
        <v>500000</v>
      </c>
      <c r="AE40" s="113" t="n">
        <f aca="false">Model!CM224</f>
        <v>500000</v>
      </c>
      <c r="AF40" s="113" t="n">
        <f aca="false">Model!CP224</f>
        <v>500000</v>
      </c>
      <c r="AG40" s="113" t="n">
        <f aca="false">Model!CS224</f>
        <v>500000</v>
      </c>
      <c r="AH40" s="113" t="n">
        <f aca="false">Model!CV224</f>
        <v>500000</v>
      </c>
      <c r="AI40" s="113" t="n">
        <f aca="false">Model!CY224</f>
        <v>500000</v>
      </c>
      <c r="AJ40" s="113" t="n">
        <f aca="false">Model!DB224</f>
        <v>500000</v>
      </c>
      <c r="AK40" s="113" t="n">
        <f aca="false">Model!DE224</f>
        <v>500000</v>
      </c>
    </row>
    <row r="41" customFormat="false" ht="15" hidden="false" customHeight="true" outlineLevel="0" collapsed="false">
      <c r="A41" s="29" t="s">
        <v>229</v>
      </c>
      <c r="B41" s="113" t="n">
        <f aca="false">Model!B277+Model!C277+Model!D277</f>
        <v>0</v>
      </c>
      <c r="C41" s="113" t="n">
        <f aca="false">Model!E277+Model!F277+Model!G277</f>
        <v>0</v>
      </c>
      <c r="D41" s="113" t="n">
        <f aca="false">Model!H277+Model!I277+Model!J277</f>
        <v>0</v>
      </c>
      <c r="E41" s="113" t="n">
        <f aca="false">Model!K277+Model!L277+Model!M277</f>
        <v>0</v>
      </c>
      <c r="F41" s="113" t="n">
        <f aca="false">Model!N277+Model!O277+Model!P277</f>
        <v>0</v>
      </c>
      <c r="G41" s="113" t="n">
        <f aca="false">Model!Q277+Model!R277+Model!S277</f>
        <v>0</v>
      </c>
      <c r="H41" s="113" t="n">
        <f aca="false">Model!T277+Model!U277+Model!V277</f>
        <v>0</v>
      </c>
      <c r="I41" s="113" t="n">
        <f aca="false">Model!W277+Model!X277+Model!Y277</f>
        <v>0</v>
      </c>
      <c r="J41" s="113" t="n">
        <f aca="false">Model!Z277+Model!AA277+Model!AB277</f>
        <v>0</v>
      </c>
      <c r="K41" s="113" t="n">
        <f aca="false">Model!AC277+Model!AD277+Model!AE277</f>
        <v>0</v>
      </c>
      <c r="L41" s="113" t="n">
        <f aca="false">Model!AF277+Model!AG277+Model!AH277</f>
        <v>0</v>
      </c>
      <c r="M41" s="113" t="n">
        <f aca="false">Model!AI277+Model!AJ277+Model!AK277</f>
        <v>0</v>
      </c>
      <c r="N41" s="113" t="n">
        <f aca="false">Model!AL277+Model!AM277+Model!AN277</f>
        <v>0</v>
      </c>
      <c r="O41" s="113" t="n">
        <f aca="false">Model!AO277+Model!AP277+Model!AQ277</f>
        <v>0</v>
      </c>
      <c r="P41" s="113" t="n">
        <f aca="false">Model!AR277+Model!AS277+Model!AT277</f>
        <v>0</v>
      </c>
      <c r="Q41" s="113" t="n">
        <f aca="false">Model!AU277+Model!AV277+Model!AW277</f>
        <v>0</v>
      </c>
      <c r="R41" s="113" t="n">
        <f aca="false">Model!AX277+Model!AY277+Model!AZ277</f>
        <v>0</v>
      </c>
      <c r="S41" s="113" t="n">
        <f aca="false">Model!BA277+Model!BB277+Model!BC277</f>
        <v>0</v>
      </c>
      <c r="T41" s="113" t="n">
        <f aca="false">Model!BD277+Model!BE277+Model!BF277</f>
        <v>0</v>
      </c>
      <c r="U41" s="113" t="n">
        <f aca="false">Model!BG277+Model!BH277+Model!BI277</f>
        <v>0</v>
      </c>
      <c r="V41" s="113" t="n">
        <f aca="false">Model!BJ277+Model!BK277+Model!BL277</f>
        <v>0</v>
      </c>
      <c r="W41" s="113" t="n">
        <f aca="false">Model!BM277+Model!BN277+Model!BO277</f>
        <v>0</v>
      </c>
      <c r="X41" s="113" t="n">
        <f aca="false">Model!BP277+Model!BQ277+Model!BR277</f>
        <v>0</v>
      </c>
      <c r="Y41" s="113" t="n">
        <f aca="false">Model!BS277+Model!BT277+Model!BU277</f>
        <v>0</v>
      </c>
      <c r="Z41" s="113" t="n">
        <f aca="false">Model!BV277+Model!BW277+Model!BX277</f>
        <v>0</v>
      </c>
      <c r="AA41" s="113" t="n">
        <f aca="false">Model!BY277+Model!BZ277+Model!CA277</f>
        <v>0</v>
      </c>
      <c r="AB41" s="113" t="n">
        <f aca="false">Model!CB277+Model!CC277+Model!CD277</f>
        <v>0</v>
      </c>
      <c r="AC41" s="113" t="n">
        <f aca="false">Model!CE277+Model!CF277+Model!CG277</f>
        <v>0</v>
      </c>
      <c r="AD41" s="113" t="n">
        <f aca="false">Model!CH277+Model!CI277+Model!CJ277</f>
        <v>0</v>
      </c>
      <c r="AE41" s="113" t="n">
        <f aca="false">Model!CK277+Model!CL277+Model!CM277</f>
        <v>0</v>
      </c>
      <c r="AF41" s="113" t="n">
        <f aca="false">Model!CN277+Model!CO277+Model!CP277</f>
        <v>0</v>
      </c>
      <c r="AG41" s="113" t="n">
        <f aca="false">Model!CQ277+Model!CR277+Model!CS277</f>
        <v>0</v>
      </c>
      <c r="AH41" s="113" t="n">
        <f aca="false">Model!CT277+Model!CU277+Model!CV277</f>
        <v>0</v>
      </c>
      <c r="AI41" s="113" t="n">
        <f aca="false">Model!CW277+Model!CX277+Model!CY277</f>
        <v>0</v>
      </c>
      <c r="AJ41" s="113" t="n">
        <f aca="false">Model!CZ277+Model!DA277+Model!DB277</f>
        <v>0</v>
      </c>
      <c r="AK41" s="113" t="n">
        <f aca="false">Model!DC277+Model!DD277+Model!DE277</f>
        <v>0</v>
      </c>
    </row>
    <row r="42" customFormat="false" ht="15" hidden="false" customHeight="true" outlineLevel="0" collapsed="false">
      <c r="A42" s="29" t="s">
        <v>230</v>
      </c>
      <c r="B42" s="113" t="n">
        <f aca="false">Model!B231+Model!C231+Model!D231</f>
        <v>0</v>
      </c>
      <c r="C42" s="113" t="n">
        <f aca="false">Model!G231+Model!G236+Model!G241+Model!G246</f>
        <v>1738378.196875</v>
      </c>
      <c r="D42" s="113" t="n">
        <f aca="false">Model!J231+Model!J236+Model!J241+Model!J246</f>
        <v>2142433.65800781</v>
      </c>
      <c r="E42" s="113" t="n">
        <f aca="false">Model!M231+Model!M236+Model!M241+Model!M246</f>
        <v>2378399.92018311</v>
      </c>
      <c r="F42" s="113" t="n">
        <f aca="false">Model!P243</f>
        <v>69194.3230957031</v>
      </c>
      <c r="G42" s="113" t="n">
        <f aca="false">Model!S243</f>
        <v>21164.110211792</v>
      </c>
      <c r="H42" s="113" t="n">
        <f aca="false">Model!V243</f>
        <v>21957.7643447342</v>
      </c>
      <c r="I42" s="113" t="n">
        <f aca="false">Model!Y243</f>
        <v>22781.1805076617</v>
      </c>
      <c r="J42" s="113" t="n">
        <f aca="false">Model!AB243</f>
        <v>23635.474776699</v>
      </c>
      <c r="K42" s="113" t="n">
        <f aca="false">Model!AE243</f>
        <v>24521.8050808252</v>
      </c>
      <c r="L42" s="113" t="n">
        <f aca="false">Model!AH243</f>
        <v>25441.3727713562</v>
      </c>
      <c r="M42" s="113" t="n">
        <f aca="false">Model!AK243</f>
        <v>26395.424250282</v>
      </c>
      <c r="N42" s="113" t="n">
        <f aca="false">Model!AN243</f>
        <v>27385.2526596676</v>
      </c>
      <c r="O42" s="113" t="n">
        <f aca="false">Model!AQ243</f>
        <v>28412.1996344052</v>
      </c>
      <c r="P42" s="113" t="n">
        <f aca="false">Model!AT243</f>
        <v>29477.6571206954</v>
      </c>
      <c r="Q42" s="113" t="n">
        <f aca="false">Model!AW243</f>
        <v>30583.0692627214</v>
      </c>
      <c r="R42" s="113" t="n">
        <f aca="false">Model!AZ243</f>
        <v>31729.9343600735</v>
      </c>
      <c r="S42" s="113" t="n">
        <f aca="false">Model!BC243</f>
        <v>32919.8068985762</v>
      </c>
      <c r="T42" s="113" t="n">
        <f aca="false">Model!BF243</f>
        <v>24810.3759072728</v>
      </c>
      <c r="U42" s="113" t="n">
        <f aca="false">Model!BI243</f>
        <v>23052.0150037956</v>
      </c>
      <c r="V42" s="113" t="n">
        <f aca="false">Model!BL243</f>
        <v>21227.7155664379</v>
      </c>
      <c r="W42" s="113" t="n">
        <f aca="false">Model!BO243</f>
        <v>19335.0049001793</v>
      </c>
      <c r="X42" s="113" t="n">
        <f aca="false">Model!BR243</f>
        <v>17371.3175839361</v>
      </c>
      <c r="Y42" s="113" t="n">
        <f aca="false">Model!BU243</f>
        <v>15223.6294933337</v>
      </c>
      <c r="Z42" s="113" t="n">
        <f aca="false">Model!BX243</f>
        <v>12995.5155993337</v>
      </c>
      <c r="AA42" s="113" t="n">
        <f aca="false">Model!CA243</f>
        <v>10683.8474343087</v>
      </c>
      <c r="AB42" s="113" t="n">
        <f aca="false">Model!CD243</f>
        <v>8285.49171309526</v>
      </c>
      <c r="AC42" s="113" t="n">
        <f aca="false">Model!CG243</f>
        <v>5545.08515233633</v>
      </c>
      <c r="AD42" s="113" t="n">
        <f aca="false">Model!CJ243</f>
        <v>2701.95084554894</v>
      </c>
      <c r="AE42" s="113" t="n">
        <f aca="false">Model!CM243</f>
        <v>0</v>
      </c>
      <c r="AF42" s="113" t="n">
        <f aca="false">Model!CP243</f>
        <v>0</v>
      </c>
      <c r="AG42" s="113" t="n">
        <f aca="false">Model!CS243</f>
        <v>0</v>
      </c>
      <c r="AH42" s="113" t="n">
        <f aca="false">Model!CV243</f>
        <v>0</v>
      </c>
      <c r="AI42" s="113" t="n">
        <f aca="false">Model!CY243</f>
        <v>0</v>
      </c>
      <c r="AJ42" s="113" t="n">
        <f aca="false">Model!DB243</f>
        <v>0</v>
      </c>
      <c r="AK42" s="113" t="n">
        <f aca="false">Model!DE243</f>
        <v>0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customFormat="false" ht="15" hidden="false" customHeight="true" outlineLevel="0" collapsed="false">
      <c r="A44" s="29" t="s">
        <v>231</v>
      </c>
      <c r="B44" s="113" t="n">
        <f aca="false">Model!B257+Model!C257+Model!D257</f>
        <v>0</v>
      </c>
      <c r="C44" s="113" t="n">
        <f aca="false">Model!G257</f>
        <v>20879271.9124362</v>
      </c>
      <c r="D44" s="113" t="n">
        <f aca="false">Model!J257</f>
        <v>101937181.31251</v>
      </c>
      <c r="E44" s="113" t="n">
        <f aca="false">Model!M257</f>
        <v>86032873.6923599</v>
      </c>
      <c r="F44" s="113" t="n">
        <f aca="false">Model!P257</f>
        <v>67637608.6570949</v>
      </c>
      <c r="G44" s="113" t="n">
        <f aca="false">Model!S257</f>
        <v>91292205.3562169</v>
      </c>
      <c r="H44" s="113" t="n">
        <f aca="false">Model!V257</f>
        <v>71551790.5201989</v>
      </c>
      <c r="I44" s="113" t="n">
        <f aca="false">Model!Y257</f>
        <v>52993542.7870939</v>
      </c>
      <c r="J44" s="113" t="n">
        <f aca="false">Model!AB257</f>
        <v>37330862.9276114</v>
      </c>
      <c r="K44" s="113" t="n">
        <f aca="false">Model!AE257</f>
        <v>66599470.497915</v>
      </c>
      <c r="L44" s="113" t="n">
        <f aca="false">Model!AH257</f>
        <v>55679909.273142</v>
      </c>
      <c r="M44" s="113" t="n">
        <f aca="false">Model!AK257</f>
        <v>45500358.0697596</v>
      </c>
      <c r="N44" s="113" t="n">
        <f aca="false">Model!AN257</f>
        <v>35942281.200826</v>
      </c>
      <c r="O44" s="113" t="n">
        <f aca="false">Model!AQ257</f>
        <v>26981928.712532</v>
      </c>
      <c r="P44" s="113" t="n">
        <f aca="false">Model!AT257</f>
        <v>18775979.790616</v>
      </c>
      <c r="Q44" s="113" t="n">
        <f aca="false">Model!AW257</f>
        <v>13258584.501624</v>
      </c>
      <c r="R44" s="113" t="n">
        <f aca="false">Model!AZ257</f>
        <v>8360541.887544</v>
      </c>
      <c r="S44" s="113" t="n">
        <f aca="false">Model!BC257</f>
        <v>4384004.53832</v>
      </c>
      <c r="T44" s="113" t="n">
        <f aca="false">Model!BF257</f>
        <v>1431490.58668</v>
      </c>
      <c r="U44" s="113" t="n">
        <f aca="false">Model!BI257</f>
        <v>0</v>
      </c>
      <c r="V44" s="113" t="n">
        <f aca="false">Model!BL257</f>
        <v>0</v>
      </c>
      <c r="W44" s="113" t="n">
        <f aca="false">Model!BO257</f>
        <v>0</v>
      </c>
      <c r="X44" s="113" t="n">
        <f aca="false">Model!BR257</f>
        <v>0</v>
      </c>
      <c r="Y44" s="113" t="n">
        <f aca="false">Model!BU257</f>
        <v>0</v>
      </c>
      <c r="Z44" s="113" t="n">
        <f aca="false">Model!BX257</f>
        <v>0</v>
      </c>
      <c r="AA44" s="113" t="n">
        <f aca="false">Model!CA257</f>
        <v>0</v>
      </c>
      <c r="AB44" s="113" t="n">
        <f aca="false">Model!CD257</f>
        <v>0</v>
      </c>
      <c r="AC44" s="113" t="n">
        <f aca="false">Model!CG257</f>
        <v>0</v>
      </c>
      <c r="AD44" s="113" t="n">
        <f aca="false">Model!CJ257</f>
        <v>0</v>
      </c>
      <c r="AE44" s="113" t="n">
        <f aca="false">Model!CM257</f>
        <v>0</v>
      </c>
      <c r="AF44" s="113" t="n">
        <f aca="false">Model!CP257</f>
        <v>0</v>
      </c>
      <c r="AG44" s="113" t="n">
        <f aca="false">Model!CS257</f>
        <v>0</v>
      </c>
      <c r="AH44" s="113" t="n">
        <f aca="false">Model!CV257</f>
        <v>0</v>
      </c>
      <c r="AI44" s="113" t="n">
        <f aca="false">Model!CY257</f>
        <v>0</v>
      </c>
      <c r="AJ44" s="113" t="n">
        <f aca="false">Model!DB257</f>
        <v>0</v>
      </c>
      <c r="AK44" s="113" t="n">
        <f aca="false">Model!DE257</f>
        <v>0</v>
      </c>
    </row>
    <row r="45" customFormat="false" ht="1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customFormat="false" ht="15" hidden="false" customHeight="true" outlineLevel="0" collapsed="false">
      <c r="A46" s="99" t="s">
        <v>180</v>
      </c>
      <c r="B46" s="100" t="n">
        <f aca="false">Model!D270</f>
        <v>0</v>
      </c>
      <c r="C46" s="100" t="n">
        <f aca="false">Model!G270</f>
        <v>0</v>
      </c>
      <c r="D46" s="100" t="n">
        <f aca="false">Model!J270</f>
        <v>916023.41011685</v>
      </c>
      <c r="E46" s="100" t="n">
        <f aca="false">Model!M270</f>
        <v>1588066.22189651</v>
      </c>
      <c r="F46" s="100" t="n">
        <f aca="false">Model!P270</f>
        <v>2340131.0091624</v>
      </c>
      <c r="G46" s="100" t="n">
        <f aca="false">Model!S270</f>
        <v>2514912.49539589</v>
      </c>
      <c r="H46" s="100" t="n">
        <f aca="false">Model!V270</f>
        <v>3255748.21779821</v>
      </c>
      <c r="I46" s="100" t="n">
        <f aca="false">Model!Y270</f>
        <v>3689305.96643115</v>
      </c>
      <c r="J46" s="100" t="n">
        <f aca="false">Model!AB270</f>
        <v>4225204.55320142</v>
      </c>
      <c r="K46" s="100" t="n">
        <f aca="false">Model!AE270</f>
        <v>4457549.70509423</v>
      </c>
      <c r="L46" s="100" t="n">
        <f aca="false">Model!AH270</f>
        <v>4276093.13014654</v>
      </c>
      <c r="M46" s="100" t="n">
        <f aca="false">Model!AK270</f>
        <v>4274892.38174245</v>
      </c>
      <c r="N46" s="100" t="n">
        <f aca="false">Model!AN270</f>
        <v>4748284.09514168</v>
      </c>
      <c r="O46" s="100" t="n">
        <f aca="false">Model!AQ270</f>
        <v>4101297.75519854</v>
      </c>
      <c r="P46" s="100" t="n">
        <f aca="false">Model!AT270</f>
        <v>3713172.72134123</v>
      </c>
      <c r="Q46" s="100" t="n">
        <f aca="false">Model!AW270</f>
        <v>3019409.68924575</v>
      </c>
      <c r="R46" s="100" t="n">
        <f aca="false">Model!AZ270</f>
        <v>1880586.86773954</v>
      </c>
      <c r="S46" s="100" t="n">
        <f aca="false">Model!BC270</f>
        <v>716230.99027371</v>
      </c>
      <c r="T46" s="100" t="n">
        <f aca="false">Model!BF270</f>
        <v>-448124.887192123</v>
      </c>
      <c r="U46" s="100" t="n">
        <f aca="false">Model!BI270</f>
        <v>-1119172.04625611</v>
      </c>
      <c r="V46" s="100" t="n">
        <f aca="false">Model!BL270</f>
        <v>-2732857.9001973</v>
      </c>
      <c r="W46" s="100" t="n">
        <f aca="false">Model!BO270</f>
        <v>-4372587.47121732</v>
      </c>
      <c r="X46" s="100" t="n">
        <f aca="false">Model!BR270</f>
        <v>-6012317.04223733</v>
      </c>
      <c r="Y46" s="100" t="n">
        <f aca="false">Model!BU270</f>
        <v>-7652046.61325735</v>
      </c>
      <c r="Z46" s="100" t="n">
        <f aca="false">Model!BX270</f>
        <v>-9291776.18427737</v>
      </c>
      <c r="AA46" s="100" t="n">
        <f aca="false">Model!CA270</f>
        <v>-10958070.3467178</v>
      </c>
      <c r="AB46" s="100" t="n">
        <f aca="false">Model!CD270</f>
        <v>-12624364.5091582</v>
      </c>
      <c r="AC46" s="100" t="n">
        <f aca="false">Model!CG270</f>
        <v>-14290658.6715986</v>
      </c>
      <c r="AD46" s="100" t="n">
        <f aca="false">Model!CJ270</f>
        <v>-15956952.834039</v>
      </c>
      <c r="AE46" s="100" t="n">
        <f aca="false">Model!CM270</f>
        <v>-17650342.8797282</v>
      </c>
      <c r="AF46" s="100" t="n">
        <f aca="false">Model!CP270</f>
        <v>-19343732.9254175</v>
      </c>
      <c r="AG46" s="100" t="n">
        <f aca="false">Model!CS270</f>
        <v>-21037122.9711067</v>
      </c>
      <c r="AH46" s="100" t="n">
        <f aca="false">Model!CV270</f>
        <v>-22567180.6837843</v>
      </c>
      <c r="AI46" s="100" t="n">
        <f aca="false">Model!CY270</f>
        <v>-24121609.5507155</v>
      </c>
      <c r="AJ46" s="100" t="n">
        <f aca="false">Model!DB270</f>
        <v>-25676038.4176467</v>
      </c>
      <c r="AK46" s="100" t="n">
        <f aca="false">Model!DE270</f>
        <v>-27230467.2845779</v>
      </c>
    </row>
    <row r="47" customFormat="false" ht="15" hidden="false" customHeight="true" outlineLevel="0" collapsed="false">
      <c r="A47" s="99" t="s">
        <v>187</v>
      </c>
      <c r="B47" s="100" t="n">
        <f aca="false">Model!D278</f>
        <v>0</v>
      </c>
      <c r="C47" s="100" t="n">
        <f aca="false">Model!G278</f>
        <v>0</v>
      </c>
      <c r="D47" s="100" t="n">
        <f aca="false">Model!J278</f>
        <v>339306.063571429</v>
      </c>
      <c r="E47" s="100" t="n">
        <f aca="false">Model!M278</f>
        <v>211768.977142857</v>
      </c>
      <c r="F47" s="100" t="n">
        <f aca="false">Model!P278</f>
        <v>-369004.275</v>
      </c>
      <c r="G47" s="100" t="n">
        <f aca="false">Model!S278</f>
        <v>-714820.0755</v>
      </c>
      <c r="H47" s="100" t="n">
        <f aca="false">Model!V278</f>
        <v>-1136354.626</v>
      </c>
      <c r="I47" s="100" t="n">
        <f aca="false">Model!Y278</f>
        <v>-1441833.1765</v>
      </c>
      <c r="J47" s="100" t="n">
        <f aca="false">Model!AB278</f>
        <v>-2131033.727</v>
      </c>
      <c r="K47" s="100" t="n">
        <f aca="false">Model!AE278</f>
        <v>-2598613.2413886</v>
      </c>
      <c r="L47" s="100" t="n">
        <f aca="false">Model!AH278</f>
        <v>-2835270.5354986</v>
      </c>
      <c r="M47" s="100" t="n">
        <f aca="false">Model!AK278</f>
        <v>-3096427.8296086</v>
      </c>
      <c r="N47" s="100" t="n">
        <f aca="false">Model!AN278</f>
        <v>-3360085.1237186</v>
      </c>
      <c r="O47" s="100" t="n">
        <f aca="false">Model!AQ278</f>
        <v>-3629867.1137108</v>
      </c>
      <c r="P47" s="100" t="n">
        <f aca="false">Model!AT278</f>
        <v>-3896591.603703</v>
      </c>
      <c r="Q47" s="100" t="n">
        <f aca="false">Model!AW278</f>
        <v>-4145201.0936952</v>
      </c>
      <c r="R47" s="100" t="n">
        <f aca="false">Model!AZ278</f>
        <v>-4393810.5836874</v>
      </c>
      <c r="S47" s="100" t="n">
        <f aca="false">Model!BC278</f>
        <v>-4647392.26347944</v>
      </c>
      <c r="T47" s="100" t="n">
        <f aca="false">Model!BF278</f>
        <v>-4900973.94327148</v>
      </c>
      <c r="U47" s="100" t="n">
        <f aca="false">Model!BI278</f>
        <v>-5154555.62306353</v>
      </c>
      <c r="V47" s="100" t="n">
        <f aca="false">Model!BL278</f>
        <v>-5408137.30285557</v>
      </c>
      <c r="W47" s="100" t="n">
        <f aca="false">Model!BO278</f>
        <v>-5666790.61624346</v>
      </c>
      <c r="X47" s="100" t="n">
        <f aca="false">Model!BR278</f>
        <v>-5872193.57963134</v>
      </c>
      <c r="Y47" s="100" t="n">
        <f aca="false">Model!BU278</f>
        <v>-6063084.89301923</v>
      </c>
      <c r="Z47" s="100" t="n">
        <f aca="false">Model!BX278</f>
        <v>-6253976.20640712</v>
      </c>
      <c r="AA47" s="100" t="n">
        <f aca="false">Model!CA278</f>
        <v>-6450040.58606276</v>
      </c>
      <c r="AB47" s="100" t="n">
        <f aca="false">Model!CD278</f>
        <v>-6637367.9657184</v>
      </c>
      <c r="AC47" s="100" t="n">
        <f aca="false">Model!CG278</f>
        <v>-6824695.34537404</v>
      </c>
      <c r="AD47" s="100" t="n">
        <f aca="false">Model!CJ278</f>
        <v>-7005414.6984232</v>
      </c>
      <c r="AE47" s="100" t="n">
        <f aca="false">Model!CM278</f>
        <v>-6800934.60567196</v>
      </c>
      <c r="AF47" s="100" t="n">
        <f aca="false">Model!CP278</f>
        <v>-6596454.51292071</v>
      </c>
      <c r="AG47" s="100" t="n">
        <f aca="false">Model!CS278</f>
        <v>-6391974.42016947</v>
      </c>
      <c r="AH47" s="100" t="n">
        <f aca="false">Model!CV278</f>
        <v>-6181768.84729353</v>
      </c>
      <c r="AI47" s="100" t="n">
        <f aca="false">Model!CY278</f>
        <v>-5774812.67189649</v>
      </c>
      <c r="AJ47" s="100" t="n">
        <f aca="false">Model!DB278</f>
        <v>-5350409.64756303</v>
      </c>
      <c r="AK47" s="100" t="n">
        <f aca="false">Model!DE278</f>
        <v>-4926006.62322958</v>
      </c>
    </row>
    <row r="48" customFormat="false" ht="15" hidden="false" customHeight="true" outlineLevel="0" collapsed="false">
      <c r="A48" s="99" t="s">
        <v>190</v>
      </c>
      <c r="B48" s="100" t="n">
        <f aca="false">Model!B282+Model!C282+Model!D282</f>
        <v>0</v>
      </c>
      <c r="C48" s="100" t="n">
        <f aca="false">Model!E282+Model!F282+Model!G282</f>
        <v>0</v>
      </c>
      <c r="D48" s="100" t="n">
        <f aca="false">Model!H282+Model!I282+Model!J282</f>
        <v>0</v>
      </c>
      <c r="E48" s="100" t="n">
        <f aca="false">Model!K282+Model!L282+Model!M282</f>
        <v>0</v>
      </c>
      <c r="F48" s="100" t="n">
        <f aca="false">Model!N282+Model!O282+Model!P282</f>
        <v>-315099.168737073</v>
      </c>
      <c r="G48" s="100" t="n">
        <f aca="false">Model!Q282+Model!R282+Model!S282</f>
        <v>0</v>
      </c>
      <c r="H48" s="100" t="n">
        <f aca="false">Model!T282+Model!U282+Model!V282</f>
        <v>0</v>
      </c>
      <c r="I48" s="100" t="n">
        <f aca="false">Model!W282+Model!X282+Model!Y282</f>
        <v>0</v>
      </c>
      <c r="J48" s="100" t="n">
        <f aca="false">Model!Z282+Model!AA282+Model!AB282</f>
        <v>-597696.66309829</v>
      </c>
      <c r="K48" s="100" t="n">
        <f aca="false">Model!AC282+Model!AD282+Model!AE282</f>
        <v>0</v>
      </c>
      <c r="L48" s="100" t="n">
        <f aca="false">Model!AF282+Model!AG282+Model!AH282</f>
        <v>0</v>
      </c>
      <c r="M48" s="100" t="n">
        <f aca="false">Model!AI282+Model!AJ282+Model!AK282</f>
        <v>0</v>
      </c>
      <c r="N48" s="100" t="n">
        <f aca="false">Model!AL282+Model!AM282+Model!AN282</f>
        <v>0</v>
      </c>
      <c r="O48" s="100" t="n">
        <f aca="false">Model!AO282+Model!AP282+Model!AQ282</f>
        <v>0</v>
      </c>
      <c r="P48" s="100" t="n">
        <f aca="false">Model!AR282+Model!AS282+Model!AT282</f>
        <v>0</v>
      </c>
      <c r="Q48" s="100" t="n">
        <f aca="false">Model!AU282+Model!AV282+Model!AW282</f>
        <v>0</v>
      </c>
      <c r="R48" s="100" t="n">
        <f aca="false">Model!AX282+Model!AY282+Model!AZ282</f>
        <v>0</v>
      </c>
      <c r="S48" s="100" t="n">
        <f aca="false">Model!BA282+Model!BB282+Model!BC282</f>
        <v>0</v>
      </c>
      <c r="T48" s="100" t="n">
        <f aca="false">Model!BD282+Model!BE282+Model!BF282</f>
        <v>0</v>
      </c>
      <c r="U48" s="100" t="n">
        <f aca="false">Model!BG282+Model!BH282+Model!BI282</f>
        <v>0</v>
      </c>
      <c r="V48" s="100" t="n">
        <f aca="false">Model!BJ282+Model!BK282+Model!BL282</f>
        <v>0</v>
      </c>
      <c r="W48" s="100" t="n">
        <f aca="false">Model!BM282+Model!BN282+Model!BO282</f>
        <v>0</v>
      </c>
      <c r="X48" s="100" t="n">
        <f aca="false">Model!BP282+Model!BQ282+Model!BR282</f>
        <v>0</v>
      </c>
      <c r="Y48" s="100" t="n">
        <f aca="false">Model!BS282+Model!BT282+Model!BU282</f>
        <v>0</v>
      </c>
      <c r="Z48" s="100" t="n">
        <f aca="false">Model!BV282+Model!BW282+Model!BX282</f>
        <v>0</v>
      </c>
      <c r="AA48" s="100" t="n">
        <f aca="false">Model!BY282+Model!BZ282+Model!CA282</f>
        <v>0</v>
      </c>
      <c r="AB48" s="100" t="n">
        <f aca="false">Model!CB282+Model!CC282+Model!CD282</f>
        <v>0</v>
      </c>
      <c r="AC48" s="100" t="n">
        <f aca="false">Model!CE282+Model!CF282+Model!CG282</f>
        <v>0</v>
      </c>
      <c r="AD48" s="100" t="n">
        <f aca="false">Model!CH282+Model!CI282+Model!CJ282</f>
        <v>0</v>
      </c>
      <c r="AE48" s="100" t="n">
        <f aca="false">Model!CK282+Model!CL282+Model!CM282</f>
        <v>0</v>
      </c>
      <c r="AF48" s="100" t="n">
        <f aca="false">Model!CN282+Model!CO282+Model!CP282</f>
        <v>0</v>
      </c>
      <c r="AG48" s="100" t="n">
        <f aca="false">Model!CQ282+Model!CR282+Model!CS282</f>
        <v>0</v>
      </c>
      <c r="AH48" s="100" t="n">
        <f aca="false">Model!CT282+Model!CU282+Model!CV282</f>
        <v>0</v>
      </c>
      <c r="AI48" s="100" t="n">
        <f aca="false">Model!CW282+Model!CX282+Model!CY282</f>
        <v>0</v>
      </c>
      <c r="AJ48" s="100" t="n">
        <f aca="false">Model!CZ282+Model!DA282+Model!DB282</f>
        <v>0</v>
      </c>
      <c r="AK48" s="100" t="n">
        <f aca="false">Model!DC282+Model!DD282+Model!DE282</f>
        <v>0</v>
      </c>
    </row>
    <row r="49" customFormat="false" ht="15" hidden="false" customHeight="true" outlineLevel="0" collapsed="false">
      <c r="A49" s="31" t="s">
        <v>191</v>
      </c>
      <c r="B49" s="101" t="n">
        <f aca="false">Model!D283</f>
        <v>0</v>
      </c>
      <c r="C49" s="101" t="n">
        <f aca="false">Model!G283</f>
        <v>0</v>
      </c>
      <c r="D49" s="101" t="n">
        <f aca="false">Model!J283</f>
        <v>1365288.54422606</v>
      </c>
      <c r="E49" s="101" t="n">
        <f aca="false">Model!M283</f>
        <v>1571049.35926167</v>
      </c>
      <c r="F49" s="101" t="n">
        <f aca="false">Model!P283</f>
        <v>1455841.12566181</v>
      </c>
      <c r="G49" s="101" t="n">
        <f aca="false">Model!S283</f>
        <v>1322488.74225209</v>
      </c>
      <c r="H49" s="101" t="n">
        <f aca="false">Model!V283</f>
        <v>1980024.72582457</v>
      </c>
      <c r="I49" s="101" t="n">
        <f aca="false">Model!Y283</f>
        <v>2120984.38408891</v>
      </c>
      <c r="J49" s="101" t="n">
        <f aca="false">Model!AB283</f>
        <v>1444291.60765158</v>
      </c>
      <c r="K49" s="101" t="n">
        <f aca="false">Model!AE283</f>
        <v>2486779.01739458</v>
      </c>
      <c r="L49" s="101" t="n">
        <f aca="false">Model!AH283</f>
        <v>1441222.84411597</v>
      </c>
      <c r="M49" s="101" t="n">
        <f aca="false">Model!AK283</f>
        <v>1178864.80160189</v>
      </c>
      <c r="N49" s="101" t="n">
        <f aca="false">Model!AN283</f>
        <v>1595516.94880294</v>
      </c>
      <c r="O49" s="101" t="n">
        <f aca="false">Model!AQ283</f>
        <v>687092.754802123</v>
      </c>
      <c r="P49" s="101" t="n">
        <f aca="false">Model!AT283</f>
        <v>-499103.660486712</v>
      </c>
      <c r="Q49" s="101" t="n">
        <f aca="false">Model!AW283</f>
        <v>-746183.797280717</v>
      </c>
      <c r="R49" s="101" t="n">
        <f aca="false">Model!AZ283</f>
        <v>-2133616.10877912</v>
      </c>
      <c r="S49" s="101" t="n">
        <f aca="false">Model!BC283</f>
        <v>-3543042.64738379</v>
      </c>
      <c r="T49" s="101" t="n">
        <f aca="false">Model!BF283</f>
        <v>-4960980.20464166</v>
      </c>
      <c r="U49" s="101" t="n">
        <f aca="false">Model!BI283</f>
        <v>-5735832.38467257</v>
      </c>
      <c r="V49" s="101" t="n">
        <f aca="false">Model!BL283</f>
        <v>-7603099.91840581</v>
      </c>
      <c r="W49" s="101" t="n">
        <f aca="false">Model!BO283</f>
        <v>-9492801.56378744</v>
      </c>
      <c r="X49" s="101" t="n">
        <f aca="false">Model!BR283</f>
        <v>-11337934.0981953</v>
      </c>
      <c r="Y49" s="101" t="n">
        <f aca="false">Model!BU283</f>
        <v>-13168554.9826032</v>
      </c>
      <c r="Z49" s="101" t="n">
        <f aca="false">Model!BX283</f>
        <v>-14999175.8670111</v>
      </c>
      <c r="AA49" s="101" t="n">
        <f aca="false">Model!CA283</f>
        <v>-16852679.5453004</v>
      </c>
      <c r="AB49" s="101" t="n">
        <f aca="false">Model!CD283</f>
        <v>-18706301.0873965</v>
      </c>
      <c r="AC49" s="101" t="n">
        <f aca="false">Model!CG283</f>
        <v>-20559922.6294925</v>
      </c>
      <c r="AD49" s="101" t="n">
        <f aca="false">Model!CJ283</f>
        <v>-22406936.1449821</v>
      </c>
      <c r="AE49" s="101" t="n">
        <f aca="false">Model!CM283</f>
        <v>-23886814.1368371</v>
      </c>
      <c r="AF49" s="101" t="n">
        <f aca="false">Model!CP283</f>
        <v>-25375724.0897751</v>
      </c>
      <c r="AG49" s="101" t="n">
        <f aca="false">Model!CS283</f>
        <v>-26864634.0427131</v>
      </c>
      <c r="AH49" s="101" t="n">
        <f aca="false">Model!CV283</f>
        <v>-28238930.2935186</v>
      </c>
      <c r="AI49" s="101" t="n">
        <f aca="false">Model!CY283</f>
        <v>-29378279.2669683</v>
      </c>
      <c r="AJ49" s="101" t="n">
        <f aca="false">Model!DB283</f>
        <v>-30508305.109566</v>
      </c>
      <c r="AK49" s="101" t="n">
        <f aca="false">Model!DE283</f>
        <v>-31638330.9521637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T11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38" activeCellId="0" sqref="G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9" min="2" style="1" width="13"/>
  </cols>
  <sheetData>
    <row r="1" customFormat="false" ht="17.25" hidden="false" customHeight="true" outlineLevel="0" collapsed="false">
      <c r="A1" s="114" t="s">
        <v>269</v>
      </c>
    </row>
    <row r="2" customFormat="false" ht="15" hidden="false" customHeight="true" outlineLevel="0" collapsed="false">
      <c r="A2" s="115" t="s">
        <v>270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</row>
    <row r="3" customFormat="false" ht="15" hidden="false" customHeight="true" outlineLevel="0" collapsed="false">
      <c r="A3" s="117" t="s">
        <v>1</v>
      </c>
      <c r="C3" s="117" t="n">
        <v>-2</v>
      </c>
      <c r="D3" s="117" t="n">
        <v>-1</v>
      </c>
      <c r="E3" s="117" t="n">
        <v>0</v>
      </c>
      <c r="F3" s="117" t="n">
        <v>1</v>
      </c>
      <c r="G3" s="117" t="n">
        <v>2</v>
      </c>
      <c r="H3" s="117" t="n">
        <v>3</v>
      </c>
      <c r="I3" s="117" t="n">
        <v>4</v>
      </c>
      <c r="J3" s="117" t="n">
        <v>5</v>
      </c>
      <c r="K3" s="117" t="n">
        <v>6</v>
      </c>
      <c r="L3" s="117" t="n">
        <v>7</v>
      </c>
      <c r="M3" s="117" t="n">
        <v>8</v>
      </c>
      <c r="N3" s="117" t="n">
        <v>9</v>
      </c>
      <c r="O3" s="117" t="n">
        <v>10</v>
      </c>
      <c r="P3" s="117" t="n">
        <v>11</v>
      </c>
      <c r="Q3" s="117" t="n">
        <v>12</v>
      </c>
      <c r="R3" s="117" t="n">
        <v>13</v>
      </c>
      <c r="S3" s="117" t="n">
        <v>14</v>
      </c>
      <c r="T3" s="117" t="n">
        <v>15</v>
      </c>
      <c r="U3" s="117" t="n">
        <v>16</v>
      </c>
      <c r="V3" s="117" t="n">
        <v>17</v>
      </c>
      <c r="W3" s="117" t="n">
        <v>18</v>
      </c>
      <c r="X3" s="117" t="n">
        <v>19</v>
      </c>
      <c r="Y3" s="117" t="n">
        <v>20</v>
      </c>
      <c r="Z3" s="117" t="n">
        <v>21</v>
      </c>
      <c r="AA3" s="117" t="n">
        <v>22</v>
      </c>
      <c r="AB3" s="117" t="n">
        <v>23</v>
      </c>
      <c r="AC3" s="117" t="n">
        <v>24</v>
      </c>
      <c r="AD3" s="117" t="n">
        <v>25</v>
      </c>
      <c r="AE3" s="117" t="n">
        <v>26</v>
      </c>
      <c r="AF3" s="117" t="n">
        <v>27</v>
      </c>
      <c r="AG3" s="117" t="n">
        <v>28</v>
      </c>
      <c r="AH3" s="117" t="n">
        <v>29</v>
      </c>
      <c r="AI3" s="117" t="n">
        <v>30</v>
      </c>
      <c r="AJ3" s="117" t="n">
        <v>31</v>
      </c>
      <c r="AK3" s="117" t="n">
        <v>32</v>
      </c>
      <c r="AL3" s="117" t="n">
        <v>33</v>
      </c>
      <c r="AM3" s="117" t="n">
        <v>34</v>
      </c>
      <c r="AN3" s="117" t="n">
        <v>35</v>
      </c>
      <c r="AO3" s="117" t="n">
        <v>36</v>
      </c>
      <c r="AP3" s="117" t="n">
        <v>37</v>
      </c>
      <c r="AQ3" s="117" t="n">
        <v>38</v>
      </c>
      <c r="AR3" s="117" t="n">
        <v>39</v>
      </c>
      <c r="AS3" s="117" t="n">
        <v>40</v>
      </c>
      <c r="AT3" s="117" t="n">
        <v>41</v>
      </c>
      <c r="AU3" s="117" t="n">
        <v>42</v>
      </c>
      <c r="AV3" s="117" t="n">
        <v>43</v>
      </c>
      <c r="AW3" s="117" t="n">
        <v>44</v>
      </c>
      <c r="AX3" s="117" t="n">
        <v>45</v>
      </c>
      <c r="AY3" s="117" t="n">
        <v>46</v>
      </c>
      <c r="AZ3" s="117" t="n">
        <v>47</v>
      </c>
      <c r="BA3" s="117" t="n">
        <v>48</v>
      </c>
      <c r="BB3" s="117" t="n">
        <v>49</v>
      </c>
      <c r="BC3" s="117" t="n">
        <v>50</v>
      </c>
      <c r="BD3" s="117" t="n">
        <v>51</v>
      </c>
      <c r="BE3" s="117" t="n">
        <v>52</v>
      </c>
      <c r="BF3" s="117" t="n">
        <v>53</v>
      </c>
      <c r="BG3" s="117" t="n">
        <v>54</v>
      </c>
      <c r="BH3" s="117" t="n">
        <v>55</v>
      </c>
      <c r="BI3" s="117" t="n">
        <v>56</v>
      </c>
      <c r="BJ3" s="117" t="n">
        <v>57</v>
      </c>
      <c r="BK3" s="117" t="n">
        <v>58</v>
      </c>
      <c r="BL3" s="117" t="n">
        <v>59</v>
      </c>
      <c r="BM3" s="117" t="n">
        <v>60</v>
      </c>
      <c r="BN3" s="117" t="n">
        <v>61</v>
      </c>
      <c r="BO3" s="117" t="n">
        <v>62</v>
      </c>
      <c r="BP3" s="117" t="n">
        <v>63</v>
      </c>
      <c r="BQ3" s="117" t="n">
        <v>64</v>
      </c>
      <c r="BR3" s="117" t="n">
        <v>65</v>
      </c>
      <c r="BS3" s="117" t="n">
        <v>66</v>
      </c>
      <c r="BT3" s="117" t="n">
        <v>67</v>
      </c>
      <c r="BU3" s="117" t="n">
        <v>68</v>
      </c>
      <c r="BV3" s="117" t="n">
        <v>69</v>
      </c>
      <c r="BW3" s="117" t="n">
        <v>70</v>
      </c>
      <c r="BX3" s="117" t="n">
        <v>71</v>
      </c>
      <c r="BY3" s="117" t="n">
        <v>72</v>
      </c>
      <c r="BZ3" s="117" t="n">
        <v>73</v>
      </c>
      <c r="CA3" s="117" t="n">
        <v>74</v>
      </c>
      <c r="CB3" s="117" t="n">
        <v>75</v>
      </c>
      <c r="CC3" s="117" t="n">
        <v>76</v>
      </c>
      <c r="CD3" s="117" t="n">
        <v>77</v>
      </c>
      <c r="CE3" s="117" t="n">
        <v>78</v>
      </c>
      <c r="CF3" s="117" t="n">
        <v>79</v>
      </c>
      <c r="CG3" s="117" t="n">
        <v>80</v>
      </c>
      <c r="CH3" s="117" t="n">
        <v>81</v>
      </c>
      <c r="CI3" s="117" t="n">
        <v>82</v>
      </c>
      <c r="CJ3" s="117" t="n">
        <v>83</v>
      </c>
      <c r="CK3" s="117" t="n">
        <v>84</v>
      </c>
      <c r="CL3" s="117" t="n">
        <v>85</v>
      </c>
      <c r="CM3" s="117" t="n">
        <v>86</v>
      </c>
      <c r="CN3" s="117" t="n">
        <v>87</v>
      </c>
      <c r="CO3" s="117" t="n">
        <v>88</v>
      </c>
      <c r="CP3" s="117" t="n">
        <v>89</v>
      </c>
      <c r="CQ3" s="117" t="n">
        <v>90</v>
      </c>
      <c r="CR3" s="117" t="n">
        <v>91</v>
      </c>
      <c r="CS3" s="117" t="n">
        <v>92</v>
      </c>
      <c r="CT3" s="117" t="n">
        <v>93</v>
      </c>
    </row>
    <row r="7" customFormat="false" ht="15" hidden="false" customHeight="true" outlineLevel="0" collapsed="false">
      <c r="A7" s="11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</row>
    <row r="8" customFormat="false" ht="15" hidden="false" customHeight="true" outlineLevel="0" collapsed="false">
      <c r="A8" s="120" t="s">
        <v>4</v>
      </c>
      <c r="C8" s="119" t="n">
        <v>116367.35</v>
      </c>
      <c r="D8" s="119" t="n">
        <v>138804.22</v>
      </c>
      <c r="E8" s="119" t="n">
        <v>219366.88</v>
      </c>
      <c r="F8" s="119" t="n">
        <v>212079.14</v>
      </c>
      <c r="G8" s="119" t="n">
        <v>267726.14</v>
      </c>
      <c r="H8" s="119" t="n">
        <v>374773.89</v>
      </c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</row>
    <row r="9" customFormat="false" ht="15" hidden="false" customHeight="true" outlineLevel="0" collapsed="false">
      <c r="A9" s="118" t="s">
        <v>271</v>
      </c>
      <c r="C9" s="119" t="n">
        <v>0</v>
      </c>
      <c r="D9" s="119" t="n">
        <v>0</v>
      </c>
      <c r="E9" s="119" t="n">
        <v>0</v>
      </c>
      <c r="F9" s="119" t="n">
        <v>0</v>
      </c>
      <c r="G9" s="119" t="n">
        <v>0</v>
      </c>
      <c r="H9" s="119" t="n">
        <v>0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</row>
    <row r="10" customFormat="false" ht="15" hidden="false" customHeight="true" outlineLevel="0" collapsed="false">
      <c r="A10" s="118" t="s">
        <v>5</v>
      </c>
      <c r="C10" s="119" t="n">
        <v>95370.25</v>
      </c>
      <c r="D10" s="119" t="n">
        <v>173282.89</v>
      </c>
      <c r="E10" s="119" t="n">
        <v>50438.85</v>
      </c>
      <c r="F10" s="119" t="n">
        <v>167518.85</v>
      </c>
      <c r="G10" s="119" t="n">
        <v>209057.26</v>
      </c>
      <c r="H10" s="119" t="n">
        <v>292966.36</v>
      </c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</row>
    <row r="11" customFormat="false" ht="15" hidden="false" customHeight="true" outlineLevel="0" collapsed="false">
      <c r="A11" s="118" t="s">
        <v>272</v>
      </c>
      <c r="C11" s="119" t="n">
        <v>0</v>
      </c>
      <c r="D11" s="119" t="n">
        <v>0</v>
      </c>
      <c r="E11" s="119" t="n">
        <v>0</v>
      </c>
      <c r="F11" s="119" t="n">
        <v>0</v>
      </c>
      <c r="G11" s="119" t="n">
        <v>0</v>
      </c>
      <c r="H11" s="119" t="n">
        <v>0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</row>
    <row r="12" customFormat="false" ht="15" hidden="false" customHeight="true" outlineLevel="0" collapsed="false">
      <c r="A12" s="120" t="s">
        <v>6</v>
      </c>
      <c r="C12" s="119" t="n">
        <v>1242053.19</v>
      </c>
      <c r="D12" s="119" t="n">
        <v>2710434.48</v>
      </c>
      <c r="E12" s="119" t="n">
        <v>2402410.43</v>
      </c>
      <c r="F12" s="119" t="n">
        <v>3312759.91</v>
      </c>
      <c r="G12" s="119" t="n">
        <v>3939278.23</v>
      </c>
      <c r="H12" s="119" t="n">
        <v>5584522.73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</row>
    <row r="13" customFormat="false" ht="15" hidden="false" customHeight="true" outlineLevel="0" collapsed="false">
      <c r="A13" s="121" t="s">
        <v>52</v>
      </c>
      <c r="C13" s="122" t="n">
        <f aca="false">C8+C10+C12</f>
        <v>1453790.79</v>
      </c>
      <c r="D13" s="122" t="n">
        <f aca="false">D8+D10+D12</f>
        <v>3022521.59</v>
      </c>
      <c r="E13" s="122" t="n">
        <f aca="false">E8+E10+E12</f>
        <v>2672216.16</v>
      </c>
      <c r="F13" s="122" t="n">
        <f aca="false">F8+F10+F12</f>
        <v>3692357.9</v>
      </c>
      <c r="G13" s="122" t="n">
        <f aca="false">G8+G10+G12</f>
        <v>4416061.63</v>
      </c>
      <c r="H13" s="122" t="n">
        <f aca="false">H8+H10+H12</f>
        <v>6252262.98</v>
      </c>
      <c r="I13" s="122" t="n">
        <f aca="false">I8+I10+I12</f>
        <v>0</v>
      </c>
      <c r="J13" s="122" t="n">
        <f aca="false">J8+J10+J12</f>
        <v>0</v>
      </c>
      <c r="K13" s="122" t="n">
        <f aca="false">K8+K10+K12</f>
        <v>0</v>
      </c>
      <c r="L13" s="122" t="n">
        <f aca="false">L8+L10+L12</f>
        <v>0</v>
      </c>
      <c r="M13" s="122" t="n">
        <f aca="false">M8+M10+M12</f>
        <v>0</v>
      </c>
      <c r="N13" s="122" t="n">
        <f aca="false">N8+N10+N12</f>
        <v>0</v>
      </c>
      <c r="O13" s="122" t="n">
        <f aca="false">O8+O10+O12</f>
        <v>0</v>
      </c>
      <c r="P13" s="122" t="n">
        <f aca="false">P8+P10+P12</f>
        <v>0</v>
      </c>
      <c r="Q13" s="122" t="n">
        <f aca="false">Q8+Q10+Q12</f>
        <v>0</v>
      </c>
      <c r="R13" s="122" t="n">
        <f aca="false">R8+R10+R12</f>
        <v>0</v>
      </c>
      <c r="S13" s="122" t="n">
        <f aca="false">S8+S10+S12</f>
        <v>0</v>
      </c>
      <c r="T13" s="122" t="n">
        <f aca="false">T8+T10+T12</f>
        <v>0</v>
      </c>
      <c r="U13" s="122" t="n">
        <f aca="false">U8+U10+U12</f>
        <v>0</v>
      </c>
      <c r="V13" s="122" t="n">
        <f aca="false">V8+V10+V12</f>
        <v>0</v>
      </c>
      <c r="W13" s="122" t="n">
        <f aca="false">W8+W10+W12</f>
        <v>0</v>
      </c>
      <c r="X13" s="122" t="n">
        <f aca="false">X8+X10+X12</f>
        <v>0</v>
      </c>
      <c r="Y13" s="122" t="n">
        <f aca="false">Y8+Y10+Y12</f>
        <v>0</v>
      </c>
      <c r="Z13" s="122" t="n">
        <f aca="false">Z8+Z10+Z12</f>
        <v>0</v>
      </c>
      <c r="AA13" s="122" t="n">
        <f aca="false">AA8+AA10+AA12</f>
        <v>0</v>
      </c>
      <c r="AB13" s="122" t="n">
        <f aca="false">AB8+AB10+AB12</f>
        <v>0</v>
      </c>
      <c r="AC13" s="122" t="n">
        <f aca="false">AC8+AC10+AC12</f>
        <v>0</v>
      </c>
      <c r="AD13" s="122" t="n">
        <f aca="false">AD8+AD10+AD12</f>
        <v>0</v>
      </c>
      <c r="AE13" s="122" t="n">
        <f aca="false">AE8+AE10+AE12</f>
        <v>0</v>
      </c>
      <c r="AF13" s="122" t="n">
        <f aca="false">AF8+AF10+AF12</f>
        <v>0</v>
      </c>
      <c r="AG13" s="122" t="n">
        <f aca="false">AG8+AG10+AG12</f>
        <v>0</v>
      </c>
      <c r="AH13" s="122" t="n">
        <f aca="false">AH8+AH10+AH12</f>
        <v>0</v>
      </c>
      <c r="AI13" s="122" t="n">
        <f aca="false">AI8+AI10+AI12</f>
        <v>0</v>
      </c>
      <c r="AJ13" s="122" t="n">
        <f aca="false">AJ8+AJ10+AJ12</f>
        <v>0</v>
      </c>
      <c r="AK13" s="122" t="n">
        <f aca="false">AK8+AK10+AK12</f>
        <v>0</v>
      </c>
      <c r="AL13" s="122" t="n">
        <f aca="false">AL8+AL10+AL12</f>
        <v>0</v>
      </c>
      <c r="AM13" s="122" t="n">
        <f aca="false">AM8+AM10+AM12</f>
        <v>0</v>
      </c>
      <c r="AN13" s="122" t="n">
        <f aca="false">AN8+AN10+AN12</f>
        <v>0</v>
      </c>
      <c r="AO13" s="122" t="n">
        <f aca="false">AO8+AO10+AO12</f>
        <v>0</v>
      </c>
      <c r="AP13" s="122" t="n">
        <f aca="false">AP8+AP10+AP12</f>
        <v>0</v>
      </c>
      <c r="AQ13" s="122" t="n">
        <f aca="false">AQ8+AQ10+AQ12</f>
        <v>0</v>
      </c>
      <c r="AR13" s="122" t="n">
        <f aca="false">AR8+AR10+AR12</f>
        <v>0</v>
      </c>
      <c r="AS13" s="122" t="n">
        <f aca="false">AS8+AS10+AS12</f>
        <v>0</v>
      </c>
      <c r="AT13" s="122" t="n">
        <f aca="false">AT8+AT10+AT12</f>
        <v>0</v>
      </c>
      <c r="AU13" s="122" t="n">
        <f aca="false">AU8+AU10+AU12</f>
        <v>0</v>
      </c>
      <c r="AV13" s="122" t="n">
        <f aca="false">AV8+AV10+AV12</f>
        <v>0</v>
      </c>
      <c r="AW13" s="122" t="n">
        <f aca="false">AW8+AW10+AW12</f>
        <v>0</v>
      </c>
      <c r="AX13" s="122" t="n">
        <f aca="false">AX8+AX10+AX12</f>
        <v>0</v>
      </c>
      <c r="AY13" s="122" t="n">
        <f aca="false">AY8+AY10+AY12</f>
        <v>0</v>
      </c>
      <c r="AZ13" s="122" t="n">
        <f aca="false">AZ8+AZ10+AZ12</f>
        <v>0</v>
      </c>
      <c r="BA13" s="122" t="n">
        <f aca="false">BA8+BA10+BA12</f>
        <v>0</v>
      </c>
      <c r="BB13" s="122" t="n">
        <f aca="false">BB8+BB10+BB12</f>
        <v>0</v>
      </c>
      <c r="BC13" s="122" t="n">
        <f aca="false">BC8+BC10+BC12</f>
        <v>0</v>
      </c>
      <c r="BD13" s="122" t="n">
        <f aca="false">BD8+BD10+BD12</f>
        <v>0</v>
      </c>
      <c r="BE13" s="122" t="n">
        <f aca="false">BE8+BE10+BE12</f>
        <v>0</v>
      </c>
      <c r="BF13" s="122" t="n">
        <f aca="false">BF8+BF10+BF12</f>
        <v>0</v>
      </c>
      <c r="BG13" s="122" t="n">
        <f aca="false">BG8+BG10+BG12</f>
        <v>0</v>
      </c>
      <c r="BH13" s="122" t="n">
        <f aca="false">BH8+BH10+BH12</f>
        <v>0</v>
      </c>
      <c r="BI13" s="122" t="n">
        <f aca="false">BI8+BI10+BI12</f>
        <v>0</v>
      </c>
      <c r="BJ13" s="122" t="n">
        <f aca="false">BJ8+BJ10+BJ12</f>
        <v>0</v>
      </c>
      <c r="BK13" s="122" t="n">
        <f aca="false">BK8+BK10+BK12</f>
        <v>0</v>
      </c>
      <c r="BL13" s="122" t="n">
        <f aca="false">BL8+BL10+BL12</f>
        <v>0</v>
      </c>
      <c r="BM13" s="122" t="n">
        <f aca="false">BM8+BM10+BM12</f>
        <v>0</v>
      </c>
      <c r="BN13" s="122" t="n">
        <f aca="false">BN8+BN10+BN12</f>
        <v>0</v>
      </c>
      <c r="BO13" s="122" t="n">
        <f aca="false">BO8+BO10+BO12</f>
        <v>0</v>
      </c>
      <c r="BP13" s="122" t="n">
        <f aca="false">BP8+BP10+BP12</f>
        <v>0</v>
      </c>
      <c r="BQ13" s="122" t="n">
        <f aca="false">BQ8+BQ10+BQ12</f>
        <v>0</v>
      </c>
      <c r="BR13" s="122" t="n">
        <f aca="false">BR8+BR10+BR12</f>
        <v>0</v>
      </c>
      <c r="BS13" s="122" t="n">
        <f aca="false">BS8+BS10+BS12</f>
        <v>0</v>
      </c>
      <c r="BT13" s="122" t="n">
        <f aca="false">BT8+BT10+BT12</f>
        <v>0</v>
      </c>
      <c r="BU13" s="122" t="n">
        <f aca="false">BU8+BU10+BU12</f>
        <v>0</v>
      </c>
      <c r="BV13" s="122" t="n">
        <f aca="false">BV8+BV10+BV12</f>
        <v>0</v>
      </c>
      <c r="BW13" s="122" t="n">
        <f aca="false">BW8+BW10+BW12</f>
        <v>0</v>
      </c>
      <c r="BX13" s="122" t="n">
        <f aca="false">BX8+BX10+BX12</f>
        <v>0</v>
      </c>
      <c r="BY13" s="122" t="n">
        <f aca="false">BY8+BY10+BY12</f>
        <v>0</v>
      </c>
      <c r="BZ13" s="122" t="n">
        <f aca="false">BZ8+BZ10+BZ12</f>
        <v>0</v>
      </c>
      <c r="CA13" s="122" t="n">
        <f aca="false">CA8+CA10+CA12</f>
        <v>0</v>
      </c>
      <c r="CB13" s="122" t="n">
        <f aca="false">CB8+CB10+CB12</f>
        <v>0</v>
      </c>
      <c r="CC13" s="122" t="n">
        <f aca="false">CC8+CC10+CC12</f>
        <v>0</v>
      </c>
      <c r="CD13" s="122" t="n">
        <f aca="false">CD8+CD10+CD12</f>
        <v>0</v>
      </c>
      <c r="CE13" s="122" t="n">
        <f aca="false">CE8+CE10+CE12</f>
        <v>0</v>
      </c>
      <c r="CF13" s="122" t="n">
        <f aca="false">CF8+CF10+CF12</f>
        <v>0</v>
      </c>
      <c r="CG13" s="122" t="n">
        <f aca="false">CG8+CG10+CG12</f>
        <v>0</v>
      </c>
      <c r="CH13" s="122" t="n">
        <f aca="false">CH8+CH10+CH12</f>
        <v>0</v>
      </c>
      <c r="CI13" s="122" t="n">
        <f aca="false">CI8+CI10+CI12</f>
        <v>0</v>
      </c>
      <c r="CJ13" s="122" t="n">
        <f aca="false">CJ8+CJ10+CJ12</f>
        <v>0</v>
      </c>
      <c r="CK13" s="122" t="n">
        <f aca="false">CK8+CK10+CK12</f>
        <v>0</v>
      </c>
      <c r="CL13" s="122" t="n">
        <f aca="false">CL8+CL10+CL12</f>
        <v>0</v>
      </c>
      <c r="CM13" s="122" t="n">
        <f aca="false">CM8+CM10+CM12</f>
        <v>0</v>
      </c>
      <c r="CN13" s="122" t="n">
        <f aca="false">CN8+CN10+CN12</f>
        <v>0</v>
      </c>
      <c r="CO13" s="122" t="n">
        <f aca="false">CO8+CO10+CO12</f>
        <v>0</v>
      </c>
      <c r="CP13" s="122" t="n">
        <f aca="false">CP8+CP10+CP12</f>
        <v>0</v>
      </c>
      <c r="CQ13" s="122" t="n">
        <f aca="false">CQ8+CQ10+CQ12</f>
        <v>0</v>
      </c>
      <c r="CR13" s="122" t="n">
        <f aca="false">CR8+CR10+CR12</f>
        <v>0</v>
      </c>
      <c r="CS13" s="122" t="n">
        <f aca="false">CS8+CS10+CS12</f>
        <v>0</v>
      </c>
      <c r="CT13" s="122" t="n">
        <f aca="false">CT8+CT10+CT12</f>
        <v>0</v>
      </c>
    </row>
    <row r="14" customFormat="false" ht="15" hidden="false" customHeight="true" outlineLevel="0" collapsed="false">
      <c r="A14" s="81" t="s">
        <v>273</v>
      </c>
      <c r="C14" s="119" t="n">
        <v>-1233067.43</v>
      </c>
      <c r="D14" s="119" t="n">
        <v>-3073522.36</v>
      </c>
      <c r="E14" s="119" t="n">
        <v>-2078031.64</v>
      </c>
      <c r="F14" s="119" t="n">
        <v>-3244999.65</v>
      </c>
      <c r="G14" s="119" t="n">
        <v>-3950524.93</v>
      </c>
      <c r="H14" s="119" t="n">
        <v>-5610911.85</v>
      </c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</row>
    <row r="15" customFormat="false" ht="15" hidden="false" customHeight="true" outlineLevel="0" collapsed="false">
      <c r="A15" s="118" t="s">
        <v>55</v>
      </c>
      <c r="C15" s="119" t="n">
        <v>0</v>
      </c>
      <c r="D15" s="119" t="n">
        <v>0</v>
      </c>
      <c r="E15" s="119" t="n">
        <v>0</v>
      </c>
      <c r="F15" s="119" t="n">
        <v>0</v>
      </c>
      <c r="G15" s="119" t="n">
        <v>0</v>
      </c>
      <c r="H15" s="119" t="n">
        <v>0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</row>
    <row r="16" customFormat="false" ht="15" hidden="false" customHeight="true" outlineLevel="0" collapsed="false">
      <c r="A16" s="118" t="s">
        <v>56</v>
      </c>
      <c r="C16" s="119" t="n">
        <v>-1966.5</v>
      </c>
      <c r="D16" s="119" t="n">
        <v>0</v>
      </c>
      <c r="E16" s="119" t="n">
        <v>0</v>
      </c>
      <c r="F16" s="119" t="n">
        <v>0</v>
      </c>
      <c r="G16" s="119" t="n">
        <v>0</v>
      </c>
      <c r="H16" s="119" t="n">
        <v>0</v>
      </c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</row>
    <row r="17" customFormat="false" ht="15" hidden="false" customHeight="true" outlineLevel="0" collapsed="false">
      <c r="A17" s="121" t="s">
        <v>57</v>
      </c>
      <c r="C17" s="122" t="n">
        <f aca="false">C8+C9+C10+C11+C12+C14+C15+C16</f>
        <v>218756.86</v>
      </c>
      <c r="D17" s="122" t="n">
        <f aca="false">D8+D9+D10+D11+D12+D14+D15+D16</f>
        <v>-51000.77</v>
      </c>
      <c r="E17" s="122" t="n">
        <f aca="false">E8+E9+E10+E11+E12+E14+E15+E16</f>
        <v>594184.52</v>
      </c>
      <c r="F17" s="122" t="n">
        <f aca="false">F8+F9+F10+F11+F12+F14+F15+F16</f>
        <v>447358.25</v>
      </c>
      <c r="G17" s="122" t="n">
        <f aca="false">G8+G9+G10+G11+G12+G14+G15+G16</f>
        <v>465536.7</v>
      </c>
      <c r="H17" s="122" t="n">
        <f aca="false">H8+H9+H10+H11+H12+H14+H15+H16</f>
        <v>641351.130000001</v>
      </c>
      <c r="I17" s="122" t="n">
        <f aca="false">I8+I9+I10+I11+I12+I14+I15+I16</f>
        <v>0</v>
      </c>
      <c r="J17" s="122" t="n">
        <f aca="false">J8+J9+J10+J11+J12+J14+J15+J16</f>
        <v>0</v>
      </c>
      <c r="K17" s="122" t="n">
        <f aca="false">K8+K9+K10+K11+K12+K14+K15+K16</f>
        <v>0</v>
      </c>
      <c r="L17" s="122" t="n">
        <f aca="false">L8+L9+L10+L11+L12+L14+L15+L16</f>
        <v>0</v>
      </c>
      <c r="M17" s="122" t="n">
        <f aca="false">M8+M9+M10+M11+M12+M14+M15+M16</f>
        <v>0</v>
      </c>
      <c r="N17" s="122" t="n">
        <f aca="false">N8+N9+N10+N11+N12+N14+N15+N16</f>
        <v>0</v>
      </c>
      <c r="O17" s="122" t="n">
        <f aca="false">O8+O9+O10+O11+O12+O14+O15+O16</f>
        <v>0</v>
      </c>
      <c r="P17" s="122" t="n">
        <f aca="false">P8+P9+P10+P11+P12+P14+P15+P16</f>
        <v>0</v>
      </c>
      <c r="Q17" s="122" t="n">
        <f aca="false">Q8+Q9+Q10+Q11+Q12+Q14+Q15+Q16</f>
        <v>0</v>
      </c>
      <c r="R17" s="122" t="n">
        <f aca="false">R8+R9+R10+R11+R12+R14+R15+R16</f>
        <v>0</v>
      </c>
      <c r="S17" s="122" t="n">
        <f aca="false">S8+S9+S10+S11+S12+S14+S15+S16</f>
        <v>0</v>
      </c>
      <c r="T17" s="122" t="n">
        <f aca="false">T8+T9+T10+T11+T12+T14+T15+T16</f>
        <v>0</v>
      </c>
      <c r="U17" s="122" t="n">
        <f aca="false">U8+U9+U10+U11+U12+U14+U15+U16</f>
        <v>0</v>
      </c>
      <c r="V17" s="122" t="n">
        <f aca="false">V8+V9+V10+V11+V12+V14+V15+V16</f>
        <v>0</v>
      </c>
      <c r="W17" s="122" t="n">
        <f aca="false">W8+W9+W10+W11+W12+W14+W15+W16</f>
        <v>0</v>
      </c>
      <c r="X17" s="122" t="n">
        <f aca="false">X8+X9+X10+X11+X12+X14+X15+X16</f>
        <v>0</v>
      </c>
      <c r="Y17" s="122" t="n">
        <f aca="false">Y8+Y9+Y10+Y11+Y12+Y14+Y15+Y16</f>
        <v>0</v>
      </c>
      <c r="Z17" s="122" t="n">
        <f aca="false">Z8+Z9+Z10+Z11+Z12+Z14+Z15+Z16</f>
        <v>0</v>
      </c>
      <c r="AA17" s="122" t="n">
        <f aca="false">AA8+AA9+AA10+AA11+AA12+AA14+AA15+AA16</f>
        <v>0</v>
      </c>
      <c r="AB17" s="122" t="n">
        <f aca="false">AB8+AB9+AB10+AB11+AB12+AB14+AB15+AB16</f>
        <v>0</v>
      </c>
      <c r="AC17" s="122" t="n">
        <f aca="false">AC8+AC9+AC10+AC11+AC12+AC14+AC15+AC16</f>
        <v>0</v>
      </c>
      <c r="AD17" s="122" t="n">
        <f aca="false">AD8+AD9+AD10+AD11+AD12+AD14+AD15+AD16</f>
        <v>0</v>
      </c>
      <c r="AE17" s="122" t="n">
        <f aca="false">AE8+AE9+AE10+AE11+AE12+AE14+AE15+AE16</f>
        <v>0</v>
      </c>
      <c r="AF17" s="122" t="n">
        <f aca="false">AF8+AF9+AF10+AF11+AF12+AF14+AF15+AF16</f>
        <v>0</v>
      </c>
      <c r="AG17" s="122" t="n">
        <f aca="false">AG8+AG9+AG10+AG11+AG12+AG14+AG15+AG16</f>
        <v>0</v>
      </c>
      <c r="AH17" s="122" t="n">
        <f aca="false">AH8+AH9+AH10+AH11+AH12+AH14+AH15+AH16</f>
        <v>0</v>
      </c>
      <c r="AI17" s="122" t="n">
        <f aca="false">AI8+AI9+AI10+AI11+AI12+AI14+AI15+AI16</f>
        <v>0</v>
      </c>
      <c r="AJ17" s="122" t="n">
        <f aca="false">AJ8+AJ9+AJ10+AJ11+AJ12+AJ14+AJ15+AJ16</f>
        <v>0</v>
      </c>
      <c r="AK17" s="122" t="n">
        <f aca="false">AK8+AK9+AK10+AK11+AK12+AK14+AK15+AK16</f>
        <v>0</v>
      </c>
      <c r="AL17" s="122" t="n">
        <f aca="false">AL8+AL9+AL10+AL11+AL12+AL14+AL15+AL16</f>
        <v>0</v>
      </c>
      <c r="AM17" s="122" t="n">
        <f aca="false">AM8+AM9+AM10+AM11+AM12+AM14+AM15+AM16</f>
        <v>0</v>
      </c>
      <c r="AN17" s="122" t="n">
        <f aca="false">AN8+AN9+AN10+AN11+AN12+AN14+AN15+AN16</f>
        <v>0</v>
      </c>
      <c r="AO17" s="122" t="n">
        <f aca="false">AO8+AO9+AO10+AO11+AO12+AO14+AO15+AO16</f>
        <v>0</v>
      </c>
      <c r="AP17" s="122" t="n">
        <f aca="false">AP8+AP9+AP10+AP11+AP12+AP14+AP15+AP16</f>
        <v>0</v>
      </c>
      <c r="AQ17" s="122" t="n">
        <f aca="false">AQ8+AQ9+AQ10+AQ11+AQ12+AQ14+AQ15+AQ16</f>
        <v>0</v>
      </c>
      <c r="AR17" s="122" t="n">
        <f aca="false">AR8+AR9+AR10+AR11+AR12+AR14+AR15+AR16</f>
        <v>0</v>
      </c>
      <c r="AS17" s="122" t="n">
        <f aca="false">AS8+AS9+AS10+AS11+AS12+AS14+AS15+AS16</f>
        <v>0</v>
      </c>
      <c r="AT17" s="122" t="n">
        <f aca="false">AT8+AT9+AT10+AT11+AT12+AT14+AT15+AT16</f>
        <v>0</v>
      </c>
      <c r="AU17" s="122" t="n">
        <f aca="false">AU8+AU9+AU10+AU11+AU12+AU14+AU15+AU16</f>
        <v>0</v>
      </c>
      <c r="AV17" s="122" t="n">
        <f aca="false">AV8+AV9+AV10+AV11+AV12+AV14+AV15+AV16</f>
        <v>0</v>
      </c>
      <c r="AW17" s="122" t="n">
        <f aca="false">AW8+AW9+AW10+AW11+AW12+AW14+AW15+AW16</f>
        <v>0</v>
      </c>
      <c r="AX17" s="122" t="n">
        <f aca="false">AX8+AX9+AX10+AX11+AX12+AX14+AX15+AX16</f>
        <v>0</v>
      </c>
      <c r="AY17" s="122" t="n">
        <f aca="false">AY8+AY9+AY10+AY11+AY12+AY14+AY15+AY16</f>
        <v>0</v>
      </c>
      <c r="AZ17" s="122" t="n">
        <f aca="false">AZ8+AZ9+AZ10+AZ11+AZ12+AZ14+AZ15+AZ16</f>
        <v>0</v>
      </c>
      <c r="BA17" s="122" t="n">
        <f aca="false">BA8+BA9+BA10+BA11+BA12+BA14+BA15+BA16</f>
        <v>0</v>
      </c>
      <c r="BB17" s="122" t="n">
        <f aca="false">BB8+BB9+BB10+BB11+BB12+BB14+BB15+BB16</f>
        <v>0</v>
      </c>
      <c r="BC17" s="122" t="n">
        <f aca="false">BC8+BC9+BC10+BC11+BC12+BC14+BC15+BC16</f>
        <v>0</v>
      </c>
      <c r="BD17" s="122" t="n">
        <f aca="false">BD8+BD9+BD10+BD11+BD12+BD14+BD15+BD16</f>
        <v>0</v>
      </c>
      <c r="BE17" s="122" t="n">
        <f aca="false">BE8+BE9+BE10+BE11+BE12+BE14+BE15+BE16</f>
        <v>0</v>
      </c>
      <c r="BF17" s="122" t="n">
        <f aca="false">BF8+BF9+BF10+BF11+BF12+BF14+BF15+BF16</f>
        <v>0</v>
      </c>
      <c r="BG17" s="122" t="n">
        <f aca="false">BG8+BG9+BG10+BG11+BG12+BG14+BG15+BG16</f>
        <v>0</v>
      </c>
      <c r="BH17" s="122" t="n">
        <f aca="false">BH8+BH9+BH10+BH11+BH12+BH14+BH15+BH16</f>
        <v>0</v>
      </c>
      <c r="BI17" s="122" t="n">
        <f aca="false">BI8+BI9+BI10+BI11+BI12+BI14+BI15+BI16</f>
        <v>0</v>
      </c>
      <c r="BJ17" s="122" t="n">
        <f aca="false">BJ8+BJ9+BJ10+BJ11+BJ12+BJ14+BJ15+BJ16</f>
        <v>0</v>
      </c>
      <c r="BK17" s="122" t="n">
        <f aca="false">BK8+BK9+BK10+BK11+BK12+BK14+BK15+BK16</f>
        <v>0</v>
      </c>
      <c r="BL17" s="122" t="n">
        <f aca="false">BL8+BL9+BL10+BL11+BL12+BL14+BL15+BL16</f>
        <v>0</v>
      </c>
      <c r="BM17" s="122" t="n">
        <f aca="false">BM8+BM9+BM10+BM11+BM12+BM14+BM15+BM16</f>
        <v>0</v>
      </c>
      <c r="BN17" s="122" t="n">
        <f aca="false">BN8+BN9+BN10+BN11+BN12+BN14+BN15+BN16</f>
        <v>0</v>
      </c>
      <c r="BO17" s="122" t="n">
        <f aca="false">BO8+BO9+BO10+BO11+BO12+BO14+BO15+BO16</f>
        <v>0</v>
      </c>
      <c r="BP17" s="122" t="n">
        <f aca="false">BP8+BP9+BP10+BP11+BP12+BP14+BP15+BP16</f>
        <v>0</v>
      </c>
      <c r="BQ17" s="122" t="n">
        <f aca="false">BQ8+BQ9+BQ10+BQ11+BQ12+BQ14+BQ15+BQ16</f>
        <v>0</v>
      </c>
      <c r="BR17" s="122" t="n">
        <f aca="false">BR8+BR9+BR10+BR11+BR12+BR14+BR15+BR16</f>
        <v>0</v>
      </c>
      <c r="BS17" s="122" t="n">
        <f aca="false">BS8+BS9+BS10+BS11+BS12+BS14+BS15+BS16</f>
        <v>0</v>
      </c>
      <c r="BT17" s="122" t="n">
        <f aca="false">BT8+BT9+BT10+BT11+BT12+BT14+BT15+BT16</f>
        <v>0</v>
      </c>
      <c r="BU17" s="122" t="n">
        <f aca="false">BU8+BU9+BU10+BU11+BU12+BU14+BU15+BU16</f>
        <v>0</v>
      </c>
      <c r="BV17" s="122" t="n">
        <f aca="false">BV8+BV9+BV10+BV11+BV12+BV14+BV15+BV16</f>
        <v>0</v>
      </c>
      <c r="BW17" s="122" t="n">
        <f aca="false">BW8+BW9+BW10+BW11+BW12+BW14+BW15+BW16</f>
        <v>0</v>
      </c>
      <c r="BX17" s="122" t="n">
        <f aca="false">BX8+BX9+BX10+BX11+BX12+BX14+BX15+BX16</f>
        <v>0</v>
      </c>
      <c r="BY17" s="122" t="n">
        <f aca="false">BY8+BY9+BY10+BY11+BY12+BY14+BY15+BY16</f>
        <v>0</v>
      </c>
      <c r="BZ17" s="122" t="n">
        <f aca="false">BZ8+BZ9+BZ10+BZ11+BZ12+BZ14+BZ15+BZ16</f>
        <v>0</v>
      </c>
      <c r="CA17" s="122" t="n">
        <f aca="false">CA8+CA9+CA10+CA11+CA12+CA14+CA15+CA16</f>
        <v>0</v>
      </c>
      <c r="CB17" s="122" t="n">
        <f aca="false">CB8+CB9+CB10+CB11+CB12+CB14+CB15+CB16</f>
        <v>0</v>
      </c>
      <c r="CC17" s="122" t="n">
        <f aca="false">CC8+CC9+CC10+CC11+CC12+CC14+CC15+CC16</f>
        <v>0</v>
      </c>
      <c r="CD17" s="122" t="n">
        <f aca="false">CD8+CD9+CD10+CD11+CD12+CD14+CD15+CD16</f>
        <v>0</v>
      </c>
      <c r="CE17" s="122" t="n">
        <f aca="false">CE8+CE9+CE10+CE11+CE12+CE14+CE15+CE16</f>
        <v>0</v>
      </c>
      <c r="CF17" s="122" t="n">
        <f aca="false">CF8+CF9+CF10+CF11+CF12+CF14+CF15+CF16</f>
        <v>0</v>
      </c>
      <c r="CG17" s="122" t="n">
        <f aca="false">CG8+CG9+CG10+CG11+CG12+CG14+CG15+CG16</f>
        <v>0</v>
      </c>
      <c r="CH17" s="122" t="n">
        <f aca="false">CH8+CH9+CH10+CH11+CH12+CH14+CH15+CH16</f>
        <v>0</v>
      </c>
      <c r="CI17" s="122" t="n">
        <f aca="false">CI8+CI9+CI10+CI11+CI12+CI14+CI15+CI16</f>
        <v>0</v>
      </c>
      <c r="CJ17" s="122" t="n">
        <f aca="false">CJ8+CJ9+CJ10+CJ11+CJ12+CJ14+CJ15+CJ16</f>
        <v>0</v>
      </c>
      <c r="CK17" s="122" t="n">
        <f aca="false">CK8+CK9+CK10+CK11+CK12+CK14+CK15+CK16</f>
        <v>0</v>
      </c>
      <c r="CL17" s="122" t="n">
        <f aca="false">CL8+CL9+CL10+CL11+CL12+CL14+CL15+CL16</f>
        <v>0</v>
      </c>
      <c r="CM17" s="122" t="n">
        <f aca="false">CM8+CM9+CM10+CM11+CM12+CM14+CM15+CM16</f>
        <v>0</v>
      </c>
      <c r="CN17" s="122" t="n">
        <f aca="false">CN8+CN9+CN10+CN11+CN12+CN14+CN15+CN16</f>
        <v>0</v>
      </c>
      <c r="CO17" s="122" t="n">
        <f aca="false">CO8+CO9+CO10+CO11+CO12+CO14+CO15+CO16</f>
        <v>0</v>
      </c>
      <c r="CP17" s="122" t="n">
        <f aca="false">CP8+CP9+CP10+CP11+CP12+CP14+CP15+CP16</f>
        <v>0</v>
      </c>
      <c r="CQ17" s="122" t="n">
        <f aca="false">CQ8+CQ9+CQ10+CQ11+CQ12+CQ14+CQ15+CQ16</f>
        <v>0</v>
      </c>
      <c r="CR17" s="122" t="n">
        <f aca="false">CR8+CR9+CR10+CR11+CR12+CR14+CR15+CR16</f>
        <v>0</v>
      </c>
      <c r="CS17" s="122" t="n">
        <f aca="false">CS8+CS9+CS10+CS11+CS12+CS14+CS15+CS16</f>
        <v>0</v>
      </c>
      <c r="CT17" s="122" t="n">
        <f aca="false">CT8+CT9+CT10+CT11+CT12+CT14+CT15+CT16</f>
        <v>0</v>
      </c>
    </row>
    <row r="18" customFormat="false" ht="15" hidden="false" customHeight="true" outlineLevel="0" collapsed="false">
      <c r="A18" s="120" t="s">
        <v>58</v>
      </c>
      <c r="C18" s="123" t="n">
        <f aca="false">IFERROR(C17/C13,0)</f>
        <v>0.150473411652305</v>
      </c>
      <c r="D18" s="123" t="n">
        <f aca="false">IFERROR(D17/D13,0)</f>
        <v>-0.0168735833579273</v>
      </c>
      <c r="E18" s="123" t="n">
        <f aca="false">IFERROR(E17/E13,0)</f>
        <v>0.222356457869786</v>
      </c>
      <c r="F18" s="123" t="n">
        <f aca="false">IFERROR(F17/F13,0)</f>
        <v>0.121157878546931</v>
      </c>
      <c r="G18" s="123" t="n">
        <f aca="false">IFERROR(G17/G13,0)</f>
        <v>0.105418977135063</v>
      </c>
      <c r="H18" s="123" t="n">
        <f aca="false">IFERROR(H17/H13,0)</f>
        <v>0.1025790393097</v>
      </c>
      <c r="I18" s="123" t="n">
        <f aca="false">IFERROR(I17/I13,0)</f>
        <v>0</v>
      </c>
      <c r="J18" s="123" t="n">
        <f aca="false">IFERROR(J17/J13,0)</f>
        <v>0</v>
      </c>
      <c r="K18" s="123" t="n">
        <f aca="false">IFERROR(K17/K13,0)</f>
        <v>0</v>
      </c>
      <c r="L18" s="123" t="n">
        <f aca="false">IFERROR(L17/L13,0)</f>
        <v>0</v>
      </c>
      <c r="M18" s="123" t="n">
        <f aca="false">IFERROR(M17/M13,0)</f>
        <v>0</v>
      </c>
      <c r="N18" s="123" t="n">
        <f aca="false">IFERROR(N17/N13,0)</f>
        <v>0</v>
      </c>
      <c r="O18" s="123" t="n">
        <f aca="false">IFERROR(O17/O13,0)</f>
        <v>0</v>
      </c>
      <c r="P18" s="123" t="n">
        <f aca="false">IFERROR(P17/P13,0)</f>
        <v>0</v>
      </c>
      <c r="Q18" s="123" t="n">
        <f aca="false">IFERROR(Q17/Q13,0)</f>
        <v>0</v>
      </c>
      <c r="R18" s="123" t="n">
        <f aca="false">IFERROR(R17/R13,0)</f>
        <v>0</v>
      </c>
      <c r="S18" s="123" t="n">
        <f aca="false">IFERROR(S17/S13,0)</f>
        <v>0</v>
      </c>
      <c r="T18" s="123" t="n">
        <f aca="false">IFERROR(T17/T13,0)</f>
        <v>0</v>
      </c>
      <c r="U18" s="123" t="n">
        <f aca="false">IFERROR(U17/U13,0)</f>
        <v>0</v>
      </c>
      <c r="V18" s="123" t="n">
        <f aca="false">IFERROR(V17/V13,0)</f>
        <v>0</v>
      </c>
      <c r="W18" s="123" t="n">
        <f aca="false">IFERROR(W17/W13,0)</f>
        <v>0</v>
      </c>
      <c r="X18" s="123" t="n">
        <f aca="false">IFERROR(X17/X13,0)</f>
        <v>0</v>
      </c>
      <c r="Y18" s="123" t="n">
        <f aca="false">IFERROR(Y17/Y13,0)</f>
        <v>0</v>
      </c>
      <c r="Z18" s="123" t="n">
        <f aca="false">IFERROR(Z17/Z13,0)</f>
        <v>0</v>
      </c>
      <c r="AA18" s="123" t="n">
        <f aca="false">IFERROR(AA17/AA13,0)</f>
        <v>0</v>
      </c>
      <c r="AB18" s="123" t="n">
        <f aca="false">IFERROR(AB17/AB13,0)</f>
        <v>0</v>
      </c>
      <c r="AC18" s="123" t="n">
        <f aca="false">IFERROR(AC17/AC13,0)</f>
        <v>0</v>
      </c>
      <c r="AD18" s="123" t="n">
        <f aca="false">IFERROR(AD17/AD13,0)</f>
        <v>0</v>
      </c>
      <c r="AE18" s="123" t="n">
        <f aca="false">IFERROR(AE17/AE13,0)</f>
        <v>0</v>
      </c>
      <c r="AF18" s="123" t="n">
        <f aca="false">IFERROR(AF17/AF13,0)</f>
        <v>0</v>
      </c>
      <c r="AG18" s="123" t="n">
        <f aca="false">IFERROR(AG17/AG13,0)</f>
        <v>0</v>
      </c>
      <c r="AH18" s="123" t="n">
        <f aca="false">IFERROR(AH17/AH13,0)</f>
        <v>0</v>
      </c>
      <c r="AI18" s="123" t="n">
        <f aca="false">IFERROR(AI17/AI13,0)</f>
        <v>0</v>
      </c>
      <c r="AJ18" s="123" t="n">
        <f aca="false">IFERROR(AJ17/AJ13,0)</f>
        <v>0</v>
      </c>
      <c r="AK18" s="123" t="n">
        <f aca="false">IFERROR(AK17/AK13,0)</f>
        <v>0</v>
      </c>
      <c r="AL18" s="123" t="n">
        <f aca="false">IFERROR(AL17/AL13,0)</f>
        <v>0</v>
      </c>
      <c r="AM18" s="123" t="n">
        <f aca="false">IFERROR(AM17/AM13,0)</f>
        <v>0</v>
      </c>
      <c r="AN18" s="123" t="n">
        <f aca="false">IFERROR(AN17/AN13,0)</f>
        <v>0</v>
      </c>
      <c r="AO18" s="123" t="n">
        <f aca="false">IFERROR(AO17/AO13,0)</f>
        <v>0</v>
      </c>
      <c r="AP18" s="123" t="n">
        <f aca="false">IFERROR(AP17/AP13,0)</f>
        <v>0</v>
      </c>
      <c r="AQ18" s="123" t="n">
        <f aca="false">IFERROR(AQ17/AQ13,0)</f>
        <v>0</v>
      </c>
      <c r="AR18" s="123" t="n">
        <f aca="false">IFERROR(AR17/AR13,0)</f>
        <v>0</v>
      </c>
      <c r="AS18" s="123" t="n">
        <f aca="false">IFERROR(AS17/AS13,0)</f>
        <v>0</v>
      </c>
      <c r="AT18" s="123" t="n">
        <f aca="false">IFERROR(AT17/AT13,0)</f>
        <v>0</v>
      </c>
      <c r="AU18" s="123" t="n">
        <f aca="false">IFERROR(AU17/AU13,0)</f>
        <v>0</v>
      </c>
      <c r="AV18" s="123" t="n">
        <f aca="false">IFERROR(AV17/AV13,0)</f>
        <v>0</v>
      </c>
      <c r="AW18" s="123" t="n">
        <f aca="false">IFERROR(AW17/AW13,0)</f>
        <v>0</v>
      </c>
      <c r="AX18" s="123" t="n">
        <f aca="false">IFERROR(AX17/AX13,0)</f>
        <v>0</v>
      </c>
      <c r="AY18" s="123" t="n">
        <f aca="false">IFERROR(AY17/AY13,0)</f>
        <v>0</v>
      </c>
      <c r="AZ18" s="123" t="n">
        <f aca="false">IFERROR(AZ17/AZ13,0)</f>
        <v>0</v>
      </c>
      <c r="BA18" s="123" t="n">
        <f aca="false">IFERROR(BA17/BA13,0)</f>
        <v>0</v>
      </c>
      <c r="BB18" s="123" t="n">
        <f aca="false">IFERROR(BB17/BB13,0)</f>
        <v>0</v>
      </c>
      <c r="BC18" s="123" t="n">
        <f aca="false">IFERROR(BC17/BC13,0)</f>
        <v>0</v>
      </c>
      <c r="BD18" s="123" t="n">
        <f aca="false">IFERROR(BD17/BD13,0)</f>
        <v>0</v>
      </c>
      <c r="BE18" s="123" t="n">
        <f aca="false">IFERROR(BE17/BE13,0)</f>
        <v>0</v>
      </c>
      <c r="BF18" s="123" t="n">
        <f aca="false">IFERROR(BF17/BF13,0)</f>
        <v>0</v>
      </c>
      <c r="BG18" s="123" t="n">
        <f aca="false">IFERROR(BG17/BG13,0)</f>
        <v>0</v>
      </c>
      <c r="BH18" s="123" t="n">
        <f aca="false">IFERROR(BH17/BH13,0)</f>
        <v>0</v>
      </c>
      <c r="BI18" s="123" t="n">
        <f aca="false">IFERROR(BI17/BI13,0)</f>
        <v>0</v>
      </c>
      <c r="BJ18" s="123" t="n">
        <f aca="false">IFERROR(BJ17/BJ13,0)</f>
        <v>0</v>
      </c>
      <c r="BK18" s="123" t="n">
        <f aca="false">IFERROR(BK17/BK13,0)</f>
        <v>0</v>
      </c>
      <c r="BL18" s="123" t="n">
        <f aca="false">IFERROR(BL17/BL13,0)</f>
        <v>0</v>
      </c>
      <c r="BM18" s="123" t="n">
        <f aca="false">IFERROR(BM17/BM13,0)</f>
        <v>0</v>
      </c>
      <c r="BN18" s="123" t="n">
        <f aca="false">IFERROR(BN17/BN13,0)</f>
        <v>0</v>
      </c>
      <c r="BO18" s="123" t="n">
        <f aca="false">IFERROR(BO17/BO13,0)</f>
        <v>0</v>
      </c>
      <c r="BP18" s="123" t="n">
        <f aca="false">IFERROR(BP17/BP13,0)</f>
        <v>0</v>
      </c>
      <c r="BQ18" s="123" t="n">
        <f aca="false">IFERROR(BQ17/BQ13,0)</f>
        <v>0</v>
      </c>
      <c r="BR18" s="123" t="n">
        <f aca="false">IFERROR(BR17/BR13,0)</f>
        <v>0</v>
      </c>
      <c r="BS18" s="123" t="n">
        <f aca="false">IFERROR(BS17/BS13,0)</f>
        <v>0</v>
      </c>
      <c r="BT18" s="123" t="n">
        <f aca="false">IFERROR(BT17/BT13,0)</f>
        <v>0</v>
      </c>
      <c r="BU18" s="123" t="n">
        <f aca="false">IFERROR(BU17/BU13,0)</f>
        <v>0</v>
      </c>
      <c r="BV18" s="123" t="n">
        <f aca="false">IFERROR(BV17/BV13,0)</f>
        <v>0</v>
      </c>
      <c r="BW18" s="123" t="n">
        <f aca="false">IFERROR(BW17/BW13,0)</f>
        <v>0</v>
      </c>
      <c r="BX18" s="123" t="n">
        <f aca="false">IFERROR(BX17/BX13,0)</f>
        <v>0</v>
      </c>
      <c r="BY18" s="123" t="n">
        <f aca="false">IFERROR(BY17/BY13,0)</f>
        <v>0</v>
      </c>
      <c r="BZ18" s="123" t="n">
        <f aca="false">IFERROR(BZ17/BZ13,0)</f>
        <v>0</v>
      </c>
      <c r="CA18" s="123" t="n">
        <f aca="false">IFERROR(CA17/CA13,0)</f>
        <v>0</v>
      </c>
      <c r="CB18" s="123" t="n">
        <f aca="false">IFERROR(CB17/CB13,0)</f>
        <v>0</v>
      </c>
      <c r="CC18" s="123" t="n">
        <f aca="false">IFERROR(CC17/CC13,0)</f>
        <v>0</v>
      </c>
      <c r="CD18" s="123" t="n">
        <f aca="false">IFERROR(CD17/CD13,0)</f>
        <v>0</v>
      </c>
      <c r="CE18" s="123" t="n">
        <f aca="false">IFERROR(CE17/CE13,0)</f>
        <v>0</v>
      </c>
      <c r="CF18" s="123" t="n">
        <f aca="false">IFERROR(CF17/CF13,0)</f>
        <v>0</v>
      </c>
      <c r="CG18" s="123" t="n">
        <f aca="false">IFERROR(CG17/CG13,0)</f>
        <v>0</v>
      </c>
      <c r="CH18" s="123" t="n">
        <f aca="false">IFERROR(CH17/CH13,0)</f>
        <v>0</v>
      </c>
      <c r="CI18" s="123" t="n">
        <f aca="false">IFERROR(CI17/CI13,0)</f>
        <v>0</v>
      </c>
      <c r="CJ18" s="123" t="n">
        <f aca="false">IFERROR(CJ17/CJ13,0)</f>
        <v>0</v>
      </c>
      <c r="CK18" s="123" t="n">
        <f aca="false">IFERROR(CK17/CK13,0)</f>
        <v>0</v>
      </c>
      <c r="CL18" s="123" t="n">
        <f aca="false">IFERROR(CL17/CL13,0)</f>
        <v>0</v>
      </c>
      <c r="CM18" s="123" t="n">
        <f aca="false">IFERROR(CM17/CM13,0)</f>
        <v>0</v>
      </c>
      <c r="CN18" s="123" t="n">
        <f aca="false">IFERROR(CN17/CN13,0)</f>
        <v>0</v>
      </c>
      <c r="CO18" s="123" t="n">
        <f aca="false">IFERROR(CO17/CO13,0)</f>
        <v>0</v>
      </c>
      <c r="CP18" s="123" t="n">
        <f aca="false">IFERROR(CP17/CP13,0)</f>
        <v>0</v>
      </c>
      <c r="CQ18" s="123" t="n">
        <f aca="false">IFERROR(CQ17/CQ13,0)</f>
        <v>0</v>
      </c>
      <c r="CR18" s="123" t="n">
        <f aca="false">IFERROR(CR17/CR13,0)</f>
        <v>0</v>
      </c>
      <c r="CS18" s="123" t="n">
        <f aca="false">IFERROR(CS17/CS13,0)</f>
        <v>0</v>
      </c>
      <c r="CT18" s="123" t="n">
        <f aca="false">IFERROR(CT17/CT13,0)</f>
        <v>0</v>
      </c>
    </row>
    <row r="19" customFormat="false" ht="15" hidden="false" customHeight="true" outlineLevel="0" collapsed="false">
      <c r="A19" s="118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</row>
    <row r="20" customFormat="false" ht="15" hidden="false" customHeight="true" outlineLevel="0" collapsed="false">
      <c r="A20" s="118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</row>
    <row r="21" customFormat="false" ht="15" hidden="false" customHeight="true" outlineLevel="0" collapsed="false">
      <c r="A21" s="118" t="s">
        <v>60</v>
      </c>
      <c r="C21" s="119" t="n">
        <v>-144550.9</v>
      </c>
      <c r="D21" s="119" t="n">
        <v>-150672.84</v>
      </c>
      <c r="E21" s="119" t="n">
        <v>-178867.86</v>
      </c>
      <c r="F21" s="119" t="n">
        <v>-187693.63</v>
      </c>
      <c r="G21" s="119" t="n">
        <v>-295949.1</v>
      </c>
      <c r="H21" s="119" t="n">
        <v>-198645.92</v>
      </c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</row>
    <row r="22" customFormat="false" ht="15" hidden="false" customHeight="true" outlineLevel="0" collapsed="false">
      <c r="A22" s="118" t="s">
        <v>61</v>
      </c>
      <c r="C22" s="119" t="n">
        <v>-7450.37</v>
      </c>
      <c r="D22" s="119" t="n">
        <v>-10567.2</v>
      </c>
      <c r="E22" s="119" t="n">
        <v>-17033.3</v>
      </c>
      <c r="F22" s="119" t="n">
        <v>-14599.57</v>
      </c>
      <c r="G22" s="119" t="n">
        <v>-23689.02</v>
      </c>
      <c r="H22" s="119" t="n">
        <v>-14793.67</v>
      </c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</row>
    <row r="23" customFormat="false" ht="15" hidden="false" customHeight="true" outlineLevel="0" collapsed="false">
      <c r="A23" s="118" t="s">
        <v>62</v>
      </c>
      <c r="C23" s="119"/>
      <c r="D23" s="119"/>
      <c r="E23" s="119"/>
      <c r="F23" s="119" t="n">
        <v>0</v>
      </c>
      <c r="G23" s="119" t="n"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</row>
    <row r="24" customFormat="false" ht="15" hidden="false" customHeight="true" outlineLevel="0" collapsed="false">
      <c r="A24" s="118" t="s">
        <v>63</v>
      </c>
      <c r="C24" s="119" t="n">
        <v>-9482.97</v>
      </c>
      <c r="D24" s="119" t="n">
        <v>-10343.29</v>
      </c>
      <c r="E24" s="119" t="n">
        <v>-3729.48</v>
      </c>
      <c r="F24" s="119" t="n">
        <v>-3206.79</v>
      </c>
      <c r="G24" s="119" t="n">
        <v>10942.55</v>
      </c>
      <c r="H24" s="119" t="n">
        <v>-8982.91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</row>
    <row r="25" customFormat="false" ht="15" hidden="false" customHeight="true" outlineLevel="0" collapsed="false">
      <c r="A25" s="118" t="s">
        <v>64</v>
      </c>
      <c r="C25" s="119" t="n">
        <v>-2542.47</v>
      </c>
      <c r="D25" s="119" t="n">
        <v>-1618.75</v>
      </c>
      <c r="E25" s="119" t="n">
        <v>3406.77</v>
      </c>
      <c r="F25" s="119" t="n">
        <v>2575.42</v>
      </c>
      <c r="G25" s="119" t="n">
        <v>-1896.11</v>
      </c>
      <c r="H25" s="119" t="n">
        <v>-2888.37</v>
      </c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</row>
    <row r="26" customFormat="false" ht="15" hidden="false" customHeight="true" outlineLevel="0" collapsed="false">
      <c r="A26" s="118" t="s">
        <v>65</v>
      </c>
      <c r="C26" s="119" t="n">
        <v>-195</v>
      </c>
      <c r="D26" s="119" t="n">
        <v>-200</v>
      </c>
      <c r="E26" s="119" t="n">
        <v>0</v>
      </c>
      <c r="F26" s="119" t="n">
        <v>0</v>
      </c>
      <c r="G26" s="119" t="n">
        <v>0</v>
      </c>
      <c r="H26" s="119" t="n">
        <v>0</v>
      </c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</row>
    <row r="27" customFormat="false" ht="15" hidden="false" customHeight="true" outlineLevel="0" collapsed="false">
      <c r="A27" s="118" t="s">
        <v>66</v>
      </c>
      <c r="C27" s="119" t="n">
        <v>-33002.28</v>
      </c>
      <c r="D27" s="119" t="n">
        <v>-29166.66</v>
      </c>
      <c r="E27" s="119" t="n">
        <v>-41666.66</v>
      </c>
      <c r="F27" s="119" t="n">
        <v>-29166.66</v>
      </c>
      <c r="G27" s="119" t="n">
        <v>-29166.66</v>
      </c>
      <c r="H27" s="119" t="n">
        <v>-29166.66</v>
      </c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</row>
    <row r="28" customFormat="false" ht="15" hidden="false" customHeight="true" outlineLevel="0" collapsed="false">
      <c r="A28" s="118" t="s">
        <v>67</v>
      </c>
      <c r="C28" s="119" t="n">
        <v>0</v>
      </c>
      <c r="D28" s="119" t="n">
        <v>0</v>
      </c>
      <c r="E28" s="119" t="n">
        <v>0</v>
      </c>
      <c r="F28" s="119" t="n">
        <v>251304.48</v>
      </c>
      <c r="G28" s="119" t="n">
        <v>81510</v>
      </c>
      <c r="H28" s="119" t="n">
        <v>0</v>
      </c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</row>
    <row r="29" customFormat="false" ht="15" hidden="false" customHeight="true" outlineLevel="0" collapsed="false">
      <c r="A29" s="118" t="s">
        <v>68</v>
      </c>
      <c r="C29" s="119" t="n">
        <v>-10400</v>
      </c>
      <c r="D29" s="119" t="n">
        <v>-10400</v>
      </c>
      <c r="E29" s="119" t="n">
        <v>-400</v>
      </c>
      <c r="F29" s="119" t="n">
        <v>-10400</v>
      </c>
      <c r="G29" s="119" t="n">
        <v>-20400</v>
      </c>
      <c r="H29" s="119" t="n">
        <v>-20405</v>
      </c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</row>
    <row r="30" customFormat="false" ht="15" hidden="false" customHeight="true" outlineLevel="0" collapsed="false">
      <c r="A30" s="118" t="s">
        <v>69</v>
      </c>
      <c r="C30" s="119" t="n">
        <v>-1988</v>
      </c>
      <c r="D30" s="119" t="n">
        <v>-955.32</v>
      </c>
      <c r="E30" s="119" t="n">
        <v>-9130.61</v>
      </c>
      <c r="F30" s="119" t="n">
        <v>-1028.89</v>
      </c>
      <c r="G30" s="119" t="n">
        <v>-7005.14</v>
      </c>
      <c r="H30" s="119" t="n">
        <v>-4121.06</v>
      </c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</row>
    <row r="31" customFormat="false" ht="15" hidden="false" customHeight="true" outlineLevel="0" collapsed="false">
      <c r="A31" s="118" t="s">
        <v>70</v>
      </c>
      <c r="C31" s="119" t="n">
        <v>0</v>
      </c>
      <c r="D31" s="119" t="n">
        <v>0</v>
      </c>
      <c r="E31" s="119" t="n">
        <v>-1077.38</v>
      </c>
      <c r="F31" s="119" t="n">
        <v>-211.28</v>
      </c>
      <c r="G31" s="119" t="n">
        <v>-1254.17</v>
      </c>
      <c r="H31" s="119" t="n">
        <v>0</v>
      </c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</row>
    <row r="32" customFormat="false" ht="15" hidden="false" customHeight="true" outlineLevel="0" collapsed="false">
      <c r="A32" s="120" t="s">
        <v>71</v>
      </c>
      <c r="C32" s="119" t="n">
        <v>-79</v>
      </c>
      <c r="D32" s="119" t="n">
        <v>0</v>
      </c>
      <c r="E32" s="119" t="n">
        <v>0</v>
      </c>
      <c r="F32" s="119" t="n">
        <v>0</v>
      </c>
      <c r="G32" s="119" t="n">
        <v>0</v>
      </c>
      <c r="H32" s="119" t="n">
        <v>0</v>
      </c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</row>
    <row r="33" customFormat="false" ht="15" hidden="false" customHeight="true" outlineLevel="0" collapsed="false">
      <c r="A33" s="118" t="s">
        <v>72</v>
      </c>
      <c r="C33" s="119" t="n">
        <v>-3405.64</v>
      </c>
      <c r="D33" s="119" t="n">
        <v>-5015.38</v>
      </c>
      <c r="E33" s="119" t="n">
        <v>-7481.39</v>
      </c>
      <c r="F33" s="119" t="n">
        <v>-5111.12</v>
      </c>
      <c r="G33" s="119" t="n">
        <v>-4038.48</v>
      </c>
      <c r="H33" s="119" t="n">
        <v>-6114.98</v>
      </c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</row>
    <row r="34" customFormat="false" ht="15" hidden="false" customHeight="true" outlineLevel="0" collapsed="false">
      <c r="A34" s="118" t="s">
        <v>73</v>
      </c>
      <c r="C34" s="119" t="n">
        <v>0</v>
      </c>
      <c r="D34" s="119" t="n">
        <v>-1766.48</v>
      </c>
      <c r="E34" s="119" t="n">
        <v>-441.62</v>
      </c>
      <c r="F34" s="119" t="n">
        <v>-441.62</v>
      </c>
      <c r="G34" s="119" t="n">
        <v>-578.62</v>
      </c>
      <c r="H34" s="119" t="n">
        <v>-491.62</v>
      </c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</row>
    <row r="35" customFormat="false" ht="15" hidden="false" customHeight="true" outlineLevel="0" collapsed="false">
      <c r="A35" s="118" t="s">
        <v>74</v>
      </c>
      <c r="C35" s="119" t="n">
        <v>-681.77</v>
      </c>
      <c r="D35" s="119" t="n">
        <v>-600.14</v>
      </c>
      <c r="E35" s="119" t="n">
        <v>-2121.95</v>
      </c>
      <c r="F35" s="119" t="n">
        <v>-840.49</v>
      </c>
      <c r="G35" s="119" t="n">
        <v>-847.85</v>
      </c>
      <c r="H35" s="119" t="n">
        <v>-486.63</v>
      </c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</row>
    <row r="36" customFormat="false" ht="15" hidden="false" customHeight="true" outlineLevel="0" collapsed="false">
      <c r="A36" s="118" t="s">
        <v>75</v>
      </c>
      <c r="C36" s="119" t="n">
        <v>-2187.5</v>
      </c>
      <c r="D36" s="119" t="n">
        <v>0</v>
      </c>
      <c r="E36" s="119" t="n">
        <v>-1625</v>
      </c>
      <c r="F36" s="119" t="n">
        <v>0</v>
      </c>
      <c r="G36" s="119" t="n">
        <v>0</v>
      </c>
      <c r="H36" s="119" t="n">
        <v>0</v>
      </c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</row>
    <row r="37" customFormat="false" ht="15" hidden="false" customHeight="true" outlineLevel="0" collapsed="false">
      <c r="A37" s="118" t="s">
        <v>76</v>
      </c>
      <c r="C37" s="119" t="n">
        <v>0</v>
      </c>
      <c r="D37" s="119" t="n">
        <v>-12349</v>
      </c>
      <c r="E37" s="119" t="n">
        <v>-5400</v>
      </c>
      <c r="F37" s="119" t="n">
        <v>-4377</v>
      </c>
      <c r="G37" s="119" t="n">
        <v>-11750</v>
      </c>
      <c r="H37" s="119" t="n">
        <v>0</v>
      </c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</row>
    <row r="38" customFormat="false" ht="15" hidden="false" customHeight="true" outlineLevel="0" collapsed="false">
      <c r="A38" s="118" t="s">
        <v>77</v>
      </c>
      <c r="C38" s="119" t="n">
        <v>0</v>
      </c>
      <c r="D38" s="119" t="n">
        <v>0</v>
      </c>
      <c r="E38" s="119" t="n">
        <v>-750.4</v>
      </c>
      <c r="F38" s="119" t="n">
        <v>0</v>
      </c>
      <c r="G38" s="119" t="n">
        <v>0</v>
      </c>
      <c r="H38" s="119" t="n">
        <v>0</v>
      </c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</row>
    <row r="39" customFormat="false" ht="15" hidden="false" customHeight="true" outlineLevel="0" collapsed="false">
      <c r="A39" s="118" t="s">
        <v>78</v>
      </c>
      <c r="C39" s="119" t="n">
        <v>-1474.63</v>
      </c>
      <c r="D39" s="119" t="n">
        <v>-1449.33</v>
      </c>
      <c r="E39" s="119" t="n">
        <v>-2328.76</v>
      </c>
      <c r="F39" s="119" t="n">
        <v>-2249.56</v>
      </c>
      <c r="G39" s="119" t="n">
        <v>-2759.48</v>
      </c>
      <c r="H39" s="119" t="n">
        <v>-2749.12</v>
      </c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</row>
    <row r="40" customFormat="false" ht="15" hidden="false" customHeight="true" outlineLevel="0" collapsed="false">
      <c r="A40" s="118" t="s">
        <v>79</v>
      </c>
      <c r="C40" s="119" t="n">
        <v>-1417.61</v>
      </c>
      <c r="D40" s="119" t="n">
        <v>-2730.36</v>
      </c>
      <c r="E40" s="119" t="n">
        <v>-1818.05</v>
      </c>
      <c r="F40" s="119" t="n">
        <v>-3307.74</v>
      </c>
      <c r="G40" s="119" t="n">
        <v>-1257.74</v>
      </c>
      <c r="H40" s="119" t="n">
        <v>-3372.74</v>
      </c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</row>
    <row r="41" customFormat="false" ht="15" hidden="false" customHeight="true" outlineLevel="0" collapsed="false">
      <c r="A41" s="118" t="s">
        <v>80</v>
      </c>
      <c r="C41" s="119" t="n">
        <v>0</v>
      </c>
      <c r="D41" s="119" t="n">
        <v>0</v>
      </c>
      <c r="E41" s="119" t="n">
        <v>-41990</v>
      </c>
      <c r="F41" s="119" t="n">
        <v>-42500</v>
      </c>
      <c r="G41" s="119" t="n">
        <v>-21000</v>
      </c>
      <c r="H41" s="119" t="n">
        <v>0</v>
      </c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</row>
    <row r="42" customFormat="false" ht="15" hidden="false" customHeight="true" outlineLevel="0" collapsed="false">
      <c r="A42" s="118" t="s">
        <v>81</v>
      </c>
      <c r="C42" s="119" t="n">
        <v>-165</v>
      </c>
      <c r="D42" s="119" t="n">
        <v>0</v>
      </c>
      <c r="E42" s="119" t="n">
        <v>0</v>
      </c>
      <c r="F42" s="119" t="n">
        <v>-165</v>
      </c>
      <c r="G42" s="119" t="n">
        <v>0</v>
      </c>
      <c r="H42" s="119" t="n">
        <v>-165</v>
      </c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19"/>
      <c r="CJ42" s="119"/>
      <c r="CK42" s="119"/>
      <c r="CL42" s="119"/>
      <c r="CM42" s="119"/>
      <c r="CN42" s="119"/>
      <c r="CO42" s="119"/>
      <c r="CP42" s="119"/>
      <c r="CQ42" s="119"/>
      <c r="CR42" s="119"/>
      <c r="CS42" s="119"/>
      <c r="CT42" s="119"/>
    </row>
    <row r="43" customFormat="false" ht="15" hidden="false" customHeight="true" outlineLevel="0" collapsed="false">
      <c r="A43" s="118" t="s">
        <v>82</v>
      </c>
      <c r="C43" s="119" t="n">
        <v>0</v>
      </c>
      <c r="D43" s="119" t="n">
        <v>0</v>
      </c>
      <c r="E43" s="119" t="n">
        <v>0</v>
      </c>
      <c r="F43" s="119" t="n">
        <v>-1036.49</v>
      </c>
      <c r="G43" s="119" t="n">
        <v>0</v>
      </c>
      <c r="H43" s="119" t="n">
        <v>-4308.58</v>
      </c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</row>
    <row r="44" customFormat="false" ht="15" hidden="false" customHeight="true" outlineLevel="0" collapsed="false">
      <c r="A44" s="118" t="s">
        <v>83</v>
      </c>
      <c r="C44" s="119" t="n">
        <v>-550</v>
      </c>
      <c r="D44" s="119" t="n">
        <v>-550</v>
      </c>
      <c r="E44" s="119" t="n">
        <v>-550</v>
      </c>
      <c r="F44" s="119" t="n">
        <v>-600</v>
      </c>
      <c r="G44" s="119" t="n">
        <v>-650</v>
      </c>
      <c r="H44" s="119" t="n">
        <v>-575</v>
      </c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</row>
    <row r="45" customFormat="false" ht="15" hidden="false" customHeight="true" outlineLevel="0" collapsed="false">
      <c r="A45" s="120" t="s">
        <v>84</v>
      </c>
      <c r="C45" s="124" t="n">
        <v>-19223.75</v>
      </c>
      <c r="D45" s="124" t="n">
        <v>-13381.97</v>
      </c>
      <c r="E45" s="124" t="n">
        <v>-20308.69</v>
      </c>
      <c r="F45" s="124" t="n">
        <v>-16948.76</v>
      </c>
      <c r="G45" s="124" t="n">
        <v>-29716.98</v>
      </c>
      <c r="H45" s="124" t="n">
        <v>-11335.64</v>
      </c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</row>
    <row r="46" customFormat="false" ht="15" hidden="false" customHeight="true" outlineLevel="0" collapsed="false">
      <c r="A46" s="120" t="s">
        <v>85</v>
      </c>
      <c r="C46" s="124" t="n">
        <v>-1909.98</v>
      </c>
      <c r="D46" s="124" t="n">
        <v>-190.1</v>
      </c>
      <c r="E46" s="124" t="n">
        <v>-2166.92</v>
      </c>
      <c r="F46" s="124" t="n">
        <v>-1816.95</v>
      </c>
      <c r="G46" s="124" t="n">
        <v>-1452.9</v>
      </c>
      <c r="H46" s="124" t="n">
        <v>-13918.31</v>
      </c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</row>
    <row r="47" customFormat="false" ht="15" hidden="false" customHeight="true" outlineLevel="0" collapsed="false">
      <c r="A47" s="120" t="s">
        <v>86</v>
      </c>
      <c r="C47" s="124" t="n">
        <v>-320</v>
      </c>
      <c r="D47" s="124" t="n">
        <v>-160</v>
      </c>
      <c r="E47" s="124" t="n">
        <v>0</v>
      </c>
      <c r="F47" s="124" t="n">
        <v>0</v>
      </c>
      <c r="G47" s="124" t="n">
        <v>-320</v>
      </c>
      <c r="H47" s="124" t="n">
        <v>-320</v>
      </c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</row>
    <row r="48" customFormat="false" ht="15" hidden="false" customHeight="true" outlineLevel="0" collapsed="false">
      <c r="A48" s="120" t="s">
        <v>87</v>
      </c>
      <c r="C48" s="124" t="n">
        <v>-17660.72</v>
      </c>
      <c r="D48" s="124" t="n">
        <v>-5799</v>
      </c>
      <c r="E48" s="124" t="n">
        <v>-3432.18</v>
      </c>
      <c r="F48" s="124" t="n">
        <v>0</v>
      </c>
      <c r="G48" s="124" t="n">
        <v>-73874.29</v>
      </c>
      <c r="H48" s="124" t="n">
        <v>0</v>
      </c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</row>
    <row r="49" customFormat="false" ht="15" hidden="false" customHeight="true" outlineLevel="0" collapsed="false">
      <c r="A49" s="120" t="s">
        <v>88</v>
      </c>
      <c r="C49" s="119" t="n">
        <v>-1913.91</v>
      </c>
      <c r="D49" s="119" t="n">
        <v>-2254.72</v>
      </c>
      <c r="E49" s="119" t="n">
        <v>-1913.91</v>
      </c>
      <c r="F49" s="119" t="n">
        <v>-1609.91</v>
      </c>
      <c r="G49" s="119" t="n">
        <v>-2760.86</v>
      </c>
      <c r="H49" s="119" t="n">
        <v>0</v>
      </c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119"/>
      <c r="CS49" s="119"/>
      <c r="CT49" s="119"/>
    </row>
    <row r="50" customFormat="false" ht="15" hidden="false" customHeight="true" outlineLevel="0" collapsed="false">
      <c r="A50" s="120" t="s">
        <v>89</v>
      </c>
      <c r="C50" s="119" t="n">
        <v>0</v>
      </c>
      <c r="D50" s="119" t="n">
        <v>-75</v>
      </c>
      <c r="E50" s="119" t="n">
        <v>-5</v>
      </c>
      <c r="F50" s="119" t="n">
        <v>0</v>
      </c>
      <c r="G50" s="119" t="n">
        <v>0</v>
      </c>
      <c r="H50" s="119" t="n">
        <v>0</v>
      </c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119"/>
      <c r="CQ50" s="119"/>
      <c r="CR50" s="119"/>
      <c r="CS50" s="119"/>
      <c r="CT50" s="119"/>
    </row>
    <row r="51" customFormat="false" ht="15" hidden="false" customHeight="true" outlineLevel="0" collapsed="false">
      <c r="A51" s="120" t="s">
        <v>90</v>
      </c>
      <c r="C51" s="119" t="n">
        <v>0</v>
      </c>
      <c r="D51" s="119" t="n">
        <v>-63</v>
      </c>
      <c r="E51" s="119" t="n">
        <v>0</v>
      </c>
      <c r="F51" s="119" t="n">
        <v>0</v>
      </c>
      <c r="G51" s="119" t="n">
        <v>0</v>
      </c>
      <c r="H51" s="119" t="n">
        <v>0</v>
      </c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19"/>
      <c r="CO51" s="119"/>
      <c r="CP51" s="119"/>
      <c r="CQ51" s="119"/>
      <c r="CR51" s="119"/>
      <c r="CS51" s="119"/>
      <c r="CT51" s="119"/>
    </row>
    <row r="52" customFormat="false" ht="18" hidden="false" customHeight="true" outlineLevel="0" collapsed="false">
      <c r="A52" s="81" t="s">
        <v>91</v>
      </c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6"/>
      <c r="BR52" s="126"/>
      <c r="BS52" s="126"/>
      <c r="BT52" s="126"/>
      <c r="BU52" s="126"/>
      <c r="BV52" s="126"/>
      <c r="BW52" s="126"/>
      <c r="BX52" s="126"/>
      <c r="BY52" s="126"/>
      <c r="BZ52" s="126"/>
      <c r="CA52" s="126"/>
      <c r="CB52" s="126"/>
      <c r="CC52" s="126"/>
      <c r="CD52" s="126"/>
      <c r="CE52" s="126"/>
      <c r="CF52" s="126"/>
      <c r="CG52" s="126"/>
      <c r="CH52" s="126"/>
      <c r="CI52" s="126"/>
      <c r="CJ52" s="126"/>
      <c r="CK52" s="126"/>
      <c r="CL52" s="126"/>
      <c r="CM52" s="126"/>
      <c r="CN52" s="126"/>
      <c r="CO52" s="126"/>
      <c r="CP52" s="126"/>
      <c r="CQ52" s="126"/>
      <c r="CR52" s="126"/>
      <c r="CS52" s="126"/>
      <c r="CT52" s="126"/>
    </row>
    <row r="53" customFormat="false" ht="15" hidden="false" customHeight="true" outlineLevel="0" collapsed="false">
      <c r="A53" s="127" t="s">
        <v>92</v>
      </c>
      <c r="C53" s="119" t="n">
        <v>0</v>
      </c>
      <c r="D53" s="119" t="n">
        <v>0</v>
      </c>
      <c r="E53" s="119" t="n">
        <v>-11105.35</v>
      </c>
      <c r="F53" s="119" t="n">
        <v>0</v>
      </c>
      <c r="G53" s="119" t="n">
        <v>0</v>
      </c>
      <c r="H53" s="119" t="n">
        <v>0</v>
      </c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19"/>
      <c r="BQ53" s="119"/>
      <c r="BR53" s="119"/>
      <c r="BS53" s="119"/>
      <c r="BT53" s="119"/>
      <c r="BU53" s="119"/>
      <c r="BV53" s="119"/>
      <c r="BW53" s="119"/>
      <c r="BX53" s="119"/>
      <c r="BY53" s="119"/>
      <c r="BZ53" s="119"/>
      <c r="CA53" s="119"/>
      <c r="CB53" s="119"/>
      <c r="CC53" s="119"/>
      <c r="CD53" s="119"/>
      <c r="CE53" s="119"/>
      <c r="CF53" s="119"/>
      <c r="CG53" s="119"/>
      <c r="CH53" s="119"/>
      <c r="CI53" s="119"/>
      <c r="CJ53" s="119"/>
      <c r="CK53" s="119"/>
      <c r="CL53" s="119"/>
      <c r="CM53" s="119"/>
      <c r="CN53" s="119"/>
      <c r="CO53" s="119"/>
      <c r="CP53" s="119"/>
      <c r="CQ53" s="119"/>
      <c r="CR53" s="119"/>
      <c r="CS53" s="119"/>
      <c r="CT53" s="119"/>
    </row>
    <row r="54" customFormat="false" ht="15" hidden="false" customHeight="true" outlineLevel="0" collapsed="false">
      <c r="A54" s="127" t="s">
        <v>274</v>
      </c>
      <c r="C54" s="119"/>
      <c r="D54" s="119"/>
      <c r="E54" s="119"/>
      <c r="F54" s="119"/>
      <c r="G54" s="119"/>
      <c r="H54" s="119" t="n">
        <v>-612.68</v>
      </c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119"/>
      <c r="CS54" s="119"/>
      <c r="CT54" s="119"/>
    </row>
    <row r="55" customFormat="false" ht="15" hidden="false" customHeight="true" outlineLevel="0" collapsed="false">
      <c r="A55" s="121" t="s">
        <v>93</v>
      </c>
      <c r="C55" s="128" t="n">
        <f aca="false">SUM(C20:C54)</f>
        <v>-260601.5</v>
      </c>
      <c r="D55" s="128" t="n">
        <f aca="false">SUM(D20:D54)</f>
        <v>-260308.54</v>
      </c>
      <c r="E55" s="128" t="n">
        <f aca="false">SUM(E20:E54)</f>
        <v>-351937.74</v>
      </c>
      <c r="F55" s="128" t="n">
        <f aca="false">SUM(F20:F54)</f>
        <v>-73431.56</v>
      </c>
      <c r="G55" s="128" t="n">
        <f aca="false">SUM(G20:G54)</f>
        <v>-437914.85</v>
      </c>
      <c r="H55" s="128" t="n">
        <f aca="false">SUM(H20:H54)</f>
        <v>-323453.89</v>
      </c>
      <c r="I55" s="128" t="n">
        <f aca="false">SUM(I20:I54)</f>
        <v>0</v>
      </c>
      <c r="J55" s="128" t="n">
        <f aca="false">SUM(J20:J54)</f>
        <v>0</v>
      </c>
      <c r="K55" s="128" t="n">
        <f aca="false">SUM(K20:K54)</f>
        <v>0</v>
      </c>
      <c r="L55" s="128" t="n">
        <f aca="false">SUM(L20:L54)</f>
        <v>0</v>
      </c>
      <c r="M55" s="128" t="n">
        <f aca="false">SUM(M20:M54)</f>
        <v>0</v>
      </c>
      <c r="N55" s="128" t="n">
        <f aca="false">SUM(N20:N54)</f>
        <v>0</v>
      </c>
      <c r="O55" s="128" t="n">
        <f aca="false">SUM(O20:O54)</f>
        <v>0</v>
      </c>
      <c r="P55" s="128" t="n">
        <f aca="false">SUM(P20:P54)</f>
        <v>0</v>
      </c>
      <c r="Q55" s="128" t="n">
        <f aca="false">SUM(Q20:Q54)</f>
        <v>0</v>
      </c>
      <c r="R55" s="128" t="n">
        <f aca="false">SUM(R20:R54)</f>
        <v>0</v>
      </c>
      <c r="S55" s="128" t="n">
        <f aca="false">SUM(S20:S54)</f>
        <v>0</v>
      </c>
      <c r="T55" s="128" t="n">
        <f aca="false">SUM(T20:T54)</f>
        <v>0</v>
      </c>
      <c r="U55" s="128" t="n">
        <f aca="false">SUM(U20:U54)</f>
        <v>0</v>
      </c>
      <c r="V55" s="128" t="n">
        <f aca="false">SUM(V20:V54)</f>
        <v>0</v>
      </c>
      <c r="W55" s="128" t="n">
        <f aca="false">SUM(W20:W54)</f>
        <v>0</v>
      </c>
      <c r="X55" s="128" t="n">
        <f aca="false">SUM(X20:X54)</f>
        <v>0</v>
      </c>
      <c r="Y55" s="128" t="n">
        <f aca="false">SUM(Y20:Y54)</f>
        <v>0</v>
      </c>
      <c r="Z55" s="128" t="n">
        <f aca="false">SUM(Z20:Z54)</f>
        <v>0</v>
      </c>
      <c r="AA55" s="128" t="n">
        <f aca="false">SUM(AA20:AA54)</f>
        <v>0</v>
      </c>
      <c r="AB55" s="128" t="n">
        <f aca="false">SUM(AB20:AB54)</f>
        <v>0</v>
      </c>
      <c r="AC55" s="128" t="n">
        <f aca="false">SUM(AC20:AC54)</f>
        <v>0</v>
      </c>
      <c r="AD55" s="128" t="n">
        <f aca="false">SUM(AD20:AD54)</f>
        <v>0</v>
      </c>
      <c r="AE55" s="128" t="n">
        <f aca="false">SUM(AE20:AE54)</f>
        <v>0</v>
      </c>
      <c r="AF55" s="128" t="n">
        <f aca="false">SUM(AF20:AF54)</f>
        <v>0</v>
      </c>
      <c r="AG55" s="128" t="n">
        <f aca="false">SUM(AG20:AG54)</f>
        <v>0</v>
      </c>
      <c r="AH55" s="128" t="n">
        <f aca="false">SUM(AH20:AH54)</f>
        <v>0</v>
      </c>
      <c r="AI55" s="128" t="n">
        <f aca="false">SUM(AI20:AI54)</f>
        <v>0</v>
      </c>
      <c r="AJ55" s="128" t="n">
        <f aca="false">SUM(AJ20:AJ54)</f>
        <v>0</v>
      </c>
      <c r="AK55" s="128" t="n">
        <f aca="false">SUM(AK20:AK54)</f>
        <v>0</v>
      </c>
      <c r="AL55" s="128" t="n">
        <f aca="false">SUM(AL20:AL54)</f>
        <v>0</v>
      </c>
      <c r="AM55" s="128" t="n">
        <f aca="false">SUM(AM20:AM54)</f>
        <v>0</v>
      </c>
      <c r="AN55" s="128" t="n">
        <f aca="false">SUM(AN20:AN54)</f>
        <v>0</v>
      </c>
      <c r="AO55" s="128" t="n">
        <f aca="false">SUM(AO20:AO54)</f>
        <v>0</v>
      </c>
      <c r="AP55" s="128" t="n">
        <f aca="false">SUM(AP20:AP54)</f>
        <v>0</v>
      </c>
      <c r="AQ55" s="128" t="n">
        <f aca="false">SUM(AQ20:AQ54)</f>
        <v>0</v>
      </c>
      <c r="AR55" s="128" t="n">
        <f aca="false">SUM(AR20:AR54)</f>
        <v>0</v>
      </c>
      <c r="AS55" s="128" t="n">
        <f aca="false">SUM(AS20:AS54)</f>
        <v>0</v>
      </c>
      <c r="AT55" s="128" t="n">
        <f aca="false">SUM(AT20:AT54)</f>
        <v>0</v>
      </c>
      <c r="AU55" s="128" t="n">
        <f aca="false">SUM(AU20:AU54)</f>
        <v>0</v>
      </c>
      <c r="AV55" s="128" t="n">
        <f aca="false">SUM(AV20:AV54)</f>
        <v>0</v>
      </c>
      <c r="AW55" s="128" t="n">
        <f aca="false">SUM(AW20:AW54)</f>
        <v>0</v>
      </c>
      <c r="AX55" s="128" t="n">
        <f aca="false">SUM(AX20:AX54)</f>
        <v>0</v>
      </c>
      <c r="AY55" s="128" t="n">
        <f aca="false">SUM(AY20:AY54)</f>
        <v>0</v>
      </c>
      <c r="AZ55" s="128" t="n">
        <f aca="false">SUM(AZ20:AZ54)</f>
        <v>0</v>
      </c>
      <c r="BA55" s="128" t="n">
        <f aca="false">SUM(BA20:BA54)</f>
        <v>0</v>
      </c>
      <c r="BB55" s="128" t="n">
        <f aca="false">SUM(BB20:BB54)</f>
        <v>0</v>
      </c>
      <c r="BC55" s="128" t="n">
        <f aca="false">SUM(BC20:BC54)</f>
        <v>0</v>
      </c>
      <c r="BD55" s="128" t="n">
        <f aca="false">SUM(BD20:BD54)</f>
        <v>0</v>
      </c>
      <c r="BE55" s="128" t="n">
        <f aca="false">SUM(BE20:BE54)</f>
        <v>0</v>
      </c>
      <c r="BF55" s="128" t="n">
        <f aca="false">SUM(BF20:BF54)</f>
        <v>0</v>
      </c>
      <c r="BG55" s="128" t="n">
        <f aca="false">SUM(BG20:BG54)</f>
        <v>0</v>
      </c>
      <c r="BH55" s="128" t="n">
        <f aca="false">SUM(BH20:BH54)</f>
        <v>0</v>
      </c>
      <c r="BI55" s="128" t="n">
        <f aca="false">SUM(BI20:BI54)</f>
        <v>0</v>
      </c>
      <c r="BJ55" s="128" t="n">
        <f aca="false">SUM(BJ20:BJ54)</f>
        <v>0</v>
      </c>
      <c r="BK55" s="128" t="n">
        <f aca="false">SUM(BK20:BK54)</f>
        <v>0</v>
      </c>
      <c r="BL55" s="128" t="n">
        <f aca="false">SUM(BL20:BL54)</f>
        <v>0</v>
      </c>
      <c r="BM55" s="128" t="n">
        <f aca="false">SUM(BM20:BM54)</f>
        <v>0</v>
      </c>
      <c r="BN55" s="128" t="n">
        <f aca="false">SUM(BN20:BN54)</f>
        <v>0</v>
      </c>
      <c r="BO55" s="128" t="n">
        <f aca="false">SUM(BO20:BO54)</f>
        <v>0</v>
      </c>
      <c r="BP55" s="128" t="n">
        <f aca="false">SUM(BP20:BP54)</f>
        <v>0</v>
      </c>
      <c r="BQ55" s="128" t="n">
        <f aca="false">SUM(BQ20:BQ54)</f>
        <v>0</v>
      </c>
      <c r="BR55" s="128" t="n">
        <f aca="false">SUM(BR20:BR54)</f>
        <v>0</v>
      </c>
      <c r="BS55" s="128" t="n">
        <f aca="false">SUM(BS20:BS54)</f>
        <v>0</v>
      </c>
      <c r="BT55" s="128" t="n">
        <f aca="false">SUM(BT20:BT54)</f>
        <v>0</v>
      </c>
      <c r="BU55" s="128" t="n">
        <f aca="false">SUM(BU20:BU54)</f>
        <v>0</v>
      </c>
      <c r="BV55" s="128" t="n">
        <f aca="false">SUM(BV20:BV54)</f>
        <v>0</v>
      </c>
      <c r="BW55" s="128" t="n">
        <f aca="false">SUM(BW20:BW54)</f>
        <v>0</v>
      </c>
      <c r="BX55" s="128" t="n">
        <f aca="false">SUM(BX20:BX54)</f>
        <v>0</v>
      </c>
      <c r="BY55" s="128" t="n">
        <f aca="false">SUM(BY20:BY54)</f>
        <v>0</v>
      </c>
      <c r="BZ55" s="128" t="n">
        <f aca="false">SUM(BZ20:BZ54)</f>
        <v>0</v>
      </c>
      <c r="CA55" s="128" t="n">
        <f aca="false">SUM(CA20:CA54)</f>
        <v>0</v>
      </c>
      <c r="CB55" s="128" t="n">
        <f aca="false">SUM(CB20:CB54)</f>
        <v>0</v>
      </c>
      <c r="CC55" s="128" t="n">
        <f aca="false">SUM(CC20:CC54)</f>
        <v>0</v>
      </c>
      <c r="CD55" s="128" t="n">
        <f aca="false">SUM(CD20:CD54)</f>
        <v>0</v>
      </c>
      <c r="CE55" s="128" t="n">
        <f aca="false">SUM(CE20:CE54)</f>
        <v>0</v>
      </c>
      <c r="CF55" s="128" t="n">
        <f aca="false">SUM(CF20:CF54)</f>
        <v>0</v>
      </c>
      <c r="CG55" s="128" t="n">
        <f aca="false">SUM(CG20:CG54)</f>
        <v>0</v>
      </c>
      <c r="CH55" s="128" t="n">
        <f aca="false">SUM(CH20:CH54)</f>
        <v>0</v>
      </c>
      <c r="CI55" s="128" t="n">
        <f aca="false">SUM(CI20:CI54)</f>
        <v>0</v>
      </c>
      <c r="CJ55" s="128" t="n">
        <f aca="false">SUM(CJ20:CJ54)</f>
        <v>0</v>
      </c>
      <c r="CK55" s="128" t="n">
        <f aca="false">SUM(CK20:CK54)</f>
        <v>0</v>
      </c>
      <c r="CL55" s="128" t="n">
        <f aca="false">SUM(CL20:CL54)</f>
        <v>0</v>
      </c>
      <c r="CM55" s="128" t="n">
        <f aca="false">SUM(CM20:CM54)</f>
        <v>0</v>
      </c>
      <c r="CN55" s="128" t="n">
        <f aca="false">SUM(CN20:CN54)</f>
        <v>0</v>
      </c>
      <c r="CO55" s="128" t="n">
        <f aca="false">SUM(CO20:CO54)</f>
        <v>0</v>
      </c>
      <c r="CP55" s="128" t="n">
        <f aca="false">SUM(CP20:CP54)</f>
        <v>0</v>
      </c>
      <c r="CQ55" s="128" t="n">
        <f aca="false">SUM(CQ20:CQ54)</f>
        <v>0</v>
      </c>
      <c r="CR55" s="128" t="n">
        <f aca="false">SUM(CR20:CR54)</f>
        <v>0</v>
      </c>
      <c r="CS55" s="128" t="n">
        <f aca="false">SUM(CS20:CS54)</f>
        <v>0</v>
      </c>
      <c r="CT55" s="128" t="n">
        <f aca="false">SUM(CT20:CT54)</f>
        <v>0</v>
      </c>
    </row>
    <row r="56" customFormat="false" ht="15" hidden="false" customHeight="true" outlineLevel="0" collapsed="false">
      <c r="A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  <c r="CP56" s="119"/>
      <c r="CQ56" s="119"/>
      <c r="CR56" s="119"/>
      <c r="CS56" s="119"/>
      <c r="CT56" s="119"/>
    </row>
    <row r="57" customFormat="false" ht="15" hidden="false" customHeight="true" outlineLevel="0" collapsed="false">
      <c r="A57" s="81" t="s">
        <v>94</v>
      </c>
      <c r="C57" s="129" t="n">
        <f aca="false">C17+C55</f>
        <v>-41844.6399999999</v>
      </c>
      <c r="D57" s="129" t="n">
        <f aca="false">D17+D55</f>
        <v>-311309.31</v>
      </c>
      <c r="E57" s="129" t="n">
        <f aca="false">E17+E55</f>
        <v>242246.78</v>
      </c>
      <c r="F57" s="129" t="n">
        <f aca="false">F17+F55</f>
        <v>373926.69</v>
      </c>
      <c r="G57" s="129" t="n">
        <f aca="false">G17+G55</f>
        <v>27621.8499999997</v>
      </c>
      <c r="H57" s="129" t="n">
        <f aca="false">H17+H55</f>
        <v>317897.240000001</v>
      </c>
      <c r="I57" s="129" t="n">
        <f aca="false">I17+I55</f>
        <v>0</v>
      </c>
      <c r="J57" s="129" t="n">
        <f aca="false">J17+J55</f>
        <v>0</v>
      </c>
      <c r="K57" s="129" t="n">
        <f aca="false">K17+K55</f>
        <v>0</v>
      </c>
      <c r="L57" s="129" t="n">
        <f aca="false">L17+L55</f>
        <v>0</v>
      </c>
      <c r="M57" s="129" t="n">
        <f aca="false">M17+M55</f>
        <v>0</v>
      </c>
      <c r="N57" s="129" t="n">
        <f aca="false">N17+N55</f>
        <v>0</v>
      </c>
      <c r="O57" s="129" t="n">
        <f aca="false">O17+O55</f>
        <v>0</v>
      </c>
      <c r="P57" s="129" t="n">
        <f aca="false">P17+P55</f>
        <v>0</v>
      </c>
      <c r="Q57" s="129" t="n">
        <f aca="false">Q17+Q55</f>
        <v>0</v>
      </c>
      <c r="R57" s="129" t="n">
        <f aca="false">R17+R55</f>
        <v>0</v>
      </c>
      <c r="S57" s="129" t="n">
        <f aca="false">S17+S55</f>
        <v>0</v>
      </c>
      <c r="T57" s="129" t="n">
        <f aca="false">T17+T55</f>
        <v>0</v>
      </c>
      <c r="U57" s="129" t="n">
        <f aca="false">U17+U55</f>
        <v>0</v>
      </c>
      <c r="V57" s="129" t="n">
        <f aca="false">V17+V55</f>
        <v>0</v>
      </c>
      <c r="W57" s="129" t="n">
        <f aca="false">W17+W55</f>
        <v>0</v>
      </c>
      <c r="X57" s="129" t="n">
        <f aca="false">X17+X55</f>
        <v>0</v>
      </c>
      <c r="Y57" s="129" t="n">
        <f aca="false">Y17+Y55</f>
        <v>0</v>
      </c>
      <c r="Z57" s="129" t="n">
        <f aca="false">Z17+Z55</f>
        <v>0</v>
      </c>
      <c r="AA57" s="129" t="n">
        <f aca="false">AA17+AA55</f>
        <v>0</v>
      </c>
      <c r="AB57" s="129" t="n">
        <f aca="false">AB17+AB55</f>
        <v>0</v>
      </c>
      <c r="AC57" s="129" t="n">
        <f aca="false">AC17+AC55</f>
        <v>0</v>
      </c>
      <c r="AD57" s="129" t="n">
        <f aca="false">AD17+AD55</f>
        <v>0</v>
      </c>
      <c r="AE57" s="129" t="n">
        <f aca="false">AE17+AE55</f>
        <v>0</v>
      </c>
      <c r="AF57" s="129" t="n">
        <f aca="false">AF17+AF55</f>
        <v>0</v>
      </c>
      <c r="AG57" s="129" t="n">
        <f aca="false">AG17+AG55</f>
        <v>0</v>
      </c>
      <c r="AH57" s="129" t="n">
        <f aca="false">AH17+AH55</f>
        <v>0</v>
      </c>
      <c r="AI57" s="129" t="n">
        <f aca="false">AI17+AI55</f>
        <v>0</v>
      </c>
      <c r="AJ57" s="129" t="n">
        <f aca="false">AJ17+AJ55</f>
        <v>0</v>
      </c>
      <c r="AK57" s="129" t="n">
        <f aca="false">AK17+AK55</f>
        <v>0</v>
      </c>
      <c r="AL57" s="129" t="n">
        <f aca="false">AL17+AL55</f>
        <v>0</v>
      </c>
      <c r="AM57" s="129" t="n">
        <f aca="false">AM17+AM55</f>
        <v>0</v>
      </c>
      <c r="AN57" s="129" t="n">
        <f aca="false">AN17+AN55</f>
        <v>0</v>
      </c>
      <c r="AO57" s="129" t="n">
        <f aca="false">AO17+AO55</f>
        <v>0</v>
      </c>
      <c r="AP57" s="129" t="n">
        <f aca="false">AP17+AP55</f>
        <v>0</v>
      </c>
      <c r="AQ57" s="129" t="n">
        <f aca="false">AQ17+AQ55</f>
        <v>0</v>
      </c>
      <c r="AR57" s="129" t="n">
        <f aca="false">AR17+AR55</f>
        <v>0</v>
      </c>
      <c r="AS57" s="129" t="n">
        <f aca="false">AS17+AS55</f>
        <v>0</v>
      </c>
      <c r="AT57" s="129" t="n">
        <f aca="false">AT17+AT55</f>
        <v>0</v>
      </c>
      <c r="AU57" s="129" t="n">
        <f aca="false">AU17+AU55</f>
        <v>0</v>
      </c>
      <c r="AV57" s="129" t="n">
        <f aca="false">AV17+AV55</f>
        <v>0</v>
      </c>
      <c r="AW57" s="129" t="n">
        <f aca="false">AW17+AW55</f>
        <v>0</v>
      </c>
      <c r="AX57" s="129" t="n">
        <f aca="false">AX17+AX55</f>
        <v>0</v>
      </c>
      <c r="AY57" s="129" t="n">
        <f aca="false">AY17+AY55</f>
        <v>0</v>
      </c>
      <c r="AZ57" s="129" t="n">
        <f aca="false">AZ17+AZ55</f>
        <v>0</v>
      </c>
      <c r="BA57" s="129" t="n">
        <f aca="false">BA17+BA55</f>
        <v>0</v>
      </c>
      <c r="BB57" s="129" t="n">
        <f aca="false">BB17+BB55</f>
        <v>0</v>
      </c>
      <c r="BC57" s="129" t="n">
        <f aca="false">BC17+BC55</f>
        <v>0</v>
      </c>
      <c r="BD57" s="129" t="n">
        <f aca="false">BD17+BD55</f>
        <v>0</v>
      </c>
      <c r="BE57" s="129" t="n">
        <f aca="false">BE17+BE55</f>
        <v>0</v>
      </c>
      <c r="BF57" s="129" t="n">
        <f aca="false">BF17+BF55</f>
        <v>0</v>
      </c>
      <c r="BG57" s="129" t="n">
        <f aca="false">BG17+BG55</f>
        <v>0</v>
      </c>
      <c r="BH57" s="129" t="n">
        <f aca="false">BH17+BH55</f>
        <v>0</v>
      </c>
      <c r="BI57" s="129" t="n">
        <f aca="false">BI17+BI55</f>
        <v>0</v>
      </c>
      <c r="BJ57" s="129" t="n">
        <f aca="false">BJ17+BJ55</f>
        <v>0</v>
      </c>
      <c r="BK57" s="129" t="n">
        <f aca="false">BK17+BK55</f>
        <v>0</v>
      </c>
      <c r="BL57" s="129" t="n">
        <f aca="false">BL17+BL55</f>
        <v>0</v>
      </c>
      <c r="BM57" s="129" t="n">
        <f aca="false">BM17+BM55</f>
        <v>0</v>
      </c>
      <c r="BN57" s="129" t="n">
        <f aca="false">BN17+BN55</f>
        <v>0</v>
      </c>
      <c r="BO57" s="129" t="n">
        <f aca="false">BO17+BO55</f>
        <v>0</v>
      </c>
      <c r="BP57" s="129" t="n">
        <f aca="false">BP17+BP55</f>
        <v>0</v>
      </c>
      <c r="BQ57" s="129" t="n">
        <f aca="false">BQ17+BQ55</f>
        <v>0</v>
      </c>
      <c r="BR57" s="129" t="n">
        <f aca="false">BR17+BR55</f>
        <v>0</v>
      </c>
      <c r="BS57" s="129" t="n">
        <f aca="false">BS17+BS55</f>
        <v>0</v>
      </c>
      <c r="BT57" s="129" t="n">
        <f aca="false">BT17+BT55</f>
        <v>0</v>
      </c>
      <c r="BU57" s="129" t="n">
        <f aca="false">BU17+BU55</f>
        <v>0</v>
      </c>
      <c r="BV57" s="129" t="n">
        <f aca="false">BV17+BV55</f>
        <v>0</v>
      </c>
      <c r="BW57" s="129" t="n">
        <f aca="false">BW17+BW55</f>
        <v>0</v>
      </c>
      <c r="BX57" s="129" t="n">
        <f aca="false">BX17+BX55</f>
        <v>0</v>
      </c>
      <c r="BY57" s="129" t="n">
        <f aca="false">BY17+BY55</f>
        <v>0</v>
      </c>
      <c r="BZ57" s="129" t="n">
        <f aca="false">BZ17+BZ55</f>
        <v>0</v>
      </c>
      <c r="CA57" s="129" t="n">
        <f aca="false">CA17+CA55</f>
        <v>0</v>
      </c>
      <c r="CB57" s="129" t="n">
        <f aca="false">CB17+CB55</f>
        <v>0</v>
      </c>
      <c r="CC57" s="129" t="n">
        <f aca="false">CC17+CC55</f>
        <v>0</v>
      </c>
      <c r="CD57" s="129" t="n">
        <f aca="false">CD17+CD55</f>
        <v>0</v>
      </c>
      <c r="CE57" s="129" t="n">
        <f aca="false">CE17+CE55</f>
        <v>0</v>
      </c>
      <c r="CF57" s="129" t="n">
        <f aca="false">CF17+CF55</f>
        <v>0</v>
      </c>
      <c r="CG57" s="129" t="n">
        <f aca="false">CG17+CG55</f>
        <v>0</v>
      </c>
      <c r="CH57" s="129" t="n">
        <f aca="false">CH17+CH55</f>
        <v>0</v>
      </c>
      <c r="CI57" s="129" t="n">
        <f aca="false">CI17+CI55</f>
        <v>0</v>
      </c>
      <c r="CJ57" s="129" t="n">
        <f aca="false">CJ17+CJ55</f>
        <v>0</v>
      </c>
      <c r="CK57" s="129" t="n">
        <f aca="false">CK17+CK55</f>
        <v>0</v>
      </c>
      <c r="CL57" s="129" t="n">
        <f aca="false">CL17+CL55</f>
        <v>0</v>
      </c>
      <c r="CM57" s="129" t="n">
        <f aca="false">CM17+CM55</f>
        <v>0</v>
      </c>
      <c r="CN57" s="129" t="n">
        <f aca="false">CN17+CN55</f>
        <v>0</v>
      </c>
      <c r="CO57" s="129" t="n">
        <f aca="false">CO17+CO55</f>
        <v>0</v>
      </c>
      <c r="CP57" s="129" t="n">
        <f aca="false">CP17+CP55</f>
        <v>0</v>
      </c>
      <c r="CQ57" s="129" t="n">
        <f aca="false">CQ17+CQ55</f>
        <v>0</v>
      </c>
      <c r="CR57" s="129" t="n">
        <f aca="false">CR17+CR55</f>
        <v>0</v>
      </c>
      <c r="CS57" s="129" t="n">
        <f aca="false">CS17+CS55</f>
        <v>0</v>
      </c>
      <c r="CT57" s="129" t="n">
        <f aca="false">CT17+CT55</f>
        <v>0</v>
      </c>
    </row>
    <row r="58" customFormat="false" ht="15" hidden="false" customHeight="true" outlineLevel="0" collapsed="false">
      <c r="A58" s="120" t="s">
        <v>95</v>
      </c>
      <c r="C58" s="123" t="n">
        <f aca="false">IFERROR(C57/C13,0)</f>
        <v>-0.0287831236019867</v>
      </c>
      <c r="D58" s="123" t="n">
        <f aca="false">IFERROR(D57/D13,0)</f>
        <v>-0.102996554608564</v>
      </c>
      <c r="E58" s="123" t="n">
        <f aca="false">IFERROR(E57/E13,0)</f>
        <v>0.0906538863233281</v>
      </c>
      <c r="F58" s="123" t="n">
        <f aca="false">IFERROR(F57/F13,0)</f>
        <v>0.101270434808067</v>
      </c>
      <c r="G58" s="123" t="n">
        <f aca="false">IFERROR(G57/G13,0)</f>
        <v>0.00625486062340116</v>
      </c>
      <c r="H58" s="123" t="n">
        <f aca="false">IFERROR(H57/H13,0)</f>
        <v>0.0508451485513171</v>
      </c>
      <c r="I58" s="123" t="n">
        <f aca="false">IFERROR(I57/I13,0)</f>
        <v>0</v>
      </c>
      <c r="J58" s="123" t="n">
        <f aca="false">IFERROR(J57/J13,0)</f>
        <v>0</v>
      </c>
      <c r="K58" s="123" t="n">
        <f aca="false">IFERROR(K57/K13,0)</f>
        <v>0</v>
      </c>
      <c r="L58" s="123" t="n">
        <f aca="false">IFERROR(L57/L13,0)</f>
        <v>0</v>
      </c>
      <c r="M58" s="123" t="n">
        <f aca="false">IFERROR(M57/M13,0)</f>
        <v>0</v>
      </c>
      <c r="N58" s="123" t="n">
        <f aca="false">IFERROR(N57/N13,0)</f>
        <v>0</v>
      </c>
      <c r="O58" s="123" t="n">
        <f aca="false">IFERROR(O57/O13,0)</f>
        <v>0</v>
      </c>
      <c r="P58" s="123" t="n">
        <f aca="false">IFERROR(P57/P13,0)</f>
        <v>0</v>
      </c>
      <c r="Q58" s="123" t="n">
        <f aca="false">IFERROR(Q57/Q13,0)</f>
        <v>0</v>
      </c>
      <c r="R58" s="123" t="n">
        <f aca="false">IFERROR(R57/R13,0)</f>
        <v>0</v>
      </c>
      <c r="S58" s="123" t="n">
        <f aca="false">IFERROR(S57/S13,0)</f>
        <v>0</v>
      </c>
      <c r="T58" s="123" t="n">
        <f aca="false">IFERROR(T57/T13,0)</f>
        <v>0</v>
      </c>
      <c r="U58" s="123" t="n">
        <f aca="false">IFERROR(U57/U13,0)</f>
        <v>0</v>
      </c>
      <c r="V58" s="123" t="n">
        <f aca="false">IFERROR(V57/V13,0)</f>
        <v>0</v>
      </c>
      <c r="W58" s="123" t="n">
        <f aca="false">IFERROR(W57/W13,0)</f>
        <v>0</v>
      </c>
      <c r="X58" s="123" t="n">
        <f aca="false">IFERROR(X57/X13,0)</f>
        <v>0</v>
      </c>
      <c r="Y58" s="123" t="n">
        <f aca="false">IFERROR(Y57/Y13,0)</f>
        <v>0</v>
      </c>
      <c r="Z58" s="123" t="n">
        <f aca="false">IFERROR(Z57/Z13,0)</f>
        <v>0</v>
      </c>
      <c r="AA58" s="123" t="n">
        <f aca="false">IFERROR(AA57/AA13,0)</f>
        <v>0</v>
      </c>
      <c r="AB58" s="123" t="n">
        <f aca="false">IFERROR(AB57/AB13,0)</f>
        <v>0</v>
      </c>
      <c r="AC58" s="123" t="n">
        <f aca="false">IFERROR(AC57/AC13,0)</f>
        <v>0</v>
      </c>
      <c r="AD58" s="123" t="n">
        <f aca="false">IFERROR(AD57/AD13,0)</f>
        <v>0</v>
      </c>
      <c r="AE58" s="123" t="n">
        <f aca="false">IFERROR(AE57/AE13,0)</f>
        <v>0</v>
      </c>
      <c r="AF58" s="123" t="n">
        <f aca="false">IFERROR(AF57/AF13,0)</f>
        <v>0</v>
      </c>
      <c r="AG58" s="123" t="n">
        <f aca="false">IFERROR(AG57/AG13,0)</f>
        <v>0</v>
      </c>
      <c r="AH58" s="123" t="n">
        <f aca="false">IFERROR(AH57/AH13,0)</f>
        <v>0</v>
      </c>
      <c r="AI58" s="123" t="n">
        <f aca="false">IFERROR(AI57/AI13,0)</f>
        <v>0</v>
      </c>
      <c r="AJ58" s="123" t="n">
        <f aca="false">IFERROR(AJ57/AJ13,0)</f>
        <v>0</v>
      </c>
      <c r="AK58" s="123" t="n">
        <f aca="false">IFERROR(AK57/AK13,0)</f>
        <v>0</v>
      </c>
      <c r="AL58" s="123" t="n">
        <f aca="false">IFERROR(AL57/AL13,0)</f>
        <v>0</v>
      </c>
      <c r="AM58" s="123" t="n">
        <f aca="false">IFERROR(AM57/AM13,0)</f>
        <v>0</v>
      </c>
      <c r="AN58" s="123" t="n">
        <f aca="false">IFERROR(AN57/AN13,0)</f>
        <v>0</v>
      </c>
      <c r="AO58" s="123" t="n">
        <f aca="false">IFERROR(AO57/AO13,0)</f>
        <v>0</v>
      </c>
      <c r="AP58" s="123" t="n">
        <f aca="false">IFERROR(AP57/AP13,0)</f>
        <v>0</v>
      </c>
      <c r="AQ58" s="123" t="n">
        <f aca="false">IFERROR(AQ57/AQ13,0)</f>
        <v>0</v>
      </c>
      <c r="AR58" s="123" t="n">
        <f aca="false">IFERROR(AR57/AR13,0)</f>
        <v>0</v>
      </c>
      <c r="AS58" s="123" t="n">
        <f aca="false">IFERROR(AS57/AS13,0)</f>
        <v>0</v>
      </c>
      <c r="AT58" s="123" t="n">
        <f aca="false">IFERROR(AT57/AT13,0)</f>
        <v>0</v>
      </c>
      <c r="AU58" s="123" t="n">
        <f aca="false">IFERROR(AU57/AU13,0)</f>
        <v>0</v>
      </c>
      <c r="AV58" s="123" t="n">
        <f aca="false">IFERROR(AV57/AV13,0)</f>
        <v>0</v>
      </c>
      <c r="AW58" s="123" t="n">
        <f aca="false">IFERROR(AW57/AW13,0)</f>
        <v>0</v>
      </c>
      <c r="AX58" s="123" t="n">
        <f aca="false">IFERROR(AX57/AX13,0)</f>
        <v>0</v>
      </c>
      <c r="AY58" s="123" t="n">
        <f aca="false">IFERROR(AY57/AY13,0)</f>
        <v>0</v>
      </c>
      <c r="AZ58" s="123" t="n">
        <f aca="false">IFERROR(AZ57/AZ13,0)</f>
        <v>0</v>
      </c>
      <c r="BA58" s="123" t="n">
        <f aca="false">IFERROR(BA57/BA13,0)</f>
        <v>0</v>
      </c>
      <c r="BB58" s="123" t="n">
        <f aca="false">IFERROR(BB57/BB13,0)</f>
        <v>0</v>
      </c>
      <c r="BC58" s="123" t="n">
        <f aca="false">IFERROR(BC57/BC13,0)</f>
        <v>0</v>
      </c>
      <c r="BD58" s="123" t="n">
        <f aca="false">IFERROR(BD57/BD13,0)</f>
        <v>0</v>
      </c>
      <c r="BE58" s="123" t="n">
        <f aca="false">IFERROR(BE57/BE13,0)</f>
        <v>0</v>
      </c>
      <c r="BF58" s="123" t="n">
        <f aca="false">IFERROR(BF57/BF13,0)</f>
        <v>0</v>
      </c>
      <c r="BG58" s="123" t="n">
        <f aca="false">IFERROR(BG57/BG13,0)</f>
        <v>0</v>
      </c>
      <c r="BH58" s="123" t="n">
        <f aca="false">IFERROR(BH57/BH13,0)</f>
        <v>0</v>
      </c>
      <c r="BI58" s="123" t="n">
        <f aca="false">IFERROR(BI57/BI13,0)</f>
        <v>0</v>
      </c>
      <c r="BJ58" s="123" t="n">
        <f aca="false">IFERROR(BJ57/BJ13,0)</f>
        <v>0</v>
      </c>
      <c r="BK58" s="123" t="n">
        <f aca="false">IFERROR(BK57/BK13,0)</f>
        <v>0</v>
      </c>
      <c r="BL58" s="123" t="n">
        <f aca="false">IFERROR(BL57/BL13,0)</f>
        <v>0</v>
      </c>
      <c r="BM58" s="123" t="n">
        <f aca="false">IFERROR(BM57/BM13,0)</f>
        <v>0</v>
      </c>
      <c r="BN58" s="123" t="n">
        <f aca="false">IFERROR(BN57/BN13,0)</f>
        <v>0</v>
      </c>
      <c r="BO58" s="123" t="n">
        <f aca="false">IFERROR(BO57/BO13,0)</f>
        <v>0</v>
      </c>
      <c r="BP58" s="123" t="n">
        <f aca="false">IFERROR(BP57/BP13,0)</f>
        <v>0</v>
      </c>
      <c r="BQ58" s="123" t="n">
        <f aca="false">IFERROR(BQ57/BQ13,0)</f>
        <v>0</v>
      </c>
      <c r="BR58" s="123" t="n">
        <f aca="false">IFERROR(BR57/BR13,0)</f>
        <v>0</v>
      </c>
      <c r="BS58" s="123" t="n">
        <f aca="false">IFERROR(BS57/BS13,0)</f>
        <v>0</v>
      </c>
      <c r="BT58" s="123" t="n">
        <f aca="false">IFERROR(BT57/BT13,0)</f>
        <v>0</v>
      </c>
      <c r="BU58" s="123" t="n">
        <f aca="false">IFERROR(BU57/BU13,0)</f>
        <v>0</v>
      </c>
      <c r="BV58" s="123" t="n">
        <f aca="false">IFERROR(BV57/BV13,0)</f>
        <v>0</v>
      </c>
      <c r="BW58" s="123" t="n">
        <f aca="false">IFERROR(BW57/BW13,0)</f>
        <v>0</v>
      </c>
      <c r="BX58" s="123" t="n">
        <f aca="false">IFERROR(BX57/BX13,0)</f>
        <v>0</v>
      </c>
      <c r="BY58" s="123" t="n">
        <f aca="false">IFERROR(BY57/BY13,0)</f>
        <v>0</v>
      </c>
      <c r="BZ58" s="123" t="n">
        <f aca="false">IFERROR(BZ57/BZ13,0)</f>
        <v>0</v>
      </c>
      <c r="CA58" s="123" t="n">
        <f aca="false">IFERROR(CA57/CA13,0)</f>
        <v>0</v>
      </c>
      <c r="CB58" s="123" t="n">
        <f aca="false">IFERROR(CB57/CB13,0)</f>
        <v>0</v>
      </c>
      <c r="CC58" s="123" t="n">
        <f aca="false">IFERROR(CC57/CC13,0)</f>
        <v>0</v>
      </c>
      <c r="CD58" s="123" t="n">
        <f aca="false">IFERROR(CD57/CD13,0)</f>
        <v>0</v>
      </c>
      <c r="CE58" s="123" t="n">
        <f aca="false">IFERROR(CE57/CE13,0)</f>
        <v>0</v>
      </c>
      <c r="CF58" s="123" t="n">
        <f aca="false">IFERROR(CF57/CF13,0)</f>
        <v>0</v>
      </c>
      <c r="CG58" s="123" t="n">
        <f aca="false">IFERROR(CG57/CG13,0)</f>
        <v>0</v>
      </c>
      <c r="CH58" s="123" t="n">
        <f aca="false">IFERROR(CH57/CH13,0)</f>
        <v>0</v>
      </c>
      <c r="CI58" s="123" t="n">
        <f aca="false">IFERROR(CI57/CI13,0)</f>
        <v>0</v>
      </c>
      <c r="CJ58" s="123" t="n">
        <f aca="false">IFERROR(CJ57/CJ13,0)</f>
        <v>0</v>
      </c>
      <c r="CK58" s="123" t="n">
        <f aca="false">IFERROR(CK57/CK13,0)</f>
        <v>0</v>
      </c>
      <c r="CL58" s="123" t="n">
        <f aca="false">IFERROR(CL57/CL13,0)</f>
        <v>0</v>
      </c>
      <c r="CM58" s="123" t="n">
        <f aca="false">IFERROR(CM57/CM13,0)</f>
        <v>0</v>
      </c>
      <c r="CN58" s="123" t="n">
        <f aca="false">IFERROR(CN57/CN13,0)</f>
        <v>0</v>
      </c>
      <c r="CO58" s="123" t="n">
        <f aca="false">IFERROR(CO57/CO13,0)</f>
        <v>0</v>
      </c>
      <c r="CP58" s="123" t="n">
        <f aca="false">IFERROR(CP57/CP13,0)</f>
        <v>0</v>
      </c>
      <c r="CQ58" s="123" t="n">
        <f aca="false">IFERROR(CQ57/CQ13,0)</f>
        <v>0</v>
      </c>
      <c r="CR58" s="123" t="n">
        <f aca="false">IFERROR(CR57/CR13,0)</f>
        <v>0</v>
      </c>
      <c r="CS58" s="123" t="n">
        <f aca="false">IFERROR(CS57/CS13,0)</f>
        <v>0</v>
      </c>
      <c r="CT58" s="123" t="n">
        <f aca="false">IFERROR(CT57/CT13,0)</f>
        <v>0</v>
      </c>
    </row>
    <row r="59" customFormat="false" ht="15" hidden="false" customHeight="true" outlineLevel="0" collapsed="false">
      <c r="A59" s="118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119"/>
      <c r="CS59" s="119"/>
      <c r="CT59" s="119"/>
    </row>
    <row r="60" customFormat="false" ht="15" hidden="false" customHeight="true" outlineLevel="0" collapsed="false">
      <c r="A60" s="118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19"/>
      <c r="BR60" s="119"/>
      <c r="BS60" s="119"/>
      <c r="BT60" s="119"/>
      <c r="BU60" s="119"/>
      <c r="BV60" s="119"/>
      <c r="BW60" s="119"/>
      <c r="BX60" s="119"/>
      <c r="BY60" s="119"/>
      <c r="BZ60" s="119"/>
      <c r="CA60" s="119"/>
      <c r="CB60" s="119"/>
      <c r="CC60" s="119"/>
      <c r="CD60" s="119"/>
      <c r="CE60" s="119"/>
      <c r="CF60" s="119"/>
      <c r="CG60" s="119"/>
      <c r="CH60" s="119"/>
      <c r="CI60" s="119"/>
      <c r="CJ60" s="119"/>
      <c r="CK60" s="119"/>
      <c r="CL60" s="119"/>
      <c r="CM60" s="119"/>
      <c r="CN60" s="119"/>
      <c r="CO60" s="119"/>
      <c r="CP60" s="119"/>
      <c r="CQ60" s="119"/>
      <c r="CR60" s="119"/>
      <c r="CS60" s="119"/>
      <c r="CT60" s="119"/>
    </row>
    <row r="61" customFormat="false" ht="15" hidden="false" customHeight="true" outlineLevel="0" collapsed="false">
      <c r="A61" s="118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19"/>
      <c r="BR61" s="119"/>
      <c r="BS61" s="119"/>
      <c r="BT61" s="119"/>
      <c r="BU61" s="119"/>
      <c r="BV61" s="119"/>
      <c r="BW61" s="119"/>
      <c r="BX61" s="119"/>
      <c r="BY61" s="119"/>
      <c r="BZ61" s="119"/>
      <c r="CA61" s="119"/>
      <c r="CB61" s="119"/>
      <c r="CC61" s="119"/>
      <c r="CD61" s="119"/>
      <c r="CE61" s="119"/>
      <c r="CF61" s="119"/>
      <c r="CG61" s="119"/>
      <c r="CH61" s="119"/>
      <c r="CI61" s="119"/>
      <c r="CJ61" s="119"/>
      <c r="CK61" s="119"/>
      <c r="CL61" s="119"/>
      <c r="CM61" s="119"/>
      <c r="CN61" s="119"/>
      <c r="CO61" s="119"/>
      <c r="CP61" s="119"/>
      <c r="CQ61" s="119"/>
      <c r="CR61" s="119"/>
      <c r="CS61" s="119"/>
      <c r="CT61" s="119"/>
    </row>
    <row r="62" customFormat="false" ht="15" hidden="false" customHeight="true" outlineLevel="0" collapsed="false">
      <c r="A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  <c r="CN62" s="119"/>
      <c r="CO62" s="119"/>
      <c r="CP62" s="119"/>
      <c r="CQ62" s="119"/>
      <c r="CR62" s="119"/>
      <c r="CS62" s="119"/>
      <c r="CT62" s="119"/>
    </row>
    <row r="63" customFormat="false" ht="15" hidden="false" customHeight="true" outlineLevel="0" collapsed="false">
      <c r="A63" s="118" t="s">
        <v>114</v>
      </c>
      <c r="C63" s="119"/>
      <c r="D63" s="119"/>
      <c r="E63" s="119"/>
      <c r="F63" s="119"/>
      <c r="G63" s="119"/>
      <c r="H63" s="119" t="n">
        <v>299000</v>
      </c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19"/>
      <c r="CD63" s="119"/>
      <c r="CE63" s="119"/>
      <c r="CF63" s="119"/>
      <c r="CG63" s="119"/>
      <c r="CH63" s="119"/>
      <c r="CI63" s="119"/>
      <c r="CJ63" s="119"/>
      <c r="CK63" s="119"/>
      <c r="CL63" s="119"/>
      <c r="CM63" s="119"/>
      <c r="CN63" s="119"/>
      <c r="CO63" s="119"/>
      <c r="CP63" s="119"/>
      <c r="CQ63" s="119"/>
      <c r="CR63" s="119"/>
      <c r="CS63" s="119"/>
      <c r="CT63" s="119"/>
    </row>
    <row r="64" customFormat="false" ht="15" hidden="false" customHeight="true" outlineLevel="0" collapsed="false">
      <c r="A64" s="118" t="s">
        <v>97</v>
      </c>
      <c r="C64" s="119" t="n">
        <v>833.33</v>
      </c>
      <c r="D64" s="119" t="n">
        <v>833.33</v>
      </c>
      <c r="E64" s="119" t="n">
        <v>833.33</v>
      </c>
      <c r="F64" s="119" t="n">
        <v>833.33</v>
      </c>
      <c r="G64" s="119" t="n">
        <v>833.33</v>
      </c>
      <c r="H64" s="119" t="n">
        <v>833.33</v>
      </c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</row>
    <row r="65" customFormat="false" ht="15" hidden="false" customHeight="true" outlineLevel="0" collapsed="false">
      <c r="A65" s="118" t="s">
        <v>98</v>
      </c>
      <c r="C65" s="119" t="n">
        <v>23906.25</v>
      </c>
      <c r="D65" s="119" t="n">
        <v>23906.25</v>
      </c>
      <c r="E65" s="119" t="n">
        <v>23906.25</v>
      </c>
      <c r="F65" s="119" t="n">
        <v>23906.25</v>
      </c>
      <c r="G65" s="119" t="n">
        <v>23906.25</v>
      </c>
      <c r="H65" s="119" t="n">
        <v>23906.25</v>
      </c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19"/>
      <c r="BT65" s="119"/>
      <c r="BU65" s="119"/>
      <c r="BV65" s="119"/>
      <c r="BW65" s="119"/>
      <c r="BX65" s="119"/>
      <c r="BY65" s="119"/>
      <c r="BZ65" s="119"/>
      <c r="CA65" s="119"/>
      <c r="CB65" s="119"/>
      <c r="CC65" s="119"/>
      <c r="CD65" s="119"/>
      <c r="CE65" s="119"/>
      <c r="CF65" s="119"/>
      <c r="CG65" s="119"/>
      <c r="CH65" s="119"/>
      <c r="CI65" s="119"/>
      <c r="CJ65" s="119"/>
      <c r="CK65" s="119"/>
      <c r="CL65" s="119"/>
      <c r="CM65" s="119"/>
      <c r="CN65" s="119"/>
      <c r="CO65" s="119"/>
      <c r="CP65" s="119"/>
      <c r="CQ65" s="119"/>
      <c r="CR65" s="119"/>
      <c r="CS65" s="119"/>
      <c r="CT65" s="119"/>
    </row>
    <row r="66" customFormat="false" ht="15" hidden="false" customHeight="true" outlineLevel="0" collapsed="false">
      <c r="A66" s="118" t="s">
        <v>99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  <c r="CB66" s="119"/>
      <c r="CC66" s="119"/>
      <c r="CD66" s="119"/>
      <c r="CE66" s="119"/>
      <c r="CF66" s="119"/>
      <c r="CG66" s="119"/>
      <c r="CH66" s="119"/>
      <c r="CI66" s="119"/>
      <c r="CJ66" s="119"/>
      <c r="CK66" s="119"/>
      <c r="CL66" s="119"/>
      <c r="CM66" s="119"/>
      <c r="CN66" s="119"/>
      <c r="CO66" s="119"/>
      <c r="CP66" s="119"/>
      <c r="CQ66" s="119"/>
      <c r="CR66" s="119"/>
      <c r="CS66" s="119"/>
      <c r="CT66" s="119"/>
    </row>
    <row r="67" customFormat="false" ht="15" hidden="false" customHeight="true" outlineLevel="0" collapsed="false">
      <c r="A67" s="118" t="s">
        <v>100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</row>
    <row r="68" customFormat="false" ht="15" hidden="false" customHeight="true" outlineLevel="0" collapsed="false">
      <c r="A68" s="118" t="s">
        <v>101</v>
      </c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  <c r="CB68" s="119"/>
      <c r="CC68" s="119"/>
      <c r="CD68" s="119"/>
      <c r="CE68" s="119"/>
      <c r="CF68" s="119"/>
      <c r="CG68" s="119"/>
      <c r="CH68" s="119"/>
      <c r="CI68" s="119"/>
      <c r="CJ68" s="119"/>
      <c r="CK68" s="119"/>
      <c r="CL68" s="119"/>
      <c r="CM68" s="119"/>
      <c r="CN68" s="119"/>
      <c r="CO68" s="119"/>
      <c r="CP68" s="119"/>
      <c r="CQ68" s="119"/>
      <c r="CR68" s="119"/>
      <c r="CS68" s="119"/>
      <c r="CT68" s="119"/>
    </row>
    <row r="69" customFormat="false" ht="15" hidden="false" customHeight="true" outlineLevel="0" collapsed="false">
      <c r="A69" s="118" t="s">
        <v>102</v>
      </c>
      <c r="C69" s="119" t="n">
        <v>9375</v>
      </c>
      <c r="D69" s="119" t="n">
        <v>9375</v>
      </c>
      <c r="E69" s="119" t="n">
        <v>9375</v>
      </c>
      <c r="F69" s="119" t="n">
        <v>9375</v>
      </c>
      <c r="G69" s="119" t="n">
        <v>9375</v>
      </c>
      <c r="H69" s="119" t="n">
        <v>9375</v>
      </c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  <c r="CP69" s="119"/>
      <c r="CQ69" s="119"/>
      <c r="CR69" s="119"/>
      <c r="CS69" s="119"/>
      <c r="CT69" s="119"/>
    </row>
    <row r="70" customFormat="false" ht="15" hidden="false" customHeight="true" outlineLevel="0" collapsed="false">
      <c r="A70" s="118" t="s">
        <v>103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119"/>
      <c r="CH70" s="119"/>
      <c r="CI70" s="119"/>
      <c r="CJ70" s="119"/>
      <c r="CK70" s="119"/>
      <c r="CL70" s="119"/>
      <c r="CM70" s="119"/>
      <c r="CN70" s="119"/>
      <c r="CO70" s="119"/>
      <c r="CP70" s="119"/>
      <c r="CQ70" s="119"/>
      <c r="CR70" s="119"/>
      <c r="CS70" s="119"/>
      <c r="CT70" s="119"/>
    </row>
    <row r="71" customFormat="false" ht="15" hidden="false" customHeight="true" outlineLevel="0" collapsed="false">
      <c r="A71" s="118" t="s">
        <v>104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</row>
    <row r="72" customFormat="false" ht="15" hidden="false" customHeight="true" outlineLevel="0" collapsed="false">
      <c r="A72" s="118" t="s">
        <v>105</v>
      </c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19"/>
      <c r="CQ72" s="119"/>
      <c r="CR72" s="119"/>
      <c r="CS72" s="119"/>
      <c r="CT72" s="119"/>
    </row>
    <row r="73" customFormat="false" ht="15" hidden="false" customHeight="true" outlineLevel="0" collapsed="false">
      <c r="A73" s="118" t="s">
        <v>106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  <c r="CP73" s="119"/>
      <c r="CQ73" s="119"/>
      <c r="CR73" s="119"/>
      <c r="CS73" s="119"/>
      <c r="CT73" s="119"/>
    </row>
    <row r="74" customFormat="false" ht="15" hidden="false" customHeight="true" outlineLevel="0" collapsed="false">
      <c r="A74" s="118" t="s">
        <v>107</v>
      </c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CJ74" s="119"/>
      <c r="CK74" s="119"/>
      <c r="CL74" s="119"/>
      <c r="CM74" s="119"/>
      <c r="CN74" s="119"/>
      <c r="CO74" s="119"/>
      <c r="CP74" s="119"/>
      <c r="CQ74" s="119"/>
      <c r="CR74" s="119"/>
      <c r="CS74" s="119"/>
      <c r="CT74" s="119"/>
    </row>
    <row r="75" customFormat="false" ht="15" hidden="false" customHeight="true" outlineLevel="0" collapsed="false">
      <c r="A75" s="118" t="s">
        <v>108</v>
      </c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19"/>
      <c r="CJ75" s="119"/>
      <c r="CK75" s="119"/>
      <c r="CL75" s="119"/>
      <c r="CM75" s="119"/>
      <c r="CN75" s="119"/>
      <c r="CO75" s="119"/>
      <c r="CP75" s="119"/>
      <c r="CQ75" s="119"/>
      <c r="CR75" s="119"/>
      <c r="CS75" s="119"/>
      <c r="CT75" s="119"/>
    </row>
    <row r="76" customFormat="false" ht="15" hidden="false" customHeight="true" outlineLevel="0" collapsed="false">
      <c r="A76" s="118" t="s">
        <v>109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</row>
    <row r="77" customFormat="false" ht="15" hidden="false" customHeight="true" outlineLevel="0" collapsed="false">
      <c r="A77" s="118" t="s">
        <v>110</v>
      </c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</row>
    <row r="78" customFormat="false" ht="15" hidden="false" customHeight="true" outlineLevel="0" collapsed="false">
      <c r="A78" s="118" t="s">
        <v>111</v>
      </c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</row>
    <row r="79" customFormat="false" ht="15" hidden="false" customHeight="true" outlineLevel="0" collapsed="false">
      <c r="A79" s="118" t="s">
        <v>112</v>
      </c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</row>
    <row r="80" customFormat="false" ht="15" hidden="false" customHeight="true" outlineLevel="0" collapsed="false">
      <c r="A80" s="118" t="s">
        <v>113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</row>
    <row r="81" customFormat="false" ht="15" hidden="false" customHeight="true" outlineLevel="0" collapsed="false">
      <c r="A81" s="121" t="s">
        <v>116</v>
      </c>
      <c r="C81" s="122" t="n">
        <f aca="false">SUM(C63:C80)</f>
        <v>34114.58</v>
      </c>
      <c r="D81" s="122" t="n">
        <f aca="false">SUM(D63:D80)</f>
        <v>34114.58</v>
      </c>
      <c r="E81" s="122" t="n">
        <f aca="false">SUM(E63:E80)</f>
        <v>34114.58</v>
      </c>
      <c r="F81" s="122" t="n">
        <f aca="false">SUM(F63:F80)</f>
        <v>34114.58</v>
      </c>
      <c r="G81" s="122" t="n">
        <f aca="false">SUM(G63:G80)</f>
        <v>34114.58</v>
      </c>
      <c r="H81" s="122" t="n">
        <f aca="false">SUM(H63:H80)</f>
        <v>333114.58</v>
      </c>
      <c r="I81" s="122" t="n">
        <f aca="false">SUM(I63:I80)</f>
        <v>0</v>
      </c>
      <c r="J81" s="122" t="n">
        <f aca="false">SUM(J63:J80)</f>
        <v>0</v>
      </c>
      <c r="K81" s="122" t="n">
        <f aca="false">SUM(K63:K80)</f>
        <v>0</v>
      </c>
      <c r="L81" s="122" t="n">
        <f aca="false">SUM(L63:L80)</f>
        <v>0</v>
      </c>
      <c r="M81" s="122" t="n">
        <f aca="false">SUM(M63:M80)</f>
        <v>0</v>
      </c>
      <c r="N81" s="122" t="n">
        <f aca="false">SUM(N63:N80)</f>
        <v>0</v>
      </c>
      <c r="O81" s="122" t="n">
        <f aca="false">SUM(O63:O80)</f>
        <v>0</v>
      </c>
      <c r="P81" s="122" t="n">
        <f aca="false">SUM(P63:P80)</f>
        <v>0</v>
      </c>
      <c r="Q81" s="122" t="n">
        <f aca="false">SUM(Q63:Q80)</f>
        <v>0</v>
      </c>
      <c r="R81" s="122" t="n">
        <f aca="false">SUM(R63:R80)</f>
        <v>0</v>
      </c>
      <c r="S81" s="122" t="n">
        <f aca="false">SUM(S63:S80)</f>
        <v>0</v>
      </c>
      <c r="T81" s="122" t="n">
        <f aca="false">SUM(T63:T80)</f>
        <v>0</v>
      </c>
      <c r="U81" s="122" t="n">
        <f aca="false">SUM(U63:U80)</f>
        <v>0</v>
      </c>
      <c r="V81" s="122" t="n">
        <f aca="false">SUM(V63:V80)</f>
        <v>0</v>
      </c>
      <c r="W81" s="122" t="n">
        <f aca="false">SUM(W63:W80)</f>
        <v>0</v>
      </c>
      <c r="X81" s="122" t="n">
        <f aca="false">SUM(X63:X80)</f>
        <v>0</v>
      </c>
      <c r="Y81" s="122" t="n">
        <f aca="false">SUM(Y63:Y80)</f>
        <v>0</v>
      </c>
      <c r="Z81" s="122" t="n">
        <f aca="false">SUM(Z63:Z80)</f>
        <v>0</v>
      </c>
      <c r="AA81" s="122" t="n">
        <f aca="false">SUM(AA63:AA80)</f>
        <v>0</v>
      </c>
      <c r="AB81" s="122" t="n">
        <f aca="false">SUM(AB63:AB80)</f>
        <v>0</v>
      </c>
      <c r="AC81" s="122" t="n">
        <f aca="false">SUM(AC63:AC80)</f>
        <v>0</v>
      </c>
      <c r="AD81" s="122" t="n">
        <f aca="false">SUM(AD63:AD80)</f>
        <v>0</v>
      </c>
      <c r="AE81" s="122" t="n">
        <f aca="false">SUM(AE63:AE80)</f>
        <v>0</v>
      </c>
      <c r="AF81" s="122" t="n">
        <f aca="false">SUM(AF63:AF80)</f>
        <v>0</v>
      </c>
      <c r="AG81" s="122" t="n">
        <f aca="false">SUM(AG63:AG80)</f>
        <v>0</v>
      </c>
      <c r="AH81" s="122" t="n">
        <f aca="false">SUM(AH63:AH80)</f>
        <v>0</v>
      </c>
      <c r="AI81" s="122" t="n">
        <f aca="false">SUM(AI63:AI80)</f>
        <v>0</v>
      </c>
      <c r="AJ81" s="122" t="n">
        <f aca="false">SUM(AJ63:AJ80)</f>
        <v>0</v>
      </c>
      <c r="AK81" s="122" t="n">
        <f aca="false">SUM(AK63:AK80)</f>
        <v>0</v>
      </c>
      <c r="AL81" s="122" t="n">
        <f aca="false">SUM(AL63:AL80)</f>
        <v>0</v>
      </c>
      <c r="AM81" s="122" t="n">
        <f aca="false">SUM(AM63:AM80)</f>
        <v>0</v>
      </c>
      <c r="AN81" s="122" t="n">
        <f aca="false">SUM(AN63:AN80)</f>
        <v>0</v>
      </c>
      <c r="AO81" s="122" t="n">
        <f aca="false">SUM(AO63:AO80)</f>
        <v>0</v>
      </c>
      <c r="AP81" s="122" t="n">
        <f aca="false">SUM(AP63:AP80)</f>
        <v>0</v>
      </c>
      <c r="AQ81" s="122" t="n">
        <f aca="false">SUM(AQ63:AQ80)</f>
        <v>0</v>
      </c>
      <c r="AR81" s="122" t="n">
        <f aca="false">SUM(AR63:AR80)</f>
        <v>0</v>
      </c>
      <c r="AS81" s="122" t="n">
        <f aca="false">SUM(AS63:AS80)</f>
        <v>0</v>
      </c>
      <c r="AT81" s="122" t="n">
        <f aca="false">SUM(AT63:AT80)</f>
        <v>0</v>
      </c>
      <c r="AU81" s="122" t="n">
        <f aca="false">SUM(AU63:AU80)</f>
        <v>0</v>
      </c>
      <c r="AV81" s="122" t="n">
        <f aca="false">SUM(AV63:AV80)</f>
        <v>0</v>
      </c>
      <c r="AW81" s="122" t="n">
        <f aca="false">SUM(AW63:AW80)</f>
        <v>0</v>
      </c>
      <c r="AX81" s="122" t="n">
        <f aca="false">SUM(AX63:AX80)</f>
        <v>0</v>
      </c>
      <c r="AY81" s="122" t="n">
        <f aca="false">SUM(AY63:AY80)</f>
        <v>0</v>
      </c>
      <c r="AZ81" s="122" t="n">
        <f aca="false">SUM(AZ63:AZ80)</f>
        <v>0</v>
      </c>
      <c r="BA81" s="122" t="n">
        <f aca="false">SUM(BA63:BA80)</f>
        <v>0</v>
      </c>
      <c r="BB81" s="122" t="n">
        <f aca="false">SUM(BB63:BB80)</f>
        <v>0</v>
      </c>
      <c r="BC81" s="122" t="n">
        <f aca="false">SUM(BC63:BC80)</f>
        <v>0</v>
      </c>
      <c r="BD81" s="122" t="n">
        <f aca="false">SUM(BD63:BD80)</f>
        <v>0</v>
      </c>
      <c r="BE81" s="122" t="n">
        <f aca="false">SUM(BE63:BE80)</f>
        <v>0</v>
      </c>
      <c r="BF81" s="122" t="n">
        <f aca="false">SUM(BF63:BF80)</f>
        <v>0</v>
      </c>
      <c r="BG81" s="122" t="n">
        <f aca="false">SUM(BG63:BG80)</f>
        <v>0</v>
      </c>
      <c r="BH81" s="122" t="n">
        <f aca="false">SUM(BH63:BH80)</f>
        <v>0</v>
      </c>
      <c r="BI81" s="122" t="n">
        <f aca="false">SUM(BI63:BI80)</f>
        <v>0</v>
      </c>
      <c r="BJ81" s="122" t="n">
        <f aca="false">SUM(BJ63:BJ80)</f>
        <v>0</v>
      </c>
      <c r="BK81" s="122" t="n">
        <f aca="false">SUM(BK63:BK80)</f>
        <v>0</v>
      </c>
      <c r="BL81" s="122" t="n">
        <f aca="false">SUM(BL63:BL80)</f>
        <v>0</v>
      </c>
      <c r="BM81" s="122" t="n">
        <f aca="false">SUM(BM63:BM80)</f>
        <v>0</v>
      </c>
      <c r="BN81" s="122" t="n">
        <f aca="false">SUM(BN63:BN80)</f>
        <v>0</v>
      </c>
      <c r="BO81" s="122" t="n">
        <f aca="false">SUM(BO63:BO80)</f>
        <v>0</v>
      </c>
      <c r="BP81" s="122" t="n">
        <f aca="false">SUM(BP63:BP80)</f>
        <v>0</v>
      </c>
      <c r="BQ81" s="122" t="n">
        <f aca="false">SUM(BQ63:BQ80)</f>
        <v>0</v>
      </c>
      <c r="BR81" s="122" t="n">
        <f aca="false">SUM(BR63:BR80)</f>
        <v>0</v>
      </c>
      <c r="BS81" s="122" t="n">
        <f aca="false">SUM(BS63:BS80)</f>
        <v>0</v>
      </c>
      <c r="BT81" s="122" t="n">
        <f aca="false">SUM(BT63:BT80)</f>
        <v>0</v>
      </c>
      <c r="BU81" s="122" t="n">
        <f aca="false">SUM(BU63:BU80)</f>
        <v>0</v>
      </c>
      <c r="BV81" s="122" t="n">
        <f aca="false">SUM(BV63:BV80)</f>
        <v>0</v>
      </c>
      <c r="BW81" s="122" t="n">
        <f aca="false">SUM(BW63:BW80)</f>
        <v>0</v>
      </c>
      <c r="BX81" s="122" t="n">
        <f aca="false">SUM(BX63:BX80)</f>
        <v>0</v>
      </c>
      <c r="BY81" s="122" t="n">
        <f aca="false">SUM(BY63:BY80)</f>
        <v>0</v>
      </c>
      <c r="BZ81" s="122" t="n">
        <f aca="false">SUM(BZ63:BZ80)</f>
        <v>0</v>
      </c>
      <c r="CA81" s="122" t="n">
        <f aca="false">SUM(CA63:CA80)</f>
        <v>0</v>
      </c>
      <c r="CB81" s="122" t="n">
        <f aca="false">SUM(CB63:CB80)</f>
        <v>0</v>
      </c>
      <c r="CC81" s="122" t="n">
        <f aca="false">SUM(CC63:CC80)</f>
        <v>0</v>
      </c>
      <c r="CD81" s="122" t="n">
        <f aca="false">SUM(CD63:CD80)</f>
        <v>0</v>
      </c>
      <c r="CE81" s="122" t="n">
        <f aca="false">SUM(CE63:CE80)</f>
        <v>0</v>
      </c>
      <c r="CF81" s="122" t="n">
        <f aca="false">SUM(CF63:CF80)</f>
        <v>0</v>
      </c>
      <c r="CG81" s="122" t="n">
        <f aca="false">SUM(CG63:CG80)</f>
        <v>0</v>
      </c>
      <c r="CH81" s="122" t="n">
        <f aca="false">SUM(CH63:CH80)</f>
        <v>0</v>
      </c>
      <c r="CI81" s="122" t="n">
        <f aca="false">SUM(CI63:CI80)</f>
        <v>0</v>
      </c>
      <c r="CJ81" s="122" t="n">
        <f aca="false">SUM(CJ63:CJ80)</f>
        <v>0</v>
      </c>
      <c r="CK81" s="122" t="n">
        <f aca="false">SUM(CK63:CK80)</f>
        <v>0</v>
      </c>
      <c r="CL81" s="122" t="n">
        <f aca="false">SUM(CL63:CL80)</f>
        <v>0</v>
      </c>
      <c r="CM81" s="122" t="n">
        <f aca="false">SUM(CM63:CM80)</f>
        <v>0</v>
      </c>
      <c r="CN81" s="122" t="n">
        <f aca="false">SUM(CN63:CN80)</f>
        <v>0</v>
      </c>
      <c r="CO81" s="122" t="n">
        <f aca="false">SUM(CO63:CO80)</f>
        <v>0</v>
      </c>
      <c r="CP81" s="122" t="n">
        <f aca="false">SUM(CP63:CP80)</f>
        <v>0</v>
      </c>
      <c r="CQ81" s="122" t="n">
        <f aca="false">SUM(CQ63:CQ80)</f>
        <v>0</v>
      </c>
      <c r="CR81" s="122" t="n">
        <f aca="false">SUM(CR63:CR80)</f>
        <v>0</v>
      </c>
      <c r="CS81" s="122" t="n">
        <f aca="false">SUM(CS63:CS80)</f>
        <v>0</v>
      </c>
      <c r="CT81" s="122" t="n">
        <f aca="false">SUM(CT63:CT80)</f>
        <v>0</v>
      </c>
    </row>
    <row r="82" customFormat="false" ht="15" hidden="false" customHeight="true" outlineLevel="0" collapsed="false">
      <c r="A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  <c r="CB82" s="119"/>
      <c r="CC82" s="119"/>
      <c r="CD82" s="119"/>
      <c r="CE82" s="119"/>
      <c r="CF82" s="119"/>
      <c r="CG82" s="119"/>
      <c r="CH82" s="119"/>
      <c r="CI82" s="119"/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</row>
    <row r="83" customFormat="false" ht="15" hidden="false" customHeight="true" outlineLevel="0" collapsed="false">
      <c r="A83" s="118" t="s">
        <v>60</v>
      </c>
      <c r="C83" s="119" t="n">
        <v>-54421</v>
      </c>
      <c r="D83" s="119" t="n">
        <v>-54166.68</v>
      </c>
      <c r="E83" s="119" t="n">
        <v>-54166.68</v>
      </c>
      <c r="F83" s="119" t="n">
        <v>-54166.68</v>
      </c>
      <c r="G83" s="119" t="n">
        <v>-54166.68</v>
      </c>
      <c r="H83" s="119" t="n">
        <v>-54166.68</v>
      </c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</row>
    <row r="84" customFormat="false" ht="15" hidden="false" customHeight="true" outlineLevel="0" collapsed="false">
      <c r="A84" s="118" t="s">
        <v>61</v>
      </c>
      <c r="C84" s="119" t="n">
        <v>-5302</v>
      </c>
      <c r="D84" s="119" t="n">
        <v>-4279.79</v>
      </c>
      <c r="E84" s="119" t="n">
        <v>-4145.97</v>
      </c>
      <c r="F84" s="119" t="n">
        <v>-4145.96</v>
      </c>
      <c r="G84" s="119" t="n">
        <v>-4145.99</v>
      </c>
      <c r="H84" s="119" t="n">
        <v>-4145.95</v>
      </c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</row>
    <row r="85" customFormat="false" ht="15" hidden="false" customHeight="true" outlineLevel="0" collapsed="false">
      <c r="A85" s="118" t="s">
        <v>63</v>
      </c>
      <c r="C85" s="119" t="n">
        <v>-12137.77</v>
      </c>
      <c r="D85" s="119" t="n">
        <v>-12137.78</v>
      </c>
      <c r="E85" s="119" t="n">
        <v>-12137.78</v>
      </c>
      <c r="F85" s="119" t="n">
        <v>-12137.78</v>
      </c>
      <c r="G85" s="119" t="n">
        <v>-12137.78</v>
      </c>
      <c r="H85" s="119" t="n">
        <v>-12137.78</v>
      </c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</row>
    <row r="86" customFormat="false" ht="15" hidden="false" customHeight="true" outlineLevel="0" collapsed="false">
      <c r="A86" s="118" t="s">
        <v>64</v>
      </c>
      <c r="C86" s="119" t="n">
        <v>-475.76</v>
      </c>
      <c r="D86" s="119" t="n">
        <v>-475.76</v>
      </c>
      <c r="E86" s="119" t="n">
        <v>-475.76</v>
      </c>
      <c r="F86" s="119" t="n">
        <v>-475.76</v>
      </c>
      <c r="G86" s="119" t="n">
        <v>-475.76</v>
      </c>
      <c r="H86" s="119" t="n">
        <v>-475.76</v>
      </c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</row>
    <row r="87" customFormat="false" ht="15" hidden="false" customHeight="true" outlineLevel="0" collapsed="false">
      <c r="A87" s="118" t="s">
        <v>65</v>
      </c>
      <c r="C87" s="119" t="n">
        <v>-2200.12</v>
      </c>
      <c r="D87" s="119" t="n">
        <v>-2200.12</v>
      </c>
      <c r="E87" s="119" t="n">
        <v>-2200.12</v>
      </c>
      <c r="F87" s="119" t="n">
        <v>-2200.12</v>
      </c>
      <c r="G87" s="119" t="n">
        <v>-2200.12</v>
      </c>
      <c r="H87" s="119" t="n">
        <v>-2200.12</v>
      </c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</row>
    <row r="88" customFormat="false" ht="15" hidden="false" customHeight="true" outlineLevel="0" collapsed="false">
      <c r="A88" s="118" t="s">
        <v>68</v>
      </c>
      <c r="C88" s="119" t="n">
        <v>-8848.65</v>
      </c>
      <c r="D88" s="119" t="n">
        <v>-8817.63</v>
      </c>
      <c r="E88" s="119" t="n">
        <v>-3775.91</v>
      </c>
      <c r="F88" s="119" t="n">
        <v>-8731.12</v>
      </c>
      <c r="G88" s="119" t="n">
        <v>-8739.17</v>
      </c>
      <c r="H88" s="119" t="n">
        <v>-8771.99</v>
      </c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</row>
    <row r="89" customFormat="false" ht="15" hidden="false" customHeight="true" outlineLevel="0" collapsed="false">
      <c r="A89" s="118" t="s">
        <v>69</v>
      </c>
      <c r="C89" s="119" t="n">
        <v>-1722.9</v>
      </c>
      <c r="D89" s="119" t="n">
        <v>0</v>
      </c>
      <c r="E89" s="119" t="n">
        <v>-28.51</v>
      </c>
      <c r="F89" s="119" t="n">
        <v>0</v>
      </c>
      <c r="G89" s="119" t="n">
        <v>-212.12</v>
      </c>
      <c r="H89" s="119" t="n">
        <v>-83.92</v>
      </c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</row>
    <row r="90" customFormat="false" ht="15" hidden="false" customHeight="true" outlineLevel="0" collapsed="false">
      <c r="A90" s="118" t="s">
        <v>72</v>
      </c>
      <c r="C90" s="119" t="n">
        <v>-246.85</v>
      </c>
      <c r="D90" s="119" t="n">
        <v>0</v>
      </c>
      <c r="E90" s="119" t="n">
        <v>-4246.73</v>
      </c>
      <c r="F90" s="119" t="n">
        <v>-3123.87</v>
      </c>
      <c r="G90" s="119" t="n">
        <v>-3184.88</v>
      </c>
      <c r="H90" s="119" t="n">
        <v>-4015.94</v>
      </c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  <c r="CB90" s="119"/>
      <c r="CC90" s="119"/>
      <c r="CD90" s="119"/>
      <c r="CE90" s="119"/>
      <c r="CF90" s="119"/>
      <c r="CG90" s="119"/>
      <c r="CH90" s="119"/>
      <c r="CI90" s="119"/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</row>
    <row r="91" customFormat="false" ht="15" hidden="false" customHeight="true" outlineLevel="0" collapsed="false">
      <c r="A91" s="118" t="s">
        <v>118</v>
      </c>
      <c r="C91" s="119" t="n">
        <v>0</v>
      </c>
      <c r="D91" s="119" t="n">
        <v>0</v>
      </c>
      <c r="E91" s="119" t="n">
        <v>-870</v>
      </c>
      <c r="F91" s="119" t="n">
        <v>0</v>
      </c>
      <c r="G91" s="119" t="n">
        <v>0</v>
      </c>
      <c r="H91" s="119" t="n">
        <v>0</v>
      </c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</row>
    <row r="92" customFormat="false" ht="15" hidden="false" customHeight="true" outlineLevel="0" collapsed="false">
      <c r="A92" s="120" t="s">
        <v>119</v>
      </c>
      <c r="C92" s="124" t="n">
        <v>-245</v>
      </c>
      <c r="D92" s="124" t="n">
        <v>-245</v>
      </c>
      <c r="E92" s="124" t="n">
        <v>-245</v>
      </c>
      <c r="F92" s="124" t="n">
        <v>-245</v>
      </c>
      <c r="G92" s="124" t="n">
        <v>-245</v>
      </c>
      <c r="H92" s="124" t="n">
        <v>-245</v>
      </c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</row>
    <row r="93" customFormat="false" ht="15" hidden="false" customHeight="true" outlineLevel="0" collapsed="false">
      <c r="A93" s="120" t="s">
        <v>120</v>
      </c>
      <c r="C93" s="124" t="n">
        <v>-986.57</v>
      </c>
      <c r="D93" s="124" t="n">
        <v>-1254.61</v>
      </c>
      <c r="E93" s="124" t="n">
        <v>-1297.31</v>
      </c>
      <c r="F93" s="124" t="n">
        <v>-48.78</v>
      </c>
      <c r="G93" s="124" t="n">
        <v>-4199.86</v>
      </c>
      <c r="H93" s="124" t="n">
        <v>-3433.39</v>
      </c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</row>
    <row r="94" customFormat="false" ht="15" hidden="false" customHeight="true" outlineLevel="0" collapsed="false">
      <c r="A94" s="120" t="s">
        <v>121</v>
      </c>
      <c r="C94" s="124" t="n">
        <v>-588.66</v>
      </c>
      <c r="D94" s="124" t="n">
        <v>-22.94</v>
      </c>
      <c r="E94" s="124" t="n">
        <v>-487.3</v>
      </c>
      <c r="F94" s="124" t="n">
        <v>-399.98</v>
      </c>
      <c r="G94" s="124" t="n">
        <v>-216.15</v>
      </c>
      <c r="H94" s="124" t="n">
        <v>-936.05</v>
      </c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</row>
    <row r="95" customFormat="false" ht="15" hidden="false" customHeight="true" outlineLevel="0" collapsed="false">
      <c r="A95" s="120" t="s">
        <v>122</v>
      </c>
      <c r="C95" s="124" t="n">
        <v>0</v>
      </c>
      <c r="D95" s="124" t="n">
        <v>-92.75</v>
      </c>
      <c r="E95" s="124" t="n">
        <v>-57.46</v>
      </c>
      <c r="F95" s="124" t="n">
        <v>0</v>
      </c>
      <c r="G95" s="124" t="n">
        <v>-24.3</v>
      </c>
      <c r="H95" s="124" t="n">
        <v>-917.7</v>
      </c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</row>
    <row r="96" customFormat="false" ht="15" hidden="false" customHeight="true" outlineLevel="0" collapsed="false">
      <c r="A96" s="120" t="s">
        <v>74</v>
      </c>
      <c r="C96" s="124" t="n">
        <v>-640.88</v>
      </c>
      <c r="D96" s="124" t="n">
        <v>-872.64</v>
      </c>
      <c r="E96" s="124" t="n">
        <v>-1175.78</v>
      </c>
      <c r="F96" s="124" t="n">
        <v>-471.38</v>
      </c>
      <c r="G96" s="124" t="n">
        <v>-1307.57</v>
      </c>
      <c r="H96" s="124" t="n">
        <v>-3067.11</v>
      </c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</row>
    <row r="97" customFormat="false" ht="15" hidden="false" customHeight="true" outlineLevel="0" collapsed="false">
      <c r="A97" s="120" t="s">
        <v>75</v>
      </c>
      <c r="C97" s="124" t="n">
        <v>0</v>
      </c>
      <c r="D97" s="124" t="n">
        <v>0</v>
      </c>
      <c r="E97" s="124" t="n">
        <v>-38050.5</v>
      </c>
      <c r="F97" s="124" t="n">
        <v>0</v>
      </c>
      <c r="G97" s="124" t="n">
        <v>-986.5</v>
      </c>
      <c r="H97" s="124" t="n">
        <v>-4830</v>
      </c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</row>
    <row r="98" customFormat="false" ht="15" hidden="false" customHeight="true" outlineLevel="0" collapsed="false">
      <c r="A98" s="118" t="s">
        <v>76</v>
      </c>
      <c r="C98" s="119" t="n">
        <v>-4097.78</v>
      </c>
      <c r="D98" s="119" t="n">
        <v>-1950.2</v>
      </c>
      <c r="E98" s="119" t="n">
        <v>-1978.2</v>
      </c>
      <c r="F98" s="119" t="n">
        <v>-1970.2</v>
      </c>
      <c r="G98" s="119" t="n">
        <v>-6126.2</v>
      </c>
      <c r="H98" s="119" t="n">
        <v>-1993.2</v>
      </c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P98" s="119"/>
      <c r="BQ98" s="119"/>
      <c r="BR98" s="119"/>
      <c r="BS98" s="119"/>
      <c r="BT98" s="119"/>
      <c r="BU98" s="119"/>
      <c r="BV98" s="119"/>
      <c r="BW98" s="119"/>
      <c r="BX98" s="119"/>
      <c r="BY98" s="119"/>
      <c r="BZ98" s="119"/>
      <c r="CA98" s="119"/>
      <c r="CB98" s="119"/>
      <c r="CC98" s="119"/>
      <c r="CD98" s="119"/>
      <c r="CE98" s="119"/>
      <c r="CF98" s="119"/>
      <c r="CG98" s="119"/>
      <c r="CH98" s="119"/>
      <c r="CI98" s="119"/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</row>
    <row r="99" customFormat="false" ht="15" hidden="false" customHeight="true" outlineLevel="0" collapsed="false">
      <c r="A99" s="118" t="s">
        <v>77</v>
      </c>
      <c r="C99" s="119" t="n">
        <v>-28038</v>
      </c>
      <c r="D99" s="119" t="n">
        <v>-29387.5</v>
      </c>
      <c r="E99" s="119" t="n">
        <v>-28083</v>
      </c>
      <c r="F99" s="119" t="n">
        <v>-28083</v>
      </c>
      <c r="G99" s="119" t="n">
        <v>-69333</v>
      </c>
      <c r="H99" s="119" t="n">
        <v>-28083</v>
      </c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  <c r="CB99" s="119"/>
      <c r="CC99" s="119"/>
      <c r="CD99" s="119"/>
      <c r="CE99" s="119"/>
      <c r="CF99" s="119"/>
      <c r="CG99" s="119"/>
      <c r="CH99" s="119"/>
      <c r="CI99" s="119"/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</row>
    <row r="100" customFormat="false" ht="15" hidden="false" customHeight="true" outlineLevel="0" collapsed="false">
      <c r="A100" s="120" t="s">
        <v>123</v>
      </c>
      <c r="C100" s="124" t="n">
        <v>-268</v>
      </c>
      <c r="D100" s="124" t="n">
        <v>-2088.75</v>
      </c>
      <c r="E100" s="124" t="n">
        <v>-2401.75</v>
      </c>
      <c r="F100" s="124" t="n">
        <v>-4209.5</v>
      </c>
      <c r="G100" s="124" t="n">
        <v>-2377.59</v>
      </c>
      <c r="H100" s="124" t="n">
        <v>-16</v>
      </c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</row>
    <row r="101" customFormat="false" ht="15" hidden="false" customHeight="true" outlineLevel="0" collapsed="false">
      <c r="A101" s="120" t="s">
        <v>124</v>
      </c>
      <c r="C101" s="124" t="n">
        <v>-341.83</v>
      </c>
      <c r="D101" s="124" t="n">
        <v>-728</v>
      </c>
      <c r="E101" s="124" t="n">
        <v>-15256.75</v>
      </c>
      <c r="F101" s="124" t="n">
        <v>-1033.41</v>
      </c>
      <c r="G101" s="124" t="n">
        <v>-3499</v>
      </c>
      <c r="H101" s="124" t="n">
        <v>-1033.41</v>
      </c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</row>
    <row r="102" customFormat="false" ht="15" hidden="false" customHeight="true" outlineLevel="0" collapsed="false">
      <c r="A102" s="127" t="s">
        <v>125</v>
      </c>
      <c r="C102" s="124" t="n">
        <v>-1905.31</v>
      </c>
      <c r="D102" s="124" t="n">
        <v>-1905.31</v>
      </c>
      <c r="E102" s="124" t="n">
        <v>-1905.31</v>
      </c>
      <c r="F102" s="124" t="n">
        <v>-1905.31</v>
      </c>
      <c r="G102" s="124" t="n">
        <v>-1905.31</v>
      </c>
      <c r="H102" s="124" t="n">
        <v>-1905.31</v>
      </c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</row>
    <row r="103" customFormat="false" ht="15" hidden="false" customHeight="true" outlineLevel="0" collapsed="false">
      <c r="A103" s="127" t="s">
        <v>126</v>
      </c>
      <c r="C103" s="124" t="n">
        <v>-2100</v>
      </c>
      <c r="D103" s="124" t="n">
        <v>-2100</v>
      </c>
      <c r="E103" s="124" t="n">
        <v>-2100</v>
      </c>
      <c r="F103" s="124" t="n">
        <v>-2100</v>
      </c>
      <c r="G103" s="124" t="n">
        <v>-2100</v>
      </c>
      <c r="H103" s="124" t="n">
        <v>-2100</v>
      </c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</row>
    <row r="104" customFormat="false" ht="15" hidden="false" customHeight="true" outlineLevel="0" collapsed="false">
      <c r="A104" s="127" t="s">
        <v>80</v>
      </c>
      <c r="C104" s="124" t="n">
        <v>-66666.66</v>
      </c>
      <c r="D104" s="124" t="n">
        <v>-66666.66</v>
      </c>
      <c r="E104" s="124" t="n">
        <v>-66666.66</v>
      </c>
      <c r="F104" s="124" t="n">
        <v>-66666.66</v>
      </c>
      <c r="G104" s="124" t="n">
        <v>-66666.66</v>
      </c>
      <c r="H104" s="124" t="n">
        <v>-66666.66</v>
      </c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</row>
    <row r="105" customFormat="false" ht="15" hidden="false" customHeight="true" outlineLevel="0" collapsed="false">
      <c r="A105" s="118" t="s">
        <v>88</v>
      </c>
      <c r="C105" s="119" t="n">
        <v>-6935.84</v>
      </c>
      <c r="D105" s="119" t="n">
        <v>-2799.88</v>
      </c>
      <c r="E105" s="119" t="n">
        <v>-12899.88</v>
      </c>
      <c r="F105" s="119" t="n">
        <v>-2932.88</v>
      </c>
      <c r="G105" s="119" t="n">
        <v>-5474.88</v>
      </c>
      <c r="H105" s="119" t="n">
        <v>-5</v>
      </c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</row>
    <row r="106" customFormat="false" ht="15" hidden="false" customHeight="true" outlineLevel="0" collapsed="false">
      <c r="A106" s="118" t="s">
        <v>89</v>
      </c>
      <c r="C106" s="119" t="n">
        <v>-658.14</v>
      </c>
      <c r="D106" s="119" t="n">
        <v>-310</v>
      </c>
      <c r="E106" s="119" t="n">
        <v>-371.74</v>
      </c>
      <c r="F106" s="119" t="n">
        <v>-857.33</v>
      </c>
      <c r="G106" s="119" t="n">
        <v>-305</v>
      </c>
      <c r="H106" s="119" t="n">
        <v>-352.5</v>
      </c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/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</row>
    <row r="107" customFormat="false" ht="15" hidden="false" customHeight="true" outlineLevel="0" collapsed="false">
      <c r="A107" s="118" t="s">
        <v>127</v>
      </c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</row>
    <row r="108" customFormat="false" ht="15" hidden="false" customHeight="true" outlineLevel="0" collapsed="false">
      <c r="A108" s="118" t="s">
        <v>128</v>
      </c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</row>
    <row r="109" customFormat="false" ht="15" hidden="false" customHeight="true" outlineLevel="0" collapsed="false">
      <c r="A109" s="118" t="s">
        <v>129</v>
      </c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</row>
    <row r="110" customFormat="false" ht="15" hidden="false" customHeight="true" outlineLevel="0" collapsed="false">
      <c r="A110" s="118" t="s">
        <v>130</v>
      </c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/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</row>
    <row r="111" customFormat="false" ht="15" hidden="false" customHeight="true" outlineLevel="0" collapsed="false">
      <c r="A111" s="118" t="s">
        <v>131</v>
      </c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119"/>
      <c r="BS111" s="119"/>
      <c r="BT111" s="119"/>
      <c r="BU111" s="119"/>
      <c r="BV111" s="119"/>
      <c r="BW111" s="119"/>
      <c r="BX111" s="119"/>
      <c r="BY111" s="119"/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/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</row>
    <row r="112" customFormat="false" ht="15" hidden="false" customHeight="true" outlineLevel="0" collapsed="false">
      <c r="A112" s="121" t="s">
        <v>132</v>
      </c>
      <c r="C112" s="128" t="n">
        <f aca="false">SUM(C82:C110)</f>
        <v>-198827.72</v>
      </c>
      <c r="D112" s="128" t="n">
        <f aca="false">SUM(D82:D110)</f>
        <v>-192502</v>
      </c>
      <c r="E112" s="128" t="n">
        <f aca="false">SUM(E82:E110)</f>
        <v>-255024.1</v>
      </c>
      <c r="F112" s="128" t="n">
        <f aca="false">SUM(F82:F110)</f>
        <v>-195904.72</v>
      </c>
      <c r="G112" s="128" t="n">
        <f aca="false">SUM(G82:G110)</f>
        <v>-250029.52</v>
      </c>
      <c r="H112" s="128" t="n">
        <f aca="false">SUM(H82:H110)</f>
        <v>-201582.47</v>
      </c>
      <c r="I112" s="128" t="n">
        <f aca="false">SUM(I82:I110)</f>
        <v>0</v>
      </c>
      <c r="J112" s="128" t="n">
        <f aca="false">SUM(J82:J110)</f>
        <v>0</v>
      </c>
      <c r="K112" s="128" t="n">
        <f aca="false">SUM(K82:K110)</f>
        <v>0</v>
      </c>
      <c r="L112" s="128" t="n">
        <f aca="false">SUM(L82:L110)</f>
        <v>0</v>
      </c>
      <c r="M112" s="128" t="n">
        <f aca="false">SUM(M82:M110)</f>
        <v>0</v>
      </c>
      <c r="N112" s="128" t="n">
        <f aca="false">SUM(N82:N110)</f>
        <v>0</v>
      </c>
      <c r="O112" s="128" t="n">
        <f aca="false">SUM(O82:O110)</f>
        <v>0</v>
      </c>
      <c r="P112" s="128" t="n">
        <f aca="false">SUM(P82:P110)</f>
        <v>0</v>
      </c>
      <c r="Q112" s="128" t="n">
        <f aca="false">SUM(Q82:Q110)</f>
        <v>0</v>
      </c>
      <c r="R112" s="128" t="n">
        <f aca="false">SUM(R82:R110)</f>
        <v>0</v>
      </c>
      <c r="S112" s="128" t="n">
        <f aca="false">SUM(S82:S110)</f>
        <v>0</v>
      </c>
      <c r="T112" s="128" t="n">
        <f aca="false">SUM(T82:T110)</f>
        <v>0</v>
      </c>
      <c r="U112" s="128" t="n">
        <f aca="false">SUM(U82:U110)</f>
        <v>0</v>
      </c>
      <c r="V112" s="128" t="n">
        <f aca="false">SUM(V82:V110)</f>
        <v>0</v>
      </c>
      <c r="W112" s="128" t="n">
        <f aca="false">SUM(W82:W110)</f>
        <v>0</v>
      </c>
      <c r="X112" s="128" t="n">
        <f aca="false">SUM(X82:X110)</f>
        <v>0</v>
      </c>
      <c r="Y112" s="128" t="n">
        <f aca="false">SUM(Y82:Y110)</f>
        <v>0</v>
      </c>
      <c r="Z112" s="128" t="n">
        <f aca="false">SUM(Z82:Z110)</f>
        <v>0</v>
      </c>
      <c r="AA112" s="128" t="n">
        <f aca="false">SUM(AA82:AA110)</f>
        <v>0</v>
      </c>
      <c r="AB112" s="128" t="n">
        <f aca="false">SUM(AB82:AB110)</f>
        <v>0</v>
      </c>
      <c r="AC112" s="128" t="n">
        <f aca="false">SUM(AC82:AC110)</f>
        <v>0</v>
      </c>
      <c r="AD112" s="128" t="n">
        <f aca="false">SUM(AD82:AD110)</f>
        <v>0</v>
      </c>
      <c r="AE112" s="128" t="n">
        <f aca="false">SUM(AE82:AE110)</f>
        <v>0</v>
      </c>
      <c r="AF112" s="128" t="n">
        <f aca="false">SUM(AF82:AF110)</f>
        <v>0</v>
      </c>
      <c r="AG112" s="128" t="n">
        <f aca="false">SUM(AG82:AG110)</f>
        <v>0</v>
      </c>
      <c r="AH112" s="128" t="n">
        <f aca="false">SUM(AH82:AH110)</f>
        <v>0</v>
      </c>
      <c r="AI112" s="128" t="n">
        <f aca="false">SUM(AI82:AI110)</f>
        <v>0</v>
      </c>
      <c r="AJ112" s="128" t="n">
        <f aca="false">SUM(AJ82:AJ110)</f>
        <v>0</v>
      </c>
      <c r="AK112" s="128" t="n">
        <f aca="false">SUM(AK82:AK110)</f>
        <v>0</v>
      </c>
      <c r="AL112" s="128" t="n">
        <f aca="false">SUM(AL82:AL110)</f>
        <v>0</v>
      </c>
      <c r="AM112" s="128" t="n">
        <f aca="false">SUM(AM82:AM110)</f>
        <v>0</v>
      </c>
      <c r="AN112" s="128" t="n">
        <f aca="false">SUM(AN82:AN110)</f>
        <v>0</v>
      </c>
      <c r="AO112" s="128" t="n">
        <f aca="false">SUM(AO82:AO110)</f>
        <v>0</v>
      </c>
      <c r="AP112" s="128" t="n">
        <f aca="false">SUM(AP82:AP110)</f>
        <v>0</v>
      </c>
      <c r="AQ112" s="128" t="n">
        <f aca="false">SUM(AQ82:AQ110)</f>
        <v>0</v>
      </c>
      <c r="AR112" s="128" t="n">
        <f aca="false">SUM(AR82:AR110)</f>
        <v>0</v>
      </c>
      <c r="AS112" s="128" t="n">
        <f aca="false">SUM(AS82:AS110)</f>
        <v>0</v>
      </c>
      <c r="AT112" s="128" t="n">
        <f aca="false">SUM(AT82:AT110)</f>
        <v>0</v>
      </c>
      <c r="AU112" s="128" t="n">
        <f aca="false">SUM(AU82:AU110)</f>
        <v>0</v>
      </c>
      <c r="AV112" s="128" t="n">
        <f aca="false">SUM(AV82:AV110)</f>
        <v>0</v>
      </c>
      <c r="AW112" s="128" t="n">
        <f aca="false">SUM(AW82:AW110)</f>
        <v>0</v>
      </c>
      <c r="AX112" s="128" t="n">
        <f aca="false">SUM(AX82:AX110)</f>
        <v>0</v>
      </c>
      <c r="AY112" s="128" t="n">
        <f aca="false">SUM(AY82:AY110)</f>
        <v>0</v>
      </c>
      <c r="AZ112" s="128" t="n">
        <f aca="false">SUM(AZ82:AZ110)</f>
        <v>0</v>
      </c>
      <c r="BA112" s="128" t="n">
        <f aca="false">SUM(BA82:BA110)</f>
        <v>0</v>
      </c>
      <c r="BB112" s="128" t="n">
        <f aca="false">SUM(BB82:BB110)</f>
        <v>0</v>
      </c>
      <c r="BC112" s="128" t="n">
        <f aca="false">SUM(BC82:BC110)</f>
        <v>0</v>
      </c>
      <c r="BD112" s="128" t="n">
        <f aca="false">SUM(BD82:BD110)</f>
        <v>0</v>
      </c>
      <c r="BE112" s="128" t="n">
        <f aca="false">SUM(BE82:BE110)</f>
        <v>0</v>
      </c>
      <c r="BF112" s="128" t="n">
        <f aca="false">SUM(BF82:BF110)</f>
        <v>0</v>
      </c>
      <c r="BG112" s="128" t="n">
        <f aca="false">SUM(BG82:BG110)</f>
        <v>0</v>
      </c>
      <c r="BH112" s="128" t="n">
        <f aca="false">SUM(BH82:BH110)</f>
        <v>0</v>
      </c>
      <c r="BI112" s="128" t="n">
        <f aca="false">SUM(BI82:BI110)</f>
        <v>0</v>
      </c>
      <c r="BJ112" s="128" t="n">
        <f aca="false">SUM(BJ82:BJ110)</f>
        <v>0</v>
      </c>
      <c r="BK112" s="128" t="n">
        <f aca="false">SUM(BK82:BK110)</f>
        <v>0</v>
      </c>
      <c r="BL112" s="128" t="n">
        <f aca="false">SUM(BL82:BL110)</f>
        <v>0</v>
      </c>
      <c r="BM112" s="128" t="n">
        <f aca="false">SUM(BM82:BM110)</f>
        <v>0</v>
      </c>
      <c r="BN112" s="128" t="n">
        <f aca="false">SUM(BN82:BN110)</f>
        <v>0</v>
      </c>
      <c r="BO112" s="128" t="n">
        <f aca="false">SUM(BO82:BO110)</f>
        <v>0</v>
      </c>
      <c r="BP112" s="128" t="n">
        <f aca="false">SUM(BP82:BP110)</f>
        <v>0</v>
      </c>
      <c r="BQ112" s="128" t="n">
        <f aca="false">SUM(BQ82:BQ110)</f>
        <v>0</v>
      </c>
      <c r="BR112" s="128" t="n">
        <f aca="false">SUM(BR82:BR110)</f>
        <v>0</v>
      </c>
      <c r="BS112" s="128" t="n">
        <f aca="false">SUM(BS82:BS110)</f>
        <v>0</v>
      </c>
      <c r="BT112" s="128" t="n">
        <f aca="false">SUM(BT82:BT110)</f>
        <v>0</v>
      </c>
      <c r="BU112" s="128" t="n">
        <f aca="false">SUM(BU82:BU110)</f>
        <v>0</v>
      </c>
      <c r="BV112" s="128" t="n">
        <f aca="false">SUM(BV82:BV110)</f>
        <v>0</v>
      </c>
      <c r="BW112" s="128" t="n">
        <f aca="false">SUM(BW82:BW110)</f>
        <v>0</v>
      </c>
      <c r="BX112" s="128" t="n">
        <f aca="false">SUM(BX82:BX110)</f>
        <v>0</v>
      </c>
      <c r="BY112" s="128" t="n">
        <f aca="false">SUM(BY82:BY110)</f>
        <v>0</v>
      </c>
      <c r="BZ112" s="128" t="n">
        <f aca="false">SUM(BZ82:BZ110)</f>
        <v>0</v>
      </c>
      <c r="CA112" s="128" t="n">
        <f aca="false">SUM(CA82:CA110)</f>
        <v>0</v>
      </c>
      <c r="CB112" s="128" t="n">
        <f aca="false">SUM(CB82:CB110)</f>
        <v>0</v>
      </c>
      <c r="CC112" s="128" t="n">
        <f aca="false">SUM(CC82:CC110)</f>
        <v>0</v>
      </c>
      <c r="CD112" s="128" t="n">
        <f aca="false">SUM(CD82:CD110)</f>
        <v>0</v>
      </c>
      <c r="CE112" s="128" t="n">
        <f aca="false">SUM(CE82:CE110)</f>
        <v>0</v>
      </c>
      <c r="CF112" s="128" t="n">
        <f aca="false">SUM(CF82:CF110)</f>
        <v>0</v>
      </c>
      <c r="CG112" s="128" t="n">
        <f aca="false">SUM(CG82:CG110)</f>
        <v>0</v>
      </c>
      <c r="CH112" s="128" t="n">
        <f aca="false">SUM(CH82:CH110)</f>
        <v>0</v>
      </c>
      <c r="CI112" s="128" t="n">
        <f aca="false">SUM(CI82:CI110)</f>
        <v>0</v>
      </c>
      <c r="CJ112" s="128" t="n">
        <f aca="false">SUM(CJ82:CJ110)</f>
        <v>0</v>
      </c>
      <c r="CK112" s="128" t="n">
        <f aca="false">SUM(CK82:CK110)</f>
        <v>0</v>
      </c>
      <c r="CL112" s="128" t="n">
        <f aca="false">SUM(CL82:CL110)</f>
        <v>0</v>
      </c>
      <c r="CM112" s="128" t="n">
        <f aca="false">SUM(CM82:CM110)</f>
        <v>0</v>
      </c>
      <c r="CN112" s="128" t="n">
        <f aca="false">SUM(CN82:CN110)</f>
        <v>0</v>
      </c>
      <c r="CO112" s="128" t="n">
        <f aca="false">SUM(CO82:CO110)</f>
        <v>0</v>
      </c>
      <c r="CP112" s="128" t="n">
        <f aca="false">SUM(CP82:CP110)</f>
        <v>0</v>
      </c>
      <c r="CQ112" s="128" t="n">
        <f aca="false">SUM(CQ82:CQ110)</f>
        <v>0</v>
      </c>
      <c r="CR112" s="128" t="n">
        <f aca="false">SUM(CR82:CR110)</f>
        <v>0</v>
      </c>
      <c r="CS112" s="128" t="n">
        <f aca="false">SUM(CS82:CS110)</f>
        <v>0</v>
      </c>
      <c r="CT112" s="128" t="n">
        <f aca="false">SUM(CT82:CT110)</f>
        <v>0</v>
      </c>
    </row>
    <row r="113" customFormat="false" ht="15" hidden="false" customHeight="true" outlineLevel="0" collapsed="false">
      <c r="A113" s="81" t="s">
        <v>275</v>
      </c>
      <c r="C113" s="130"/>
      <c r="D113" s="130"/>
      <c r="E113" s="130"/>
      <c r="F113" s="130"/>
      <c r="G113" s="130"/>
      <c r="H113" s="130" t="n">
        <v>53641.68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/>
      <c r="CC113" s="130"/>
      <c r="CD113" s="130"/>
      <c r="CE113" s="130"/>
      <c r="CF113" s="130"/>
      <c r="CG113" s="130"/>
      <c r="CH113" s="130"/>
      <c r="CI113" s="130"/>
      <c r="CJ113" s="130"/>
      <c r="CK113" s="130"/>
      <c r="CL113" s="130"/>
      <c r="CM113" s="130"/>
      <c r="CN113" s="130"/>
      <c r="CO113" s="130"/>
      <c r="CP113" s="130"/>
      <c r="CQ113" s="130"/>
      <c r="CR113" s="130"/>
      <c r="CS113" s="130"/>
      <c r="CT113" s="130"/>
    </row>
    <row r="114" customFormat="false" ht="15" hidden="false" customHeight="true" outlineLevel="0" collapsed="false">
      <c r="A114" s="81" t="s">
        <v>133</v>
      </c>
      <c r="C114" s="129" t="n">
        <f aca="false">C81+C112+C113</f>
        <v>-164713.14</v>
      </c>
      <c r="D114" s="129" t="n">
        <f aca="false">D81+D112+D113</f>
        <v>-158387.42</v>
      </c>
      <c r="E114" s="129" t="n">
        <f aca="false">E81+E112+E113</f>
        <v>-220909.52</v>
      </c>
      <c r="F114" s="129" t="n">
        <f aca="false">F81+F112+F113</f>
        <v>-161790.14</v>
      </c>
      <c r="G114" s="129" t="n">
        <f aca="false">G81+G112+G113</f>
        <v>-215914.94</v>
      </c>
      <c r="H114" s="129" t="n">
        <f aca="false">H81+H112+H113</f>
        <v>185173.79</v>
      </c>
      <c r="I114" s="129" t="n">
        <f aca="false">I81+I112+I113</f>
        <v>0</v>
      </c>
      <c r="J114" s="129" t="n">
        <f aca="false">J81+J112+J113</f>
        <v>0</v>
      </c>
      <c r="K114" s="129" t="n">
        <f aca="false">K81+K112+K113</f>
        <v>0</v>
      </c>
      <c r="L114" s="129" t="n">
        <f aca="false">L81+L112+L113</f>
        <v>0</v>
      </c>
      <c r="M114" s="129" t="n">
        <f aca="false">M81+M112+M113</f>
        <v>0</v>
      </c>
      <c r="N114" s="129" t="n">
        <f aca="false">N81+N112+N113</f>
        <v>0</v>
      </c>
      <c r="O114" s="129" t="n">
        <f aca="false">O81+O112+O113</f>
        <v>0</v>
      </c>
      <c r="P114" s="129" t="n">
        <f aca="false">P81+P112+P113</f>
        <v>0</v>
      </c>
      <c r="Q114" s="129" t="n">
        <f aca="false">Q81+Q112+Q113</f>
        <v>0</v>
      </c>
      <c r="R114" s="129" t="n">
        <f aca="false">R81+R112+R113</f>
        <v>0</v>
      </c>
      <c r="S114" s="129" t="n">
        <f aca="false">S81+S112+S113</f>
        <v>0</v>
      </c>
      <c r="T114" s="129" t="n">
        <f aca="false">T81+T112+T113</f>
        <v>0</v>
      </c>
      <c r="U114" s="129" t="n">
        <f aca="false">U81+U112+U113</f>
        <v>0</v>
      </c>
      <c r="V114" s="129" t="n">
        <f aca="false">V81+V112+V113</f>
        <v>0</v>
      </c>
      <c r="W114" s="129" t="n">
        <f aca="false">W81+W112+W113</f>
        <v>0</v>
      </c>
      <c r="X114" s="129" t="n">
        <f aca="false">X81+X112+X113</f>
        <v>0</v>
      </c>
      <c r="Y114" s="129" t="n">
        <f aca="false">Y81+Y112+Y113</f>
        <v>0</v>
      </c>
      <c r="Z114" s="129" t="n">
        <f aca="false">Z81+Z112+Z113</f>
        <v>0</v>
      </c>
      <c r="AA114" s="129" t="n">
        <f aca="false">AA81+AA112+AA113</f>
        <v>0</v>
      </c>
      <c r="AB114" s="129" t="n">
        <f aca="false">AB81+AB112+AB113</f>
        <v>0</v>
      </c>
      <c r="AC114" s="129" t="n">
        <f aca="false">AC81+AC112+AC113</f>
        <v>0</v>
      </c>
      <c r="AD114" s="129" t="n">
        <f aca="false">AD81+AD112+AD113</f>
        <v>0</v>
      </c>
      <c r="AE114" s="129" t="n">
        <f aca="false">AE81+AE112+AE113</f>
        <v>0</v>
      </c>
      <c r="AF114" s="129" t="n">
        <f aca="false">AF81+AF112+AF113</f>
        <v>0</v>
      </c>
      <c r="AG114" s="129" t="n">
        <f aca="false">AG81+AG112+AG113</f>
        <v>0</v>
      </c>
      <c r="AH114" s="129" t="n">
        <f aca="false">AH81+AH112+AH113</f>
        <v>0</v>
      </c>
      <c r="AI114" s="129" t="n">
        <f aca="false">AI81+AI112+AI113</f>
        <v>0</v>
      </c>
      <c r="AJ114" s="129" t="n">
        <f aca="false">AJ81+AJ112+AJ113</f>
        <v>0</v>
      </c>
      <c r="AK114" s="129" t="n">
        <f aca="false">AK81+AK112+AK113</f>
        <v>0</v>
      </c>
      <c r="AL114" s="129" t="n">
        <f aca="false">AL81+AL112+AL113</f>
        <v>0</v>
      </c>
      <c r="AM114" s="129" t="n">
        <f aca="false">AM81+AM112+AM113</f>
        <v>0</v>
      </c>
      <c r="AN114" s="129" t="n">
        <f aca="false">AN81+AN112+AN113</f>
        <v>0</v>
      </c>
      <c r="AO114" s="129" t="n">
        <f aca="false">AO81+AO112+AO113</f>
        <v>0</v>
      </c>
      <c r="AP114" s="129" t="n">
        <f aca="false">AP81+AP112+AP113</f>
        <v>0</v>
      </c>
      <c r="AQ114" s="129" t="n">
        <f aca="false">AQ81+AQ112+AQ113</f>
        <v>0</v>
      </c>
      <c r="AR114" s="129" t="n">
        <f aca="false">AR81+AR112+AR113</f>
        <v>0</v>
      </c>
      <c r="AS114" s="129" t="n">
        <f aca="false">AS81+AS112+AS113</f>
        <v>0</v>
      </c>
      <c r="AT114" s="129" t="n">
        <f aca="false">AT81+AT112+AT113</f>
        <v>0</v>
      </c>
      <c r="AU114" s="129" t="n">
        <f aca="false">AU81+AU112+AU113</f>
        <v>0</v>
      </c>
      <c r="AV114" s="129" t="n">
        <f aca="false">AV81+AV112+AV113</f>
        <v>0</v>
      </c>
      <c r="AW114" s="129" t="n">
        <f aca="false">AW81+AW112+AW113</f>
        <v>0</v>
      </c>
      <c r="AX114" s="129" t="n">
        <f aca="false">AX81+AX112+AX113</f>
        <v>0</v>
      </c>
      <c r="AY114" s="129" t="n">
        <f aca="false">AY81+AY112+AY113</f>
        <v>0</v>
      </c>
      <c r="AZ114" s="129" t="n">
        <f aca="false">AZ81+AZ112+AZ113</f>
        <v>0</v>
      </c>
      <c r="BA114" s="129" t="n">
        <f aca="false">BA81+BA112+BA113</f>
        <v>0</v>
      </c>
      <c r="BB114" s="129" t="n">
        <f aca="false">BB81+BB112+BB113</f>
        <v>0</v>
      </c>
      <c r="BC114" s="129" t="n">
        <f aca="false">BC81+BC112+BC113</f>
        <v>0</v>
      </c>
      <c r="BD114" s="129" t="n">
        <f aca="false">BD81+BD112+BD113</f>
        <v>0</v>
      </c>
      <c r="BE114" s="129" t="n">
        <f aca="false">BE81+BE112+BE113</f>
        <v>0</v>
      </c>
      <c r="BF114" s="129" t="n">
        <f aca="false">BF81+BF112+BF113</f>
        <v>0</v>
      </c>
      <c r="BG114" s="129" t="n">
        <f aca="false">BG81+BG112+BG113</f>
        <v>0</v>
      </c>
      <c r="BH114" s="129" t="n">
        <f aca="false">BH81+BH112+BH113</f>
        <v>0</v>
      </c>
      <c r="BI114" s="129" t="n">
        <f aca="false">BI81+BI112+BI113</f>
        <v>0</v>
      </c>
      <c r="BJ114" s="129" t="n">
        <f aca="false">BJ81+BJ112+BJ113</f>
        <v>0</v>
      </c>
      <c r="BK114" s="129" t="n">
        <f aca="false">BK81+BK112+BK113</f>
        <v>0</v>
      </c>
      <c r="BL114" s="129" t="n">
        <f aca="false">BL81+BL112+BL113</f>
        <v>0</v>
      </c>
      <c r="BM114" s="129" t="n">
        <f aca="false">BM81+BM112+BM113</f>
        <v>0</v>
      </c>
      <c r="BN114" s="129" t="n">
        <f aca="false">BN81+BN112+BN113</f>
        <v>0</v>
      </c>
      <c r="BO114" s="129" t="n">
        <f aca="false">BO81+BO112+BO113</f>
        <v>0</v>
      </c>
      <c r="BP114" s="129" t="n">
        <f aca="false">BP81+BP112+BP113</f>
        <v>0</v>
      </c>
      <c r="BQ114" s="129" t="n">
        <f aca="false">BQ81+BQ112+BQ113</f>
        <v>0</v>
      </c>
      <c r="BR114" s="129" t="n">
        <f aca="false">BR81+BR112+BR113</f>
        <v>0</v>
      </c>
      <c r="BS114" s="129" t="n">
        <f aca="false">BS81+BS112+BS113</f>
        <v>0</v>
      </c>
      <c r="BT114" s="129" t="n">
        <f aca="false">BT81+BT112+BT113</f>
        <v>0</v>
      </c>
      <c r="BU114" s="129" t="n">
        <f aca="false">BU81+BU112+BU113</f>
        <v>0</v>
      </c>
      <c r="BV114" s="129" t="n">
        <f aca="false">BV81+BV112+BV113</f>
        <v>0</v>
      </c>
      <c r="BW114" s="129" t="n">
        <f aca="false">BW81+BW112+BW113</f>
        <v>0</v>
      </c>
      <c r="BX114" s="129" t="n">
        <f aca="false">BX81+BX112+BX113</f>
        <v>0</v>
      </c>
      <c r="BY114" s="129" t="n">
        <f aca="false">BY81+BY112+BY113</f>
        <v>0</v>
      </c>
      <c r="BZ114" s="129" t="n">
        <f aca="false">BZ81+BZ112+BZ113</f>
        <v>0</v>
      </c>
      <c r="CA114" s="129" t="n">
        <f aca="false">CA81+CA112+CA113</f>
        <v>0</v>
      </c>
      <c r="CB114" s="129" t="n">
        <f aca="false">CB81+CB112+CB113</f>
        <v>0</v>
      </c>
      <c r="CC114" s="129" t="n">
        <f aca="false">CC81+CC112+CC113</f>
        <v>0</v>
      </c>
      <c r="CD114" s="129" t="n">
        <f aca="false">CD81+CD112+CD113</f>
        <v>0</v>
      </c>
      <c r="CE114" s="129" t="n">
        <f aca="false">CE81+CE112+CE113</f>
        <v>0</v>
      </c>
      <c r="CF114" s="129" t="n">
        <f aca="false">CF81+CF112+CF113</f>
        <v>0</v>
      </c>
      <c r="CG114" s="129" t="n">
        <f aca="false">CG81+CG112+CG113</f>
        <v>0</v>
      </c>
      <c r="CH114" s="129" t="n">
        <f aca="false">CH81+CH112+CH113</f>
        <v>0</v>
      </c>
      <c r="CI114" s="129" t="n">
        <f aca="false">CI81+CI112+CI113</f>
        <v>0</v>
      </c>
      <c r="CJ114" s="129" t="n">
        <f aca="false">CJ81+CJ112+CJ113</f>
        <v>0</v>
      </c>
      <c r="CK114" s="129" t="n">
        <f aca="false">CK81+CK112+CK113</f>
        <v>0</v>
      </c>
      <c r="CL114" s="129" t="n">
        <f aca="false">CL81+CL112+CL113</f>
        <v>0</v>
      </c>
      <c r="CM114" s="129" t="n">
        <f aca="false">CM81+CM112+CM113</f>
        <v>0</v>
      </c>
      <c r="CN114" s="129" t="n">
        <f aca="false">CN81+CN112+CN113</f>
        <v>0</v>
      </c>
      <c r="CO114" s="129" t="n">
        <f aca="false">CO81+CO112+CO113</f>
        <v>0</v>
      </c>
      <c r="CP114" s="129" t="n">
        <f aca="false">CP81+CP112+CP113</f>
        <v>0</v>
      </c>
      <c r="CQ114" s="129" t="n">
        <f aca="false">CQ81+CQ112+CQ113</f>
        <v>0</v>
      </c>
      <c r="CR114" s="129" t="n">
        <f aca="false">CR81+CR112+CR113</f>
        <v>0</v>
      </c>
      <c r="CS114" s="129" t="n">
        <f aca="false">CS81+CS112+CS113</f>
        <v>0</v>
      </c>
      <c r="CT114" s="129" t="n">
        <f aca="false">CT81+CT112+CT113</f>
        <v>0</v>
      </c>
    </row>
    <row r="115" customFormat="false" ht="15" hidden="false" customHeight="true" outlineLevel="0" collapsed="false"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/>
      <c r="AW115" s="130"/>
      <c r="AX115" s="130"/>
      <c r="AY115" s="130"/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/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Z10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P96" activeCellId="0" sqref="P9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52" min="2" style="1" width="12.42"/>
  </cols>
  <sheetData>
    <row r="1" customFormat="false" ht="17.25" hidden="false" customHeight="true" outlineLevel="0" collapsed="false">
      <c r="A1" s="114" t="s">
        <v>276</v>
      </c>
    </row>
    <row r="2" customFormat="false" ht="15" hidden="false" customHeight="true" outlineLevel="0" collapsed="false">
      <c r="A2" s="115" t="s">
        <v>277</v>
      </c>
    </row>
    <row r="4" customFormat="false" ht="15" hidden="false" customHeight="true" outlineLevel="0" collapsed="false">
      <c r="B4" s="131" t="s">
        <v>278</v>
      </c>
      <c r="C4" s="131"/>
      <c r="D4" s="131"/>
      <c r="E4" s="131"/>
      <c r="F4" s="131" t="s">
        <v>279</v>
      </c>
      <c r="G4" s="131"/>
      <c r="H4" s="131"/>
      <c r="I4" s="131"/>
      <c r="J4" s="131" t="s">
        <v>280</v>
      </c>
      <c r="K4" s="131"/>
      <c r="L4" s="131"/>
      <c r="M4" s="131"/>
      <c r="N4" s="131" t="s">
        <v>281</v>
      </c>
      <c r="O4" s="131"/>
      <c r="P4" s="131"/>
      <c r="Q4" s="131"/>
      <c r="R4" s="131" t="s">
        <v>282</v>
      </c>
      <c r="S4" s="131"/>
      <c r="T4" s="131"/>
      <c r="U4" s="131"/>
      <c r="V4" s="131" t="s">
        <v>283</v>
      </c>
      <c r="W4" s="131"/>
      <c r="X4" s="131"/>
      <c r="Y4" s="131"/>
      <c r="Z4" s="131" t="s">
        <v>284</v>
      </c>
      <c r="AA4" s="131"/>
      <c r="AB4" s="131"/>
      <c r="AC4" s="131"/>
      <c r="AD4" s="131" t="s">
        <v>285</v>
      </c>
      <c r="AE4" s="131"/>
      <c r="AF4" s="131"/>
      <c r="AG4" s="131"/>
      <c r="AH4" s="131" t="s">
        <v>286</v>
      </c>
      <c r="AI4" s="131"/>
      <c r="AJ4" s="131"/>
      <c r="AK4" s="131"/>
      <c r="AL4" s="131" t="s">
        <v>287</v>
      </c>
      <c r="AM4" s="131"/>
      <c r="AN4" s="131"/>
      <c r="AO4" s="131"/>
      <c r="AP4" s="131" t="s">
        <v>288</v>
      </c>
      <c r="AQ4" s="131"/>
      <c r="AR4" s="131"/>
      <c r="AS4" s="131"/>
      <c r="AT4" s="131" t="s">
        <v>289</v>
      </c>
      <c r="AU4" s="131"/>
      <c r="AV4" s="131"/>
      <c r="AW4" s="131"/>
      <c r="AX4" s="132" t="s">
        <v>290</v>
      </c>
      <c r="AY4" s="132"/>
      <c r="AZ4" s="132"/>
    </row>
    <row r="5" customFormat="false" ht="15" hidden="false" customHeight="true" outlineLevel="0" collapsed="false">
      <c r="A5" s="133" t="s">
        <v>291</v>
      </c>
      <c r="B5" s="133" t="s">
        <v>292</v>
      </c>
      <c r="C5" s="133" t="s">
        <v>293</v>
      </c>
      <c r="D5" s="133" t="s">
        <v>294</v>
      </c>
      <c r="E5" s="133" t="s">
        <v>295</v>
      </c>
      <c r="F5" s="133" t="s">
        <v>292</v>
      </c>
      <c r="G5" s="133" t="s">
        <v>293</v>
      </c>
      <c r="H5" s="133" t="s">
        <v>294</v>
      </c>
      <c r="I5" s="133" t="s">
        <v>295</v>
      </c>
      <c r="J5" s="133" t="s">
        <v>292</v>
      </c>
      <c r="K5" s="133" t="s">
        <v>293</v>
      </c>
      <c r="L5" s="133" t="s">
        <v>294</v>
      </c>
      <c r="M5" s="133" t="s">
        <v>295</v>
      </c>
      <c r="N5" s="133" t="s">
        <v>292</v>
      </c>
      <c r="O5" s="133" t="s">
        <v>293</v>
      </c>
      <c r="P5" s="133" t="s">
        <v>294</v>
      </c>
      <c r="Q5" s="133" t="s">
        <v>295</v>
      </c>
      <c r="R5" s="133" t="s">
        <v>292</v>
      </c>
      <c r="S5" s="133" t="s">
        <v>293</v>
      </c>
      <c r="T5" s="133" t="s">
        <v>294</v>
      </c>
      <c r="U5" s="133" t="s">
        <v>295</v>
      </c>
      <c r="V5" s="133" t="s">
        <v>292</v>
      </c>
      <c r="W5" s="133" t="s">
        <v>293</v>
      </c>
      <c r="X5" s="133" t="s">
        <v>294</v>
      </c>
      <c r="Y5" s="133" t="s">
        <v>295</v>
      </c>
      <c r="Z5" s="133" t="s">
        <v>292</v>
      </c>
      <c r="AA5" s="133" t="s">
        <v>293</v>
      </c>
      <c r="AB5" s="133" t="s">
        <v>294</v>
      </c>
      <c r="AC5" s="133" t="s">
        <v>295</v>
      </c>
      <c r="AD5" s="133" t="s">
        <v>292</v>
      </c>
      <c r="AE5" s="133" t="s">
        <v>293</v>
      </c>
      <c r="AF5" s="133" t="s">
        <v>294</v>
      </c>
      <c r="AG5" s="133" t="s">
        <v>295</v>
      </c>
      <c r="AH5" s="133" t="s">
        <v>292</v>
      </c>
      <c r="AI5" s="133" t="s">
        <v>293</v>
      </c>
      <c r="AJ5" s="133" t="s">
        <v>294</v>
      </c>
      <c r="AK5" s="133" t="s">
        <v>295</v>
      </c>
      <c r="AL5" s="133" t="s">
        <v>292</v>
      </c>
      <c r="AM5" s="133" t="s">
        <v>293</v>
      </c>
      <c r="AN5" s="133" t="s">
        <v>294</v>
      </c>
      <c r="AO5" s="133" t="s">
        <v>295</v>
      </c>
      <c r="AP5" s="133" t="s">
        <v>292</v>
      </c>
      <c r="AQ5" s="133" t="s">
        <v>293</v>
      </c>
      <c r="AR5" s="133" t="s">
        <v>294</v>
      </c>
      <c r="AS5" s="133" t="s">
        <v>295</v>
      </c>
      <c r="AT5" s="133" t="s">
        <v>292</v>
      </c>
      <c r="AU5" s="133" t="s">
        <v>293</v>
      </c>
      <c r="AV5" s="133" t="s">
        <v>294</v>
      </c>
      <c r="AW5" s="133" t="s">
        <v>295</v>
      </c>
      <c r="AX5" s="134" t="s">
        <v>296</v>
      </c>
      <c r="AY5" s="134" t="s">
        <v>297</v>
      </c>
      <c r="AZ5" s="134" t="s">
        <v>298</v>
      </c>
    </row>
    <row r="6" customFormat="false" ht="15" hidden="false" customHeight="true" outlineLevel="0" collapsed="false">
      <c r="A6" s="135" t="s">
        <v>4</v>
      </c>
      <c r="B6" s="136" t="n">
        <f aca="false">'Original Budget'!C8</f>
        <v>116363.3</v>
      </c>
      <c r="C6" s="136" t="n">
        <f aca="false">IF(ISBLANK(Actuals!C8),"",Actuals!C8)</f>
        <v>116367.35</v>
      </c>
      <c r="D6" s="137" t="n">
        <f aca="false">IF(ISBLANK(Actuals!C8),"",'Original Budget'!C8-Actuals!C8)</f>
        <v>-4.05000000000291</v>
      </c>
      <c r="E6" s="137" t="n">
        <f aca="false">IFERROR(IF(ISBLANK(Actuals!C8),"",('Original Budget'!C8-Actuals!C8)/ABS('Original Budget'!C8)),"")</f>
        <v>-3.48047881076156E-005</v>
      </c>
      <c r="F6" s="136" t="n">
        <f aca="false">'Original Budget'!D8</f>
        <v>138801.52</v>
      </c>
      <c r="G6" s="136" t="n">
        <f aca="false">IF(ISBLANK(Actuals!D8),"",Actuals!D8)</f>
        <v>138804.22</v>
      </c>
      <c r="H6" s="137" t="n">
        <f aca="false">IF(ISBLANK(Actuals!D8),"",'Original Budget'!D8-Actuals!D8)</f>
        <v>-2.70000000001164</v>
      </c>
      <c r="I6" s="137" t="n">
        <f aca="false">IFERROR(IF(ISBLANK(Actuals!D8),"",('Original Budget'!D8-Actuals!D8)/ABS('Original Budget'!D8)),"")</f>
        <v>-1.94522365461966E-005</v>
      </c>
      <c r="J6" s="136" t="n">
        <f aca="false">'Original Budget'!E8</f>
        <v>219366.88</v>
      </c>
      <c r="K6" s="136" t="n">
        <f aca="false">IF(ISBLANK(Actuals!E8),"",Actuals!E8)</f>
        <v>219366.88</v>
      </c>
      <c r="L6" s="137" t="n">
        <f aca="false">IF(ISBLANK(Actuals!E8),"",'Original Budget'!E8-Actuals!E8)</f>
        <v>0</v>
      </c>
      <c r="M6" s="137" t="n">
        <f aca="false">IFERROR(IF(ISBLANK(Actuals!E8),"",('Original Budget'!E8-Actuals!E8)/ABS('Original Budget'!E8)),"")</f>
        <v>0</v>
      </c>
      <c r="N6" s="136" t="n">
        <f aca="false">'Original Budget'!F8</f>
        <v>267934.879957489</v>
      </c>
      <c r="O6" s="136" t="n">
        <f aca="false">IF(ISBLANK(Actuals!F8),"",Actuals!F8)</f>
        <v>212079.14</v>
      </c>
      <c r="P6" s="137" t="n">
        <f aca="false">IF(ISBLANK(Actuals!F8),"",'Original Budget'!F8-Actuals!F8)</f>
        <v>55855.739957489</v>
      </c>
      <c r="Q6" s="137" t="n">
        <f aca="false">IFERROR(IF(ISBLANK(Actuals!F8),"",('Original Budget'!F8-Actuals!F8)/ABS('Original Budget'!F8)),"")</f>
        <v>0.208467594687004</v>
      </c>
      <c r="R6" s="136" t="n">
        <f aca="false">'Original Budget'!G8</f>
        <v>267934.879957489</v>
      </c>
      <c r="S6" s="136" t="n">
        <f aca="false">IF(ISBLANK(Actuals!G8),"",Actuals!G8)</f>
        <v>267726.14</v>
      </c>
      <c r="T6" s="137" t="n">
        <f aca="false">IF(ISBLANK(Actuals!G8),"",'Original Budget'!G8-Actuals!G8)</f>
        <v>208.739957489015</v>
      </c>
      <c r="U6" s="137" t="n">
        <f aca="false">IFERROR(IF(ISBLANK(Actuals!G8),"",('Original Budget'!G8-Actuals!G8)/ABS('Original Budget'!G8)),"")</f>
        <v>0.000779069740834542</v>
      </c>
      <c r="V6" s="136" t="n">
        <f aca="false">'Original Budget'!H8</f>
        <v>267934.879957489</v>
      </c>
      <c r="W6" s="136" t="n">
        <f aca="false">IF(ISBLANK(Actuals!H8),"",Actuals!H8)</f>
        <v>374773.89</v>
      </c>
      <c r="X6" s="137" t="n">
        <f aca="false">IF(ISBLANK(Actuals!H8),"",'Original Budget'!H8-Actuals!H8)</f>
        <v>-106839.010042511</v>
      </c>
      <c r="Y6" s="137" t="n">
        <f aca="false">IFERROR(IF(ISBLANK(Actuals!H8),"",('Original Budget'!H8-Actuals!H8)/ABS('Original Budget'!H8)),"")</f>
        <v>-0.398749912887274</v>
      </c>
      <c r="Z6" s="136" t="n">
        <f aca="false">'Original Budget'!I8</f>
        <v>361542.001995889</v>
      </c>
      <c r="AA6" s="136" t="str">
        <f aca="false">IF(ISBLANK(Actuals!I8),"",Actuals!I8)</f>
        <v/>
      </c>
      <c r="AB6" s="137" t="str">
        <f aca="false">IF(ISBLANK(Actuals!I8),"",'Original Budget'!I8-Actuals!I8)</f>
        <v/>
      </c>
      <c r="AC6" s="137" t="str">
        <f aca="false">IFERROR(IF(ISBLANK(Actuals!I8),"",('Original Budget'!I8-Actuals!I8)/ABS('Original Budget'!I8)),"")</f>
        <v/>
      </c>
      <c r="AD6" s="136" t="n">
        <f aca="false">'Original Budget'!J8</f>
        <v>361542.001995889</v>
      </c>
      <c r="AE6" s="136" t="str">
        <f aca="false">IF(ISBLANK(Actuals!J8),"",Actuals!J8)</f>
        <v/>
      </c>
      <c r="AF6" s="137" t="str">
        <f aca="false">IF(ISBLANK(Actuals!J8),"",'Original Budget'!J8-Actuals!J8)</f>
        <v/>
      </c>
      <c r="AG6" s="137" t="str">
        <f aca="false">IFERROR(IF(ISBLANK(Actuals!J8),"",('Original Budget'!J8-Actuals!J8)/ABS('Original Budget'!J8)),"")</f>
        <v/>
      </c>
      <c r="AH6" s="136" t="n">
        <f aca="false">'Original Budget'!K8</f>
        <v>361542.001995889</v>
      </c>
      <c r="AI6" s="136" t="str">
        <f aca="false">IF(ISBLANK(Actuals!K8),"",Actuals!K8)</f>
        <v/>
      </c>
      <c r="AJ6" s="137" t="str">
        <f aca="false">IF(ISBLANK(Actuals!K8),"",'Original Budget'!K8-Actuals!K8)</f>
        <v/>
      </c>
      <c r="AK6" s="137" t="str">
        <f aca="false">IFERROR(IF(ISBLANK(Actuals!K8),"",('Original Budget'!K8-Actuals!K8)/ABS('Original Budget'!K8)),"")</f>
        <v/>
      </c>
      <c r="AL6" s="136" t="n">
        <f aca="false">'Original Budget'!L8</f>
        <v>442929.46088908</v>
      </c>
      <c r="AM6" s="136" t="str">
        <f aca="false">IF(ISBLANK(Actuals!L8),"",Actuals!L8)</f>
        <v/>
      </c>
      <c r="AN6" s="137" t="str">
        <f aca="false">IF(ISBLANK(Actuals!L8),"",'Original Budget'!L8-Actuals!L8)</f>
        <v/>
      </c>
      <c r="AO6" s="137" t="str">
        <f aca="false">IFERROR(IF(ISBLANK(Actuals!L8),"",('Original Budget'!L8-Actuals!L8)/ABS('Original Budget'!L8)),"")</f>
        <v/>
      </c>
      <c r="AP6" s="136" t="n">
        <f aca="false">'Original Budget'!M8</f>
        <v>525344.508604757</v>
      </c>
      <c r="AQ6" s="136" t="str">
        <f aca="false">IF(ISBLANK(Actuals!M8),"",Actuals!M8)</f>
        <v/>
      </c>
      <c r="AR6" s="137" t="str">
        <f aca="false">IF(ISBLANK(Actuals!M8),"",'Original Budget'!M8-Actuals!M8)</f>
        <v/>
      </c>
      <c r="AS6" s="137" t="str">
        <f aca="false">IFERROR(IF(ISBLANK(Actuals!M8),"",('Original Budget'!M8-Actuals!M8)/ABS('Original Budget'!M8)),"")</f>
        <v/>
      </c>
      <c r="AT6" s="136" t="n">
        <f aca="false">'Original Budget'!N8</f>
        <v>442616.790480539</v>
      </c>
      <c r="AU6" s="136" t="str">
        <f aca="false">IF(ISBLANK(Actuals!N8),"",Actuals!N8)</f>
        <v/>
      </c>
      <c r="AV6" s="137" t="str">
        <f aca="false">IF(ISBLANK(Actuals!N8),"",'Original Budget'!N8-Actuals!N8)</f>
        <v/>
      </c>
      <c r="AW6" s="137" t="str">
        <f aca="false">IFERROR(IF(ISBLANK(Actuals!N8),"",('Original Budget'!N8-Actuals!N8)/ABS('Original Budget'!N8)),"")</f>
        <v/>
      </c>
      <c r="AX6" s="138" t="n">
        <f aca="false">SUMPRODUCT((Actuals!C8:N8&lt;&gt;"")*('Original Budget'!C8:N8))</f>
        <v>1278336.33987247</v>
      </c>
      <c r="AY6" s="138" t="n">
        <f aca="false">SUM(Actuals!C8:N8)</f>
        <v>1329117.62</v>
      </c>
      <c r="AZ6" s="139" t="n">
        <f aca="false">AX6-AY6</f>
        <v>-50781.280127533</v>
      </c>
    </row>
    <row r="7" customFormat="false" ht="15" hidden="false" customHeight="true" outlineLevel="0" collapsed="false">
      <c r="A7" s="135" t="s">
        <v>271</v>
      </c>
      <c r="B7" s="136" t="n">
        <f aca="false">'Original Budget'!C9</f>
        <v>0</v>
      </c>
      <c r="C7" s="136" t="n">
        <f aca="false">IF(ISBLANK(Actuals!C9),"",Actuals!C9)</f>
        <v>0</v>
      </c>
      <c r="D7" s="137" t="n">
        <f aca="false">IF(ISBLANK(Actuals!C9),"",'Original Budget'!C9-Actuals!C9)</f>
        <v>0</v>
      </c>
      <c r="E7" s="137" t="str">
        <f aca="false">IFERROR(IF(ISBLANK(Actuals!C9),"",('Original Budget'!C9-Actuals!C9)/ABS('Original Budget'!C9)),"")</f>
        <v/>
      </c>
      <c r="F7" s="136" t="n">
        <f aca="false">'Original Budget'!D9</f>
        <v>0</v>
      </c>
      <c r="G7" s="136" t="n">
        <f aca="false">IF(ISBLANK(Actuals!D9),"",Actuals!D9)</f>
        <v>0</v>
      </c>
      <c r="H7" s="137" t="n">
        <f aca="false">IF(ISBLANK(Actuals!D9),"",'Original Budget'!D9-Actuals!D9)</f>
        <v>0</v>
      </c>
      <c r="I7" s="137" t="str">
        <f aca="false">IFERROR(IF(ISBLANK(Actuals!D9),"",('Original Budget'!D9-Actuals!D9)/ABS('Original Budget'!D9)),"")</f>
        <v/>
      </c>
      <c r="J7" s="136" t="n">
        <f aca="false">'Original Budget'!E9</f>
        <v>0</v>
      </c>
      <c r="K7" s="136" t="n">
        <f aca="false">IF(ISBLANK(Actuals!E9),"",Actuals!E9)</f>
        <v>0</v>
      </c>
      <c r="L7" s="137" t="n">
        <f aca="false">IF(ISBLANK(Actuals!E9),"",'Original Budget'!E9-Actuals!E9)</f>
        <v>0</v>
      </c>
      <c r="M7" s="137" t="str">
        <f aca="false">IFERROR(IF(ISBLANK(Actuals!E9),"",('Original Budget'!E9-Actuals!E9)/ABS('Original Budget'!E9)),"")</f>
        <v/>
      </c>
      <c r="N7" s="136" t="n">
        <f aca="false">'Original Budget'!F9</f>
        <v>0</v>
      </c>
      <c r="O7" s="136" t="n">
        <f aca="false">IF(ISBLANK(Actuals!F9),"",Actuals!F9)</f>
        <v>0</v>
      </c>
      <c r="P7" s="137" t="n">
        <f aca="false">IF(ISBLANK(Actuals!F9),"",'Original Budget'!F9-Actuals!F9)</f>
        <v>0</v>
      </c>
      <c r="Q7" s="137" t="str">
        <f aca="false">IFERROR(IF(ISBLANK(Actuals!F9),"",('Original Budget'!F9-Actuals!F9)/ABS('Original Budget'!F9)),"")</f>
        <v/>
      </c>
      <c r="R7" s="136" t="n">
        <f aca="false">'Original Budget'!G9</f>
        <v>0</v>
      </c>
      <c r="S7" s="136" t="n">
        <f aca="false">IF(ISBLANK(Actuals!G9),"",Actuals!G9)</f>
        <v>0</v>
      </c>
      <c r="T7" s="137" t="n">
        <f aca="false">IF(ISBLANK(Actuals!G9),"",'Original Budget'!G9-Actuals!G9)</f>
        <v>0</v>
      </c>
      <c r="U7" s="137" t="str">
        <f aca="false">IFERROR(IF(ISBLANK(Actuals!G9),"",('Original Budget'!G9-Actuals!G9)/ABS('Original Budget'!G9)),"")</f>
        <v/>
      </c>
      <c r="V7" s="136" t="n">
        <f aca="false">'Original Budget'!H9</f>
        <v>0</v>
      </c>
      <c r="W7" s="136" t="n">
        <f aca="false">IF(ISBLANK(Actuals!H9),"",Actuals!H9)</f>
        <v>0</v>
      </c>
      <c r="X7" s="137" t="n">
        <f aca="false">IF(ISBLANK(Actuals!H9),"",'Original Budget'!H9-Actuals!H9)</f>
        <v>0</v>
      </c>
      <c r="Y7" s="137" t="str">
        <f aca="false">IFERROR(IF(ISBLANK(Actuals!H9),"",('Original Budget'!H9-Actuals!H9)/ABS('Original Budget'!H9)),"")</f>
        <v/>
      </c>
      <c r="Z7" s="136" t="n">
        <f aca="false">'Original Budget'!I9</f>
        <v>0</v>
      </c>
      <c r="AA7" s="136" t="str">
        <f aca="false">IF(ISBLANK(Actuals!I9),"",Actuals!I9)</f>
        <v/>
      </c>
      <c r="AB7" s="137" t="str">
        <f aca="false">IF(ISBLANK(Actuals!I9),"",'Original Budget'!I9-Actuals!I9)</f>
        <v/>
      </c>
      <c r="AC7" s="137" t="str">
        <f aca="false">IFERROR(IF(ISBLANK(Actuals!I9),"",('Original Budget'!I9-Actuals!I9)/ABS('Original Budget'!I9)),"")</f>
        <v/>
      </c>
      <c r="AD7" s="136" t="n">
        <f aca="false">'Original Budget'!J9</f>
        <v>0</v>
      </c>
      <c r="AE7" s="136" t="str">
        <f aca="false">IF(ISBLANK(Actuals!J9),"",Actuals!J9)</f>
        <v/>
      </c>
      <c r="AF7" s="137" t="str">
        <f aca="false">IF(ISBLANK(Actuals!J9),"",'Original Budget'!J9-Actuals!J9)</f>
        <v/>
      </c>
      <c r="AG7" s="137" t="str">
        <f aca="false">IFERROR(IF(ISBLANK(Actuals!J9),"",('Original Budget'!J9-Actuals!J9)/ABS('Original Budget'!J9)),"")</f>
        <v/>
      </c>
      <c r="AH7" s="136" t="n">
        <f aca="false">'Original Budget'!K9</f>
        <v>0</v>
      </c>
      <c r="AI7" s="136" t="str">
        <f aca="false">IF(ISBLANK(Actuals!K9),"",Actuals!K9)</f>
        <v/>
      </c>
      <c r="AJ7" s="137" t="str">
        <f aca="false">IF(ISBLANK(Actuals!K9),"",'Original Budget'!K9-Actuals!K9)</f>
        <v/>
      </c>
      <c r="AK7" s="137" t="str">
        <f aca="false">IFERROR(IF(ISBLANK(Actuals!K9),"",('Original Budget'!K9-Actuals!K9)/ABS('Original Budget'!K9)),"")</f>
        <v/>
      </c>
      <c r="AL7" s="136" t="n">
        <f aca="false">'Original Budget'!L9</f>
        <v>0</v>
      </c>
      <c r="AM7" s="136" t="str">
        <f aca="false">IF(ISBLANK(Actuals!L9),"",Actuals!L9)</f>
        <v/>
      </c>
      <c r="AN7" s="137" t="str">
        <f aca="false">IF(ISBLANK(Actuals!L9),"",'Original Budget'!L9-Actuals!L9)</f>
        <v/>
      </c>
      <c r="AO7" s="137" t="str">
        <f aca="false">IFERROR(IF(ISBLANK(Actuals!L9),"",('Original Budget'!L9-Actuals!L9)/ABS('Original Budget'!L9)),"")</f>
        <v/>
      </c>
      <c r="AP7" s="136" t="n">
        <f aca="false">'Original Budget'!M9</f>
        <v>0</v>
      </c>
      <c r="AQ7" s="136" t="str">
        <f aca="false">IF(ISBLANK(Actuals!M9),"",Actuals!M9)</f>
        <v/>
      </c>
      <c r="AR7" s="137" t="str">
        <f aca="false">IF(ISBLANK(Actuals!M9),"",'Original Budget'!M9-Actuals!M9)</f>
        <v/>
      </c>
      <c r="AS7" s="137" t="str">
        <f aca="false">IFERROR(IF(ISBLANK(Actuals!M9),"",('Original Budget'!M9-Actuals!M9)/ABS('Original Budget'!M9)),"")</f>
        <v/>
      </c>
      <c r="AT7" s="136" t="n">
        <f aca="false">'Original Budget'!N9</f>
        <v>0</v>
      </c>
      <c r="AU7" s="136" t="str">
        <f aca="false">IF(ISBLANK(Actuals!N9),"",Actuals!N9)</f>
        <v/>
      </c>
      <c r="AV7" s="137" t="str">
        <f aca="false">IF(ISBLANK(Actuals!N9),"",'Original Budget'!N9-Actuals!N9)</f>
        <v/>
      </c>
      <c r="AW7" s="137" t="str">
        <f aca="false">IFERROR(IF(ISBLANK(Actuals!N9),"",('Original Budget'!N9-Actuals!N9)/ABS('Original Budget'!N9)),"")</f>
        <v/>
      </c>
      <c r="AX7" s="138" t="n">
        <f aca="false">SUMPRODUCT((Actuals!C9:N9&lt;&gt;"")*('Original Budget'!C9:N9))</f>
        <v>0</v>
      </c>
      <c r="AY7" s="138" t="n">
        <f aca="false">SUM(Actuals!C9:N9)</f>
        <v>0</v>
      </c>
      <c r="AZ7" s="139" t="n">
        <f aca="false">AX7-AY7</f>
        <v>0</v>
      </c>
    </row>
    <row r="8" customFormat="false" ht="15" hidden="false" customHeight="true" outlineLevel="0" collapsed="false">
      <c r="A8" s="135" t="s">
        <v>5</v>
      </c>
      <c r="B8" s="136" t="n">
        <f aca="false">'Original Budget'!C10</f>
        <v>95370.25</v>
      </c>
      <c r="C8" s="136" t="n">
        <f aca="false">IF(ISBLANK(Actuals!C10),"",Actuals!C10)</f>
        <v>95370.25</v>
      </c>
      <c r="D8" s="137" t="n">
        <f aca="false">IF(ISBLANK(Actuals!C10),"",'Original Budget'!C10-Actuals!C10)</f>
        <v>0</v>
      </c>
      <c r="E8" s="137" t="n">
        <f aca="false">IFERROR(IF(ISBLANK(Actuals!C10),"",('Original Budget'!C10-Actuals!C10)/ABS('Original Budget'!C10)),"")</f>
        <v>0</v>
      </c>
      <c r="F8" s="136" t="n">
        <f aca="false">'Original Budget'!D10</f>
        <v>173282.89</v>
      </c>
      <c r="G8" s="136" t="n">
        <f aca="false">IF(ISBLANK(Actuals!D10),"",Actuals!D10)</f>
        <v>173282.89</v>
      </c>
      <c r="H8" s="137" t="n">
        <f aca="false">IF(ISBLANK(Actuals!D10),"",'Original Budget'!D10-Actuals!D10)</f>
        <v>0</v>
      </c>
      <c r="I8" s="137" t="n">
        <f aca="false">IFERROR(IF(ISBLANK(Actuals!D10),"",('Original Budget'!D10-Actuals!D10)/ABS('Original Budget'!D10)),"")</f>
        <v>0</v>
      </c>
      <c r="J8" s="136" t="n">
        <f aca="false">'Original Budget'!E10</f>
        <v>50438.85</v>
      </c>
      <c r="K8" s="136" t="n">
        <f aca="false">IF(ISBLANK(Actuals!E10),"",Actuals!E10)</f>
        <v>50438.85</v>
      </c>
      <c r="L8" s="137" t="n">
        <f aca="false">IF(ISBLANK(Actuals!E10),"",'Original Budget'!E10-Actuals!E10)</f>
        <v>0</v>
      </c>
      <c r="M8" s="137" t="n">
        <f aca="false">IFERROR(IF(ISBLANK(Actuals!E10),"",('Original Budget'!E10-Actuals!E10)/ABS('Original Budget'!E10)),"")</f>
        <v>0</v>
      </c>
      <c r="N8" s="136" t="n">
        <f aca="false">'Original Budget'!F10</f>
        <v>200950.186296774</v>
      </c>
      <c r="O8" s="136" t="n">
        <f aca="false">IF(ISBLANK(Actuals!F10),"",Actuals!F10)</f>
        <v>167518.85</v>
      </c>
      <c r="P8" s="137" t="n">
        <f aca="false">IF(ISBLANK(Actuals!F10),"",'Original Budget'!F10-Actuals!F10)</f>
        <v>33431.336296774</v>
      </c>
      <c r="Q8" s="137" t="n">
        <f aca="false">IFERROR(IF(ISBLANK(Actuals!F10),"",('Original Budget'!F10-Actuals!F10)/ABS('Original Budget'!F10)),"")</f>
        <v>0.166366286654747</v>
      </c>
      <c r="R8" s="136" t="n">
        <f aca="false">'Original Budget'!G10</f>
        <v>200950.186296774</v>
      </c>
      <c r="S8" s="136" t="n">
        <f aca="false">IF(ISBLANK(Actuals!G10),"",Actuals!G10)</f>
        <v>209057.26</v>
      </c>
      <c r="T8" s="137" t="n">
        <f aca="false">IF(ISBLANK(Actuals!G10),"",'Original Budget'!G10-Actuals!G10)</f>
        <v>-8107.07370322602</v>
      </c>
      <c r="U8" s="137" t="n">
        <f aca="false">IFERROR(IF(ISBLANK(Actuals!G10),"",('Original Budget'!G10-Actuals!G10)/ABS('Original Budget'!G10)),"")</f>
        <v>-0.0403436983693713</v>
      </c>
      <c r="V8" s="136" t="n">
        <f aca="false">'Original Budget'!H10</f>
        <v>200950.186296774</v>
      </c>
      <c r="W8" s="136" t="n">
        <f aca="false">IF(ISBLANK(Actuals!H10),"",Actuals!H10)</f>
        <v>292966.36</v>
      </c>
      <c r="X8" s="137" t="n">
        <f aca="false">IF(ISBLANK(Actuals!H10),"",'Original Budget'!H10-Actuals!H10)</f>
        <v>-92016.173703226</v>
      </c>
      <c r="Y8" s="137" t="n">
        <f aca="false">IFERROR(IF(ISBLANK(Actuals!H10),"",('Original Budget'!H10-Actuals!H10)/ABS('Original Budget'!H10)),"")</f>
        <v>-0.45790539137561</v>
      </c>
      <c r="Z8" s="136" t="n">
        <f aca="false">'Original Budget'!I10</f>
        <v>271155.187658694</v>
      </c>
      <c r="AA8" s="136" t="str">
        <f aca="false">IF(ISBLANK(Actuals!I10),"",Actuals!I10)</f>
        <v/>
      </c>
      <c r="AB8" s="137" t="str">
        <f aca="false">IF(ISBLANK(Actuals!I10),"",'Original Budget'!I10-Actuals!I10)</f>
        <v/>
      </c>
      <c r="AC8" s="137" t="str">
        <f aca="false">IFERROR(IF(ISBLANK(Actuals!I10),"",('Original Budget'!I10-Actuals!I10)/ABS('Original Budget'!I10)),"")</f>
        <v/>
      </c>
      <c r="AD8" s="136" t="n">
        <f aca="false">'Original Budget'!J10</f>
        <v>271155.187658694</v>
      </c>
      <c r="AE8" s="136" t="str">
        <f aca="false">IF(ISBLANK(Actuals!J10),"",Actuals!J10)</f>
        <v/>
      </c>
      <c r="AF8" s="137" t="str">
        <f aca="false">IF(ISBLANK(Actuals!J10),"",'Original Budget'!J10-Actuals!J10)</f>
        <v/>
      </c>
      <c r="AG8" s="137" t="str">
        <f aca="false">IFERROR(IF(ISBLANK(Actuals!J10),"",('Original Budget'!J10-Actuals!J10)/ABS('Original Budget'!J10)),"")</f>
        <v/>
      </c>
      <c r="AH8" s="136" t="n">
        <f aca="false">'Original Budget'!K10</f>
        <v>271155.187658694</v>
      </c>
      <c r="AI8" s="136" t="str">
        <f aca="false">IF(ISBLANK(Actuals!K10),"",Actuals!K10)</f>
        <v/>
      </c>
      <c r="AJ8" s="137" t="str">
        <f aca="false">IF(ISBLANK(Actuals!K10),"",'Original Budget'!K10-Actuals!K10)</f>
        <v/>
      </c>
      <c r="AK8" s="137" t="str">
        <f aca="false">IFERROR(IF(ISBLANK(Actuals!K10),"",('Original Budget'!K10-Actuals!K10)/ABS('Original Budget'!K10)),"")</f>
        <v/>
      </c>
      <c r="AL8" s="136" t="n">
        <f aca="false">'Original Budget'!L10</f>
        <v>332195.486067781</v>
      </c>
      <c r="AM8" s="136" t="str">
        <f aca="false">IF(ISBLANK(Actuals!L10),"",Actuals!L10)</f>
        <v/>
      </c>
      <c r="AN8" s="137" t="str">
        <f aca="false">IF(ISBLANK(Actuals!L10),"",'Original Budget'!L10-Actuals!L10)</f>
        <v/>
      </c>
      <c r="AO8" s="137" t="str">
        <f aca="false">IFERROR(IF(ISBLANK(Actuals!L10),"",('Original Budget'!L10-Actuals!L10)/ABS('Original Budget'!L10)),"")</f>
        <v/>
      </c>
      <c r="AP8" s="136" t="n">
        <f aca="false">'Original Budget'!M10</f>
        <v>394006.472359489</v>
      </c>
      <c r="AQ8" s="136" t="str">
        <f aca="false">IF(ISBLANK(Actuals!M10),"",Actuals!M10)</f>
        <v/>
      </c>
      <c r="AR8" s="137" t="str">
        <f aca="false">IF(ISBLANK(Actuals!M10),"",'Original Budget'!M10-Actuals!M10)</f>
        <v/>
      </c>
      <c r="AS8" s="137" t="str">
        <f aca="false">IFERROR(IF(ISBLANK(Actuals!M10),"",('Original Budget'!M10-Actuals!M10)/ABS('Original Budget'!M10)),"")</f>
        <v/>
      </c>
      <c r="AT8" s="136" t="n">
        <f aca="false">'Original Budget'!N10</f>
        <v>331960.984397614</v>
      </c>
      <c r="AU8" s="136" t="str">
        <f aca="false">IF(ISBLANK(Actuals!N10),"",Actuals!N10)</f>
        <v/>
      </c>
      <c r="AV8" s="137" t="str">
        <f aca="false">IF(ISBLANK(Actuals!N10),"",'Original Budget'!N10-Actuals!N10)</f>
        <v/>
      </c>
      <c r="AW8" s="137" t="str">
        <f aca="false">IFERROR(IF(ISBLANK(Actuals!N10),"",('Original Budget'!N10-Actuals!N10)/ABS('Original Budget'!N10)),"")</f>
        <v/>
      </c>
      <c r="AX8" s="138" t="n">
        <f aca="false">SUMPRODUCT((Actuals!C10:N10&lt;&gt;"")*('Original Budget'!C10:N10))</f>
        <v>921942.548890322</v>
      </c>
      <c r="AY8" s="138" t="n">
        <f aca="false">SUM(Actuals!C10:N10)</f>
        <v>988634.46</v>
      </c>
      <c r="AZ8" s="139" t="n">
        <f aca="false">AX8-AY8</f>
        <v>-66691.911109678</v>
      </c>
    </row>
    <row r="9" customFormat="false" ht="15" hidden="false" customHeight="true" outlineLevel="0" collapsed="false">
      <c r="A9" s="135" t="s">
        <v>272</v>
      </c>
      <c r="B9" s="136" t="n">
        <f aca="false">'Original Budget'!C11</f>
        <v>0</v>
      </c>
      <c r="C9" s="136" t="n">
        <f aca="false">IF(ISBLANK(Actuals!C11),"",Actuals!C11)</f>
        <v>0</v>
      </c>
      <c r="D9" s="137" t="n">
        <f aca="false">IF(ISBLANK(Actuals!C11),"",'Original Budget'!C11-Actuals!C11)</f>
        <v>0</v>
      </c>
      <c r="E9" s="137" t="str">
        <f aca="false">IFERROR(IF(ISBLANK(Actuals!C11),"",('Original Budget'!C11-Actuals!C11)/ABS('Original Budget'!C11)),"")</f>
        <v/>
      </c>
      <c r="F9" s="136" t="n">
        <f aca="false">'Original Budget'!D11</f>
        <v>0</v>
      </c>
      <c r="G9" s="136" t="n">
        <f aca="false">IF(ISBLANK(Actuals!D11),"",Actuals!D11)</f>
        <v>0</v>
      </c>
      <c r="H9" s="137" t="n">
        <f aca="false">IF(ISBLANK(Actuals!D11),"",'Original Budget'!D11-Actuals!D11)</f>
        <v>0</v>
      </c>
      <c r="I9" s="137" t="str">
        <f aca="false">IFERROR(IF(ISBLANK(Actuals!D11),"",('Original Budget'!D11-Actuals!D11)/ABS('Original Budget'!D11)),"")</f>
        <v/>
      </c>
      <c r="J9" s="136" t="n">
        <f aca="false">'Original Budget'!E11</f>
        <v>0</v>
      </c>
      <c r="K9" s="136" t="n">
        <f aca="false">IF(ISBLANK(Actuals!E11),"",Actuals!E11)</f>
        <v>0</v>
      </c>
      <c r="L9" s="137" t="n">
        <f aca="false">IF(ISBLANK(Actuals!E11),"",'Original Budget'!E11-Actuals!E11)</f>
        <v>0</v>
      </c>
      <c r="M9" s="137" t="str">
        <f aca="false">IFERROR(IF(ISBLANK(Actuals!E11),"",('Original Budget'!E11-Actuals!E11)/ABS('Original Budget'!E11)),"")</f>
        <v/>
      </c>
      <c r="N9" s="136" t="n">
        <f aca="false">'Original Budget'!F11</f>
        <v>0</v>
      </c>
      <c r="O9" s="136" t="n">
        <f aca="false">IF(ISBLANK(Actuals!F11),"",Actuals!F11)</f>
        <v>0</v>
      </c>
      <c r="P9" s="137" t="n">
        <f aca="false">IF(ISBLANK(Actuals!F11),"",'Original Budget'!F11-Actuals!F11)</f>
        <v>0</v>
      </c>
      <c r="Q9" s="137" t="str">
        <f aca="false">IFERROR(IF(ISBLANK(Actuals!F11),"",('Original Budget'!F11-Actuals!F11)/ABS('Original Budget'!F11)),"")</f>
        <v/>
      </c>
      <c r="R9" s="136" t="n">
        <f aca="false">'Original Budget'!G11</f>
        <v>0</v>
      </c>
      <c r="S9" s="136" t="n">
        <f aca="false">IF(ISBLANK(Actuals!G11),"",Actuals!G11)</f>
        <v>0</v>
      </c>
      <c r="T9" s="137" t="n">
        <f aca="false">IF(ISBLANK(Actuals!G11),"",'Original Budget'!G11-Actuals!G11)</f>
        <v>0</v>
      </c>
      <c r="U9" s="137" t="str">
        <f aca="false">IFERROR(IF(ISBLANK(Actuals!G11),"",('Original Budget'!G11-Actuals!G11)/ABS('Original Budget'!G11)),"")</f>
        <v/>
      </c>
      <c r="V9" s="136" t="n">
        <f aca="false">'Original Budget'!H11</f>
        <v>0</v>
      </c>
      <c r="W9" s="136" t="n">
        <f aca="false">IF(ISBLANK(Actuals!H11),"",Actuals!H11)</f>
        <v>0</v>
      </c>
      <c r="X9" s="137" t="n">
        <f aca="false">IF(ISBLANK(Actuals!H11),"",'Original Budget'!H11-Actuals!H11)</f>
        <v>0</v>
      </c>
      <c r="Y9" s="137" t="str">
        <f aca="false">IFERROR(IF(ISBLANK(Actuals!H11),"",('Original Budget'!H11-Actuals!H11)/ABS('Original Budget'!H11)),"")</f>
        <v/>
      </c>
      <c r="Z9" s="136" t="n">
        <f aca="false">'Original Budget'!I11</f>
        <v>0</v>
      </c>
      <c r="AA9" s="136" t="str">
        <f aca="false">IF(ISBLANK(Actuals!I11),"",Actuals!I11)</f>
        <v/>
      </c>
      <c r="AB9" s="137" t="str">
        <f aca="false">IF(ISBLANK(Actuals!I11),"",'Original Budget'!I11-Actuals!I11)</f>
        <v/>
      </c>
      <c r="AC9" s="137" t="str">
        <f aca="false">IFERROR(IF(ISBLANK(Actuals!I11),"",('Original Budget'!I11-Actuals!I11)/ABS('Original Budget'!I11)),"")</f>
        <v/>
      </c>
      <c r="AD9" s="136" t="n">
        <f aca="false">'Original Budget'!J11</f>
        <v>0</v>
      </c>
      <c r="AE9" s="136" t="str">
        <f aca="false">IF(ISBLANK(Actuals!J11),"",Actuals!J11)</f>
        <v/>
      </c>
      <c r="AF9" s="137" t="str">
        <f aca="false">IF(ISBLANK(Actuals!J11),"",'Original Budget'!J11-Actuals!J11)</f>
        <v/>
      </c>
      <c r="AG9" s="137" t="str">
        <f aca="false">IFERROR(IF(ISBLANK(Actuals!J11),"",('Original Budget'!J11-Actuals!J11)/ABS('Original Budget'!J11)),"")</f>
        <v/>
      </c>
      <c r="AH9" s="136" t="n">
        <f aca="false">'Original Budget'!K11</f>
        <v>0</v>
      </c>
      <c r="AI9" s="136" t="str">
        <f aca="false">IF(ISBLANK(Actuals!K11),"",Actuals!K11)</f>
        <v/>
      </c>
      <c r="AJ9" s="137" t="str">
        <f aca="false">IF(ISBLANK(Actuals!K11),"",'Original Budget'!K11-Actuals!K11)</f>
        <v/>
      </c>
      <c r="AK9" s="137" t="str">
        <f aca="false">IFERROR(IF(ISBLANK(Actuals!K11),"",('Original Budget'!K11-Actuals!K11)/ABS('Original Budget'!K11)),"")</f>
        <v/>
      </c>
      <c r="AL9" s="136" t="n">
        <f aca="false">'Original Budget'!L11</f>
        <v>0</v>
      </c>
      <c r="AM9" s="136" t="str">
        <f aca="false">IF(ISBLANK(Actuals!L11),"",Actuals!L11)</f>
        <v/>
      </c>
      <c r="AN9" s="137" t="str">
        <f aca="false">IF(ISBLANK(Actuals!L11),"",'Original Budget'!L11-Actuals!L11)</f>
        <v/>
      </c>
      <c r="AO9" s="137" t="str">
        <f aca="false">IFERROR(IF(ISBLANK(Actuals!L11),"",('Original Budget'!L11-Actuals!L11)/ABS('Original Budget'!L11)),"")</f>
        <v/>
      </c>
      <c r="AP9" s="136" t="n">
        <f aca="false">'Original Budget'!M11</f>
        <v>0</v>
      </c>
      <c r="AQ9" s="136" t="str">
        <f aca="false">IF(ISBLANK(Actuals!M11),"",Actuals!M11)</f>
        <v/>
      </c>
      <c r="AR9" s="137" t="str">
        <f aca="false">IF(ISBLANK(Actuals!M11),"",'Original Budget'!M11-Actuals!M11)</f>
        <v/>
      </c>
      <c r="AS9" s="137" t="str">
        <f aca="false">IFERROR(IF(ISBLANK(Actuals!M11),"",('Original Budget'!M11-Actuals!M11)/ABS('Original Budget'!M11)),"")</f>
        <v/>
      </c>
      <c r="AT9" s="136" t="n">
        <f aca="false">'Original Budget'!N11</f>
        <v>0</v>
      </c>
      <c r="AU9" s="136" t="str">
        <f aca="false">IF(ISBLANK(Actuals!N11),"",Actuals!N11)</f>
        <v/>
      </c>
      <c r="AV9" s="137" t="str">
        <f aca="false">IF(ISBLANK(Actuals!N11),"",'Original Budget'!N11-Actuals!N11)</f>
        <v/>
      </c>
      <c r="AW9" s="137" t="str">
        <f aca="false">IFERROR(IF(ISBLANK(Actuals!N11),"",('Original Budget'!N11-Actuals!N11)/ABS('Original Budget'!N11)),"")</f>
        <v/>
      </c>
      <c r="AX9" s="138" t="n">
        <f aca="false">SUMPRODUCT((Actuals!C11:N11&lt;&gt;"")*('Original Budget'!C11:N11))</f>
        <v>0</v>
      </c>
      <c r="AY9" s="138" t="n">
        <f aca="false">SUM(Actuals!C11:N11)</f>
        <v>0</v>
      </c>
      <c r="AZ9" s="139" t="n">
        <f aca="false">AX9-AY9</f>
        <v>0</v>
      </c>
    </row>
    <row r="10" customFormat="false" ht="15" hidden="false" customHeight="true" outlineLevel="0" collapsed="false">
      <c r="A10" s="135" t="s">
        <v>6</v>
      </c>
      <c r="B10" s="136" t="n">
        <f aca="false">'Original Budget'!C12</f>
        <v>1242053.19</v>
      </c>
      <c r="C10" s="136" t="n">
        <f aca="false">IF(ISBLANK(Actuals!C12),"",Actuals!C12)</f>
        <v>1242053.19</v>
      </c>
      <c r="D10" s="137" t="n">
        <f aca="false">IF(ISBLANK(Actuals!C12),"",'Original Budget'!C12-Actuals!C12)</f>
        <v>0</v>
      </c>
      <c r="E10" s="137" t="n">
        <f aca="false">IFERROR(IF(ISBLANK(Actuals!C12),"",('Original Budget'!C12-Actuals!C12)/ABS('Original Budget'!C12)),"")</f>
        <v>0</v>
      </c>
      <c r="F10" s="136" t="n">
        <f aca="false">'Original Budget'!D12</f>
        <v>2710434.48</v>
      </c>
      <c r="G10" s="136" t="n">
        <f aca="false">IF(ISBLANK(Actuals!D12),"",Actuals!D12)</f>
        <v>2710434.48</v>
      </c>
      <c r="H10" s="137" t="n">
        <f aca="false">IF(ISBLANK(Actuals!D12),"",'Original Budget'!D12-Actuals!D12)</f>
        <v>0</v>
      </c>
      <c r="I10" s="137" t="n">
        <f aca="false">IFERROR(IF(ISBLANK(Actuals!D12),"",('Original Budget'!D12-Actuals!D12)/ABS('Original Budget'!D12)),"")</f>
        <v>0</v>
      </c>
      <c r="J10" s="136" t="n">
        <f aca="false">'Original Budget'!E12</f>
        <v>2402410.43</v>
      </c>
      <c r="K10" s="136" t="n">
        <f aca="false">IF(ISBLANK(Actuals!E12),"",Actuals!E12)</f>
        <v>2402410.43</v>
      </c>
      <c r="L10" s="137" t="n">
        <f aca="false">IF(ISBLANK(Actuals!E12),"",'Original Budget'!E12-Actuals!E12)</f>
        <v>0</v>
      </c>
      <c r="M10" s="137" t="n">
        <f aca="false">IFERROR(IF(ISBLANK(Actuals!E12),"",('Original Budget'!E12-Actuals!E12)/ABS('Original Budget'!E12)),"")</f>
        <v>0</v>
      </c>
      <c r="N10" s="136" t="n">
        <f aca="false">'Original Budget'!F12</f>
        <v>3985482.58</v>
      </c>
      <c r="O10" s="136" t="n">
        <f aca="false">IF(ISBLANK(Actuals!F12),"",Actuals!F12)</f>
        <v>3312759.91</v>
      </c>
      <c r="P10" s="137" t="n">
        <f aca="false">IF(ISBLANK(Actuals!F12),"",'Original Budget'!F12-Actuals!F12)</f>
        <v>672722.67</v>
      </c>
      <c r="Q10" s="137" t="n">
        <f aca="false">IFERROR(IF(ISBLANK(Actuals!F12),"",('Original Budget'!F12-Actuals!F12)/ABS('Original Budget'!F12)),"")</f>
        <v>0.168793278228304</v>
      </c>
      <c r="R10" s="136" t="n">
        <f aca="false">'Original Budget'!G12</f>
        <v>4178441.93</v>
      </c>
      <c r="S10" s="136" t="n">
        <f aca="false">IF(ISBLANK(Actuals!G12),"",Actuals!G12)</f>
        <v>3939278.23</v>
      </c>
      <c r="T10" s="137" t="n">
        <f aca="false">IF(ISBLANK(Actuals!G12),"",'Original Budget'!G12-Actuals!G12)</f>
        <v>239163.7</v>
      </c>
      <c r="U10" s="137" t="n">
        <f aca="false">IFERROR(IF(ISBLANK(Actuals!G12),"",('Original Budget'!G12-Actuals!G12)/ABS('Original Budget'!G12)),"")</f>
        <v>0.057237531119644</v>
      </c>
      <c r="V10" s="136" t="n">
        <f aca="false">'Original Budget'!H12</f>
        <v>4314673.98</v>
      </c>
      <c r="W10" s="136" t="n">
        <f aca="false">IF(ISBLANK(Actuals!H12),"",Actuals!H12)</f>
        <v>5584522.73</v>
      </c>
      <c r="X10" s="137" t="n">
        <f aca="false">IF(ISBLANK(Actuals!H12),"",'Original Budget'!H12-Actuals!H12)</f>
        <v>-1269848.75</v>
      </c>
      <c r="Y10" s="137" t="n">
        <f aca="false">IFERROR(IF(ISBLANK(Actuals!H12),"",('Original Budget'!H12-Actuals!H12)/ABS('Original Budget'!H12)),"")</f>
        <v>-0.294309316505995</v>
      </c>
      <c r="Z10" s="136" t="n">
        <f aca="false">'Original Budget'!I12</f>
        <v>5100719.4</v>
      </c>
      <c r="AA10" s="136" t="str">
        <f aca="false">IF(ISBLANK(Actuals!I12),"",Actuals!I12)</f>
        <v/>
      </c>
      <c r="AB10" s="137" t="str">
        <f aca="false">IF(ISBLANK(Actuals!I12),"",'Original Budget'!I12-Actuals!I12)</f>
        <v/>
      </c>
      <c r="AC10" s="137" t="str">
        <f aca="false">IFERROR(IF(ISBLANK(Actuals!I12),"",('Original Budget'!I12-Actuals!I12)/ABS('Original Budget'!I12)),"")</f>
        <v/>
      </c>
      <c r="AD10" s="136" t="n">
        <f aca="false">'Original Budget'!J12</f>
        <v>5260214.26</v>
      </c>
      <c r="AE10" s="136" t="str">
        <f aca="false">IF(ISBLANK(Actuals!J12),"",Actuals!J12)</f>
        <v/>
      </c>
      <c r="AF10" s="137" t="str">
        <f aca="false">IF(ISBLANK(Actuals!J12),"",'Original Budget'!J12-Actuals!J12)</f>
        <v/>
      </c>
      <c r="AG10" s="137" t="str">
        <f aca="false">IFERROR(IF(ISBLANK(Actuals!J12),"",('Original Budget'!J12-Actuals!J12)/ABS('Original Budget'!J12)),"")</f>
        <v/>
      </c>
      <c r="AH10" s="136" t="n">
        <f aca="false">'Original Budget'!K12</f>
        <v>5352854.32</v>
      </c>
      <c r="AI10" s="136" t="str">
        <f aca="false">IF(ISBLANK(Actuals!K12),"",Actuals!K12)</f>
        <v/>
      </c>
      <c r="AJ10" s="137" t="str">
        <f aca="false">IF(ISBLANK(Actuals!K12),"",'Original Budget'!K12-Actuals!K12)</f>
        <v/>
      </c>
      <c r="AK10" s="137" t="str">
        <f aca="false">IFERROR(IF(ISBLANK(Actuals!K12),"",('Original Budget'!K12-Actuals!K12)/ABS('Original Budget'!K12)),"")</f>
        <v/>
      </c>
      <c r="AL10" s="136" t="n">
        <f aca="false">'Original Budget'!L12</f>
        <v>5849570.15</v>
      </c>
      <c r="AM10" s="136" t="str">
        <f aca="false">IF(ISBLANK(Actuals!L12),"",Actuals!L12)</f>
        <v/>
      </c>
      <c r="AN10" s="137" t="str">
        <f aca="false">IF(ISBLANK(Actuals!L12),"",'Original Budget'!L12-Actuals!L12)</f>
        <v/>
      </c>
      <c r="AO10" s="137" t="str">
        <f aca="false">IFERROR(IF(ISBLANK(Actuals!L12),"",('Original Budget'!L12-Actuals!L12)/ABS('Original Budget'!L12)),"")</f>
        <v/>
      </c>
      <c r="AP10" s="136" t="n">
        <f aca="false">'Original Budget'!M12</f>
        <v>6345476.13</v>
      </c>
      <c r="AQ10" s="136" t="str">
        <f aca="false">IF(ISBLANK(Actuals!M12),"",Actuals!M12)</f>
        <v/>
      </c>
      <c r="AR10" s="137" t="str">
        <f aca="false">IF(ISBLANK(Actuals!M12),"",'Original Budget'!M12-Actuals!M12)</f>
        <v/>
      </c>
      <c r="AS10" s="137" t="str">
        <f aca="false">IFERROR(IF(ISBLANK(Actuals!M12),"",('Original Budget'!M12-Actuals!M12)/ABS('Original Budget'!M12)),"")</f>
        <v/>
      </c>
      <c r="AT10" s="136" t="n">
        <f aca="false">'Original Budget'!N12</f>
        <v>6208239.26</v>
      </c>
      <c r="AU10" s="136" t="str">
        <f aca="false">IF(ISBLANK(Actuals!N12),"",Actuals!N12)</f>
        <v/>
      </c>
      <c r="AV10" s="137" t="str">
        <f aca="false">IF(ISBLANK(Actuals!N12),"",'Original Budget'!N12-Actuals!N12)</f>
        <v/>
      </c>
      <c r="AW10" s="137" t="str">
        <f aca="false">IFERROR(IF(ISBLANK(Actuals!N12),"",('Original Budget'!N12-Actuals!N12)/ABS('Original Budget'!N12)),"")</f>
        <v/>
      </c>
      <c r="AX10" s="138" t="n">
        <f aca="false">SUMPRODUCT((Actuals!C12:N12&lt;&gt;"")*('Original Budget'!C12:N12))</f>
        <v>18833496.59</v>
      </c>
      <c r="AY10" s="138" t="n">
        <f aca="false">SUM(Actuals!C12:N12)</f>
        <v>19191458.97</v>
      </c>
      <c r="AZ10" s="139" t="n">
        <f aca="false">AX10-AY10</f>
        <v>-357962.379999999</v>
      </c>
    </row>
    <row r="11" customFormat="false" ht="15" hidden="false" customHeight="true" outlineLevel="0" collapsed="false">
      <c r="A11" s="135" t="s">
        <v>273</v>
      </c>
      <c r="B11" s="136" t="n">
        <f aca="false">'Original Budget'!C14</f>
        <v>-1233067.43</v>
      </c>
      <c r="C11" s="136" t="n">
        <f aca="false">IF(ISBLANK(Actuals!C14),"",Actuals!C14)</f>
        <v>-1233067.43</v>
      </c>
      <c r="D11" s="137" t="n">
        <f aca="false">IF(ISBLANK(Actuals!C14),"",'Original Budget'!C14-Actuals!C14)</f>
        <v>0</v>
      </c>
      <c r="E11" s="137" t="n">
        <f aca="false">IFERROR(IF(ISBLANK(Actuals!C14),"",('Original Budget'!C14-Actuals!C14)/ABS('Original Budget'!C14)),"")</f>
        <v>0</v>
      </c>
      <c r="F11" s="136" t="n">
        <f aca="false">'Original Budget'!D14</f>
        <v>-3073522.36</v>
      </c>
      <c r="G11" s="136" t="n">
        <f aca="false">IF(ISBLANK(Actuals!D14),"",Actuals!D14)</f>
        <v>-3073522.36</v>
      </c>
      <c r="H11" s="137" t="n">
        <f aca="false">IF(ISBLANK(Actuals!D14),"",'Original Budget'!D14-Actuals!D14)</f>
        <v>0</v>
      </c>
      <c r="I11" s="137" t="n">
        <f aca="false">IFERROR(IF(ISBLANK(Actuals!D14),"",('Original Budget'!D14-Actuals!D14)/ABS('Original Budget'!D14)),"")</f>
        <v>0</v>
      </c>
      <c r="J11" s="136" t="n">
        <f aca="false">'Original Budget'!E14</f>
        <v>-2078031.64</v>
      </c>
      <c r="K11" s="136" t="n">
        <f aca="false">IF(ISBLANK(Actuals!E14),"",Actuals!E14)</f>
        <v>-2078031.64</v>
      </c>
      <c r="L11" s="137" t="n">
        <f aca="false">IF(ISBLANK(Actuals!E14),"",'Original Budget'!E14-Actuals!E14)</f>
        <v>0</v>
      </c>
      <c r="M11" s="137" t="n">
        <f aca="false">IFERROR(IF(ISBLANK(Actuals!E14),"",('Original Budget'!E14-Actuals!E14)/ABS('Original Budget'!E14)),"")</f>
        <v>0</v>
      </c>
      <c r="N11" s="136" t="n">
        <f aca="false">'Original Budget'!F14</f>
        <v>-3985482.58403402</v>
      </c>
      <c r="O11" s="136" t="n">
        <f aca="false">IF(ISBLANK(Actuals!F14),"",Actuals!F14)</f>
        <v>-3244999.65</v>
      </c>
      <c r="P11" s="137" t="n">
        <f aca="false">IF(ISBLANK(Actuals!F14),"",'Original Budget'!F14-Actuals!F14)</f>
        <v>-740482.93403402</v>
      </c>
      <c r="Q11" s="137" t="n">
        <f aca="false">IFERROR(IF(ISBLANK(Actuals!F14),"",('Original Budget'!F14-Actuals!F14)/ABS('Original Budget'!F14)),"")</f>
        <v>-0.185795049513055</v>
      </c>
      <c r="R11" s="136" t="n">
        <f aca="false">'Original Budget'!G14</f>
        <v>-4178441.93467641</v>
      </c>
      <c r="S11" s="136" t="n">
        <f aca="false">IF(ISBLANK(Actuals!G14),"",Actuals!G14)</f>
        <v>-3950524.93</v>
      </c>
      <c r="T11" s="137" t="n">
        <f aca="false">IF(ISBLANK(Actuals!G14),"",'Original Budget'!G14-Actuals!G14)</f>
        <v>-227917.00467641</v>
      </c>
      <c r="U11" s="137" t="n">
        <f aca="false">IFERROR(IF(ISBLANK(Actuals!G14),"",('Original Budget'!G14-Actuals!G14)/ABS('Original Budget'!G14)),"")</f>
        <v>-0.0545459308133381</v>
      </c>
      <c r="V11" s="136" t="n">
        <f aca="false">'Original Budget'!H14</f>
        <v>-4314673.98179329</v>
      </c>
      <c r="W11" s="136" t="n">
        <f aca="false">IF(ISBLANK(Actuals!H14),"",Actuals!H14)</f>
        <v>-5610911.85</v>
      </c>
      <c r="X11" s="137" t="n">
        <f aca="false">IF(ISBLANK(Actuals!H14),"",'Original Budget'!H14-Actuals!H14)</f>
        <v>1296237.86820671</v>
      </c>
      <c r="Y11" s="137" t="n">
        <f aca="false">IFERROR(IF(ISBLANK(Actuals!H14),"",('Original Budget'!H14-Actuals!H14)/ABS('Original Budget'!H14)),"")</f>
        <v>0.300425448985594</v>
      </c>
      <c r="Z11" s="136" t="n">
        <f aca="false">'Original Budget'!I14</f>
        <v>-5100719.40418529</v>
      </c>
      <c r="AA11" s="136" t="str">
        <f aca="false">IF(ISBLANK(Actuals!I14),"",Actuals!I14)</f>
        <v/>
      </c>
      <c r="AB11" s="137" t="str">
        <f aca="false">IF(ISBLANK(Actuals!I14),"",'Original Budget'!I14-Actuals!I14)</f>
        <v/>
      </c>
      <c r="AC11" s="137" t="str">
        <f aca="false">IFERROR(IF(ISBLANK(Actuals!I14),"",('Original Budget'!I14-Actuals!I14)/ABS('Original Budget'!I14)),"")</f>
        <v/>
      </c>
      <c r="AD11" s="136" t="n">
        <f aca="false">'Original Budget'!J14</f>
        <v>-5260214.25623971</v>
      </c>
      <c r="AE11" s="136" t="str">
        <f aca="false">IF(ISBLANK(Actuals!J14),"",Actuals!J14)</f>
        <v/>
      </c>
      <c r="AF11" s="137" t="str">
        <f aca="false">IF(ISBLANK(Actuals!J14),"",'Original Budget'!J14-Actuals!J14)</f>
        <v/>
      </c>
      <c r="AG11" s="137" t="str">
        <f aca="false">IFERROR(IF(ISBLANK(Actuals!J14),"",('Original Budget'!J14-Actuals!J14)/ABS('Original Budget'!J14)),"")</f>
        <v/>
      </c>
      <c r="AH11" s="136" t="n">
        <f aca="false">'Original Budget'!K14</f>
        <v>-5352854.31833945</v>
      </c>
      <c r="AI11" s="136" t="str">
        <f aca="false">IF(ISBLANK(Actuals!K14),"",Actuals!K14)</f>
        <v/>
      </c>
      <c r="AJ11" s="137" t="str">
        <f aca="false">IF(ISBLANK(Actuals!K14),"",'Original Budget'!K14-Actuals!K14)</f>
        <v/>
      </c>
      <c r="AK11" s="137" t="str">
        <f aca="false">IFERROR(IF(ISBLANK(Actuals!K14),"",('Original Budget'!K14-Actuals!K14)/ABS('Original Budget'!K14)),"")</f>
        <v/>
      </c>
      <c r="AL11" s="136" t="n">
        <f aca="false">'Original Budget'!L14</f>
        <v>-5849570.14613038</v>
      </c>
      <c r="AM11" s="136" t="str">
        <f aca="false">IF(ISBLANK(Actuals!L14),"",Actuals!L14)</f>
        <v/>
      </c>
      <c r="AN11" s="137" t="str">
        <f aca="false">IF(ISBLANK(Actuals!L14),"",'Original Budget'!L14-Actuals!L14)</f>
        <v/>
      </c>
      <c r="AO11" s="137" t="str">
        <f aca="false">IFERROR(IF(ISBLANK(Actuals!L14),"",('Original Budget'!L14-Actuals!L14)/ABS('Original Budget'!L14)),"")</f>
        <v/>
      </c>
      <c r="AP11" s="136" t="n">
        <f aca="false">'Original Budget'!M14</f>
        <v>-6345476.13239193</v>
      </c>
      <c r="AQ11" s="136" t="str">
        <f aca="false">IF(ISBLANK(Actuals!M14),"",Actuals!M14)</f>
        <v/>
      </c>
      <c r="AR11" s="137" t="str">
        <f aca="false">IF(ISBLANK(Actuals!M14),"",'Original Budget'!M14-Actuals!M14)</f>
        <v/>
      </c>
      <c r="AS11" s="137" t="str">
        <f aca="false">IFERROR(IF(ISBLANK(Actuals!M14),"",('Original Budget'!M14-Actuals!M14)/ABS('Original Budget'!M14)),"")</f>
        <v/>
      </c>
      <c r="AT11" s="136" t="n">
        <f aca="false">'Original Budget'!N14</f>
        <v>-6208239.26255321</v>
      </c>
      <c r="AU11" s="136" t="str">
        <f aca="false">IF(ISBLANK(Actuals!N14),"",Actuals!N14)</f>
        <v/>
      </c>
      <c r="AV11" s="137" t="str">
        <f aca="false">IF(ISBLANK(Actuals!N14),"",'Original Budget'!N14-Actuals!N14)</f>
        <v/>
      </c>
      <c r="AW11" s="137" t="str">
        <f aca="false">IFERROR(IF(ISBLANK(Actuals!N14),"",('Original Budget'!N14-Actuals!N14)/ABS('Original Budget'!N14)),"")</f>
        <v/>
      </c>
      <c r="AX11" s="138" t="n">
        <f aca="false">SUMPRODUCT((Actuals!C14:N14&lt;&gt;"")*('Original Budget'!C14:N14))</f>
        <v>-18863219.9305037</v>
      </c>
      <c r="AY11" s="138" t="n">
        <f aca="false">SUM(Actuals!C14:N14)</f>
        <v>-19191057.86</v>
      </c>
      <c r="AZ11" s="139" t="n">
        <f aca="false">AX11-AY11</f>
        <v>327837.929496281</v>
      </c>
    </row>
    <row r="12" customFormat="false" ht="15" hidden="false" customHeight="true" outlineLevel="0" collapsed="false">
      <c r="A12" s="135" t="s">
        <v>55</v>
      </c>
      <c r="B12" s="136" t="n">
        <f aca="false">'Original Budget'!C15</f>
        <v>0</v>
      </c>
      <c r="C12" s="136" t="n">
        <f aca="false">IF(ISBLANK(Actuals!C15),"",Actuals!C15)</f>
        <v>0</v>
      </c>
      <c r="D12" s="137" t="n">
        <f aca="false">IF(ISBLANK(Actuals!C15),"",'Original Budget'!C15-Actuals!C15)</f>
        <v>0</v>
      </c>
      <c r="E12" s="137" t="str">
        <f aca="false">IFERROR(IF(ISBLANK(Actuals!C15),"",('Original Budget'!C15-Actuals!C15)/ABS('Original Budget'!C15)),"")</f>
        <v/>
      </c>
      <c r="F12" s="136" t="n">
        <f aca="false">'Original Budget'!D15</f>
        <v>0</v>
      </c>
      <c r="G12" s="136" t="n">
        <f aca="false">IF(ISBLANK(Actuals!D15),"",Actuals!D15)</f>
        <v>0</v>
      </c>
      <c r="H12" s="137" t="n">
        <f aca="false">IF(ISBLANK(Actuals!D15),"",'Original Budget'!D15-Actuals!D15)</f>
        <v>0</v>
      </c>
      <c r="I12" s="137" t="str">
        <f aca="false">IFERROR(IF(ISBLANK(Actuals!D15),"",('Original Budget'!D15-Actuals!D15)/ABS('Original Budget'!D15)),"")</f>
        <v/>
      </c>
      <c r="J12" s="136" t="n">
        <f aca="false">'Original Budget'!E15</f>
        <v>0</v>
      </c>
      <c r="K12" s="136" t="n">
        <f aca="false">IF(ISBLANK(Actuals!E15),"",Actuals!E15)</f>
        <v>0</v>
      </c>
      <c r="L12" s="137" t="n">
        <f aca="false">IF(ISBLANK(Actuals!E15),"",'Original Budget'!E15-Actuals!E15)</f>
        <v>0</v>
      </c>
      <c r="M12" s="137" t="str">
        <f aca="false">IFERROR(IF(ISBLANK(Actuals!E15),"",('Original Budget'!E15-Actuals!E15)/ABS('Original Budget'!E15)),"")</f>
        <v/>
      </c>
      <c r="N12" s="136" t="n">
        <f aca="false">'Original Budget'!F15</f>
        <v>0</v>
      </c>
      <c r="O12" s="136" t="n">
        <f aca="false">IF(ISBLANK(Actuals!F15),"",Actuals!F15)</f>
        <v>0</v>
      </c>
      <c r="P12" s="137" t="n">
        <f aca="false">IF(ISBLANK(Actuals!F15),"",'Original Budget'!F15-Actuals!F15)</f>
        <v>0</v>
      </c>
      <c r="Q12" s="137" t="str">
        <f aca="false">IFERROR(IF(ISBLANK(Actuals!F15),"",('Original Budget'!F15-Actuals!F15)/ABS('Original Budget'!F15)),"")</f>
        <v/>
      </c>
      <c r="R12" s="136" t="n">
        <f aca="false">'Original Budget'!G15</f>
        <v>0</v>
      </c>
      <c r="S12" s="136" t="n">
        <f aca="false">IF(ISBLANK(Actuals!G15),"",Actuals!G15)</f>
        <v>0</v>
      </c>
      <c r="T12" s="137" t="n">
        <f aca="false">IF(ISBLANK(Actuals!G15),"",'Original Budget'!G15-Actuals!G15)</f>
        <v>0</v>
      </c>
      <c r="U12" s="137" t="str">
        <f aca="false">IFERROR(IF(ISBLANK(Actuals!G15),"",('Original Budget'!G15-Actuals!G15)/ABS('Original Budget'!G15)),"")</f>
        <v/>
      </c>
      <c r="V12" s="136" t="n">
        <f aca="false">'Original Budget'!H15</f>
        <v>0</v>
      </c>
      <c r="W12" s="136" t="n">
        <f aca="false">IF(ISBLANK(Actuals!H15),"",Actuals!H15)</f>
        <v>0</v>
      </c>
      <c r="X12" s="137" t="n">
        <f aca="false">IF(ISBLANK(Actuals!H15),"",'Original Budget'!H15-Actuals!H15)</f>
        <v>0</v>
      </c>
      <c r="Y12" s="137" t="str">
        <f aca="false">IFERROR(IF(ISBLANK(Actuals!H15),"",('Original Budget'!H15-Actuals!H15)/ABS('Original Budget'!H15)),"")</f>
        <v/>
      </c>
      <c r="Z12" s="136" t="n">
        <f aca="false">'Original Budget'!I15</f>
        <v>644526.72</v>
      </c>
      <c r="AA12" s="136" t="str">
        <f aca="false">IF(ISBLANK(Actuals!I15),"",Actuals!I15)</f>
        <v/>
      </c>
      <c r="AB12" s="137" t="str">
        <f aca="false">IF(ISBLANK(Actuals!I15),"",'Original Budget'!I15-Actuals!I15)</f>
        <v/>
      </c>
      <c r="AC12" s="137" t="str">
        <f aca="false">IFERROR(IF(ISBLANK(Actuals!I15),"",('Original Budget'!I15-Actuals!I15)/ABS('Original Budget'!I15)),"")</f>
        <v/>
      </c>
      <c r="AD12" s="136" t="n">
        <f aca="false">'Original Budget'!J15</f>
        <v>0</v>
      </c>
      <c r="AE12" s="136" t="str">
        <f aca="false">IF(ISBLANK(Actuals!J15),"",Actuals!J15)</f>
        <v/>
      </c>
      <c r="AF12" s="137" t="str">
        <f aca="false">IF(ISBLANK(Actuals!J15),"",'Original Budget'!J15-Actuals!J15)</f>
        <v/>
      </c>
      <c r="AG12" s="137" t="str">
        <f aca="false">IFERROR(IF(ISBLANK(Actuals!J15),"",('Original Budget'!J15-Actuals!J15)/ABS('Original Budget'!J15)),"")</f>
        <v/>
      </c>
      <c r="AH12" s="136" t="n">
        <f aca="false">'Original Budget'!K15</f>
        <v>0</v>
      </c>
      <c r="AI12" s="136" t="str">
        <f aca="false">IF(ISBLANK(Actuals!K15),"",Actuals!K15)</f>
        <v/>
      </c>
      <c r="AJ12" s="137" t="str">
        <f aca="false">IF(ISBLANK(Actuals!K15),"",'Original Budget'!K15-Actuals!K15)</f>
        <v/>
      </c>
      <c r="AK12" s="137" t="str">
        <f aca="false">IFERROR(IF(ISBLANK(Actuals!K15),"",('Original Budget'!K15-Actuals!K15)/ABS('Original Budget'!K15)),"")</f>
        <v/>
      </c>
      <c r="AL12" s="136" t="n">
        <f aca="false">'Original Budget'!L15</f>
        <v>442059.825</v>
      </c>
      <c r="AM12" s="136" t="str">
        <f aca="false">IF(ISBLANK(Actuals!L15),"",Actuals!L15)</f>
        <v/>
      </c>
      <c r="AN12" s="137" t="str">
        <f aca="false">IF(ISBLANK(Actuals!L15),"",'Original Budget'!L15-Actuals!L15)</f>
        <v/>
      </c>
      <c r="AO12" s="137" t="str">
        <f aca="false">IFERROR(IF(ISBLANK(Actuals!L15),"",('Original Budget'!L15-Actuals!L15)/ABS('Original Budget'!L15)),"")</f>
        <v/>
      </c>
      <c r="AP12" s="136" t="n">
        <f aca="false">'Original Budget'!M15</f>
        <v>318951.075</v>
      </c>
      <c r="AQ12" s="136" t="str">
        <f aca="false">IF(ISBLANK(Actuals!M15),"",Actuals!M15)</f>
        <v/>
      </c>
      <c r="AR12" s="137" t="str">
        <f aca="false">IF(ISBLANK(Actuals!M15),"",'Original Budget'!M15-Actuals!M15)</f>
        <v/>
      </c>
      <c r="AS12" s="137" t="str">
        <f aca="false">IFERROR(IF(ISBLANK(Actuals!M15),"",('Original Budget'!M15-Actuals!M15)/ABS('Original Budget'!M15)),"")</f>
        <v/>
      </c>
      <c r="AT12" s="136" t="n">
        <f aca="false">'Original Budget'!N15</f>
        <v>0</v>
      </c>
      <c r="AU12" s="136" t="str">
        <f aca="false">IF(ISBLANK(Actuals!N15),"",Actuals!N15)</f>
        <v/>
      </c>
      <c r="AV12" s="137" t="str">
        <f aca="false">IF(ISBLANK(Actuals!N15),"",'Original Budget'!N15-Actuals!N15)</f>
        <v/>
      </c>
      <c r="AW12" s="137" t="str">
        <f aca="false">IFERROR(IF(ISBLANK(Actuals!N15),"",('Original Budget'!N15-Actuals!N15)/ABS('Original Budget'!N15)),"")</f>
        <v/>
      </c>
      <c r="AX12" s="138" t="n">
        <f aca="false">SUMPRODUCT((Actuals!C15:N15&lt;&gt;"")*('Original Budget'!C15:N15))</f>
        <v>0</v>
      </c>
      <c r="AY12" s="138" t="n">
        <f aca="false">SUM(Actuals!C15:N15)</f>
        <v>0</v>
      </c>
      <c r="AZ12" s="139" t="n">
        <f aca="false">AX12-AY12</f>
        <v>0</v>
      </c>
    </row>
    <row r="13" customFormat="false" ht="15" hidden="false" customHeight="true" outlineLevel="0" collapsed="false">
      <c r="A13" s="135" t="s">
        <v>56</v>
      </c>
      <c r="B13" s="136" t="n">
        <f aca="false">'Original Budget'!C16</f>
        <v>-1966.5</v>
      </c>
      <c r="C13" s="136" t="n">
        <f aca="false">IF(ISBLANK(Actuals!C16),"",Actuals!C16)</f>
        <v>-1966.5</v>
      </c>
      <c r="D13" s="137" t="n">
        <f aca="false">IF(ISBLANK(Actuals!C16),"",'Original Budget'!C16-Actuals!C16)</f>
        <v>0</v>
      </c>
      <c r="E13" s="137" t="n">
        <f aca="false">IFERROR(IF(ISBLANK(Actuals!C16),"",('Original Budget'!C16-Actuals!C16)/ABS('Original Budget'!C16)),"")</f>
        <v>0</v>
      </c>
      <c r="F13" s="136" t="n">
        <f aca="false">'Original Budget'!D16</f>
        <v>0</v>
      </c>
      <c r="G13" s="136" t="n">
        <f aca="false">IF(ISBLANK(Actuals!D16),"",Actuals!D16)</f>
        <v>0</v>
      </c>
      <c r="H13" s="137" t="n">
        <f aca="false">IF(ISBLANK(Actuals!D16),"",'Original Budget'!D16-Actuals!D16)</f>
        <v>0</v>
      </c>
      <c r="I13" s="137" t="str">
        <f aca="false">IFERROR(IF(ISBLANK(Actuals!D16),"",('Original Budget'!D16-Actuals!D16)/ABS('Original Budget'!D16)),"")</f>
        <v/>
      </c>
      <c r="J13" s="136" t="n">
        <f aca="false">'Original Budget'!E16</f>
        <v>0</v>
      </c>
      <c r="K13" s="136" t="n">
        <f aca="false">IF(ISBLANK(Actuals!E16),"",Actuals!E16)</f>
        <v>0</v>
      </c>
      <c r="L13" s="137" t="n">
        <f aca="false">IF(ISBLANK(Actuals!E16),"",'Original Budget'!E16-Actuals!E16)</f>
        <v>0</v>
      </c>
      <c r="M13" s="137" t="str">
        <f aca="false">IFERROR(IF(ISBLANK(Actuals!E16),"",('Original Budget'!E16-Actuals!E16)/ABS('Original Budget'!E16)),"")</f>
        <v/>
      </c>
      <c r="N13" s="136" t="n">
        <f aca="false">'Original Budget'!F16</f>
        <v>0</v>
      </c>
      <c r="O13" s="136" t="n">
        <f aca="false">IF(ISBLANK(Actuals!F16),"",Actuals!F16)</f>
        <v>0</v>
      </c>
      <c r="P13" s="137" t="n">
        <f aca="false">IF(ISBLANK(Actuals!F16),"",'Original Budget'!F16-Actuals!F16)</f>
        <v>0</v>
      </c>
      <c r="Q13" s="137" t="str">
        <f aca="false">IFERROR(IF(ISBLANK(Actuals!F16),"",('Original Budget'!F16-Actuals!F16)/ABS('Original Budget'!F16)),"")</f>
        <v/>
      </c>
      <c r="R13" s="136" t="n">
        <f aca="false">'Original Budget'!G16</f>
        <v>0</v>
      </c>
      <c r="S13" s="136" t="n">
        <f aca="false">IF(ISBLANK(Actuals!G16),"",Actuals!G16)</f>
        <v>0</v>
      </c>
      <c r="T13" s="137" t="n">
        <f aca="false">IF(ISBLANK(Actuals!G16),"",'Original Budget'!G16-Actuals!G16)</f>
        <v>0</v>
      </c>
      <c r="U13" s="137" t="str">
        <f aca="false">IFERROR(IF(ISBLANK(Actuals!G16),"",('Original Budget'!G16-Actuals!G16)/ABS('Original Budget'!G16)),"")</f>
        <v/>
      </c>
      <c r="V13" s="136" t="n">
        <f aca="false">'Original Budget'!H16</f>
        <v>0</v>
      </c>
      <c r="W13" s="136" t="n">
        <f aca="false">IF(ISBLANK(Actuals!H16),"",Actuals!H16)</f>
        <v>0</v>
      </c>
      <c r="X13" s="137" t="n">
        <f aca="false">IF(ISBLANK(Actuals!H16),"",'Original Budget'!H16-Actuals!H16)</f>
        <v>0</v>
      </c>
      <c r="Y13" s="137" t="str">
        <f aca="false">IFERROR(IF(ISBLANK(Actuals!H16),"",('Original Budget'!H16-Actuals!H16)/ABS('Original Budget'!H16)),"")</f>
        <v/>
      </c>
      <c r="Z13" s="136" t="n">
        <f aca="false">'Original Budget'!I16</f>
        <v>-317966.5152</v>
      </c>
      <c r="AA13" s="136" t="str">
        <f aca="false">IF(ISBLANK(Actuals!I16),"",Actuals!I16)</f>
        <v/>
      </c>
      <c r="AB13" s="137" t="str">
        <f aca="false">IF(ISBLANK(Actuals!I16),"",'Original Budget'!I16-Actuals!I16)</f>
        <v/>
      </c>
      <c r="AC13" s="137" t="str">
        <f aca="false">IFERROR(IF(ISBLANK(Actuals!I16),"",('Original Budget'!I16-Actuals!I16)/ABS('Original Budget'!I16)),"")</f>
        <v/>
      </c>
      <c r="AD13" s="136" t="n">
        <f aca="false">'Original Budget'!J16</f>
        <v>0</v>
      </c>
      <c r="AE13" s="136" t="str">
        <f aca="false">IF(ISBLANK(Actuals!J16),"",Actuals!J16)</f>
        <v/>
      </c>
      <c r="AF13" s="137" t="str">
        <f aca="false">IF(ISBLANK(Actuals!J16),"",'Original Budget'!J16-Actuals!J16)</f>
        <v/>
      </c>
      <c r="AG13" s="137" t="str">
        <f aca="false">IFERROR(IF(ISBLANK(Actuals!J16),"",('Original Budget'!J16-Actuals!J16)/ABS('Original Budget'!J16)),"")</f>
        <v/>
      </c>
      <c r="AH13" s="136" t="n">
        <f aca="false">'Original Budget'!K16</f>
        <v>0</v>
      </c>
      <c r="AI13" s="136" t="str">
        <f aca="false">IF(ISBLANK(Actuals!K16),"",Actuals!K16)</f>
        <v/>
      </c>
      <c r="AJ13" s="137" t="str">
        <f aca="false">IF(ISBLANK(Actuals!K16),"",'Original Budget'!K16-Actuals!K16)</f>
        <v/>
      </c>
      <c r="AK13" s="137" t="str">
        <f aca="false">IFERROR(IF(ISBLANK(Actuals!K16),"",('Original Budget'!K16-Actuals!K16)/ABS('Original Budget'!K16)),"")</f>
        <v/>
      </c>
      <c r="AL13" s="136" t="n">
        <f aca="false">'Original Budget'!L16</f>
        <v>-218082.847</v>
      </c>
      <c r="AM13" s="136" t="str">
        <f aca="false">IF(ISBLANK(Actuals!L16),"",Actuals!L16)</f>
        <v/>
      </c>
      <c r="AN13" s="137" t="str">
        <f aca="false">IF(ISBLANK(Actuals!L16),"",'Original Budget'!L16-Actuals!L16)</f>
        <v/>
      </c>
      <c r="AO13" s="137" t="str">
        <f aca="false">IFERROR(IF(ISBLANK(Actuals!L16),"",('Original Budget'!L16-Actuals!L16)/ABS('Original Budget'!L16)),"")</f>
        <v/>
      </c>
      <c r="AP13" s="136" t="n">
        <f aca="false">'Original Budget'!M16</f>
        <v>-157349.197</v>
      </c>
      <c r="AQ13" s="136" t="str">
        <f aca="false">IF(ISBLANK(Actuals!M16),"",Actuals!M16)</f>
        <v/>
      </c>
      <c r="AR13" s="137" t="str">
        <f aca="false">IF(ISBLANK(Actuals!M16),"",'Original Budget'!M16-Actuals!M16)</f>
        <v/>
      </c>
      <c r="AS13" s="137" t="str">
        <f aca="false">IFERROR(IF(ISBLANK(Actuals!M16),"",('Original Budget'!M16-Actuals!M16)/ABS('Original Budget'!M16)),"")</f>
        <v/>
      </c>
      <c r="AT13" s="136" t="n">
        <f aca="false">'Original Budget'!N16</f>
        <v>0</v>
      </c>
      <c r="AU13" s="136" t="str">
        <f aca="false">IF(ISBLANK(Actuals!N16),"",Actuals!N16)</f>
        <v/>
      </c>
      <c r="AV13" s="137" t="str">
        <f aca="false">IF(ISBLANK(Actuals!N16),"",'Original Budget'!N16-Actuals!N16)</f>
        <v/>
      </c>
      <c r="AW13" s="137" t="str">
        <f aca="false">IFERROR(IF(ISBLANK(Actuals!N16),"",('Original Budget'!N16-Actuals!N16)/ABS('Original Budget'!N16)),"")</f>
        <v/>
      </c>
      <c r="AX13" s="138" t="n">
        <f aca="false">SUMPRODUCT((Actuals!C16:N16&lt;&gt;"")*('Original Budget'!C16:N16))</f>
        <v>-1966.5</v>
      </c>
      <c r="AY13" s="138" t="n">
        <f aca="false">SUM(Actuals!C16:N16)</f>
        <v>-1966.5</v>
      </c>
      <c r="AZ13" s="139" t="n">
        <f aca="false">AX13-AY13</f>
        <v>0</v>
      </c>
    </row>
    <row r="14" customFormat="false" ht="15" hidden="false" customHeight="true" outlineLevel="0" collapsed="false">
      <c r="A14" s="135" t="s">
        <v>57</v>
      </c>
      <c r="B14" s="136" t="n">
        <f aca="false">'Original Budget'!C17</f>
        <v>218752.81</v>
      </c>
      <c r="C14" s="136" t="n">
        <f aca="false">IF(ISBLANK(Actuals!C17),"",Actuals!C17)</f>
        <v>218756.86</v>
      </c>
      <c r="D14" s="137" t="n">
        <f aca="false">IF(ISBLANK(Actuals!C17),"",'Original Budget'!C17-Actuals!C17)</f>
        <v>-4.05000000004657</v>
      </c>
      <c r="E14" s="137" t="n">
        <f aca="false">IFERROR(IF(ISBLANK(Actuals!C17),"",('Original Budget'!C17-Actuals!C17)/ABS('Original Budget'!C17)),"")</f>
        <v>-1.85140478883291E-005</v>
      </c>
      <c r="F14" s="136" t="n">
        <f aca="false">'Original Budget'!D17</f>
        <v>-51003.4699999997</v>
      </c>
      <c r="G14" s="136" t="n">
        <f aca="false">IF(ISBLANK(Actuals!D17),"",Actuals!D17)</f>
        <v>-51000.77</v>
      </c>
      <c r="H14" s="137" t="n">
        <f aca="false">IF(ISBLANK(Actuals!D17),"",'Original Budget'!D17-Actuals!D17)</f>
        <v>-2.6999999997206</v>
      </c>
      <c r="I14" s="137" t="n">
        <f aca="false">IFERROR(IF(ISBLANK(Actuals!D17),"",('Original Budget'!D17-Actuals!D17)/ABS('Original Budget'!D17)),"")</f>
        <v>-5.29375746340517E-005</v>
      </c>
      <c r="J14" s="136" t="n">
        <f aca="false">'Original Budget'!E17</f>
        <v>594184.52</v>
      </c>
      <c r="K14" s="136" t="n">
        <f aca="false">IF(ISBLANK(Actuals!E17),"",Actuals!E17)</f>
        <v>594184.52</v>
      </c>
      <c r="L14" s="137" t="n">
        <f aca="false">IF(ISBLANK(Actuals!E17),"",'Original Budget'!E17-Actuals!E17)</f>
        <v>0</v>
      </c>
      <c r="M14" s="137" t="n">
        <f aca="false">IFERROR(IF(ISBLANK(Actuals!E17),"",('Original Budget'!E17-Actuals!E17)/ABS('Original Budget'!E17)),"")</f>
        <v>0</v>
      </c>
      <c r="N14" s="136" t="n">
        <f aca="false">'Original Budget'!F17</f>
        <v>468885.062220243</v>
      </c>
      <c r="O14" s="136" t="n">
        <f aca="false">IF(ISBLANK(Actuals!F17),"",Actuals!F17)</f>
        <v>447358.25</v>
      </c>
      <c r="P14" s="137" t="n">
        <f aca="false">IF(ISBLANK(Actuals!F17),"",'Original Budget'!F17-Actuals!F17)</f>
        <v>21526.8122202423</v>
      </c>
      <c r="Q14" s="137" t="n">
        <f aca="false">IFERROR(IF(ISBLANK(Actuals!F17),"",('Original Budget'!F17-Actuals!F17)/ABS('Original Budget'!F17)),"")</f>
        <v>0.045910637712171</v>
      </c>
      <c r="R14" s="136" t="n">
        <f aca="false">'Original Budget'!G17</f>
        <v>468885.061577853</v>
      </c>
      <c r="S14" s="136" t="n">
        <f aca="false">IF(ISBLANK(Actuals!G17),"",Actuals!G17)</f>
        <v>465536.7</v>
      </c>
      <c r="T14" s="137" t="n">
        <f aca="false">IF(ISBLANK(Actuals!G17),"",'Original Budget'!G17-Actuals!G17)</f>
        <v>3348.36157785356</v>
      </c>
      <c r="U14" s="137" t="n">
        <f aca="false">IFERROR(IF(ISBLANK(Actuals!G17),"",('Original Budget'!G17-Actuals!G17)/ABS('Original Budget'!G17)),"")</f>
        <v>0.0071411137872167</v>
      </c>
      <c r="V14" s="136" t="n">
        <f aca="false">'Original Budget'!H17</f>
        <v>468885.064460973</v>
      </c>
      <c r="W14" s="136" t="n">
        <f aca="false">IF(ISBLANK(Actuals!H17),"",Actuals!H17)</f>
        <v>641351.130000001</v>
      </c>
      <c r="X14" s="137" t="n">
        <f aca="false">IF(ISBLANK(Actuals!H17),"",'Original Budget'!H17-Actuals!H17)</f>
        <v>-172466.065539028</v>
      </c>
      <c r="Y14" s="137" t="n">
        <f aca="false">IFERROR(IF(ISBLANK(Actuals!H17),"",('Original Budget'!H17-Actuals!H17)/ABS('Original Budget'!H17)),"")</f>
        <v>-0.367821623274124</v>
      </c>
      <c r="Z14" s="136" t="n">
        <f aca="false">'Original Budget'!I17</f>
        <v>959257.390269293</v>
      </c>
      <c r="AA14" s="136" t="n">
        <f aca="false">IF(ISBLANK(Actuals!I17),"",Actuals!I17)</f>
        <v>0</v>
      </c>
      <c r="AB14" s="137" t="n">
        <f aca="false">IF(ISBLANK(Actuals!I17),"",'Original Budget'!I17-Actuals!I17)</f>
        <v>959257.390269293</v>
      </c>
      <c r="AC14" s="137" t="n">
        <f aca="false">IFERROR(IF(ISBLANK(Actuals!I17),"",('Original Budget'!I17-Actuals!I17)/ABS('Original Budget'!I17)),"")</f>
        <v>1</v>
      </c>
      <c r="AD14" s="136" t="n">
        <f aca="false">'Original Budget'!J17</f>
        <v>632697.193414873</v>
      </c>
      <c r="AE14" s="136" t="n">
        <f aca="false">IF(ISBLANK(Actuals!J17),"",Actuals!J17)</f>
        <v>0</v>
      </c>
      <c r="AF14" s="137" t="n">
        <f aca="false">IF(ISBLANK(Actuals!J17),"",'Original Budget'!J17-Actuals!J17)</f>
        <v>632697.193414873</v>
      </c>
      <c r="AG14" s="137" t="n">
        <f aca="false">IFERROR(IF(ISBLANK(Actuals!J17),"",('Original Budget'!J17-Actuals!J17)/ABS('Original Budget'!J17)),"")</f>
        <v>1</v>
      </c>
      <c r="AH14" s="136" t="n">
        <f aca="false">'Original Budget'!K17</f>
        <v>632697.191315133</v>
      </c>
      <c r="AI14" s="136" t="n">
        <f aca="false">IF(ISBLANK(Actuals!K17),"",Actuals!K17)</f>
        <v>0</v>
      </c>
      <c r="AJ14" s="137" t="n">
        <f aca="false">IF(ISBLANK(Actuals!K17),"",'Original Budget'!K17-Actuals!K17)</f>
        <v>632697.191315133</v>
      </c>
      <c r="AK14" s="137" t="n">
        <f aca="false">IFERROR(IF(ISBLANK(Actuals!K17),"",('Original Budget'!K17-Actuals!K17)/ABS('Original Budget'!K17)),"")</f>
        <v>1</v>
      </c>
      <c r="AL14" s="136" t="n">
        <f aca="false">'Original Budget'!L17</f>
        <v>999101.928826481</v>
      </c>
      <c r="AM14" s="136" t="n">
        <f aca="false">IF(ISBLANK(Actuals!L17),"",Actuals!L17)</f>
        <v>0</v>
      </c>
      <c r="AN14" s="137" t="n">
        <f aca="false">IF(ISBLANK(Actuals!L17),"",'Original Budget'!L17-Actuals!L17)</f>
        <v>999101.928826481</v>
      </c>
      <c r="AO14" s="137" t="n">
        <f aca="false">IFERROR(IF(ISBLANK(Actuals!L17),"",('Original Budget'!L17-Actuals!L17)/ABS('Original Budget'!L17)),"")</f>
        <v>1</v>
      </c>
      <c r="AP14" s="136" t="n">
        <f aca="false">'Original Budget'!M17</f>
        <v>1080952.85657232</v>
      </c>
      <c r="AQ14" s="136" t="n">
        <f aca="false">IF(ISBLANK(Actuals!M17),"",Actuals!M17)</f>
        <v>0</v>
      </c>
      <c r="AR14" s="137" t="n">
        <f aca="false">IF(ISBLANK(Actuals!M17),"",'Original Budget'!M17-Actuals!M17)</f>
        <v>1080952.85657232</v>
      </c>
      <c r="AS14" s="137" t="n">
        <f aca="false">IFERROR(IF(ISBLANK(Actuals!M17),"",('Original Budget'!M17-Actuals!M17)/ABS('Original Budget'!M17)),"")</f>
        <v>1</v>
      </c>
      <c r="AT14" s="136" t="n">
        <f aca="false">'Original Budget'!N17</f>
        <v>774577.772324943</v>
      </c>
      <c r="AU14" s="136" t="n">
        <f aca="false">IF(ISBLANK(Actuals!N17),"",Actuals!N17)</f>
        <v>0</v>
      </c>
      <c r="AV14" s="137" t="n">
        <f aca="false">IF(ISBLANK(Actuals!N17),"",'Original Budget'!N17-Actuals!N17)</f>
        <v>774577.772324943</v>
      </c>
      <c r="AW14" s="137" t="n">
        <f aca="false">IFERROR(IF(ISBLANK(Actuals!N17),"",('Original Budget'!N17-Actuals!N17)/ABS('Original Budget'!N17)),"")</f>
        <v>1</v>
      </c>
      <c r="AX14" s="138" t="n">
        <f aca="false">SUMPRODUCT((Actuals!C17:N17&lt;&gt;"")*('Original Budget'!C17:N17))</f>
        <v>7247873.38098211</v>
      </c>
      <c r="AY14" s="138" t="n">
        <f aca="false">SUM(Actuals!C17:N17)</f>
        <v>2316186.69</v>
      </c>
      <c r="AZ14" s="139" t="n">
        <f aca="false">AX14-AY14</f>
        <v>4931686.69098211</v>
      </c>
    </row>
    <row r="15" customFormat="false" ht="15" hidden="false" customHeight="true" outlineLevel="0" collapsed="false">
      <c r="A15" s="135" t="s">
        <v>60</v>
      </c>
      <c r="B15" s="136" t="n">
        <f aca="false">'Original Budget'!C21</f>
        <v>-144550.9</v>
      </c>
      <c r="C15" s="136" t="n">
        <f aca="false">IF(ISBLANK(Actuals!C21),"",Actuals!C21)</f>
        <v>-144550.9</v>
      </c>
      <c r="D15" s="137" t="n">
        <f aca="false">IF(ISBLANK(Actuals!C21),"",'Original Budget'!C21-Actuals!C21)</f>
        <v>0</v>
      </c>
      <c r="E15" s="137" t="n">
        <f aca="false">IFERROR(IF(ISBLANK(Actuals!C21),"",('Original Budget'!C21-Actuals!C21)/ABS('Original Budget'!C21)),"")</f>
        <v>0</v>
      </c>
      <c r="F15" s="136" t="n">
        <f aca="false">'Original Budget'!D21</f>
        <v>-150672.84</v>
      </c>
      <c r="G15" s="136" t="n">
        <f aca="false">IF(ISBLANK(Actuals!D21),"",Actuals!D21)</f>
        <v>-150672.84</v>
      </c>
      <c r="H15" s="137" t="n">
        <f aca="false">IF(ISBLANK(Actuals!D21),"",'Original Budget'!D21-Actuals!D21)</f>
        <v>0</v>
      </c>
      <c r="I15" s="137" t="n">
        <f aca="false">IFERROR(IF(ISBLANK(Actuals!D21),"",('Original Budget'!D21-Actuals!D21)/ABS('Original Budget'!D21)),"")</f>
        <v>0</v>
      </c>
      <c r="J15" s="136" t="n">
        <f aca="false">'Original Budget'!E21</f>
        <v>-178867.86</v>
      </c>
      <c r="K15" s="136" t="n">
        <f aca="false">IF(ISBLANK(Actuals!E21),"",Actuals!E21)</f>
        <v>-178867.86</v>
      </c>
      <c r="L15" s="137" t="n">
        <f aca="false">IF(ISBLANK(Actuals!E21),"",'Original Budget'!E21-Actuals!E21)</f>
        <v>0</v>
      </c>
      <c r="M15" s="137" t="n">
        <f aca="false">IFERROR(IF(ISBLANK(Actuals!E21),"",('Original Budget'!E21-Actuals!E21)/ABS('Original Budget'!E21)),"")</f>
        <v>0</v>
      </c>
      <c r="N15" s="136" t="n">
        <f aca="false">'Original Budget'!F21</f>
        <v>-164791.666666667</v>
      </c>
      <c r="O15" s="136" t="n">
        <f aca="false">IF(ISBLANK(Actuals!F21),"",Actuals!F21)</f>
        <v>-187693.63</v>
      </c>
      <c r="P15" s="137" t="n">
        <f aca="false">IF(ISBLANK(Actuals!F21),"",'Original Budget'!F21-Actuals!F21)</f>
        <v>22901.963333333</v>
      </c>
      <c r="Q15" s="137" t="n">
        <f aca="false">IFERROR(IF(ISBLANK(Actuals!F21),"",('Original Budget'!F21-Actuals!F21)/ABS('Original Budget'!F21)),"")</f>
        <v>0.138975251580276</v>
      </c>
      <c r="R15" s="136" t="n">
        <f aca="false">'Original Budget'!G21</f>
        <v>-189375</v>
      </c>
      <c r="S15" s="136" t="n">
        <f aca="false">IF(ISBLANK(Actuals!G21),"",Actuals!G21)</f>
        <v>-295949.1</v>
      </c>
      <c r="T15" s="137" t="n">
        <f aca="false">IF(ISBLANK(Actuals!G21),"",'Original Budget'!G21-Actuals!G21)</f>
        <v>106574.1</v>
      </c>
      <c r="U15" s="137" t="n">
        <f aca="false">IFERROR(IF(ISBLANK(Actuals!G21),"",('Original Budget'!G21-Actuals!G21)/ABS('Original Budget'!G21)),"")</f>
        <v>0.562767524752475</v>
      </c>
      <c r="V15" s="136" t="n">
        <f aca="false">'Original Budget'!H21</f>
        <v>-214375</v>
      </c>
      <c r="W15" s="136" t="n">
        <f aca="false">IF(ISBLANK(Actuals!H21),"",Actuals!H21)</f>
        <v>-198645.92</v>
      </c>
      <c r="X15" s="137" t="n">
        <f aca="false">IF(ISBLANK(Actuals!H21),"",'Original Budget'!H21-Actuals!H21)</f>
        <v>-15729.08</v>
      </c>
      <c r="Y15" s="137" t="n">
        <f aca="false">IFERROR(IF(ISBLANK(Actuals!H21),"",('Original Budget'!H21-Actuals!H21)/ABS('Original Budget'!H21)),"")</f>
        <v>-0.0733718017492711</v>
      </c>
      <c r="Z15" s="136" t="n">
        <f aca="false">'Original Budget'!I21</f>
        <v>-225208.333333333</v>
      </c>
      <c r="AA15" s="136" t="str">
        <f aca="false">IF(ISBLANK(Actuals!I21),"",Actuals!I21)</f>
        <v/>
      </c>
      <c r="AB15" s="137" t="str">
        <f aca="false">IF(ISBLANK(Actuals!I21),"",'Original Budget'!I21-Actuals!I21)</f>
        <v/>
      </c>
      <c r="AC15" s="137" t="str">
        <f aca="false">IFERROR(IF(ISBLANK(Actuals!I21),"",('Original Budget'!I21-Actuals!I21)/ABS('Original Budget'!I21)),"")</f>
        <v/>
      </c>
      <c r="AD15" s="136" t="n">
        <f aca="false">'Original Budget'!J21</f>
        <v>-225208.333333333</v>
      </c>
      <c r="AE15" s="136" t="str">
        <f aca="false">IF(ISBLANK(Actuals!J21),"",Actuals!J21)</f>
        <v/>
      </c>
      <c r="AF15" s="137" t="str">
        <f aca="false">IF(ISBLANK(Actuals!J21),"",'Original Budget'!J21-Actuals!J21)</f>
        <v/>
      </c>
      <c r="AG15" s="137" t="str">
        <f aca="false">IFERROR(IF(ISBLANK(Actuals!J21),"",('Original Budget'!J21-Actuals!J21)/ABS('Original Budget'!J21)),"")</f>
        <v/>
      </c>
      <c r="AH15" s="136" t="n">
        <f aca="false">'Original Budget'!K21</f>
        <v>-225208.333333333</v>
      </c>
      <c r="AI15" s="136" t="str">
        <f aca="false">IF(ISBLANK(Actuals!K21),"",Actuals!K21)</f>
        <v/>
      </c>
      <c r="AJ15" s="137" t="str">
        <f aca="false">IF(ISBLANK(Actuals!K21),"",'Original Budget'!K21-Actuals!K21)</f>
        <v/>
      </c>
      <c r="AK15" s="137" t="str">
        <f aca="false">IFERROR(IF(ISBLANK(Actuals!K21),"",('Original Budget'!K21-Actuals!K21)/ABS('Original Budget'!K21)),"")</f>
        <v/>
      </c>
      <c r="AL15" s="136" t="n">
        <f aca="false">'Original Budget'!L21</f>
        <v>-246041.666666667</v>
      </c>
      <c r="AM15" s="136" t="str">
        <f aca="false">IF(ISBLANK(Actuals!L21),"",Actuals!L21)</f>
        <v/>
      </c>
      <c r="AN15" s="137" t="str">
        <f aca="false">IF(ISBLANK(Actuals!L21),"",'Original Budget'!L21-Actuals!L21)</f>
        <v/>
      </c>
      <c r="AO15" s="137" t="str">
        <f aca="false">IFERROR(IF(ISBLANK(Actuals!L21),"",('Original Budget'!L21-Actuals!L21)/ABS('Original Budget'!L21)),"")</f>
        <v/>
      </c>
      <c r="AP15" s="136" t="n">
        <f aca="false">'Original Budget'!M21</f>
        <v>-276041.666666667</v>
      </c>
      <c r="AQ15" s="136" t="str">
        <f aca="false">IF(ISBLANK(Actuals!M21),"",Actuals!M21)</f>
        <v/>
      </c>
      <c r="AR15" s="137" t="str">
        <f aca="false">IF(ISBLANK(Actuals!M21),"",'Original Budget'!M21-Actuals!M21)</f>
        <v/>
      </c>
      <c r="AS15" s="137" t="str">
        <f aca="false">IFERROR(IF(ISBLANK(Actuals!M21),"",('Original Budget'!M21-Actuals!M21)/ABS('Original Budget'!M21)),"")</f>
        <v/>
      </c>
      <c r="AT15" s="136" t="n">
        <f aca="false">'Original Budget'!N21</f>
        <v>-276041.666666667</v>
      </c>
      <c r="AU15" s="136" t="str">
        <f aca="false">IF(ISBLANK(Actuals!N21),"",Actuals!N21)</f>
        <v/>
      </c>
      <c r="AV15" s="137" t="str">
        <f aca="false">IF(ISBLANK(Actuals!N21),"",'Original Budget'!N21-Actuals!N21)</f>
        <v/>
      </c>
      <c r="AW15" s="137" t="str">
        <f aca="false">IFERROR(IF(ISBLANK(Actuals!N21),"",('Original Budget'!N21-Actuals!N21)/ABS('Original Budget'!N21)),"")</f>
        <v/>
      </c>
      <c r="AX15" s="138" t="n">
        <f aca="false">SUMPRODUCT((Actuals!C21:N21&lt;&gt;"")*('Original Budget'!C21:N21))</f>
        <v>-1042633.26666667</v>
      </c>
      <c r="AY15" s="138" t="n">
        <f aca="false">SUM(Actuals!C21:N21)</f>
        <v>-1156380.25</v>
      </c>
      <c r="AZ15" s="139" t="n">
        <f aca="false">AX15-AY15</f>
        <v>113746.983333333</v>
      </c>
    </row>
    <row r="16" customFormat="false" ht="15" hidden="false" customHeight="true" outlineLevel="0" collapsed="false">
      <c r="A16" s="135" t="s">
        <v>61</v>
      </c>
      <c r="B16" s="136" t="n">
        <f aca="false">'Original Budget'!C22</f>
        <v>-7450.37</v>
      </c>
      <c r="C16" s="136" t="n">
        <f aca="false">IF(ISBLANK(Actuals!C22),"",Actuals!C22)</f>
        <v>-7450.37</v>
      </c>
      <c r="D16" s="137" t="n">
        <f aca="false">IF(ISBLANK(Actuals!C22),"",'Original Budget'!C22-Actuals!C22)</f>
        <v>0</v>
      </c>
      <c r="E16" s="137" t="n">
        <f aca="false">IFERROR(IF(ISBLANK(Actuals!C22),"",('Original Budget'!C22-Actuals!C22)/ABS('Original Budget'!C22)),"")</f>
        <v>0</v>
      </c>
      <c r="F16" s="136" t="n">
        <f aca="false">'Original Budget'!D22</f>
        <v>-10567.2</v>
      </c>
      <c r="G16" s="136" t="n">
        <f aca="false">IF(ISBLANK(Actuals!D22),"",Actuals!D22)</f>
        <v>-10567.2</v>
      </c>
      <c r="H16" s="137" t="n">
        <f aca="false">IF(ISBLANK(Actuals!D22),"",'Original Budget'!D22-Actuals!D22)</f>
        <v>0</v>
      </c>
      <c r="I16" s="137" t="n">
        <f aca="false">IFERROR(IF(ISBLANK(Actuals!D22),"",('Original Budget'!D22-Actuals!D22)/ABS('Original Budget'!D22)),"")</f>
        <v>0</v>
      </c>
      <c r="J16" s="136" t="n">
        <f aca="false">'Original Budget'!E22</f>
        <v>-17033.3</v>
      </c>
      <c r="K16" s="136" t="n">
        <f aca="false">IF(ISBLANK(Actuals!E22),"",Actuals!E22)</f>
        <v>-17033.3</v>
      </c>
      <c r="L16" s="137" t="n">
        <f aca="false">IF(ISBLANK(Actuals!E22),"",'Original Budget'!E22-Actuals!E22)</f>
        <v>0</v>
      </c>
      <c r="M16" s="137" t="n">
        <f aca="false">IFERROR(IF(ISBLANK(Actuals!E22),"",('Original Budget'!E22-Actuals!E22)/ABS('Original Budget'!E22)),"")</f>
        <v>0</v>
      </c>
      <c r="N16" s="136" t="n">
        <f aca="false">'Original Budget'!F22</f>
        <v>-15327.0833333333</v>
      </c>
      <c r="O16" s="136" t="n">
        <f aca="false">IF(ISBLANK(Actuals!F22),"",Actuals!F22)</f>
        <v>-14599.57</v>
      </c>
      <c r="P16" s="137" t="n">
        <f aca="false">IF(ISBLANK(Actuals!F22),"",'Original Budget'!F22-Actuals!F22)</f>
        <v>-727.5133333333</v>
      </c>
      <c r="Q16" s="137" t="n">
        <f aca="false">IFERROR(IF(ISBLANK(Actuals!F22),"",('Original Budget'!F22-Actuals!F22)/ABS('Original Budget'!F22)),"")</f>
        <v>-0.0474658692401773</v>
      </c>
      <c r="R16" s="136" t="n">
        <f aca="false">'Original Budget'!G22</f>
        <v>-17047.9166666667</v>
      </c>
      <c r="S16" s="136" t="n">
        <f aca="false">IF(ISBLANK(Actuals!G22),"",Actuals!G22)</f>
        <v>-23689.02</v>
      </c>
      <c r="T16" s="137" t="n">
        <f aca="false">IF(ISBLANK(Actuals!G22),"",'Original Budget'!G22-Actuals!G22)</f>
        <v>6641.1033333333</v>
      </c>
      <c r="U16" s="137" t="n">
        <f aca="false">IFERROR(IF(ISBLANK(Actuals!G22),"",('Original Budget'!G22-Actuals!G22)/ABS('Original Budget'!G22)),"")</f>
        <v>0.389555126481728</v>
      </c>
      <c r="V16" s="136" t="n">
        <f aca="false">'Original Budget'!H22</f>
        <v>-18797.9166666667</v>
      </c>
      <c r="W16" s="136" t="n">
        <f aca="false">IF(ISBLANK(Actuals!H22),"",Actuals!H22)</f>
        <v>-14793.67</v>
      </c>
      <c r="X16" s="137" t="n">
        <f aca="false">IF(ISBLANK(Actuals!H22),"",'Original Budget'!H22-Actuals!H22)</f>
        <v>-4004.2466666667</v>
      </c>
      <c r="Y16" s="137" t="n">
        <f aca="false">IFERROR(IF(ISBLANK(Actuals!H22),"",('Original Budget'!H22-Actuals!H22)/ABS('Original Budget'!H22)),"")</f>
        <v>-0.213015449407072</v>
      </c>
      <c r="Z16" s="136" t="n">
        <f aca="false">'Original Budget'!I22</f>
        <v>-19556.25</v>
      </c>
      <c r="AA16" s="136" t="str">
        <f aca="false">IF(ISBLANK(Actuals!I22),"",Actuals!I22)</f>
        <v/>
      </c>
      <c r="AB16" s="137" t="str">
        <f aca="false">IF(ISBLANK(Actuals!I22),"",'Original Budget'!I22-Actuals!I22)</f>
        <v/>
      </c>
      <c r="AC16" s="137" t="str">
        <f aca="false">IFERROR(IF(ISBLANK(Actuals!I22),"",('Original Budget'!I22-Actuals!I22)/ABS('Original Budget'!I22)),"")</f>
        <v/>
      </c>
      <c r="AD16" s="136" t="n">
        <f aca="false">'Original Budget'!J22</f>
        <v>-19556.25</v>
      </c>
      <c r="AE16" s="136" t="str">
        <f aca="false">IF(ISBLANK(Actuals!J22),"",Actuals!J22)</f>
        <v/>
      </c>
      <c r="AF16" s="137" t="str">
        <f aca="false">IF(ISBLANK(Actuals!J22),"",'Original Budget'!J22-Actuals!J22)</f>
        <v/>
      </c>
      <c r="AG16" s="137" t="str">
        <f aca="false">IFERROR(IF(ISBLANK(Actuals!J22),"",('Original Budget'!J22-Actuals!J22)/ABS('Original Budget'!J22)),"")</f>
        <v/>
      </c>
      <c r="AH16" s="136" t="n">
        <f aca="false">'Original Budget'!K22</f>
        <v>-19556.25</v>
      </c>
      <c r="AI16" s="136" t="str">
        <f aca="false">IF(ISBLANK(Actuals!K22),"",Actuals!K22)</f>
        <v/>
      </c>
      <c r="AJ16" s="137" t="str">
        <f aca="false">IF(ISBLANK(Actuals!K22),"",'Original Budget'!K22-Actuals!K22)</f>
        <v/>
      </c>
      <c r="AK16" s="137" t="str">
        <f aca="false">IFERROR(IF(ISBLANK(Actuals!K22),"",('Original Budget'!K22-Actuals!K22)/ABS('Original Budget'!K22)),"")</f>
        <v/>
      </c>
      <c r="AL16" s="136" t="n">
        <f aca="false">'Original Budget'!L22</f>
        <v>-21014.5833333333</v>
      </c>
      <c r="AM16" s="136" t="str">
        <f aca="false">IF(ISBLANK(Actuals!L22),"",Actuals!L22)</f>
        <v/>
      </c>
      <c r="AN16" s="137" t="str">
        <f aca="false">IF(ISBLANK(Actuals!L22),"",'Original Budget'!L22-Actuals!L22)</f>
        <v/>
      </c>
      <c r="AO16" s="137" t="str">
        <f aca="false">IFERROR(IF(ISBLANK(Actuals!L22),"",('Original Budget'!L22-Actuals!L22)/ABS('Original Budget'!L22)),"")</f>
        <v/>
      </c>
      <c r="AP16" s="136" t="n">
        <f aca="false">'Original Budget'!M22</f>
        <v>-23114.5833333333</v>
      </c>
      <c r="AQ16" s="136" t="str">
        <f aca="false">IF(ISBLANK(Actuals!M22),"",Actuals!M22)</f>
        <v/>
      </c>
      <c r="AR16" s="137" t="str">
        <f aca="false">IF(ISBLANK(Actuals!M22),"",'Original Budget'!M22-Actuals!M22)</f>
        <v/>
      </c>
      <c r="AS16" s="137" t="str">
        <f aca="false">IFERROR(IF(ISBLANK(Actuals!M22),"",('Original Budget'!M22-Actuals!M22)/ABS('Original Budget'!M22)),"")</f>
        <v/>
      </c>
      <c r="AT16" s="136" t="n">
        <f aca="false">'Original Budget'!N22</f>
        <v>-23114.5833333333</v>
      </c>
      <c r="AU16" s="136" t="str">
        <f aca="false">IF(ISBLANK(Actuals!N22),"",Actuals!N22)</f>
        <v/>
      </c>
      <c r="AV16" s="137" t="str">
        <f aca="false">IF(ISBLANK(Actuals!N22),"",'Original Budget'!N22-Actuals!N22)</f>
        <v/>
      </c>
      <c r="AW16" s="137" t="str">
        <f aca="false">IFERROR(IF(ISBLANK(Actuals!N22),"",('Original Budget'!N22-Actuals!N22)/ABS('Original Budget'!N22)),"")</f>
        <v/>
      </c>
      <c r="AX16" s="138" t="n">
        <f aca="false">SUMPRODUCT((Actuals!C22:N22&lt;&gt;"")*('Original Budget'!C22:N22))</f>
        <v>-86223.7866666667</v>
      </c>
      <c r="AY16" s="138" t="n">
        <f aca="false">SUM(Actuals!C22:N22)</f>
        <v>-88133.13</v>
      </c>
      <c r="AZ16" s="139" t="n">
        <f aca="false">AX16-AY16</f>
        <v>1909.34333333331</v>
      </c>
    </row>
    <row r="17" customFormat="false" ht="15" hidden="false" customHeight="true" outlineLevel="0" collapsed="false">
      <c r="A17" s="135" t="s">
        <v>62</v>
      </c>
      <c r="B17" s="136" t="n">
        <f aca="false">'Original Budget'!C23</f>
        <v>0</v>
      </c>
      <c r="C17" s="136" t="str">
        <f aca="false">IF(ISBLANK(Actuals!C23),"",Actuals!C23)</f>
        <v/>
      </c>
      <c r="D17" s="137" t="str">
        <f aca="false">IF(ISBLANK(Actuals!C23),"",'Original Budget'!C23-Actuals!C23)</f>
        <v/>
      </c>
      <c r="E17" s="137" t="str">
        <f aca="false">IFERROR(IF(ISBLANK(Actuals!C23),"",('Original Budget'!C23-Actuals!C23)/ABS('Original Budget'!C23)),"")</f>
        <v/>
      </c>
      <c r="F17" s="136" t="n">
        <f aca="false">'Original Budget'!D23</f>
        <v>0</v>
      </c>
      <c r="G17" s="136" t="str">
        <f aca="false">IF(ISBLANK(Actuals!D23),"",Actuals!D23)</f>
        <v/>
      </c>
      <c r="H17" s="137" t="str">
        <f aca="false">IF(ISBLANK(Actuals!D23),"",'Original Budget'!D23-Actuals!D23)</f>
        <v/>
      </c>
      <c r="I17" s="137" t="str">
        <f aca="false">IFERROR(IF(ISBLANK(Actuals!D23),"",('Original Budget'!D23-Actuals!D23)/ABS('Original Budget'!D23)),"")</f>
        <v/>
      </c>
      <c r="J17" s="136" t="n">
        <f aca="false">'Original Budget'!E23</f>
        <v>0</v>
      </c>
      <c r="K17" s="136" t="str">
        <f aca="false">IF(ISBLANK(Actuals!E23),"",Actuals!E23)</f>
        <v/>
      </c>
      <c r="L17" s="137" t="str">
        <f aca="false">IF(ISBLANK(Actuals!E23),"",'Original Budget'!E23-Actuals!E23)</f>
        <v/>
      </c>
      <c r="M17" s="137" t="str">
        <f aca="false">IFERROR(IF(ISBLANK(Actuals!E23),"",('Original Budget'!E23-Actuals!E23)/ABS('Original Budget'!E23)),"")</f>
        <v/>
      </c>
      <c r="N17" s="136" t="n">
        <f aca="false">'Original Budget'!F23</f>
        <v>-103833.333333333</v>
      </c>
      <c r="O17" s="136" t="n">
        <f aca="false">IF(ISBLANK(Actuals!F23),"",Actuals!F23)</f>
        <v>0</v>
      </c>
      <c r="P17" s="137" t="n">
        <f aca="false">IF(ISBLANK(Actuals!F23),"",'Original Budget'!F23-Actuals!F23)</f>
        <v>-103833.333333333</v>
      </c>
      <c r="Q17" s="137" t="n">
        <f aca="false">IFERROR(IF(ISBLANK(Actuals!F23),"",('Original Budget'!F23-Actuals!F23)/ABS('Original Budget'!F23)),"")</f>
        <v>-1</v>
      </c>
      <c r="R17" s="136" t="n">
        <f aca="false">'Original Budget'!G23</f>
        <v>-103833.333333333</v>
      </c>
      <c r="S17" s="136" t="n">
        <f aca="false">IF(ISBLANK(Actuals!G23),"",Actuals!G23)</f>
        <v>0</v>
      </c>
      <c r="T17" s="137" t="n">
        <f aca="false">IF(ISBLANK(Actuals!G23),"",'Original Budget'!G23-Actuals!G23)</f>
        <v>-103833.333333333</v>
      </c>
      <c r="U17" s="137" t="n">
        <f aca="false">IFERROR(IF(ISBLANK(Actuals!G23),"",('Original Budget'!G23-Actuals!G23)/ABS('Original Budget'!G23)),"")</f>
        <v>-1</v>
      </c>
      <c r="V17" s="136" t="n">
        <f aca="false">'Original Budget'!H23</f>
        <v>-103833.333333333</v>
      </c>
      <c r="W17" s="136" t="str">
        <f aca="false">IF(ISBLANK(Actuals!H23),"",Actuals!H23)</f>
        <v/>
      </c>
      <c r="X17" s="137" t="str">
        <f aca="false">IF(ISBLANK(Actuals!H23),"",'Original Budget'!H23-Actuals!H23)</f>
        <v/>
      </c>
      <c r="Y17" s="137" t="str">
        <f aca="false">IFERROR(IF(ISBLANK(Actuals!H23),"",('Original Budget'!H23-Actuals!H23)/ABS('Original Budget'!H23)),"")</f>
        <v/>
      </c>
      <c r="Z17" s="136" t="n">
        <f aca="false">'Original Budget'!I23</f>
        <v>-103833.333333333</v>
      </c>
      <c r="AA17" s="136" t="str">
        <f aca="false">IF(ISBLANK(Actuals!I23),"",Actuals!I23)</f>
        <v/>
      </c>
      <c r="AB17" s="137" t="str">
        <f aca="false">IF(ISBLANK(Actuals!I23),"",'Original Budget'!I23-Actuals!I23)</f>
        <v/>
      </c>
      <c r="AC17" s="137" t="str">
        <f aca="false">IFERROR(IF(ISBLANK(Actuals!I23),"",('Original Budget'!I23-Actuals!I23)/ABS('Original Budget'!I23)),"")</f>
        <v/>
      </c>
      <c r="AD17" s="136" t="n">
        <f aca="false">'Original Budget'!J23</f>
        <v>-103833.333333333</v>
      </c>
      <c r="AE17" s="136" t="str">
        <f aca="false">IF(ISBLANK(Actuals!J23),"",Actuals!J23)</f>
        <v/>
      </c>
      <c r="AF17" s="137" t="str">
        <f aca="false">IF(ISBLANK(Actuals!J23),"",'Original Budget'!J23-Actuals!J23)</f>
        <v/>
      </c>
      <c r="AG17" s="137" t="str">
        <f aca="false">IFERROR(IF(ISBLANK(Actuals!J23),"",('Original Budget'!J23-Actuals!J23)/ABS('Original Budget'!J23)),"")</f>
        <v/>
      </c>
      <c r="AH17" s="136" t="n">
        <f aca="false">'Original Budget'!K23</f>
        <v>-103833.333333333</v>
      </c>
      <c r="AI17" s="136" t="str">
        <f aca="false">IF(ISBLANK(Actuals!K23),"",Actuals!K23)</f>
        <v/>
      </c>
      <c r="AJ17" s="137" t="str">
        <f aca="false">IF(ISBLANK(Actuals!K23),"",'Original Budget'!K23-Actuals!K23)</f>
        <v/>
      </c>
      <c r="AK17" s="137" t="str">
        <f aca="false">IFERROR(IF(ISBLANK(Actuals!K23),"",('Original Budget'!K23-Actuals!K23)/ABS('Original Budget'!K23)),"")</f>
        <v/>
      </c>
      <c r="AL17" s="136" t="n">
        <f aca="false">'Original Budget'!L23</f>
        <v>-103833.333333333</v>
      </c>
      <c r="AM17" s="136" t="str">
        <f aca="false">IF(ISBLANK(Actuals!L23),"",Actuals!L23)</f>
        <v/>
      </c>
      <c r="AN17" s="137" t="str">
        <f aca="false">IF(ISBLANK(Actuals!L23),"",'Original Budget'!L23-Actuals!L23)</f>
        <v/>
      </c>
      <c r="AO17" s="137" t="str">
        <f aca="false">IFERROR(IF(ISBLANK(Actuals!L23),"",('Original Budget'!L23-Actuals!L23)/ABS('Original Budget'!L23)),"")</f>
        <v/>
      </c>
      <c r="AP17" s="136" t="n">
        <f aca="false">'Original Budget'!M23</f>
        <v>-103833.333333333</v>
      </c>
      <c r="AQ17" s="136" t="str">
        <f aca="false">IF(ISBLANK(Actuals!M23),"",Actuals!M23)</f>
        <v/>
      </c>
      <c r="AR17" s="137" t="str">
        <f aca="false">IF(ISBLANK(Actuals!M23),"",'Original Budget'!M23-Actuals!M23)</f>
        <v/>
      </c>
      <c r="AS17" s="137" t="str">
        <f aca="false">IFERROR(IF(ISBLANK(Actuals!M23),"",('Original Budget'!M23-Actuals!M23)/ABS('Original Budget'!M23)),"")</f>
        <v/>
      </c>
      <c r="AT17" s="136" t="n">
        <f aca="false">'Original Budget'!N23</f>
        <v>-103833.333333333</v>
      </c>
      <c r="AU17" s="136" t="str">
        <f aca="false">IF(ISBLANK(Actuals!N23),"",Actuals!N23)</f>
        <v/>
      </c>
      <c r="AV17" s="137" t="str">
        <f aca="false">IF(ISBLANK(Actuals!N23),"",'Original Budget'!N23-Actuals!N23)</f>
        <v/>
      </c>
      <c r="AW17" s="137" t="str">
        <f aca="false">IFERROR(IF(ISBLANK(Actuals!N23),"",('Original Budget'!N23-Actuals!N23)/ABS('Original Budget'!N23)),"")</f>
        <v/>
      </c>
      <c r="AX17" s="138" t="n">
        <f aca="false">SUMPRODUCT((Actuals!C23:N23&lt;&gt;"")*('Original Budget'!C23:N23))</f>
        <v>-207666.666666666</v>
      </c>
      <c r="AY17" s="138" t="n">
        <f aca="false">SUM(Actuals!C23:N23)</f>
        <v>0</v>
      </c>
      <c r="AZ17" s="139" t="n">
        <f aca="false">AX17-AY17</f>
        <v>-207666.666666666</v>
      </c>
    </row>
    <row r="18" customFormat="false" ht="15" hidden="false" customHeight="true" outlineLevel="0" collapsed="false">
      <c r="A18" s="135" t="s">
        <v>63</v>
      </c>
      <c r="B18" s="136" t="n">
        <f aca="false">'Original Budget'!C24</f>
        <v>-9482.97</v>
      </c>
      <c r="C18" s="136" t="n">
        <f aca="false">IF(ISBLANK(Actuals!C24),"",Actuals!C24)</f>
        <v>-9482.97</v>
      </c>
      <c r="D18" s="137" t="n">
        <f aca="false">IF(ISBLANK(Actuals!C24),"",'Original Budget'!C24-Actuals!C24)</f>
        <v>0</v>
      </c>
      <c r="E18" s="137" t="n">
        <f aca="false">IFERROR(IF(ISBLANK(Actuals!C24),"",('Original Budget'!C24-Actuals!C24)/ABS('Original Budget'!C24)),"")</f>
        <v>0</v>
      </c>
      <c r="F18" s="136" t="n">
        <f aca="false">'Original Budget'!D24</f>
        <v>-10343.29</v>
      </c>
      <c r="G18" s="136" t="n">
        <f aca="false">IF(ISBLANK(Actuals!D24),"",Actuals!D24)</f>
        <v>-10343.29</v>
      </c>
      <c r="H18" s="137" t="n">
        <f aca="false">IF(ISBLANK(Actuals!D24),"",'Original Budget'!D24-Actuals!D24)</f>
        <v>0</v>
      </c>
      <c r="I18" s="137" t="n">
        <f aca="false">IFERROR(IF(ISBLANK(Actuals!D24),"",('Original Budget'!D24-Actuals!D24)/ABS('Original Budget'!D24)),"")</f>
        <v>0</v>
      </c>
      <c r="J18" s="136" t="n">
        <f aca="false">'Original Budget'!E24</f>
        <v>-3729.48</v>
      </c>
      <c r="K18" s="136" t="n">
        <f aca="false">IF(ISBLANK(Actuals!E24),"",Actuals!E24)</f>
        <v>-3729.48</v>
      </c>
      <c r="L18" s="137" t="n">
        <f aca="false">IF(ISBLANK(Actuals!E24),"",'Original Budget'!E24-Actuals!E24)</f>
        <v>0</v>
      </c>
      <c r="M18" s="137" t="n">
        <f aca="false">IFERROR(IF(ISBLANK(Actuals!E24),"",('Original Budget'!E24-Actuals!E24)/ABS('Original Budget'!E24)),"")</f>
        <v>0</v>
      </c>
      <c r="N18" s="136" t="n">
        <f aca="false">'Original Budget'!F24</f>
        <v>-10947.9166666667</v>
      </c>
      <c r="O18" s="136" t="n">
        <f aca="false">IF(ISBLANK(Actuals!F24),"",Actuals!F24)</f>
        <v>-3206.79</v>
      </c>
      <c r="P18" s="137" t="n">
        <f aca="false">IF(ISBLANK(Actuals!F24),"",'Original Budget'!F24-Actuals!F24)</f>
        <v>-7741.1266666667</v>
      </c>
      <c r="Q18" s="137" t="n">
        <f aca="false">IFERROR(IF(ISBLANK(Actuals!F24),"",('Original Budget'!F24-Actuals!F24)/ABS('Original Budget'!F24)),"")</f>
        <v>-0.707086736441485</v>
      </c>
      <c r="R18" s="136" t="n">
        <f aca="false">'Original Budget'!G24</f>
        <v>-12177.0833333333</v>
      </c>
      <c r="S18" s="136" t="n">
        <f aca="false">IF(ISBLANK(Actuals!G24),"",Actuals!G24)</f>
        <v>10942.55</v>
      </c>
      <c r="T18" s="137" t="n">
        <f aca="false">IF(ISBLANK(Actuals!G24),"",'Original Budget'!G24-Actuals!G24)</f>
        <v>-23119.6333333333</v>
      </c>
      <c r="U18" s="137" t="n">
        <f aca="false">IFERROR(IF(ISBLANK(Actuals!G24),"",('Original Budget'!G24-Actuals!G24)/ABS('Original Budget'!G24)),"")</f>
        <v>-1.89861830624466</v>
      </c>
      <c r="V18" s="136" t="n">
        <f aca="false">'Original Budget'!H24</f>
        <v>-13427.0833333333</v>
      </c>
      <c r="W18" s="136" t="n">
        <f aca="false">IF(ISBLANK(Actuals!H24),"",Actuals!H24)</f>
        <v>-8982.91</v>
      </c>
      <c r="X18" s="137" t="n">
        <f aca="false">IF(ISBLANK(Actuals!H24),"",'Original Budget'!H24-Actuals!H24)</f>
        <v>-4444.1733333333</v>
      </c>
      <c r="Y18" s="137" t="n">
        <f aca="false">IFERROR(IF(ISBLANK(Actuals!H24),"",('Original Budget'!H24-Actuals!H24)/ABS('Original Budget'!H24)),"")</f>
        <v>-0.330985756400309</v>
      </c>
      <c r="Z18" s="136" t="n">
        <f aca="false">'Original Budget'!I24</f>
        <v>-13968.75</v>
      </c>
      <c r="AA18" s="136" t="str">
        <f aca="false">IF(ISBLANK(Actuals!I24),"",Actuals!I24)</f>
        <v/>
      </c>
      <c r="AB18" s="137" t="str">
        <f aca="false">IF(ISBLANK(Actuals!I24),"",'Original Budget'!I24-Actuals!I24)</f>
        <v/>
      </c>
      <c r="AC18" s="137" t="str">
        <f aca="false">IFERROR(IF(ISBLANK(Actuals!I24),"",('Original Budget'!I24-Actuals!I24)/ABS('Original Budget'!I24)),"")</f>
        <v/>
      </c>
      <c r="AD18" s="136" t="n">
        <f aca="false">'Original Budget'!J24</f>
        <v>-13968.75</v>
      </c>
      <c r="AE18" s="136" t="str">
        <f aca="false">IF(ISBLANK(Actuals!J24),"",Actuals!J24)</f>
        <v/>
      </c>
      <c r="AF18" s="137" t="str">
        <f aca="false">IF(ISBLANK(Actuals!J24),"",'Original Budget'!J24-Actuals!J24)</f>
        <v/>
      </c>
      <c r="AG18" s="137" t="str">
        <f aca="false">IFERROR(IF(ISBLANK(Actuals!J24),"",('Original Budget'!J24-Actuals!J24)/ABS('Original Budget'!J24)),"")</f>
        <v/>
      </c>
      <c r="AH18" s="136" t="n">
        <f aca="false">'Original Budget'!K24</f>
        <v>-13968.75</v>
      </c>
      <c r="AI18" s="136" t="str">
        <f aca="false">IF(ISBLANK(Actuals!K24),"",Actuals!K24)</f>
        <v/>
      </c>
      <c r="AJ18" s="137" t="str">
        <f aca="false">IF(ISBLANK(Actuals!K24),"",'Original Budget'!K24-Actuals!K24)</f>
        <v/>
      </c>
      <c r="AK18" s="137" t="str">
        <f aca="false">IFERROR(IF(ISBLANK(Actuals!K24),"",('Original Budget'!K24-Actuals!K24)/ABS('Original Budget'!K24)),"")</f>
        <v/>
      </c>
      <c r="AL18" s="136" t="n">
        <f aca="false">'Original Budget'!L24</f>
        <v>-15010.4166666667</v>
      </c>
      <c r="AM18" s="136" t="str">
        <f aca="false">IF(ISBLANK(Actuals!L24),"",Actuals!L24)</f>
        <v/>
      </c>
      <c r="AN18" s="137" t="str">
        <f aca="false">IF(ISBLANK(Actuals!L24),"",'Original Budget'!L24-Actuals!L24)</f>
        <v/>
      </c>
      <c r="AO18" s="137" t="str">
        <f aca="false">IFERROR(IF(ISBLANK(Actuals!L24),"",('Original Budget'!L24-Actuals!L24)/ABS('Original Budget'!L24)),"")</f>
        <v/>
      </c>
      <c r="AP18" s="136" t="n">
        <f aca="false">'Original Budget'!M24</f>
        <v>-16510.4166666667</v>
      </c>
      <c r="AQ18" s="136" t="str">
        <f aca="false">IF(ISBLANK(Actuals!M24),"",Actuals!M24)</f>
        <v/>
      </c>
      <c r="AR18" s="137" t="str">
        <f aca="false">IF(ISBLANK(Actuals!M24),"",'Original Budget'!M24-Actuals!M24)</f>
        <v/>
      </c>
      <c r="AS18" s="137" t="str">
        <f aca="false">IFERROR(IF(ISBLANK(Actuals!M24),"",('Original Budget'!M24-Actuals!M24)/ABS('Original Budget'!M24)),"")</f>
        <v/>
      </c>
      <c r="AT18" s="136" t="n">
        <f aca="false">'Original Budget'!N24</f>
        <v>-16510.4166666667</v>
      </c>
      <c r="AU18" s="136" t="str">
        <f aca="false">IF(ISBLANK(Actuals!N24),"",Actuals!N24)</f>
        <v/>
      </c>
      <c r="AV18" s="137" t="str">
        <f aca="false">IF(ISBLANK(Actuals!N24),"",'Original Budget'!N24-Actuals!N24)</f>
        <v/>
      </c>
      <c r="AW18" s="137" t="str">
        <f aca="false">IFERROR(IF(ISBLANK(Actuals!N24),"",('Original Budget'!N24-Actuals!N24)/ABS('Original Budget'!N24)),"")</f>
        <v/>
      </c>
      <c r="AX18" s="138" t="n">
        <f aca="false">SUMPRODUCT((Actuals!C24:N24&lt;&gt;"")*('Original Budget'!C24:N24))</f>
        <v>-60107.8233333333</v>
      </c>
      <c r="AY18" s="138" t="n">
        <f aca="false">SUM(Actuals!C24:N24)</f>
        <v>-24802.89</v>
      </c>
      <c r="AZ18" s="139" t="n">
        <f aca="false">AX18-AY18</f>
        <v>-35304.9333333333</v>
      </c>
    </row>
    <row r="19" customFormat="false" ht="15" hidden="false" customHeight="true" outlineLevel="0" collapsed="false">
      <c r="A19" s="135" t="s">
        <v>64</v>
      </c>
      <c r="B19" s="136" t="n">
        <f aca="false">'Original Budget'!C25</f>
        <v>-2542.47</v>
      </c>
      <c r="C19" s="136" t="n">
        <f aca="false">IF(ISBLANK(Actuals!C25),"",Actuals!C25)</f>
        <v>-2542.47</v>
      </c>
      <c r="D19" s="137" t="n">
        <f aca="false">IF(ISBLANK(Actuals!C25),"",'Original Budget'!C25-Actuals!C25)</f>
        <v>0</v>
      </c>
      <c r="E19" s="137" t="n">
        <f aca="false">IFERROR(IF(ISBLANK(Actuals!C25),"",('Original Budget'!C25-Actuals!C25)/ABS('Original Budget'!C25)),"")</f>
        <v>0</v>
      </c>
      <c r="F19" s="136" t="n">
        <f aca="false">'Original Budget'!D25</f>
        <v>-1618.75</v>
      </c>
      <c r="G19" s="136" t="n">
        <f aca="false">IF(ISBLANK(Actuals!D25),"",Actuals!D25)</f>
        <v>-1618.75</v>
      </c>
      <c r="H19" s="137" t="n">
        <f aca="false">IF(ISBLANK(Actuals!D25),"",'Original Budget'!D25-Actuals!D25)</f>
        <v>0</v>
      </c>
      <c r="I19" s="137" t="n">
        <f aca="false">IFERROR(IF(ISBLANK(Actuals!D25),"",('Original Budget'!D25-Actuals!D25)/ABS('Original Budget'!D25)),"")</f>
        <v>0</v>
      </c>
      <c r="J19" s="136" t="n">
        <f aca="false">'Original Budget'!E25</f>
        <v>3406.77</v>
      </c>
      <c r="K19" s="136" t="n">
        <f aca="false">IF(ISBLANK(Actuals!E25),"",Actuals!E25)</f>
        <v>3406.77</v>
      </c>
      <c r="L19" s="137" t="n">
        <f aca="false">IF(ISBLANK(Actuals!E25),"",'Original Budget'!E25-Actuals!E25)</f>
        <v>0</v>
      </c>
      <c r="M19" s="137" t="n">
        <f aca="false">IFERROR(IF(ISBLANK(Actuals!E25),"",('Original Budget'!E25-Actuals!E25)/ABS('Original Budget'!E25)),"")</f>
        <v>0</v>
      </c>
      <c r="N19" s="136" t="n">
        <f aca="false">'Original Budget'!F25</f>
        <v>-4379.16666666667</v>
      </c>
      <c r="O19" s="136" t="n">
        <f aca="false">IF(ISBLANK(Actuals!F25),"",Actuals!F25)</f>
        <v>2575.42</v>
      </c>
      <c r="P19" s="137" t="n">
        <f aca="false">IF(ISBLANK(Actuals!F25),"",'Original Budget'!F25-Actuals!F25)</f>
        <v>-6954.58666666667</v>
      </c>
      <c r="Q19" s="137" t="n">
        <f aca="false">IFERROR(IF(ISBLANK(Actuals!F25),"",('Original Budget'!F25-Actuals!F25)/ABS('Original Budget'!F25)),"")</f>
        <v>-1.58810732635585</v>
      </c>
      <c r="R19" s="136" t="n">
        <f aca="false">'Original Budget'!G25</f>
        <v>-4870.83333333333</v>
      </c>
      <c r="S19" s="136" t="n">
        <f aca="false">IF(ISBLANK(Actuals!G25),"",Actuals!G25)</f>
        <v>-1896.11</v>
      </c>
      <c r="T19" s="137" t="n">
        <f aca="false">IF(ISBLANK(Actuals!G25),"",'Original Budget'!G25-Actuals!G25)</f>
        <v>-2974.72333333333</v>
      </c>
      <c r="U19" s="137" t="n">
        <f aca="false">IFERROR(IF(ISBLANK(Actuals!G25),"",('Original Budget'!G25-Actuals!G25)/ABS('Original Budget'!G25)),"")</f>
        <v>-0.610721642429427</v>
      </c>
      <c r="V19" s="136" t="n">
        <f aca="false">'Original Budget'!H25</f>
        <v>-5370.83333333333</v>
      </c>
      <c r="W19" s="136" t="n">
        <f aca="false">IF(ISBLANK(Actuals!H25),"",Actuals!H25)</f>
        <v>-2888.37</v>
      </c>
      <c r="X19" s="137" t="n">
        <f aca="false">IF(ISBLANK(Actuals!H25),"",'Original Budget'!H25-Actuals!H25)</f>
        <v>-2482.46333333333</v>
      </c>
      <c r="Y19" s="137" t="n">
        <f aca="false">IFERROR(IF(ISBLANK(Actuals!H25),"",('Original Budget'!H25-Actuals!H25)/ABS('Original Budget'!H25)),"")</f>
        <v>-0.462211947245927</v>
      </c>
      <c r="Z19" s="136" t="n">
        <f aca="false">'Original Budget'!I25</f>
        <v>-5587.5</v>
      </c>
      <c r="AA19" s="136" t="str">
        <f aca="false">IF(ISBLANK(Actuals!I25),"",Actuals!I25)</f>
        <v/>
      </c>
      <c r="AB19" s="137" t="str">
        <f aca="false">IF(ISBLANK(Actuals!I25),"",'Original Budget'!I25-Actuals!I25)</f>
        <v/>
      </c>
      <c r="AC19" s="137" t="str">
        <f aca="false">IFERROR(IF(ISBLANK(Actuals!I25),"",('Original Budget'!I25-Actuals!I25)/ABS('Original Budget'!I25)),"")</f>
        <v/>
      </c>
      <c r="AD19" s="136" t="n">
        <f aca="false">'Original Budget'!J25</f>
        <v>-5587.5</v>
      </c>
      <c r="AE19" s="136" t="str">
        <f aca="false">IF(ISBLANK(Actuals!J25),"",Actuals!J25)</f>
        <v/>
      </c>
      <c r="AF19" s="137" t="str">
        <f aca="false">IF(ISBLANK(Actuals!J25),"",'Original Budget'!J25-Actuals!J25)</f>
        <v/>
      </c>
      <c r="AG19" s="137" t="str">
        <f aca="false">IFERROR(IF(ISBLANK(Actuals!J25),"",('Original Budget'!J25-Actuals!J25)/ABS('Original Budget'!J25)),"")</f>
        <v/>
      </c>
      <c r="AH19" s="136" t="n">
        <f aca="false">'Original Budget'!K25</f>
        <v>-5587.5</v>
      </c>
      <c r="AI19" s="136" t="str">
        <f aca="false">IF(ISBLANK(Actuals!K25),"",Actuals!K25)</f>
        <v/>
      </c>
      <c r="AJ19" s="137" t="str">
        <f aca="false">IF(ISBLANK(Actuals!K25),"",'Original Budget'!K25-Actuals!K25)</f>
        <v/>
      </c>
      <c r="AK19" s="137" t="str">
        <f aca="false">IFERROR(IF(ISBLANK(Actuals!K25),"",('Original Budget'!K25-Actuals!K25)/ABS('Original Budget'!K25)),"")</f>
        <v/>
      </c>
      <c r="AL19" s="136" t="n">
        <f aca="false">'Original Budget'!L25</f>
        <v>-6004.16666666667</v>
      </c>
      <c r="AM19" s="136" t="str">
        <f aca="false">IF(ISBLANK(Actuals!L25),"",Actuals!L25)</f>
        <v/>
      </c>
      <c r="AN19" s="137" t="str">
        <f aca="false">IF(ISBLANK(Actuals!L25),"",'Original Budget'!L25-Actuals!L25)</f>
        <v/>
      </c>
      <c r="AO19" s="137" t="str">
        <f aca="false">IFERROR(IF(ISBLANK(Actuals!L25),"",('Original Budget'!L25-Actuals!L25)/ABS('Original Budget'!L25)),"")</f>
        <v/>
      </c>
      <c r="AP19" s="136" t="n">
        <f aca="false">'Original Budget'!M25</f>
        <v>-6604.16666666666</v>
      </c>
      <c r="AQ19" s="136" t="str">
        <f aca="false">IF(ISBLANK(Actuals!M25),"",Actuals!M25)</f>
        <v/>
      </c>
      <c r="AR19" s="137" t="str">
        <f aca="false">IF(ISBLANK(Actuals!M25),"",'Original Budget'!M25-Actuals!M25)</f>
        <v/>
      </c>
      <c r="AS19" s="137" t="str">
        <f aca="false">IFERROR(IF(ISBLANK(Actuals!M25),"",('Original Budget'!M25-Actuals!M25)/ABS('Original Budget'!M25)),"")</f>
        <v/>
      </c>
      <c r="AT19" s="136" t="n">
        <f aca="false">'Original Budget'!N25</f>
        <v>-6604.16666666666</v>
      </c>
      <c r="AU19" s="136" t="str">
        <f aca="false">IF(ISBLANK(Actuals!N25),"",Actuals!N25)</f>
        <v/>
      </c>
      <c r="AV19" s="137" t="str">
        <f aca="false">IF(ISBLANK(Actuals!N25),"",'Original Budget'!N25-Actuals!N25)</f>
        <v/>
      </c>
      <c r="AW19" s="137" t="str">
        <f aca="false">IFERROR(IF(ISBLANK(Actuals!N25),"",('Original Budget'!N25-Actuals!N25)/ABS('Original Budget'!N25)),"")</f>
        <v/>
      </c>
      <c r="AX19" s="138" t="n">
        <f aca="false">SUMPRODUCT((Actuals!C25:N25&lt;&gt;"")*('Original Budget'!C25:N25))</f>
        <v>-15375.2833333333</v>
      </c>
      <c r="AY19" s="138" t="n">
        <f aca="false">SUM(Actuals!C25:N25)</f>
        <v>-2963.51</v>
      </c>
      <c r="AZ19" s="139" t="n">
        <f aca="false">AX19-AY19</f>
        <v>-12411.7733333333</v>
      </c>
    </row>
    <row r="20" customFormat="false" ht="15" hidden="false" customHeight="true" outlineLevel="0" collapsed="false">
      <c r="A20" s="135" t="s">
        <v>65</v>
      </c>
      <c r="B20" s="136" t="n">
        <f aca="false">'Original Budget'!C26</f>
        <v>-195</v>
      </c>
      <c r="C20" s="136" t="n">
        <f aca="false">IF(ISBLANK(Actuals!C26),"",Actuals!C26)</f>
        <v>-195</v>
      </c>
      <c r="D20" s="137" t="n">
        <f aca="false">IF(ISBLANK(Actuals!C26),"",'Original Budget'!C26-Actuals!C26)</f>
        <v>0</v>
      </c>
      <c r="E20" s="137" t="n">
        <f aca="false">IFERROR(IF(ISBLANK(Actuals!C26),"",('Original Budget'!C26-Actuals!C26)/ABS('Original Budget'!C26)),"")</f>
        <v>0</v>
      </c>
      <c r="F20" s="136" t="n">
        <f aca="false">'Original Budget'!D26</f>
        <v>-200</v>
      </c>
      <c r="G20" s="136" t="n">
        <f aca="false">IF(ISBLANK(Actuals!D26),"",Actuals!D26)</f>
        <v>-200</v>
      </c>
      <c r="H20" s="137" t="n">
        <f aca="false">IF(ISBLANK(Actuals!D26),"",'Original Budget'!D26-Actuals!D26)</f>
        <v>0</v>
      </c>
      <c r="I20" s="137" t="n">
        <f aca="false">IFERROR(IF(ISBLANK(Actuals!D26),"",('Original Budget'!D26-Actuals!D26)/ABS('Original Budget'!D26)),"")</f>
        <v>0</v>
      </c>
      <c r="J20" s="136" t="n">
        <f aca="false">'Original Budget'!E26</f>
        <v>0</v>
      </c>
      <c r="K20" s="136" t="n">
        <f aca="false">IF(ISBLANK(Actuals!E26),"",Actuals!E26)</f>
        <v>0</v>
      </c>
      <c r="L20" s="137" t="n">
        <f aca="false">IF(ISBLANK(Actuals!E26),"",'Original Budget'!E26-Actuals!E26)</f>
        <v>0</v>
      </c>
      <c r="M20" s="137" t="str">
        <f aca="false">IFERROR(IF(ISBLANK(Actuals!E26),"",('Original Budget'!E26-Actuals!E26)/ABS('Original Budget'!E26)),"")</f>
        <v/>
      </c>
      <c r="N20" s="136" t="n">
        <f aca="false">'Original Budget'!F26</f>
        <v>-1094.79166666667</v>
      </c>
      <c r="O20" s="136" t="n">
        <f aca="false">IF(ISBLANK(Actuals!F26),"",Actuals!F26)</f>
        <v>0</v>
      </c>
      <c r="P20" s="137" t="n">
        <f aca="false">IF(ISBLANK(Actuals!F26),"",'Original Budget'!F26-Actuals!F26)</f>
        <v>-1094.79166666667</v>
      </c>
      <c r="Q20" s="137" t="n">
        <f aca="false">IFERROR(IF(ISBLANK(Actuals!F26),"",('Original Budget'!F26-Actuals!F26)/ABS('Original Budget'!F26)),"")</f>
        <v>-1</v>
      </c>
      <c r="R20" s="136" t="n">
        <f aca="false">'Original Budget'!G26</f>
        <v>-1217.70833333333</v>
      </c>
      <c r="S20" s="136" t="n">
        <f aca="false">IF(ISBLANK(Actuals!G26),"",Actuals!G26)</f>
        <v>0</v>
      </c>
      <c r="T20" s="137" t="n">
        <f aca="false">IF(ISBLANK(Actuals!G26),"",'Original Budget'!G26-Actuals!G26)</f>
        <v>-1217.70833333333</v>
      </c>
      <c r="U20" s="137" t="n">
        <f aca="false">IFERROR(IF(ISBLANK(Actuals!G26),"",('Original Budget'!G26-Actuals!G26)/ABS('Original Budget'!G26)),"")</f>
        <v>-1</v>
      </c>
      <c r="V20" s="136" t="n">
        <f aca="false">'Original Budget'!H26</f>
        <v>-1342.70833333333</v>
      </c>
      <c r="W20" s="136" t="n">
        <f aca="false">IF(ISBLANK(Actuals!H26),"",Actuals!H26)</f>
        <v>0</v>
      </c>
      <c r="X20" s="137" t="n">
        <f aca="false">IF(ISBLANK(Actuals!H26),"",'Original Budget'!H26-Actuals!H26)</f>
        <v>-1342.70833333333</v>
      </c>
      <c r="Y20" s="137" t="n">
        <f aca="false">IFERROR(IF(ISBLANK(Actuals!H26),"",('Original Budget'!H26-Actuals!H26)/ABS('Original Budget'!H26)),"")</f>
        <v>-1</v>
      </c>
      <c r="Z20" s="136" t="n">
        <f aca="false">'Original Budget'!I26</f>
        <v>-1396.875</v>
      </c>
      <c r="AA20" s="136" t="str">
        <f aca="false">IF(ISBLANK(Actuals!I26),"",Actuals!I26)</f>
        <v/>
      </c>
      <c r="AB20" s="137" t="str">
        <f aca="false">IF(ISBLANK(Actuals!I26),"",'Original Budget'!I26-Actuals!I26)</f>
        <v/>
      </c>
      <c r="AC20" s="137" t="str">
        <f aca="false">IFERROR(IF(ISBLANK(Actuals!I26),"",('Original Budget'!I26-Actuals!I26)/ABS('Original Budget'!I26)),"")</f>
        <v/>
      </c>
      <c r="AD20" s="136" t="n">
        <f aca="false">'Original Budget'!J26</f>
        <v>-1396.875</v>
      </c>
      <c r="AE20" s="136" t="str">
        <f aca="false">IF(ISBLANK(Actuals!J26),"",Actuals!J26)</f>
        <v/>
      </c>
      <c r="AF20" s="137" t="str">
        <f aca="false">IF(ISBLANK(Actuals!J26),"",'Original Budget'!J26-Actuals!J26)</f>
        <v/>
      </c>
      <c r="AG20" s="137" t="str">
        <f aca="false">IFERROR(IF(ISBLANK(Actuals!J26),"",('Original Budget'!J26-Actuals!J26)/ABS('Original Budget'!J26)),"")</f>
        <v/>
      </c>
      <c r="AH20" s="136" t="n">
        <f aca="false">'Original Budget'!K26</f>
        <v>-1396.875</v>
      </c>
      <c r="AI20" s="136" t="str">
        <f aca="false">IF(ISBLANK(Actuals!K26),"",Actuals!K26)</f>
        <v/>
      </c>
      <c r="AJ20" s="137" t="str">
        <f aca="false">IF(ISBLANK(Actuals!K26),"",'Original Budget'!K26-Actuals!K26)</f>
        <v/>
      </c>
      <c r="AK20" s="137" t="str">
        <f aca="false">IFERROR(IF(ISBLANK(Actuals!K26),"",('Original Budget'!K26-Actuals!K26)/ABS('Original Budget'!K26)),"")</f>
        <v/>
      </c>
      <c r="AL20" s="136" t="n">
        <f aca="false">'Original Budget'!L26</f>
        <v>-1501.04166666667</v>
      </c>
      <c r="AM20" s="136" t="str">
        <f aca="false">IF(ISBLANK(Actuals!L26),"",Actuals!L26)</f>
        <v/>
      </c>
      <c r="AN20" s="137" t="str">
        <f aca="false">IF(ISBLANK(Actuals!L26),"",'Original Budget'!L26-Actuals!L26)</f>
        <v/>
      </c>
      <c r="AO20" s="137" t="str">
        <f aca="false">IFERROR(IF(ISBLANK(Actuals!L26),"",('Original Budget'!L26-Actuals!L26)/ABS('Original Budget'!L26)),"")</f>
        <v/>
      </c>
      <c r="AP20" s="136" t="n">
        <f aca="false">'Original Budget'!M26</f>
        <v>-1651.04166666667</v>
      </c>
      <c r="AQ20" s="136" t="str">
        <f aca="false">IF(ISBLANK(Actuals!M26),"",Actuals!M26)</f>
        <v/>
      </c>
      <c r="AR20" s="137" t="str">
        <f aca="false">IF(ISBLANK(Actuals!M26),"",'Original Budget'!M26-Actuals!M26)</f>
        <v/>
      </c>
      <c r="AS20" s="137" t="str">
        <f aca="false">IFERROR(IF(ISBLANK(Actuals!M26),"",('Original Budget'!M26-Actuals!M26)/ABS('Original Budget'!M26)),"")</f>
        <v/>
      </c>
      <c r="AT20" s="136" t="n">
        <f aca="false">'Original Budget'!N26</f>
        <v>-1651.04166666667</v>
      </c>
      <c r="AU20" s="136" t="str">
        <f aca="false">IF(ISBLANK(Actuals!N26),"",Actuals!N26)</f>
        <v/>
      </c>
      <c r="AV20" s="137" t="str">
        <f aca="false">IF(ISBLANK(Actuals!N26),"",'Original Budget'!N26-Actuals!N26)</f>
        <v/>
      </c>
      <c r="AW20" s="137" t="str">
        <f aca="false">IFERROR(IF(ISBLANK(Actuals!N26),"",('Original Budget'!N26-Actuals!N26)/ABS('Original Budget'!N26)),"")</f>
        <v/>
      </c>
      <c r="AX20" s="138" t="n">
        <f aca="false">SUMPRODUCT((Actuals!C26:N26&lt;&gt;"")*('Original Budget'!C26:N26))</f>
        <v>-4050.20833333333</v>
      </c>
      <c r="AY20" s="138" t="n">
        <f aca="false">SUM(Actuals!C26:N26)</f>
        <v>-395</v>
      </c>
      <c r="AZ20" s="139" t="n">
        <f aca="false">AX20-AY20</f>
        <v>-3655.20833333333</v>
      </c>
    </row>
    <row r="21" customFormat="false" ht="15" hidden="false" customHeight="true" outlineLevel="0" collapsed="false">
      <c r="A21" s="135" t="s">
        <v>66</v>
      </c>
      <c r="B21" s="136" t="n">
        <f aca="false">'Original Budget'!C27</f>
        <v>-33002.28</v>
      </c>
      <c r="C21" s="136" t="n">
        <f aca="false">IF(ISBLANK(Actuals!C27),"",Actuals!C27)</f>
        <v>-33002.28</v>
      </c>
      <c r="D21" s="137" t="n">
        <f aca="false">IF(ISBLANK(Actuals!C27),"",'Original Budget'!C27-Actuals!C27)</f>
        <v>0</v>
      </c>
      <c r="E21" s="137" t="n">
        <f aca="false">IFERROR(IF(ISBLANK(Actuals!C27),"",('Original Budget'!C27-Actuals!C27)/ABS('Original Budget'!C27)),"")</f>
        <v>0</v>
      </c>
      <c r="F21" s="136" t="n">
        <f aca="false">'Original Budget'!D27</f>
        <v>-29166.66</v>
      </c>
      <c r="G21" s="136" t="n">
        <f aca="false">IF(ISBLANK(Actuals!D27),"",Actuals!D27)</f>
        <v>-29166.66</v>
      </c>
      <c r="H21" s="137" t="n">
        <f aca="false">IF(ISBLANK(Actuals!D27),"",'Original Budget'!D27-Actuals!D27)</f>
        <v>0</v>
      </c>
      <c r="I21" s="137" t="n">
        <f aca="false">IFERROR(IF(ISBLANK(Actuals!D27),"",('Original Budget'!D27-Actuals!D27)/ABS('Original Budget'!D27)),"")</f>
        <v>0</v>
      </c>
      <c r="J21" s="136" t="n">
        <f aca="false">'Original Budget'!E27</f>
        <v>-41666.66</v>
      </c>
      <c r="K21" s="136" t="n">
        <f aca="false">IF(ISBLANK(Actuals!E27),"",Actuals!E27)</f>
        <v>-41666.66</v>
      </c>
      <c r="L21" s="137" t="n">
        <f aca="false">IF(ISBLANK(Actuals!E27),"",'Original Budget'!E27-Actuals!E27)</f>
        <v>0</v>
      </c>
      <c r="M21" s="137" t="n">
        <f aca="false">IFERROR(IF(ISBLANK(Actuals!E27),"",('Original Budget'!E27-Actuals!E27)/ABS('Original Budget'!E27)),"")</f>
        <v>0</v>
      </c>
      <c r="N21" s="136" t="n">
        <f aca="false">'Original Budget'!F27</f>
        <v>-29166.66</v>
      </c>
      <c r="O21" s="136" t="n">
        <f aca="false">IF(ISBLANK(Actuals!F27),"",Actuals!F27)</f>
        <v>-29166.66</v>
      </c>
      <c r="P21" s="137" t="n">
        <f aca="false">IF(ISBLANK(Actuals!F27),"",'Original Budget'!F27-Actuals!F27)</f>
        <v>0</v>
      </c>
      <c r="Q21" s="137" t="n">
        <f aca="false">IFERROR(IF(ISBLANK(Actuals!F27),"",('Original Budget'!F27-Actuals!F27)/ABS('Original Budget'!F27)),"")</f>
        <v>0</v>
      </c>
      <c r="R21" s="136" t="n">
        <f aca="false">'Original Budget'!G27</f>
        <v>-29166.66</v>
      </c>
      <c r="S21" s="136" t="n">
        <f aca="false">IF(ISBLANK(Actuals!G27),"",Actuals!G27)</f>
        <v>-29166.66</v>
      </c>
      <c r="T21" s="137" t="n">
        <f aca="false">IF(ISBLANK(Actuals!G27),"",'Original Budget'!G27-Actuals!G27)</f>
        <v>0</v>
      </c>
      <c r="U21" s="137" t="n">
        <f aca="false">IFERROR(IF(ISBLANK(Actuals!G27),"",('Original Budget'!G27-Actuals!G27)/ABS('Original Budget'!G27)),"")</f>
        <v>0</v>
      </c>
      <c r="V21" s="136" t="n">
        <f aca="false">'Original Budget'!H27</f>
        <v>-29166.66</v>
      </c>
      <c r="W21" s="136" t="n">
        <f aca="false">IF(ISBLANK(Actuals!H27),"",Actuals!H27)</f>
        <v>-29166.66</v>
      </c>
      <c r="X21" s="137" t="n">
        <f aca="false">IF(ISBLANK(Actuals!H27),"",'Original Budget'!H27-Actuals!H27)</f>
        <v>0</v>
      </c>
      <c r="Y21" s="137" t="n">
        <f aca="false">IFERROR(IF(ISBLANK(Actuals!H27),"",('Original Budget'!H27-Actuals!H27)/ABS('Original Budget'!H27)),"")</f>
        <v>0</v>
      </c>
      <c r="Z21" s="136" t="n">
        <f aca="false">'Original Budget'!I27</f>
        <v>-29166.66</v>
      </c>
      <c r="AA21" s="136" t="str">
        <f aca="false">IF(ISBLANK(Actuals!I27),"",Actuals!I27)</f>
        <v/>
      </c>
      <c r="AB21" s="137" t="str">
        <f aca="false">IF(ISBLANK(Actuals!I27),"",'Original Budget'!I27-Actuals!I27)</f>
        <v/>
      </c>
      <c r="AC21" s="137" t="str">
        <f aca="false">IFERROR(IF(ISBLANK(Actuals!I27),"",('Original Budget'!I27-Actuals!I27)/ABS('Original Budget'!I27)),"")</f>
        <v/>
      </c>
      <c r="AD21" s="136" t="n">
        <f aca="false">'Original Budget'!J27</f>
        <v>-29166.66</v>
      </c>
      <c r="AE21" s="136" t="str">
        <f aca="false">IF(ISBLANK(Actuals!J27),"",Actuals!J27)</f>
        <v/>
      </c>
      <c r="AF21" s="137" t="str">
        <f aca="false">IF(ISBLANK(Actuals!J27),"",'Original Budget'!J27-Actuals!J27)</f>
        <v/>
      </c>
      <c r="AG21" s="137" t="str">
        <f aca="false">IFERROR(IF(ISBLANK(Actuals!J27),"",('Original Budget'!J27-Actuals!J27)/ABS('Original Budget'!J27)),"")</f>
        <v/>
      </c>
      <c r="AH21" s="136" t="n">
        <f aca="false">'Original Budget'!K27</f>
        <v>-29166.66</v>
      </c>
      <c r="AI21" s="136" t="str">
        <f aca="false">IF(ISBLANK(Actuals!K27),"",Actuals!K27)</f>
        <v/>
      </c>
      <c r="AJ21" s="137" t="str">
        <f aca="false">IF(ISBLANK(Actuals!K27),"",'Original Budget'!K27-Actuals!K27)</f>
        <v/>
      </c>
      <c r="AK21" s="137" t="str">
        <f aca="false">IFERROR(IF(ISBLANK(Actuals!K27),"",('Original Budget'!K27-Actuals!K27)/ABS('Original Budget'!K27)),"")</f>
        <v/>
      </c>
      <c r="AL21" s="136" t="n">
        <f aca="false">'Original Budget'!L27</f>
        <v>-29166.66</v>
      </c>
      <c r="AM21" s="136" t="str">
        <f aca="false">IF(ISBLANK(Actuals!L27),"",Actuals!L27)</f>
        <v/>
      </c>
      <c r="AN21" s="137" t="str">
        <f aca="false">IF(ISBLANK(Actuals!L27),"",'Original Budget'!L27-Actuals!L27)</f>
        <v/>
      </c>
      <c r="AO21" s="137" t="str">
        <f aca="false">IFERROR(IF(ISBLANK(Actuals!L27),"",('Original Budget'!L27-Actuals!L27)/ABS('Original Budget'!L27)),"")</f>
        <v/>
      </c>
      <c r="AP21" s="136" t="n">
        <f aca="false">'Original Budget'!M27</f>
        <v>-29166.66</v>
      </c>
      <c r="AQ21" s="136" t="str">
        <f aca="false">IF(ISBLANK(Actuals!M27),"",Actuals!M27)</f>
        <v/>
      </c>
      <c r="AR21" s="137" t="str">
        <f aca="false">IF(ISBLANK(Actuals!M27),"",'Original Budget'!M27-Actuals!M27)</f>
        <v/>
      </c>
      <c r="AS21" s="137" t="str">
        <f aca="false">IFERROR(IF(ISBLANK(Actuals!M27),"",('Original Budget'!M27-Actuals!M27)/ABS('Original Budget'!M27)),"")</f>
        <v/>
      </c>
      <c r="AT21" s="136" t="n">
        <f aca="false">'Original Budget'!N27</f>
        <v>-29166.66</v>
      </c>
      <c r="AU21" s="136" t="str">
        <f aca="false">IF(ISBLANK(Actuals!N27),"",Actuals!N27)</f>
        <v/>
      </c>
      <c r="AV21" s="137" t="str">
        <f aca="false">IF(ISBLANK(Actuals!N27),"",'Original Budget'!N27-Actuals!N27)</f>
        <v/>
      </c>
      <c r="AW21" s="137" t="str">
        <f aca="false">IFERROR(IF(ISBLANK(Actuals!N27),"",('Original Budget'!N27-Actuals!N27)/ABS('Original Budget'!N27)),"")</f>
        <v/>
      </c>
      <c r="AX21" s="138" t="n">
        <f aca="false">SUMPRODUCT((Actuals!C27:N27&lt;&gt;"")*('Original Budget'!C27:N27))</f>
        <v>-191335.58</v>
      </c>
      <c r="AY21" s="138" t="n">
        <f aca="false">SUM(Actuals!C27:N27)</f>
        <v>-191335.58</v>
      </c>
      <c r="AZ21" s="139" t="n">
        <f aca="false">AX21-AY21</f>
        <v>0</v>
      </c>
    </row>
    <row r="22" customFormat="false" ht="15" hidden="false" customHeight="true" outlineLevel="0" collapsed="false">
      <c r="A22" s="135" t="s">
        <v>67</v>
      </c>
      <c r="B22" s="136" t="n">
        <f aca="false">'Original Budget'!C28</f>
        <v>0</v>
      </c>
      <c r="C22" s="136" t="n">
        <f aca="false">IF(ISBLANK(Actuals!C28),"",Actuals!C28)</f>
        <v>0</v>
      </c>
      <c r="D22" s="137" t="n">
        <f aca="false">IF(ISBLANK(Actuals!C28),"",'Original Budget'!C28-Actuals!C28)</f>
        <v>0</v>
      </c>
      <c r="E22" s="137" t="str">
        <f aca="false">IFERROR(IF(ISBLANK(Actuals!C28),"",('Original Budget'!C28-Actuals!C28)/ABS('Original Budget'!C28)),"")</f>
        <v/>
      </c>
      <c r="F22" s="136" t="n">
        <f aca="false">'Original Budget'!D28</f>
        <v>0</v>
      </c>
      <c r="G22" s="136" t="n">
        <f aca="false">IF(ISBLANK(Actuals!D28),"",Actuals!D28)</f>
        <v>0</v>
      </c>
      <c r="H22" s="137" t="n">
        <f aca="false">IF(ISBLANK(Actuals!D28),"",'Original Budget'!D28-Actuals!D28)</f>
        <v>0</v>
      </c>
      <c r="I22" s="137" t="str">
        <f aca="false">IFERROR(IF(ISBLANK(Actuals!D28),"",('Original Budget'!D28-Actuals!D28)/ABS('Original Budget'!D28)),"")</f>
        <v/>
      </c>
      <c r="J22" s="136" t="n">
        <f aca="false">'Original Budget'!E28</f>
        <v>0</v>
      </c>
      <c r="K22" s="136" t="n">
        <f aca="false">IF(ISBLANK(Actuals!E28),"",Actuals!E28)</f>
        <v>0</v>
      </c>
      <c r="L22" s="137" t="n">
        <f aca="false">IF(ISBLANK(Actuals!E28),"",'Original Budget'!E28-Actuals!E28)</f>
        <v>0</v>
      </c>
      <c r="M22" s="137" t="str">
        <f aca="false">IFERROR(IF(ISBLANK(Actuals!E28),"",('Original Budget'!E28-Actuals!E28)/ABS('Original Budget'!E28)),"")</f>
        <v/>
      </c>
      <c r="N22" s="136" t="n">
        <f aca="false">'Original Budget'!F28</f>
        <v>0</v>
      </c>
      <c r="O22" s="136" t="n">
        <f aca="false">IF(ISBLANK(Actuals!F28),"",Actuals!F28)</f>
        <v>251304.48</v>
      </c>
      <c r="P22" s="137" t="n">
        <f aca="false">IF(ISBLANK(Actuals!F28),"",'Original Budget'!F28-Actuals!F28)</f>
        <v>-251304.48</v>
      </c>
      <c r="Q22" s="137" t="str">
        <f aca="false">IFERROR(IF(ISBLANK(Actuals!F28),"",('Original Budget'!F28-Actuals!F28)/ABS('Original Budget'!F28)),"")</f>
        <v/>
      </c>
      <c r="R22" s="136" t="n">
        <f aca="false">'Original Budget'!G28</f>
        <v>0</v>
      </c>
      <c r="S22" s="136" t="n">
        <f aca="false">IF(ISBLANK(Actuals!G28),"",Actuals!G28)</f>
        <v>81510</v>
      </c>
      <c r="T22" s="137" t="n">
        <f aca="false">IF(ISBLANK(Actuals!G28),"",'Original Budget'!G28-Actuals!G28)</f>
        <v>-81510</v>
      </c>
      <c r="U22" s="137" t="str">
        <f aca="false">IFERROR(IF(ISBLANK(Actuals!G28),"",('Original Budget'!G28-Actuals!G28)/ABS('Original Budget'!G28)),"")</f>
        <v/>
      </c>
      <c r="V22" s="136" t="n">
        <f aca="false">'Original Budget'!H28</f>
        <v>0</v>
      </c>
      <c r="W22" s="136" t="n">
        <f aca="false">IF(ISBLANK(Actuals!H28),"",Actuals!H28)</f>
        <v>0</v>
      </c>
      <c r="X22" s="137" t="n">
        <f aca="false">IF(ISBLANK(Actuals!H28),"",'Original Budget'!H28-Actuals!H28)</f>
        <v>0</v>
      </c>
      <c r="Y22" s="137" t="str">
        <f aca="false">IFERROR(IF(ISBLANK(Actuals!H28),"",('Original Budget'!H28-Actuals!H28)/ABS('Original Budget'!H28)),"")</f>
        <v/>
      </c>
      <c r="Z22" s="136" t="n">
        <f aca="false">'Original Budget'!I28</f>
        <v>0</v>
      </c>
      <c r="AA22" s="136" t="str">
        <f aca="false">IF(ISBLANK(Actuals!I28),"",Actuals!I28)</f>
        <v/>
      </c>
      <c r="AB22" s="137" t="str">
        <f aca="false">IF(ISBLANK(Actuals!I28),"",'Original Budget'!I28-Actuals!I28)</f>
        <v/>
      </c>
      <c r="AC22" s="137" t="str">
        <f aca="false">IFERROR(IF(ISBLANK(Actuals!I28),"",('Original Budget'!I28-Actuals!I28)/ABS('Original Budget'!I28)),"")</f>
        <v/>
      </c>
      <c r="AD22" s="136" t="n">
        <f aca="false">'Original Budget'!J28</f>
        <v>0</v>
      </c>
      <c r="AE22" s="136" t="str">
        <f aca="false">IF(ISBLANK(Actuals!J28),"",Actuals!J28)</f>
        <v/>
      </c>
      <c r="AF22" s="137" t="str">
        <f aca="false">IF(ISBLANK(Actuals!J28),"",'Original Budget'!J28-Actuals!J28)</f>
        <v/>
      </c>
      <c r="AG22" s="137" t="str">
        <f aca="false">IFERROR(IF(ISBLANK(Actuals!J28),"",('Original Budget'!J28-Actuals!J28)/ABS('Original Budget'!J28)),"")</f>
        <v/>
      </c>
      <c r="AH22" s="136" t="n">
        <f aca="false">'Original Budget'!K28</f>
        <v>0</v>
      </c>
      <c r="AI22" s="136" t="str">
        <f aca="false">IF(ISBLANK(Actuals!K28),"",Actuals!K28)</f>
        <v/>
      </c>
      <c r="AJ22" s="137" t="str">
        <f aca="false">IF(ISBLANK(Actuals!K28),"",'Original Budget'!K28-Actuals!K28)</f>
        <v/>
      </c>
      <c r="AK22" s="137" t="str">
        <f aca="false">IFERROR(IF(ISBLANK(Actuals!K28),"",('Original Budget'!K28-Actuals!K28)/ABS('Original Budget'!K28)),"")</f>
        <v/>
      </c>
      <c r="AL22" s="136" t="n">
        <f aca="false">'Original Budget'!L28</f>
        <v>0</v>
      </c>
      <c r="AM22" s="136" t="str">
        <f aca="false">IF(ISBLANK(Actuals!L28),"",Actuals!L28)</f>
        <v/>
      </c>
      <c r="AN22" s="137" t="str">
        <f aca="false">IF(ISBLANK(Actuals!L28),"",'Original Budget'!L28-Actuals!L28)</f>
        <v/>
      </c>
      <c r="AO22" s="137" t="str">
        <f aca="false">IFERROR(IF(ISBLANK(Actuals!L28),"",('Original Budget'!L28-Actuals!L28)/ABS('Original Budget'!L28)),"")</f>
        <v/>
      </c>
      <c r="AP22" s="136" t="n">
        <f aca="false">'Original Budget'!M28</f>
        <v>0</v>
      </c>
      <c r="AQ22" s="136" t="str">
        <f aca="false">IF(ISBLANK(Actuals!M28),"",Actuals!M28)</f>
        <v/>
      </c>
      <c r="AR22" s="137" t="str">
        <f aca="false">IF(ISBLANK(Actuals!M28),"",'Original Budget'!M28-Actuals!M28)</f>
        <v/>
      </c>
      <c r="AS22" s="137" t="str">
        <f aca="false">IFERROR(IF(ISBLANK(Actuals!M28),"",('Original Budget'!M28-Actuals!M28)/ABS('Original Budget'!M28)),"")</f>
        <v/>
      </c>
      <c r="AT22" s="136" t="n">
        <f aca="false">'Original Budget'!N28</f>
        <v>0</v>
      </c>
      <c r="AU22" s="136" t="str">
        <f aca="false">IF(ISBLANK(Actuals!N28),"",Actuals!N28)</f>
        <v/>
      </c>
      <c r="AV22" s="137" t="str">
        <f aca="false">IF(ISBLANK(Actuals!N28),"",'Original Budget'!N28-Actuals!N28)</f>
        <v/>
      </c>
      <c r="AW22" s="137" t="str">
        <f aca="false">IFERROR(IF(ISBLANK(Actuals!N28),"",('Original Budget'!N28-Actuals!N28)/ABS('Original Budget'!N28)),"")</f>
        <v/>
      </c>
      <c r="AX22" s="138" t="n">
        <f aca="false">SUMPRODUCT((Actuals!C28:N28&lt;&gt;"")*('Original Budget'!C28:N28))</f>
        <v>0</v>
      </c>
      <c r="AY22" s="138" t="n">
        <f aca="false">SUM(Actuals!C28:N28)</f>
        <v>332814.48</v>
      </c>
      <c r="AZ22" s="139" t="n">
        <f aca="false">AX22-AY22</f>
        <v>-332814.48</v>
      </c>
    </row>
    <row r="23" customFormat="false" ht="15" hidden="false" customHeight="true" outlineLevel="0" collapsed="false">
      <c r="A23" s="135" t="s">
        <v>68</v>
      </c>
      <c r="B23" s="136" t="n">
        <f aca="false">'Original Budget'!C29</f>
        <v>-10400</v>
      </c>
      <c r="C23" s="136" t="n">
        <f aca="false">IF(ISBLANK(Actuals!C29),"",Actuals!C29)</f>
        <v>-10400</v>
      </c>
      <c r="D23" s="137" t="n">
        <f aca="false">IF(ISBLANK(Actuals!C29),"",'Original Budget'!C29-Actuals!C29)</f>
        <v>0</v>
      </c>
      <c r="E23" s="137" t="n">
        <f aca="false">IFERROR(IF(ISBLANK(Actuals!C29),"",('Original Budget'!C29-Actuals!C29)/ABS('Original Budget'!C29)),"")</f>
        <v>0</v>
      </c>
      <c r="F23" s="136" t="n">
        <f aca="false">'Original Budget'!D29</f>
        <v>-10400</v>
      </c>
      <c r="G23" s="136" t="n">
        <f aca="false">IF(ISBLANK(Actuals!D29),"",Actuals!D29)</f>
        <v>-10400</v>
      </c>
      <c r="H23" s="137" t="n">
        <f aca="false">IF(ISBLANK(Actuals!D29),"",'Original Budget'!D29-Actuals!D29)</f>
        <v>0</v>
      </c>
      <c r="I23" s="137" t="n">
        <f aca="false">IFERROR(IF(ISBLANK(Actuals!D29),"",('Original Budget'!D29-Actuals!D29)/ABS('Original Budget'!D29)),"")</f>
        <v>0</v>
      </c>
      <c r="J23" s="136" t="n">
        <f aca="false">'Original Budget'!E29</f>
        <v>-400</v>
      </c>
      <c r="K23" s="136" t="n">
        <f aca="false">IF(ISBLANK(Actuals!E29),"",Actuals!E29)</f>
        <v>-400</v>
      </c>
      <c r="L23" s="137" t="n">
        <f aca="false">IF(ISBLANK(Actuals!E29),"",'Original Budget'!E29-Actuals!E29)</f>
        <v>0</v>
      </c>
      <c r="M23" s="137" t="n">
        <f aca="false">IFERROR(IF(ISBLANK(Actuals!E29),"",('Original Budget'!E29-Actuals!E29)/ABS('Original Budget'!E29)),"")</f>
        <v>0</v>
      </c>
      <c r="N23" s="136" t="n">
        <f aca="false">'Original Budget'!F29</f>
        <v>-10400</v>
      </c>
      <c r="O23" s="136" t="n">
        <f aca="false">IF(ISBLANK(Actuals!F29),"",Actuals!F29)</f>
        <v>-10400</v>
      </c>
      <c r="P23" s="137" t="n">
        <f aca="false">IF(ISBLANK(Actuals!F29),"",'Original Budget'!F29-Actuals!F29)</f>
        <v>0</v>
      </c>
      <c r="Q23" s="137" t="n">
        <f aca="false">IFERROR(IF(ISBLANK(Actuals!F29),"",('Original Budget'!F29-Actuals!F29)/ABS('Original Budget'!F29)),"")</f>
        <v>0</v>
      </c>
      <c r="R23" s="136" t="n">
        <f aca="false">'Original Budget'!G29</f>
        <v>-10400</v>
      </c>
      <c r="S23" s="136" t="n">
        <f aca="false">IF(ISBLANK(Actuals!G29),"",Actuals!G29)</f>
        <v>-20400</v>
      </c>
      <c r="T23" s="137" t="n">
        <f aca="false">IF(ISBLANK(Actuals!G29),"",'Original Budget'!G29-Actuals!G29)</f>
        <v>10000</v>
      </c>
      <c r="U23" s="137" t="n">
        <f aca="false">IFERROR(IF(ISBLANK(Actuals!G29),"",('Original Budget'!G29-Actuals!G29)/ABS('Original Budget'!G29)),"")</f>
        <v>0.961538461538462</v>
      </c>
      <c r="V23" s="136" t="n">
        <f aca="false">'Original Budget'!H29</f>
        <v>-10400</v>
      </c>
      <c r="W23" s="136" t="n">
        <f aca="false">IF(ISBLANK(Actuals!H29),"",Actuals!H29)</f>
        <v>-20405</v>
      </c>
      <c r="X23" s="137" t="n">
        <f aca="false">IF(ISBLANK(Actuals!H29),"",'Original Budget'!H29-Actuals!H29)</f>
        <v>10005</v>
      </c>
      <c r="Y23" s="137" t="n">
        <f aca="false">IFERROR(IF(ISBLANK(Actuals!H29),"",('Original Budget'!H29-Actuals!H29)/ABS('Original Budget'!H29)),"")</f>
        <v>0.962019230769231</v>
      </c>
      <c r="Z23" s="136" t="n">
        <f aca="false">'Original Budget'!I29</f>
        <v>-10400</v>
      </c>
      <c r="AA23" s="136" t="str">
        <f aca="false">IF(ISBLANK(Actuals!I29),"",Actuals!I29)</f>
        <v/>
      </c>
      <c r="AB23" s="137" t="str">
        <f aca="false">IF(ISBLANK(Actuals!I29),"",'Original Budget'!I29-Actuals!I29)</f>
        <v/>
      </c>
      <c r="AC23" s="137" t="str">
        <f aca="false">IFERROR(IF(ISBLANK(Actuals!I29),"",('Original Budget'!I29-Actuals!I29)/ABS('Original Budget'!I29)),"")</f>
        <v/>
      </c>
      <c r="AD23" s="136" t="n">
        <f aca="false">'Original Budget'!J29</f>
        <v>-10400</v>
      </c>
      <c r="AE23" s="136" t="str">
        <f aca="false">IF(ISBLANK(Actuals!J29),"",Actuals!J29)</f>
        <v/>
      </c>
      <c r="AF23" s="137" t="str">
        <f aca="false">IF(ISBLANK(Actuals!J29),"",'Original Budget'!J29-Actuals!J29)</f>
        <v/>
      </c>
      <c r="AG23" s="137" t="str">
        <f aca="false">IFERROR(IF(ISBLANK(Actuals!J29),"",('Original Budget'!J29-Actuals!J29)/ABS('Original Budget'!J29)),"")</f>
        <v/>
      </c>
      <c r="AH23" s="136" t="n">
        <f aca="false">'Original Budget'!K29</f>
        <v>-10400</v>
      </c>
      <c r="AI23" s="136" t="str">
        <f aca="false">IF(ISBLANK(Actuals!K29),"",Actuals!K29)</f>
        <v/>
      </c>
      <c r="AJ23" s="137" t="str">
        <f aca="false">IF(ISBLANK(Actuals!K29),"",'Original Budget'!K29-Actuals!K29)</f>
        <v/>
      </c>
      <c r="AK23" s="137" t="str">
        <f aca="false">IFERROR(IF(ISBLANK(Actuals!K29),"",('Original Budget'!K29-Actuals!K29)/ABS('Original Budget'!K29)),"")</f>
        <v/>
      </c>
      <c r="AL23" s="136" t="n">
        <f aca="false">'Original Budget'!L29</f>
        <v>-10400</v>
      </c>
      <c r="AM23" s="136" t="str">
        <f aca="false">IF(ISBLANK(Actuals!L29),"",Actuals!L29)</f>
        <v/>
      </c>
      <c r="AN23" s="137" t="str">
        <f aca="false">IF(ISBLANK(Actuals!L29),"",'Original Budget'!L29-Actuals!L29)</f>
        <v/>
      </c>
      <c r="AO23" s="137" t="str">
        <f aca="false">IFERROR(IF(ISBLANK(Actuals!L29),"",('Original Budget'!L29-Actuals!L29)/ABS('Original Budget'!L29)),"")</f>
        <v/>
      </c>
      <c r="AP23" s="136" t="n">
        <f aca="false">'Original Budget'!M29</f>
        <v>-10400</v>
      </c>
      <c r="AQ23" s="136" t="str">
        <f aca="false">IF(ISBLANK(Actuals!M29),"",Actuals!M29)</f>
        <v/>
      </c>
      <c r="AR23" s="137" t="str">
        <f aca="false">IF(ISBLANK(Actuals!M29),"",'Original Budget'!M29-Actuals!M29)</f>
        <v/>
      </c>
      <c r="AS23" s="137" t="str">
        <f aca="false">IFERROR(IF(ISBLANK(Actuals!M29),"",('Original Budget'!M29-Actuals!M29)/ABS('Original Budget'!M29)),"")</f>
        <v/>
      </c>
      <c r="AT23" s="136" t="n">
        <f aca="false">'Original Budget'!N29</f>
        <v>-10400</v>
      </c>
      <c r="AU23" s="136" t="str">
        <f aca="false">IF(ISBLANK(Actuals!N29),"",Actuals!N29)</f>
        <v/>
      </c>
      <c r="AV23" s="137" t="str">
        <f aca="false">IF(ISBLANK(Actuals!N29),"",'Original Budget'!N29-Actuals!N29)</f>
        <v/>
      </c>
      <c r="AW23" s="137" t="str">
        <f aca="false">IFERROR(IF(ISBLANK(Actuals!N29),"",('Original Budget'!N29-Actuals!N29)/ABS('Original Budget'!N29)),"")</f>
        <v/>
      </c>
      <c r="AX23" s="138" t="n">
        <f aca="false">SUMPRODUCT((Actuals!C29:N29&lt;&gt;"")*('Original Budget'!C29:N29))</f>
        <v>-52400</v>
      </c>
      <c r="AY23" s="138" t="n">
        <f aca="false">SUM(Actuals!C29:N29)</f>
        <v>-72405</v>
      </c>
      <c r="AZ23" s="139" t="n">
        <f aca="false">AX23-AY23</f>
        <v>20005</v>
      </c>
    </row>
    <row r="24" customFormat="false" ht="15" hidden="false" customHeight="true" outlineLevel="0" collapsed="false">
      <c r="A24" s="135" t="s">
        <v>69</v>
      </c>
      <c r="B24" s="136" t="n">
        <f aca="false">'Original Budget'!C30</f>
        <v>-1988</v>
      </c>
      <c r="C24" s="136" t="n">
        <f aca="false">IF(ISBLANK(Actuals!C30),"",Actuals!C30)</f>
        <v>-1988</v>
      </c>
      <c r="D24" s="137" t="n">
        <f aca="false">IF(ISBLANK(Actuals!C30),"",'Original Budget'!C30-Actuals!C30)</f>
        <v>0</v>
      </c>
      <c r="E24" s="137" t="n">
        <f aca="false">IFERROR(IF(ISBLANK(Actuals!C30),"",('Original Budget'!C30-Actuals!C30)/ABS('Original Budget'!C30)),"")</f>
        <v>0</v>
      </c>
      <c r="F24" s="136" t="n">
        <f aca="false">'Original Budget'!D30</f>
        <v>-955.32</v>
      </c>
      <c r="G24" s="136" t="n">
        <f aca="false">IF(ISBLANK(Actuals!D30),"",Actuals!D30)</f>
        <v>-955.32</v>
      </c>
      <c r="H24" s="137" t="n">
        <f aca="false">IF(ISBLANK(Actuals!D30),"",'Original Budget'!D30-Actuals!D30)</f>
        <v>0</v>
      </c>
      <c r="I24" s="137" t="n">
        <f aca="false">IFERROR(IF(ISBLANK(Actuals!D30),"",('Original Budget'!D30-Actuals!D30)/ABS('Original Budget'!D30)),"")</f>
        <v>0</v>
      </c>
      <c r="J24" s="136" t="n">
        <f aca="false">'Original Budget'!E30</f>
        <v>-9130.61</v>
      </c>
      <c r="K24" s="136" t="n">
        <f aca="false">IF(ISBLANK(Actuals!E30),"",Actuals!E30)</f>
        <v>-9130.61</v>
      </c>
      <c r="L24" s="137" t="n">
        <f aca="false">IF(ISBLANK(Actuals!E30),"",'Original Budget'!E30-Actuals!E30)</f>
        <v>0</v>
      </c>
      <c r="M24" s="137" t="n">
        <f aca="false">IFERROR(IF(ISBLANK(Actuals!E30),"",('Original Budget'!E30-Actuals!E30)/ABS('Original Budget'!E30)),"")</f>
        <v>0</v>
      </c>
      <c r="N24" s="136" t="n">
        <f aca="false">'Original Budget'!F30</f>
        <v>-4024.64</v>
      </c>
      <c r="O24" s="136" t="n">
        <f aca="false">IF(ISBLANK(Actuals!F30),"",Actuals!F30)</f>
        <v>-1028.89</v>
      </c>
      <c r="P24" s="137" t="n">
        <f aca="false">IF(ISBLANK(Actuals!F30),"",'Original Budget'!F30-Actuals!F30)</f>
        <v>-2995.75</v>
      </c>
      <c r="Q24" s="137" t="n">
        <f aca="false">IFERROR(IF(ISBLANK(Actuals!F30),"",('Original Budget'!F30-Actuals!F30)/ABS('Original Budget'!F30)),"")</f>
        <v>-0.744352289894251</v>
      </c>
      <c r="R24" s="136" t="n">
        <f aca="false">'Original Budget'!G30</f>
        <v>-4024.64</v>
      </c>
      <c r="S24" s="136" t="n">
        <f aca="false">IF(ISBLANK(Actuals!G30),"",Actuals!G30)</f>
        <v>-7005.14</v>
      </c>
      <c r="T24" s="137" t="n">
        <f aca="false">IF(ISBLANK(Actuals!G30),"",'Original Budget'!G30-Actuals!G30)</f>
        <v>2980.5</v>
      </c>
      <c r="U24" s="137" t="n">
        <f aca="false">IFERROR(IF(ISBLANK(Actuals!G30),"",('Original Budget'!G30-Actuals!G30)/ABS('Original Budget'!G30)),"")</f>
        <v>0.740563131112348</v>
      </c>
      <c r="V24" s="136" t="n">
        <f aca="false">'Original Budget'!H30</f>
        <v>-4024.64</v>
      </c>
      <c r="W24" s="136" t="n">
        <f aca="false">IF(ISBLANK(Actuals!H30),"",Actuals!H30)</f>
        <v>-4121.06</v>
      </c>
      <c r="X24" s="137" t="n">
        <f aca="false">IF(ISBLANK(Actuals!H30),"",'Original Budget'!H30-Actuals!H30)</f>
        <v>96.4200000000005</v>
      </c>
      <c r="Y24" s="137" t="n">
        <f aca="false">IFERROR(IF(ISBLANK(Actuals!H30),"",('Original Budget'!H30-Actuals!H30)/ABS('Original Budget'!H30)),"")</f>
        <v>0.023957422278763</v>
      </c>
      <c r="Z24" s="136" t="n">
        <f aca="false">'Original Budget'!I30</f>
        <v>-4024.64</v>
      </c>
      <c r="AA24" s="136" t="str">
        <f aca="false">IF(ISBLANK(Actuals!I30),"",Actuals!I30)</f>
        <v/>
      </c>
      <c r="AB24" s="137" t="str">
        <f aca="false">IF(ISBLANK(Actuals!I30),"",'Original Budget'!I30-Actuals!I30)</f>
        <v/>
      </c>
      <c r="AC24" s="137" t="str">
        <f aca="false">IFERROR(IF(ISBLANK(Actuals!I30),"",('Original Budget'!I30-Actuals!I30)/ABS('Original Budget'!I30)),"")</f>
        <v/>
      </c>
      <c r="AD24" s="136" t="n">
        <f aca="false">'Original Budget'!J30</f>
        <v>-4024.64</v>
      </c>
      <c r="AE24" s="136" t="str">
        <f aca="false">IF(ISBLANK(Actuals!J30),"",Actuals!J30)</f>
        <v/>
      </c>
      <c r="AF24" s="137" t="str">
        <f aca="false">IF(ISBLANK(Actuals!J30),"",'Original Budget'!J30-Actuals!J30)</f>
        <v/>
      </c>
      <c r="AG24" s="137" t="str">
        <f aca="false">IFERROR(IF(ISBLANK(Actuals!J30),"",('Original Budget'!J30-Actuals!J30)/ABS('Original Budget'!J30)),"")</f>
        <v/>
      </c>
      <c r="AH24" s="136" t="n">
        <f aca="false">'Original Budget'!K30</f>
        <v>-4024.64</v>
      </c>
      <c r="AI24" s="136" t="str">
        <f aca="false">IF(ISBLANK(Actuals!K30),"",Actuals!K30)</f>
        <v/>
      </c>
      <c r="AJ24" s="137" t="str">
        <f aca="false">IF(ISBLANK(Actuals!K30),"",'Original Budget'!K30-Actuals!K30)</f>
        <v/>
      </c>
      <c r="AK24" s="137" t="str">
        <f aca="false">IFERROR(IF(ISBLANK(Actuals!K30),"",('Original Budget'!K30-Actuals!K30)/ABS('Original Budget'!K30)),"")</f>
        <v/>
      </c>
      <c r="AL24" s="136" t="n">
        <f aca="false">'Original Budget'!L30</f>
        <v>-4024.64</v>
      </c>
      <c r="AM24" s="136" t="str">
        <f aca="false">IF(ISBLANK(Actuals!L30),"",Actuals!L30)</f>
        <v/>
      </c>
      <c r="AN24" s="137" t="str">
        <f aca="false">IF(ISBLANK(Actuals!L30),"",'Original Budget'!L30-Actuals!L30)</f>
        <v/>
      </c>
      <c r="AO24" s="137" t="str">
        <f aca="false">IFERROR(IF(ISBLANK(Actuals!L30),"",('Original Budget'!L30-Actuals!L30)/ABS('Original Budget'!L30)),"")</f>
        <v/>
      </c>
      <c r="AP24" s="136" t="n">
        <f aca="false">'Original Budget'!M30</f>
        <v>-4024.64</v>
      </c>
      <c r="AQ24" s="136" t="str">
        <f aca="false">IF(ISBLANK(Actuals!M30),"",Actuals!M30)</f>
        <v/>
      </c>
      <c r="AR24" s="137" t="str">
        <f aca="false">IF(ISBLANK(Actuals!M30),"",'Original Budget'!M30-Actuals!M30)</f>
        <v/>
      </c>
      <c r="AS24" s="137" t="str">
        <f aca="false">IFERROR(IF(ISBLANK(Actuals!M30),"",('Original Budget'!M30-Actuals!M30)/ABS('Original Budget'!M30)),"")</f>
        <v/>
      </c>
      <c r="AT24" s="136" t="n">
        <f aca="false">'Original Budget'!N30</f>
        <v>-4024.64</v>
      </c>
      <c r="AU24" s="136" t="str">
        <f aca="false">IF(ISBLANK(Actuals!N30),"",Actuals!N30)</f>
        <v/>
      </c>
      <c r="AV24" s="137" t="str">
        <f aca="false">IF(ISBLANK(Actuals!N30),"",'Original Budget'!N30-Actuals!N30)</f>
        <v/>
      </c>
      <c r="AW24" s="137" t="str">
        <f aca="false">IFERROR(IF(ISBLANK(Actuals!N30),"",('Original Budget'!N30-Actuals!N30)/ABS('Original Budget'!N30)),"")</f>
        <v/>
      </c>
      <c r="AX24" s="138" t="n">
        <f aca="false">SUMPRODUCT((Actuals!C30:N30&lt;&gt;"")*('Original Budget'!C30:N30))</f>
        <v>-24147.85</v>
      </c>
      <c r="AY24" s="138" t="n">
        <f aca="false">SUM(Actuals!C30:N30)</f>
        <v>-24229.02</v>
      </c>
      <c r="AZ24" s="139" t="n">
        <f aca="false">AX24-AY24</f>
        <v>81.1700000000055</v>
      </c>
    </row>
    <row r="25" customFormat="false" ht="15" hidden="false" customHeight="true" outlineLevel="0" collapsed="false">
      <c r="A25" s="135" t="s">
        <v>70</v>
      </c>
      <c r="B25" s="136" t="n">
        <f aca="false">'Original Budget'!C31</f>
        <v>0</v>
      </c>
      <c r="C25" s="136" t="n">
        <f aca="false">IF(ISBLANK(Actuals!C31),"",Actuals!C31)</f>
        <v>0</v>
      </c>
      <c r="D25" s="137" t="n">
        <f aca="false">IF(ISBLANK(Actuals!C31),"",'Original Budget'!C31-Actuals!C31)</f>
        <v>0</v>
      </c>
      <c r="E25" s="137" t="str">
        <f aca="false">IFERROR(IF(ISBLANK(Actuals!C31),"",('Original Budget'!C31-Actuals!C31)/ABS('Original Budget'!C31)),"")</f>
        <v/>
      </c>
      <c r="F25" s="136" t="n">
        <f aca="false">'Original Budget'!D31</f>
        <v>0</v>
      </c>
      <c r="G25" s="136" t="n">
        <f aca="false">IF(ISBLANK(Actuals!D31),"",Actuals!D31)</f>
        <v>0</v>
      </c>
      <c r="H25" s="137" t="n">
        <f aca="false">IF(ISBLANK(Actuals!D31),"",'Original Budget'!D31-Actuals!D31)</f>
        <v>0</v>
      </c>
      <c r="I25" s="137" t="str">
        <f aca="false">IFERROR(IF(ISBLANK(Actuals!D31),"",('Original Budget'!D31-Actuals!D31)/ABS('Original Budget'!D31)),"")</f>
        <v/>
      </c>
      <c r="J25" s="136" t="n">
        <f aca="false">'Original Budget'!E31</f>
        <v>-1077.38</v>
      </c>
      <c r="K25" s="136" t="n">
        <f aca="false">IF(ISBLANK(Actuals!E31),"",Actuals!E31)</f>
        <v>-1077.38</v>
      </c>
      <c r="L25" s="137" t="n">
        <f aca="false">IF(ISBLANK(Actuals!E31),"",'Original Budget'!E31-Actuals!E31)</f>
        <v>0</v>
      </c>
      <c r="M25" s="137" t="n">
        <f aca="false">IFERROR(IF(ISBLANK(Actuals!E31),"",('Original Budget'!E31-Actuals!E31)/ABS('Original Budget'!E31)),"")</f>
        <v>0</v>
      </c>
      <c r="N25" s="136" t="n">
        <f aca="false">'Original Budget'!F31</f>
        <v>-359.13</v>
      </c>
      <c r="O25" s="136" t="n">
        <f aca="false">IF(ISBLANK(Actuals!F31),"",Actuals!F31)</f>
        <v>-211.28</v>
      </c>
      <c r="P25" s="137" t="n">
        <f aca="false">IF(ISBLANK(Actuals!F31),"",'Original Budget'!F31-Actuals!F31)</f>
        <v>-147.85</v>
      </c>
      <c r="Q25" s="137" t="n">
        <f aca="false">IFERROR(IF(ISBLANK(Actuals!F31),"",('Original Budget'!F31-Actuals!F31)/ABS('Original Budget'!F31)),"")</f>
        <v>-0.411689360398741</v>
      </c>
      <c r="R25" s="136" t="n">
        <f aca="false">'Original Budget'!G31</f>
        <v>-359.13</v>
      </c>
      <c r="S25" s="136" t="n">
        <f aca="false">IF(ISBLANK(Actuals!G31),"",Actuals!G31)</f>
        <v>-1254.17</v>
      </c>
      <c r="T25" s="137" t="n">
        <f aca="false">IF(ISBLANK(Actuals!G31),"",'Original Budget'!G31-Actuals!G31)</f>
        <v>895.04</v>
      </c>
      <c r="U25" s="137" t="n">
        <f aca="false">IFERROR(IF(ISBLANK(Actuals!G31),"",('Original Budget'!G31-Actuals!G31)/ABS('Original Budget'!G31)),"")</f>
        <v>2.49224514799655</v>
      </c>
      <c r="V25" s="136" t="n">
        <f aca="false">'Original Budget'!H31</f>
        <v>-359.13</v>
      </c>
      <c r="W25" s="136" t="n">
        <f aca="false">IF(ISBLANK(Actuals!H31),"",Actuals!H31)</f>
        <v>0</v>
      </c>
      <c r="X25" s="137" t="n">
        <f aca="false">IF(ISBLANK(Actuals!H31),"",'Original Budget'!H31-Actuals!H31)</f>
        <v>-359.13</v>
      </c>
      <c r="Y25" s="137" t="n">
        <f aca="false">IFERROR(IF(ISBLANK(Actuals!H31),"",('Original Budget'!H31-Actuals!H31)/ABS('Original Budget'!H31)),"")</f>
        <v>-1</v>
      </c>
      <c r="Z25" s="136" t="n">
        <f aca="false">'Original Budget'!I31</f>
        <v>-359.13</v>
      </c>
      <c r="AA25" s="136" t="str">
        <f aca="false">IF(ISBLANK(Actuals!I31),"",Actuals!I31)</f>
        <v/>
      </c>
      <c r="AB25" s="137" t="str">
        <f aca="false">IF(ISBLANK(Actuals!I31),"",'Original Budget'!I31-Actuals!I31)</f>
        <v/>
      </c>
      <c r="AC25" s="137" t="str">
        <f aca="false">IFERROR(IF(ISBLANK(Actuals!I31),"",('Original Budget'!I31-Actuals!I31)/ABS('Original Budget'!I31)),"")</f>
        <v/>
      </c>
      <c r="AD25" s="136" t="n">
        <f aca="false">'Original Budget'!J31</f>
        <v>-359.13</v>
      </c>
      <c r="AE25" s="136" t="str">
        <f aca="false">IF(ISBLANK(Actuals!J31),"",Actuals!J31)</f>
        <v/>
      </c>
      <c r="AF25" s="137" t="str">
        <f aca="false">IF(ISBLANK(Actuals!J31),"",'Original Budget'!J31-Actuals!J31)</f>
        <v/>
      </c>
      <c r="AG25" s="137" t="str">
        <f aca="false">IFERROR(IF(ISBLANK(Actuals!J31),"",('Original Budget'!J31-Actuals!J31)/ABS('Original Budget'!J31)),"")</f>
        <v/>
      </c>
      <c r="AH25" s="136" t="n">
        <f aca="false">'Original Budget'!K31</f>
        <v>-359.13</v>
      </c>
      <c r="AI25" s="136" t="str">
        <f aca="false">IF(ISBLANK(Actuals!K31),"",Actuals!K31)</f>
        <v/>
      </c>
      <c r="AJ25" s="137" t="str">
        <f aca="false">IF(ISBLANK(Actuals!K31),"",'Original Budget'!K31-Actuals!K31)</f>
        <v/>
      </c>
      <c r="AK25" s="137" t="str">
        <f aca="false">IFERROR(IF(ISBLANK(Actuals!K31),"",('Original Budget'!K31-Actuals!K31)/ABS('Original Budget'!K31)),"")</f>
        <v/>
      </c>
      <c r="AL25" s="136" t="n">
        <f aca="false">'Original Budget'!L31</f>
        <v>-359.13</v>
      </c>
      <c r="AM25" s="136" t="str">
        <f aca="false">IF(ISBLANK(Actuals!L31),"",Actuals!L31)</f>
        <v/>
      </c>
      <c r="AN25" s="137" t="str">
        <f aca="false">IF(ISBLANK(Actuals!L31),"",'Original Budget'!L31-Actuals!L31)</f>
        <v/>
      </c>
      <c r="AO25" s="137" t="str">
        <f aca="false">IFERROR(IF(ISBLANK(Actuals!L31),"",('Original Budget'!L31-Actuals!L31)/ABS('Original Budget'!L31)),"")</f>
        <v/>
      </c>
      <c r="AP25" s="136" t="n">
        <f aca="false">'Original Budget'!M31</f>
        <v>-359.13</v>
      </c>
      <c r="AQ25" s="136" t="str">
        <f aca="false">IF(ISBLANK(Actuals!M31),"",Actuals!M31)</f>
        <v/>
      </c>
      <c r="AR25" s="137" t="str">
        <f aca="false">IF(ISBLANK(Actuals!M31),"",'Original Budget'!M31-Actuals!M31)</f>
        <v/>
      </c>
      <c r="AS25" s="137" t="str">
        <f aca="false">IFERROR(IF(ISBLANK(Actuals!M31),"",('Original Budget'!M31-Actuals!M31)/ABS('Original Budget'!M31)),"")</f>
        <v/>
      </c>
      <c r="AT25" s="136" t="n">
        <f aca="false">'Original Budget'!N31</f>
        <v>-359.13</v>
      </c>
      <c r="AU25" s="136" t="str">
        <f aca="false">IF(ISBLANK(Actuals!N31),"",Actuals!N31)</f>
        <v/>
      </c>
      <c r="AV25" s="137" t="str">
        <f aca="false">IF(ISBLANK(Actuals!N31),"",'Original Budget'!N31-Actuals!N31)</f>
        <v/>
      </c>
      <c r="AW25" s="137" t="str">
        <f aca="false">IFERROR(IF(ISBLANK(Actuals!N31),"",('Original Budget'!N31-Actuals!N31)/ABS('Original Budget'!N31)),"")</f>
        <v/>
      </c>
      <c r="AX25" s="138" t="n">
        <f aca="false">SUMPRODUCT((Actuals!C31:N31&lt;&gt;"")*('Original Budget'!C31:N31))</f>
        <v>-2154.77</v>
      </c>
      <c r="AY25" s="138" t="n">
        <f aca="false">SUM(Actuals!C31:N31)</f>
        <v>-2542.83</v>
      </c>
      <c r="AZ25" s="139" t="n">
        <f aca="false">AX25-AY25</f>
        <v>388.06</v>
      </c>
    </row>
    <row r="26" customFormat="false" ht="15" hidden="false" customHeight="true" outlineLevel="0" collapsed="false">
      <c r="A26" s="135" t="s">
        <v>71</v>
      </c>
      <c r="B26" s="136" t="n">
        <f aca="false">'Original Budget'!C32</f>
        <v>-79</v>
      </c>
      <c r="C26" s="136" t="n">
        <f aca="false">IF(ISBLANK(Actuals!C32),"",Actuals!C32)</f>
        <v>-79</v>
      </c>
      <c r="D26" s="137" t="n">
        <f aca="false">IF(ISBLANK(Actuals!C32),"",'Original Budget'!C32-Actuals!C32)</f>
        <v>0</v>
      </c>
      <c r="E26" s="137" t="n">
        <f aca="false">IFERROR(IF(ISBLANK(Actuals!C32),"",('Original Budget'!C32-Actuals!C32)/ABS('Original Budget'!C32)),"")</f>
        <v>0</v>
      </c>
      <c r="F26" s="136" t="n">
        <f aca="false">'Original Budget'!D32</f>
        <v>0</v>
      </c>
      <c r="G26" s="136" t="n">
        <f aca="false">IF(ISBLANK(Actuals!D32),"",Actuals!D32)</f>
        <v>0</v>
      </c>
      <c r="H26" s="137" t="n">
        <f aca="false">IF(ISBLANK(Actuals!D32),"",'Original Budget'!D32-Actuals!D32)</f>
        <v>0</v>
      </c>
      <c r="I26" s="137" t="str">
        <f aca="false">IFERROR(IF(ISBLANK(Actuals!D32),"",('Original Budget'!D32-Actuals!D32)/ABS('Original Budget'!D32)),"")</f>
        <v/>
      </c>
      <c r="J26" s="136" t="n">
        <f aca="false">'Original Budget'!E32</f>
        <v>0</v>
      </c>
      <c r="K26" s="136" t="n">
        <f aca="false">IF(ISBLANK(Actuals!E32),"",Actuals!E32)</f>
        <v>0</v>
      </c>
      <c r="L26" s="137" t="n">
        <f aca="false">IF(ISBLANK(Actuals!E32),"",'Original Budget'!E32-Actuals!E32)</f>
        <v>0</v>
      </c>
      <c r="M26" s="137" t="str">
        <f aca="false">IFERROR(IF(ISBLANK(Actuals!E32),"",('Original Budget'!E32-Actuals!E32)/ABS('Original Budget'!E32)),"")</f>
        <v/>
      </c>
      <c r="N26" s="136" t="n">
        <f aca="false">'Original Budget'!F32</f>
        <v>-26.33</v>
      </c>
      <c r="O26" s="136" t="n">
        <f aca="false">IF(ISBLANK(Actuals!F32),"",Actuals!F32)</f>
        <v>0</v>
      </c>
      <c r="P26" s="137" t="n">
        <f aca="false">IF(ISBLANK(Actuals!F32),"",'Original Budget'!F32-Actuals!F32)</f>
        <v>-26.33</v>
      </c>
      <c r="Q26" s="137" t="n">
        <f aca="false">IFERROR(IF(ISBLANK(Actuals!F32),"",('Original Budget'!F32-Actuals!F32)/ABS('Original Budget'!F32)),"")</f>
        <v>-1</v>
      </c>
      <c r="R26" s="136" t="n">
        <f aca="false">'Original Budget'!G32</f>
        <v>-26.33</v>
      </c>
      <c r="S26" s="136" t="n">
        <f aca="false">IF(ISBLANK(Actuals!G32),"",Actuals!G32)</f>
        <v>0</v>
      </c>
      <c r="T26" s="137" t="n">
        <f aca="false">IF(ISBLANK(Actuals!G32),"",'Original Budget'!G32-Actuals!G32)</f>
        <v>-26.33</v>
      </c>
      <c r="U26" s="137" t="n">
        <f aca="false">IFERROR(IF(ISBLANK(Actuals!G32),"",('Original Budget'!G32-Actuals!G32)/ABS('Original Budget'!G32)),"")</f>
        <v>-1</v>
      </c>
      <c r="V26" s="136" t="n">
        <f aca="false">'Original Budget'!H32</f>
        <v>-26.33</v>
      </c>
      <c r="W26" s="136" t="n">
        <f aca="false">IF(ISBLANK(Actuals!H32),"",Actuals!H32)</f>
        <v>0</v>
      </c>
      <c r="X26" s="137" t="n">
        <f aca="false">IF(ISBLANK(Actuals!H32),"",'Original Budget'!H32-Actuals!H32)</f>
        <v>-26.33</v>
      </c>
      <c r="Y26" s="137" t="n">
        <f aca="false">IFERROR(IF(ISBLANK(Actuals!H32),"",('Original Budget'!H32-Actuals!H32)/ABS('Original Budget'!H32)),"")</f>
        <v>-1</v>
      </c>
      <c r="Z26" s="136" t="n">
        <f aca="false">'Original Budget'!I32</f>
        <v>-26.33</v>
      </c>
      <c r="AA26" s="136" t="str">
        <f aca="false">IF(ISBLANK(Actuals!I32),"",Actuals!I32)</f>
        <v/>
      </c>
      <c r="AB26" s="137" t="str">
        <f aca="false">IF(ISBLANK(Actuals!I32),"",'Original Budget'!I32-Actuals!I32)</f>
        <v/>
      </c>
      <c r="AC26" s="137" t="str">
        <f aca="false">IFERROR(IF(ISBLANK(Actuals!I32),"",('Original Budget'!I32-Actuals!I32)/ABS('Original Budget'!I32)),"")</f>
        <v/>
      </c>
      <c r="AD26" s="136" t="n">
        <f aca="false">'Original Budget'!J32</f>
        <v>-26.33</v>
      </c>
      <c r="AE26" s="136" t="str">
        <f aca="false">IF(ISBLANK(Actuals!J32),"",Actuals!J32)</f>
        <v/>
      </c>
      <c r="AF26" s="137" t="str">
        <f aca="false">IF(ISBLANK(Actuals!J32),"",'Original Budget'!J32-Actuals!J32)</f>
        <v/>
      </c>
      <c r="AG26" s="137" t="str">
        <f aca="false">IFERROR(IF(ISBLANK(Actuals!J32),"",('Original Budget'!J32-Actuals!J32)/ABS('Original Budget'!J32)),"")</f>
        <v/>
      </c>
      <c r="AH26" s="136" t="n">
        <f aca="false">'Original Budget'!K32</f>
        <v>-26.33</v>
      </c>
      <c r="AI26" s="136" t="str">
        <f aca="false">IF(ISBLANK(Actuals!K32),"",Actuals!K32)</f>
        <v/>
      </c>
      <c r="AJ26" s="137" t="str">
        <f aca="false">IF(ISBLANK(Actuals!K32),"",'Original Budget'!K32-Actuals!K32)</f>
        <v/>
      </c>
      <c r="AK26" s="137" t="str">
        <f aca="false">IFERROR(IF(ISBLANK(Actuals!K32),"",('Original Budget'!K32-Actuals!K32)/ABS('Original Budget'!K32)),"")</f>
        <v/>
      </c>
      <c r="AL26" s="136" t="n">
        <f aca="false">'Original Budget'!L32</f>
        <v>-26.33</v>
      </c>
      <c r="AM26" s="136" t="str">
        <f aca="false">IF(ISBLANK(Actuals!L32),"",Actuals!L32)</f>
        <v/>
      </c>
      <c r="AN26" s="137" t="str">
        <f aca="false">IF(ISBLANK(Actuals!L32),"",'Original Budget'!L32-Actuals!L32)</f>
        <v/>
      </c>
      <c r="AO26" s="137" t="str">
        <f aca="false">IFERROR(IF(ISBLANK(Actuals!L32),"",('Original Budget'!L32-Actuals!L32)/ABS('Original Budget'!L32)),"")</f>
        <v/>
      </c>
      <c r="AP26" s="136" t="n">
        <f aca="false">'Original Budget'!M32</f>
        <v>-26.33</v>
      </c>
      <c r="AQ26" s="136" t="str">
        <f aca="false">IF(ISBLANK(Actuals!M32),"",Actuals!M32)</f>
        <v/>
      </c>
      <c r="AR26" s="137" t="str">
        <f aca="false">IF(ISBLANK(Actuals!M32),"",'Original Budget'!M32-Actuals!M32)</f>
        <v/>
      </c>
      <c r="AS26" s="137" t="str">
        <f aca="false">IFERROR(IF(ISBLANK(Actuals!M32),"",('Original Budget'!M32-Actuals!M32)/ABS('Original Budget'!M32)),"")</f>
        <v/>
      </c>
      <c r="AT26" s="136" t="n">
        <f aca="false">'Original Budget'!N32</f>
        <v>-26.33</v>
      </c>
      <c r="AU26" s="136" t="str">
        <f aca="false">IF(ISBLANK(Actuals!N32),"",Actuals!N32)</f>
        <v/>
      </c>
      <c r="AV26" s="137" t="str">
        <f aca="false">IF(ISBLANK(Actuals!N32),"",'Original Budget'!N32-Actuals!N32)</f>
        <v/>
      </c>
      <c r="AW26" s="137" t="str">
        <f aca="false">IFERROR(IF(ISBLANK(Actuals!N32),"",('Original Budget'!N32-Actuals!N32)/ABS('Original Budget'!N32)),"")</f>
        <v/>
      </c>
      <c r="AX26" s="138" t="n">
        <f aca="false">SUMPRODUCT((Actuals!C32:N32&lt;&gt;"")*('Original Budget'!C32:N32))</f>
        <v>-157.99</v>
      </c>
      <c r="AY26" s="138" t="n">
        <f aca="false">SUM(Actuals!C32:N32)</f>
        <v>-79</v>
      </c>
      <c r="AZ26" s="139" t="n">
        <f aca="false">AX26-AY26</f>
        <v>-78.99</v>
      </c>
    </row>
    <row r="27" customFormat="false" ht="15" hidden="false" customHeight="true" outlineLevel="0" collapsed="false">
      <c r="A27" s="135" t="s">
        <v>72</v>
      </c>
      <c r="B27" s="136" t="n">
        <f aca="false">'Original Budget'!C33</f>
        <v>-3405.64</v>
      </c>
      <c r="C27" s="136" t="n">
        <f aca="false">IF(ISBLANK(Actuals!C33),"",Actuals!C33)</f>
        <v>-3405.64</v>
      </c>
      <c r="D27" s="137" t="n">
        <f aca="false">IF(ISBLANK(Actuals!C33),"",'Original Budget'!C33-Actuals!C33)</f>
        <v>0</v>
      </c>
      <c r="E27" s="137" t="n">
        <f aca="false">IFERROR(IF(ISBLANK(Actuals!C33),"",('Original Budget'!C33-Actuals!C33)/ABS('Original Budget'!C33)),"")</f>
        <v>0</v>
      </c>
      <c r="F27" s="136" t="n">
        <f aca="false">'Original Budget'!D33</f>
        <v>-5015.38</v>
      </c>
      <c r="G27" s="136" t="n">
        <f aca="false">IF(ISBLANK(Actuals!D33),"",Actuals!D33)</f>
        <v>-5015.38</v>
      </c>
      <c r="H27" s="137" t="n">
        <f aca="false">IF(ISBLANK(Actuals!D33),"",'Original Budget'!D33-Actuals!D33)</f>
        <v>0</v>
      </c>
      <c r="I27" s="137" t="n">
        <f aca="false">IFERROR(IF(ISBLANK(Actuals!D33),"",('Original Budget'!D33-Actuals!D33)/ABS('Original Budget'!D33)),"")</f>
        <v>0</v>
      </c>
      <c r="J27" s="136" t="n">
        <f aca="false">'Original Budget'!E33</f>
        <v>-7481.39</v>
      </c>
      <c r="K27" s="136" t="n">
        <f aca="false">IF(ISBLANK(Actuals!E33),"",Actuals!E33)</f>
        <v>-7481.39</v>
      </c>
      <c r="L27" s="137" t="n">
        <f aca="false">IF(ISBLANK(Actuals!E33),"",'Original Budget'!E33-Actuals!E33)</f>
        <v>0</v>
      </c>
      <c r="M27" s="137" t="n">
        <f aca="false">IFERROR(IF(ISBLANK(Actuals!E33),"",('Original Budget'!E33-Actuals!E33)/ABS('Original Budget'!E33)),"")</f>
        <v>0</v>
      </c>
      <c r="N27" s="136" t="n">
        <f aca="false">'Original Budget'!F33</f>
        <v>-5300.8</v>
      </c>
      <c r="O27" s="136" t="n">
        <f aca="false">IF(ISBLANK(Actuals!F33),"",Actuals!F33)</f>
        <v>-5111.12</v>
      </c>
      <c r="P27" s="137" t="n">
        <f aca="false">IF(ISBLANK(Actuals!F33),"",'Original Budget'!F33-Actuals!F33)</f>
        <v>-189.68</v>
      </c>
      <c r="Q27" s="137" t="n">
        <f aca="false">IFERROR(IF(ISBLANK(Actuals!F33),"",('Original Budget'!F33-Actuals!F33)/ABS('Original Budget'!F33)),"")</f>
        <v>-0.0357832779957743</v>
      </c>
      <c r="R27" s="136" t="n">
        <f aca="false">'Original Budget'!G33</f>
        <v>-5300.8</v>
      </c>
      <c r="S27" s="136" t="n">
        <f aca="false">IF(ISBLANK(Actuals!G33),"",Actuals!G33)</f>
        <v>-4038.48</v>
      </c>
      <c r="T27" s="137" t="n">
        <f aca="false">IF(ISBLANK(Actuals!G33),"",'Original Budget'!G33-Actuals!G33)</f>
        <v>-1262.32</v>
      </c>
      <c r="U27" s="137" t="n">
        <f aca="false">IFERROR(IF(ISBLANK(Actuals!G33),"",('Original Budget'!G33-Actuals!G33)/ABS('Original Budget'!G33)),"")</f>
        <v>-0.23813763960157</v>
      </c>
      <c r="V27" s="136" t="n">
        <f aca="false">'Original Budget'!H33</f>
        <v>-5300.8</v>
      </c>
      <c r="W27" s="136" t="n">
        <f aca="false">IF(ISBLANK(Actuals!H33),"",Actuals!H33)</f>
        <v>-6114.98</v>
      </c>
      <c r="X27" s="137" t="n">
        <f aca="false">IF(ISBLANK(Actuals!H33),"",'Original Budget'!H33-Actuals!H33)</f>
        <v>814.179999999999</v>
      </c>
      <c r="Y27" s="137" t="n">
        <f aca="false">IFERROR(IF(ISBLANK(Actuals!H33),"",('Original Budget'!H33-Actuals!H33)/ABS('Original Budget'!H33)),"")</f>
        <v>0.153595683670389</v>
      </c>
      <c r="Z27" s="136" t="n">
        <f aca="false">'Original Budget'!I33</f>
        <v>-5300.8</v>
      </c>
      <c r="AA27" s="136" t="str">
        <f aca="false">IF(ISBLANK(Actuals!I33),"",Actuals!I33)</f>
        <v/>
      </c>
      <c r="AB27" s="137" t="str">
        <f aca="false">IF(ISBLANK(Actuals!I33),"",'Original Budget'!I33-Actuals!I33)</f>
        <v/>
      </c>
      <c r="AC27" s="137" t="str">
        <f aca="false">IFERROR(IF(ISBLANK(Actuals!I33),"",('Original Budget'!I33-Actuals!I33)/ABS('Original Budget'!I33)),"")</f>
        <v/>
      </c>
      <c r="AD27" s="136" t="n">
        <f aca="false">'Original Budget'!J33</f>
        <v>-5300.8</v>
      </c>
      <c r="AE27" s="136" t="str">
        <f aca="false">IF(ISBLANK(Actuals!J33),"",Actuals!J33)</f>
        <v/>
      </c>
      <c r="AF27" s="137" t="str">
        <f aca="false">IF(ISBLANK(Actuals!J33),"",'Original Budget'!J33-Actuals!J33)</f>
        <v/>
      </c>
      <c r="AG27" s="137" t="str">
        <f aca="false">IFERROR(IF(ISBLANK(Actuals!J33),"",('Original Budget'!J33-Actuals!J33)/ABS('Original Budget'!J33)),"")</f>
        <v/>
      </c>
      <c r="AH27" s="136" t="n">
        <f aca="false">'Original Budget'!K33</f>
        <v>-5300.8</v>
      </c>
      <c r="AI27" s="136" t="str">
        <f aca="false">IF(ISBLANK(Actuals!K33),"",Actuals!K33)</f>
        <v/>
      </c>
      <c r="AJ27" s="137" t="str">
        <f aca="false">IF(ISBLANK(Actuals!K33),"",'Original Budget'!K33-Actuals!K33)</f>
        <v/>
      </c>
      <c r="AK27" s="137" t="str">
        <f aca="false">IFERROR(IF(ISBLANK(Actuals!K33),"",('Original Budget'!K33-Actuals!K33)/ABS('Original Budget'!K33)),"")</f>
        <v/>
      </c>
      <c r="AL27" s="136" t="n">
        <f aca="false">'Original Budget'!L33</f>
        <v>-5300.8</v>
      </c>
      <c r="AM27" s="136" t="str">
        <f aca="false">IF(ISBLANK(Actuals!L33),"",Actuals!L33)</f>
        <v/>
      </c>
      <c r="AN27" s="137" t="str">
        <f aca="false">IF(ISBLANK(Actuals!L33),"",'Original Budget'!L33-Actuals!L33)</f>
        <v/>
      </c>
      <c r="AO27" s="137" t="str">
        <f aca="false">IFERROR(IF(ISBLANK(Actuals!L33),"",('Original Budget'!L33-Actuals!L33)/ABS('Original Budget'!L33)),"")</f>
        <v/>
      </c>
      <c r="AP27" s="136" t="n">
        <f aca="false">'Original Budget'!M33</f>
        <v>-5300.8</v>
      </c>
      <c r="AQ27" s="136" t="str">
        <f aca="false">IF(ISBLANK(Actuals!M33),"",Actuals!M33)</f>
        <v/>
      </c>
      <c r="AR27" s="137" t="str">
        <f aca="false">IF(ISBLANK(Actuals!M33),"",'Original Budget'!M33-Actuals!M33)</f>
        <v/>
      </c>
      <c r="AS27" s="137" t="str">
        <f aca="false">IFERROR(IF(ISBLANK(Actuals!M33),"",('Original Budget'!M33-Actuals!M33)/ABS('Original Budget'!M33)),"")</f>
        <v/>
      </c>
      <c r="AT27" s="136" t="n">
        <f aca="false">'Original Budget'!N33</f>
        <v>-5300.8</v>
      </c>
      <c r="AU27" s="136" t="str">
        <f aca="false">IF(ISBLANK(Actuals!N33),"",Actuals!N33)</f>
        <v/>
      </c>
      <c r="AV27" s="137" t="str">
        <f aca="false">IF(ISBLANK(Actuals!N33),"",'Original Budget'!N33-Actuals!N33)</f>
        <v/>
      </c>
      <c r="AW27" s="137" t="str">
        <f aca="false">IFERROR(IF(ISBLANK(Actuals!N33),"",('Original Budget'!N33-Actuals!N33)/ABS('Original Budget'!N33)),"")</f>
        <v/>
      </c>
      <c r="AX27" s="138" t="n">
        <f aca="false">SUMPRODUCT((Actuals!C33:N33&lt;&gt;"")*('Original Budget'!C33:N33))</f>
        <v>-31804.81</v>
      </c>
      <c r="AY27" s="138" t="n">
        <f aca="false">SUM(Actuals!C33:N33)</f>
        <v>-31166.99</v>
      </c>
      <c r="AZ27" s="139" t="n">
        <f aca="false">AX27-AY27</f>
        <v>-637.82</v>
      </c>
    </row>
    <row r="28" customFormat="false" ht="15" hidden="false" customHeight="true" outlineLevel="0" collapsed="false">
      <c r="A28" s="135" t="s">
        <v>73</v>
      </c>
      <c r="B28" s="136" t="n">
        <f aca="false">'Original Budget'!C34</f>
        <v>0</v>
      </c>
      <c r="C28" s="136" t="n">
        <f aca="false">IF(ISBLANK(Actuals!C34),"",Actuals!C34)</f>
        <v>0</v>
      </c>
      <c r="D28" s="137" t="n">
        <f aca="false">IF(ISBLANK(Actuals!C34),"",'Original Budget'!C34-Actuals!C34)</f>
        <v>0</v>
      </c>
      <c r="E28" s="137" t="str">
        <f aca="false">IFERROR(IF(ISBLANK(Actuals!C34),"",('Original Budget'!C34-Actuals!C34)/ABS('Original Budget'!C34)),"")</f>
        <v/>
      </c>
      <c r="F28" s="136" t="n">
        <f aca="false">'Original Budget'!D34</f>
        <v>-1766.48</v>
      </c>
      <c r="G28" s="136" t="n">
        <f aca="false">IF(ISBLANK(Actuals!D34),"",Actuals!D34)</f>
        <v>-1766.48</v>
      </c>
      <c r="H28" s="137" t="n">
        <f aca="false">IF(ISBLANK(Actuals!D34),"",'Original Budget'!D34-Actuals!D34)</f>
        <v>0</v>
      </c>
      <c r="I28" s="137" t="n">
        <f aca="false">IFERROR(IF(ISBLANK(Actuals!D34),"",('Original Budget'!D34-Actuals!D34)/ABS('Original Budget'!D34)),"")</f>
        <v>0</v>
      </c>
      <c r="J28" s="136" t="n">
        <f aca="false">'Original Budget'!E34</f>
        <v>-441.62</v>
      </c>
      <c r="K28" s="136" t="n">
        <f aca="false">IF(ISBLANK(Actuals!E34),"",Actuals!E34)</f>
        <v>-441.62</v>
      </c>
      <c r="L28" s="137" t="n">
        <f aca="false">IF(ISBLANK(Actuals!E34),"",'Original Budget'!E34-Actuals!E34)</f>
        <v>0</v>
      </c>
      <c r="M28" s="137" t="n">
        <f aca="false">IFERROR(IF(ISBLANK(Actuals!E34),"",('Original Budget'!E34-Actuals!E34)/ABS('Original Budget'!E34)),"")</f>
        <v>0</v>
      </c>
      <c r="N28" s="136" t="n">
        <f aca="false">'Original Budget'!F34</f>
        <v>-736.03</v>
      </c>
      <c r="O28" s="136" t="n">
        <f aca="false">IF(ISBLANK(Actuals!F34),"",Actuals!F34)</f>
        <v>-441.62</v>
      </c>
      <c r="P28" s="137" t="n">
        <f aca="false">IF(ISBLANK(Actuals!F34),"",'Original Budget'!F34-Actuals!F34)</f>
        <v>-294.41</v>
      </c>
      <c r="Q28" s="137" t="n">
        <f aca="false">IFERROR(IF(ISBLANK(Actuals!F34),"",('Original Budget'!F34-Actuals!F34)/ABS('Original Budget'!F34)),"")</f>
        <v>-0.399997282719454</v>
      </c>
      <c r="R28" s="136" t="n">
        <f aca="false">'Original Budget'!G34</f>
        <v>-736.03</v>
      </c>
      <c r="S28" s="136" t="n">
        <f aca="false">IF(ISBLANK(Actuals!G34),"",Actuals!G34)</f>
        <v>-578.62</v>
      </c>
      <c r="T28" s="137" t="n">
        <f aca="false">IF(ISBLANK(Actuals!G34),"",'Original Budget'!G34-Actuals!G34)</f>
        <v>-157.41</v>
      </c>
      <c r="U28" s="137" t="n">
        <f aca="false">IFERROR(IF(ISBLANK(Actuals!G34),"",('Original Budget'!G34-Actuals!G34)/ABS('Original Budget'!G34)),"")</f>
        <v>-0.213863565343804</v>
      </c>
      <c r="V28" s="136" t="n">
        <f aca="false">'Original Budget'!H34</f>
        <v>-736.03</v>
      </c>
      <c r="W28" s="136" t="n">
        <f aca="false">IF(ISBLANK(Actuals!H34),"",Actuals!H34)</f>
        <v>-491.62</v>
      </c>
      <c r="X28" s="137" t="n">
        <f aca="false">IF(ISBLANK(Actuals!H34),"",'Original Budget'!H34-Actuals!H34)</f>
        <v>-244.41</v>
      </c>
      <c r="Y28" s="137" t="n">
        <f aca="false">IFERROR(IF(ISBLANK(Actuals!H34),"",('Original Budget'!H34-Actuals!H34)/ABS('Original Budget'!H34)),"")</f>
        <v>-0.332065269078706</v>
      </c>
      <c r="Z28" s="136" t="n">
        <f aca="false">'Original Budget'!I34</f>
        <v>-736.03</v>
      </c>
      <c r="AA28" s="136" t="str">
        <f aca="false">IF(ISBLANK(Actuals!I34),"",Actuals!I34)</f>
        <v/>
      </c>
      <c r="AB28" s="137" t="str">
        <f aca="false">IF(ISBLANK(Actuals!I34),"",'Original Budget'!I34-Actuals!I34)</f>
        <v/>
      </c>
      <c r="AC28" s="137" t="str">
        <f aca="false">IFERROR(IF(ISBLANK(Actuals!I34),"",('Original Budget'!I34-Actuals!I34)/ABS('Original Budget'!I34)),"")</f>
        <v/>
      </c>
      <c r="AD28" s="136" t="n">
        <f aca="false">'Original Budget'!J34</f>
        <v>-736.03</v>
      </c>
      <c r="AE28" s="136" t="str">
        <f aca="false">IF(ISBLANK(Actuals!J34),"",Actuals!J34)</f>
        <v/>
      </c>
      <c r="AF28" s="137" t="str">
        <f aca="false">IF(ISBLANK(Actuals!J34),"",'Original Budget'!J34-Actuals!J34)</f>
        <v/>
      </c>
      <c r="AG28" s="137" t="str">
        <f aca="false">IFERROR(IF(ISBLANK(Actuals!J34),"",('Original Budget'!J34-Actuals!J34)/ABS('Original Budget'!J34)),"")</f>
        <v/>
      </c>
      <c r="AH28" s="136" t="n">
        <f aca="false">'Original Budget'!K34</f>
        <v>-736.03</v>
      </c>
      <c r="AI28" s="136" t="str">
        <f aca="false">IF(ISBLANK(Actuals!K34),"",Actuals!K34)</f>
        <v/>
      </c>
      <c r="AJ28" s="137" t="str">
        <f aca="false">IF(ISBLANK(Actuals!K34),"",'Original Budget'!K34-Actuals!K34)</f>
        <v/>
      </c>
      <c r="AK28" s="137" t="str">
        <f aca="false">IFERROR(IF(ISBLANK(Actuals!K34),"",('Original Budget'!K34-Actuals!K34)/ABS('Original Budget'!K34)),"")</f>
        <v/>
      </c>
      <c r="AL28" s="136" t="n">
        <f aca="false">'Original Budget'!L34</f>
        <v>-736.03</v>
      </c>
      <c r="AM28" s="136" t="str">
        <f aca="false">IF(ISBLANK(Actuals!L34),"",Actuals!L34)</f>
        <v/>
      </c>
      <c r="AN28" s="137" t="str">
        <f aca="false">IF(ISBLANK(Actuals!L34),"",'Original Budget'!L34-Actuals!L34)</f>
        <v/>
      </c>
      <c r="AO28" s="137" t="str">
        <f aca="false">IFERROR(IF(ISBLANK(Actuals!L34),"",('Original Budget'!L34-Actuals!L34)/ABS('Original Budget'!L34)),"")</f>
        <v/>
      </c>
      <c r="AP28" s="136" t="n">
        <f aca="false">'Original Budget'!M34</f>
        <v>-736.03</v>
      </c>
      <c r="AQ28" s="136" t="str">
        <f aca="false">IF(ISBLANK(Actuals!M34),"",Actuals!M34)</f>
        <v/>
      </c>
      <c r="AR28" s="137" t="str">
        <f aca="false">IF(ISBLANK(Actuals!M34),"",'Original Budget'!M34-Actuals!M34)</f>
        <v/>
      </c>
      <c r="AS28" s="137" t="str">
        <f aca="false">IFERROR(IF(ISBLANK(Actuals!M34),"",('Original Budget'!M34-Actuals!M34)/ABS('Original Budget'!M34)),"")</f>
        <v/>
      </c>
      <c r="AT28" s="136" t="n">
        <f aca="false">'Original Budget'!N34</f>
        <v>-736.03</v>
      </c>
      <c r="AU28" s="136" t="str">
        <f aca="false">IF(ISBLANK(Actuals!N34),"",Actuals!N34)</f>
        <v/>
      </c>
      <c r="AV28" s="137" t="str">
        <f aca="false">IF(ISBLANK(Actuals!N34),"",'Original Budget'!N34-Actuals!N34)</f>
        <v/>
      </c>
      <c r="AW28" s="137" t="str">
        <f aca="false">IFERROR(IF(ISBLANK(Actuals!N34),"",('Original Budget'!N34-Actuals!N34)/ABS('Original Budget'!N34)),"")</f>
        <v/>
      </c>
      <c r="AX28" s="138" t="n">
        <f aca="false">SUMPRODUCT((Actuals!C34:N34&lt;&gt;"")*('Original Budget'!C34:N34))</f>
        <v>-4416.19</v>
      </c>
      <c r="AY28" s="138" t="n">
        <f aca="false">SUM(Actuals!C34:N34)</f>
        <v>-3719.96</v>
      </c>
      <c r="AZ28" s="139" t="n">
        <f aca="false">AX28-AY28</f>
        <v>-696.23</v>
      </c>
    </row>
    <row r="29" customFormat="false" ht="15" hidden="false" customHeight="true" outlineLevel="0" collapsed="false">
      <c r="A29" s="135" t="s">
        <v>74</v>
      </c>
      <c r="B29" s="136" t="n">
        <f aca="false">'Original Budget'!C35</f>
        <v>-681.77</v>
      </c>
      <c r="C29" s="136" t="n">
        <f aca="false">IF(ISBLANK(Actuals!C35),"",Actuals!C35)</f>
        <v>-681.77</v>
      </c>
      <c r="D29" s="137" t="n">
        <f aca="false">IF(ISBLANK(Actuals!C35),"",'Original Budget'!C35-Actuals!C35)</f>
        <v>0</v>
      </c>
      <c r="E29" s="137" t="n">
        <f aca="false">IFERROR(IF(ISBLANK(Actuals!C35),"",('Original Budget'!C35-Actuals!C35)/ABS('Original Budget'!C35)),"")</f>
        <v>0</v>
      </c>
      <c r="F29" s="136" t="n">
        <f aca="false">'Original Budget'!D35</f>
        <v>-600.14</v>
      </c>
      <c r="G29" s="136" t="n">
        <f aca="false">IF(ISBLANK(Actuals!D35),"",Actuals!D35)</f>
        <v>-600.14</v>
      </c>
      <c r="H29" s="137" t="n">
        <f aca="false">IF(ISBLANK(Actuals!D35),"",'Original Budget'!D35-Actuals!D35)</f>
        <v>0</v>
      </c>
      <c r="I29" s="137" t="n">
        <f aca="false">IFERROR(IF(ISBLANK(Actuals!D35),"",('Original Budget'!D35-Actuals!D35)/ABS('Original Budget'!D35)),"")</f>
        <v>0</v>
      </c>
      <c r="J29" s="136" t="n">
        <f aca="false">'Original Budget'!E35</f>
        <v>-2121.95</v>
      </c>
      <c r="K29" s="136" t="n">
        <f aca="false">IF(ISBLANK(Actuals!E35),"",Actuals!E35)</f>
        <v>-2121.95</v>
      </c>
      <c r="L29" s="137" t="n">
        <f aca="false">IF(ISBLANK(Actuals!E35),"",'Original Budget'!E35-Actuals!E35)</f>
        <v>0</v>
      </c>
      <c r="M29" s="137" t="n">
        <f aca="false">IFERROR(IF(ISBLANK(Actuals!E35),"",('Original Budget'!E35-Actuals!E35)/ABS('Original Budget'!E35)),"")</f>
        <v>0</v>
      </c>
      <c r="N29" s="136" t="n">
        <f aca="false">'Original Budget'!F35</f>
        <v>-1134.62</v>
      </c>
      <c r="O29" s="136" t="n">
        <f aca="false">IF(ISBLANK(Actuals!F35),"",Actuals!F35)</f>
        <v>-840.49</v>
      </c>
      <c r="P29" s="137" t="n">
        <f aca="false">IF(ISBLANK(Actuals!F35),"",'Original Budget'!F35-Actuals!F35)</f>
        <v>-294.13</v>
      </c>
      <c r="Q29" s="137" t="n">
        <f aca="false">IFERROR(IF(ISBLANK(Actuals!F35),"",('Original Budget'!F35-Actuals!F35)/ABS('Original Budget'!F35)),"")</f>
        <v>-0.259232165835258</v>
      </c>
      <c r="R29" s="136" t="n">
        <f aca="false">'Original Budget'!G35</f>
        <v>-1134.62</v>
      </c>
      <c r="S29" s="136" t="n">
        <f aca="false">IF(ISBLANK(Actuals!G35),"",Actuals!G35)</f>
        <v>-847.85</v>
      </c>
      <c r="T29" s="137" t="n">
        <f aca="false">IF(ISBLANK(Actuals!G35),"",'Original Budget'!G35-Actuals!G35)</f>
        <v>-286.77</v>
      </c>
      <c r="U29" s="137" t="n">
        <f aca="false">IFERROR(IF(ISBLANK(Actuals!G35),"",('Original Budget'!G35-Actuals!G35)/ABS('Original Budget'!G35)),"")</f>
        <v>-0.252745412561034</v>
      </c>
      <c r="V29" s="136" t="n">
        <f aca="false">'Original Budget'!H35</f>
        <v>-1134.62</v>
      </c>
      <c r="W29" s="136" t="n">
        <f aca="false">IF(ISBLANK(Actuals!H35),"",Actuals!H35)</f>
        <v>-486.63</v>
      </c>
      <c r="X29" s="137" t="n">
        <f aca="false">IF(ISBLANK(Actuals!H35),"",'Original Budget'!H35-Actuals!H35)</f>
        <v>-647.99</v>
      </c>
      <c r="Y29" s="137" t="n">
        <f aca="false">IFERROR(IF(ISBLANK(Actuals!H35),"",('Original Budget'!H35-Actuals!H35)/ABS('Original Budget'!H35)),"")</f>
        <v>-0.571107507359292</v>
      </c>
      <c r="Z29" s="136" t="n">
        <f aca="false">'Original Budget'!I35</f>
        <v>-1134.62</v>
      </c>
      <c r="AA29" s="136" t="str">
        <f aca="false">IF(ISBLANK(Actuals!I35),"",Actuals!I35)</f>
        <v/>
      </c>
      <c r="AB29" s="137" t="str">
        <f aca="false">IF(ISBLANK(Actuals!I35),"",'Original Budget'!I35-Actuals!I35)</f>
        <v/>
      </c>
      <c r="AC29" s="137" t="str">
        <f aca="false">IFERROR(IF(ISBLANK(Actuals!I35),"",('Original Budget'!I35-Actuals!I35)/ABS('Original Budget'!I35)),"")</f>
        <v/>
      </c>
      <c r="AD29" s="136" t="n">
        <f aca="false">'Original Budget'!J35</f>
        <v>-1134.62</v>
      </c>
      <c r="AE29" s="136" t="str">
        <f aca="false">IF(ISBLANK(Actuals!J35),"",Actuals!J35)</f>
        <v/>
      </c>
      <c r="AF29" s="137" t="str">
        <f aca="false">IF(ISBLANK(Actuals!J35),"",'Original Budget'!J35-Actuals!J35)</f>
        <v/>
      </c>
      <c r="AG29" s="137" t="str">
        <f aca="false">IFERROR(IF(ISBLANK(Actuals!J35),"",('Original Budget'!J35-Actuals!J35)/ABS('Original Budget'!J35)),"")</f>
        <v/>
      </c>
      <c r="AH29" s="136" t="n">
        <f aca="false">'Original Budget'!K35</f>
        <v>-1134.62</v>
      </c>
      <c r="AI29" s="136" t="str">
        <f aca="false">IF(ISBLANK(Actuals!K35),"",Actuals!K35)</f>
        <v/>
      </c>
      <c r="AJ29" s="137" t="str">
        <f aca="false">IF(ISBLANK(Actuals!K35),"",'Original Budget'!K35-Actuals!K35)</f>
        <v/>
      </c>
      <c r="AK29" s="137" t="str">
        <f aca="false">IFERROR(IF(ISBLANK(Actuals!K35),"",('Original Budget'!K35-Actuals!K35)/ABS('Original Budget'!K35)),"")</f>
        <v/>
      </c>
      <c r="AL29" s="136" t="n">
        <f aca="false">'Original Budget'!L35</f>
        <v>-1134.62</v>
      </c>
      <c r="AM29" s="136" t="str">
        <f aca="false">IF(ISBLANK(Actuals!L35),"",Actuals!L35)</f>
        <v/>
      </c>
      <c r="AN29" s="137" t="str">
        <f aca="false">IF(ISBLANK(Actuals!L35),"",'Original Budget'!L35-Actuals!L35)</f>
        <v/>
      </c>
      <c r="AO29" s="137" t="str">
        <f aca="false">IFERROR(IF(ISBLANK(Actuals!L35),"",('Original Budget'!L35-Actuals!L35)/ABS('Original Budget'!L35)),"")</f>
        <v/>
      </c>
      <c r="AP29" s="136" t="n">
        <f aca="false">'Original Budget'!M35</f>
        <v>-1134.62</v>
      </c>
      <c r="AQ29" s="136" t="str">
        <f aca="false">IF(ISBLANK(Actuals!M35),"",Actuals!M35)</f>
        <v/>
      </c>
      <c r="AR29" s="137" t="str">
        <f aca="false">IF(ISBLANK(Actuals!M35),"",'Original Budget'!M35-Actuals!M35)</f>
        <v/>
      </c>
      <c r="AS29" s="137" t="str">
        <f aca="false">IFERROR(IF(ISBLANK(Actuals!M35),"",('Original Budget'!M35-Actuals!M35)/ABS('Original Budget'!M35)),"")</f>
        <v/>
      </c>
      <c r="AT29" s="136" t="n">
        <f aca="false">'Original Budget'!N35</f>
        <v>-1134.62</v>
      </c>
      <c r="AU29" s="136" t="str">
        <f aca="false">IF(ISBLANK(Actuals!N35),"",Actuals!N35)</f>
        <v/>
      </c>
      <c r="AV29" s="137" t="str">
        <f aca="false">IF(ISBLANK(Actuals!N35),"",'Original Budget'!N35-Actuals!N35)</f>
        <v/>
      </c>
      <c r="AW29" s="137" t="str">
        <f aca="false">IFERROR(IF(ISBLANK(Actuals!N35),"",('Original Budget'!N35-Actuals!N35)/ABS('Original Budget'!N35)),"")</f>
        <v/>
      </c>
      <c r="AX29" s="138" t="n">
        <f aca="false">SUMPRODUCT((Actuals!C35:N35&lt;&gt;"")*('Original Budget'!C35:N35))</f>
        <v>-6807.72</v>
      </c>
      <c r="AY29" s="138" t="n">
        <f aca="false">SUM(Actuals!C35:N35)</f>
        <v>-5578.83</v>
      </c>
      <c r="AZ29" s="139" t="n">
        <f aca="false">AX29-AY29</f>
        <v>-1228.89</v>
      </c>
    </row>
    <row r="30" customFormat="false" ht="15" hidden="false" customHeight="true" outlineLevel="0" collapsed="false">
      <c r="A30" s="135" t="s">
        <v>75</v>
      </c>
      <c r="B30" s="136" t="n">
        <f aca="false">'Original Budget'!C36</f>
        <v>-2187.5</v>
      </c>
      <c r="C30" s="136" t="n">
        <f aca="false">IF(ISBLANK(Actuals!C36),"",Actuals!C36)</f>
        <v>-2187.5</v>
      </c>
      <c r="D30" s="137" t="n">
        <f aca="false">IF(ISBLANK(Actuals!C36),"",'Original Budget'!C36-Actuals!C36)</f>
        <v>0</v>
      </c>
      <c r="E30" s="137" t="n">
        <f aca="false">IFERROR(IF(ISBLANK(Actuals!C36),"",('Original Budget'!C36-Actuals!C36)/ABS('Original Budget'!C36)),"")</f>
        <v>0</v>
      </c>
      <c r="F30" s="136" t="n">
        <f aca="false">'Original Budget'!D36</f>
        <v>0</v>
      </c>
      <c r="G30" s="136" t="n">
        <f aca="false">IF(ISBLANK(Actuals!D36),"",Actuals!D36)</f>
        <v>0</v>
      </c>
      <c r="H30" s="137" t="n">
        <f aca="false">IF(ISBLANK(Actuals!D36),"",'Original Budget'!D36-Actuals!D36)</f>
        <v>0</v>
      </c>
      <c r="I30" s="137" t="str">
        <f aca="false">IFERROR(IF(ISBLANK(Actuals!D36),"",('Original Budget'!D36-Actuals!D36)/ABS('Original Budget'!D36)),"")</f>
        <v/>
      </c>
      <c r="J30" s="136" t="n">
        <f aca="false">'Original Budget'!E36</f>
        <v>-1625</v>
      </c>
      <c r="K30" s="136" t="n">
        <f aca="false">IF(ISBLANK(Actuals!E36),"",Actuals!E36)</f>
        <v>-1625</v>
      </c>
      <c r="L30" s="137" t="n">
        <f aca="false">IF(ISBLANK(Actuals!E36),"",'Original Budget'!E36-Actuals!E36)</f>
        <v>0</v>
      </c>
      <c r="M30" s="137" t="n">
        <f aca="false">IFERROR(IF(ISBLANK(Actuals!E36),"",('Original Budget'!E36-Actuals!E36)/ABS('Original Budget'!E36)),"")</f>
        <v>0</v>
      </c>
      <c r="N30" s="136" t="n">
        <f aca="false">'Original Budget'!F36</f>
        <v>-1270.83</v>
      </c>
      <c r="O30" s="136" t="n">
        <f aca="false">IF(ISBLANK(Actuals!F36),"",Actuals!F36)</f>
        <v>0</v>
      </c>
      <c r="P30" s="137" t="n">
        <f aca="false">IF(ISBLANK(Actuals!F36),"",'Original Budget'!F36-Actuals!F36)</f>
        <v>-1270.83</v>
      </c>
      <c r="Q30" s="137" t="n">
        <f aca="false">IFERROR(IF(ISBLANK(Actuals!F36),"",('Original Budget'!F36-Actuals!F36)/ABS('Original Budget'!F36)),"")</f>
        <v>-1</v>
      </c>
      <c r="R30" s="136" t="n">
        <f aca="false">'Original Budget'!G36</f>
        <v>-1270.83</v>
      </c>
      <c r="S30" s="136" t="n">
        <f aca="false">IF(ISBLANK(Actuals!G36),"",Actuals!G36)</f>
        <v>0</v>
      </c>
      <c r="T30" s="137" t="n">
        <f aca="false">IF(ISBLANK(Actuals!G36),"",'Original Budget'!G36-Actuals!G36)</f>
        <v>-1270.83</v>
      </c>
      <c r="U30" s="137" t="n">
        <f aca="false">IFERROR(IF(ISBLANK(Actuals!G36),"",('Original Budget'!G36-Actuals!G36)/ABS('Original Budget'!G36)),"")</f>
        <v>-1</v>
      </c>
      <c r="V30" s="136" t="n">
        <f aca="false">'Original Budget'!H36</f>
        <v>-1270.83</v>
      </c>
      <c r="W30" s="136" t="n">
        <f aca="false">IF(ISBLANK(Actuals!H36),"",Actuals!H36)</f>
        <v>0</v>
      </c>
      <c r="X30" s="137" t="n">
        <f aca="false">IF(ISBLANK(Actuals!H36),"",'Original Budget'!H36-Actuals!H36)</f>
        <v>-1270.83</v>
      </c>
      <c r="Y30" s="137" t="n">
        <f aca="false">IFERROR(IF(ISBLANK(Actuals!H36),"",('Original Budget'!H36-Actuals!H36)/ABS('Original Budget'!H36)),"")</f>
        <v>-1</v>
      </c>
      <c r="Z30" s="136" t="n">
        <f aca="false">'Original Budget'!I36</f>
        <v>-1270.83</v>
      </c>
      <c r="AA30" s="136" t="str">
        <f aca="false">IF(ISBLANK(Actuals!I36),"",Actuals!I36)</f>
        <v/>
      </c>
      <c r="AB30" s="137" t="str">
        <f aca="false">IF(ISBLANK(Actuals!I36),"",'Original Budget'!I36-Actuals!I36)</f>
        <v/>
      </c>
      <c r="AC30" s="137" t="str">
        <f aca="false">IFERROR(IF(ISBLANK(Actuals!I36),"",('Original Budget'!I36-Actuals!I36)/ABS('Original Budget'!I36)),"")</f>
        <v/>
      </c>
      <c r="AD30" s="136" t="n">
        <f aca="false">'Original Budget'!J36</f>
        <v>-1270.83</v>
      </c>
      <c r="AE30" s="136" t="str">
        <f aca="false">IF(ISBLANK(Actuals!J36),"",Actuals!J36)</f>
        <v/>
      </c>
      <c r="AF30" s="137" t="str">
        <f aca="false">IF(ISBLANK(Actuals!J36),"",'Original Budget'!J36-Actuals!J36)</f>
        <v/>
      </c>
      <c r="AG30" s="137" t="str">
        <f aca="false">IFERROR(IF(ISBLANK(Actuals!J36),"",('Original Budget'!J36-Actuals!J36)/ABS('Original Budget'!J36)),"")</f>
        <v/>
      </c>
      <c r="AH30" s="136" t="n">
        <f aca="false">'Original Budget'!K36</f>
        <v>-1270.83</v>
      </c>
      <c r="AI30" s="136" t="str">
        <f aca="false">IF(ISBLANK(Actuals!K36),"",Actuals!K36)</f>
        <v/>
      </c>
      <c r="AJ30" s="137" t="str">
        <f aca="false">IF(ISBLANK(Actuals!K36),"",'Original Budget'!K36-Actuals!K36)</f>
        <v/>
      </c>
      <c r="AK30" s="137" t="str">
        <f aca="false">IFERROR(IF(ISBLANK(Actuals!K36),"",('Original Budget'!K36-Actuals!K36)/ABS('Original Budget'!K36)),"")</f>
        <v/>
      </c>
      <c r="AL30" s="136" t="n">
        <f aca="false">'Original Budget'!L36</f>
        <v>-1270.83</v>
      </c>
      <c r="AM30" s="136" t="str">
        <f aca="false">IF(ISBLANK(Actuals!L36),"",Actuals!L36)</f>
        <v/>
      </c>
      <c r="AN30" s="137" t="str">
        <f aca="false">IF(ISBLANK(Actuals!L36),"",'Original Budget'!L36-Actuals!L36)</f>
        <v/>
      </c>
      <c r="AO30" s="137" t="str">
        <f aca="false">IFERROR(IF(ISBLANK(Actuals!L36),"",('Original Budget'!L36-Actuals!L36)/ABS('Original Budget'!L36)),"")</f>
        <v/>
      </c>
      <c r="AP30" s="136" t="n">
        <f aca="false">'Original Budget'!M36</f>
        <v>-1270.83</v>
      </c>
      <c r="AQ30" s="136" t="str">
        <f aca="false">IF(ISBLANK(Actuals!M36),"",Actuals!M36)</f>
        <v/>
      </c>
      <c r="AR30" s="137" t="str">
        <f aca="false">IF(ISBLANK(Actuals!M36),"",'Original Budget'!M36-Actuals!M36)</f>
        <v/>
      </c>
      <c r="AS30" s="137" t="str">
        <f aca="false">IFERROR(IF(ISBLANK(Actuals!M36),"",('Original Budget'!M36-Actuals!M36)/ABS('Original Budget'!M36)),"")</f>
        <v/>
      </c>
      <c r="AT30" s="136" t="n">
        <f aca="false">'Original Budget'!N36</f>
        <v>-1270.83</v>
      </c>
      <c r="AU30" s="136" t="str">
        <f aca="false">IF(ISBLANK(Actuals!N36),"",Actuals!N36)</f>
        <v/>
      </c>
      <c r="AV30" s="137" t="str">
        <f aca="false">IF(ISBLANK(Actuals!N36),"",'Original Budget'!N36-Actuals!N36)</f>
        <v/>
      </c>
      <c r="AW30" s="137" t="str">
        <f aca="false">IFERROR(IF(ISBLANK(Actuals!N36),"",('Original Budget'!N36-Actuals!N36)/ABS('Original Budget'!N36)),"")</f>
        <v/>
      </c>
      <c r="AX30" s="138" t="n">
        <f aca="false">SUMPRODUCT((Actuals!C36:N36&lt;&gt;"")*('Original Budget'!C36:N36))</f>
        <v>-7624.99</v>
      </c>
      <c r="AY30" s="138" t="n">
        <f aca="false">SUM(Actuals!C36:N36)</f>
        <v>-3812.5</v>
      </c>
      <c r="AZ30" s="139" t="n">
        <f aca="false">AX30-AY30</f>
        <v>-3812.49</v>
      </c>
    </row>
    <row r="31" customFormat="false" ht="15" hidden="false" customHeight="true" outlineLevel="0" collapsed="false">
      <c r="A31" s="135" t="s">
        <v>76</v>
      </c>
      <c r="B31" s="136" t="n">
        <f aca="false">'Original Budget'!C37</f>
        <v>0</v>
      </c>
      <c r="C31" s="136" t="n">
        <f aca="false">IF(ISBLANK(Actuals!C37),"",Actuals!C37)</f>
        <v>0</v>
      </c>
      <c r="D31" s="137" t="n">
        <f aca="false">IF(ISBLANK(Actuals!C37),"",'Original Budget'!C37-Actuals!C37)</f>
        <v>0</v>
      </c>
      <c r="E31" s="137" t="str">
        <f aca="false">IFERROR(IF(ISBLANK(Actuals!C37),"",('Original Budget'!C37-Actuals!C37)/ABS('Original Budget'!C37)),"")</f>
        <v/>
      </c>
      <c r="F31" s="136" t="n">
        <f aca="false">'Original Budget'!D37</f>
        <v>-12349</v>
      </c>
      <c r="G31" s="136" t="n">
        <f aca="false">IF(ISBLANK(Actuals!D37),"",Actuals!D37)</f>
        <v>-12349</v>
      </c>
      <c r="H31" s="137" t="n">
        <f aca="false">IF(ISBLANK(Actuals!D37),"",'Original Budget'!D37-Actuals!D37)</f>
        <v>0</v>
      </c>
      <c r="I31" s="137" t="n">
        <f aca="false">IFERROR(IF(ISBLANK(Actuals!D37),"",('Original Budget'!D37-Actuals!D37)/ABS('Original Budget'!D37)),"")</f>
        <v>0</v>
      </c>
      <c r="J31" s="136" t="n">
        <f aca="false">'Original Budget'!E37</f>
        <v>-5400</v>
      </c>
      <c r="K31" s="136" t="n">
        <f aca="false">IF(ISBLANK(Actuals!E37),"",Actuals!E37)</f>
        <v>-5400</v>
      </c>
      <c r="L31" s="137" t="n">
        <f aca="false">IF(ISBLANK(Actuals!E37),"",'Original Budget'!E37-Actuals!E37)</f>
        <v>0</v>
      </c>
      <c r="M31" s="137" t="n">
        <f aca="false">IFERROR(IF(ISBLANK(Actuals!E37),"",('Original Budget'!E37-Actuals!E37)/ABS('Original Budget'!E37)),"")</f>
        <v>0</v>
      </c>
      <c r="N31" s="136" t="n">
        <f aca="false">'Original Budget'!F37</f>
        <v>-5916.33</v>
      </c>
      <c r="O31" s="136" t="n">
        <f aca="false">IF(ISBLANK(Actuals!F37),"",Actuals!F37)</f>
        <v>-4377</v>
      </c>
      <c r="P31" s="137" t="n">
        <f aca="false">IF(ISBLANK(Actuals!F37),"",'Original Budget'!F37-Actuals!F37)</f>
        <v>-1539.33</v>
      </c>
      <c r="Q31" s="137" t="n">
        <f aca="false">IFERROR(IF(ISBLANK(Actuals!F37),"",('Original Budget'!F37-Actuals!F37)/ABS('Original Budget'!F37)),"")</f>
        <v>-0.260183255497919</v>
      </c>
      <c r="R31" s="136" t="n">
        <f aca="false">'Original Budget'!G37</f>
        <v>-5916.33</v>
      </c>
      <c r="S31" s="136" t="n">
        <f aca="false">IF(ISBLANK(Actuals!G37),"",Actuals!G37)</f>
        <v>-11750</v>
      </c>
      <c r="T31" s="137" t="n">
        <f aca="false">IF(ISBLANK(Actuals!G37),"",'Original Budget'!G37-Actuals!G37)</f>
        <v>5833.67</v>
      </c>
      <c r="U31" s="137" t="n">
        <f aca="false">IFERROR(IF(ISBLANK(Actuals!G37),"",('Original Budget'!G37-Actuals!G37)/ABS('Original Budget'!G37)),"")</f>
        <v>0.986028500776664</v>
      </c>
      <c r="V31" s="136" t="n">
        <f aca="false">'Original Budget'!H37</f>
        <v>-5916.33</v>
      </c>
      <c r="W31" s="136" t="n">
        <f aca="false">IF(ISBLANK(Actuals!H37),"",Actuals!H37)</f>
        <v>0</v>
      </c>
      <c r="X31" s="137" t="n">
        <f aca="false">IF(ISBLANK(Actuals!H37),"",'Original Budget'!H37-Actuals!H37)</f>
        <v>-5916.33</v>
      </c>
      <c r="Y31" s="137" t="n">
        <f aca="false">IFERROR(IF(ISBLANK(Actuals!H37),"",('Original Budget'!H37-Actuals!H37)/ABS('Original Budget'!H37)),"")</f>
        <v>-1</v>
      </c>
      <c r="Z31" s="136" t="n">
        <f aca="false">'Original Budget'!I37</f>
        <v>-5916.33</v>
      </c>
      <c r="AA31" s="136" t="str">
        <f aca="false">IF(ISBLANK(Actuals!I37),"",Actuals!I37)</f>
        <v/>
      </c>
      <c r="AB31" s="137" t="str">
        <f aca="false">IF(ISBLANK(Actuals!I37),"",'Original Budget'!I37-Actuals!I37)</f>
        <v/>
      </c>
      <c r="AC31" s="137" t="str">
        <f aca="false">IFERROR(IF(ISBLANK(Actuals!I37),"",('Original Budget'!I37-Actuals!I37)/ABS('Original Budget'!I37)),"")</f>
        <v/>
      </c>
      <c r="AD31" s="136" t="n">
        <f aca="false">'Original Budget'!J37</f>
        <v>-5916.33</v>
      </c>
      <c r="AE31" s="136" t="str">
        <f aca="false">IF(ISBLANK(Actuals!J37),"",Actuals!J37)</f>
        <v/>
      </c>
      <c r="AF31" s="137" t="str">
        <f aca="false">IF(ISBLANK(Actuals!J37),"",'Original Budget'!J37-Actuals!J37)</f>
        <v/>
      </c>
      <c r="AG31" s="137" t="str">
        <f aca="false">IFERROR(IF(ISBLANK(Actuals!J37),"",('Original Budget'!J37-Actuals!J37)/ABS('Original Budget'!J37)),"")</f>
        <v/>
      </c>
      <c r="AH31" s="136" t="n">
        <f aca="false">'Original Budget'!K37</f>
        <v>-5916.33</v>
      </c>
      <c r="AI31" s="136" t="str">
        <f aca="false">IF(ISBLANK(Actuals!K37),"",Actuals!K37)</f>
        <v/>
      </c>
      <c r="AJ31" s="137" t="str">
        <f aca="false">IF(ISBLANK(Actuals!K37),"",'Original Budget'!K37-Actuals!K37)</f>
        <v/>
      </c>
      <c r="AK31" s="137" t="str">
        <f aca="false">IFERROR(IF(ISBLANK(Actuals!K37),"",('Original Budget'!K37-Actuals!K37)/ABS('Original Budget'!K37)),"")</f>
        <v/>
      </c>
      <c r="AL31" s="136" t="n">
        <f aca="false">'Original Budget'!L37</f>
        <v>-5916.33</v>
      </c>
      <c r="AM31" s="136" t="str">
        <f aca="false">IF(ISBLANK(Actuals!L37),"",Actuals!L37)</f>
        <v/>
      </c>
      <c r="AN31" s="137" t="str">
        <f aca="false">IF(ISBLANK(Actuals!L37),"",'Original Budget'!L37-Actuals!L37)</f>
        <v/>
      </c>
      <c r="AO31" s="137" t="str">
        <f aca="false">IFERROR(IF(ISBLANK(Actuals!L37),"",('Original Budget'!L37-Actuals!L37)/ABS('Original Budget'!L37)),"")</f>
        <v/>
      </c>
      <c r="AP31" s="136" t="n">
        <f aca="false">'Original Budget'!M37</f>
        <v>-5916.33</v>
      </c>
      <c r="AQ31" s="136" t="str">
        <f aca="false">IF(ISBLANK(Actuals!M37),"",Actuals!M37)</f>
        <v/>
      </c>
      <c r="AR31" s="137" t="str">
        <f aca="false">IF(ISBLANK(Actuals!M37),"",'Original Budget'!M37-Actuals!M37)</f>
        <v/>
      </c>
      <c r="AS31" s="137" t="str">
        <f aca="false">IFERROR(IF(ISBLANK(Actuals!M37),"",('Original Budget'!M37-Actuals!M37)/ABS('Original Budget'!M37)),"")</f>
        <v/>
      </c>
      <c r="AT31" s="136" t="n">
        <f aca="false">'Original Budget'!N37</f>
        <v>-5916.33</v>
      </c>
      <c r="AU31" s="136" t="str">
        <f aca="false">IF(ISBLANK(Actuals!N37),"",Actuals!N37)</f>
        <v/>
      </c>
      <c r="AV31" s="137" t="str">
        <f aca="false">IF(ISBLANK(Actuals!N37),"",'Original Budget'!N37-Actuals!N37)</f>
        <v/>
      </c>
      <c r="AW31" s="137" t="str">
        <f aca="false">IFERROR(IF(ISBLANK(Actuals!N37),"",('Original Budget'!N37-Actuals!N37)/ABS('Original Budget'!N37)),"")</f>
        <v/>
      </c>
      <c r="AX31" s="138" t="n">
        <f aca="false">SUMPRODUCT((Actuals!C37:N37&lt;&gt;"")*('Original Budget'!C37:N37))</f>
        <v>-35497.99</v>
      </c>
      <c r="AY31" s="138" t="n">
        <f aca="false">SUM(Actuals!C37:N37)</f>
        <v>-33876</v>
      </c>
      <c r="AZ31" s="139" t="n">
        <f aca="false">AX31-AY31</f>
        <v>-1621.99</v>
      </c>
    </row>
    <row r="32" customFormat="false" ht="15" hidden="false" customHeight="true" outlineLevel="0" collapsed="false">
      <c r="A32" s="135" t="s">
        <v>77</v>
      </c>
      <c r="B32" s="136" t="n">
        <f aca="false">'Original Budget'!C38</f>
        <v>0</v>
      </c>
      <c r="C32" s="136" t="n">
        <f aca="false">IF(ISBLANK(Actuals!C38),"",Actuals!C38)</f>
        <v>0</v>
      </c>
      <c r="D32" s="137" t="n">
        <f aca="false">IF(ISBLANK(Actuals!C38),"",'Original Budget'!C38-Actuals!C38)</f>
        <v>0</v>
      </c>
      <c r="E32" s="137" t="str">
        <f aca="false">IFERROR(IF(ISBLANK(Actuals!C38),"",('Original Budget'!C38-Actuals!C38)/ABS('Original Budget'!C38)),"")</f>
        <v/>
      </c>
      <c r="F32" s="136" t="n">
        <f aca="false">'Original Budget'!D38</f>
        <v>0</v>
      </c>
      <c r="G32" s="136" t="n">
        <f aca="false">IF(ISBLANK(Actuals!D38),"",Actuals!D38)</f>
        <v>0</v>
      </c>
      <c r="H32" s="137" t="n">
        <f aca="false">IF(ISBLANK(Actuals!D38),"",'Original Budget'!D38-Actuals!D38)</f>
        <v>0</v>
      </c>
      <c r="I32" s="137" t="str">
        <f aca="false">IFERROR(IF(ISBLANK(Actuals!D38),"",('Original Budget'!D38-Actuals!D38)/ABS('Original Budget'!D38)),"")</f>
        <v/>
      </c>
      <c r="J32" s="136" t="n">
        <f aca="false">'Original Budget'!E38</f>
        <v>-750.4</v>
      </c>
      <c r="K32" s="136" t="n">
        <f aca="false">IF(ISBLANK(Actuals!E38),"",Actuals!E38)</f>
        <v>-750.4</v>
      </c>
      <c r="L32" s="137" t="n">
        <f aca="false">IF(ISBLANK(Actuals!E38),"",'Original Budget'!E38-Actuals!E38)</f>
        <v>0</v>
      </c>
      <c r="M32" s="137" t="n">
        <f aca="false">IFERROR(IF(ISBLANK(Actuals!E38),"",('Original Budget'!E38-Actuals!E38)/ABS('Original Budget'!E38)),"")</f>
        <v>0</v>
      </c>
      <c r="N32" s="136" t="n">
        <f aca="false">'Original Budget'!F38</f>
        <v>-250.13</v>
      </c>
      <c r="O32" s="136" t="n">
        <f aca="false">IF(ISBLANK(Actuals!F38),"",Actuals!F38)</f>
        <v>0</v>
      </c>
      <c r="P32" s="137" t="n">
        <f aca="false">IF(ISBLANK(Actuals!F38),"",'Original Budget'!F38-Actuals!F38)</f>
        <v>-250.13</v>
      </c>
      <c r="Q32" s="137" t="n">
        <f aca="false">IFERROR(IF(ISBLANK(Actuals!F38),"",('Original Budget'!F38-Actuals!F38)/ABS('Original Budget'!F38)),"")</f>
        <v>-1</v>
      </c>
      <c r="R32" s="136" t="n">
        <f aca="false">'Original Budget'!G38</f>
        <v>-250.13</v>
      </c>
      <c r="S32" s="136" t="n">
        <f aca="false">IF(ISBLANK(Actuals!G38),"",Actuals!G38)</f>
        <v>0</v>
      </c>
      <c r="T32" s="137" t="n">
        <f aca="false">IF(ISBLANK(Actuals!G38),"",'Original Budget'!G38-Actuals!G38)</f>
        <v>-250.13</v>
      </c>
      <c r="U32" s="137" t="n">
        <f aca="false">IFERROR(IF(ISBLANK(Actuals!G38),"",('Original Budget'!G38-Actuals!G38)/ABS('Original Budget'!G38)),"")</f>
        <v>-1</v>
      </c>
      <c r="V32" s="136" t="n">
        <f aca="false">'Original Budget'!H38</f>
        <v>-250.13</v>
      </c>
      <c r="W32" s="136" t="n">
        <f aca="false">IF(ISBLANK(Actuals!H38),"",Actuals!H38)</f>
        <v>0</v>
      </c>
      <c r="X32" s="137" t="n">
        <f aca="false">IF(ISBLANK(Actuals!H38),"",'Original Budget'!H38-Actuals!H38)</f>
        <v>-250.13</v>
      </c>
      <c r="Y32" s="137" t="n">
        <f aca="false">IFERROR(IF(ISBLANK(Actuals!H38),"",('Original Budget'!H38-Actuals!H38)/ABS('Original Budget'!H38)),"")</f>
        <v>-1</v>
      </c>
      <c r="Z32" s="136" t="n">
        <f aca="false">'Original Budget'!I38</f>
        <v>-250.13</v>
      </c>
      <c r="AA32" s="136" t="str">
        <f aca="false">IF(ISBLANK(Actuals!I38),"",Actuals!I38)</f>
        <v/>
      </c>
      <c r="AB32" s="137" t="str">
        <f aca="false">IF(ISBLANK(Actuals!I38),"",'Original Budget'!I38-Actuals!I38)</f>
        <v/>
      </c>
      <c r="AC32" s="137" t="str">
        <f aca="false">IFERROR(IF(ISBLANK(Actuals!I38),"",('Original Budget'!I38-Actuals!I38)/ABS('Original Budget'!I38)),"")</f>
        <v/>
      </c>
      <c r="AD32" s="136" t="n">
        <f aca="false">'Original Budget'!J38</f>
        <v>-250.13</v>
      </c>
      <c r="AE32" s="136" t="str">
        <f aca="false">IF(ISBLANK(Actuals!J38),"",Actuals!J38)</f>
        <v/>
      </c>
      <c r="AF32" s="137" t="str">
        <f aca="false">IF(ISBLANK(Actuals!J38),"",'Original Budget'!J38-Actuals!J38)</f>
        <v/>
      </c>
      <c r="AG32" s="137" t="str">
        <f aca="false">IFERROR(IF(ISBLANK(Actuals!J38),"",('Original Budget'!J38-Actuals!J38)/ABS('Original Budget'!J38)),"")</f>
        <v/>
      </c>
      <c r="AH32" s="136" t="n">
        <f aca="false">'Original Budget'!K38</f>
        <v>-250.13</v>
      </c>
      <c r="AI32" s="136" t="str">
        <f aca="false">IF(ISBLANK(Actuals!K38),"",Actuals!K38)</f>
        <v/>
      </c>
      <c r="AJ32" s="137" t="str">
        <f aca="false">IF(ISBLANK(Actuals!K38),"",'Original Budget'!K38-Actuals!K38)</f>
        <v/>
      </c>
      <c r="AK32" s="137" t="str">
        <f aca="false">IFERROR(IF(ISBLANK(Actuals!K38),"",('Original Budget'!K38-Actuals!K38)/ABS('Original Budget'!K38)),"")</f>
        <v/>
      </c>
      <c r="AL32" s="136" t="n">
        <f aca="false">'Original Budget'!L38</f>
        <v>-250.13</v>
      </c>
      <c r="AM32" s="136" t="str">
        <f aca="false">IF(ISBLANK(Actuals!L38),"",Actuals!L38)</f>
        <v/>
      </c>
      <c r="AN32" s="137" t="str">
        <f aca="false">IF(ISBLANK(Actuals!L38),"",'Original Budget'!L38-Actuals!L38)</f>
        <v/>
      </c>
      <c r="AO32" s="137" t="str">
        <f aca="false">IFERROR(IF(ISBLANK(Actuals!L38),"",('Original Budget'!L38-Actuals!L38)/ABS('Original Budget'!L38)),"")</f>
        <v/>
      </c>
      <c r="AP32" s="136" t="n">
        <f aca="false">'Original Budget'!M38</f>
        <v>-250.13</v>
      </c>
      <c r="AQ32" s="136" t="str">
        <f aca="false">IF(ISBLANK(Actuals!M38),"",Actuals!M38)</f>
        <v/>
      </c>
      <c r="AR32" s="137" t="str">
        <f aca="false">IF(ISBLANK(Actuals!M38),"",'Original Budget'!M38-Actuals!M38)</f>
        <v/>
      </c>
      <c r="AS32" s="137" t="str">
        <f aca="false">IFERROR(IF(ISBLANK(Actuals!M38),"",('Original Budget'!M38-Actuals!M38)/ABS('Original Budget'!M38)),"")</f>
        <v/>
      </c>
      <c r="AT32" s="136" t="n">
        <f aca="false">'Original Budget'!N38</f>
        <v>-250.13</v>
      </c>
      <c r="AU32" s="136" t="str">
        <f aca="false">IF(ISBLANK(Actuals!N38),"",Actuals!N38)</f>
        <v/>
      </c>
      <c r="AV32" s="137" t="str">
        <f aca="false">IF(ISBLANK(Actuals!N38),"",'Original Budget'!N38-Actuals!N38)</f>
        <v/>
      </c>
      <c r="AW32" s="137" t="str">
        <f aca="false">IFERROR(IF(ISBLANK(Actuals!N38),"",('Original Budget'!N38-Actuals!N38)/ABS('Original Budget'!N38)),"")</f>
        <v/>
      </c>
      <c r="AX32" s="138" t="n">
        <f aca="false">SUMPRODUCT((Actuals!C38:N38&lt;&gt;"")*('Original Budget'!C38:N38))</f>
        <v>-1500.79</v>
      </c>
      <c r="AY32" s="138" t="n">
        <f aca="false">SUM(Actuals!C38:N38)</f>
        <v>-750.4</v>
      </c>
      <c r="AZ32" s="139" t="n">
        <f aca="false">AX32-AY32</f>
        <v>-750.39</v>
      </c>
    </row>
    <row r="33" customFormat="false" ht="15" hidden="false" customHeight="true" outlineLevel="0" collapsed="false">
      <c r="A33" s="135" t="s">
        <v>78</v>
      </c>
      <c r="B33" s="136" t="n">
        <f aca="false">'Original Budget'!C39</f>
        <v>-1474.63</v>
      </c>
      <c r="C33" s="136" t="n">
        <f aca="false">IF(ISBLANK(Actuals!C39),"",Actuals!C39)</f>
        <v>-1474.63</v>
      </c>
      <c r="D33" s="137" t="n">
        <f aca="false">IF(ISBLANK(Actuals!C39),"",'Original Budget'!C39-Actuals!C39)</f>
        <v>0</v>
      </c>
      <c r="E33" s="137" t="n">
        <f aca="false">IFERROR(IF(ISBLANK(Actuals!C39),"",('Original Budget'!C39-Actuals!C39)/ABS('Original Budget'!C39)),"")</f>
        <v>0</v>
      </c>
      <c r="F33" s="136" t="n">
        <f aca="false">'Original Budget'!D39</f>
        <v>-1449.33</v>
      </c>
      <c r="G33" s="136" t="n">
        <f aca="false">IF(ISBLANK(Actuals!D39),"",Actuals!D39)</f>
        <v>-1449.33</v>
      </c>
      <c r="H33" s="137" t="n">
        <f aca="false">IF(ISBLANK(Actuals!D39),"",'Original Budget'!D39-Actuals!D39)</f>
        <v>0</v>
      </c>
      <c r="I33" s="137" t="n">
        <f aca="false">IFERROR(IF(ISBLANK(Actuals!D39),"",('Original Budget'!D39-Actuals!D39)/ABS('Original Budget'!D39)),"")</f>
        <v>0</v>
      </c>
      <c r="J33" s="136" t="n">
        <f aca="false">'Original Budget'!E39</f>
        <v>-2328.76</v>
      </c>
      <c r="K33" s="136" t="n">
        <f aca="false">IF(ISBLANK(Actuals!E39),"",Actuals!E39)</f>
        <v>-2328.76</v>
      </c>
      <c r="L33" s="137" t="n">
        <f aca="false">IF(ISBLANK(Actuals!E39),"",'Original Budget'!E39-Actuals!E39)</f>
        <v>0</v>
      </c>
      <c r="M33" s="137" t="n">
        <f aca="false">IFERROR(IF(ISBLANK(Actuals!E39),"",('Original Budget'!E39-Actuals!E39)/ABS('Original Budget'!E39)),"")</f>
        <v>0</v>
      </c>
      <c r="N33" s="136" t="n">
        <f aca="false">'Original Budget'!F39</f>
        <v>-1750.91</v>
      </c>
      <c r="O33" s="136" t="n">
        <f aca="false">IF(ISBLANK(Actuals!F39),"",Actuals!F39)</f>
        <v>-2249.56</v>
      </c>
      <c r="P33" s="137" t="n">
        <f aca="false">IF(ISBLANK(Actuals!F39),"",'Original Budget'!F39-Actuals!F39)</f>
        <v>498.65</v>
      </c>
      <c r="Q33" s="137" t="n">
        <f aca="false">IFERROR(IF(ISBLANK(Actuals!F39),"",('Original Budget'!F39-Actuals!F39)/ABS('Original Budget'!F39)),"")</f>
        <v>0.284794763865647</v>
      </c>
      <c r="R33" s="136" t="n">
        <f aca="false">'Original Budget'!G39</f>
        <v>-1750.91</v>
      </c>
      <c r="S33" s="136" t="n">
        <f aca="false">IF(ISBLANK(Actuals!G39),"",Actuals!G39)</f>
        <v>-2759.48</v>
      </c>
      <c r="T33" s="137" t="n">
        <f aca="false">IF(ISBLANK(Actuals!G39),"",'Original Budget'!G39-Actuals!G39)</f>
        <v>1008.57</v>
      </c>
      <c r="U33" s="137" t="n">
        <f aca="false">IFERROR(IF(ISBLANK(Actuals!G39),"",('Original Budget'!G39-Actuals!G39)/ABS('Original Budget'!G39)),"")</f>
        <v>0.576026180671765</v>
      </c>
      <c r="V33" s="136" t="n">
        <f aca="false">'Original Budget'!H39</f>
        <v>-1750.91</v>
      </c>
      <c r="W33" s="136" t="n">
        <f aca="false">IF(ISBLANK(Actuals!H39),"",Actuals!H39)</f>
        <v>-2749.12</v>
      </c>
      <c r="X33" s="137" t="n">
        <f aca="false">IF(ISBLANK(Actuals!H39),"",'Original Budget'!H39-Actuals!H39)</f>
        <v>998.21</v>
      </c>
      <c r="Y33" s="137" t="n">
        <f aca="false">IFERROR(IF(ISBLANK(Actuals!H39),"",('Original Budget'!H39-Actuals!H39)/ABS('Original Budget'!H39)),"")</f>
        <v>0.570109257471829</v>
      </c>
      <c r="Z33" s="136" t="n">
        <f aca="false">'Original Budget'!I39</f>
        <v>-1750.91</v>
      </c>
      <c r="AA33" s="136" t="str">
        <f aca="false">IF(ISBLANK(Actuals!I39),"",Actuals!I39)</f>
        <v/>
      </c>
      <c r="AB33" s="137" t="str">
        <f aca="false">IF(ISBLANK(Actuals!I39),"",'Original Budget'!I39-Actuals!I39)</f>
        <v/>
      </c>
      <c r="AC33" s="137" t="str">
        <f aca="false">IFERROR(IF(ISBLANK(Actuals!I39),"",('Original Budget'!I39-Actuals!I39)/ABS('Original Budget'!I39)),"")</f>
        <v/>
      </c>
      <c r="AD33" s="136" t="n">
        <f aca="false">'Original Budget'!J39</f>
        <v>-1750.91</v>
      </c>
      <c r="AE33" s="136" t="str">
        <f aca="false">IF(ISBLANK(Actuals!J39),"",Actuals!J39)</f>
        <v/>
      </c>
      <c r="AF33" s="137" t="str">
        <f aca="false">IF(ISBLANK(Actuals!J39),"",'Original Budget'!J39-Actuals!J39)</f>
        <v/>
      </c>
      <c r="AG33" s="137" t="str">
        <f aca="false">IFERROR(IF(ISBLANK(Actuals!J39),"",('Original Budget'!J39-Actuals!J39)/ABS('Original Budget'!J39)),"")</f>
        <v/>
      </c>
      <c r="AH33" s="136" t="n">
        <f aca="false">'Original Budget'!K39</f>
        <v>-1750.91</v>
      </c>
      <c r="AI33" s="136" t="str">
        <f aca="false">IF(ISBLANK(Actuals!K39),"",Actuals!K39)</f>
        <v/>
      </c>
      <c r="AJ33" s="137" t="str">
        <f aca="false">IF(ISBLANK(Actuals!K39),"",'Original Budget'!K39-Actuals!K39)</f>
        <v/>
      </c>
      <c r="AK33" s="137" t="str">
        <f aca="false">IFERROR(IF(ISBLANK(Actuals!K39),"",('Original Budget'!K39-Actuals!K39)/ABS('Original Budget'!K39)),"")</f>
        <v/>
      </c>
      <c r="AL33" s="136" t="n">
        <f aca="false">'Original Budget'!L39</f>
        <v>-1750.91</v>
      </c>
      <c r="AM33" s="136" t="str">
        <f aca="false">IF(ISBLANK(Actuals!L39),"",Actuals!L39)</f>
        <v/>
      </c>
      <c r="AN33" s="137" t="str">
        <f aca="false">IF(ISBLANK(Actuals!L39),"",'Original Budget'!L39-Actuals!L39)</f>
        <v/>
      </c>
      <c r="AO33" s="137" t="str">
        <f aca="false">IFERROR(IF(ISBLANK(Actuals!L39),"",('Original Budget'!L39-Actuals!L39)/ABS('Original Budget'!L39)),"")</f>
        <v/>
      </c>
      <c r="AP33" s="136" t="n">
        <f aca="false">'Original Budget'!M39</f>
        <v>-1750.91</v>
      </c>
      <c r="AQ33" s="136" t="str">
        <f aca="false">IF(ISBLANK(Actuals!M39),"",Actuals!M39)</f>
        <v/>
      </c>
      <c r="AR33" s="137" t="str">
        <f aca="false">IF(ISBLANK(Actuals!M39),"",'Original Budget'!M39-Actuals!M39)</f>
        <v/>
      </c>
      <c r="AS33" s="137" t="str">
        <f aca="false">IFERROR(IF(ISBLANK(Actuals!M39),"",('Original Budget'!M39-Actuals!M39)/ABS('Original Budget'!M39)),"")</f>
        <v/>
      </c>
      <c r="AT33" s="136" t="n">
        <f aca="false">'Original Budget'!N39</f>
        <v>-1750.91</v>
      </c>
      <c r="AU33" s="136" t="str">
        <f aca="false">IF(ISBLANK(Actuals!N39),"",Actuals!N39)</f>
        <v/>
      </c>
      <c r="AV33" s="137" t="str">
        <f aca="false">IF(ISBLANK(Actuals!N39),"",'Original Budget'!N39-Actuals!N39)</f>
        <v/>
      </c>
      <c r="AW33" s="137" t="str">
        <f aca="false">IFERROR(IF(ISBLANK(Actuals!N39),"",('Original Budget'!N39-Actuals!N39)/ABS('Original Budget'!N39)),"")</f>
        <v/>
      </c>
      <c r="AX33" s="138" t="n">
        <f aca="false">SUMPRODUCT((Actuals!C39:N39&lt;&gt;"")*('Original Budget'!C39:N39))</f>
        <v>-10505.45</v>
      </c>
      <c r="AY33" s="138" t="n">
        <f aca="false">SUM(Actuals!C39:N39)</f>
        <v>-13010.88</v>
      </c>
      <c r="AZ33" s="139" t="n">
        <f aca="false">AX33-AY33</f>
        <v>2505.43</v>
      </c>
    </row>
    <row r="34" customFormat="false" ht="15" hidden="false" customHeight="true" outlineLevel="0" collapsed="false">
      <c r="A34" s="135" t="s">
        <v>79</v>
      </c>
      <c r="B34" s="136" t="n">
        <f aca="false">'Original Budget'!C40</f>
        <v>-1417.61</v>
      </c>
      <c r="C34" s="136" t="n">
        <f aca="false">IF(ISBLANK(Actuals!C40),"",Actuals!C40)</f>
        <v>-1417.61</v>
      </c>
      <c r="D34" s="137" t="n">
        <f aca="false">IF(ISBLANK(Actuals!C40),"",'Original Budget'!C40-Actuals!C40)</f>
        <v>0</v>
      </c>
      <c r="E34" s="137" t="n">
        <f aca="false">IFERROR(IF(ISBLANK(Actuals!C40),"",('Original Budget'!C40-Actuals!C40)/ABS('Original Budget'!C40)),"")</f>
        <v>0</v>
      </c>
      <c r="F34" s="136" t="n">
        <f aca="false">'Original Budget'!D40</f>
        <v>-2730.36</v>
      </c>
      <c r="G34" s="136" t="n">
        <f aca="false">IF(ISBLANK(Actuals!D40),"",Actuals!D40)</f>
        <v>-2730.36</v>
      </c>
      <c r="H34" s="137" t="n">
        <f aca="false">IF(ISBLANK(Actuals!D40),"",'Original Budget'!D40-Actuals!D40)</f>
        <v>0</v>
      </c>
      <c r="I34" s="137" t="n">
        <f aca="false">IFERROR(IF(ISBLANK(Actuals!D40),"",('Original Budget'!D40-Actuals!D40)/ABS('Original Budget'!D40)),"")</f>
        <v>0</v>
      </c>
      <c r="J34" s="136" t="n">
        <f aca="false">'Original Budget'!E40</f>
        <v>-1818.05</v>
      </c>
      <c r="K34" s="136" t="n">
        <f aca="false">IF(ISBLANK(Actuals!E40),"",Actuals!E40)</f>
        <v>-1818.05</v>
      </c>
      <c r="L34" s="137" t="n">
        <f aca="false">IF(ISBLANK(Actuals!E40),"",'Original Budget'!E40-Actuals!E40)</f>
        <v>0</v>
      </c>
      <c r="M34" s="137" t="n">
        <f aca="false">IFERROR(IF(ISBLANK(Actuals!E40),"",('Original Budget'!E40-Actuals!E40)/ABS('Original Budget'!E40)),"")</f>
        <v>0</v>
      </c>
      <c r="N34" s="136" t="n">
        <f aca="false">'Original Budget'!F40</f>
        <v>-1988.67</v>
      </c>
      <c r="O34" s="136" t="n">
        <f aca="false">IF(ISBLANK(Actuals!F40),"",Actuals!F40)</f>
        <v>-3307.74</v>
      </c>
      <c r="P34" s="137" t="n">
        <f aca="false">IF(ISBLANK(Actuals!F40),"",'Original Budget'!F40-Actuals!F40)</f>
        <v>1319.07</v>
      </c>
      <c r="Q34" s="137" t="n">
        <f aca="false">IFERROR(IF(ISBLANK(Actuals!F40),"",('Original Budget'!F40-Actuals!F40)/ABS('Original Budget'!F40)),"")</f>
        <v>0.663292552308829</v>
      </c>
      <c r="R34" s="136" t="n">
        <f aca="false">'Original Budget'!G40</f>
        <v>-1988.67</v>
      </c>
      <c r="S34" s="136" t="n">
        <f aca="false">IF(ISBLANK(Actuals!G40),"",Actuals!G40)</f>
        <v>-1257.74</v>
      </c>
      <c r="T34" s="137" t="n">
        <f aca="false">IF(ISBLANK(Actuals!G40),"",'Original Budget'!G40-Actuals!G40)</f>
        <v>-730.93</v>
      </c>
      <c r="U34" s="137" t="n">
        <f aca="false">IFERROR(IF(ISBLANK(Actuals!G40),"",('Original Budget'!G40-Actuals!G40)/ABS('Original Budget'!G40)),"")</f>
        <v>-0.367547154630985</v>
      </c>
      <c r="V34" s="136" t="n">
        <f aca="false">'Original Budget'!H40</f>
        <v>-1988.67</v>
      </c>
      <c r="W34" s="136" t="n">
        <f aca="false">IF(ISBLANK(Actuals!H40),"",Actuals!H40)</f>
        <v>-3372.74</v>
      </c>
      <c r="X34" s="137" t="n">
        <f aca="false">IF(ISBLANK(Actuals!H40),"",'Original Budget'!H40-Actuals!H40)</f>
        <v>1384.07</v>
      </c>
      <c r="Y34" s="137" t="n">
        <f aca="false">IFERROR(IF(ISBLANK(Actuals!H40),"",('Original Budget'!H40-Actuals!H40)/ABS('Original Budget'!H40)),"")</f>
        <v>0.695977713748385</v>
      </c>
      <c r="Z34" s="136" t="n">
        <f aca="false">'Original Budget'!I40</f>
        <v>-1988.67</v>
      </c>
      <c r="AA34" s="136" t="str">
        <f aca="false">IF(ISBLANK(Actuals!I40),"",Actuals!I40)</f>
        <v/>
      </c>
      <c r="AB34" s="137" t="str">
        <f aca="false">IF(ISBLANK(Actuals!I40),"",'Original Budget'!I40-Actuals!I40)</f>
        <v/>
      </c>
      <c r="AC34" s="137" t="str">
        <f aca="false">IFERROR(IF(ISBLANK(Actuals!I40),"",('Original Budget'!I40-Actuals!I40)/ABS('Original Budget'!I40)),"")</f>
        <v/>
      </c>
      <c r="AD34" s="136" t="n">
        <f aca="false">'Original Budget'!J40</f>
        <v>-1988.67</v>
      </c>
      <c r="AE34" s="136" t="str">
        <f aca="false">IF(ISBLANK(Actuals!J40),"",Actuals!J40)</f>
        <v/>
      </c>
      <c r="AF34" s="137" t="str">
        <f aca="false">IF(ISBLANK(Actuals!J40),"",'Original Budget'!J40-Actuals!J40)</f>
        <v/>
      </c>
      <c r="AG34" s="137" t="str">
        <f aca="false">IFERROR(IF(ISBLANK(Actuals!J40),"",('Original Budget'!J40-Actuals!J40)/ABS('Original Budget'!J40)),"")</f>
        <v/>
      </c>
      <c r="AH34" s="136" t="n">
        <f aca="false">'Original Budget'!K40</f>
        <v>-1988.67</v>
      </c>
      <c r="AI34" s="136" t="str">
        <f aca="false">IF(ISBLANK(Actuals!K40),"",Actuals!K40)</f>
        <v/>
      </c>
      <c r="AJ34" s="137" t="str">
        <f aca="false">IF(ISBLANK(Actuals!K40),"",'Original Budget'!K40-Actuals!K40)</f>
        <v/>
      </c>
      <c r="AK34" s="137" t="str">
        <f aca="false">IFERROR(IF(ISBLANK(Actuals!K40),"",('Original Budget'!K40-Actuals!K40)/ABS('Original Budget'!K40)),"")</f>
        <v/>
      </c>
      <c r="AL34" s="136" t="n">
        <f aca="false">'Original Budget'!L40</f>
        <v>-1988.67</v>
      </c>
      <c r="AM34" s="136" t="str">
        <f aca="false">IF(ISBLANK(Actuals!L40),"",Actuals!L40)</f>
        <v/>
      </c>
      <c r="AN34" s="137" t="str">
        <f aca="false">IF(ISBLANK(Actuals!L40),"",'Original Budget'!L40-Actuals!L40)</f>
        <v/>
      </c>
      <c r="AO34" s="137" t="str">
        <f aca="false">IFERROR(IF(ISBLANK(Actuals!L40),"",('Original Budget'!L40-Actuals!L40)/ABS('Original Budget'!L40)),"")</f>
        <v/>
      </c>
      <c r="AP34" s="136" t="n">
        <f aca="false">'Original Budget'!M40</f>
        <v>-1988.67</v>
      </c>
      <c r="AQ34" s="136" t="str">
        <f aca="false">IF(ISBLANK(Actuals!M40),"",Actuals!M40)</f>
        <v/>
      </c>
      <c r="AR34" s="137" t="str">
        <f aca="false">IF(ISBLANK(Actuals!M40),"",'Original Budget'!M40-Actuals!M40)</f>
        <v/>
      </c>
      <c r="AS34" s="137" t="str">
        <f aca="false">IFERROR(IF(ISBLANK(Actuals!M40),"",('Original Budget'!M40-Actuals!M40)/ABS('Original Budget'!M40)),"")</f>
        <v/>
      </c>
      <c r="AT34" s="136" t="n">
        <f aca="false">'Original Budget'!N40</f>
        <v>-1988.67</v>
      </c>
      <c r="AU34" s="136" t="str">
        <f aca="false">IF(ISBLANK(Actuals!N40),"",Actuals!N40)</f>
        <v/>
      </c>
      <c r="AV34" s="137" t="str">
        <f aca="false">IF(ISBLANK(Actuals!N40),"",'Original Budget'!N40-Actuals!N40)</f>
        <v/>
      </c>
      <c r="AW34" s="137" t="str">
        <f aca="false">IFERROR(IF(ISBLANK(Actuals!N40),"",('Original Budget'!N40-Actuals!N40)/ABS('Original Budget'!N40)),"")</f>
        <v/>
      </c>
      <c r="AX34" s="138" t="n">
        <f aca="false">SUMPRODUCT((Actuals!C40:N40&lt;&gt;"")*('Original Budget'!C40:N40))</f>
        <v>-11932.03</v>
      </c>
      <c r="AY34" s="138" t="n">
        <f aca="false">SUM(Actuals!C40:N40)</f>
        <v>-13904.24</v>
      </c>
      <c r="AZ34" s="139" t="n">
        <f aca="false">AX34-AY34</f>
        <v>1972.21</v>
      </c>
    </row>
    <row r="35" customFormat="false" ht="15" hidden="false" customHeight="true" outlineLevel="0" collapsed="false">
      <c r="A35" s="135" t="s">
        <v>80</v>
      </c>
      <c r="B35" s="136" t="n">
        <f aca="false">'Original Budget'!C41</f>
        <v>0</v>
      </c>
      <c r="C35" s="136" t="n">
        <f aca="false">IF(ISBLANK(Actuals!C41),"",Actuals!C41)</f>
        <v>0</v>
      </c>
      <c r="D35" s="137" t="n">
        <f aca="false">IF(ISBLANK(Actuals!C41),"",'Original Budget'!C41-Actuals!C41)</f>
        <v>0</v>
      </c>
      <c r="E35" s="137" t="str">
        <f aca="false">IFERROR(IF(ISBLANK(Actuals!C41),"",('Original Budget'!C41-Actuals!C41)/ABS('Original Budget'!C41)),"")</f>
        <v/>
      </c>
      <c r="F35" s="136" t="n">
        <f aca="false">'Original Budget'!D41</f>
        <v>0</v>
      </c>
      <c r="G35" s="136" t="n">
        <f aca="false">IF(ISBLANK(Actuals!D41),"",Actuals!D41)</f>
        <v>0</v>
      </c>
      <c r="H35" s="137" t="n">
        <f aca="false">IF(ISBLANK(Actuals!D41),"",'Original Budget'!D41-Actuals!D41)</f>
        <v>0</v>
      </c>
      <c r="I35" s="137" t="str">
        <f aca="false">IFERROR(IF(ISBLANK(Actuals!D41),"",('Original Budget'!D41-Actuals!D41)/ABS('Original Budget'!D41)),"")</f>
        <v/>
      </c>
      <c r="J35" s="136" t="n">
        <f aca="false">'Original Budget'!E41</f>
        <v>-41990</v>
      </c>
      <c r="K35" s="136" t="n">
        <f aca="false">IF(ISBLANK(Actuals!E41),"",Actuals!E41)</f>
        <v>-41990</v>
      </c>
      <c r="L35" s="137" t="n">
        <f aca="false">IF(ISBLANK(Actuals!E41),"",'Original Budget'!E41-Actuals!E41)</f>
        <v>0</v>
      </c>
      <c r="M35" s="137" t="n">
        <f aca="false">IFERROR(IF(ISBLANK(Actuals!E41),"",('Original Budget'!E41-Actuals!E41)/ABS('Original Budget'!E41)),"")</f>
        <v>0</v>
      </c>
      <c r="N35" s="136" t="n">
        <f aca="false">'Original Budget'!F41</f>
        <v>0</v>
      </c>
      <c r="O35" s="136" t="n">
        <f aca="false">IF(ISBLANK(Actuals!F41),"",Actuals!F41)</f>
        <v>-42500</v>
      </c>
      <c r="P35" s="137" t="n">
        <f aca="false">IF(ISBLANK(Actuals!F41),"",'Original Budget'!F41-Actuals!F41)</f>
        <v>42500</v>
      </c>
      <c r="Q35" s="137" t="str">
        <f aca="false">IFERROR(IF(ISBLANK(Actuals!F41),"",('Original Budget'!F41-Actuals!F41)/ABS('Original Budget'!F41)),"")</f>
        <v/>
      </c>
      <c r="R35" s="136" t="n">
        <f aca="false">'Original Budget'!G41</f>
        <v>-44250</v>
      </c>
      <c r="S35" s="136" t="n">
        <f aca="false">IF(ISBLANK(Actuals!G41),"",Actuals!G41)</f>
        <v>-21000</v>
      </c>
      <c r="T35" s="137" t="n">
        <f aca="false">IF(ISBLANK(Actuals!G41),"",'Original Budget'!G41-Actuals!G41)</f>
        <v>-23250</v>
      </c>
      <c r="U35" s="137" t="n">
        <f aca="false">IFERROR(IF(ISBLANK(Actuals!G41),"",('Original Budget'!G41-Actuals!G41)/ABS('Original Budget'!G41)),"")</f>
        <v>-0.525423728813559</v>
      </c>
      <c r="V35" s="136" t="n">
        <f aca="false">'Original Budget'!H41</f>
        <v>-45000</v>
      </c>
      <c r="W35" s="136" t="n">
        <f aca="false">IF(ISBLANK(Actuals!H41),"",Actuals!H41)</f>
        <v>0</v>
      </c>
      <c r="X35" s="137" t="n">
        <f aca="false">IF(ISBLANK(Actuals!H41),"",'Original Budget'!H41-Actuals!H41)</f>
        <v>-45000</v>
      </c>
      <c r="Y35" s="137" t="n">
        <f aca="false">IFERROR(IF(ISBLANK(Actuals!H41),"",('Original Budget'!H41-Actuals!H41)/ABS('Original Budget'!H41)),"")</f>
        <v>-1</v>
      </c>
      <c r="Z35" s="136" t="n">
        <f aca="false">'Original Budget'!I41</f>
        <v>-19500</v>
      </c>
      <c r="AA35" s="136" t="str">
        <f aca="false">IF(ISBLANK(Actuals!I41),"",Actuals!I41)</f>
        <v/>
      </c>
      <c r="AB35" s="137" t="str">
        <f aca="false">IF(ISBLANK(Actuals!I41),"",'Original Budget'!I41-Actuals!I41)</f>
        <v/>
      </c>
      <c r="AC35" s="137" t="str">
        <f aca="false">IFERROR(IF(ISBLANK(Actuals!I41),"",('Original Budget'!I41-Actuals!I41)/ABS('Original Budget'!I41)),"")</f>
        <v/>
      </c>
      <c r="AD35" s="136" t="n">
        <f aca="false">'Original Budget'!J41</f>
        <v>0</v>
      </c>
      <c r="AE35" s="136" t="str">
        <f aca="false">IF(ISBLANK(Actuals!J41),"",Actuals!J41)</f>
        <v/>
      </c>
      <c r="AF35" s="137" t="str">
        <f aca="false">IF(ISBLANK(Actuals!J41),"",'Original Budget'!J41-Actuals!J41)</f>
        <v/>
      </c>
      <c r="AG35" s="137" t="str">
        <f aca="false">IFERROR(IF(ISBLANK(Actuals!J41),"",('Original Budget'!J41-Actuals!J41)/ABS('Original Budget'!J41)),"")</f>
        <v/>
      </c>
      <c r="AH35" s="136" t="n">
        <f aca="false">'Original Budget'!K41</f>
        <v>0</v>
      </c>
      <c r="AI35" s="136" t="str">
        <f aca="false">IF(ISBLANK(Actuals!K41),"",Actuals!K41)</f>
        <v/>
      </c>
      <c r="AJ35" s="137" t="str">
        <f aca="false">IF(ISBLANK(Actuals!K41),"",'Original Budget'!K41-Actuals!K41)</f>
        <v/>
      </c>
      <c r="AK35" s="137" t="str">
        <f aca="false">IFERROR(IF(ISBLANK(Actuals!K41),"",('Original Budget'!K41-Actuals!K41)/ABS('Original Budget'!K41)),"")</f>
        <v/>
      </c>
      <c r="AL35" s="136" t="n">
        <f aca="false">'Original Budget'!L41</f>
        <v>-37500</v>
      </c>
      <c r="AM35" s="136" t="str">
        <f aca="false">IF(ISBLANK(Actuals!L41),"",Actuals!L41)</f>
        <v/>
      </c>
      <c r="AN35" s="137" t="str">
        <f aca="false">IF(ISBLANK(Actuals!L41),"",'Original Budget'!L41-Actuals!L41)</f>
        <v/>
      </c>
      <c r="AO35" s="137" t="str">
        <f aca="false">IFERROR(IF(ISBLANK(Actuals!L41),"",('Original Budget'!L41-Actuals!L41)/ABS('Original Budget'!L41)),"")</f>
        <v/>
      </c>
      <c r="AP35" s="136" t="n">
        <f aca="false">'Original Budget'!M41</f>
        <v>-54000</v>
      </c>
      <c r="AQ35" s="136" t="str">
        <f aca="false">IF(ISBLANK(Actuals!M41),"",Actuals!M41)</f>
        <v/>
      </c>
      <c r="AR35" s="137" t="str">
        <f aca="false">IF(ISBLANK(Actuals!M41),"",'Original Budget'!M41-Actuals!M41)</f>
        <v/>
      </c>
      <c r="AS35" s="137" t="str">
        <f aca="false">IFERROR(IF(ISBLANK(Actuals!M41),"",('Original Budget'!M41-Actuals!M41)/ABS('Original Budget'!M41)),"")</f>
        <v/>
      </c>
      <c r="AT35" s="136" t="n">
        <f aca="false">'Original Budget'!N41</f>
        <v>0</v>
      </c>
      <c r="AU35" s="136" t="str">
        <f aca="false">IF(ISBLANK(Actuals!N41),"",Actuals!N41)</f>
        <v/>
      </c>
      <c r="AV35" s="137" t="str">
        <f aca="false">IF(ISBLANK(Actuals!N41),"",'Original Budget'!N41-Actuals!N41)</f>
        <v/>
      </c>
      <c r="AW35" s="137" t="str">
        <f aca="false">IFERROR(IF(ISBLANK(Actuals!N41),"",('Original Budget'!N41-Actuals!N41)/ABS('Original Budget'!N41)),"")</f>
        <v/>
      </c>
      <c r="AX35" s="138" t="n">
        <f aca="false">SUMPRODUCT((Actuals!C41:N41&lt;&gt;"")*('Original Budget'!C41:N41))</f>
        <v>-131240</v>
      </c>
      <c r="AY35" s="138" t="n">
        <f aca="false">SUM(Actuals!C41:N41)</f>
        <v>-105490</v>
      </c>
      <c r="AZ35" s="139" t="n">
        <f aca="false">AX35-AY35</f>
        <v>-25750</v>
      </c>
    </row>
    <row r="36" customFormat="false" ht="15" hidden="false" customHeight="true" outlineLevel="0" collapsed="false">
      <c r="A36" s="135" t="s">
        <v>81</v>
      </c>
      <c r="B36" s="136" t="n">
        <f aca="false">'Original Budget'!C42</f>
        <v>-165</v>
      </c>
      <c r="C36" s="136" t="n">
        <f aca="false">IF(ISBLANK(Actuals!C42),"",Actuals!C42)</f>
        <v>-165</v>
      </c>
      <c r="D36" s="137" t="n">
        <f aca="false">IF(ISBLANK(Actuals!C42),"",'Original Budget'!C42-Actuals!C42)</f>
        <v>0</v>
      </c>
      <c r="E36" s="137" t="n">
        <f aca="false">IFERROR(IF(ISBLANK(Actuals!C42),"",('Original Budget'!C42-Actuals!C42)/ABS('Original Budget'!C42)),"")</f>
        <v>0</v>
      </c>
      <c r="F36" s="136" t="n">
        <f aca="false">'Original Budget'!D42</f>
        <v>0</v>
      </c>
      <c r="G36" s="136" t="n">
        <f aca="false">IF(ISBLANK(Actuals!D42),"",Actuals!D42)</f>
        <v>0</v>
      </c>
      <c r="H36" s="137" t="n">
        <f aca="false">IF(ISBLANK(Actuals!D42),"",'Original Budget'!D42-Actuals!D42)</f>
        <v>0</v>
      </c>
      <c r="I36" s="137" t="str">
        <f aca="false">IFERROR(IF(ISBLANK(Actuals!D42),"",('Original Budget'!D42-Actuals!D42)/ABS('Original Budget'!D42)),"")</f>
        <v/>
      </c>
      <c r="J36" s="136" t="n">
        <f aca="false">'Original Budget'!E42</f>
        <v>0</v>
      </c>
      <c r="K36" s="136" t="n">
        <f aca="false">IF(ISBLANK(Actuals!E42),"",Actuals!E42)</f>
        <v>0</v>
      </c>
      <c r="L36" s="137" t="n">
        <f aca="false">IF(ISBLANK(Actuals!E42),"",'Original Budget'!E42-Actuals!E42)</f>
        <v>0</v>
      </c>
      <c r="M36" s="137" t="str">
        <f aca="false">IFERROR(IF(ISBLANK(Actuals!E42),"",('Original Budget'!E42-Actuals!E42)/ABS('Original Budget'!E42)),"")</f>
        <v/>
      </c>
      <c r="N36" s="136" t="n">
        <f aca="false">'Original Budget'!F42</f>
        <v>-55</v>
      </c>
      <c r="O36" s="136" t="n">
        <f aca="false">IF(ISBLANK(Actuals!F42),"",Actuals!F42)</f>
        <v>-165</v>
      </c>
      <c r="P36" s="137" t="n">
        <f aca="false">IF(ISBLANK(Actuals!F42),"",'Original Budget'!F42-Actuals!F42)</f>
        <v>110</v>
      </c>
      <c r="Q36" s="137" t="n">
        <f aca="false">IFERROR(IF(ISBLANK(Actuals!F42),"",('Original Budget'!F42-Actuals!F42)/ABS('Original Budget'!F42)),"")</f>
        <v>2</v>
      </c>
      <c r="R36" s="136" t="n">
        <f aca="false">'Original Budget'!G42</f>
        <v>-55</v>
      </c>
      <c r="S36" s="136" t="n">
        <f aca="false">IF(ISBLANK(Actuals!G42),"",Actuals!G42)</f>
        <v>0</v>
      </c>
      <c r="T36" s="137" t="n">
        <f aca="false">IF(ISBLANK(Actuals!G42),"",'Original Budget'!G42-Actuals!G42)</f>
        <v>-55</v>
      </c>
      <c r="U36" s="137" t="n">
        <f aca="false">IFERROR(IF(ISBLANK(Actuals!G42),"",('Original Budget'!G42-Actuals!G42)/ABS('Original Budget'!G42)),"")</f>
        <v>-1</v>
      </c>
      <c r="V36" s="136" t="n">
        <f aca="false">'Original Budget'!H42</f>
        <v>-55</v>
      </c>
      <c r="W36" s="136" t="n">
        <f aca="false">IF(ISBLANK(Actuals!H42),"",Actuals!H42)</f>
        <v>-165</v>
      </c>
      <c r="X36" s="137" t="n">
        <f aca="false">IF(ISBLANK(Actuals!H42),"",'Original Budget'!H42-Actuals!H42)</f>
        <v>110</v>
      </c>
      <c r="Y36" s="137" t="n">
        <f aca="false">IFERROR(IF(ISBLANK(Actuals!H42),"",('Original Budget'!H42-Actuals!H42)/ABS('Original Budget'!H42)),"")</f>
        <v>2</v>
      </c>
      <c r="Z36" s="136" t="n">
        <f aca="false">'Original Budget'!I42</f>
        <v>-55</v>
      </c>
      <c r="AA36" s="136" t="str">
        <f aca="false">IF(ISBLANK(Actuals!I42),"",Actuals!I42)</f>
        <v/>
      </c>
      <c r="AB36" s="137" t="str">
        <f aca="false">IF(ISBLANK(Actuals!I42),"",'Original Budget'!I42-Actuals!I42)</f>
        <v/>
      </c>
      <c r="AC36" s="137" t="str">
        <f aca="false">IFERROR(IF(ISBLANK(Actuals!I42),"",('Original Budget'!I42-Actuals!I42)/ABS('Original Budget'!I42)),"")</f>
        <v/>
      </c>
      <c r="AD36" s="136" t="n">
        <f aca="false">'Original Budget'!J42</f>
        <v>-55</v>
      </c>
      <c r="AE36" s="136" t="str">
        <f aca="false">IF(ISBLANK(Actuals!J42),"",Actuals!J42)</f>
        <v/>
      </c>
      <c r="AF36" s="137" t="str">
        <f aca="false">IF(ISBLANK(Actuals!J42),"",'Original Budget'!J42-Actuals!J42)</f>
        <v/>
      </c>
      <c r="AG36" s="137" t="str">
        <f aca="false">IFERROR(IF(ISBLANK(Actuals!J42),"",('Original Budget'!J42-Actuals!J42)/ABS('Original Budget'!J42)),"")</f>
        <v/>
      </c>
      <c r="AH36" s="136" t="n">
        <f aca="false">'Original Budget'!K42</f>
        <v>-55</v>
      </c>
      <c r="AI36" s="136" t="str">
        <f aca="false">IF(ISBLANK(Actuals!K42),"",Actuals!K42)</f>
        <v/>
      </c>
      <c r="AJ36" s="137" t="str">
        <f aca="false">IF(ISBLANK(Actuals!K42),"",'Original Budget'!K42-Actuals!K42)</f>
        <v/>
      </c>
      <c r="AK36" s="137" t="str">
        <f aca="false">IFERROR(IF(ISBLANK(Actuals!K42),"",('Original Budget'!K42-Actuals!K42)/ABS('Original Budget'!K42)),"")</f>
        <v/>
      </c>
      <c r="AL36" s="136" t="n">
        <f aca="false">'Original Budget'!L42</f>
        <v>-55</v>
      </c>
      <c r="AM36" s="136" t="str">
        <f aca="false">IF(ISBLANK(Actuals!L42),"",Actuals!L42)</f>
        <v/>
      </c>
      <c r="AN36" s="137" t="str">
        <f aca="false">IF(ISBLANK(Actuals!L42),"",'Original Budget'!L42-Actuals!L42)</f>
        <v/>
      </c>
      <c r="AO36" s="137" t="str">
        <f aca="false">IFERROR(IF(ISBLANK(Actuals!L42),"",('Original Budget'!L42-Actuals!L42)/ABS('Original Budget'!L42)),"")</f>
        <v/>
      </c>
      <c r="AP36" s="136" t="n">
        <f aca="false">'Original Budget'!M42</f>
        <v>-55</v>
      </c>
      <c r="AQ36" s="136" t="str">
        <f aca="false">IF(ISBLANK(Actuals!M42),"",Actuals!M42)</f>
        <v/>
      </c>
      <c r="AR36" s="137" t="str">
        <f aca="false">IF(ISBLANK(Actuals!M42),"",'Original Budget'!M42-Actuals!M42)</f>
        <v/>
      </c>
      <c r="AS36" s="137" t="str">
        <f aca="false">IFERROR(IF(ISBLANK(Actuals!M42),"",('Original Budget'!M42-Actuals!M42)/ABS('Original Budget'!M42)),"")</f>
        <v/>
      </c>
      <c r="AT36" s="136" t="n">
        <f aca="false">'Original Budget'!N42</f>
        <v>-55</v>
      </c>
      <c r="AU36" s="136" t="str">
        <f aca="false">IF(ISBLANK(Actuals!N42),"",Actuals!N42)</f>
        <v/>
      </c>
      <c r="AV36" s="137" t="str">
        <f aca="false">IF(ISBLANK(Actuals!N42),"",'Original Budget'!N42-Actuals!N42)</f>
        <v/>
      </c>
      <c r="AW36" s="137" t="str">
        <f aca="false">IFERROR(IF(ISBLANK(Actuals!N42),"",('Original Budget'!N42-Actuals!N42)/ABS('Original Budget'!N42)),"")</f>
        <v/>
      </c>
      <c r="AX36" s="138" t="n">
        <f aca="false">SUMPRODUCT((Actuals!C42:N42&lt;&gt;"")*('Original Budget'!C42:N42))</f>
        <v>-330</v>
      </c>
      <c r="AY36" s="138" t="n">
        <f aca="false">SUM(Actuals!C42:N42)</f>
        <v>-495</v>
      </c>
      <c r="AZ36" s="139" t="n">
        <f aca="false">AX36-AY36</f>
        <v>165</v>
      </c>
    </row>
    <row r="37" customFormat="false" ht="15" hidden="false" customHeight="true" outlineLevel="0" collapsed="false">
      <c r="A37" s="135" t="s">
        <v>82</v>
      </c>
      <c r="B37" s="136" t="n">
        <f aca="false">'Original Budget'!C43</f>
        <v>0</v>
      </c>
      <c r="C37" s="136" t="n">
        <f aca="false">IF(ISBLANK(Actuals!C43),"",Actuals!C43)</f>
        <v>0</v>
      </c>
      <c r="D37" s="137" t="n">
        <f aca="false">IF(ISBLANK(Actuals!C43),"",'Original Budget'!C43-Actuals!C43)</f>
        <v>0</v>
      </c>
      <c r="E37" s="137" t="str">
        <f aca="false">IFERROR(IF(ISBLANK(Actuals!C43),"",('Original Budget'!C43-Actuals!C43)/ABS('Original Budget'!C43)),"")</f>
        <v/>
      </c>
      <c r="F37" s="136" t="n">
        <f aca="false">'Original Budget'!D43</f>
        <v>0</v>
      </c>
      <c r="G37" s="136" t="n">
        <f aca="false">IF(ISBLANK(Actuals!D43),"",Actuals!D43)</f>
        <v>0</v>
      </c>
      <c r="H37" s="137" t="n">
        <f aca="false">IF(ISBLANK(Actuals!D43),"",'Original Budget'!D43-Actuals!D43)</f>
        <v>0</v>
      </c>
      <c r="I37" s="137" t="str">
        <f aca="false">IFERROR(IF(ISBLANK(Actuals!D43),"",('Original Budget'!D43-Actuals!D43)/ABS('Original Budget'!D43)),"")</f>
        <v/>
      </c>
      <c r="J37" s="136" t="n">
        <f aca="false">'Original Budget'!E43</f>
        <v>0</v>
      </c>
      <c r="K37" s="136" t="n">
        <f aca="false">IF(ISBLANK(Actuals!E43),"",Actuals!E43)</f>
        <v>0</v>
      </c>
      <c r="L37" s="137" t="n">
        <f aca="false">IF(ISBLANK(Actuals!E43),"",'Original Budget'!E43-Actuals!E43)</f>
        <v>0</v>
      </c>
      <c r="M37" s="137" t="str">
        <f aca="false">IFERROR(IF(ISBLANK(Actuals!E43),"",('Original Budget'!E43-Actuals!E43)/ABS('Original Budget'!E43)),"")</f>
        <v/>
      </c>
      <c r="N37" s="136" t="n">
        <f aca="false">'Original Budget'!F43</f>
        <v>0</v>
      </c>
      <c r="O37" s="136" t="n">
        <f aca="false">IF(ISBLANK(Actuals!F43),"",Actuals!F43)</f>
        <v>-1036.49</v>
      </c>
      <c r="P37" s="137" t="n">
        <f aca="false">IF(ISBLANK(Actuals!F43),"",'Original Budget'!F43-Actuals!F43)</f>
        <v>1036.49</v>
      </c>
      <c r="Q37" s="137" t="str">
        <f aca="false">IFERROR(IF(ISBLANK(Actuals!F43),"",('Original Budget'!F43-Actuals!F43)/ABS('Original Budget'!F43)),"")</f>
        <v/>
      </c>
      <c r="R37" s="136" t="n">
        <f aca="false">'Original Budget'!G43</f>
        <v>0</v>
      </c>
      <c r="S37" s="136" t="n">
        <f aca="false">IF(ISBLANK(Actuals!G43),"",Actuals!G43)</f>
        <v>0</v>
      </c>
      <c r="T37" s="137" t="n">
        <f aca="false">IF(ISBLANK(Actuals!G43),"",'Original Budget'!G43-Actuals!G43)</f>
        <v>0</v>
      </c>
      <c r="U37" s="137" t="str">
        <f aca="false">IFERROR(IF(ISBLANK(Actuals!G43),"",('Original Budget'!G43-Actuals!G43)/ABS('Original Budget'!G43)),"")</f>
        <v/>
      </c>
      <c r="V37" s="136" t="n">
        <f aca="false">'Original Budget'!H43</f>
        <v>0</v>
      </c>
      <c r="W37" s="136" t="n">
        <f aca="false">IF(ISBLANK(Actuals!H43),"",Actuals!H43)</f>
        <v>-4308.58</v>
      </c>
      <c r="X37" s="137" t="n">
        <f aca="false">IF(ISBLANK(Actuals!H43),"",'Original Budget'!H43-Actuals!H43)</f>
        <v>4308.58</v>
      </c>
      <c r="Y37" s="137" t="str">
        <f aca="false">IFERROR(IF(ISBLANK(Actuals!H43),"",('Original Budget'!H43-Actuals!H43)/ABS('Original Budget'!H43)),"")</f>
        <v/>
      </c>
      <c r="Z37" s="136" t="n">
        <f aca="false">'Original Budget'!I43</f>
        <v>0</v>
      </c>
      <c r="AA37" s="136" t="str">
        <f aca="false">IF(ISBLANK(Actuals!I43),"",Actuals!I43)</f>
        <v/>
      </c>
      <c r="AB37" s="137" t="str">
        <f aca="false">IF(ISBLANK(Actuals!I43),"",'Original Budget'!I43-Actuals!I43)</f>
        <v/>
      </c>
      <c r="AC37" s="137" t="str">
        <f aca="false">IFERROR(IF(ISBLANK(Actuals!I43),"",('Original Budget'!I43-Actuals!I43)/ABS('Original Budget'!I43)),"")</f>
        <v/>
      </c>
      <c r="AD37" s="136" t="n">
        <f aca="false">'Original Budget'!J43</f>
        <v>0</v>
      </c>
      <c r="AE37" s="136" t="str">
        <f aca="false">IF(ISBLANK(Actuals!J43),"",Actuals!J43)</f>
        <v/>
      </c>
      <c r="AF37" s="137" t="str">
        <f aca="false">IF(ISBLANK(Actuals!J43),"",'Original Budget'!J43-Actuals!J43)</f>
        <v/>
      </c>
      <c r="AG37" s="137" t="str">
        <f aca="false">IFERROR(IF(ISBLANK(Actuals!J43),"",('Original Budget'!J43-Actuals!J43)/ABS('Original Budget'!J43)),"")</f>
        <v/>
      </c>
      <c r="AH37" s="136" t="n">
        <f aca="false">'Original Budget'!K43</f>
        <v>0</v>
      </c>
      <c r="AI37" s="136" t="str">
        <f aca="false">IF(ISBLANK(Actuals!K43),"",Actuals!K43)</f>
        <v/>
      </c>
      <c r="AJ37" s="137" t="str">
        <f aca="false">IF(ISBLANK(Actuals!K43),"",'Original Budget'!K43-Actuals!K43)</f>
        <v/>
      </c>
      <c r="AK37" s="137" t="str">
        <f aca="false">IFERROR(IF(ISBLANK(Actuals!K43),"",('Original Budget'!K43-Actuals!K43)/ABS('Original Budget'!K43)),"")</f>
        <v/>
      </c>
      <c r="AL37" s="136" t="n">
        <f aca="false">'Original Budget'!L43</f>
        <v>0</v>
      </c>
      <c r="AM37" s="136" t="str">
        <f aca="false">IF(ISBLANK(Actuals!L43),"",Actuals!L43)</f>
        <v/>
      </c>
      <c r="AN37" s="137" t="str">
        <f aca="false">IF(ISBLANK(Actuals!L43),"",'Original Budget'!L43-Actuals!L43)</f>
        <v/>
      </c>
      <c r="AO37" s="137" t="str">
        <f aca="false">IFERROR(IF(ISBLANK(Actuals!L43),"",('Original Budget'!L43-Actuals!L43)/ABS('Original Budget'!L43)),"")</f>
        <v/>
      </c>
      <c r="AP37" s="136" t="n">
        <f aca="false">'Original Budget'!M43</f>
        <v>0</v>
      </c>
      <c r="AQ37" s="136" t="str">
        <f aca="false">IF(ISBLANK(Actuals!M43),"",Actuals!M43)</f>
        <v/>
      </c>
      <c r="AR37" s="137" t="str">
        <f aca="false">IF(ISBLANK(Actuals!M43),"",'Original Budget'!M43-Actuals!M43)</f>
        <v/>
      </c>
      <c r="AS37" s="137" t="str">
        <f aca="false">IFERROR(IF(ISBLANK(Actuals!M43),"",('Original Budget'!M43-Actuals!M43)/ABS('Original Budget'!M43)),"")</f>
        <v/>
      </c>
      <c r="AT37" s="136" t="n">
        <f aca="false">'Original Budget'!N43</f>
        <v>0</v>
      </c>
      <c r="AU37" s="136" t="str">
        <f aca="false">IF(ISBLANK(Actuals!N43),"",Actuals!N43)</f>
        <v/>
      </c>
      <c r="AV37" s="137" t="str">
        <f aca="false">IF(ISBLANK(Actuals!N43),"",'Original Budget'!N43-Actuals!N43)</f>
        <v/>
      </c>
      <c r="AW37" s="137" t="str">
        <f aca="false">IFERROR(IF(ISBLANK(Actuals!N43),"",('Original Budget'!N43-Actuals!N43)/ABS('Original Budget'!N43)),"")</f>
        <v/>
      </c>
      <c r="AX37" s="138" t="n">
        <f aca="false">SUMPRODUCT((Actuals!C43:N43&lt;&gt;"")*('Original Budget'!C43:N43))</f>
        <v>0</v>
      </c>
      <c r="AY37" s="138" t="n">
        <f aca="false">SUM(Actuals!C43:N43)</f>
        <v>-5345.07</v>
      </c>
      <c r="AZ37" s="139" t="n">
        <f aca="false">AX37-AY37</f>
        <v>5345.07</v>
      </c>
    </row>
    <row r="38" customFormat="false" ht="15" hidden="false" customHeight="true" outlineLevel="0" collapsed="false">
      <c r="A38" s="135" t="s">
        <v>83</v>
      </c>
      <c r="B38" s="136" t="n">
        <f aca="false">'Original Budget'!C44</f>
        <v>-550</v>
      </c>
      <c r="C38" s="136" t="n">
        <f aca="false">IF(ISBLANK(Actuals!C44),"",Actuals!C44)</f>
        <v>-550</v>
      </c>
      <c r="D38" s="137" t="n">
        <f aca="false">IF(ISBLANK(Actuals!C44),"",'Original Budget'!C44-Actuals!C44)</f>
        <v>0</v>
      </c>
      <c r="E38" s="137" t="n">
        <f aca="false">IFERROR(IF(ISBLANK(Actuals!C44),"",('Original Budget'!C44-Actuals!C44)/ABS('Original Budget'!C44)),"")</f>
        <v>0</v>
      </c>
      <c r="F38" s="136" t="n">
        <f aca="false">'Original Budget'!D44</f>
        <v>-550</v>
      </c>
      <c r="G38" s="136" t="n">
        <f aca="false">IF(ISBLANK(Actuals!D44),"",Actuals!D44)</f>
        <v>-550</v>
      </c>
      <c r="H38" s="137" t="n">
        <f aca="false">IF(ISBLANK(Actuals!D44),"",'Original Budget'!D44-Actuals!D44)</f>
        <v>0</v>
      </c>
      <c r="I38" s="137" t="n">
        <f aca="false">IFERROR(IF(ISBLANK(Actuals!D44),"",('Original Budget'!D44-Actuals!D44)/ABS('Original Budget'!D44)),"")</f>
        <v>0</v>
      </c>
      <c r="J38" s="136" t="n">
        <f aca="false">'Original Budget'!E44</f>
        <v>-550</v>
      </c>
      <c r="K38" s="136" t="n">
        <f aca="false">IF(ISBLANK(Actuals!E44),"",Actuals!E44)</f>
        <v>-550</v>
      </c>
      <c r="L38" s="137" t="n">
        <f aca="false">IF(ISBLANK(Actuals!E44),"",'Original Budget'!E44-Actuals!E44)</f>
        <v>0</v>
      </c>
      <c r="M38" s="137" t="n">
        <f aca="false">IFERROR(IF(ISBLANK(Actuals!E44),"",('Original Budget'!E44-Actuals!E44)/ABS('Original Budget'!E44)),"")</f>
        <v>0</v>
      </c>
      <c r="N38" s="136" t="n">
        <f aca="false">'Original Budget'!F44</f>
        <v>-550</v>
      </c>
      <c r="O38" s="136" t="n">
        <f aca="false">IF(ISBLANK(Actuals!F44),"",Actuals!F44)</f>
        <v>-600</v>
      </c>
      <c r="P38" s="137" t="n">
        <f aca="false">IF(ISBLANK(Actuals!F44),"",'Original Budget'!F44-Actuals!F44)</f>
        <v>50</v>
      </c>
      <c r="Q38" s="137" t="n">
        <f aca="false">IFERROR(IF(ISBLANK(Actuals!F44),"",('Original Budget'!F44-Actuals!F44)/ABS('Original Budget'!F44)),"")</f>
        <v>0.0909090909090909</v>
      </c>
      <c r="R38" s="136" t="n">
        <f aca="false">'Original Budget'!G44</f>
        <v>-550</v>
      </c>
      <c r="S38" s="136" t="n">
        <f aca="false">IF(ISBLANK(Actuals!G44),"",Actuals!G44)</f>
        <v>-650</v>
      </c>
      <c r="T38" s="137" t="n">
        <f aca="false">IF(ISBLANK(Actuals!G44),"",'Original Budget'!G44-Actuals!G44)</f>
        <v>100</v>
      </c>
      <c r="U38" s="137" t="n">
        <f aca="false">IFERROR(IF(ISBLANK(Actuals!G44),"",('Original Budget'!G44-Actuals!G44)/ABS('Original Budget'!G44)),"")</f>
        <v>0.181818181818182</v>
      </c>
      <c r="V38" s="136" t="n">
        <f aca="false">'Original Budget'!H44</f>
        <v>-550</v>
      </c>
      <c r="W38" s="136" t="n">
        <f aca="false">IF(ISBLANK(Actuals!H44),"",Actuals!H44)</f>
        <v>-575</v>
      </c>
      <c r="X38" s="137" t="n">
        <f aca="false">IF(ISBLANK(Actuals!H44),"",'Original Budget'!H44-Actuals!H44)</f>
        <v>25</v>
      </c>
      <c r="Y38" s="137" t="n">
        <f aca="false">IFERROR(IF(ISBLANK(Actuals!H44),"",('Original Budget'!H44-Actuals!H44)/ABS('Original Budget'!H44)),"")</f>
        <v>0.0454545454545455</v>
      </c>
      <c r="Z38" s="136" t="n">
        <f aca="false">'Original Budget'!I44</f>
        <v>-550</v>
      </c>
      <c r="AA38" s="136" t="str">
        <f aca="false">IF(ISBLANK(Actuals!I44),"",Actuals!I44)</f>
        <v/>
      </c>
      <c r="AB38" s="137" t="str">
        <f aca="false">IF(ISBLANK(Actuals!I44),"",'Original Budget'!I44-Actuals!I44)</f>
        <v/>
      </c>
      <c r="AC38" s="137" t="str">
        <f aca="false">IFERROR(IF(ISBLANK(Actuals!I44),"",('Original Budget'!I44-Actuals!I44)/ABS('Original Budget'!I44)),"")</f>
        <v/>
      </c>
      <c r="AD38" s="136" t="n">
        <f aca="false">'Original Budget'!J44</f>
        <v>-550</v>
      </c>
      <c r="AE38" s="136" t="str">
        <f aca="false">IF(ISBLANK(Actuals!J44),"",Actuals!J44)</f>
        <v/>
      </c>
      <c r="AF38" s="137" t="str">
        <f aca="false">IF(ISBLANK(Actuals!J44),"",'Original Budget'!J44-Actuals!J44)</f>
        <v/>
      </c>
      <c r="AG38" s="137" t="str">
        <f aca="false">IFERROR(IF(ISBLANK(Actuals!J44),"",('Original Budget'!J44-Actuals!J44)/ABS('Original Budget'!J44)),"")</f>
        <v/>
      </c>
      <c r="AH38" s="136" t="n">
        <f aca="false">'Original Budget'!K44</f>
        <v>-550</v>
      </c>
      <c r="AI38" s="136" t="str">
        <f aca="false">IF(ISBLANK(Actuals!K44),"",Actuals!K44)</f>
        <v/>
      </c>
      <c r="AJ38" s="137" t="str">
        <f aca="false">IF(ISBLANK(Actuals!K44),"",'Original Budget'!K44-Actuals!K44)</f>
        <v/>
      </c>
      <c r="AK38" s="137" t="str">
        <f aca="false">IFERROR(IF(ISBLANK(Actuals!K44),"",('Original Budget'!K44-Actuals!K44)/ABS('Original Budget'!K44)),"")</f>
        <v/>
      </c>
      <c r="AL38" s="136" t="n">
        <f aca="false">'Original Budget'!L44</f>
        <v>-550</v>
      </c>
      <c r="AM38" s="136" t="str">
        <f aca="false">IF(ISBLANK(Actuals!L44),"",Actuals!L44)</f>
        <v/>
      </c>
      <c r="AN38" s="137" t="str">
        <f aca="false">IF(ISBLANK(Actuals!L44),"",'Original Budget'!L44-Actuals!L44)</f>
        <v/>
      </c>
      <c r="AO38" s="137" t="str">
        <f aca="false">IFERROR(IF(ISBLANK(Actuals!L44),"",('Original Budget'!L44-Actuals!L44)/ABS('Original Budget'!L44)),"")</f>
        <v/>
      </c>
      <c r="AP38" s="136" t="n">
        <f aca="false">'Original Budget'!M44</f>
        <v>-550</v>
      </c>
      <c r="AQ38" s="136" t="str">
        <f aca="false">IF(ISBLANK(Actuals!M44),"",Actuals!M44)</f>
        <v/>
      </c>
      <c r="AR38" s="137" t="str">
        <f aca="false">IF(ISBLANK(Actuals!M44),"",'Original Budget'!M44-Actuals!M44)</f>
        <v/>
      </c>
      <c r="AS38" s="137" t="str">
        <f aca="false">IFERROR(IF(ISBLANK(Actuals!M44),"",('Original Budget'!M44-Actuals!M44)/ABS('Original Budget'!M44)),"")</f>
        <v/>
      </c>
      <c r="AT38" s="136" t="n">
        <f aca="false">'Original Budget'!N44</f>
        <v>-550</v>
      </c>
      <c r="AU38" s="136" t="str">
        <f aca="false">IF(ISBLANK(Actuals!N44),"",Actuals!N44)</f>
        <v/>
      </c>
      <c r="AV38" s="137" t="str">
        <f aca="false">IF(ISBLANK(Actuals!N44),"",'Original Budget'!N44-Actuals!N44)</f>
        <v/>
      </c>
      <c r="AW38" s="137" t="str">
        <f aca="false">IFERROR(IF(ISBLANK(Actuals!N44),"",('Original Budget'!N44-Actuals!N44)/ABS('Original Budget'!N44)),"")</f>
        <v/>
      </c>
      <c r="AX38" s="138" t="n">
        <f aca="false">SUMPRODUCT((Actuals!C44:N44&lt;&gt;"")*('Original Budget'!C44:N44))</f>
        <v>-3300</v>
      </c>
      <c r="AY38" s="138" t="n">
        <f aca="false">SUM(Actuals!C44:N44)</f>
        <v>-3475</v>
      </c>
      <c r="AZ38" s="139" t="n">
        <f aca="false">AX38-AY38</f>
        <v>175</v>
      </c>
    </row>
    <row r="39" customFormat="false" ht="15" hidden="false" customHeight="true" outlineLevel="0" collapsed="false">
      <c r="A39" s="135" t="s">
        <v>84</v>
      </c>
      <c r="B39" s="136" t="n">
        <f aca="false">'Original Budget'!C45</f>
        <v>-19223.75</v>
      </c>
      <c r="C39" s="136" t="n">
        <f aca="false">IF(ISBLANK(Actuals!C45),"",Actuals!C45)</f>
        <v>-19223.75</v>
      </c>
      <c r="D39" s="137" t="n">
        <f aca="false">IF(ISBLANK(Actuals!C45),"",'Original Budget'!C45-Actuals!C45)</f>
        <v>0</v>
      </c>
      <c r="E39" s="137" t="n">
        <f aca="false">IFERROR(IF(ISBLANK(Actuals!C45),"",('Original Budget'!C45-Actuals!C45)/ABS('Original Budget'!C45)),"")</f>
        <v>0</v>
      </c>
      <c r="F39" s="136" t="n">
        <f aca="false">'Original Budget'!D45</f>
        <v>-13381.97</v>
      </c>
      <c r="G39" s="136" t="n">
        <f aca="false">IF(ISBLANK(Actuals!D45),"",Actuals!D45)</f>
        <v>-13381.97</v>
      </c>
      <c r="H39" s="137" t="n">
        <f aca="false">IF(ISBLANK(Actuals!D45),"",'Original Budget'!D45-Actuals!D45)</f>
        <v>0</v>
      </c>
      <c r="I39" s="137" t="n">
        <f aca="false">IFERROR(IF(ISBLANK(Actuals!D45),"",('Original Budget'!D45-Actuals!D45)/ABS('Original Budget'!D45)),"")</f>
        <v>0</v>
      </c>
      <c r="J39" s="136" t="n">
        <f aca="false">'Original Budget'!E45</f>
        <v>-20308.69</v>
      </c>
      <c r="K39" s="136" t="n">
        <f aca="false">IF(ISBLANK(Actuals!E45),"",Actuals!E45)</f>
        <v>-20308.69</v>
      </c>
      <c r="L39" s="137" t="n">
        <f aca="false">IF(ISBLANK(Actuals!E45),"",'Original Budget'!E45-Actuals!E45)</f>
        <v>0</v>
      </c>
      <c r="M39" s="137" t="n">
        <f aca="false">IFERROR(IF(ISBLANK(Actuals!E45),"",('Original Budget'!E45-Actuals!E45)/ABS('Original Budget'!E45)),"")</f>
        <v>0</v>
      </c>
      <c r="N39" s="136" t="n">
        <f aca="false">'Original Budget'!F45</f>
        <v>-17638.14</v>
      </c>
      <c r="O39" s="136" t="n">
        <f aca="false">IF(ISBLANK(Actuals!F45),"",Actuals!F45)</f>
        <v>-16948.76</v>
      </c>
      <c r="P39" s="137" t="n">
        <f aca="false">IF(ISBLANK(Actuals!F45),"",'Original Budget'!F45-Actuals!F45)</f>
        <v>-689.380000000001</v>
      </c>
      <c r="Q39" s="137" t="n">
        <f aca="false">IFERROR(IF(ISBLANK(Actuals!F45),"",('Original Budget'!F45-Actuals!F45)/ABS('Original Budget'!F45)),"")</f>
        <v>-0.0390846200336317</v>
      </c>
      <c r="R39" s="136" t="n">
        <f aca="false">'Original Budget'!G45</f>
        <v>-17638.14</v>
      </c>
      <c r="S39" s="136" t="n">
        <f aca="false">IF(ISBLANK(Actuals!G45),"",Actuals!G45)</f>
        <v>-29716.98</v>
      </c>
      <c r="T39" s="137" t="n">
        <f aca="false">IF(ISBLANK(Actuals!G45),"",'Original Budget'!G45-Actuals!G45)</f>
        <v>12078.84</v>
      </c>
      <c r="U39" s="137" t="n">
        <f aca="false">IFERROR(IF(ISBLANK(Actuals!G45),"",('Original Budget'!G45-Actuals!G45)/ABS('Original Budget'!G45)),"")</f>
        <v>0.684813704846429</v>
      </c>
      <c r="V39" s="136" t="n">
        <f aca="false">'Original Budget'!H45</f>
        <v>-17638.14</v>
      </c>
      <c r="W39" s="136" t="n">
        <f aca="false">IF(ISBLANK(Actuals!H45),"",Actuals!H45)</f>
        <v>-11335.64</v>
      </c>
      <c r="X39" s="137" t="n">
        <f aca="false">IF(ISBLANK(Actuals!H45),"",'Original Budget'!H45-Actuals!H45)</f>
        <v>-6302.5</v>
      </c>
      <c r="Y39" s="137" t="n">
        <f aca="false">IFERROR(IF(ISBLANK(Actuals!H45),"",('Original Budget'!H45-Actuals!H45)/ABS('Original Budget'!H45)),"")</f>
        <v>-0.357322257335524</v>
      </c>
      <c r="Z39" s="136" t="n">
        <f aca="false">'Original Budget'!I45</f>
        <v>-17638.14</v>
      </c>
      <c r="AA39" s="136" t="str">
        <f aca="false">IF(ISBLANK(Actuals!I45),"",Actuals!I45)</f>
        <v/>
      </c>
      <c r="AB39" s="137" t="str">
        <f aca="false">IF(ISBLANK(Actuals!I45),"",'Original Budget'!I45-Actuals!I45)</f>
        <v/>
      </c>
      <c r="AC39" s="137" t="str">
        <f aca="false">IFERROR(IF(ISBLANK(Actuals!I45),"",('Original Budget'!I45-Actuals!I45)/ABS('Original Budget'!I45)),"")</f>
        <v/>
      </c>
      <c r="AD39" s="136" t="n">
        <f aca="false">'Original Budget'!J45</f>
        <v>-17638.14</v>
      </c>
      <c r="AE39" s="136" t="str">
        <f aca="false">IF(ISBLANK(Actuals!J45),"",Actuals!J45)</f>
        <v/>
      </c>
      <c r="AF39" s="137" t="str">
        <f aca="false">IF(ISBLANK(Actuals!J45),"",'Original Budget'!J45-Actuals!J45)</f>
        <v/>
      </c>
      <c r="AG39" s="137" t="str">
        <f aca="false">IFERROR(IF(ISBLANK(Actuals!J45),"",('Original Budget'!J45-Actuals!J45)/ABS('Original Budget'!J45)),"")</f>
        <v/>
      </c>
      <c r="AH39" s="136" t="n">
        <f aca="false">'Original Budget'!K45</f>
        <v>-17638.14</v>
      </c>
      <c r="AI39" s="136" t="str">
        <f aca="false">IF(ISBLANK(Actuals!K45),"",Actuals!K45)</f>
        <v/>
      </c>
      <c r="AJ39" s="137" t="str">
        <f aca="false">IF(ISBLANK(Actuals!K45),"",'Original Budget'!K45-Actuals!K45)</f>
        <v/>
      </c>
      <c r="AK39" s="137" t="str">
        <f aca="false">IFERROR(IF(ISBLANK(Actuals!K45),"",('Original Budget'!K45-Actuals!K45)/ABS('Original Budget'!K45)),"")</f>
        <v/>
      </c>
      <c r="AL39" s="136" t="n">
        <f aca="false">'Original Budget'!L45</f>
        <v>-17638.14</v>
      </c>
      <c r="AM39" s="136" t="str">
        <f aca="false">IF(ISBLANK(Actuals!L45),"",Actuals!L45)</f>
        <v/>
      </c>
      <c r="AN39" s="137" t="str">
        <f aca="false">IF(ISBLANK(Actuals!L45),"",'Original Budget'!L45-Actuals!L45)</f>
        <v/>
      </c>
      <c r="AO39" s="137" t="str">
        <f aca="false">IFERROR(IF(ISBLANK(Actuals!L45),"",('Original Budget'!L45-Actuals!L45)/ABS('Original Budget'!L45)),"")</f>
        <v/>
      </c>
      <c r="AP39" s="136" t="n">
        <f aca="false">'Original Budget'!M45</f>
        <v>-17638.14</v>
      </c>
      <c r="AQ39" s="136" t="str">
        <f aca="false">IF(ISBLANK(Actuals!M45),"",Actuals!M45)</f>
        <v/>
      </c>
      <c r="AR39" s="137" t="str">
        <f aca="false">IF(ISBLANK(Actuals!M45),"",'Original Budget'!M45-Actuals!M45)</f>
        <v/>
      </c>
      <c r="AS39" s="137" t="str">
        <f aca="false">IFERROR(IF(ISBLANK(Actuals!M45),"",('Original Budget'!M45-Actuals!M45)/ABS('Original Budget'!M45)),"")</f>
        <v/>
      </c>
      <c r="AT39" s="136" t="n">
        <f aca="false">'Original Budget'!N45</f>
        <v>-17638.14</v>
      </c>
      <c r="AU39" s="136" t="str">
        <f aca="false">IF(ISBLANK(Actuals!N45),"",Actuals!N45)</f>
        <v/>
      </c>
      <c r="AV39" s="137" t="str">
        <f aca="false">IF(ISBLANK(Actuals!N45),"",'Original Budget'!N45-Actuals!N45)</f>
        <v/>
      </c>
      <c r="AW39" s="137" t="str">
        <f aca="false">IFERROR(IF(ISBLANK(Actuals!N45),"",('Original Budget'!N45-Actuals!N45)/ABS('Original Budget'!N45)),"")</f>
        <v/>
      </c>
      <c r="AX39" s="138" t="n">
        <f aca="false">SUMPRODUCT((Actuals!C45:N45&lt;&gt;"")*('Original Budget'!C45:N45))</f>
        <v>-105828.83</v>
      </c>
      <c r="AY39" s="138" t="n">
        <f aca="false">SUM(Actuals!C45:N45)</f>
        <v>-110915.79</v>
      </c>
      <c r="AZ39" s="139" t="n">
        <f aca="false">AX39-AY39</f>
        <v>5086.95999999999</v>
      </c>
    </row>
    <row r="40" customFormat="false" ht="15" hidden="false" customHeight="true" outlineLevel="0" collapsed="false">
      <c r="A40" s="135" t="s">
        <v>85</v>
      </c>
      <c r="B40" s="136" t="n">
        <f aca="false">'Original Budget'!C46</f>
        <v>-1909.98</v>
      </c>
      <c r="C40" s="136" t="n">
        <f aca="false">IF(ISBLANK(Actuals!C46),"",Actuals!C46)</f>
        <v>-1909.98</v>
      </c>
      <c r="D40" s="137" t="n">
        <f aca="false">IF(ISBLANK(Actuals!C46),"",'Original Budget'!C46-Actuals!C46)</f>
        <v>0</v>
      </c>
      <c r="E40" s="137" t="n">
        <f aca="false">IFERROR(IF(ISBLANK(Actuals!C46),"",('Original Budget'!C46-Actuals!C46)/ABS('Original Budget'!C46)),"")</f>
        <v>0</v>
      </c>
      <c r="F40" s="136" t="n">
        <f aca="false">'Original Budget'!D46</f>
        <v>-190.1</v>
      </c>
      <c r="G40" s="136" t="n">
        <f aca="false">IF(ISBLANK(Actuals!D46),"",Actuals!D46)</f>
        <v>-190.1</v>
      </c>
      <c r="H40" s="137" t="n">
        <f aca="false">IF(ISBLANK(Actuals!D46),"",'Original Budget'!D46-Actuals!D46)</f>
        <v>0</v>
      </c>
      <c r="I40" s="137" t="n">
        <f aca="false">IFERROR(IF(ISBLANK(Actuals!D46),"",('Original Budget'!D46-Actuals!D46)/ABS('Original Budget'!D46)),"")</f>
        <v>0</v>
      </c>
      <c r="J40" s="136" t="n">
        <f aca="false">'Original Budget'!E46</f>
        <v>-2166.92</v>
      </c>
      <c r="K40" s="136" t="n">
        <f aca="false">IF(ISBLANK(Actuals!E46),"",Actuals!E46)</f>
        <v>-2166.92</v>
      </c>
      <c r="L40" s="137" t="n">
        <f aca="false">IF(ISBLANK(Actuals!E46),"",'Original Budget'!E46-Actuals!E46)</f>
        <v>0</v>
      </c>
      <c r="M40" s="137" t="n">
        <f aca="false">IFERROR(IF(ISBLANK(Actuals!E46),"",('Original Budget'!E46-Actuals!E46)/ABS('Original Budget'!E46)),"")</f>
        <v>0</v>
      </c>
      <c r="N40" s="136" t="n">
        <f aca="false">'Original Budget'!F46</f>
        <v>-1422.33</v>
      </c>
      <c r="O40" s="136" t="n">
        <f aca="false">IF(ISBLANK(Actuals!F46),"",Actuals!F46)</f>
        <v>-1816.95</v>
      </c>
      <c r="P40" s="137" t="n">
        <f aca="false">IF(ISBLANK(Actuals!F46),"",'Original Budget'!F46-Actuals!F46)</f>
        <v>394.62</v>
      </c>
      <c r="Q40" s="137" t="n">
        <f aca="false">IFERROR(IF(ISBLANK(Actuals!F46),"",('Original Budget'!F46-Actuals!F46)/ABS('Original Budget'!F46)),"")</f>
        <v>0.277446162283015</v>
      </c>
      <c r="R40" s="136" t="n">
        <f aca="false">'Original Budget'!G46</f>
        <v>-1422.33</v>
      </c>
      <c r="S40" s="136" t="n">
        <f aca="false">IF(ISBLANK(Actuals!G46),"",Actuals!G46)</f>
        <v>-1452.9</v>
      </c>
      <c r="T40" s="137" t="n">
        <f aca="false">IF(ISBLANK(Actuals!G46),"",'Original Budget'!G46-Actuals!G46)</f>
        <v>30.5700000000002</v>
      </c>
      <c r="U40" s="137" t="n">
        <f aca="false">IFERROR(IF(ISBLANK(Actuals!G46),"",('Original Budget'!G46-Actuals!G46)/ABS('Original Budget'!G46)),"")</f>
        <v>0.0214929024909832</v>
      </c>
      <c r="V40" s="136" t="n">
        <f aca="false">'Original Budget'!H46</f>
        <v>-1422.33</v>
      </c>
      <c r="W40" s="136" t="n">
        <f aca="false">IF(ISBLANK(Actuals!H46),"",Actuals!H46)</f>
        <v>-13918.31</v>
      </c>
      <c r="X40" s="137" t="n">
        <f aca="false">IF(ISBLANK(Actuals!H46),"",'Original Budget'!H46-Actuals!H46)</f>
        <v>12495.98</v>
      </c>
      <c r="Y40" s="137" t="n">
        <f aca="false">IFERROR(IF(ISBLANK(Actuals!H46),"",('Original Budget'!H46-Actuals!H46)/ABS('Original Budget'!H46)),"")</f>
        <v>8.78557015601161</v>
      </c>
      <c r="Z40" s="136" t="n">
        <f aca="false">'Original Budget'!I46</f>
        <v>-1422.33</v>
      </c>
      <c r="AA40" s="136" t="str">
        <f aca="false">IF(ISBLANK(Actuals!I46),"",Actuals!I46)</f>
        <v/>
      </c>
      <c r="AB40" s="137" t="str">
        <f aca="false">IF(ISBLANK(Actuals!I46),"",'Original Budget'!I46-Actuals!I46)</f>
        <v/>
      </c>
      <c r="AC40" s="137" t="str">
        <f aca="false">IFERROR(IF(ISBLANK(Actuals!I46),"",('Original Budget'!I46-Actuals!I46)/ABS('Original Budget'!I46)),"")</f>
        <v/>
      </c>
      <c r="AD40" s="136" t="n">
        <f aca="false">'Original Budget'!J46</f>
        <v>-1422.33</v>
      </c>
      <c r="AE40" s="136" t="str">
        <f aca="false">IF(ISBLANK(Actuals!J46),"",Actuals!J46)</f>
        <v/>
      </c>
      <c r="AF40" s="137" t="str">
        <f aca="false">IF(ISBLANK(Actuals!J46),"",'Original Budget'!J46-Actuals!J46)</f>
        <v/>
      </c>
      <c r="AG40" s="137" t="str">
        <f aca="false">IFERROR(IF(ISBLANK(Actuals!J46),"",('Original Budget'!J46-Actuals!J46)/ABS('Original Budget'!J46)),"")</f>
        <v/>
      </c>
      <c r="AH40" s="136" t="n">
        <f aca="false">'Original Budget'!K46</f>
        <v>-1422.33</v>
      </c>
      <c r="AI40" s="136" t="str">
        <f aca="false">IF(ISBLANK(Actuals!K46),"",Actuals!K46)</f>
        <v/>
      </c>
      <c r="AJ40" s="137" t="str">
        <f aca="false">IF(ISBLANK(Actuals!K46),"",'Original Budget'!K46-Actuals!K46)</f>
        <v/>
      </c>
      <c r="AK40" s="137" t="str">
        <f aca="false">IFERROR(IF(ISBLANK(Actuals!K46),"",('Original Budget'!K46-Actuals!K46)/ABS('Original Budget'!K46)),"")</f>
        <v/>
      </c>
      <c r="AL40" s="136" t="n">
        <f aca="false">'Original Budget'!L46</f>
        <v>-1422.33</v>
      </c>
      <c r="AM40" s="136" t="str">
        <f aca="false">IF(ISBLANK(Actuals!L46),"",Actuals!L46)</f>
        <v/>
      </c>
      <c r="AN40" s="137" t="str">
        <f aca="false">IF(ISBLANK(Actuals!L46),"",'Original Budget'!L46-Actuals!L46)</f>
        <v/>
      </c>
      <c r="AO40" s="137" t="str">
        <f aca="false">IFERROR(IF(ISBLANK(Actuals!L46),"",('Original Budget'!L46-Actuals!L46)/ABS('Original Budget'!L46)),"")</f>
        <v/>
      </c>
      <c r="AP40" s="136" t="n">
        <f aca="false">'Original Budget'!M46</f>
        <v>-1422.33</v>
      </c>
      <c r="AQ40" s="136" t="str">
        <f aca="false">IF(ISBLANK(Actuals!M46),"",Actuals!M46)</f>
        <v/>
      </c>
      <c r="AR40" s="137" t="str">
        <f aca="false">IF(ISBLANK(Actuals!M46),"",'Original Budget'!M46-Actuals!M46)</f>
        <v/>
      </c>
      <c r="AS40" s="137" t="str">
        <f aca="false">IFERROR(IF(ISBLANK(Actuals!M46),"",('Original Budget'!M46-Actuals!M46)/ABS('Original Budget'!M46)),"")</f>
        <v/>
      </c>
      <c r="AT40" s="136" t="n">
        <f aca="false">'Original Budget'!N46</f>
        <v>-1422.33</v>
      </c>
      <c r="AU40" s="136" t="str">
        <f aca="false">IF(ISBLANK(Actuals!N46),"",Actuals!N46)</f>
        <v/>
      </c>
      <c r="AV40" s="137" t="str">
        <f aca="false">IF(ISBLANK(Actuals!N46),"",'Original Budget'!N46-Actuals!N46)</f>
        <v/>
      </c>
      <c r="AW40" s="137" t="str">
        <f aca="false">IFERROR(IF(ISBLANK(Actuals!N46),"",('Original Budget'!N46-Actuals!N46)/ABS('Original Budget'!N46)),"")</f>
        <v/>
      </c>
      <c r="AX40" s="138" t="n">
        <f aca="false">SUMPRODUCT((Actuals!C46:N46&lt;&gt;"")*('Original Budget'!C46:N46))</f>
        <v>-8533.99</v>
      </c>
      <c r="AY40" s="138" t="n">
        <f aca="false">SUM(Actuals!C46:N46)</f>
        <v>-21455.16</v>
      </c>
      <c r="AZ40" s="139" t="n">
        <f aca="false">AX40-AY40</f>
        <v>12921.17</v>
      </c>
    </row>
    <row r="41" customFormat="false" ht="15" hidden="false" customHeight="true" outlineLevel="0" collapsed="false">
      <c r="A41" s="135" t="s">
        <v>86</v>
      </c>
      <c r="B41" s="136" t="n">
        <f aca="false">'Original Budget'!C47</f>
        <v>-320</v>
      </c>
      <c r="C41" s="136" t="n">
        <f aca="false">IF(ISBLANK(Actuals!C47),"",Actuals!C47)</f>
        <v>-320</v>
      </c>
      <c r="D41" s="137" t="n">
        <f aca="false">IF(ISBLANK(Actuals!C47),"",'Original Budget'!C47-Actuals!C47)</f>
        <v>0</v>
      </c>
      <c r="E41" s="137" t="n">
        <f aca="false">IFERROR(IF(ISBLANK(Actuals!C47),"",('Original Budget'!C47-Actuals!C47)/ABS('Original Budget'!C47)),"")</f>
        <v>0</v>
      </c>
      <c r="F41" s="136" t="n">
        <f aca="false">'Original Budget'!D47</f>
        <v>-160</v>
      </c>
      <c r="G41" s="136" t="n">
        <f aca="false">IF(ISBLANK(Actuals!D47),"",Actuals!D47)</f>
        <v>-160</v>
      </c>
      <c r="H41" s="137" t="n">
        <f aca="false">IF(ISBLANK(Actuals!D47),"",'Original Budget'!D47-Actuals!D47)</f>
        <v>0</v>
      </c>
      <c r="I41" s="137" t="n">
        <f aca="false">IFERROR(IF(ISBLANK(Actuals!D47),"",('Original Budget'!D47-Actuals!D47)/ABS('Original Budget'!D47)),"")</f>
        <v>0</v>
      </c>
      <c r="J41" s="136" t="n">
        <f aca="false">'Original Budget'!E47</f>
        <v>0</v>
      </c>
      <c r="K41" s="136" t="n">
        <f aca="false">IF(ISBLANK(Actuals!E47),"",Actuals!E47)</f>
        <v>0</v>
      </c>
      <c r="L41" s="137" t="n">
        <f aca="false">IF(ISBLANK(Actuals!E47),"",'Original Budget'!E47-Actuals!E47)</f>
        <v>0</v>
      </c>
      <c r="M41" s="137" t="str">
        <f aca="false">IFERROR(IF(ISBLANK(Actuals!E47),"",('Original Budget'!E47-Actuals!E47)/ABS('Original Budget'!E47)),"")</f>
        <v/>
      </c>
      <c r="N41" s="136" t="n">
        <f aca="false">'Original Budget'!F47</f>
        <v>-160</v>
      </c>
      <c r="O41" s="136" t="n">
        <f aca="false">IF(ISBLANK(Actuals!F47),"",Actuals!F47)</f>
        <v>0</v>
      </c>
      <c r="P41" s="137" t="n">
        <f aca="false">IF(ISBLANK(Actuals!F47),"",'Original Budget'!F47-Actuals!F47)</f>
        <v>-160</v>
      </c>
      <c r="Q41" s="137" t="n">
        <f aca="false">IFERROR(IF(ISBLANK(Actuals!F47),"",('Original Budget'!F47-Actuals!F47)/ABS('Original Budget'!F47)),"")</f>
        <v>-1</v>
      </c>
      <c r="R41" s="136" t="n">
        <f aca="false">'Original Budget'!G47</f>
        <v>-160</v>
      </c>
      <c r="S41" s="136" t="n">
        <f aca="false">IF(ISBLANK(Actuals!G47),"",Actuals!G47)</f>
        <v>-320</v>
      </c>
      <c r="T41" s="137" t="n">
        <f aca="false">IF(ISBLANK(Actuals!G47),"",'Original Budget'!G47-Actuals!G47)</f>
        <v>160</v>
      </c>
      <c r="U41" s="137" t="n">
        <f aca="false">IFERROR(IF(ISBLANK(Actuals!G47),"",('Original Budget'!G47-Actuals!G47)/ABS('Original Budget'!G47)),"")</f>
        <v>1</v>
      </c>
      <c r="V41" s="136" t="n">
        <f aca="false">'Original Budget'!H47</f>
        <v>-160</v>
      </c>
      <c r="W41" s="136" t="n">
        <f aca="false">IF(ISBLANK(Actuals!H47),"",Actuals!H47)</f>
        <v>-320</v>
      </c>
      <c r="X41" s="137" t="n">
        <f aca="false">IF(ISBLANK(Actuals!H47),"",'Original Budget'!H47-Actuals!H47)</f>
        <v>160</v>
      </c>
      <c r="Y41" s="137" t="n">
        <f aca="false">IFERROR(IF(ISBLANK(Actuals!H47),"",('Original Budget'!H47-Actuals!H47)/ABS('Original Budget'!H47)),"")</f>
        <v>1</v>
      </c>
      <c r="Z41" s="136" t="n">
        <f aca="false">'Original Budget'!I47</f>
        <v>-160</v>
      </c>
      <c r="AA41" s="136" t="str">
        <f aca="false">IF(ISBLANK(Actuals!I47),"",Actuals!I47)</f>
        <v/>
      </c>
      <c r="AB41" s="137" t="str">
        <f aca="false">IF(ISBLANK(Actuals!I47),"",'Original Budget'!I47-Actuals!I47)</f>
        <v/>
      </c>
      <c r="AC41" s="137" t="str">
        <f aca="false">IFERROR(IF(ISBLANK(Actuals!I47),"",('Original Budget'!I47-Actuals!I47)/ABS('Original Budget'!I47)),"")</f>
        <v/>
      </c>
      <c r="AD41" s="136" t="n">
        <f aca="false">'Original Budget'!J47</f>
        <v>-160</v>
      </c>
      <c r="AE41" s="136" t="str">
        <f aca="false">IF(ISBLANK(Actuals!J47),"",Actuals!J47)</f>
        <v/>
      </c>
      <c r="AF41" s="137" t="str">
        <f aca="false">IF(ISBLANK(Actuals!J47),"",'Original Budget'!J47-Actuals!J47)</f>
        <v/>
      </c>
      <c r="AG41" s="137" t="str">
        <f aca="false">IFERROR(IF(ISBLANK(Actuals!J47),"",('Original Budget'!J47-Actuals!J47)/ABS('Original Budget'!J47)),"")</f>
        <v/>
      </c>
      <c r="AH41" s="136" t="n">
        <f aca="false">'Original Budget'!K47</f>
        <v>-160</v>
      </c>
      <c r="AI41" s="136" t="str">
        <f aca="false">IF(ISBLANK(Actuals!K47),"",Actuals!K47)</f>
        <v/>
      </c>
      <c r="AJ41" s="137" t="str">
        <f aca="false">IF(ISBLANK(Actuals!K47),"",'Original Budget'!K47-Actuals!K47)</f>
        <v/>
      </c>
      <c r="AK41" s="137" t="str">
        <f aca="false">IFERROR(IF(ISBLANK(Actuals!K47),"",('Original Budget'!K47-Actuals!K47)/ABS('Original Budget'!K47)),"")</f>
        <v/>
      </c>
      <c r="AL41" s="136" t="n">
        <f aca="false">'Original Budget'!L47</f>
        <v>-160</v>
      </c>
      <c r="AM41" s="136" t="str">
        <f aca="false">IF(ISBLANK(Actuals!L47),"",Actuals!L47)</f>
        <v/>
      </c>
      <c r="AN41" s="137" t="str">
        <f aca="false">IF(ISBLANK(Actuals!L47),"",'Original Budget'!L47-Actuals!L47)</f>
        <v/>
      </c>
      <c r="AO41" s="137" t="str">
        <f aca="false">IFERROR(IF(ISBLANK(Actuals!L47),"",('Original Budget'!L47-Actuals!L47)/ABS('Original Budget'!L47)),"")</f>
        <v/>
      </c>
      <c r="AP41" s="136" t="n">
        <f aca="false">'Original Budget'!M47</f>
        <v>-160</v>
      </c>
      <c r="AQ41" s="136" t="str">
        <f aca="false">IF(ISBLANK(Actuals!M47),"",Actuals!M47)</f>
        <v/>
      </c>
      <c r="AR41" s="137" t="str">
        <f aca="false">IF(ISBLANK(Actuals!M47),"",'Original Budget'!M47-Actuals!M47)</f>
        <v/>
      </c>
      <c r="AS41" s="137" t="str">
        <f aca="false">IFERROR(IF(ISBLANK(Actuals!M47),"",('Original Budget'!M47-Actuals!M47)/ABS('Original Budget'!M47)),"")</f>
        <v/>
      </c>
      <c r="AT41" s="136" t="n">
        <f aca="false">'Original Budget'!N47</f>
        <v>-160</v>
      </c>
      <c r="AU41" s="136" t="str">
        <f aca="false">IF(ISBLANK(Actuals!N47),"",Actuals!N47)</f>
        <v/>
      </c>
      <c r="AV41" s="137" t="str">
        <f aca="false">IF(ISBLANK(Actuals!N47),"",'Original Budget'!N47-Actuals!N47)</f>
        <v/>
      </c>
      <c r="AW41" s="137" t="str">
        <f aca="false">IFERROR(IF(ISBLANK(Actuals!N47),"",('Original Budget'!N47-Actuals!N47)/ABS('Original Budget'!N47)),"")</f>
        <v/>
      </c>
      <c r="AX41" s="138" t="n">
        <f aca="false">SUMPRODUCT((Actuals!C47:N47&lt;&gt;"")*('Original Budget'!C47:N47))</f>
        <v>-960</v>
      </c>
      <c r="AY41" s="138" t="n">
        <f aca="false">SUM(Actuals!C47:N47)</f>
        <v>-1120</v>
      </c>
      <c r="AZ41" s="139" t="n">
        <f aca="false">AX41-AY41</f>
        <v>160</v>
      </c>
    </row>
    <row r="42" customFormat="false" ht="15" hidden="false" customHeight="true" outlineLevel="0" collapsed="false">
      <c r="A42" s="135" t="s">
        <v>87</v>
      </c>
      <c r="B42" s="136" t="n">
        <f aca="false">'Original Budget'!C48</f>
        <v>-17660.72</v>
      </c>
      <c r="C42" s="136" t="n">
        <f aca="false">IF(ISBLANK(Actuals!C48),"",Actuals!C48)</f>
        <v>-17660.72</v>
      </c>
      <c r="D42" s="137" t="n">
        <f aca="false">IF(ISBLANK(Actuals!C48),"",'Original Budget'!C48-Actuals!C48)</f>
        <v>0</v>
      </c>
      <c r="E42" s="137" t="n">
        <f aca="false">IFERROR(IF(ISBLANK(Actuals!C48),"",('Original Budget'!C48-Actuals!C48)/ABS('Original Budget'!C48)),"")</f>
        <v>0</v>
      </c>
      <c r="F42" s="136" t="n">
        <f aca="false">'Original Budget'!D48</f>
        <v>-5799</v>
      </c>
      <c r="G42" s="136" t="n">
        <f aca="false">IF(ISBLANK(Actuals!D48),"",Actuals!D48)</f>
        <v>-5799</v>
      </c>
      <c r="H42" s="137" t="n">
        <f aca="false">IF(ISBLANK(Actuals!D48),"",'Original Budget'!D48-Actuals!D48)</f>
        <v>0</v>
      </c>
      <c r="I42" s="137" t="n">
        <f aca="false">IFERROR(IF(ISBLANK(Actuals!D48),"",('Original Budget'!D48-Actuals!D48)/ABS('Original Budget'!D48)),"")</f>
        <v>0</v>
      </c>
      <c r="J42" s="136" t="n">
        <f aca="false">'Original Budget'!E48</f>
        <v>-3432.18</v>
      </c>
      <c r="K42" s="136" t="n">
        <f aca="false">IF(ISBLANK(Actuals!E48),"",Actuals!E48)</f>
        <v>-3432.18</v>
      </c>
      <c r="L42" s="137" t="n">
        <f aca="false">IF(ISBLANK(Actuals!E48),"",'Original Budget'!E48-Actuals!E48)</f>
        <v>0</v>
      </c>
      <c r="M42" s="137" t="n">
        <f aca="false">IFERROR(IF(ISBLANK(Actuals!E48),"",('Original Budget'!E48-Actuals!E48)/ABS('Original Budget'!E48)),"")</f>
        <v>0</v>
      </c>
      <c r="N42" s="136" t="n">
        <f aca="false">'Original Budget'!F48</f>
        <v>-5000</v>
      </c>
      <c r="O42" s="136" t="n">
        <f aca="false">IF(ISBLANK(Actuals!F48),"",Actuals!F48)</f>
        <v>0</v>
      </c>
      <c r="P42" s="137" t="n">
        <f aca="false">IF(ISBLANK(Actuals!F48),"",'Original Budget'!F48-Actuals!F48)</f>
        <v>-5000</v>
      </c>
      <c r="Q42" s="137" t="n">
        <f aca="false">IFERROR(IF(ISBLANK(Actuals!F48),"",('Original Budget'!F48-Actuals!F48)/ABS('Original Budget'!F48)),"")</f>
        <v>-1</v>
      </c>
      <c r="R42" s="136" t="n">
        <f aca="false">'Original Budget'!G48</f>
        <v>-5000</v>
      </c>
      <c r="S42" s="136" t="n">
        <f aca="false">IF(ISBLANK(Actuals!G48),"",Actuals!G48)</f>
        <v>-73874.29</v>
      </c>
      <c r="T42" s="137" t="n">
        <f aca="false">IF(ISBLANK(Actuals!G48),"",'Original Budget'!G48-Actuals!G48)</f>
        <v>68874.29</v>
      </c>
      <c r="U42" s="137" t="n">
        <f aca="false">IFERROR(IF(ISBLANK(Actuals!G48),"",('Original Budget'!G48-Actuals!G48)/ABS('Original Budget'!G48)),"")</f>
        <v>13.774858</v>
      </c>
      <c r="V42" s="136" t="n">
        <f aca="false">'Original Budget'!H48</f>
        <v>-5000</v>
      </c>
      <c r="W42" s="136" t="n">
        <f aca="false">IF(ISBLANK(Actuals!H48),"",Actuals!H48)</f>
        <v>0</v>
      </c>
      <c r="X42" s="137" t="n">
        <f aca="false">IF(ISBLANK(Actuals!H48),"",'Original Budget'!H48-Actuals!H48)</f>
        <v>-5000</v>
      </c>
      <c r="Y42" s="137" t="n">
        <f aca="false">IFERROR(IF(ISBLANK(Actuals!H48),"",('Original Budget'!H48-Actuals!H48)/ABS('Original Budget'!H48)),"")</f>
        <v>-1</v>
      </c>
      <c r="Z42" s="136" t="n">
        <f aca="false">'Original Budget'!I48</f>
        <v>-5000</v>
      </c>
      <c r="AA42" s="136" t="str">
        <f aca="false">IF(ISBLANK(Actuals!I48),"",Actuals!I48)</f>
        <v/>
      </c>
      <c r="AB42" s="137" t="str">
        <f aca="false">IF(ISBLANK(Actuals!I48),"",'Original Budget'!I48-Actuals!I48)</f>
        <v/>
      </c>
      <c r="AC42" s="137" t="str">
        <f aca="false">IFERROR(IF(ISBLANK(Actuals!I48),"",('Original Budget'!I48-Actuals!I48)/ABS('Original Budget'!I48)),"")</f>
        <v/>
      </c>
      <c r="AD42" s="136" t="n">
        <f aca="false">'Original Budget'!J48</f>
        <v>-5000</v>
      </c>
      <c r="AE42" s="136" t="str">
        <f aca="false">IF(ISBLANK(Actuals!J48),"",Actuals!J48)</f>
        <v/>
      </c>
      <c r="AF42" s="137" t="str">
        <f aca="false">IF(ISBLANK(Actuals!J48),"",'Original Budget'!J48-Actuals!J48)</f>
        <v/>
      </c>
      <c r="AG42" s="137" t="str">
        <f aca="false">IFERROR(IF(ISBLANK(Actuals!J48),"",('Original Budget'!J48-Actuals!J48)/ABS('Original Budget'!J48)),"")</f>
        <v/>
      </c>
      <c r="AH42" s="136" t="n">
        <f aca="false">'Original Budget'!K48</f>
        <v>-5000</v>
      </c>
      <c r="AI42" s="136" t="str">
        <f aca="false">IF(ISBLANK(Actuals!K48),"",Actuals!K48)</f>
        <v/>
      </c>
      <c r="AJ42" s="137" t="str">
        <f aca="false">IF(ISBLANK(Actuals!K48),"",'Original Budget'!K48-Actuals!K48)</f>
        <v/>
      </c>
      <c r="AK42" s="137" t="str">
        <f aca="false">IFERROR(IF(ISBLANK(Actuals!K48),"",('Original Budget'!K48-Actuals!K48)/ABS('Original Budget'!K48)),"")</f>
        <v/>
      </c>
      <c r="AL42" s="136" t="n">
        <f aca="false">'Original Budget'!L48</f>
        <v>-5000</v>
      </c>
      <c r="AM42" s="136" t="str">
        <f aca="false">IF(ISBLANK(Actuals!L48),"",Actuals!L48)</f>
        <v/>
      </c>
      <c r="AN42" s="137" t="str">
        <f aca="false">IF(ISBLANK(Actuals!L48),"",'Original Budget'!L48-Actuals!L48)</f>
        <v/>
      </c>
      <c r="AO42" s="137" t="str">
        <f aca="false">IFERROR(IF(ISBLANK(Actuals!L48),"",('Original Budget'!L48-Actuals!L48)/ABS('Original Budget'!L48)),"")</f>
        <v/>
      </c>
      <c r="AP42" s="136" t="n">
        <f aca="false">'Original Budget'!M48</f>
        <v>-5000</v>
      </c>
      <c r="AQ42" s="136" t="str">
        <f aca="false">IF(ISBLANK(Actuals!M48),"",Actuals!M48)</f>
        <v/>
      </c>
      <c r="AR42" s="137" t="str">
        <f aca="false">IF(ISBLANK(Actuals!M48),"",'Original Budget'!M48-Actuals!M48)</f>
        <v/>
      </c>
      <c r="AS42" s="137" t="str">
        <f aca="false">IFERROR(IF(ISBLANK(Actuals!M48),"",('Original Budget'!M48-Actuals!M48)/ABS('Original Budget'!M48)),"")</f>
        <v/>
      </c>
      <c r="AT42" s="136" t="n">
        <f aca="false">'Original Budget'!N48</f>
        <v>-5000</v>
      </c>
      <c r="AU42" s="136" t="str">
        <f aca="false">IF(ISBLANK(Actuals!N48),"",Actuals!N48)</f>
        <v/>
      </c>
      <c r="AV42" s="137" t="str">
        <f aca="false">IF(ISBLANK(Actuals!N48),"",'Original Budget'!N48-Actuals!N48)</f>
        <v/>
      </c>
      <c r="AW42" s="137" t="str">
        <f aca="false">IFERROR(IF(ISBLANK(Actuals!N48),"",('Original Budget'!N48-Actuals!N48)/ABS('Original Budget'!N48)),"")</f>
        <v/>
      </c>
      <c r="AX42" s="138" t="n">
        <f aca="false">SUMPRODUCT((Actuals!C48:N48&lt;&gt;"")*('Original Budget'!C48:N48))</f>
        <v>-41891.9</v>
      </c>
      <c r="AY42" s="138" t="n">
        <f aca="false">SUM(Actuals!C48:N48)</f>
        <v>-100766.19</v>
      </c>
      <c r="AZ42" s="139" t="n">
        <f aca="false">AX42-AY42</f>
        <v>58874.29</v>
      </c>
    </row>
    <row r="43" customFormat="false" ht="15" hidden="false" customHeight="true" outlineLevel="0" collapsed="false">
      <c r="A43" s="135" t="s">
        <v>88</v>
      </c>
      <c r="B43" s="136" t="n">
        <f aca="false">'Original Budget'!C49</f>
        <v>-304</v>
      </c>
      <c r="C43" s="136" t="n">
        <f aca="false">IF(ISBLANK(Actuals!C49),"",Actuals!C49)</f>
        <v>-1913.91</v>
      </c>
      <c r="D43" s="137" t="n">
        <f aca="false">IF(ISBLANK(Actuals!C49),"",'Original Budget'!C49-Actuals!C49)</f>
        <v>1609.91</v>
      </c>
      <c r="E43" s="137" t="n">
        <f aca="false">IFERROR(IF(ISBLANK(Actuals!C49),"",('Original Budget'!C49-Actuals!C49)/ABS('Original Budget'!C49)),"")</f>
        <v>5.29575657894737</v>
      </c>
      <c r="F43" s="136" t="n">
        <f aca="false">'Original Budget'!D49</f>
        <v>-644.81</v>
      </c>
      <c r="G43" s="136" t="n">
        <f aca="false">IF(ISBLANK(Actuals!D49),"",Actuals!D49)</f>
        <v>-2254.72</v>
      </c>
      <c r="H43" s="137" t="n">
        <f aca="false">IF(ISBLANK(Actuals!D49),"",'Original Budget'!D49-Actuals!D49)</f>
        <v>1609.91</v>
      </c>
      <c r="I43" s="137" t="n">
        <f aca="false">IFERROR(IF(ISBLANK(Actuals!D49),"",('Original Budget'!D49-Actuals!D49)/ABS('Original Budget'!D49)),"")</f>
        <v>2.49671996402041</v>
      </c>
      <c r="J43" s="136" t="n">
        <f aca="false">'Original Budget'!E49</f>
        <v>-304</v>
      </c>
      <c r="K43" s="136" t="n">
        <f aca="false">IF(ISBLANK(Actuals!E49),"",Actuals!E49)</f>
        <v>-1913.91</v>
      </c>
      <c r="L43" s="137" t="n">
        <f aca="false">IF(ISBLANK(Actuals!E49),"",'Original Budget'!E49-Actuals!E49)</f>
        <v>1609.91</v>
      </c>
      <c r="M43" s="137" t="n">
        <f aca="false">IFERROR(IF(ISBLANK(Actuals!E49),"",('Original Budget'!E49-Actuals!E49)/ABS('Original Budget'!E49)),"")</f>
        <v>5.29575657894737</v>
      </c>
      <c r="N43" s="136" t="n">
        <f aca="false">'Original Budget'!F49</f>
        <v>-417.6</v>
      </c>
      <c r="O43" s="136" t="n">
        <f aca="false">IF(ISBLANK(Actuals!F49),"",Actuals!F49)</f>
        <v>-1609.91</v>
      </c>
      <c r="P43" s="137" t="n">
        <f aca="false">IF(ISBLANK(Actuals!F49),"",'Original Budget'!F49-Actuals!F49)</f>
        <v>1192.31</v>
      </c>
      <c r="Q43" s="137" t="n">
        <f aca="false">IFERROR(IF(ISBLANK(Actuals!F49),"",('Original Budget'!F49-Actuals!F49)/ABS('Original Budget'!F49)),"")</f>
        <v>2.85514846743295</v>
      </c>
      <c r="R43" s="136" t="n">
        <f aca="false">'Original Budget'!G49</f>
        <v>-417.6</v>
      </c>
      <c r="S43" s="136" t="n">
        <f aca="false">IF(ISBLANK(Actuals!G49),"",Actuals!G49)</f>
        <v>-2760.86</v>
      </c>
      <c r="T43" s="137" t="n">
        <f aca="false">IF(ISBLANK(Actuals!G49),"",'Original Budget'!G49-Actuals!G49)</f>
        <v>2343.26</v>
      </c>
      <c r="U43" s="137" t="n">
        <f aca="false">IFERROR(IF(ISBLANK(Actuals!G49),"",('Original Budget'!G49-Actuals!G49)/ABS('Original Budget'!G49)),"")</f>
        <v>5.61125478927203</v>
      </c>
      <c r="V43" s="136" t="n">
        <f aca="false">'Original Budget'!H49</f>
        <v>-417.6</v>
      </c>
      <c r="W43" s="136" t="n">
        <f aca="false">IF(ISBLANK(Actuals!H49),"",Actuals!H49)</f>
        <v>0</v>
      </c>
      <c r="X43" s="137" t="n">
        <f aca="false">IF(ISBLANK(Actuals!H49),"",'Original Budget'!H49-Actuals!H49)</f>
        <v>-417.6</v>
      </c>
      <c r="Y43" s="137" t="n">
        <f aca="false">IFERROR(IF(ISBLANK(Actuals!H49),"",('Original Budget'!H49-Actuals!H49)/ABS('Original Budget'!H49)),"")</f>
        <v>-1</v>
      </c>
      <c r="Z43" s="136" t="n">
        <f aca="false">'Original Budget'!I49</f>
        <v>-417.6</v>
      </c>
      <c r="AA43" s="136" t="str">
        <f aca="false">IF(ISBLANK(Actuals!I49),"",Actuals!I49)</f>
        <v/>
      </c>
      <c r="AB43" s="137" t="str">
        <f aca="false">IF(ISBLANK(Actuals!I49),"",'Original Budget'!I49-Actuals!I49)</f>
        <v/>
      </c>
      <c r="AC43" s="137" t="str">
        <f aca="false">IFERROR(IF(ISBLANK(Actuals!I49),"",('Original Budget'!I49-Actuals!I49)/ABS('Original Budget'!I49)),"")</f>
        <v/>
      </c>
      <c r="AD43" s="136" t="n">
        <f aca="false">'Original Budget'!J49</f>
        <v>-417.6</v>
      </c>
      <c r="AE43" s="136" t="str">
        <f aca="false">IF(ISBLANK(Actuals!J49),"",Actuals!J49)</f>
        <v/>
      </c>
      <c r="AF43" s="137" t="str">
        <f aca="false">IF(ISBLANK(Actuals!J49),"",'Original Budget'!J49-Actuals!J49)</f>
        <v/>
      </c>
      <c r="AG43" s="137" t="str">
        <f aca="false">IFERROR(IF(ISBLANK(Actuals!J49),"",('Original Budget'!J49-Actuals!J49)/ABS('Original Budget'!J49)),"")</f>
        <v/>
      </c>
      <c r="AH43" s="136" t="n">
        <f aca="false">'Original Budget'!K49</f>
        <v>-417.6</v>
      </c>
      <c r="AI43" s="136" t="str">
        <f aca="false">IF(ISBLANK(Actuals!K49),"",Actuals!K49)</f>
        <v/>
      </c>
      <c r="AJ43" s="137" t="str">
        <f aca="false">IF(ISBLANK(Actuals!K49),"",'Original Budget'!K49-Actuals!K49)</f>
        <v/>
      </c>
      <c r="AK43" s="137" t="str">
        <f aca="false">IFERROR(IF(ISBLANK(Actuals!K49),"",('Original Budget'!K49-Actuals!K49)/ABS('Original Budget'!K49)),"")</f>
        <v/>
      </c>
      <c r="AL43" s="136" t="n">
        <f aca="false">'Original Budget'!L49</f>
        <v>-417.6</v>
      </c>
      <c r="AM43" s="136" t="str">
        <f aca="false">IF(ISBLANK(Actuals!L49),"",Actuals!L49)</f>
        <v/>
      </c>
      <c r="AN43" s="137" t="str">
        <f aca="false">IF(ISBLANK(Actuals!L49),"",'Original Budget'!L49-Actuals!L49)</f>
        <v/>
      </c>
      <c r="AO43" s="137" t="str">
        <f aca="false">IFERROR(IF(ISBLANK(Actuals!L49),"",('Original Budget'!L49-Actuals!L49)/ABS('Original Budget'!L49)),"")</f>
        <v/>
      </c>
      <c r="AP43" s="136" t="n">
        <f aca="false">'Original Budget'!M49</f>
        <v>-417.6</v>
      </c>
      <c r="AQ43" s="136" t="str">
        <f aca="false">IF(ISBLANK(Actuals!M49),"",Actuals!M49)</f>
        <v/>
      </c>
      <c r="AR43" s="137" t="str">
        <f aca="false">IF(ISBLANK(Actuals!M49),"",'Original Budget'!M49-Actuals!M49)</f>
        <v/>
      </c>
      <c r="AS43" s="137" t="str">
        <f aca="false">IFERROR(IF(ISBLANK(Actuals!M49),"",('Original Budget'!M49-Actuals!M49)/ABS('Original Budget'!M49)),"")</f>
        <v/>
      </c>
      <c r="AT43" s="136" t="n">
        <f aca="false">'Original Budget'!N49</f>
        <v>-417.6</v>
      </c>
      <c r="AU43" s="136" t="str">
        <f aca="false">IF(ISBLANK(Actuals!N49),"",Actuals!N49)</f>
        <v/>
      </c>
      <c r="AV43" s="137" t="str">
        <f aca="false">IF(ISBLANK(Actuals!N49),"",'Original Budget'!N49-Actuals!N49)</f>
        <v/>
      </c>
      <c r="AW43" s="137" t="str">
        <f aca="false">IFERROR(IF(ISBLANK(Actuals!N49),"",('Original Budget'!N49-Actuals!N49)/ABS('Original Budget'!N49)),"")</f>
        <v/>
      </c>
      <c r="AX43" s="138" t="n">
        <f aca="false">SUMPRODUCT((Actuals!C49:N49&lt;&gt;"")*('Original Budget'!C49:N49))</f>
        <v>-2505.61</v>
      </c>
      <c r="AY43" s="138" t="n">
        <f aca="false">SUM(Actuals!C49:N49)</f>
        <v>-10453.31</v>
      </c>
      <c r="AZ43" s="139" t="n">
        <f aca="false">AX43-AY43</f>
        <v>7947.7</v>
      </c>
    </row>
    <row r="44" customFormat="false" ht="15" hidden="false" customHeight="true" outlineLevel="0" collapsed="false">
      <c r="A44" s="135" t="s">
        <v>89</v>
      </c>
      <c r="B44" s="136" t="n">
        <f aca="false">'Original Budget'!C50</f>
        <v>0</v>
      </c>
      <c r="C44" s="136" t="n">
        <f aca="false">IF(ISBLANK(Actuals!C50),"",Actuals!C50)</f>
        <v>0</v>
      </c>
      <c r="D44" s="137" t="n">
        <f aca="false">IF(ISBLANK(Actuals!C50),"",'Original Budget'!C50-Actuals!C50)</f>
        <v>0</v>
      </c>
      <c r="E44" s="137" t="str">
        <f aca="false">IFERROR(IF(ISBLANK(Actuals!C50),"",('Original Budget'!C50-Actuals!C50)/ABS('Original Budget'!C50)),"")</f>
        <v/>
      </c>
      <c r="F44" s="136" t="n">
        <f aca="false">'Original Budget'!D50</f>
        <v>-75</v>
      </c>
      <c r="G44" s="136" t="n">
        <f aca="false">IF(ISBLANK(Actuals!D50),"",Actuals!D50)</f>
        <v>-75</v>
      </c>
      <c r="H44" s="137" t="n">
        <f aca="false">IF(ISBLANK(Actuals!D50),"",'Original Budget'!D50-Actuals!D50)</f>
        <v>0</v>
      </c>
      <c r="I44" s="137" t="n">
        <f aca="false">IFERROR(IF(ISBLANK(Actuals!D50),"",('Original Budget'!D50-Actuals!D50)/ABS('Original Budget'!D50)),"")</f>
        <v>0</v>
      </c>
      <c r="J44" s="136" t="n">
        <f aca="false">'Original Budget'!E50</f>
        <v>-5</v>
      </c>
      <c r="K44" s="136" t="n">
        <f aca="false">IF(ISBLANK(Actuals!E50),"",Actuals!E50)</f>
        <v>-5</v>
      </c>
      <c r="L44" s="137" t="n">
        <f aca="false">IF(ISBLANK(Actuals!E50),"",'Original Budget'!E50-Actuals!E50)</f>
        <v>0</v>
      </c>
      <c r="M44" s="137" t="n">
        <f aca="false">IFERROR(IF(ISBLANK(Actuals!E50),"",('Original Budget'!E50-Actuals!E50)/ABS('Original Budget'!E50)),"")</f>
        <v>0</v>
      </c>
      <c r="N44" s="136" t="n">
        <f aca="false">'Original Budget'!F50</f>
        <v>-26.67</v>
      </c>
      <c r="O44" s="136" t="n">
        <f aca="false">IF(ISBLANK(Actuals!F50),"",Actuals!F50)</f>
        <v>0</v>
      </c>
      <c r="P44" s="137" t="n">
        <f aca="false">IF(ISBLANK(Actuals!F50),"",'Original Budget'!F50-Actuals!F50)</f>
        <v>-26.67</v>
      </c>
      <c r="Q44" s="137" t="n">
        <f aca="false">IFERROR(IF(ISBLANK(Actuals!F50),"",('Original Budget'!F50-Actuals!F50)/ABS('Original Budget'!F50)),"")</f>
        <v>-1</v>
      </c>
      <c r="R44" s="136" t="n">
        <f aca="false">'Original Budget'!G50</f>
        <v>-26.67</v>
      </c>
      <c r="S44" s="136" t="n">
        <f aca="false">IF(ISBLANK(Actuals!G50),"",Actuals!G50)</f>
        <v>0</v>
      </c>
      <c r="T44" s="137" t="n">
        <f aca="false">IF(ISBLANK(Actuals!G50),"",'Original Budget'!G50-Actuals!G50)</f>
        <v>-26.67</v>
      </c>
      <c r="U44" s="137" t="n">
        <f aca="false">IFERROR(IF(ISBLANK(Actuals!G50),"",('Original Budget'!G50-Actuals!G50)/ABS('Original Budget'!G50)),"")</f>
        <v>-1</v>
      </c>
      <c r="V44" s="136" t="n">
        <f aca="false">'Original Budget'!H50</f>
        <v>-26.67</v>
      </c>
      <c r="W44" s="136" t="n">
        <f aca="false">IF(ISBLANK(Actuals!H50),"",Actuals!H50)</f>
        <v>0</v>
      </c>
      <c r="X44" s="137" t="n">
        <f aca="false">IF(ISBLANK(Actuals!H50),"",'Original Budget'!H50-Actuals!H50)</f>
        <v>-26.67</v>
      </c>
      <c r="Y44" s="137" t="n">
        <f aca="false">IFERROR(IF(ISBLANK(Actuals!H50),"",('Original Budget'!H50-Actuals!H50)/ABS('Original Budget'!H50)),"")</f>
        <v>-1</v>
      </c>
      <c r="Z44" s="136" t="n">
        <f aca="false">'Original Budget'!I50</f>
        <v>-26.67</v>
      </c>
      <c r="AA44" s="136" t="str">
        <f aca="false">IF(ISBLANK(Actuals!I50),"",Actuals!I50)</f>
        <v/>
      </c>
      <c r="AB44" s="137" t="str">
        <f aca="false">IF(ISBLANK(Actuals!I50),"",'Original Budget'!I50-Actuals!I50)</f>
        <v/>
      </c>
      <c r="AC44" s="137" t="str">
        <f aca="false">IFERROR(IF(ISBLANK(Actuals!I50),"",('Original Budget'!I50-Actuals!I50)/ABS('Original Budget'!I50)),"")</f>
        <v/>
      </c>
      <c r="AD44" s="136" t="n">
        <f aca="false">'Original Budget'!J50</f>
        <v>-26.67</v>
      </c>
      <c r="AE44" s="136" t="str">
        <f aca="false">IF(ISBLANK(Actuals!J50),"",Actuals!J50)</f>
        <v/>
      </c>
      <c r="AF44" s="137" t="str">
        <f aca="false">IF(ISBLANK(Actuals!J50),"",'Original Budget'!J50-Actuals!J50)</f>
        <v/>
      </c>
      <c r="AG44" s="137" t="str">
        <f aca="false">IFERROR(IF(ISBLANK(Actuals!J50),"",('Original Budget'!J50-Actuals!J50)/ABS('Original Budget'!J50)),"")</f>
        <v/>
      </c>
      <c r="AH44" s="136" t="n">
        <f aca="false">'Original Budget'!K50</f>
        <v>-26.67</v>
      </c>
      <c r="AI44" s="136" t="str">
        <f aca="false">IF(ISBLANK(Actuals!K50),"",Actuals!K50)</f>
        <v/>
      </c>
      <c r="AJ44" s="137" t="str">
        <f aca="false">IF(ISBLANK(Actuals!K50),"",'Original Budget'!K50-Actuals!K50)</f>
        <v/>
      </c>
      <c r="AK44" s="137" t="str">
        <f aca="false">IFERROR(IF(ISBLANK(Actuals!K50),"",('Original Budget'!K50-Actuals!K50)/ABS('Original Budget'!K50)),"")</f>
        <v/>
      </c>
      <c r="AL44" s="136" t="n">
        <f aca="false">'Original Budget'!L50</f>
        <v>-26.67</v>
      </c>
      <c r="AM44" s="136" t="str">
        <f aca="false">IF(ISBLANK(Actuals!L50),"",Actuals!L50)</f>
        <v/>
      </c>
      <c r="AN44" s="137" t="str">
        <f aca="false">IF(ISBLANK(Actuals!L50),"",'Original Budget'!L50-Actuals!L50)</f>
        <v/>
      </c>
      <c r="AO44" s="137" t="str">
        <f aca="false">IFERROR(IF(ISBLANK(Actuals!L50),"",('Original Budget'!L50-Actuals!L50)/ABS('Original Budget'!L50)),"")</f>
        <v/>
      </c>
      <c r="AP44" s="136" t="n">
        <f aca="false">'Original Budget'!M50</f>
        <v>-26.67</v>
      </c>
      <c r="AQ44" s="136" t="str">
        <f aca="false">IF(ISBLANK(Actuals!M50),"",Actuals!M50)</f>
        <v/>
      </c>
      <c r="AR44" s="137" t="str">
        <f aca="false">IF(ISBLANK(Actuals!M50),"",'Original Budget'!M50-Actuals!M50)</f>
        <v/>
      </c>
      <c r="AS44" s="137" t="str">
        <f aca="false">IFERROR(IF(ISBLANK(Actuals!M50),"",('Original Budget'!M50-Actuals!M50)/ABS('Original Budget'!M50)),"")</f>
        <v/>
      </c>
      <c r="AT44" s="136" t="n">
        <f aca="false">'Original Budget'!N50</f>
        <v>-26.67</v>
      </c>
      <c r="AU44" s="136" t="str">
        <f aca="false">IF(ISBLANK(Actuals!N50),"",Actuals!N50)</f>
        <v/>
      </c>
      <c r="AV44" s="137" t="str">
        <f aca="false">IF(ISBLANK(Actuals!N50),"",'Original Budget'!N50-Actuals!N50)</f>
        <v/>
      </c>
      <c r="AW44" s="137" t="str">
        <f aca="false">IFERROR(IF(ISBLANK(Actuals!N50),"",('Original Budget'!N50-Actuals!N50)/ABS('Original Budget'!N50)),"")</f>
        <v/>
      </c>
      <c r="AX44" s="138" t="n">
        <f aca="false">SUMPRODUCT((Actuals!C50:N50&lt;&gt;"")*('Original Budget'!C50:N50))</f>
        <v>-160.01</v>
      </c>
      <c r="AY44" s="138" t="n">
        <f aca="false">SUM(Actuals!C50:N50)</f>
        <v>-80</v>
      </c>
      <c r="AZ44" s="139" t="n">
        <f aca="false">AX44-AY44</f>
        <v>-80.01</v>
      </c>
    </row>
    <row r="45" customFormat="false" ht="15" hidden="false" customHeight="true" outlineLevel="0" collapsed="false">
      <c r="A45" s="135" t="s">
        <v>90</v>
      </c>
      <c r="B45" s="136" t="n">
        <f aca="false">'Original Budget'!C51</f>
        <v>0</v>
      </c>
      <c r="C45" s="136" t="n">
        <f aca="false">IF(ISBLANK(Actuals!C51),"",Actuals!C51)</f>
        <v>0</v>
      </c>
      <c r="D45" s="137" t="n">
        <f aca="false">IF(ISBLANK(Actuals!C51),"",'Original Budget'!C51-Actuals!C51)</f>
        <v>0</v>
      </c>
      <c r="E45" s="137" t="str">
        <f aca="false">IFERROR(IF(ISBLANK(Actuals!C51),"",('Original Budget'!C51-Actuals!C51)/ABS('Original Budget'!C51)),"")</f>
        <v/>
      </c>
      <c r="F45" s="136" t="n">
        <f aca="false">'Original Budget'!D51</f>
        <v>-63</v>
      </c>
      <c r="G45" s="136" t="n">
        <f aca="false">IF(ISBLANK(Actuals!D51),"",Actuals!D51)</f>
        <v>-63</v>
      </c>
      <c r="H45" s="137" t="n">
        <f aca="false">IF(ISBLANK(Actuals!D51),"",'Original Budget'!D51-Actuals!D51)</f>
        <v>0</v>
      </c>
      <c r="I45" s="137" t="n">
        <f aca="false">IFERROR(IF(ISBLANK(Actuals!D51),"",('Original Budget'!D51-Actuals!D51)/ABS('Original Budget'!D51)),"")</f>
        <v>0</v>
      </c>
      <c r="J45" s="136" t="n">
        <f aca="false">'Original Budget'!E51</f>
        <v>0</v>
      </c>
      <c r="K45" s="136" t="n">
        <f aca="false">IF(ISBLANK(Actuals!E51),"",Actuals!E51)</f>
        <v>0</v>
      </c>
      <c r="L45" s="137" t="n">
        <f aca="false">IF(ISBLANK(Actuals!E51),"",'Original Budget'!E51-Actuals!E51)</f>
        <v>0</v>
      </c>
      <c r="M45" s="137" t="str">
        <f aca="false">IFERROR(IF(ISBLANK(Actuals!E51),"",('Original Budget'!E51-Actuals!E51)/ABS('Original Budget'!E51)),"")</f>
        <v/>
      </c>
      <c r="N45" s="136" t="n">
        <f aca="false">'Original Budget'!F51</f>
        <v>-21</v>
      </c>
      <c r="O45" s="136" t="n">
        <f aca="false">IF(ISBLANK(Actuals!F51),"",Actuals!F51)</f>
        <v>0</v>
      </c>
      <c r="P45" s="137" t="n">
        <f aca="false">IF(ISBLANK(Actuals!F51),"",'Original Budget'!F51-Actuals!F51)</f>
        <v>-21</v>
      </c>
      <c r="Q45" s="137" t="n">
        <f aca="false">IFERROR(IF(ISBLANK(Actuals!F51),"",('Original Budget'!F51-Actuals!F51)/ABS('Original Budget'!F51)),"")</f>
        <v>-1</v>
      </c>
      <c r="R45" s="136" t="n">
        <f aca="false">'Original Budget'!G51</f>
        <v>-21</v>
      </c>
      <c r="S45" s="136" t="n">
        <f aca="false">IF(ISBLANK(Actuals!G51),"",Actuals!G51)</f>
        <v>0</v>
      </c>
      <c r="T45" s="137" t="n">
        <f aca="false">IF(ISBLANK(Actuals!G51),"",'Original Budget'!G51-Actuals!G51)</f>
        <v>-21</v>
      </c>
      <c r="U45" s="137" t="n">
        <f aca="false">IFERROR(IF(ISBLANK(Actuals!G51),"",('Original Budget'!G51-Actuals!G51)/ABS('Original Budget'!G51)),"")</f>
        <v>-1</v>
      </c>
      <c r="V45" s="136" t="n">
        <f aca="false">'Original Budget'!H51</f>
        <v>-21</v>
      </c>
      <c r="W45" s="136" t="n">
        <f aca="false">IF(ISBLANK(Actuals!H51),"",Actuals!H51)</f>
        <v>0</v>
      </c>
      <c r="X45" s="137" t="n">
        <f aca="false">IF(ISBLANK(Actuals!H51),"",'Original Budget'!H51-Actuals!H51)</f>
        <v>-21</v>
      </c>
      <c r="Y45" s="137" t="n">
        <f aca="false">IFERROR(IF(ISBLANK(Actuals!H51),"",('Original Budget'!H51-Actuals!H51)/ABS('Original Budget'!H51)),"")</f>
        <v>-1</v>
      </c>
      <c r="Z45" s="136" t="n">
        <f aca="false">'Original Budget'!I51</f>
        <v>-21</v>
      </c>
      <c r="AA45" s="136" t="str">
        <f aca="false">IF(ISBLANK(Actuals!I51),"",Actuals!I51)</f>
        <v/>
      </c>
      <c r="AB45" s="137" t="str">
        <f aca="false">IF(ISBLANK(Actuals!I51),"",'Original Budget'!I51-Actuals!I51)</f>
        <v/>
      </c>
      <c r="AC45" s="137" t="str">
        <f aca="false">IFERROR(IF(ISBLANK(Actuals!I51),"",('Original Budget'!I51-Actuals!I51)/ABS('Original Budget'!I51)),"")</f>
        <v/>
      </c>
      <c r="AD45" s="136" t="n">
        <f aca="false">'Original Budget'!J51</f>
        <v>-21</v>
      </c>
      <c r="AE45" s="136" t="str">
        <f aca="false">IF(ISBLANK(Actuals!J51),"",Actuals!J51)</f>
        <v/>
      </c>
      <c r="AF45" s="137" t="str">
        <f aca="false">IF(ISBLANK(Actuals!J51),"",'Original Budget'!J51-Actuals!J51)</f>
        <v/>
      </c>
      <c r="AG45" s="137" t="str">
        <f aca="false">IFERROR(IF(ISBLANK(Actuals!J51),"",('Original Budget'!J51-Actuals!J51)/ABS('Original Budget'!J51)),"")</f>
        <v/>
      </c>
      <c r="AH45" s="136" t="n">
        <f aca="false">'Original Budget'!K51</f>
        <v>-21</v>
      </c>
      <c r="AI45" s="136" t="str">
        <f aca="false">IF(ISBLANK(Actuals!K51),"",Actuals!K51)</f>
        <v/>
      </c>
      <c r="AJ45" s="137" t="str">
        <f aca="false">IF(ISBLANK(Actuals!K51),"",'Original Budget'!K51-Actuals!K51)</f>
        <v/>
      </c>
      <c r="AK45" s="137" t="str">
        <f aca="false">IFERROR(IF(ISBLANK(Actuals!K51),"",('Original Budget'!K51-Actuals!K51)/ABS('Original Budget'!K51)),"")</f>
        <v/>
      </c>
      <c r="AL45" s="136" t="n">
        <f aca="false">'Original Budget'!L51</f>
        <v>-21</v>
      </c>
      <c r="AM45" s="136" t="str">
        <f aca="false">IF(ISBLANK(Actuals!L51),"",Actuals!L51)</f>
        <v/>
      </c>
      <c r="AN45" s="137" t="str">
        <f aca="false">IF(ISBLANK(Actuals!L51),"",'Original Budget'!L51-Actuals!L51)</f>
        <v/>
      </c>
      <c r="AO45" s="137" t="str">
        <f aca="false">IFERROR(IF(ISBLANK(Actuals!L51),"",('Original Budget'!L51-Actuals!L51)/ABS('Original Budget'!L51)),"")</f>
        <v/>
      </c>
      <c r="AP45" s="136" t="n">
        <f aca="false">'Original Budget'!M51</f>
        <v>-21</v>
      </c>
      <c r="AQ45" s="136" t="str">
        <f aca="false">IF(ISBLANK(Actuals!M51),"",Actuals!M51)</f>
        <v/>
      </c>
      <c r="AR45" s="137" t="str">
        <f aca="false">IF(ISBLANK(Actuals!M51),"",'Original Budget'!M51-Actuals!M51)</f>
        <v/>
      </c>
      <c r="AS45" s="137" t="str">
        <f aca="false">IFERROR(IF(ISBLANK(Actuals!M51),"",('Original Budget'!M51-Actuals!M51)/ABS('Original Budget'!M51)),"")</f>
        <v/>
      </c>
      <c r="AT45" s="136" t="n">
        <f aca="false">'Original Budget'!N51</f>
        <v>-21</v>
      </c>
      <c r="AU45" s="136" t="str">
        <f aca="false">IF(ISBLANK(Actuals!N51),"",Actuals!N51)</f>
        <v/>
      </c>
      <c r="AV45" s="137" t="str">
        <f aca="false">IF(ISBLANK(Actuals!N51),"",'Original Budget'!N51-Actuals!N51)</f>
        <v/>
      </c>
      <c r="AW45" s="137" t="str">
        <f aca="false">IFERROR(IF(ISBLANK(Actuals!N51),"",('Original Budget'!N51-Actuals!N51)/ABS('Original Budget'!N51)),"")</f>
        <v/>
      </c>
      <c r="AX45" s="138" t="n">
        <f aca="false">SUMPRODUCT((Actuals!C51:N51&lt;&gt;"")*('Original Budget'!C51:N51))</f>
        <v>-126</v>
      </c>
      <c r="AY45" s="138" t="n">
        <f aca="false">SUM(Actuals!C51:N51)</f>
        <v>-63</v>
      </c>
      <c r="AZ45" s="139" t="n">
        <f aca="false">AX45-AY45</f>
        <v>-63</v>
      </c>
    </row>
    <row r="46" customFormat="false" ht="15" hidden="false" customHeight="true" outlineLevel="0" collapsed="false">
      <c r="A46" s="135" t="s">
        <v>299</v>
      </c>
      <c r="B46" s="136" t="n">
        <f aca="false">'Original Budget'!C52</f>
        <v>0</v>
      </c>
      <c r="C46" s="136" t="str">
        <f aca="false">IF(ISBLANK(Actuals!C52),"",Actuals!C52)</f>
        <v/>
      </c>
      <c r="D46" s="137" t="str">
        <f aca="false">IF(ISBLANK(Actuals!C52),"",'Original Budget'!C52-Actuals!C52)</f>
        <v/>
      </c>
      <c r="E46" s="137" t="str">
        <f aca="false">IFERROR(IF(ISBLANK(Actuals!C52),"",('Original Budget'!C52-Actuals!C52)/ABS('Original Budget'!C52)),"")</f>
        <v/>
      </c>
      <c r="F46" s="136" t="n">
        <f aca="false">'Original Budget'!D52</f>
        <v>0</v>
      </c>
      <c r="G46" s="136" t="str">
        <f aca="false">IF(ISBLANK(Actuals!D52),"",Actuals!D52)</f>
        <v/>
      </c>
      <c r="H46" s="137" t="str">
        <f aca="false">IF(ISBLANK(Actuals!D52),"",'Original Budget'!D52-Actuals!D52)</f>
        <v/>
      </c>
      <c r="I46" s="137" t="str">
        <f aca="false">IFERROR(IF(ISBLANK(Actuals!D52),"",('Original Budget'!D52-Actuals!D52)/ABS('Original Budget'!D52)),"")</f>
        <v/>
      </c>
      <c r="J46" s="136" t="n">
        <f aca="false">'Original Budget'!E52</f>
        <v>0</v>
      </c>
      <c r="K46" s="136" t="str">
        <f aca="false">IF(ISBLANK(Actuals!E52),"",Actuals!E52)</f>
        <v/>
      </c>
      <c r="L46" s="137" t="str">
        <f aca="false">IF(ISBLANK(Actuals!E52),"",'Original Budget'!E52-Actuals!E52)</f>
        <v/>
      </c>
      <c r="M46" s="137" t="str">
        <f aca="false">IFERROR(IF(ISBLANK(Actuals!E52),"",('Original Budget'!E52-Actuals!E52)/ABS('Original Budget'!E52)),"")</f>
        <v/>
      </c>
      <c r="N46" s="136" t="n">
        <f aca="false">'Original Budget'!F52</f>
        <v>0</v>
      </c>
      <c r="O46" s="136" t="str">
        <f aca="false">IF(ISBLANK(Actuals!F52),"",Actuals!F52)</f>
        <v/>
      </c>
      <c r="P46" s="137" t="str">
        <f aca="false">IF(ISBLANK(Actuals!F52),"",'Original Budget'!F52-Actuals!F52)</f>
        <v/>
      </c>
      <c r="Q46" s="137" t="str">
        <f aca="false">IFERROR(IF(ISBLANK(Actuals!F52),"",('Original Budget'!F52-Actuals!F52)/ABS('Original Budget'!F52)),"")</f>
        <v/>
      </c>
      <c r="R46" s="136" t="n">
        <f aca="false">'Original Budget'!G52</f>
        <v>0</v>
      </c>
      <c r="S46" s="136" t="str">
        <f aca="false">IF(ISBLANK(Actuals!G52),"",Actuals!G52)</f>
        <v/>
      </c>
      <c r="T46" s="137" t="str">
        <f aca="false">IF(ISBLANK(Actuals!G52),"",'Original Budget'!G52-Actuals!G52)</f>
        <v/>
      </c>
      <c r="U46" s="137" t="str">
        <f aca="false">IFERROR(IF(ISBLANK(Actuals!G52),"",('Original Budget'!G52-Actuals!G52)/ABS('Original Budget'!G52)),"")</f>
        <v/>
      </c>
      <c r="V46" s="136" t="n">
        <f aca="false">'Original Budget'!H52</f>
        <v>0</v>
      </c>
      <c r="W46" s="136" t="str">
        <f aca="false">IF(ISBLANK(Actuals!H52),"",Actuals!H52)</f>
        <v/>
      </c>
      <c r="X46" s="137" t="str">
        <f aca="false">IF(ISBLANK(Actuals!H52),"",'Original Budget'!H52-Actuals!H52)</f>
        <v/>
      </c>
      <c r="Y46" s="137" t="str">
        <f aca="false">IFERROR(IF(ISBLANK(Actuals!H52),"",('Original Budget'!H52-Actuals!H52)/ABS('Original Budget'!H52)),"")</f>
        <v/>
      </c>
      <c r="Z46" s="136" t="n">
        <f aca="false">'Original Budget'!I52</f>
        <v>0</v>
      </c>
      <c r="AA46" s="136" t="str">
        <f aca="false">IF(ISBLANK(Actuals!I52),"",Actuals!I52)</f>
        <v/>
      </c>
      <c r="AB46" s="137" t="str">
        <f aca="false">IF(ISBLANK(Actuals!I52),"",'Original Budget'!I52-Actuals!I52)</f>
        <v/>
      </c>
      <c r="AC46" s="137" t="str">
        <f aca="false">IFERROR(IF(ISBLANK(Actuals!I52),"",('Original Budget'!I52-Actuals!I52)/ABS('Original Budget'!I52)),"")</f>
        <v/>
      </c>
      <c r="AD46" s="136" t="n">
        <f aca="false">'Original Budget'!J52</f>
        <v>0</v>
      </c>
      <c r="AE46" s="136" t="str">
        <f aca="false">IF(ISBLANK(Actuals!J52),"",Actuals!J52)</f>
        <v/>
      </c>
      <c r="AF46" s="137" t="str">
        <f aca="false">IF(ISBLANK(Actuals!J52),"",'Original Budget'!J52-Actuals!J52)</f>
        <v/>
      </c>
      <c r="AG46" s="137" t="str">
        <f aca="false">IFERROR(IF(ISBLANK(Actuals!J52),"",('Original Budget'!J52-Actuals!J52)/ABS('Original Budget'!J52)),"")</f>
        <v/>
      </c>
      <c r="AH46" s="136" t="n">
        <f aca="false">'Original Budget'!K52</f>
        <v>0</v>
      </c>
      <c r="AI46" s="136" t="str">
        <f aca="false">IF(ISBLANK(Actuals!K52),"",Actuals!K52)</f>
        <v/>
      </c>
      <c r="AJ46" s="137" t="str">
        <f aca="false">IF(ISBLANK(Actuals!K52),"",'Original Budget'!K52-Actuals!K52)</f>
        <v/>
      </c>
      <c r="AK46" s="137" t="str">
        <f aca="false">IFERROR(IF(ISBLANK(Actuals!K52),"",('Original Budget'!K52-Actuals!K52)/ABS('Original Budget'!K52)),"")</f>
        <v/>
      </c>
      <c r="AL46" s="136" t="n">
        <f aca="false">'Original Budget'!L52</f>
        <v>0</v>
      </c>
      <c r="AM46" s="136" t="str">
        <f aca="false">IF(ISBLANK(Actuals!L52),"",Actuals!L52)</f>
        <v/>
      </c>
      <c r="AN46" s="137" t="str">
        <f aca="false">IF(ISBLANK(Actuals!L52),"",'Original Budget'!L52-Actuals!L52)</f>
        <v/>
      </c>
      <c r="AO46" s="137" t="str">
        <f aca="false">IFERROR(IF(ISBLANK(Actuals!L52),"",('Original Budget'!L52-Actuals!L52)/ABS('Original Budget'!L52)),"")</f>
        <v/>
      </c>
      <c r="AP46" s="136" t="n">
        <f aca="false">'Original Budget'!M52</f>
        <v>0</v>
      </c>
      <c r="AQ46" s="136" t="str">
        <f aca="false">IF(ISBLANK(Actuals!M52),"",Actuals!M52)</f>
        <v/>
      </c>
      <c r="AR46" s="137" t="str">
        <f aca="false">IF(ISBLANK(Actuals!M52),"",'Original Budget'!M52-Actuals!M52)</f>
        <v/>
      </c>
      <c r="AS46" s="137" t="str">
        <f aca="false">IFERROR(IF(ISBLANK(Actuals!M52),"",('Original Budget'!M52-Actuals!M52)/ABS('Original Budget'!M52)),"")</f>
        <v/>
      </c>
      <c r="AT46" s="136" t="n">
        <f aca="false">'Original Budget'!N52</f>
        <v>0</v>
      </c>
      <c r="AU46" s="136" t="str">
        <f aca="false">IF(ISBLANK(Actuals!N52),"",Actuals!N52)</f>
        <v/>
      </c>
      <c r="AV46" s="137" t="str">
        <f aca="false">IF(ISBLANK(Actuals!N52),"",'Original Budget'!N52-Actuals!N52)</f>
        <v/>
      </c>
      <c r="AW46" s="137" t="str">
        <f aca="false">IFERROR(IF(ISBLANK(Actuals!N52),"",('Original Budget'!N52-Actuals!N52)/ABS('Original Budget'!N52)),"")</f>
        <v/>
      </c>
      <c r="AX46" s="138" t="n">
        <f aca="false">SUMPRODUCT((Actuals!C52:N52&lt;&gt;"")*('Original Budget'!C52:N52))</f>
        <v>0</v>
      </c>
      <c r="AY46" s="138" t="n">
        <f aca="false">SUM(Actuals!C52:N52)</f>
        <v>0</v>
      </c>
      <c r="AZ46" s="139" t="n">
        <f aca="false">AX46-AY46</f>
        <v>0</v>
      </c>
    </row>
    <row r="47" customFormat="false" ht="15" hidden="false" customHeight="true" outlineLevel="0" collapsed="false">
      <c r="A47" s="135" t="s">
        <v>92</v>
      </c>
      <c r="B47" s="136" t="n">
        <f aca="false">'Original Budget'!C53</f>
        <v>0</v>
      </c>
      <c r="C47" s="136" t="n">
        <f aca="false">IF(ISBLANK(Actuals!C53),"",Actuals!C53)</f>
        <v>0</v>
      </c>
      <c r="D47" s="137" t="n">
        <f aca="false">IF(ISBLANK(Actuals!C53),"",'Original Budget'!C53-Actuals!C53)</f>
        <v>0</v>
      </c>
      <c r="E47" s="137" t="str">
        <f aca="false">IFERROR(IF(ISBLANK(Actuals!C53),"",('Original Budget'!C53-Actuals!C53)/ABS('Original Budget'!C53)),"")</f>
        <v/>
      </c>
      <c r="F47" s="136" t="n">
        <f aca="false">'Original Budget'!D53</f>
        <v>0</v>
      </c>
      <c r="G47" s="136" t="n">
        <f aca="false">IF(ISBLANK(Actuals!D53),"",Actuals!D53)</f>
        <v>0</v>
      </c>
      <c r="H47" s="137" t="n">
        <f aca="false">IF(ISBLANK(Actuals!D53),"",'Original Budget'!D53-Actuals!D53)</f>
        <v>0</v>
      </c>
      <c r="I47" s="137" t="str">
        <f aca="false">IFERROR(IF(ISBLANK(Actuals!D53),"",('Original Budget'!D53-Actuals!D53)/ABS('Original Budget'!D53)),"")</f>
        <v/>
      </c>
      <c r="J47" s="136" t="n">
        <f aca="false">'Original Budget'!E53</f>
        <v>-11105.35</v>
      </c>
      <c r="K47" s="136" t="n">
        <f aca="false">IF(ISBLANK(Actuals!E53),"",Actuals!E53)</f>
        <v>-11105.35</v>
      </c>
      <c r="L47" s="137" t="n">
        <f aca="false">IF(ISBLANK(Actuals!E53),"",'Original Budget'!E53-Actuals!E53)</f>
        <v>0</v>
      </c>
      <c r="M47" s="137" t="n">
        <f aca="false">IFERROR(IF(ISBLANK(Actuals!E53),"",('Original Budget'!E53-Actuals!E53)/ABS('Original Budget'!E53)),"")</f>
        <v>0</v>
      </c>
      <c r="N47" s="136" t="n">
        <f aca="false">'Original Budget'!F53</f>
        <v>-3701.78</v>
      </c>
      <c r="O47" s="136" t="n">
        <f aca="false">IF(ISBLANK(Actuals!F53),"",Actuals!F53)</f>
        <v>0</v>
      </c>
      <c r="P47" s="137" t="n">
        <f aca="false">IF(ISBLANK(Actuals!F53),"",'Original Budget'!F53-Actuals!F53)</f>
        <v>-3701.78</v>
      </c>
      <c r="Q47" s="137" t="n">
        <f aca="false">IFERROR(IF(ISBLANK(Actuals!F53),"",('Original Budget'!F53-Actuals!F53)/ABS('Original Budget'!F53)),"")</f>
        <v>-1</v>
      </c>
      <c r="R47" s="136" t="n">
        <f aca="false">'Original Budget'!G53</f>
        <v>-3701.78</v>
      </c>
      <c r="S47" s="136" t="n">
        <f aca="false">IF(ISBLANK(Actuals!G53),"",Actuals!G53)</f>
        <v>0</v>
      </c>
      <c r="T47" s="137" t="n">
        <f aca="false">IF(ISBLANK(Actuals!G53),"",'Original Budget'!G53-Actuals!G53)</f>
        <v>-3701.78</v>
      </c>
      <c r="U47" s="137" t="n">
        <f aca="false">IFERROR(IF(ISBLANK(Actuals!G53),"",('Original Budget'!G53-Actuals!G53)/ABS('Original Budget'!G53)),"")</f>
        <v>-1</v>
      </c>
      <c r="V47" s="136" t="n">
        <f aca="false">'Original Budget'!H53</f>
        <v>-3701.78</v>
      </c>
      <c r="W47" s="136" t="n">
        <f aca="false">IF(ISBLANK(Actuals!H53),"",Actuals!H53)</f>
        <v>0</v>
      </c>
      <c r="X47" s="137" t="n">
        <f aca="false">IF(ISBLANK(Actuals!H53),"",'Original Budget'!H53-Actuals!H53)</f>
        <v>-3701.78</v>
      </c>
      <c r="Y47" s="137" t="n">
        <f aca="false">IFERROR(IF(ISBLANK(Actuals!H53),"",('Original Budget'!H53-Actuals!H53)/ABS('Original Budget'!H53)),"")</f>
        <v>-1</v>
      </c>
      <c r="Z47" s="136" t="n">
        <f aca="false">'Original Budget'!I53</f>
        <v>-3701.78</v>
      </c>
      <c r="AA47" s="136" t="str">
        <f aca="false">IF(ISBLANK(Actuals!I53),"",Actuals!I53)</f>
        <v/>
      </c>
      <c r="AB47" s="137" t="str">
        <f aca="false">IF(ISBLANK(Actuals!I53),"",'Original Budget'!I53-Actuals!I53)</f>
        <v/>
      </c>
      <c r="AC47" s="137" t="str">
        <f aca="false">IFERROR(IF(ISBLANK(Actuals!I53),"",('Original Budget'!I53-Actuals!I53)/ABS('Original Budget'!I53)),"")</f>
        <v/>
      </c>
      <c r="AD47" s="136" t="n">
        <f aca="false">'Original Budget'!J53</f>
        <v>-3701.78</v>
      </c>
      <c r="AE47" s="136" t="str">
        <f aca="false">IF(ISBLANK(Actuals!J53),"",Actuals!J53)</f>
        <v/>
      </c>
      <c r="AF47" s="137" t="str">
        <f aca="false">IF(ISBLANK(Actuals!J53),"",'Original Budget'!J53-Actuals!J53)</f>
        <v/>
      </c>
      <c r="AG47" s="137" t="str">
        <f aca="false">IFERROR(IF(ISBLANK(Actuals!J53),"",('Original Budget'!J53-Actuals!J53)/ABS('Original Budget'!J53)),"")</f>
        <v/>
      </c>
      <c r="AH47" s="136" t="n">
        <f aca="false">'Original Budget'!K53</f>
        <v>-3701.78</v>
      </c>
      <c r="AI47" s="136" t="str">
        <f aca="false">IF(ISBLANK(Actuals!K53),"",Actuals!K53)</f>
        <v/>
      </c>
      <c r="AJ47" s="137" t="str">
        <f aca="false">IF(ISBLANK(Actuals!K53),"",'Original Budget'!K53-Actuals!K53)</f>
        <v/>
      </c>
      <c r="AK47" s="137" t="str">
        <f aca="false">IFERROR(IF(ISBLANK(Actuals!K53),"",('Original Budget'!K53-Actuals!K53)/ABS('Original Budget'!K53)),"")</f>
        <v/>
      </c>
      <c r="AL47" s="136" t="n">
        <f aca="false">'Original Budget'!L53</f>
        <v>-3701.78</v>
      </c>
      <c r="AM47" s="136" t="str">
        <f aca="false">IF(ISBLANK(Actuals!L53),"",Actuals!L53)</f>
        <v/>
      </c>
      <c r="AN47" s="137" t="str">
        <f aca="false">IF(ISBLANK(Actuals!L53),"",'Original Budget'!L53-Actuals!L53)</f>
        <v/>
      </c>
      <c r="AO47" s="137" t="str">
        <f aca="false">IFERROR(IF(ISBLANK(Actuals!L53),"",('Original Budget'!L53-Actuals!L53)/ABS('Original Budget'!L53)),"")</f>
        <v/>
      </c>
      <c r="AP47" s="136" t="n">
        <f aca="false">'Original Budget'!M53</f>
        <v>-3701.78</v>
      </c>
      <c r="AQ47" s="136" t="str">
        <f aca="false">IF(ISBLANK(Actuals!M53),"",Actuals!M53)</f>
        <v/>
      </c>
      <c r="AR47" s="137" t="str">
        <f aca="false">IF(ISBLANK(Actuals!M53),"",'Original Budget'!M53-Actuals!M53)</f>
        <v/>
      </c>
      <c r="AS47" s="137" t="str">
        <f aca="false">IFERROR(IF(ISBLANK(Actuals!M53),"",('Original Budget'!M53-Actuals!M53)/ABS('Original Budget'!M53)),"")</f>
        <v/>
      </c>
      <c r="AT47" s="136" t="n">
        <f aca="false">'Original Budget'!N53</f>
        <v>-3701.78</v>
      </c>
      <c r="AU47" s="136" t="str">
        <f aca="false">IF(ISBLANK(Actuals!N53),"",Actuals!N53)</f>
        <v/>
      </c>
      <c r="AV47" s="137" t="str">
        <f aca="false">IF(ISBLANK(Actuals!N53),"",'Original Budget'!N53-Actuals!N53)</f>
        <v/>
      </c>
      <c r="AW47" s="137" t="str">
        <f aca="false">IFERROR(IF(ISBLANK(Actuals!N53),"",('Original Budget'!N53-Actuals!N53)/ABS('Original Budget'!N53)),"")</f>
        <v/>
      </c>
      <c r="AX47" s="138" t="n">
        <f aca="false">SUMPRODUCT((Actuals!C53:N53&lt;&gt;"")*('Original Budget'!C53:N53))</f>
        <v>-22210.69</v>
      </c>
      <c r="AY47" s="138" t="n">
        <f aca="false">SUM(Actuals!C53:N53)</f>
        <v>-11105.35</v>
      </c>
      <c r="AZ47" s="139" t="n">
        <f aca="false">AX47-AY47</f>
        <v>-11105.34</v>
      </c>
    </row>
    <row r="48" customFormat="false" ht="15" hidden="false" customHeight="true" outlineLevel="0" collapsed="false">
      <c r="A48" s="135" t="s">
        <v>300</v>
      </c>
      <c r="B48" s="136" t="n">
        <f aca="false">'Original Budget'!C54</f>
        <v>0</v>
      </c>
      <c r="C48" s="136" t="str">
        <f aca="false">IF(ISBLANK(Actuals!C54),"",Actuals!C54)</f>
        <v/>
      </c>
      <c r="D48" s="137" t="str">
        <f aca="false">IF(ISBLANK(Actuals!C54),"",'Original Budget'!C54-Actuals!C54)</f>
        <v/>
      </c>
      <c r="E48" s="137" t="str">
        <f aca="false">IFERROR(IF(ISBLANK(Actuals!C54),"",('Original Budget'!C54-Actuals!C54)/ABS('Original Budget'!C54)),"")</f>
        <v/>
      </c>
      <c r="F48" s="136" t="n">
        <f aca="false">'Original Budget'!D54</f>
        <v>0</v>
      </c>
      <c r="G48" s="136" t="str">
        <f aca="false">IF(ISBLANK(Actuals!D54),"",Actuals!D54)</f>
        <v/>
      </c>
      <c r="H48" s="137" t="str">
        <f aca="false">IF(ISBLANK(Actuals!D54),"",'Original Budget'!D54-Actuals!D54)</f>
        <v/>
      </c>
      <c r="I48" s="137" t="str">
        <f aca="false">IFERROR(IF(ISBLANK(Actuals!D54),"",('Original Budget'!D54-Actuals!D54)/ABS('Original Budget'!D54)),"")</f>
        <v/>
      </c>
      <c r="J48" s="136" t="n">
        <f aca="false">'Original Budget'!E54</f>
        <v>0</v>
      </c>
      <c r="K48" s="136" t="str">
        <f aca="false">IF(ISBLANK(Actuals!E54),"",Actuals!E54)</f>
        <v/>
      </c>
      <c r="L48" s="137" t="str">
        <f aca="false">IF(ISBLANK(Actuals!E54),"",'Original Budget'!E54-Actuals!E54)</f>
        <v/>
      </c>
      <c r="M48" s="137" t="str">
        <f aca="false">IFERROR(IF(ISBLANK(Actuals!E54),"",('Original Budget'!E54-Actuals!E54)/ABS('Original Budget'!E54)),"")</f>
        <v/>
      </c>
      <c r="N48" s="136" t="n">
        <f aca="false">'Original Budget'!F54</f>
        <v>0</v>
      </c>
      <c r="O48" s="136" t="str">
        <f aca="false">IF(ISBLANK(Actuals!F54),"",Actuals!F54)</f>
        <v/>
      </c>
      <c r="P48" s="137" t="str">
        <f aca="false">IF(ISBLANK(Actuals!F54),"",'Original Budget'!F54-Actuals!F54)</f>
        <v/>
      </c>
      <c r="Q48" s="137" t="str">
        <f aca="false">IFERROR(IF(ISBLANK(Actuals!F54),"",('Original Budget'!F54-Actuals!F54)/ABS('Original Budget'!F54)),"")</f>
        <v/>
      </c>
      <c r="R48" s="136" t="n">
        <f aca="false">'Original Budget'!G54</f>
        <v>0</v>
      </c>
      <c r="S48" s="136" t="str">
        <f aca="false">IF(ISBLANK(Actuals!G54),"",Actuals!G54)</f>
        <v/>
      </c>
      <c r="T48" s="137" t="str">
        <f aca="false">IF(ISBLANK(Actuals!G54),"",'Original Budget'!G54-Actuals!G54)</f>
        <v/>
      </c>
      <c r="U48" s="137" t="str">
        <f aca="false">IFERROR(IF(ISBLANK(Actuals!G54),"",('Original Budget'!G54-Actuals!G54)/ABS('Original Budget'!G54)),"")</f>
        <v/>
      </c>
      <c r="V48" s="136" t="n">
        <f aca="false">'Original Budget'!H54</f>
        <v>0</v>
      </c>
      <c r="W48" s="136" t="n">
        <f aca="false">IF(ISBLANK(Actuals!H54),"",Actuals!H54)</f>
        <v>-612.68</v>
      </c>
      <c r="X48" s="137" t="n">
        <f aca="false">IF(ISBLANK(Actuals!H54),"",'Original Budget'!H54-Actuals!H54)</f>
        <v>612.68</v>
      </c>
      <c r="Y48" s="137" t="str">
        <f aca="false">IFERROR(IF(ISBLANK(Actuals!H54),"",('Original Budget'!H54-Actuals!H54)/ABS('Original Budget'!H54)),"")</f>
        <v/>
      </c>
      <c r="Z48" s="136" t="n">
        <f aca="false">'Original Budget'!I54</f>
        <v>0</v>
      </c>
      <c r="AA48" s="136" t="str">
        <f aca="false">IF(ISBLANK(Actuals!I54),"",Actuals!I54)</f>
        <v/>
      </c>
      <c r="AB48" s="137" t="str">
        <f aca="false">IF(ISBLANK(Actuals!I54),"",'Original Budget'!I54-Actuals!I54)</f>
        <v/>
      </c>
      <c r="AC48" s="137" t="str">
        <f aca="false">IFERROR(IF(ISBLANK(Actuals!I54),"",('Original Budget'!I54-Actuals!I54)/ABS('Original Budget'!I54)),"")</f>
        <v/>
      </c>
      <c r="AD48" s="136" t="n">
        <f aca="false">'Original Budget'!J54</f>
        <v>0</v>
      </c>
      <c r="AE48" s="136" t="str">
        <f aca="false">IF(ISBLANK(Actuals!J54),"",Actuals!J54)</f>
        <v/>
      </c>
      <c r="AF48" s="137" t="str">
        <f aca="false">IF(ISBLANK(Actuals!J54),"",'Original Budget'!J54-Actuals!J54)</f>
        <v/>
      </c>
      <c r="AG48" s="137" t="str">
        <f aca="false">IFERROR(IF(ISBLANK(Actuals!J54),"",('Original Budget'!J54-Actuals!J54)/ABS('Original Budget'!J54)),"")</f>
        <v/>
      </c>
      <c r="AH48" s="136" t="n">
        <f aca="false">'Original Budget'!K54</f>
        <v>0</v>
      </c>
      <c r="AI48" s="136" t="str">
        <f aca="false">IF(ISBLANK(Actuals!K54),"",Actuals!K54)</f>
        <v/>
      </c>
      <c r="AJ48" s="137" t="str">
        <f aca="false">IF(ISBLANK(Actuals!K54),"",'Original Budget'!K54-Actuals!K54)</f>
        <v/>
      </c>
      <c r="AK48" s="137" t="str">
        <f aca="false">IFERROR(IF(ISBLANK(Actuals!K54),"",('Original Budget'!K54-Actuals!K54)/ABS('Original Budget'!K54)),"")</f>
        <v/>
      </c>
      <c r="AL48" s="136" t="n">
        <f aca="false">'Original Budget'!L54</f>
        <v>0</v>
      </c>
      <c r="AM48" s="136" t="str">
        <f aca="false">IF(ISBLANK(Actuals!L54),"",Actuals!L54)</f>
        <v/>
      </c>
      <c r="AN48" s="137" t="str">
        <f aca="false">IF(ISBLANK(Actuals!L54),"",'Original Budget'!L54-Actuals!L54)</f>
        <v/>
      </c>
      <c r="AO48" s="137" t="str">
        <f aca="false">IFERROR(IF(ISBLANK(Actuals!L54),"",('Original Budget'!L54-Actuals!L54)/ABS('Original Budget'!L54)),"")</f>
        <v/>
      </c>
      <c r="AP48" s="136" t="n">
        <f aca="false">'Original Budget'!M54</f>
        <v>0</v>
      </c>
      <c r="AQ48" s="136" t="str">
        <f aca="false">IF(ISBLANK(Actuals!M54),"",Actuals!M54)</f>
        <v/>
      </c>
      <c r="AR48" s="137" t="str">
        <f aca="false">IF(ISBLANK(Actuals!M54),"",'Original Budget'!M54-Actuals!M54)</f>
        <v/>
      </c>
      <c r="AS48" s="137" t="str">
        <f aca="false">IFERROR(IF(ISBLANK(Actuals!M54),"",('Original Budget'!M54-Actuals!M54)/ABS('Original Budget'!M54)),"")</f>
        <v/>
      </c>
      <c r="AT48" s="136" t="n">
        <f aca="false">'Original Budget'!N54</f>
        <v>0</v>
      </c>
      <c r="AU48" s="136" t="str">
        <f aca="false">IF(ISBLANK(Actuals!N54),"",Actuals!N54)</f>
        <v/>
      </c>
      <c r="AV48" s="137" t="str">
        <f aca="false">IF(ISBLANK(Actuals!N54),"",'Original Budget'!N54-Actuals!N54)</f>
        <v/>
      </c>
      <c r="AW48" s="137" t="str">
        <f aca="false">IFERROR(IF(ISBLANK(Actuals!N54),"",('Original Budget'!N54-Actuals!N54)/ABS('Original Budget'!N54)),"")</f>
        <v/>
      </c>
      <c r="AX48" s="138" t="n">
        <f aca="false">SUMPRODUCT((Actuals!C54:N54&lt;&gt;"")*('Original Budget'!C54:N54))</f>
        <v>0</v>
      </c>
      <c r="AY48" s="138" t="n">
        <f aca="false">SUM(Actuals!C54:N54)</f>
        <v>-612.68</v>
      </c>
      <c r="AZ48" s="139" t="n">
        <f aca="false">AX48-AY48</f>
        <v>612.68</v>
      </c>
    </row>
    <row r="49" customFormat="false" ht="15" hidden="false" customHeight="true" outlineLevel="0" collapsed="false">
      <c r="A49" s="135" t="s">
        <v>97</v>
      </c>
      <c r="B49" s="136" t="n">
        <f aca="false">'Original Budget'!C64</f>
        <v>833.33</v>
      </c>
      <c r="C49" s="136" t="n">
        <f aca="false">IF(ISBLANK(Actuals!C64),"",Actuals!C64)</f>
        <v>833.33</v>
      </c>
      <c r="D49" s="137" t="n">
        <f aca="false">IF(ISBLANK(Actuals!C64),"",'Original Budget'!C64-Actuals!C64)</f>
        <v>0</v>
      </c>
      <c r="E49" s="137" t="n">
        <f aca="false">IFERROR(IF(ISBLANK(Actuals!C64),"",('Original Budget'!C64-Actuals!C64)/ABS('Original Budget'!C64)),"")</f>
        <v>0</v>
      </c>
      <c r="F49" s="136" t="n">
        <f aca="false">'Original Budget'!D64</f>
        <v>833.33</v>
      </c>
      <c r="G49" s="136" t="n">
        <f aca="false">IF(ISBLANK(Actuals!D64),"",Actuals!D64)</f>
        <v>833.33</v>
      </c>
      <c r="H49" s="137" t="n">
        <f aca="false">IF(ISBLANK(Actuals!D64),"",'Original Budget'!D64-Actuals!D64)</f>
        <v>0</v>
      </c>
      <c r="I49" s="137" t="n">
        <f aca="false">IFERROR(IF(ISBLANK(Actuals!D64),"",('Original Budget'!D64-Actuals!D64)/ABS('Original Budget'!D64)),"")</f>
        <v>0</v>
      </c>
      <c r="J49" s="136" t="n">
        <f aca="false">'Original Budget'!E64</f>
        <v>833.33</v>
      </c>
      <c r="K49" s="136" t="n">
        <f aca="false">IF(ISBLANK(Actuals!E64),"",Actuals!E64)</f>
        <v>833.33</v>
      </c>
      <c r="L49" s="137" t="n">
        <f aca="false">IF(ISBLANK(Actuals!E64),"",'Original Budget'!E64-Actuals!E64)</f>
        <v>0</v>
      </c>
      <c r="M49" s="137" t="n">
        <f aca="false">IFERROR(IF(ISBLANK(Actuals!E64),"",('Original Budget'!E64-Actuals!E64)/ABS('Original Budget'!E64)),"")</f>
        <v>0</v>
      </c>
      <c r="N49" s="136" t="n">
        <f aca="false">'Original Budget'!F64</f>
        <v>833.33</v>
      </c>
      <c r="O49" s="136" t="n">
        <f aca="false">IF(ISBLANK(Actuals!F64),"",Actuals!F64)</f>
        <v>833.33</v>
      </c>
      <c r="P49" s="137" t="n">
        <f aca="false">IF(ISBLANK(Actuals!F64),"",'Original Budget'!F64-Actuals!F64)</f>
        <v>0</v>
      </c>
      <c r="Q49" s="137" t="n">
        <f aca="false">IFERROR(IF(ISBLANK(Actuals!F64),"",('Original Budget'!F64-Actuals!F64)/ABS('Original Budget'!F64)),"")</f>
        <v>0</v>
      </c>
      <c r="R49" s="136" t="n">
        <f aca="false">'Original Budget'!G64</f>
        <v>833.33</v>
      </c>
      <c r="S49" s="136" t="n">
        <f aca="false">IF(ISBLANK(Actuals!G64),"",Actuals!G64)</f>
        <v>833.33</v>
      </c>
      <c r="T49" s="137" t="n">
        <f aca="false">IF(ISBLANK(Actuals!G64),"",'Original Budget'!G64-Actuals!G64)</f>
        <v>0</v>
      </c>
      <c r="U49" s="137" t="n">
        <f aca="false">IFERROR(IF(ISBLANK(Actuals!G64),"",('Original Budget'!G64-Actuals!G64)/ABS('Original Budget'!G64)),"")</f>
        <v>0</v>
      </c>
      <c r="V49" s="136" t="n">
        <f aca="false">'Original Budget'!H64</f>
        <v>833.33</v>
      </c>
      <c r="W49" s="136" t="n">
        <f aca="false">IF(ISBLANK(Actuals!H64),"",Actuals!H64)</f>
        <v>833.33</v>
      </c>
      <c r="X49" s="137" t="n">
        <f aca="false">IF(ISBLANK(Actuals!H64),"",'Original Budget'!H64-Actuals!H64)</f>
        <v>0</v>
      </c>
      <c r="Y49" s="137" t="n">
        <f aca="false">IFERROR(IF(ISBLANK(Actuals!H64),"",('Original Budget'!H64-Actuals!H64)/ABS('Original Budget'!H64)),"")</f>
        <v>0</v>
      </c>
      <c r="Z49" s="136" t="n">
        <f aca="false">'Original Budget'!I64</f>
        <v>833.33</v>
      </c>
      <c r="AA49" s="136" t="str">
        <f aca="false">IF(ISBLANK(Actuals!I64),"",Actuals!I64)</f>
        <v/>
      </c>
      <c r="AB49" s="137" t="str">
        <f aca="false">IF(ISBLANK(Actuals!I64),"",'Original Budget'!I64-Actuals!I64)</f>
        <v/>
      </c>
      <c r="AC49" s="137" t="str">
        <f aca="false">IFERROR(IF(ISBLANK(Actuals!I64),"",('Original Budget'!I64-Actuals!I64)/ABS('Original Budget'!I64)),"")</f>
        <v/>
      </c>
      <c r="AD49" s="136" t="n">
        <f aca="false">'Original Budget'!J64</f>
        <v>833.33</v>
      </c>
      <c r="AE49" s="136" t="str">
        <f aca="false">IF(ISBLANK(Actuals!J64),"",Actuals!J64)</f>
        <v/>
      </c>
      <c r="AF49" s="137" t="str">
        <f aca="false">IF(ISBLANK(Actuals!J64),"",'Original Budget'!J64-Actuals!J64)</f>
        <v/>
      </c>
      <c r="AG49" s="137" t="str">
        <f aca="false">IFERROR(IF(ISBLANK(Actuals!J64),"",('Original Budget'!J64-Actuals!J64)/ABS('Original Budget'!J64)),"")</f>
        <v/>
      </c>
      <c r="AH49" s="136" t="n">
        <f aca="false">'Original Budget'!K64</f>
        <v>0</v>
      </c>
      <c r="AI49" s="136" t="str">
        <f aca="false">IF(ISBLANK(Actuals!K64),"",Actuals!K64)</f>
        <v/>
      </c>
      <c r="AJ49" s="137" t="str">
        <f aca="false">IF(ISBLANK(Actuals!K64),"",'Original Budget'!K64-Actuals!K64)</f>
        <v/>
      </c>
      <c r="AK49" s="137" t="str">
        <f aca="false">IFERROR(IF(ISBLANK(Actuals!K64),"",('Original Budget'!K64-Actuals!K64)/ABS('Original Budget'!K64)),"")</f>
        <v/>
      </c>
      <c r="AL49" s="136" t="n">
        <f aca="false">'Original Budget'!L64</f>
        <v>0</v>
      </c>
      <c r="AM49" s="136" t="str">
        <f aca="false">IF(ISBLANK(Actuals!L64),"",Actuals!L64)</f>
        <v/>
      </c>
      <c r="AN49" s="137" t="str">
        <f aca="false">IF(ISBLANK(Actuals!L64),"",'Original Budget'!L64-Actuals!L64)</f>
        <v/>
      </c>
      <c r="AO49" s="137" t="str">
        <f aca="false">IFERROR(IF(ISBLANK(Actuals!L64),"",('Original Budget'!L64-Actuals!L64)/ABS('Original Budget'!L64)),"")</f>
        <v/>
      </c>
      <c r="AP49" s="136" t="n">
        <f aca="false">'Original Budget'!M64</f>
        <v>0</v>
      </c>
      <c r="AQ49" s="136" t="str">
        <f aca="false">IF(ISBLANK(Actuals!M64),"",Actuals!M64)</f>
        <v/>
      </c>
      <c r="AR49" s="137" t="str">
        <f aca="false">IF(ISBLANK(Actuals!M64),"",'Original Budget'!M64-Actuals!M64)</f>
        <v/>
      </c>
      <c r="AS49" s="137" t="str">
        <f aca="false">IFERROR(IF(ISBLANK(Actuals!M64),"",('Original Budget'!M64-Actuals!M64)/ABS('Original Budget'!M64)),"")</f>
        <v/>
      </c>
      <c r="AT49" s="136" t="n">
        <f aca="false">'Original Budget'!N64</f>
        <v>0</v>
      </c>
      <c r="AU49" s="136" t="str">
        <f aca="false">IF(ISBLANK(Actuals!N64),"",Actuals!N64)</f>
        <v/>
      </c>
      <c r="AV49" s="137" t="str">
        <f aca="false">IF(ISBLANK(Actuals!N64),"",'Original Budget'!N64-Actuals!N64)</f>
        <v/>
      </c>
      <c r="AW49" s="137" t="str">
        <f aca="false">IFERROR(IF(ISBLANK(Actuals!N64),"",('Original Budget'!N64-Actuals!N64)/ABS('Original Budget'!N64)),"")</f>
        <v/>
      </c>
      <c r="AX49" s="138" t="n">
        <f aca="false">SUMPRODUCT((Actuals!C64:N64&lt;&gt;"")*('Original Budget'!C64:N64))</f>
        <v>4999.98</v>
      </c>
      <c r="AY49" s="138" t="n">
        <f aca="false">SUM(Actuals!C64:N64)</f>
        <v>4999.98</v>
      </c>
      <c r="AZ49" s="139" t="n">
        <f aca="false">AX49-AY49</f>
        <v>0</v>
      </c>
    </row>
    <row r="50" customFormat="false" ht="15" hidden="false" customHeight="true" outlineLevel="0" collapsed="false">
      <c r="A50" s="135" t="s">
        <v>98</v>
      </c>
      <c r="B50" s="136" t="n">
        <f aca="false">'Original Budget'!C65</f>
        <v>23906.25</v>
      </c>
      <c r="C50" s="136" t="n">
        <f aca="false">IF(ISBLANK(Actuals!C65),"",Actuals!C65)</f>
        <v>23906.25</v>
      </c>
      <c r="D50" s="137" t="n">
        <f aca="false">IF(ISBLANK(Actuals!C65),"",'Original Budget'!C65-Actuals!C65)</f>
        <v>0</v>
      </c>
      <c r="E50" s="137" t="n">
        <f aca="false">IFERROR(IF(ISBLANK(Actuals!C65),"",('Original Budget'!C65-Actuals!C65)/ABS('Original Budget'!C65)),"")</f>
        <v>0</v>
      </c>
      <c r="F50" s="136" t="n">
        <f aca="false">'Original Budget'!D65</f>
        <v>23906.25</v>
      </c>
      <c r="G50" s="136" t="n">
        <f aca="false">IF(ISBLANK(Actuals!D65),"",Actuals!D65)</f>
        <v>23906.25</v>
      </c>
      <c r="H50" s="137" t="n">
        <f aca="false">IF(ISBLANK(Actuals!D65),"",'Original Budget'!D65-Actuals!D65)</f>
        <v>0</v>
      </c>
      <c r="I50" s="137" t="n">
        <f aca="false">IFERROR(IF(ISBLANK(Actuals!D65),"",('Original Budget'!D65-Actuals!D65)/ABS('Original Budget'!D65)),"")</f>
        <v>0</v>
      </c>
      <c r="J50" s="136" t="n">
        <f aca="false">'Original Budget'!E65</f>
        <v>23906.25</v>
      </c>
      <c r="K50" s="136" t="n">
        <f aca="false">IF(ISBLANK(Actuals!E65),"",Actuals!E65)</f>
        <v>23906.25</v>
      </c>
      <c r="L50" s="137" t="n">
        <f aca="false">IF(ISBLANK(Actuals!E65),"",'Original Budget'!E65-Actuals!E65)</f>
        <v>0</v>
      </c>
      <c r="M50" s="137" t="n">
        <f aca="false">IFERROR(IF(ISBLANK(Actuals!E65),"",('Original Budget'!E65-Actuals!E65)/ABS('Original Budget'!E65)),"")</f>
        <v>0</v>
      </c>
      <c r="N50" s="136" t="n">
        <f aca="false">'Original Budget'!F65</f>
        <v>23906.25</v>
      </c>
      <c r="O50" s="136" t="n">
        <f aca="false">IF(ISBLANK(Actuals!F65),"",Actuals!F65)</f>
        <v>23906.25</v>
      </c>
      <c r="P50" s="137" t="n">
        <f aca="false">IF(ISBLANK(Actuals!F65),"",'Original Budget'!F65-Actuals!F65)</f>
        <v>0</v>
      </c>
      <c r="Q50" s="137" t="n">
        <f aca="false">IFERROR(IF(ISBLANK(Actuals!F65),"",('Original Budget'!F65-Actuals!F65)/ABS('Original Budget'!F65)),"")</f>
        <v>0</v>
      </c>
      <c r="R50" s="136" t="n">
        <f aca="false">'Original Budget'!G65</f>
        <v>23906.25</v>
      </c>
      <c r="S50" s="136" t="n">
        <f aca="false">IF(ISBLANK(Actuals!G65),"",Actuals!G65)</f>
        <v>23906.25</v>
      </c>
      <c r="T50" s="137" t="n">
        <f aca="false">IF(ISBLANK(Actuals!G65),"",'Original Budget'!G65-Actuals!G65)</f>
        <v>0</v>
      </c>
      <c r="U50" s="137" t="n">
        <f aca="false">IFERROR(IF(ISBLANK(Actuals!G65),"",('Original Budget'!G65-Actuals!G65)/ABS('Original Budget'!G65)),"")</f>
        <v>0</v>
      </c>
      <c r="V50" s="136" t="n">
        <f aca="false">'Original Budget'!H65</f>
        <v>23906.25</v>
      </c>
      <c r="W50" s="136" t="n">
        <f aca="false">IF(ISBLANK(Actuals!H65),"",Actuals!H65)</f>
        <v>23906.25</v>
      </c>
      <c r="X50" s="137" t="n">
        <f aca="false">IF(ISBLANK(Actuals!H65),"",'Original Budget'!H65-Actuals!H65)</f>
        <v>0</v>
      </c>
      <c r="Y50" s="137" t="n">
        <f aca="false">IFERROR(IF(ISBLANK(Actuals!H65),"",('Original Budget'!H65-Actuals!H65)/ABS('Original Budget'!H65)),"")</f>
        <v>0</v>
      </c>
      <c r="Z50" s="136" t="n">
        <f aca="false">'Original Budget'!I65</f>
        <v>23906.25</v>
      </c>
      <c r="AA50" s="136" t="str">
        <f aca="false">IF(ISBLANK(Actuals!I65),"",Actuals!I65)</f>
        <v/>
      </c>
      <c r="AB50" s="137" t="str">
        <f aca="false">IF(ISBLANK(Actuals!I65),"",'Original Budget'!I65-Actuals!I65)</f>
        <v/>
      </c>
      <c r="AC50" s="137" t="str">
        <f aca="false">IFERROR(IF(ISBLANK(Actuals!I65),"",('Original Budget'!I65-Actuals!I65)/ABS('Original Budget'!I65)),"")</f>
        <v/>
      </c>
      <c r="AD50" s="136" t="n">
        <f aca="false">'Original Budget'!J65</f>
        <v>23906.25</v>
      </c>
      <c r="AE50" s="136" t="str">
        <f aca="false">IF(ISBLANK(Actuals!J65),"",Actuals!J65)</f>
        <v/>
      </c>
      <c r="AF50" s="137" t="str">
        <f aca="false">IF(ISBLANK(Actuals!J65),"",'Original Budget'!J65-Actuals!J65)</f>
        <v/>
      </c>
      <c r="AG50" s="137" t="str">
        <f aca="false">IFERROR(IF(ISBLANK(Actuals!J65),"",('Original Budget'!J65-Actuals!J65)/ABS('Original Budget'!J65)),"")</f>
        <v/>
      </c>
      <c r="AH50" s="136" t="n">
        <f aca="false">'Original Budget'!K65</f>
        <v>23906.25</v>
      </c>
      <c r="AI50" s="136" t="str">
        <f aca="false">IF(ISBLANK(Actuals!K65),"",Actuals!K65)</f>
        <v/>
      </c>
      <c r="AJ50" s="137" t="str">
        <f aca="false">IF(ISBLANK(Actuals!K65),"",'Original Budget'!K65-Actuals!K65)</f>
        <v/>
      </c>
      <c r="AK50" s="137" t="str">
        <f aca="false">IFERROR(IF(ISBLANK(Actuals!K65),"",('Original Budget'!K65-Actuals!K65)/ABS('Original Budget'!K65)),"")</f>
        <v/>
      </c>
      <c r="AL50" s="136" t="n">
        <f aca="false">'Original Budget'!L65</f>
        <v>23906.25</v>
      </c>
      <c r="AM50" s="136" t="str">
        <f aca="false">IF(ISBLANK(Actuals!L65),"",Actuals!L65)</f>
        <v/>
      </c>
      <c r="AN50" s="137" t="str">
        <f aca="false">IF(ISBLANK(Actuals!L65),"",'Original Budget'!L65-Actuals!L65)</f>
        <v/>
      </c>
      <c r="AO50" s="137" t="str">
        <f aca="false">IFERROR(IF(ISBLANK(Actuals!L65),"",('Original Budget'!L65-Actuals!L65)/ABS('Original Budget'!L65)),"")</f>
        <v/>
      </c>
      <c r="AP50" s="136" t="n">
        <f aca="false">'Original Budget'!M65</f>
        <v>23906.25</v>
      </c>
      <c r="AQ50" s="136" t="str">
        <f aca="false">IF(ISBLANK(Actuals!M65),"",Actuals!M65)</f>
        <v/>
      </c>
      <c r="AR50" s="137" t="str">
        <f aca="false">IF(ISBLANK(Actuals!M65),"",'Original Budget'!M65-Actuals!M65)</f>
        <v/>
      </c>
      <c r="AS50" s="137" t="str">
        <f aca="false">IFERROR(IF(ISBLANK(Actuals!M65),"",('Original Budget'!M65-Actuals!M65)/ABS('Original Budget'!M65)),"")</f>
        <v/>
      </c>
      <c r="AT50" s="136" t="n">
        <f aca="false">'Original Budget'!N65</f>
        <v>23906.25</v>
      </c>
      <c r="AU50" s="136" t="str">
        <f aca="false">IF(ISBLANK(Actuals!N65),"",Actuals!N65)</f>
        <v/>
      </c>
      <c r="AV50" s="137" t="str">
        <f aca="false">IF(ISBLANK(Actuals!N65),"",'Original Budget'!N65-Actuals!N65)</f>
        <v/>
      </c>
      <c r="AW50" s="137" t="str">
        <f aca="false">IFERROR(IF(ISBLANK(Actuals!N65),"",('Original Budget'!N65-Actuals!N65)/ABS('Original Budget'!N65)),"")</f>
        <v/>
      </c>
      <c r="AX50" s="138" t="n">
        <f aca="false">SUMPRODUCT((Actuals!C65:N65&lt;&gt;"")*('Original Budget'!C65:N65))</f>
        <v>143437.5</v>
      </c>
      <c r="AY50" s="138" t="n">
        <f aca="false">SUM(Actuals!C65:N65)</f>
        <v>143437.5</v>
      </c>
      <c r="AZ50" s="139" t="n">
        <f aca="false">AX50-AY50</f>
        <v>0</v>
      </c>
    </row>
    <row r="51" customFormat="false" ht="15" hidden="false" customHeight="true" outlineLevel="0" collapsed="false">
      <c r="A51" s="135" t="s">
        <v>99</v>
      </c>
      <c r="B51" s="136" t="n">
        <f aca="false">'Original Budget'!C66</f>
        <v>0</v>
      </c>
      <c r="C51" s="136" t="str">
        <f aca="false">IF(ISBLANK(Actuals!C66),"",Actuals!C66)</f>
        <v/>
      </c>
      <c r="D51" s="137" t="str">
        <f aca="false">IF(ISBLANK(Actuals!C66),"",'Original Budget'!C66-Actuals!C66)</f>
        <v/>
      </c>
      <c r="E51" s="137" t="str">
        <f aca="false">IFERROR(IF(ISBLANK(Actuals!C66),"",('Original Budget'!C66-Actuals!C66)/ABS('Original Budget'!C66)),"")</f>
        <v/>
      </c>
      <c r="F51" s="136" t="n">
        <f aca="false">'Original Budget'!D66</f>
        <v>0</v>
      </c>
      <c r="G51" s="136" t="str">
        <f aca="false">IF(ISBLANK(Actuals!D66),"",Actuals!D66)</f>
        <v/>
      </c>
      <c r="H51" s="137" t="str">
        <f aca="false">IF(ISBLANK(Actuals!D66),"",'Original Budget'!D66-Actuals!D66)</f>
        <v/>
      </c>
      <c r="I51" s="137" t="str">
        <f aca="false">IFERROR(IF(ISBLANK(Actuals!D66),"",('Original Budget'!D66-Actuals!D66)/ABS('Original Budget'!D66)),"")</f>
        <v/>
      </c>
      <c r="J51" s="136" t="n">
        <f aca="false">'Original Budget'!E66</f>
        <v>0</v>
      </c>
      <c r="K51" s="136" t="str">
        <f aca="false">IF(ISBLANK(Actuals!E66),"",Actuals!E66)</f>
        <v/>
      </c>
      <c r="L51" s="137" t="str">
        <f aca="false">IF(ISBLANK(Actuals!E66),"",'Original Budget'!E66-Actuals!E66)</f>
        <v/>
      </c>
      <c r="M51" s="137" t="str">
        <f aca="false">IFERROR(IF(ISBLANK(Actuals!E66),"",('Original Budget'!E66-Actuals!E66)/ABS('Original Budget'!E66)),"")</f>
        <v/>
      </c>
      <c r="N51" s="136" t="n">
        <f aca="false">'Original Budget'!F66</f>
        <v>0</v>
      </c>
      <c r="O51" s="136" t="str">
        <f aca="false">IF(ISBLANK(Actuals!F66),"",Actuals!F66)</f>
        <v/>
      </c>
      <c r="P51" s="137" t="str">
        <f aca="false">IF(ISBLANK(Actuals!F66),"",'Original Budget'!F66-Actuals!F66)</f>
        <v/>
      </c>
      <c r="Q51" s="137" t="str">
        <f aca="false">IFERROR(IF(ISBLANK(Actuals!F66),"",('Original Budget'!F66-Actuals!F66)/ABS('Original Budget'!F66)),"")</f>
        <v/>
      </c>
      <c r="R51" s="136" t="n">
        <f aca="false">'Original Budget'!G66</f>
        <v>0</v>
      </c>
      <c r="S51" s="136" t="str">
        <f aca="false">IF(ISBLANK(Actuals!G66),"",Actuals!G66)</f>
        <v/>
      </c>
      <c r="T51" s="137" t="str">
        <f aca="false">IF(ISBLANK(Actuals!G66),"",'Original Budget'!G66-Actuals!G66)</f>
        <v/>
      </c>
      <c r="U51" s="137" t="str">
        <f aca="false">IFERROR(IF(ISBLANK(Actuals!G66),"",('Original Budget'!G66-Actuals!G66)/ABS('Original Budget'!G66)),"")</f>
        <v/>
      </c>
      <c r="V51" s="136" t="n">
        <f aca="false">'Original Budget'!H66</f>
        <v>0</v>
      </c>
      <c r="W51" s="136" t="str">
        <f aca="false">IF(ISBLANK(Actuals!H66),"",Actuals!H66)</f>
        <v/>
      </c>
      <c r="X51" s="137" t="str">
        <f aca="false">IF(ISBLANK(Actuals!H66),"",'Original Budget'!H66-Actuals!H66)</f>
        <v/>
      </c>
      <c r="Y51" s="137" t="str">
        <f aca="false">IFERROR(IF(ISBLANK(Actuals!H66),"",('Original Budget'!H66-Actuals!H66)/ABS('Original Budget'!H66)),"")</f>
        <v/>
      </c>
      <c r="Z51" s="136" t="n">
        <f aca="false">'Original Budget'!I66</f>
        <v>0</v>
      </c>
      <c r="AA51" s="136" t="str">
        <f aca="false">IF(ISBLANK(Actuals!I66),"",Actuals!I66)</f>
        <v/>
      </c>
      <c r="AB51" s="137" t="str">
        <f aca="false">IF(ISBLANK(Actuals!I66),"",'Original Budget'!I66-Actuals!I66)</f>
        <v/>
      </c>
      <c r="AC51" s="137" t="str">
        <f aca="false">IFERROR(IF(ISBLANK(Actuals!I66),"",('Original Budget'!I66-Actuals!I66)/ABS('Original Budget'!I66)),"")</f>
        <v/>
      </c>
      <c r="AD51" s="136" t="n">
        <f aca="false">'Original Budget'!J66</f>
        <v>0</v>
      </c>
      <c r="AE51" s="136" t="str">
        <f aca="false">IF(ISBLANK(Actuals!J66),"",Actuals!J66)</f>
        <v/>
      </c>
      <c r="AF51" s="137" t="str">
        <f aca="false">IF(ISBLANK(Actuals!J66),"",'Original Budget'!J66-Actuals!J66)</f>
        <v/>
      </c>
      <c r="AG51" s="137" t="str">
        <f aca="false">IFERROR(IF(ISBLANK(Actuals!J66),"",('Original Budget'!J66-Actuals!J66)/ABS('Original Budget'!J66)),"")</f>
        <v/>
      </c>
      <c r="AH51" s="136" t="n">
        <f aca="false">'Original Budget'!K66</f>
        <v>0</v>
      </c>
      <c r="AI51" s="136" t="str">
        <f aca="false">IF(ISBLANK(Actuals!K66),"",Actuals!K66)</f>
        <v/>
      </c>
      <c r="AJ51" s="137" t="str">
        <f aca="false">IF(ISBLANK(Actuals!K66),"",'Original Budget'!K66-Actuals!K66)</f>
        <v/>
      </c>
      <c r="AK51" s="137" t="str">
        <f aca="false">IFERROR(IF(ISBLANK(Actuals!K66),"",('Original Budget'!K66-Actuals!K66)/ABS('Original Budget'!K66)),"")</f>
        <v/>
      </c>
      <c r="AL51" s="136" t="n">
        <f aca="false">'Original Budget'!L66</f>
        <v>0</v>
      </c>
      <c r="AM51" s="136" t="str">
        <f aca="false">IF(ISBLANK(Actuals!L66),"",Actuals!L66)</f>
        <v/>
      </c>
      <c r="AN51" s="137" t="str">
        <f aca="false">IF(ISBLANK(Actuals!L66),"",'Original Budget'!L66-Actuals!L66)</f>
        <v/>
      </c>
      <c r="AO51" s="137" t="str">
        <f aca="false">IFERROR(IF(ISBLANK(Actuals!L66),"",('Original Budget'!L66-Actuals!L66)/ABS('Original Budget'!L66)),"")</f>
        <v/>
      </c>
      <c r="AP51" s="136" t="n">
        <f aca="false">'Original Budget'!M66</f>
        <v>0</v>
      </c>
      <c r="AQ51" s="136" t="str">
        <f aca="false">IF(ISBLANK(Actuals!M66),"",Actuals!M66)</f>
        <v/>
      </c>
      <c r="AR51" s="137" t="str">
        <f aca="false">IF(ISBLANK(Actuals!M66),"",'Original Budget'!M66-Actuals!M66)</f>
        <v/>
      </c>
      <c r="AS51" s="137" t="str">
        <f aca="false">IFERROR(IF(ISBLANK(Actuals!M66),"",('Original Budget'!M66-Actuals!M66)/ABS('Original Budget'!M66)),"")</f>
        <v/>
      </c>
      <c r="AT51" s="136" t="n">
        <f aca="false">'Original Budget'!N66</f>
        <v>0</v>
      </c>
      <c r="AU51" s="136" t="str">
        <f aca="false">IF(ISBLANK(Actuals!N66),"",Actuals!N66)</f>
        <v/>
      </c>
      <c r="AV51" s="137" t="str">
        <f aca="false">IF(ISBLANK(Actuals!N66),"",'Original Budget'!N66-Actuals!N66)</f>
        <v/>
      </c>
      <c r="AW51" s="137" t="str">
        <f aca="false">IFERROR(IF(ISBLANK(Actuals!N66),"",('Original Budget'!N66-Actuals!N66)/ABS('Original Budget'!N66)),"")</f>
        <v/>
      </c>
      <c r="AX51" s="138" t="n">
        <f aca="false">SUMPRODUCT((Actuals!C66:N66&lt;&gt;"")*('Original Budget'!C66:N66))</f>
        <v>0</v>
      </c>
      <c r="AY51" s="138" t="n">
        <f aca="false">SUM(Actuals!C66:N66)</f>
        <v>0</v>
      </c>
      <c r="AZ51" s="139" t="n">
        <f aca="false">AX51-AY51</f>
        <v>0</v>
      </c>
    </row>
    <row r="52" customFormat="false" ht="15" hidden="false" customHeight="true" outlineLevel="0" collapsed="false">
      <c r="A52" s="135" t="s">
        <v>100</v>
      </c>
      <c r="B52" s="136" t="n">
        <f aca="false">'Original Budget'!C67</f>
        <v>0</v>
      </c>
      <c r="C52" s="136" t="str">
        <f aca="false">IF(ISBLANK(Actuals!C67),"",Actuals!C67)</f>
        <v/>
      </c>
      <c r="D52" s="137" t="str">
        <f aca="false">IF(ISBLANK(Actuals!C67),"",'Original Budget'!C67-Actuals!C67)</f>
        <v/>
      </c>
      <c r="E52" s="137" t="str">
        <f aca="false">IFERROR(IF(ISBLANK(Actuals!C67),"",('Original Budget'!C67-Actuals!C67)/ABS('Original Budget'!C67)),"")</f>
        <v/>
      </c>
      <c r="F52" s="136" t="n">
        <f aca="false">'Original Budget'!D67</f>
        <v>0</v>
      </c>
      <c r="G52" s="136" t="str">
        <f aca="false">IF(ISBLANK(Actuals!D67),"",Actuals!D67)</f>
        <v/>
      </c>
      <c r="H52" s="137" t="str">
        <f aca="false">IF(ISBLANK(Actuals!D67),"",'Original Budget'!D67-Actuals!D67)</f>
        <v/>
      </c>
      <c r="I52" s="137" t="str">
        <f aca="false">IFERROR(IF(ISBLANK(Actuals!D67),"",('Original Budget'!D67-Actuals!D67)/ABS('Original Budget'!D67)),"")</f>
        <v/>
      </c>
      <c r="J52" s="136" t="n">
        <f aca="false">'Original Budget'!E67</f>
        <v>0</v>
      </c>
      <c r="K52" s="136" t="str">
        <f aca="false">IF(ISBLANK(Actuals!E67),"",Actuals!E67)</f>
        <v/>
      </c>
      <c r="L52" s="137" t="str">
        <f aca="false">IF(ISBLANK(Actuals!E67),"",'Original Budget'!E67-Actuals!E67)</f>
        <v/>
      </c>
      <c r="M52" s="137" t="str">
        <f aca="false">IFERROR(IF(ISBLANK(Actuals!E67),"",('Original Budget'!E67-Actuals!E67)/ABS('Original Budget'!E67)),"")</f>
        <v/>
      </c>
      <c r="N52" s="136" t="n">
        <f aca="false">'Original Budget'!F67</f>
        <v>0</v>
      </c>
      <c r="O52" s="136" t="str">
        <f aca="false">IF(ISBLANK(Actuals!F67),"",Actuals!F67)</f>
        <v/>
      </c>
      <c r="P52" s="137" t="str">
        <f aca="false">IF(ISBLANK(Actuals!F67),"",'Original Budget'!F67-Actuals!F67)</f>
        <v/>
      </c>
      <c r="Q52" s="137" t="str">
        <f aca="false">IFERROR(IF(ISBLANK(Actuals!F67),"",('Original Budget'!F67-Actuals!F67)/ABS('Original Budget'!F67)),"")</f>
        <v/>
      </c>
      <c r="R52" s="136" t="n">
        <f aca="false">'Original Budget'!G67</f>
        <v>0</v>
      </c>
      <c r="S52" s="136" t="str">
        <f aca="false">IF(ISBLANK(Actuals!G67),"",Actuals!G67)</f>
        <v/>
      </c>
      <c r="T52" s="137" t="str">
        <f aca="false">IF(ISBLANK(Actuals!G67),"",'Original Budget'!G67-Actuals!G67)</f>
        <v/>
      </c>
      <c r="U52" s="137" t="str">
        <f aca="false">IFERROR(IF(ISBLANK(Actuals!G67),"",('Original Budget'!G67-Actuals!G67)/ABS('Original Budget'!G67)),"")</f>
        <v/>
      </c>
      <c r="V52" s="136" t="n">
        <f aca="false">'Original Budget'!H67</f>
        <v>0</v>
      </c>
      <c r="W52" s="136" t="str">
        <f aca="false">IF(ISBLANK(Actuals!H67),"",Actuals!H67)</f>
        <v/>
      </c>
      <c r="X52" s="137" t="str">
        <f aca="false">IF(ISBLANK(Actuals!H67),"",'Original Budget'!H67-Actuals!H67)</f>
        <v/>
      </c>
      <c r="Y52" s="137" t="str">
        <f aca="false">IFERROR(IF(ISBLANK(Actuals!H67),"",('Original Budget'!H67-Actuals!H67)/ABS('Original Budget'!H67)),"")</f>
        <v/>
      </c>
      <c r="Z52" s="136" t="n">
        <f aca="false">'Original Budget'!I67</f>
        <v>0</v>
      </c>
      <c r="AA52" s="136" t="str">
        <f aca="false">IF(ISBLANK(Actuals!I67),"",Actuals!I67)</f>
        <v/>
      </c>
      <c r="AB52" s="137" t="str">
        <f aca="false">IF(ISBLANK(Actuals!I67),"",'Original Budget'!I67-Actuals!I67)</f>
        <v/>
      </c>
      <c r="AC52" s="137" t="str">
        <f aca="false">IFERROR(IF(ISBLANK(Actuals!I67),"",('Original Budget'!I67-Actuals!I67)/ABS('Original Budget'!I67)),"")</f>
        <v/>
      </c>
      <c r="AD52" s="136" t="n">
        <f aca="false">'Original Budget'!J67</f>
        <v>0</v>
      </c>
      <c r="AE52" s="136" t="str">
        <f aca="false">IF(ISBLANK(Actuals!J67),"",Actuals!J67)</f>
        <v/>
      </c>
      <c r="AF52" s="137" t="str">
        <f aca="false">IF(ISBLANK(Actuals!J67),"",'Original Budget'!J67-Actuals!J67)</f>
        <v/>
      </c>
      <c r="AG52" s="137" t="str">
        <f aca="false">IFERROR(IF(ISBLANK(Actuals!J67),"",('Original Budget'!J67-Actuals!J67)/ABS('Original Budget'!J67)),"")</f>
        <v/>
      </c>
      <c r="AH52" s="136" t="n">
        <f aca="false">'Original Budget'!K67</f>
        <v>0</v>
      </c>
      <c r="AI52" s="136" t="str">
        <f aca="false">IF(ISBLANK(Actuals!K67),"",Actuals!K67)</f>
        <v/>
      </c>
      <c r="AJ52" s="137" t="str">
        <f aca="false">IF(ISBLANK(Actuals!K67),"",'Original Budget'!K67-Actuals!K67)</f>
        <v/>
      </c>
      <c r="AK52" s="137" t="str">
        <f aca="false">IFERROR(IF(ISBLANK(Actuals!K67),"",('Original Budget'!K67-Actuals!K67)/ABS('Original Budget'!K67)),"")</f>
        <v/>
      </c>
      <c r="AL52" s="136" t="n">
        <f aca="false">'Original Budget'!L67</f>
        <v>0</v>
      </c>
      <c r="AM52" s="136" t="str">
        <f aca="false">IF(ISBLANK(Actuals!L67),"",Actuals!L67)</f>
        <v/>
      </c>
      <c r="AN52" s="137" t="str">
        <f aca="false">IF(ISBLANK(Actuals!L67),"",'Original Budget'!L67-Actuals!L67)</f>
        <v/>
      </c>
      <c r="AO52" s="137" t="str">
        <f aca="false">IFERROR(IF(ISBLANK(Actuals!L67),"",('Original Budget'!L67-Actuals!L67)/ABS('Original Budget'!L67)),"")</f>
        <v/>
      </c>
      <c r="AP52" s="136" t="n">
        <f aca="false">'Original Budget'!M67</f>
        <v>0</v>
      </c>
      <c r="AQ52" s="136" t="str">
        <f aca="false">IF(ISBLANK(Actuals!M67),"",Actuals!M67)</f>
        <v/>
      </c>
      <c r="AR52" s="137" t="str">
        <f aca="false">IF(ISBLANK(Actuals!M67),"",'Original Budget'!M67-Actuals!M67)</f>
        <v/>
      </c>
      <c r="AS52" s="137" t="str">
        <f aca="false">IFERROR(IF(ISBLANK(Actuals!M67),"",('Original Budget'!M67-Actuals!M67)/ABS('Original Budget'!M67)),"")</f>
        <v/>
      </c>
      <c r="AT52" s="136" t="n">
        <f aca="false">'Original Budget'!N67</f>
        <v>0</v>
      </c>
      <c r="AU52" s="136" t="str">
        <f aca="false">IF(ISBLANK(Actuals!N67),"",Actuals!N67)</f>
        <v/>
      </c>
      <c r="AV52" s="137" t="str">
        <f aca="false">IF(ISBLANK(Actuals!N67),"",'Original Budget'!N67-Actuals!N67)</f>
        <v/>
      </c>
      <c r="AW52" s="137" t="str">
        <f aca="false">IFERROR(IF(ISBLANK(Actuals!N67),"",('Original Budget'!N67-Actuals!N67)/ABS('Original Budget'!N67)),"")</f>
        <v/>
      </c>
      <c r="AX52" s="138" t="n">
        <f aca="false">SUMPRODUCT((Actuals!C67:N67&lt;&gt;"")*('Original Budget'!C67:N67))</f>
        <v>0</v>
      </c>
      <c r="AY52" s="138" t="n">
        <f aca="false">SUM(Actuals!C67:N67)</f>
        <v>0</v>
      </c>
      <c r="AZ52" s="139" t="n">
        <f aca="false">AX52-AY52</f>
        <v>0</v>
      </c>
    </row>
    <row r="53" customFormat="false" ht="15" hidden="false" customHeight="true" outlineLevel="0" collapsed="false">
      <c r="A53" s="135" t="s">
        <v>101</v>
      </c>
      <c r="B53" s="136" t="n">
        <f aca="false">'Original Budget'!C68</f>
        <v>0</v>
      </c>
      <c r="C53" s="136" t="str">
        <f aca="false">IF(ISBLANK(Actuals!C68),"",Actuals!C68)</f>
        <v/>
      </c>
      <c r="D53" s="137" t="str">
        <f aca="false">IF(ISBLANK(Actuals!C68),"",'Original Budget'!C68-Actuals!C68)</f>
        <v/>
      </c>
      <c r="E53" s="137" t="str">
        <f aca="false">IFERROR(IF(ISBLANK(Actuals!C68),"",('Original Budget'!C68-Actuals!C68)/ABS('Original Budget'!C68)),"")</f>
        <v/>
      </c>
      <c r="F53" s="136" t="n">
        <f aca="false">'Original Budget'!D68</f>
        <v>0</v>
      </c>
      <c r="G53" s="136" t="str">
        <f aca="false">IF(ISBLANK(Actuals!D68),"",Actuals!D68)</f>
        <v/>
      </c>
      <c r="H53" s="137" t="str">
        <f aca="false">IF(ISBLANK(Actuals!D68),"",'Original Budget'!D68-Actuals!D68)</f>
        <v/>
      </c>
      <c r="I53" s="137" t="str">
        <f aca="false">IFERROR(IF(ISBLANK(Actuals!D68),"",('Original Budget'!D68-Actuals!D68)/ABS('Original Budget'!D68)),"")</f>
        <v/>
      </c>
      <c r="J53" s="136" t="n">
        <f aca="false">'Original Budget'!E68</f>
        <v>0</v>
      </c>
      <c r="K53" s="136" t="str">
        <f aca="false">IF(ISBLANK(Actuals!E68),"",Actuals!E68)</f>
        <v/>
      </c>
      <c r="L53" s="137" t="str">
        <f aca="false">IF(ISBLANK(Actuals!E68),"",'Original Budget'!E68-Actuals!E68)</f>
        <v/>
      </c>
      <c r="M53" s="137" t="str">
        <f aca="false">IFERROR(IF(ISBLANK(Actuals!E68),"",('Original Budget'!E68-Actuals!E68)/ABS('Original Budget'!E68)),"")</f>
        <v/>
      </c>
      <c r="N53" s="136" t="n">
        <f aca="false">'Original Budget'!F68</f>
        <v>0</v>
      </c>
      <c r="O53" s="136" t="str">
        <f aca="false">IF(ISBLANK(Actuals!F68),"",Actuals!F68)</f>
        <v/>
      </c>
      <c r="P53" s="137" t="str">
        <f aca="false">IF(ISBLANK(Actuals!F68),"",'Original Budget'!F68-Actuals!F68)</f>
        <v/>
      </c>
      <c r="Q53" s="137" t="str">
        <f aca="false">IFERROR(IF(ISBLANK(Actuals!F68),"",('Original Budget'!F68-Actuals!F68)/ABS('Original Budget'!F68)),"")</f>
        <v/>
      </c>
      <c r="R53" s="136" t="n">
        <f aca="false">'Original Budget'!G68</f>
        <v>0</v>
      </c>
      <c r="S53" s="136" t="str">
        <f aca="false">IF(ISBLANK(Actuals!G68),"",Actuals!G68)</f>
        <v/>
      </c>
      <c r="T53" s="137" t="str">
        <f aca="false">IF(ISBLANK(Actuals!G68),"",'Original Budget'!G68-Actuals!G68)</f>
        <v/>
      </c>
      <c r="U53" s="137" t="str">
        <f aca="false">IFERROR(IF(ISBLANK(Actuals!G68),"",('Original Budget'!G68-Actuals!G68)/ABS('Original Budget'!G68)),"")</f>
        <v/>
      </c>
      <c r="V53" s="136" t="n">
        <f aca="false">'Original Budget'!H68</f>
        <v>0</v>
      </c>
      <c r="W53" s="136" t="str">
        <f aca="false">IF(ISBLANK(Actuals!H68),"",Actuals!H68)</f>
        <v/>
      </c>
      <c r="X53" s="137" t="str">
        <f aca="false">IF(ISBLANK(Actuals!H68),"",'Original Budget'!H68-Actuals!H68)</f>
        <v/>
      </c>
      <c r="Y53" s="137" t="str">
        <f aca="false">IFERROR(IF(ISBLANK(Actuals!H68),"",('Original Budget'!H68-Actuals!H68)/ABS('Original Budget'!H68)),"")</f>
        <v/>
      </c>
      <c r="Z53" s="136" t="n">
        <f aca="false">'Original Budget'!I68</f>
        <v>0</v>
      </c>
      <c r="AA53" s="136" t="str">
        <f aca="false">IF(ISBLANK(Actuals!I68),"",Actuals!I68)</f>
        <v/>
      </c>
      <c r="AB53" s="137" t="str">
        <f aca="false">IF(ISBLANK(Actuals!I68),"",'Original Budget'!I68-Actuals!I68)</f>
        <v/>
      </c>
      <c r="AC53" s="137" t="str">
        <f aca="false">IFERROR(IF(ISBLANK(Actuals!I68),"",('Original Budget'!I68-Actuals!I68)/ABS('Original Budget'!I68)),"")</f>
        <v/>
      </c>
      <c r="AD53" s="136" t="n">
        <f aca="false">'Original Budget'!J68</f>
        <v>0</v>
      </c>
      <c r="AE53" s="136" t="str">
        <f aca="false">IF(ISBLANK(Actuals!J68),"",Actuals!J68)</f>
        <v/>
      </c>
      <c r="AF53" s="137" t="str">
        <f aca="false">IF(ISBLANK(Actuals!J68),"",'Original Budget'!J68-Actuals!J68)</f>
        <v/>
      </c>
      <c r="AG53" s="137" t="str">
        <f aca="false">IFERROR(IF(ISBLANK(Actuals!J68),"",('Original Budget'!J68-Actuals!J68)/ABS('Original Budget'!J68)),"")</f>
        <v/>
      </c>
      <c r="AH53" s="136" t="n">
        <f aca="false">'Original Budget'!K68</f>
        <v>0</v>
      </c>
      <c r="AI53" s="136" t="str">
        <f aca="false">IF(ISBLANK(Actuals!K68),"",Actuals!K68)</f>
        <v/>
      </c>
      <c r="AJ53" s="137" t="str">
        <f aca="false">IF(ISBLANK(Actuals!K68),"",'Original Budget'!K68-Actuals!K68)</f>
        <v/>
      </c>
      <c r="AK53" s="137" t="str">
        <f aca="false">IFERROR(IF(ISBLANK(Actuals!K68),"",('Original Budget'!K68-Actuals!K68)/ABS('Original Budget'!K68)),"")</f>
        <v/>
      </c>
      <c r="AL53" s="136" t="n">
        <f aca="false">'Original Budget'!L68</f>
        <v>0</v>
      </c>
      <c r="AM53" s="136" t="str">
        <f aca="false">IF(ISBLANK(Actuals!L68),"",Actuals!L68)</f>
        <v/>
      </c>
      <c r="AN53" s="137" t="str">
        <f aca="false">IF(ISBLANK(Actuals!L68),"",'Original Budget'!L68-Actuals!L68)</f>
        <v/>
      </c>
      <c r="AO53" s="137" t="str">
        <f aca="false">IFERROR(IF(ISBLANK(Actuals!L68),"",('Original Budget'!L68-Actuals!L68)/ABS('Original Budget'!L68)),"")</f>
        <v/>
      </c>
      <c r="AP53" s="136" t="n">
        <f aca="false">'Original Budget'!M68</f>
        <v>0</v>
      </c>
      <c r="AQ53" s="136" t="str">
        <f aca="false">IF(ISBLANK(Actuals!M68),"",Actuals!M68)</f>
        <v/>
      </c>
      <c r="AR53" s="137" t="str">
        <f aca="false">IF(ISBLANK(Actuals!M68),"",'Original Budget'!M68-Actuals!M68)</f>
        <v/>
      </c>
      <c r="AS53" s="137" t="str">
        <f aca="false">IFERROR(IF(ISBLANK(Actuals!M68),"",('Original Budget'!M68-Actuals!M68)/ABS('Original Budget'!M68)),"")</f>
        <v/>
      </c>
      <c r="AT53" s="136" t="n">
        <f aca="false">'Original Budget'!N68</f>
        <v>0</v>
      </c>
      <c r="AU53" s="136" t="str">
        <f aca="false">IF(ISBLANK(Actuals!N68),"",Actuals!N68)</f>
        <v/>
      </c>
      <c r="AV53" s="137" t="str">
        <f aca="false">IF(ISBLANK(Actuals!N68),"",'Original Budget'!N68-Actuals!N68)</f>
        <v/>
      </c>
      <c r="AW53" s="137" t="str">
        <f aca="false">IFERROR(IF(ISBLANK(Actuals!N68),"",('Original Budget'!N68-Actuals!N68)/ABS('Original Budget'!N68)),"")</f>
        <v/>
      </c>
      <c r="AX53" s="138" t="n">
        <f aca="false">SUMPRODUCT((Actuals!C68:N68&lt;&gt;"")*('Original Budget'!C68:N68))</f>
        <v>0</v>
      </c>
      <c r="AY53" s="138" t="n">
        <f aca="false">SUM(Actuals!C68:N68)</f>
        <v>0</v>
      </c>
      <c r="AZ53" s="139" t="n">
        <f aca="false">AX53-AY53</f>
        <v>0</v>
      </c>
    </row>
    <row r="54" customFormat="false" ht="15" hidden="false" customHeight="true" outlineLevel="0" collapsed="false">
      <c r="A54" s="135" t="s">
        <v>102</v>
      </c>
      <c r="B54" s="136" t="n">
        <f aca="false">'Original Budget'!C69</f>
        <v>9375</v>
      </c>
      <c r="C54" s="136" t="n">
        <f aca="false">IF(ISBLANK(Actuals!C69),"",Actuals!C69)</f>
        <v>9375</v>
      </c>
      <c r="D54" s="137" t="n">
        <f aca="false">IF(ISBLANK(Actuals!C69),"",'Original Budget'!C69-Actuals!C69)</f>
        <v>0</v>
      </c>
      <c r="E54" s="137" t="n">
        <f aca="false">IFERROR(IF(ISBLANK(Actuals!C69),"",('Original Budget'!C69-Actuals!C69)/ABS('Original Budget'!C69)),"")</f>
        <v>0</v>
      </c>
      <c r="F54" s="136" t="n">
        <f aca="false">'Original Budget'!D69</f>
        <v>9375</v>
      </c>
      <c r="G54" s="136" t="n">
        <f aca="false">IF(ISBLANK(Actuals!D69),"",Actuals!D69)</f>
        <v>9375</v>
      </c>
      <c r="H54" s="137" t="n">
        <f aca="false">IF(ISBLANK(Actuals!D69),"",'Original Budget'!D69-Actuals!D69)</f>
        <v>0</v>
      </c>
      <c r="I54" s="137" t="n">
        <f aca="false">IFERROR(IF(ISBLANK(Actuals!D69),"",('Original Budget'!D69-Actuals!D69)/ABS('Original Budget'!D69)),"")</f>
        <v>0</v>
      </c>
      <c r="J54" s="136" t="n">
        <f aca="false">'Original Budget'!E69</f>
        <v>9375</v>
      </c>
      <c r="K54" s="136" t="n">
        <f aca="false">IF(ISBLANK(Actuals!E69),"",Actuals!E69)</f>
        <v>9375</v>
      </c>
      <c r="L54" s="137" t="n">
        <f aca="false">IF(ISBLANK(Actuals!E69),"",'Original Budget'!E69-Actuals!E69)</f>
        <v>0</v>
      </c>
      <c r="M54" s="137" t="n">
        <f aca="false">IFERROR(IF(ISBLANK(Actuals!E69),"",('Original Budget'!E69-Actuals!E69)/ABS('Original Budget'!E69)),"")</f>
        <v>0</v>
      </c>
      <c r="N54" s="136" t="n">
        <f aca="false">'Original Budget'!F69</f>
        <v>9375</v>
      </c>
      <c r="O54" s="136" t="n">
        <f aca="false">IF(ISBLANK(Actuals!F69),"",Actuals!F69)</f>
        <v>9375</v>
      </c>
      <c r="P54" s="137" t="n">
        <f aca="false">IF(ISBLANK(Actuals!F69),"",'Original Budget'!F69-Actuals!F69)</f>
        <v>0</v>
      </c>
      <c r="Q54" s="137" t="n">
        <f aca="false">IFERROR(IF(ISBLANK(Actuals!F69),"",('Original Budget'!F69-Actuals!F69)/ABS('Original Budget'!F69)),"")</f>
        <v>0</v>
      </c>
      <c r="R54" s="136" t="n">
        <f aca="false">'Original Budget'!G69</f>
        <v>9375</v>
      </c>
      <c r="S54" s="136" t="n">
        <f aca="false">IF(ISBLANK(Actuals!G69),"",Actuals!G69)</f>
        <v>9375</v>
      </c>
      <c r="T54" s="137" t="n">
        <f aca="false">IF(ISBLANK(Actuals!G69),"",'Original Budget'!G69-Actuals!G69)</f>
        <v>0</v>
      </c>
      <c r="U54" s="137" t="n">
        <f aca="false">IFERROR(IF(ISBLANK(Actuals!G69),"",('Original Budget'!G69-Actuals!G69)/ABS('Original Budget'!G69)),"")</f>
        <v>0</v>
      </c>
      <c r="V54" s="136" t="n">
        <f aca="false">'Original Budget'!H69</f>
        <v>9375</v>
      </c>
      <c r="W54" s="136" t="n">
        <f aca="false">IF(ISBLANK(Actuals!H69),"",Actuals!H69)</f>
        <v>9375</v>
      </c>
      <c r="X54" s="137" t="n">
        <f aca="false">IF(ISBLANK(Actuals!H69),"",'Original Budget'!H69-Actuals!H69)</f>
        <v>0</v>
      </c>
      <c r="Y54" s="137" t="n">
        <f aca="false">IFERROR(IF(ISBLANK(Actuals!H69),"",('Original Budget'!H69-Actuals!H69)/ABS('Original Budget'!H69)),"")</f>
        <v>0</v>
      </c>
      <c r="Z54" s="136" t="n">
        <f aca="false">'Original Budget'!I69</f>
        <v>9375</v>
      </c>
      <c r="AA54" s="136" t="str">
        <f aca="false">IF(ISBLANK(Actuals!I69),"",Actuals!I69)</f>
        <v/>
      </c>
      <c r="AB54" s="137" t="str">
        <f aca="false">IF(ISBLANK(Actuals!I69),"",'Original Budget'!I69-Actuals!I69)</f>
        <v/>
      </c>
      <c r="AC54" s="137" t="str">
        <f aca="false">IFERROR(IF(ISBLANK(Actuals!I69),"",('Original Budget'!I69-Actuals!I69)/ABS('Original Budget'!I69)),"")</f>
        <v/>
      </c>
      <c r="AD54" s="136" t="n">
        <f aca="false">'Original Budget'!J69</f>
        <v>9375</v>
      </c>
      <c r="AE54" s="136" t="str">
        <f aca="false">IF(ISBLANK(Actuals!J69),"",Actuals!J69)</f>
        <v/>
      </c>
      <c r="AF54" s="137" t="str">
        <f aca="false">IF(ISBLANK(Actuals!J69),"",'Original Budget'!J69-Actuals!J69)</f>
        <v/>
      </c>
      <c r="AG54" s="137" t="str">
        <f aca="false">IFERROR(IF(ISBLANK(Actuals!J69),"",('Original Budget'!J69-Actuals!J69)/ABS('Original Budget'!J69)),"")</f>
        <v/>
      </c>
      <c r="AH54" s="136" t="n">
        <f aca="false">'Original Budget'!K69</f>
        <v>9375</v>
      </c>
      <c r="AI54" s="136" t="str">
        <f aca="false">IF(ISBLANK(Actuals!K69),"",Actuals!K69)</f>
        <v/>
      </c>
      <c r="AJ54" s="137" t="str">
        <f aca="false">IF(ISBLANK(Actuals!K69),"",'Original Budget'!K69-Actuals!K69)</f>
        <v/>
      </c>
      <c r="AK54" s="137" t="str">
        <f aca="false">IFERROR(IF(ISBLANK(Actuals!K69),"",('Original Budget'!K69-Actuals!K69)/ABS('Original Budget'!K69)),"")</f>
        <v/>
      </c>
      <c r="AL54" s="136" t="n">
        <f aca="false">'Original Budget'!L69</f>
        <v>9375</v>
      </c>
      <c r="AM54" s="136" t="str">
        <f aca="false">IF(ISBLANK(Actuals!L69),"",Actuals!L69)</f>
        <v/>
      </c>
      <c r="AN54" s="137" t="str">
        <f aca="false">IF(ISBLANK(Actuals!L69),"",'Original Budget'!L69-Actuals!L69)</f>
        <v/>
      </c>
      <c r="AO54" s="137" t="str">
        <f aca="false">IFERROR(IF(ISBLANK(Actuals!L69),"",('Original Budget'!L69-Actuals!L69)/ABS('Original Budget'!L69)),"")</f>
        <v/>
      </c>
      <c r="AP54" s="136" t="n">
        <f aca="false">'Original Budget'!M69</f>
        <v>0</v>
      </c>
      <c r="AQ54" s="136" t="str">
        <f aca="false">IF(ISBLANK(Actuals!M69),"",Actuals!M69)</f>
        <v/>
      </c>
      <c r="AR54" s="137" t="str">
        <f aca="false">IF(ISBLANK(Actuals!M69),"",'Original Budget'!M69-Actuals!M69)</f>
        <v/>
      </c>
      <c r="AS54" s="137" t="str">
        <f aca="false">IFERROR(IF(ISBLANK(Actuals!M69),"",('Original Budget'!M69-Actuals!M69)/ABS('Original Budget'!M69)),"")</f>
        <v/>
      </c>
      <c r="AT54" s="136" t="n">
        <f aca="false">'Original Budget'!N69</f>
        <v>0</v>
      </c>
      <c r="AU54" s="136" t="str">
        <f aca="false">IF(ISBLANK(Actuals!N69),"",Actuals!N69)</f>
        <v/>
      </c>
      <c r="AV54" s="137" t="str">
        <f aca="false">IF(ISBLANK(Actuals!N69),"",'Original Budget'!N69-Actuals!N69)</f>
        <v/>
      </c>
      <c r="AW54" s="137" t="str">
        <f aca="false">IFERROR(IF(ISBLANK(Actuals!N69),"",('Original Budget'!N69-Actuals!N69)/ABS('Original Budget'!N69)),"")</f>
        <v/>
      </c>
      <c r="AX54" s="138" t="n">
        <f aca="false">SUMPRODUCT((Actuals!C69:N69&lt;&gt;"")*('Original Budget'!C69:N69))</f>
        <v>56250</v>
      </c>
      <c r="AY54" s="138" t="n">
        <f aca="false">SUM(Actuals!C69:N69)</f>
        <v>56250</v>
      </c>
      <c r="AZ54" s="139" t="n">
        <f aca="false">AX54-AY54</f>
        <v>0</v>
      </c>
    </row>
    <row r="55" customFormat="false" ht="15" hidden="false" customHeight="true" outlineLevel="0" collapsed="false">
      <c r="A55" s="135" t="s">
        <v>103</v>
      </c>
      <c r="B55" s="136" t="n">
        <f aca="false">'Original Budget'!C70</f>
        <v>0</v>
      </c>
      <c r="C55" s="136" t="str">
        <f aca="false">IF(ISBLANK(Actuals!C70),"",Actuals!C70)</f>
        <v/>
      </c>
      <c r="D55" s="137" t="str">
        <f aca="false">IF(ISBLANK(Actuals!C70),"",'Original Budget'!C70-Actuals!C70)</f>
        <v/>
      </c>
      <c r="E55" s="137" t="str">
        <f aca="false">IFERROR(IF(ISBLANK(Actuals!C70),"",('Original Budget'!C70-Actuals!C70)/ABS('Original Budget'!C70)),"")</f>
        <v/>
      </c>
      <c r="F55" s="136" t="n">
        <f aca="false">'Original Budget'!D70</f>
        <v>0</v>
      </c>
      <c r="G55" s="136" t="str">
        <f aca="false">IF(ISBLANK(Actuals!D70),"",Actuals!D70)</f>
        <v/>
      </c>
      <c r="H55" s="137" t="str">
        <f aca="false">IF(ISBLANK(Actuals!D70),"",'Original Budget'!D70-Actuals!D70)</f>
        <v/>
      </c>
      <c r="I55" s="137" t="str">
        <f aca="false">IFERROR(IF(ISBLANK(Actuals!D70),"",('Original Budget'!D70-Actuals!D70)/ABS('Original Budget'!D70)),"")</f>
        <v/>
      </c>
      <c r="J55" s="136" t="n">
        <f aca="false">'Original Budget'!E70</f>
        <v>0</v>
      </c>
      <c r="K55" s="136" t="str">
        <f aca="false">IF(ISBLANK(Actuals!E70),"",Actuals!E70)</f>
        <v/>
      </c>
      <c r="L55" s="137" t="str">
        <f aca="false">IF(ISBLANK(Actuals!E70),"",'Original Budget'!E70-Actuals!E70)</f>
        <v/>
      </c>
      <c r="M55" s="137" t="str">
        <f aca="false">IFERROR(IF(ISBLANK(Actuals!E70),"",('Original Budget'!E70-Actuals!E70)/ABS('Original Budget'!E70)),"")</f>
        <v/>
      </c>
      <c r="N55" s="136" t="n">
        <f aca="false">'Original Budget'!F70</f>
        <v>9500</v>
      </c>
      <c r="O55" s="136" t="str">
        <f aca="false">IF(ISBLANK(Actuals!F70),"",Actuals!F70)</f>
        <v/>
      </c>
      <c r="P55" s="137" t="str">
        <f aca="false">IF(ISBLANK(Actuals!F70),"",'Original Budget'!F70-Actuals!F70)</f>
        <v/>
      </c>
      <c r="Q55" s="137" t="str">
        <f aca="false">IFERROR(IF(ISBLANK(Actuals!F70),"",('Original Budget'!F70-Actuals!F70)/ABS('Original Budget'!F70)),"")</f>
        <v/>
      </c>
      <c r="R55" s="136" t="n">
        <f aca="false">'Original Budget'!G70</f>
        <v>9500</v>
      </c>
      <c r="S55" s="136" t="str">
        <f aca="false">IF(ISBLANK(Actuals!G70),"",Actuals!G70)</f>
        <v/>
      </c>
      <c r="T55" s="137" t="str">
        <f aca="false">IF(ISBLANK(Actuals!G70),"",'Original Budget'!G70-Actuals!G70)</f>
        <v/>
      </c>
      <c r="U55" s="137" t="str">
        <f aca="false">IFERROR(IF(ISBLANK(Actuals!G70),"",('Original Budget'!G70-Actuals!G70)/ABS('Original Budget'!G70)),"")</f>
        <v/>
      </c>
      <c r="V55" s="136" t="n">
        <f aca="false">'Original Budget'!H70</f>
        <v>9500</v>
      </c>
      <c r="W55" s="136" t="str">
        <f aca="false">IF(ISBLANK(Actuals!H70),"",Actuals!H70)</f>
        <v/>
      </c>
      <c r="X55" s="137" t="str">
        <f aca="false">IF(ISBLANK(Actuals!H70),"",'Original Budget'!H70-Actuals!H70)</f>
        <v/>
      </c>
      <c r="Y55" s="137" t="str">
        <f aca="false">IFERROR(IF(ISBLANK(Actuals!H70),"",('Original Budget'!H70-Actuals!H70)/ABS('Original Budget'!H70)),"")</f>
        <v/>
      </c>
      <c r="Z55" s="136" t="n">
        <f aca="false">'Original Budget'!I70</f>
        <v>9500</v>
      </c>
      <c r="AA55" s="136" t="str">
        <f aca="false">IF(ISBLANK(Actuals!I70),"",Actuals!I70)</f>
        <v/>
      </c>
      <c r="AB55" s="137" t="str">
        <f aca="false">IF(ISBLANK(Actuals!I70),"",'Original Budget'!I70-Actuals!I70)</f>
        <v/>
      </c>
      <c r="AC55" s="137" t="str">
        <f aca="false">IFERROR(IF(ISBLANK(Actuals!I70),"",('Original Budget'!I70-Actuals!I70)/ABS('Original Budget'!I70)),"")</f>
        <v/>
      </c>
      <c r="AD55" s="136" t="n">
        <f aca="false">'Original Budget'!J70</f>
        <v>9500</v>
      </c>
      <c r="AE55" s="136" t="str">
        <f aca="false">IF(ISBLANK(Actuals!J70),"",Actuals!J70)</f>
        <v/>
      </c>
      <c r="AF55" s="137" t="str">
        <f aca="false">IF(ISBLANK(Actuals!J70),"",'Original Budget'!J70-Actuals!J70)</f>
        <v/>
      </c>
      <c r="AG55" s="137" t="str">
        <f aca="false">IFERROR(IF(ISBLANK(Actuals!J70),"",('Original Budget'!J70-Actuals!J70)/ABS('Original Budget'!J70)),"")</f>
        <v/>
      </c>
      <c r="AH55" s="136" t="n">
        <f aca="false">'Original Budget'!K70</f>
        <v>9500</v>
      </c>
      <c r="AI55" s="136" t="str">
        <f aca="false">IF(ISBLANK(Actuals!K70),"",Actuals!K70)</f>
        <v/>
      </c>
      <c r="AJ55" s="137" t="str">
        <f aca="false">IF(ISBLANK(Actuals!K70),"",'Original Budget'!K70-Actuals!K70)</f>
        <v/>
      </c>
      <c r="AK55" s="137" t="str">
        <f aca="false">IFERROR(IF(ISBLANK(Actuals!K70),"",('Original Budget'!K70-Actuals!K70)/ABS('Original Budget'!K70)),"")</f>
        <v/>
      </c>
      <c r="AL55" s="136" t="n">
        <f aca="false">'Original Budget'!L70</f>
        <v>9500</v>
      </c>
      <c r="AM55" s="136" t="str">
        <f aca="false">IF(ISBLANK(Actuals!L70),"",Actuals!L70)</f>
        <v/>
      </c>
      <c r="AN55" s="137" t="str">
        <f aca="false">IF(ISBLANK(Actuals!L70),"",'Original Budget'!L70-Actuals!L70)</f>
        <v/>
      </c>
      <c r="AO55" s="137" t="str">
        <f aca="false">IFERROR(IF(ISBLANK(Actuals!L70),"",('Original Budget'!L70-Actuals!L70)/ABS('Original Budget'!L70)),"")</f>
        <v/>
      </c>
      <c r="AP55" s="136" t="n">
        <f aca="false">'Original Budget'!M70</f>
        <v>9500</v>
      </c>
      <c r="AQ55" s="136" t="str">
        <f aca="false">IF(ISBLANK(Actuals!M70),"",Actuals!M70)</f>
        <v/>
      </c>
      <c r="AR55" s="137" t="str">
        <f aca="false">IF(ISBLANK(Actuals!M70),"",'Original Budget'!M70-Actuals!M70)</f>
        <v/>
      </c>
      <c r="AS55" s="137" t="str">
        <f aca="false">IFERROR(IF(ISBLANK(Actuals!M70),"",('Original Budget'!M70-Actuals!M70)/ABS('Original Budget'!M70)),"")</f>
        <v/>
      </c>
      <c r="AT55" s="136" t="n">
        <f aca="false">'Original Budget'!N70</f>
        <v>9500</v>
      </c>
      <c r="AU55" s="136" t="str">
        <f aca="false">IF(ISBLANK(Actuals!N70),"",Actuals!N70)</f>
        <v/>
      </c>
      <c r="AV55" s="137" t="str">
        <f aca="false">IF(ISBLANK(Actuals!N70),"",'Original Budget'!N70-Actuals!N70)</f>
        <v/>
      </c>
      <c r="AW55" s="137" t="str">
        <f aca="false">IFERROR(IF(ISBLANK(Actuals!N70),"",('Original Budget'!N70-Actuals!N70)/ABS('Original Budget'!N70)),"")</f>
        <v/>
      </c>
      <c r="AX55" s="138" t="n">
        <f aca="false">SUMPRODUCT((Actuals!C70:N70&lt;&gt;"")*('Original Budget'!C70:N70))</f>
        <v>0</v>
      </c>
      <c r="AY55" s="138" t="n">
        <f aca="false">SUM(Actuals!C70:N70)</f>
        <v>0</v>
      </c>
      <c r="AZ55" s="139" t="n">
        <f aca="false">AX55-AY55</f>
        <v>0</v>
      </c>
    </row>
    <row r="56" customFormat="false" ht="15" hidden="false" customHeight="true" outlineLevel="0" collapsed="false">
      <c r="A56" s="135" t="s">
        <v>104</v>
      </c>
      <c r="B56" s="136" t="n">
        <f aca="false">'Original Budget'!C71</f>
        <v>0</v>
      </c>
      <c r="C56" s="136" t="str">
        <f aca="false">IF(ISBLANK(Actuals!C71),"",Actuals!C71)</f>
        <v/>
      </c>
      <c r="D56" s="137" t="str">
        <f aca="false">IF(ISBLANK(Actuals!C71),"",'Original Budget'!C71-Actuals!C71)</f>
        <v/>
      </c>
      <c r="E56" s="137" t="str">
        <f aca="false">IFERROR(IF(ISBLANK(Actuals!C71),"",('Original Budget'!C71-Actuals!C71)/ABS('Original Budget'!C71)),"")</f>
        <v/>
      </c>
      <c r="F56" s="136" t="n">
        <f aca="false">'Original Budget'!D71</f>
        <v>0</v>
      </c>
      <c r="G56" s="136" t="str">
        <f aca="false">IF(ISBLANK(Actuals!D71),"",Actuals!D71)</f>
        <v/>
      </c>
      <c r="H56" s="137" t="str">
        <f aca="false">IF(ISBLANK(Actuals!D71),"",'Original Budget'!D71-Actuals!D71)</f>
        <v/>
      </c>
      <c r="I56" s="137" t="str">
        <f aca="false">IFERROR(IF(ISBLANK(Actuals!D71),"",('Original Budget'!D71-Actuals!D71)/ABS('Original Budget'!D71)),"")</f>
        <v/>
      </c>
      <c r="J56" s="136" t="n">
        <f aca="false">'Original Budget'!E71</f>
        <v>0</v>
      </c>
      <c r="K56" s="136" t="str">
        <f aca="false">IF(ISBLANK(Actuals!E71),"",Actuals!E71)</f>
        <v/>
      </c>
      <c r="L56" s="137" t="str">
        <f aca="false">IF(ISBLANK(Actuals!E71),"",'Original Budget'!E71-Actuals!E71)</f>
        <v/>
      </c>
      <c r="M56" s="137" t="str">
        <f aca="false">IFERROR(IF(ISBLANK(Actuals!E71),"",('Original Budget'!E71-Actuals!E71)/ABS('Original Budget'!E71)),"")</f>
        <v/>
      </c>
      <c r="N56" s="136" t="n">
        <f aca="false">'Original Budget'!F71</f>
        <v>0</v>
      </c>
      <c r="O56" s="136" t="str">
        <f aca="false">IF(ISBLANK(Actuals!F71),"",Actuals!F71)</f>
        <v/>
      </c>
      <c r="P56" s="137" t="str">
        <f aca="false">IF(ISBLANK(Actuals!F71),"",'Original Budget'!F71-Actuals!F71)</f>
        <v/>
      </c>
      <c r="Q56" s="137" t="str">
        <f aca="false">IFERROR(IF(ISBLANK(Actuals!F71),"",('Original Budget'!F71-Actuals!F71)/ABS('Original Budget'!F71)),"")</f>
        <v/>
      </c>
      <c r="R56" s="136" t="n">
        <f aca="false">'Original Budget'!G71</f>
        <v>0</v>
      </c>
      <c r="S56" s="136" t="str">
        <f aca="false">IF(ISBLANK(Actuals!G71),"",Actuals!G71)</f>
        <v/>
      </c>
      <c r="T56" s="137" t="str">
        <f aca="false">IF(ISBLANK(Actuals!G71),"",'Original Budget'!G71-Actuals!G71)</f>
        <v/>
      </c>
      <c r="U56" s="137" t="str">
        <f aca="false">IFERROR(IF(ISBLANK(Actuals!G71),"",('Original Budget'!G71-Actuals!G71)/ABS('Original Budget'!G71)),"")</f>
        <v/>
      </c>
      <c r="V56" s="136" t="n">
        <f aca="false">'Original Budget'!H71</f>
        <v>0</v>
      </c>
      <c r="W56" s="136" t="str">
        <f aca="false">IF(ISBLANK(Actuals!H71),"",Actuals!H71)</f>
        <v/>
      </c>
      <c r="X56" s="137" t="str">
        <f aca="false">IF(ISBLANK(Actuals!H71),"",'Original Budget'!H71-Actuals!H71)</f>
        <v/>
      </c>
      <c r="Y56" s="137" t="str">
        <f aca="false">IFERROR(IF(ISBLANK(Actuals!H71),"",('Original Budget'!H71-Actuals!H71)/ABS('Original Budget'!H71)),"")</f>
        <v/>
      </c>
      <c r="Z56" s="136" t="n">
        <f aca="false">'Original Budget'!I71</f>
        <v>0</v>
      </c>
      <c r="AA56" s="136" t="str">
        <f aca="false">IF(ISBLANK(Actuals!I71),"",Actuals!I71)</f>
        <v/>
      </c>
      <c r="AB56" s="137" t="str">
        <f aca="false">IF(ISBLANK(Actuals!I71),"",'Original Budget'!I71-Actuals!I71)</f>
        <v/>
      </c>
      <c r="AC56" s="137" t="str">
        <f aca="false">IFERROR(IF(ISBLANK(Actuals!I71),"",('Original Budget'!I71-Actuals!I71)/ABS('Original Budget'!I71)),"")</f>
        <v/>
      </c>
      <c r="AD56" s="136" t="n">
        <f aca="false">'Original Budget'!J71</f>
        <v>0</v>
      </c>
      <c r="AE56" s="136" t="str">
        <f aca="false">IF(ISBLANK(Actuals!J71),"",Actuals!J71)</f>
        <v/>
      </c>
      <c r="AF56" s="137" t="str">
        <f aca="false">IF(ISBLANK(Actuals!J71),"",'Original Budget'!J71-Actuals!J71)</f>
        <v/>
      </c>
      <c r="AG56" s="137" t="str">
        <f aca="false">IFERROR(IF(ISBLANK(Actuals!J71),"",('Original Budget'!J71-Actuals!J71)/ABS('Original Budget'!J71)),"")</f>
        <v/>
      </c>
      <c r="AH56" s="136" t="n">
        <f aca="false">'Original Budget'!K71</f>
        <v>0</v>
      </c>
      <c r="AI56" s="136" t="str">
        <f aca="false">IF(ISBLANK(Actuals!K71),"",Actuals!K71)</f>
        <v/>
      </c>
      <c r="AJ56" s="137" t="str">
        <f aca="false">IF(ISBLANK(Actuals!K71),"",'Original Budget'!K71-Actuals!K71)</f>
        <v/>
      </c>
      <c r="AK56" s="137" t="str">
        <f aca="false">IFERROR(IF(ISBLANK(Actuals!K71),"",('Original Budget'!K71-Actuals!K71)/ABS('Original Budget'!K71)),"")</f>
        <v/>
      </c>
      <c r="AL56" s="136" t="n">
        <f aca="false">'Original Budget'!L71</f>
        <v>0</v>
      </c>
      <c r="AM56" s="136" t="str">
        <f aca="false">IF(ISBLANK(Actuals!L71),"",Actuals!L71)</f>
        <v/>
      </c>
      <c r="AN56" s="137" t="str">
        <f aca="false">IF(ISBLANK(Actuals!L71),"",'Original Budget'!L71-Actuals!L71)</f>
        <v/>
      </c>
      <c r="AO56" s="137" t="str">
        <f aca="false">IFERROR(IF(ISBLANK(Actuals!L71),"",('Original Budget'!L71-Actuals!L71)/ABS('Original Budget'!L71)),"")</f>
        <v/>
      </c>
      <c r="AP56" s="136" t="n">
        <f aca="false">'Original Budget'!M71</f>
        <v>0</v>
      </c>
      <c r="AQ56" s="136" t="str">
        <f aca="false">IF(ISBLANK(Actuals!M71),"",Actuals!M71)</f>
        <v/>
      </c>
      <c r="AR56" s="137" t="str">
        <f aca="false">IF(ISBLANK(Actuals!M71),"",'Original Budget'!M71-Actuals!M71)</f>
        <v/>
      </c>
      <c r="AS56" s="137" t="str">
        <f aca="false">IFERROR(IF(ISBLANK(Actuals!M71),"",('Original Budget'!M71-Actuals!M71)/ABS('Original Budget'!M71)),"")</f>
        <v/>
      </c>
      <c r="AT56" s="136" t="n">
        <f aca="false">'Original Budget'!N71</f>
        <v>0</v>
      </c>
      <c r="AU56" s="136" t="str">
        <f aca="false">IF(ISBLANK(Actuals!N71),"",Actuals!N71)</f>
        <v/>
      </c>
      <c r="AV56" s="137" t="str">
        <f aca="false">IF(ISBLANK(Actuals!N71),"",'Original Budget'!N71-Actuals!N71)</f>
        <v/>
      </c>
      <c r="AW56" s="137" t="str">
        <f aca="false">IFERROR(IF(ISBLANK(Actuals!N71),"",('Original Budget'!N71-Actuals!N71)/ABS('Original Budget'!N71)),"")</f>
        <v/>
      </c>
      <c r="AX56" s="138" t="n">
        <f aca="false">SUMPRODUCT((Actuals!C71:N71&lt;&gt;"")*('Original Budget'!C71:N71))</f>
        <v>0</v>
      </c>
      <c r="AY56" s="138" t="n">
        <f aca="false">SUM(Actuals!C71:N71)</f>
        <v>0</v>
      </c>
      <c r="AZ56" s="139" t="n">
        <f aca="false">AX56-AY56</f>
        <v>0</v>
      </c>
    </row>
    <row r="57" customFormat="false" ht="15" hidden="false" customHeight="true" outlineLevel="0" collapsed="false">
      <c r="A57" s="135" t="s">
        <v>105</v>
      </c>
      <c r="B57" s="136" t="n">
        <f aca="false">'Original Budget'!C72</f>
        <v>0</v>
      </c>
      <c r="C57" s="136" t="str">
        <f aca="false">IF(ISBLANK(Actuals!C72),"",Actuals!C72)</f>
        <v/>
      </c>
      <c r="D57" s="137" t="str">
        <f aca="false">IF(ISBLANK(Actuals!C72),"",'Original Budget'!C72-Actuals!C72)</f>
        <v/>
      </c>
      <c r="E57" s="137" t="str">
        <f aca="false">IFERROR(IF(ISBLANK(Actuals!C72),"",('Original Budget'!C72-Actuals!C72)/ABS('Original Budget'!C72)),"")</f>
        <v/>
      </c>
      <c r="F57" s="136" t="n">
        <f aca="false">'Original Budget'!D72</f>
        <v>0</v>
      </c>
      <c r="G57" s="136" t="str">
        <f aca="false">IF(ISBLANK(Actuals!D72),"",Actuals!D72)</f>
        <v/>
      </c>
      <c r="H57" s="137" t="str">
        <f aca="false">IF(ISBLANK(Actuals!D72),"",'Original Budget'!D72-Actuals!D72)</f>
        <v/>
      </c>
      <c r="I57" s="137" t="str">
        <f aca="false">IFERROR(IF(ISBLANK(Actuals!D72),"",('Original Budget'!D72-Actuals!D72)/ABS('Original Budget'!D72)),"")</f>
        <v/>
      </c>
      <c r="J57" s="136" t="n">
        <f aca="false">'Original Budget'!E72</f>
        <v>0</v>
      </c>
      <c r="K57" s="136" t="str">
        <f aca="false">IF(ISBLANK(Actuals!E72),"",Actuals!E72)</f>
        <v/>
      </c>
      <c r="L57" s="137" t="str">
        <f aca="false">IF(ISBLANK(Actuals!E72),"",'Original Budget'!E72-Actuals!E72)</f>
        <v/>
      </c>
      <c r="M57" s="137" t="str">
        <f aca="false">IFERROR(IF(ISBLANK(Actuals!E72),"",('Original Budget'!E72-Actuals!E72)/ABS('Original Budget'!E72)),"")</f>
        <v/>
      </c>
      <c r="N57" s="136" t="n">
        <f aca="false">'Original Budget'!F72</f>
        <v>0</v>
      </c>
      <c r="O57" s="136" t="str">
        <f aca="false">IF(ISBLANK(Actuals!F72),"",Actuals!F72)</f>
        <v/>
      </c>
      <c r="P57" s="137" t="str">
        <f aca="false">IF(ISBLANK(Actuals!F72),"",'Original Budget'!F72-Actuals!F72)</f>
        <v/>
      </c>
      <c r="Q57" s="137" t="str">
        <f aca="false">IFERROR(IF(ISBLANK(Actuals!F72),"",('Original Budget'!F72-Actuals!F72)/ABS('Original Budget'!F72)),"")</f>
        <v/>
      </c>
      <c r="R57" s="136" t="n">
        <f aca="false">'Original Budget'!G72</f>
        <v>0</v>
      </c>
      <c r="S57" s="136" t="str">
        <f aca="false">IF(ISBLANK(Actuals!G72),"",Actuals!G72)</f>
        <v/>
      </c>
      <c r="T57" s="137" t="str">
        <f aca="false">IF(ISBLANK(Actuals!G72),"",'Original Budget'!G72-Actuals!G72)</f>
        <v/>
      </c>
      <c r="U57" s="137" t="str">
        <f aca="false">IFERROR(IF(ISBLANK(Actuals!G72),"",('Original Budget'!G72-Actuals!G72)/ABS('Original Budget'!G72)),"")</f>
        <v/>
      </c>
      <c r="V57" s="136" t="n">
        <f aca="false">'Original Budget'!H72</f>
        <v>0</v>
      </c>
      <c r="W57" s="136" t="str">
        <f aca="false">IF(ISBLANK(Actuals!H72),"",Actuals!H72)</f>
        <v/>
      </c>
      <c r="X57" s="137" t="str">
        <f aca="false">IF(ISBLANK(Actuals!H72),"",'Original Budget'!H72-Actuals!H72)</f>
        <v/>
      </c>
      <c r="Y57" s="137" t="str">
        <f aca="false">IFERROR(IF(ISBLANK(Actuals!H72),"",('Original Budget'!H72-Actuals!H72)/ABS('Original Budget'!H72)),"")</f>
        <v/>
      </c>
      <c r="Z57" s="136" t="n">
        <f aca="false">'Original Budget'!I72</f>
        <v>0</v>
      </c>
      <c r="AA57" s="136" t="str">
        <f aca="false">IF(ISBLANK(Actuals!I72),"",Actuals!I72)</f>
        <v/>
      </c>
      <c r="AB57" s="137" t="str">
        <f aca="false">IF(ISBLANK(Actuals!I72),"",'Original Budget'!I72-Actuals!I72)</f>
        <v/>
      </c>
      <c r="AC57" s="137" t="str">
        <f aca="false">IFERROR(IF(ISBLANK(Actuals!I72),"",('Original Budget'!I72-Actuals!I72)/ABS('Original Budget'!I72)),"")</f>
        <v/>
      </c>
      <c r="AD57" s="136" t="n">
        <f aca="false">'Original Budget'!J72</f>
        <v>0</v>
      </c>
      <c r="AE57" s="136" t="str">
        <f aca="false">IF(ISBLANK(Actuals!J72),"",Actuals!J72)</f>
        <v/>
      </c>
      <c r="AF57" s="137" t="str">
        <f aca="false">IF(ISBLANK(Actuals!J72),"",'Original Budget'!J72-Actuals!J72)</f>
        <v/>
      </c>
      <c r="AG57" s="137" t="str">
        <f aca="false">IFERROR(IF(ISBLANK(Actuals!J72),"",('Original Budget'!J72-Actuals!J72)/ABS('Original Budget'!J72)),"")</f>
        <v/>
      </c>
      <c r="AH57" s="136" t="n">
        <f aca="false">'Original Budget'!K72</f>
        <v>0</v>
      </c>
      <c r="AI57" s="136" t="str">
        <f aca="false">IF(ISBLANK(Actuals!K72),"",Actuals!K72)</f>
        <v/>
      </c>
      <c r="AJ57" s="137" t="str">
        <f aca="false">IF(ISBLANK(Actuals!K72),"",'Original Budget'!K72-Actuals!K72)</f>
        <v/>
      </c>
      <c r="AK57" s="137" t="str">
        <f aca="false">IFERROR(IF(ISBLANK(Actuals!K72),"",('Original Budget'!K72-Actuals!K72)/ABS('Original Budget'!K72)),"")</f>
        <v/>
      </c>
      <c r="AL57" s="136" t="n">
        <f aca="false">'Original Budget'!L72</f>
        <v>0</v>
      </c>
      <c r="AM57" s="136" t="str">
        <f aca="false">IF(ISBLANK(Actuals!L72),"",Actuals!L72)</f>
        <v/>
      </c>
      <c r="AN57" s="137" t="str">
        <f aca="false">IF(ISBLANK(Actuals!L72),"",'Original Budget'!L72-Actuals!L72)</f>
        <v/>
      </c>
      <c r="AO57" s="137" t="str">
        <f aca="false">IFERROR(IF(ISBLANK(Actuals!L72),"",('Original Budget'!L72-Actuals!L72)/ABS('Original Budget'!L72)),"")</f>
        <v/>
      </c>
      <c r="AP57" s="136" t="n">
        <f aca="false">'Original Budget'!M72</f>
        <v>0</v>
      </c>
      <c r="AQ57" s="136" t="str">
        <f aca="false">IF(ISBLANK(Actuals!M72),"",Actuals!M72)</f>
        <v/>
      </c>
      <c r="AR57" s="137" t="str">
        <f aca="false">IF(ISBLANK(Actuals!M72),"",'Original Budget'!M72-Actuals!M72)</f>
        <v/>
      </c>
      <c r="AS57" s="137" t="str">
        <f aca="false">IFERROR(IF(ISBLANK(Actuals!M72),"",('Original Budget'!M72-Actuals!M72)/ABS('Original Budget'!M72)),"")</f>
        <v/>
      </c>
      <c r="AT57" s="136" t="n">
        <f aca="false">'Original Budget'!N72</f>
        <v>0</v>
      </c>
      <c r="AU57" s="136" t="str">
        <f aca="false">IF(ISBLANK(Actuals!N72),"",Actuals!N72)</f>
        <v/>
      </c>
      <c r="AV57" s="137" t="str">
        <f aca="false">IF(ISBLANK(Actuals!N72),"",'Original Budget'!N72-Actuals!N72)</f>
        <v/>
      </c>
      <c r="AW57" s="137" t="str">
        <f aca="false">IFERROR(IF(ISBLANK(Actuals!N72),"",('Original Budget'!N72-Actuals!N72)/ABS('Original Budget'!N72)),"")</f>
        <v/>
      </c>
      <c r="AX57" s="138" t="n">
        <f aca="false">SUMPRODUCT((Actuals!C72:N72&lt;&gt;"")*('Original Budget'!C72:N72))</f>
        <v>0</v>
      </c>
      <c r="AY57" s="138" t="n">
        <f aca="false">SUM(Actuals!C72:N72)</f>
        <v>0</v>
      </c>
      <c r="AZ57" s="139" t="n">
        <f aca="false">AX57-AY57</f>
        <v>0</v>
      </c>
    </row>
    <row r="58" customFormat="false" ht="15" hidden="false" customHeight="true" outlineLevel="0" collapsed="false">
      <c r="A58" s="135" t="s">
        <v>106</v>
      </c>
      <c r="B58" s="136" t="n">
        <f aca="false">'Original Budget'!C73</f>
        <v>0</v>
      </c>
      <c r="C58" s="136" t="str">
        <f aca="false">IF(ISBLANK(Actuals!C73),"",Actuals!C73)</f>
        <v/>
      </c>
      <c r="D58" s="137" t="str">
        <f aca="false">IF(ISBLANK(Actuals!C73),"",'Original Budget'!C73-Actuals!C73)</f>
        <v/>
      </c>
      <c r="E58" s="137" t="str">
        <f aca="false">IFERROR(IF(ISBLANK(Actuals!C73),"",('Original Budget'!C73-Actuals!C73)/ABS('Original Budget'!C73)),"")</f>
        <v/>
      </c>
      <c r="F58" s="136" t="n">
        <f aca="false">'Original Budget'!D73</f>
        <v>0</v>
      </c>
      <c r="G58" s="136" t="str">
        <f aca="false">IF(ISBLANK(Actuals!D73),"",Actuals!D73)</f>
        <v/>
      </c>
      <c r="H58" s="137" t="str">
        <f aca="false">IF(ISBLANK(Actuals!D73),"",'Original Budget'!D73-Actuals!D73)</f>
        <v/>
      </c>
      <c r="I58" s="137" t="str">
        <f aca="false">IFERROR(IF(ISBLANK(Actuals!D73),"",('Original Budget'!D73-Actuals!D73)/ABS('Original Budget'!D73)),"")</f>
        <v/>
      </c>
      <c r="J58" s="136" t="n">
        <f aca="false">'Original Budget'!E73</f>
        <v>0</v>
      </c>
      <c r="K58" s="136" t="str">
        <f aca="false">IF(ISBLANK(Actuals!E73),"",Actuals!E73)</f>
        <v/>
      </c>
      <c r="L58" s="137" t="str">
        <f aca="false">IF(ISBLANK(Actuals!E73),"",'Original Budget'!E73-Actuals!E73)</f>
        <v/>
      </c>
      <c r="M58" s="137" t="str">
        <f aca="false">IFERROR(IF(ISBLANK(Actuals!E73),"",('Original Budget'!E73-Actuals!E73)/ABS('Original Budget'!E73)),"")</f>
        <v/>
      </c>
      <c r="N58" s="136" t="n">
        <f aca="false">'Original Budget'!F73</f>
        <v>0</v>
      </c>
      <c r="O58" s="136" t="str">
        <f aca="false">IF(ISBLANK(Actuals!F73),"",Actuals!F73)</f>
        <v/>
      </c>
      <c r="P58" s="137" t="str">
        <f aca="false">IF(ISBLANK(Actuals!F73),"",'Original Budget'!F73-Actuals!F73)</f>
        <v/>
      </c>
      <c r="Q58" s="137" t="str">
        <f aca="false">IFERROR(IF(ISBLANK(Actuals!F73),"",('Original Budget'!F73-Actuals!F73)/ABS('Original Budget'!F73)),"")</f>
        <v/>
      </c>
      <c r="R58" s="136" t="n">
        <f aca="false">'Original Budget'!G73</f>
        <v>0</v>
      </c>
      <c r="S58" s="136" t="str">
        <f aca="false">IF(ISBLANK(Actuals!G73),"",Actuals!G73)</f>
        <v/>
      </c>
      <c r="T58" s="137" t="str">
        <f aca="false">IF(ISBLANK(Actuals!G73),"",'Original Budget'!G73-Actuals!G73)</f>
        <v/>
      </c>
      <c r="U58" s="137" t="str">
        <f aca="false">IFERROR(IF(ISBLANK(Actuals!G73),"",('Original Budget'!G73-Actuals!G73)/ABS('Original Budget'!G73)),"")</f>
        <v/>
      </c>
      <c r="V58" s="136" t="n">
        <f aca="false">'Original Budget'!H73</f>
        <v>0</v>
      </c>
      <c r="W58" s="136" t="str">
        <f aca="false">IF(ISBLANK(Actuals!H73),"",Actuals!H73)</f>
        <v/>
      </c>
      <c r="X58" s="137" t="str">
        <f aca="false">IF(ISBLANK(Actuals!H73),"",'Original Budget'!H73-Actuals!H73)</f>
        <v/>
      </c>
      <c r="Y58" s="137" t="str">
        <f aca="false">IFERROR(IF(ISBLANK(Actuals!H73),"",('Original Budget'!H73-Actuals!H73)/ABS('Original Budget'!H73)),"")</f>
        <v/>
      </c>
      <c r="Z58" s="136" t="n">
        <f aca="false">'Original Budget'!I73</f>
        <v>0</v>
      </c>
      <c r="AA58" s="136" t="str">
        <f aca="false">IF(ISBLANK(Actuals!I73),"",Actuals!I73)</f>
        <v/>
      </c>
      <c r="AB58" s="137" t="str">
        <f aca="false">IF(ISBLANK(Actuals!I73),"",'Original Budget'!I73-Actuals!I73)</f>
        <v/>
      </c>
      <c r="AC58" s="137" t="str">
        <f aca="false">IFERROR(IF(ISBLANK(Actuals!I73),"",('Original Budget'!I73-Actuals!I73)/ABS('Original Budget'!I73)),"")</f>
        <v/>
      </c>
      <c r="AD58" s="136" t="n">
        <f aca="false">'Original Budget'!J73</f>
        <v>0</v>
      </c>
      <c r="AE58" s="136" t="str">
        <f aca="false">IF(ISBLANK(Actuals!J73),"",Actuals!J73)</f>
        <v/>
      </c>
      <c r="AF58" s="137" t="str">
        <f aca="false">IF(ISBLANK(Actuals!J73),"",'Original Budget'!J73-Actuals!J73)</f>
        <v/>
      </c>
      <c r="AG58" s="137" t="str">
        <f aca="false">IFERROR(IF(ISBLANK(Actuals!J73),"",('Original Budget'!J73-Actuals!J73)/ABS('Original Budget'!J73)),"")</f>
        <v/>
      </c>
      <c r="AH58" s="136" t="n">
        <f aca="false">'Original Budget'!K73</f>
        <v>0</v>
      </c>
      <c r="AI58" s="136" t="str">
        <f aca="false">IF(ISBLANK(Actuals!K73),"",Actuals!K73)</f>
        <v/>
      </c>
      <c r="AJ58" s="137" t="str">
        <f aca="false">IF(ISBLANK(Actuals!K73),"",'Original Budget'!K73-Actuals!K73)</f>
        <v/>
      </c>
      <c r="AK58" s="137" t="str">
        <f aca="false">IFERROR(IF(ISBLANK(Actuals!K73),"",('Original Budget'!K73-Actuals!K73)/ABS('Original Budget'!K73)),"")</f>
        <v/>
      </c>
      <c r="AL58" s="136" t="n">
        <f aca="false">'Original Budget'!L73</f>
        <v>0</v>
      </c>
      <c r="AM58" s="136" t="str">
        <f aca="false">IF(ISBLANK(Actuals!L73),"",Actuals!L73)</f>
        <v/>
      </c>
      <c r="AN58" s="137" t="str">
        <f aca="false">IF(ISBLANK(Actuals!L73),"",'Original Budget'!L73-Actuals!L73)</f>
        <v/>
      </c>
      <c r="AO58" s="137" t="str">
        <f aca="false">IFERROR(IF(ISBLANK(Actuals!L73),"",('Original Budget'!L73-Actuals!L73)/ABS('Original Budget'!L73)),"")</f>
        <v/>
      </c>
      <c r="AP58" s="136" t="n">
        <f aca="false">'Original Budget'!M73</f>
        <v>0</v>
      </c>
      <c r="AQ58" s="136" t="str">
        <f aca="false">IF(ISBLANK(Actuals!M73),"",Actuals!M73)</f>
        <v/>
      </c>
      <c r="AR58" s="137" t="str">
        <f aca="false">IF(ISBLANK(Actuals!M73),"",'Original Budget'!M73-Actuals!M73)</f>
        <v/>
      </c>
      <c r="AS58" s="137" t="str">
        <f aca="false">IFERROR(IF(ISBLANK(Actuals!M73),"",('Original Budget'!M73-Actuals!M73)/ABS('Original Budget'!M73)),"")</f>
        <v/>
      </c>
      <c r="AT58" s="136" t="n">
        <f aca="false">'Original Budget'!N73</f>
        <v>0</v>
      </c>
      <c r="AU58" s="136" t="str">
        <f aca="false">IF(ISBLANK(Actuals!N73),"",Actuals!N73)</f>
        <v/>
      </c>
      <c r="AV58" s="137" t="str">
        <f aca="false">IF(ISBLANK(Actuals!N73),"",'Original Budget'!N73-Actuals!N73)</f>
        <v/>
      </c>
      <c r="AW58" s="137" t="str">
        <f aca="false">IFERROR(IF(ISBLANK(Actuals!N73),"",('Original Budget'!N73-Actuals!N73)/ABS('Original Budget'!N73)),"")</f>
        <v/>
      </c>
      <c r="AX58" s="138" t="n">
        <f aca="false">SUMPRODUCT((Actuals!C73:N73&lt;&gt;"")*('Original Budget'!C73:N73))</f>
        <v>0</v>
      </c>
      <c r="AY58" s="138" t="n">
        <f aca="false">SUM(Actuals!C73:N73)</f>
        <v>0</v>
      </c>
      <c r="AZ58" s="139" t="n">
        <f aca="false">AX58-AY58</f>
        <v>0</v>
      </c>
    </row>
    <row r="59" customFormat="false" ht="15" hidden="false" customHeight="true" outlineLevel="0" collapsed="false">
      <c r="A59" s="135" t="s">
        <v>107</v>
      </c>
      <c r="B59" s="136" t="n">
        <f aca="false">'Original Budget'!C74</f>
        <v>0</v>
      </c>
      <c r="C59" s="136" t="str">
        <f aca="false">IF(ISBLANK(Actuals!C74),"",Actuals!C74)</f>
        <v/>
      </c>
      <c r="D59" s="137" t="str">
        <f aca="false">IF(ISBLANK(Actuals!C74),"",'Original Budget'!C74-Actuals!C74)</f>
        <v/>
      </c>
      <c r="E59" s="137" t="str">
        <f aca="false">IFERROR(IF(ISBLANK(Actuals!C74),"",('Original Budget'!C74-Actuals!C74)/ABS('Original Budget'!C74)),"")</f>
        <v/>
      </c>
      <c r="F59" s="136" t="n">
        <f aca="false">'Original Budget'!D74</f>
        <v>0</v>
      </c>
      <c r="G59" s="136" t="str">
        <f aca="false">IF(ISBLANK(Actuals!D74),"",Actuals!D74)</f>
        <v/>
      </c>
      <c r="H59" s="137" t="str">
        <f aca="false">IF(ISBLANK(Actuals!D74),"",'Original Budget'!D74-Actuals!D74)</f>
        <v/>
      </c>
      <c r="I59" s="137" t="str">
        <f aca="false">IFERROR(IF(ISBLANK(Actuals!D74),"",('Original Budget'!D74-Actuals!D74)/ABS('Original Budget'!D74)),"")</f>
        <v/>
      </c>
      <c r="J59" s="136" t="n">
        <f aca="false">'Original Budget'!E74</f>
        <v>0</v>
      </c>
      <c r="K59" s="136" t="str">
        <f aca="false">IF(ISBLANK(Actuals!E74),"",Actuals!E74)</f>
        <v/>
      </c>
      <c r="L59" s="137" t="str">
        <f aca="false">IF(ISBLANK(Actuals!E74),"",'Original Budget'!E74-Actuals!E74)</f>
        <v/>
      </c>
      <c r="M59" s="137" t="str">
        <f aca="false">IFERROR(IF(ISBLANK(Actuals!E74),"",('Original Budget'!E74-Actuals!E74)/ABS('Original Budget'!E74)),"")</f>
        <v/>
      </c>
      <c r="N59" s="136" t="n">
        <f aca="false">'Original Budget'!F74</f>
        <v>0</v>
      </c>
      <c r="O59" s="136" t="str">
        <f aca="false">IF(ISBLANK(Actuals!F74),"",Actuals!F74)</f>
        <v/>
      </c>
      <c r="P59" s="137" t="str">
        <f aca="false">IF(ISBLANK(Actuals!F74),"",'Original Budget'!F74-Actuals!F74)</f>
        <v/>
      </c>
      <c r="Q59" s="137" t="str">
        <f aca="false">IFERROR(IF(ISBLANK(Actuals!F74),"",('Original Budget'!F74-Actuals!F74)/ABS('Original Budget'!F74)),"")</f>
        <v/>
      </c>
      <c r="R59" s="136" t="n">
        <f aca="false">'Original Budget'!G74</f>
        <v>0</v>
      </c>
      <c r="S59" s="136" t="str">
        <f aca="false">IF(ISBLANK(Actuals!G74),"",Actuals!G74)</f>
        <v/>
      </c>
      <c r="T59" s="137" t="str">
        <f aca="false">IF(ISBLANK(Actuals!G74),"",'Original Budget'!G74-Actuals!G74)</f>
        <v/>
      </c>
      <c r="U59" s="137" t="str">
        <f aca="false">IFERROR(IF(ISBLANK(Actuals!G74),"",('Original Budget'!G74-Actuals!G74)/ABS('Original Budget'!G74)),"")</f>
        <v/>
      </c>
      <c r="V59" s="136" t="n">
        <f aca="false">'Original Budget'!H74</f>
        <v>0</v>
      </c>
      <c r="W59" s="136" t="str">
        <f aca="false">IF(ISBLANK(Actuals!H74),"",Actuals!H74)</f>
        <v/>
      </c>
      <c r="X59" s="137" t="str">
        <f aca="false">IF(ISBLANK(Actuals!H74),"",'Original Budget'!H74-Actuals!H74)</f>
        <v/>
      </c>
      <c r="Y59" s="137" t="str">
        <f aca="false">IFERROR(IF(ISBLANK(Actuals!H74),"",('Original Budget'!H74-Actuals!H74)/ABS('Original Budget'!H74)),"")</f>
        <v/>
      </c>
      <c r="Z59" s="136" t="n">
        <f aca="false">'Original Budget'!I74</f>
        <v>0</v>
      </c>
      <c r="AA59" s="136" t="str">
        <f aca="false">IF(ISBLANK(Actuals!I74),"",Actuals!I74)</f>
        <v/>
      </c>
      <c r="AB59" s="137" t="str">
        <f aca="false">IF(ISBLANK(Actuals!I74),"",'Original Budget'!I74-Actuals!I74)</f>
        <v/>
      </c>
      <c r="AC59" s="137" t="str">
        <f aca="false">IFERROR(IF(ISBLANK(Actuals!I74),"",('Original Budget'!I74-Actuals!I74)/ABS('Original Budget'!I74)),"")</f>
        <v/>
      </c>
      <c r="AD59" s="136" t="n">
        <f aca="false">'Original Budget'!J74</f>
        <v>0</v>
      </c>
      <c r="AE59" s="136" t="str">
        <f aca="false">IF(ISBLANK(Actuals!J74),"",Actuals!J74)</f>
        <v/>
      </c>
      <c r="AF59" s="137" t="str">
        <f aca="false">IF(ISBLANK(Actuals!J74),"",'Original Budget'!J74-Actuals!J74)</f>
        <v/>
      </c>
      <c r="AG59" s="137" t="str">
        <f aca="false">IFERROR(IF(ISBLANK(Actuals!J74),"",('Original Budget'!J74-Actuals!J74)/ABS('Original Budget'!J74)),"")</f>
        <v/>
      </c>
      <c r="AH59" s="136" t="n">
        <f aca="false">'Original Budget'!K74</f>
        <v>0</v>
      </c>
      <c r="AI59" s="136" t="str">
        <f aca="false">IF(ISBLANK(Actuals!K74),"",Actuals!K74)</f>
        <v/>
      </c>
      <c r="AJ59" s="137" t="str">
        <f aca="false">IF(ISBLANK(Actuals!K74),"",'Original Budget'!K74-Actuals!K74)</f>
        <v/>
      </c>
      <c r="AK59" s="137" t="str">
        <f aca="false">IFERROR(IF(ISBLANK(Actuals!K74),"",('Original Budget'!K74-Actuals!K74)/ABS('Original Budget'!K74)),"")</f>
        <v/>
      </c>
      <c r="AL59" s="136" t="n">
        <f aca="false">'Original Budget'!L74</f>
        <v>0</v>
      </c>
      <c r="AM59" s="136" t="str">
        <f aca="false">IF(ISBLANK(Actuals!L74),"",Actuals!L74)</f>
        <v/>
      </c>
      <c r="AN59" s="137" t="str">
        <f aca="false">IF(ISBLANK(Actuals!L74),"",'Original Budget'!L74-Actuals!L74)</f>
        <v/>
      </c>
      <c r="AO59" s="137" t="str">
        <f aca="false">IFERROR(IF(ISBLANK(Actuals!L74),"",('Original Budget'!L74-Actuals!L74)/ABS('Original Budget'!L74)),"")</f>
        <v/>
      </c>
      <c r="AP59" s="136" t="n">
        <f aca="false">'Original Budget'!M74</f>
        <v>0</v>
      </c>
      <c r="AQ59" s="136" t="str">
        <f aca="false">IF(ISBLANK(Actuals!M74),"",Actuals!M74)</f>
        <v/>
      </c>
      <c r="AR59" s="137" t="str">
        <f aca="false">IF(ISBLANK(Actuals!M74),"",'Original Budget'!M74-Actuals!M74)</f>
        <v/>
      </c>
      <c r="AS59" s="137" t="str">
        <f aca="false">IFERROR(IF(ISBLANK(Actuals!M74),"",('Original Budget'!M74-Actuals!M74)/ABS('Original Budget'!M74)),"")</f>
        <v/>
      </c>
      <c r="AT59" s="136" t="n">
        <f aca="false">'Original Budget'!N74</f>
        <v>0</v>
      </c>
      <c r="AU59" s="136" t="str">
        <f aca="false">IF(ISBLANK(Actuals!N74),"",Actuals!N74)</f>
        <v/>
      </c>
      <c r="AV59" s="137" t="str">
        <f aca="false">IF(ISBLANK(Actuals!N74),"",'Original Budget'!N74-Actuals!N74)</f>
        <v/>
      </c>
      <c r="AW59" s="137" t="str">
        <f aca="false">IFERROR(IF(ISBLANK(Actuals!N74),"",('Original Budget'!N74-Actuals!N74)/ABS('Original Budget'!N74)),"")</f>
        <v/>
      </c>
      <c r="AX59" s="138" t="n">
        <f aca="false">SUMPRODUCT((Actuals!C74:N74&lt;&gt;"")*('Original Budget'!C74:N74))</f>
        <v>0</v>
      </c>
      <c r="AY59" s="138" t="n">
        <f aca="false">SUM(Actuals!C74:N74)</f>
        <v>0</v>
      </c>
      <c r="AZ59" s="139" t="n">
        <f aca="false">AX59-AY59</f>
        <v>0</v>
      </c>
    </row>
    <row r="60" customFormat="false" ht="15" hidden="false" customHeight="true" outlineLevel="0" collapsed="false">
      <c r="A60" s="135" t="s">
        <v>108</v>
      </c>
      <c r="B60" s="136" t="n">
        <f aca="false">'Original Budget'!C75</f>
        <v>0</v>
      </c>
      <c r="C60" s="136" t="str">
        <f aca="false">IF(ISBLANK(Actuals!C75),"",Actuals!C75)</f>
        <v/>
      </c>
      <c r="D60" s="137" t="str">
        <f aca="false">IF(ISBLANK(Actuals!C75),"",'Original Budget'!C75-Actuals!C75)</f>
        <v/>
      </c>
      <c r="E60" s="137" t="str">
        <f aca="false">IFERROR(IF(ISBLANK(Actuals!C75),"",('Original Budget'!C75-Actuals!C75)/ABS('Original Budget'!C75)),"")</f>
        <v/>
      </c>
      <c r="F60" s="136" t="n">
        <f aca="false">'Original Budget'!D75</f>
        <v>0</v>
      </c>
      <c r="G60" s="136" t="str">
        <f aca="false">IF(ISBLANK(Actuals!D75),"",Actuals!D75)</f>
        <v/>
      </c>
      <c r="H60" s="137" t="str">
        <f aca="false">IF(ISBLANK(Actuals!D75),"",'Original Budget'!D75-Actuals!D75)</f>
        <v/>
      </c>
      <c r="I60" s="137" t="str">
        <f aca="false">IFERROR(IF(ISBLANK(Actuals!D75),"",('Original Budget'!D75-Actuals!D75)/ABS('Original Budget'!D75)),"")</f>
        <v/>
      </c>
      <c r="J60" s="136" t="n">
        <f aca="false">'Original Budget'!E75</f>
        <v>0</v>
      </c>
      <c r="K60" s="136" t="str">
        <f aca="false">IF(ISBLANK(Actuals!E75),"",Actuals!E75)</f>
        <v/>
      </c>
      <c r="L60" s="137" t="str">
        <f aca="false">IF(ISBLANK(Actuals!E75),"",'Original Budget'!E75-Actuals!E75)</f>
        <v/>
      </c>
      <c r="M60" s="137" t="str">
        <f aca="false">IFERROR(IF(ISBLANK(Actuals!E75),"",('Original Budget'!E75-Actuals!E75)/ABS('Original Budget'!E75)),"")</f>
        <v/>
      </c>
      <c r="N60" s="136" t="n">
        <f aca="false">'Original Budget'!F75</f>
        <v>0</v>
      </c>
      <c r="O60" s="136" t="str">
        <f aca="false">IF(ISBLANK(Actuals!F75),"",Actuals!F75)</f>
        <v/>
      </c>
      <c r="P60" s="137" t="str">
        <f aca="false">IF(ISBLANK(Actuals!F75),"",'Original Budget'!F75-Actuals!F75)</f>
        <v/>
      </c>
      <c r="Q60" s="137" t="str">
        <f aca="false">IFERROR(IF(ISBLANK(Actuals!F75),"",('Original Budget'!F75-Actuals!F75)/ABS('Original Budget'!F75)),"")</f>
        <v/>
      </c>
      <c r="R60" s="136" t="n">
        <f aca="false">'Original Budget'!G75</f>
        <v>0</v>
      </c>
      <c r="S60" s="136" t="str">
        <f aca="false">IF(ISBLANK(Actuals!G75),"",Actuals!G75)</f>
        <v/>
      </c>
      <c r="T60" s="137" t="str">
        <f aca="false">IF(ISBLANK(Actuals!G75),"",'Original Budget'!G75-Actuals!G75)</f>
        <v/>
      </c>
      <c r="U60" s="137" t="str">
        <f aca="false">IFERROR(IF(ISBLANK(Actuals!G75),"",('Original Budget'!G75-Actuals!G75)/ABS('Original Budget'!G75)),"")</f>
        <v/>
      </c>
      <c r="V60" s="136" t="n">
        <f aca="false">'Original Budget'!H75</f>
        <v>0</v>
      </c>
      <c r="W60" s="136" t="str">
        <f aca="false">IF(ISBLANK(Actuals!H75),"",Actuals!H75)</f>
        <v/>
      </c>
      <c r="X60" s="137" t="str">
        <f aca="false">IF(ISBLANK(Actuals!H75),"",'Original Budget'!H75-Actuals!H75)</f>
        <v/>
      </c>
      <c r="Y60" s="137" t="str">
        <f aca="false">IFERROR(IF(ISBLANK(Actuals!H75),"",('Original Budget'!H75-Actuals!H75)/ABS('Original Budget'!H75)),"")</f>
        <v/>
      </c>
      <c r="Z60" s="136" t="n">
        <f aca="false">'Original Budget'!I75</f>
        <v>0</v>
      </c>
      <c r="AA60" s="136" t="str">
        <f aca="false">IF(ISBLANK(Actuals!I75),"",Actuals!I75)</f>
        <v/>
      </c>
      <c r="AB60" s="137" t="str">
        <f aca="false">IF(ISBLANK(Actuals!I75),"",'Original Budget'!I75-Actuals!I75)</f>
        <v/>
      </c>
      <c r="AC60" s="137" t="str">
        <f aca="false">IFERROR(IF(ISBLANK(Actuals!I75),"",('Original Budget'!I75-Actuals!I75)/ABS('Original Budget'!I75)),"")</f>
        <v/>
      </c>
      <c r="AD60" s="136" t="n">
        <f aca="false">'Original Budget'!J75</f>
        <v>0</v>
      </c>
      <c r="AE60" s="136" t="str">
        <f aca="false">IF(ISBLANK(Actuals!J75),"",Actuals!J75)</f>
        <v/>
      </c>
      <c r="AF60" s="137" t="str">
        <f aca="false">IF(ISBLANK(Actuals!J75),"",'Original Budget'!J75-Actuals!J75)</f>
        <v/>
      </c>
      <c r="AG60" s="137" t="str">
        <f aca="false">IFERROR(IF(ISBLANK(Actuals!J75),"",('Original Budget'!J75-Actuals!J75)/ABS('Original Budget'!J75)),"")</f>
        <v/>
      </c>
      <c r="AH60" s="136" t="n">
        <f aca="false">'Original Budget'!K75</f>
        <v>0</v>
      </c>
      <c r="AI60" s="136" t="str">
        <f aca="false">IF(ISBLANK(Actuals!K75),"",Actuals!K75)</f>
        <v/>
      </c>
      <c r="AJ60" s="137" t="str">
        <f aca="false">IF(ISBLANK(Actuals!K75),"",'Original Budget'!K75-Actuals!K75)</f>
        <v/>
      </c>
      <c r="AK60" s="137" t="str">
        <f aca="false">IFERROR(IF(ISBLANK(Actuals!K75),"",('Original Budget'!K75-Actuals!K75)/ABS('Original Budget'!K75)),"")</f>
        <v/>
      </c>
      <c r="AL60" s="136" t="n">
        <f aca="false">'Original Budget'!L75</f>
        <v>0</v>
      </c>
      <c r="AM60" s="136" t="str">
        <f aca="false">IF(ISBLANK(Actuals!L75),"",Actuals!L75)</f>
        <v/>
      </c>
      <c r="AN60" s="137" t="str">
        <f aca="false">IF(ISBLANK(Actuals!L75),"",'Original Budget'!L75-Actuals!L75)</f>
        <v/>
      </c>
      <c r="AO60" s="137" t="str">
        <f aca="false">IFERROR(IF(ISBLANK(Actuals!L75),"",('Original Budget'!L75-Actuals!L75)/ABS('Original Budget'!L75)),"")</f>
        <v/>
      </c>
      <c r="AP60" s="136" t="n">
        <f aca="false">'Original Budget'!M75</f>
        <v>0</v>
      </c>
      <c r="AQ60" s="136" t="str">
        <f aca="false">IF(ISBLANK(Actuals!M75),"",Actuals!M75)</f>
        <v/>
      </c>
      <c r="AR60" s="137" t="str">
        <f aca="false">IF(ISBLANK(Actuals!M75),"",'Original Budget'!M75-Actuals!M75)</f>
        <v/>
      </c>
      <c r="AS60" s="137" t="str">
        <f aca="false">IFERROR(IF(ISBLANK(Actuals!M75),"",('Original Budget'!M75-Actuals!M75)/ABS('Original Budget'!M75)),"")</f>
        <v/>
      </c>
      <c r="AT60" s="136" t="n">
        <f aca="false">'Original Budget'!N75</f>
        <v>0</v>
      </c>
      <c r="AU60" s="136" t="str">
        <f aca="false">IF(ISBLANK(Actuals!N75),"",Actuals!N75)</f>
        <v/>
      </c>
      <c r="AV60" s="137" t="str">
        <f aca="false">IF(ISBLANK(Actuals!N75),"",'Original Budget'!N75-Actuals!N75)</f>
        <v/>
      </c>
      <c r="AW60" s="137" t="str">
        <f aca="false">IFERROR(IF(ISBLANK(Actuals!N75),"",('Original Budget'!N75-Actuals!N75)/ABS('Original Budget'!N75)),"")</f>
        <v/>
      </c>
      <c r="AX60" s="138" t="n">
        <f aca="false">SUMPRODUCT((Actuals!C75:N75&lt;&gt;"")*('Original Budget'!C75:N75))</f>
        <v>0</v>
      </c>
      <c r="AY60" s="138" t="n">
        <f aca="false">SUM(Actuals!C75:N75)</f>
        <v>0</v>
      </c>
      <c r="AZ60" s="139" t="n">
        <f aca="false">AX60-AY60</f>
        <v>0</v>
      </c>
    </row>
    <row r="61" customFormat="false" ht="15" hidden="false" customHeight="true" outlineLevel="0" collapsed="false">
      <c r="A61" s="135" t="s">
        <v>109</v>
      </c>
      <c r="B61" s="136" t="n">
        <f aca="false">'Original Budget'!C76</f>
        <v>0</v>
      </c>
      <c r="C61" s="136" t="str">
        <f aca="false">IF(ISBLANK(Actuals!C76),"",Actuals!C76)</f>
        <v/>
      </c>
      <c r="D61" s="137" t="str">
        <f aca="false">IF(ISBLANK(Actuals!C76),"",'Original Budget'!C76-Actuals!C76)</f>
        <v/>
      </c>
      <c r="E61" s="137" t="str">
        <f aca="false">IFERROR(IF(ISBLANK(Actuals!C76),"",('Original Budget'!C76-Actuals!C76)/ABS('Original Budget'!C76)),"")</f>
        <v/>
      </c>
      <c r="F61" s="136" t="n">
        <f aca="false">'Original Budget'!D76</f>
        <v>0</v>
      </c>
      <c r="G61" s="136" t="str">
        <f aca="false">IF(ISBLANK(Actuals!D76),"",Actuals!D76)</f>
        <v/>
      </c>
      <c r="H61" s="137" t="str">
        <f aca="false">IF(ISBLANK(Actuals!D76),"",'Original Budget'!D76-Actuals!D76)</f>
        <v/>
      </c>
      <c r="I61" s="137" t="str">
        <f aca="false">IFERROR(IF(ISBLANK(Actuals!D76),"",('Original Budget'!D76-Actuals!D76)/ABS('Original Budget'!D76)),"")</f>
        <v/>
      </c>
      <c r="J61" s="136" t="n">
        <f aca="false">'Original Budget'!E76</f>
        <v>0</v>
      </c>
      <c r="K61" s="136" t="str">
        <f aca="false">IF(ISBLANK(Actuals!E76),"",Actuals!E76)</f>
        <v/>
      </c>
      <c r="L61" s="137" t="str">
        <f aca="false">IF(ISBLANK(Actuals!E76),"",'Original Budget'!E76-Actuals!E76)</f>
        <v/>
      </c>
      <c r="M61" s="137" t="str">
        <f aca="false">IFERROR(IF(ISBLANK(Actuals!E76),"",('Original Budget'!E76-Actuals!E76)/ABS('Original Budget'!E76)),"")</f>
        <v/>
      </c>
      <c r="N61" s="136" t="n">
        <f aca="false">'Original Budget'!F76</f>
        <v>0</v>
      </c>
      <c r="O61" s="136" t="str">
        <f aca="false">IF(ISBLANK(Actuals!F76),"",Actuals!F76)</f>
        <v/>
      </c>
      <c r="P61" s="137" t="str">
        <f aca="false">IF(ISBLANK(Actuals!F76),"",'Original Budget'!F76-Actuals!F76)</f>
        <v/>
      </c>
      <c r="Q61" s="137" t="str">
        <f aca="false">IFERROR(IF(ISBLANK(Actuals!F76),"",('Original Budget'!F76-Actuals!F76)/ABS('Original Budget'!F76)),"")</f>
        <v/>
      </c>
      <c r="R61" s="136" t="n">
        <f aca="false">'Original Budget'!G76</f>
        <v>0</v>
      </c>
      <c r="S61" s="136" t="str">
        <f aca="false">IF(ISBLANK(Actuals!G76),"",Actuals!G76)</f>
        <v/>
      </c>
      <c r="T61" s="137" t="str">
        <f aca="false">IF(ISBLANK(Actuals!G76),"",'Original Budget'!G76-Actuals!G76)</f>
        <v/>
      </c>
      <c r="U61" s="137" t="str">
        <f aca="false">IFERROR(IF(ISBLANK(Actuals!G76),"",('Original Budget'!G76-Actuals!G76)/ABS('Original Budget'!G76)),"")</f>
        <v/>
      </c>
      <c r="V61" s="136" t="n">
        <f aca="false">'Original Budget'!H76</f>
        <v>0</v>
      </c>
      <c r="W61" s="136" t="str">
        <f aca="false">IF(ISBLANK(Actuals!H76),"",Actuals!H76)</f>
        <v/>
      </c>
      <c r="X61" s="137" t="str">
        <f aca="false">IF(ISBLANK(Actuals!H76),"",'Original Budget'!H76-Actuals!H76)</f>
        <v/>
      </c>
      <c r="Y61" s="137" t="str">
        <f aca="false">IFERROR(IF(ISBLANK(Actuals!H76),"",('Original Budget'!H76-Actuals!H76)/ABS('Original Budget'!H76)),"")</f>
        <v/>
      </c>
      <c r="Z61" s="136" t="n">
        <f aca="false">'Original Budget'!I76</f>
        <v>0</v>
      </c>
      <c r="AA61" s="136" t="str">
        <f aca="false">IF(ISBLANK(Actuals!I76),"",Actuals!I76)</f>
        <v/>
      </c>
      <c r="AB61" s="137" t="str">
        <f aca="false">IF(ISBLANK(Actuals!I76),"",'Original Budget'!I76-Actuals!I76)</f>
        <v/>
      </c>
      <c r="AC61" s="137" t="str">
        <f aca="false">IFERROR(IF(ISBLANK(Actuals!I76),"",('Original Budget'!I76-Actuals!I76)/ABS('Original Budget'!I76)),"")</f>
        <v/>
      </c>
      <c r="AD61" s="136" t="n">
        <f aca="false">'Original Budget'!J76</f>
        <v>0</v>
      </c>
      <c r="AE61" s="136" t="str">
        <f aca="false">IF(ISBLANK(Actuals!J76),"",Actuals!J76)</f>
        <v/>
      </c>
      <c r="AF61" s="137" t="str">
        <f aca="false">IF(ISBLANK(Actuals!J76),"",'Original Budget'!J76-Actuals!J76)</f>
        <v/>
      </c>
      <c r="AG61" s="137" t="str">
        <f aca="false">IFERROR(IF(ISBLANK(Actuals!J76),"",('Original Budget'!J76-Actuals!J76)/ABS('Original Budget'!J76)),"")</f>
        <v/>
      </c>
      <c r="AH61" s="136" t="n">
        <f aca="false">'Original Budget'!K76</f>
        <v>0</v>
      </c>
      <c r="AI61" s="136" t="str">
        <f aca="false">IF(ISBLANK(Actuals!K76),"",Actuals!K76)</f>
        <v/>
      </c>
      <c r="AJ61" s="137" t="str">
        <f aca="false">IF(ISBLANK(Actuals!K76),"",'Original Budget'!K76-Actuals!K76)</f>
        <v/>
      </c>
      <c r="AK61" s="137" t="str">
        <f aca="false">IFERROR(IF(ISBLANK(Actuals!K76),"",('Original Budget'!K76-Actuals!K76)/ABS('Original Budget'!K76)),"")</f>
        <v/>
      </c>
      <c r="AL61" s="136" t="n">
        <f aca="false">'Original Budget'!L76</f>
        <v>0</v>
      </c>
      <c r="AM61" s="136" t="str">
        <f aca="false">IF(ISBLANK(Actuals!L76),"",Actuals!L76)</f>
        <v/>
      </c>
      <c r="AN61" s="137" t="str">
        <f aca="false">IF(ISBLANK(Actuals!L76),"",'Original Budget'!L76-Actuals!L76)</f>
        <v/>
      </c>
      <c r="AO61" s="137" t="str">
        <f aca="false">IFERROR(IF(ISBLANK(Actuals!L76),"",('Original Budget'!L76-Actuals!L76)/ABS('Original Budget'!L76)),"")</f>
        <v/>
      </c>
      <c r="AP61" s="136" t="n">
        <f aca="false">'Original Budget'!M76</f>
        <v>0</v>
      </c>
      <c r="AQ61" s="136" t="str">
        <f aca="false">IF(ISBLANK(Actuals!M76),"",Actuals!M76)</f>
        <v/>
      </c>
      <c r="AR61" s="137" t="str">
        <f aca="false">IF(ISBLANK(Actuals!M76),"",'Original Budget'!M76-Actuals!M76)</f>
        <v/>
      </c>
      <c r="AS61" s="137" t="str">
        <f aca="false">IFERROR(IF(ISBLANK(Actuals!M76),"",('Original Budget'!M76-Actuals!M76)/ABS('Original Budget'!M76)),"")</f>
        <v/>
      </c>
      <c r="AT61" s="136" t="n">
        <f aca="false">'Original Budget'!N76</f>
        <v>0</v>
      </c>
      <c r="AU61" s="136" t="str">
        <f aca="false">IF(ISBLANK(Actuals!N76),"",Actuals!N76)</f>
        <v/>
      </c>
      <c r="AV61" s="137" t="str">
        <f aca="false">IF(ISBLANK(Actuals!N76),"",'Original Budget'!N76-Actuals!N76)</f>
        <v/>
      </c>
      <c r="AW61" s="137" t="str">
        <f aca="false">IFERROR(IF(ISBLANK(Actuals!N76),"",('Original Budget'!N76-Actuals!N76)/ABS('Original Budget'!N76)),"")</f>
        <v/>
      </c>
      <c r="AX61" s="138" t="n">
        <f aca="false">SUMPRODUCT((Actuals!C76:N76&lt;&gt;"")*('Original Budget'!C76:N76))</f>
        <v>0</v>
      </c>
      <c r="AY61" s="138" t="n">
        <f aca="false">SUM(Actuals!C76:N76)</f>
        <v>0</v>
      </c>
      <c r="AZ61" s="139" t="n">
        <f aca="false">AX61-AY61</f>
        <v>0</v>
      </c>
    </row>
    <row r="62" customFormat="false" ht="15" hidden="false" customHeight="true" outlineLevel="0" collapsed="false">
      <c r="A62" s="135" t="s">
        <v>110</v>
      </c>
      <c r="B62" s="136" t="n">
        <f aca="false">'Original Budget'!C77</f>
        <v>0</v>
      </c>
      <c r="C62" s="136" t="str">
        <f aca="false">IF(ISBLANK(Actuals!C77),"",Actuals!C77)</f>
        <v/>
      </c>
      <c r="D62" s="137" t="str">
        <f aca="false">IF(ISBLANK(Actuals!C77),"",'Original Budget'!C77-Actuals!C77)</f>
        <v/>
      </c>
      <c r="E62" s="137" t="str">
        <f aca="false">IFERROR(IF(ISBLANK(Actuals!C77),"",('Original Budget'!C77-Actuals!C77)/ABS('Original Budget'!C77)),"")</f>
        <v/>
      </c>
      <c r="F62" s="136" t="n">
        <f aca="false">'Original Budget'!D77</f>
        <v>0</v>
      </c>
      <c r="G62" s="136" t="str">
        <f aca="false">IF(ISBLANK(Actuals!D77),"",Actuals!D77)</f>
        <v/>
      </c>
      <c r="H62" s="137" t="str">
        <f aca="false">IF(ISBLANK(Actuals!D77),"",'Original Budget'!D77-Actuals!D77)</f>
        <v/>
      </c>
      <c r="I62" s="137" t="str">
        <f aca="false">IFERROR(IF(ISBLANK(Actuals!D77),"",('Original Budget'!D77-Actuals!D77)/ABS('Original Budget'!D77)),"")</f>
        <v/>
      </c>
      <c r="J62" s="136" t="n">
        <f aca="false">'Original Budget'!E77</f>
        <v>0</v>
      </c>
      <c r="K62" s="136" t="str">
        <f aca="false">IF(ISBLANK(Actuals!E77),"",Actuals!E77)</f>
        <v/>
      </c>
      <c r="L62" s="137" t="str">
        <f aca="false">IF(ISBLANK(Actuals!E77),"",'Original Budget'!E77-Actuals!E77)</f>
        <v/>
      </c>
      <c r="M62" s="137" t="str">
        <f aca="false">IFERROR(IF(ISBLANK(Actuals!E77),"",('Original Budget'!E77-Actuals!E77)/ABS('Original Budget'!E77)),"")</f>
        <v/>
      </c>
      <c r="N62" s="136" t="n">
        <f aca="false">'Original Budget'!F77</f>
        <v>0</v>
      </c>
      <c r="O62" s="136" t="str">
        <f aca="false">IF(ISBLANK(Actuals!F77),"",Actuals!F77)</f>
        <v/>
      </c>
      <c r="P62" s="137" t="str">
        <f aca="false">IF(ISBLANK(Actuals!F77),"",'Original Budget'!F77-Actuals!F77)</f>
        <v/>
      </c>
      <c r="Q62" s="137" t="str">
        <f aca="false">IFERROR(IF(ISBLANK(Actuals!F77),"",('Original Budget'!F77-Actuals!F77)/ABS('Original Budget'!F77)),"")</f>
        <v/>
      </c>
      <c r="R62" s="136" t="n">
        <f aca="false">'Original Budget'!G77</f>
        <v>0</v>
      </c>
      <c r="S62" s="136" t="str">
        <f aca="false">IF(ISBLANK(Actuals!G77),"",Actuals!G77)</f>
        <v/>
      </c>
      <c r="T62" s="137" t="str">
        <f aca="false">IF(ISBLANK(Actuals!G77),"",'Original Budget'!G77-Actuals!G77)</f>
        <v/>
      </c>
      <c r="U62" s="137" t="str">
        <f aca="false">IFERROR(IF(ISBLANK(Actuals!G77),"",('Original Budget'!G77-Actuals!G77)/ABS('Original Budget'!G77)),"")</f>
        <v/>
      </c>
      <c r="V62" s="136" t="n">
        <f aca="false">'Original Budget'!H77</f>
        <v>0</v>
      </c>
      <c r="W62" s="136" t="str">
        <f aca="false">IF(ISBLANK(Actuals!H77),"",Actuals!H77)</f>
        <v/>
      </c>
      <c r="X62" s="137" t="str">
        <f aca="false">IF(ISBLANK(Actuals!H77),"",'Original Budget'!H77-Actuals!H77)</f>
        <v/>
      </c>
      <c r="Y62" s="137" t="str">
        <f aca="false">IFERROR(IF(ISBLANK(Actuals!H77),"",('Original Budget'!H77-Actuals!H77)/ABS('Original Budget'!H77)),"")</f>
        <v/>
      </c>
      <c r="Z62" s="136" t="n">
        <f aca="false">'Original Budget'!I77</f>
        <v>0</v>
      </c>
      <c r="AA62" s="136" t="str">
        <f aca="false">IF(ISBLANK(Actuals!I77),"",Actuals!I77)</f>
        <v/>
      </c>
      <c r="AB62" s="137" t="str">
        <f aca="false">IF(ISBLANK(Actuals!I77),"",'Original Budget'!I77-Actuals!I77)</f>
        <v/>
      </c>
      <c r="AC62" s="137" t="str">
        <f aca="false">IFERROR(IF(ISBLANK(Actuals!I77),"",('Original Budget'!I77-Actuals!I77)/ABS('Original Budget'!I77)),"")</f>
        <v/>
      </c>
      <c r="AD62" s="136" t="n">
        <f aca="false">'Original Budget'!J77</f>
        <v>0</v>
      </c>
      <c r="AE62" s="136" t="str">
        <f aca="false">IF(ISBLANK(Actuals!J77),"",Actuals!J77)</f>
        <v/>
      </c>
      <c r="AF62" s="137" t="str">
        <f aca="false">IF(ISBLANK(Actuals!J77),"",'Original Budget'!J77-Actuals!J77)</f>
        <v/>
      </c>
      <c r="AG62" s="137" t="str">
        <f aca="false">IFERROR(IF(ISBLANK(Actuals!J77),"",('Original Budget'!J77-Actuals!J77)/ABS('Original Budget'!J77)),"")</f>
        <v/>
      </c>
      <c r="AH62" s="136" t="n">
        <f aca="false">'Original Budget'!K77</f>
        <v>0</v>
      </c>
      <c r="AI62" s="136" t="str">
        <f aca="false">IF(ISBLANK(Actuals!K77),"",Actuals!K77)</f>
        <v/>
      </c>
      <c r="AJ62" s="137" t="str">
        <f aca="false">IF(ISBLANK(Actuals!K77),"",'Original Budget'!K77-Actuals!K77)</f>
        <v/>
      </c>
      <c r="AK62" s="137" t="str">
        <f aca="false">IFERROR(IF(ISBLANK(Actuals!K77),"",('Original Budget'!K77-Actuals!K77)/ABS('Original Budget'!K77)),"")</f>
        <v/>
      </c>
      <c r="AL62" s="136" t="n">
        <f aca="false">'Original Budget'!L77</f>
        <v>0</v>
      </c>
      <c r="AM62" s="136" t="str">
        <f aca="false">IF(ISBLANK(Actuals!L77),"",Actuals!L77)</f>
        <v/>
      </c>
      <c r="AN62" s="137" t="str">
        <f aca="false">IF(ISBLANK(Actuals!L77),"",'Original Budget'!L77-Actuals!L77)</f>
        <v/>
      </c>
      <c r="AO62" s="137" t="str">
        <f aca="false">IFERROR(IF(ISBLANK(Actuals!L77),"",('Original Budget'!L77-Actuals!L77)/ABS('Original Budget'!L77)),"")</f>
        <v/>
      </c>
      <c r="AP62" s="136" t="n">
        <f aca="false">'Original Budget'!M77</f>
        <v>0</v>
      </c>
      <c r="AQ62" s="136" t="str">
        <f aca="false">IF(ISBLANK(Actuals!M77),"",Actuals!M77)</f>
        <v/>
      </c>
      <c r="AR62" s="137" t="str">
        <f aca="false">IF(ISBLANK(Actuals!M77),"",'Original Budget'!M77-Actuals!M77)</f>
        <v/>
      </c>
      <c r="AS62" s="137" t="str">
        <f aca="false">IFERROR(IF(ISBLANK(Actuals!M77),"",('Original Budget'!M77-Actuals!M77)/ABS('Original Budget'!M77)),"")</f>
        <v/>
      </c>
      <c r="AT62" s="136" t="n">
        <f aca="false">'Original Budget'!N77</f>
        <v>0</v>
      </c>
      <c r="AU62" s="136" t="str">
        <f aca="false">IF(ISBLANK(Actuals!N77),"",Actuals!N77)</f>
        <v/>
      </c>
      <c r="AV62" s="137" t="str">
        <f aca="false">IF(ISBLANK(Actuals!N77),"",'Original Budget'!N77-Actuals!N77)</f>
        <v/>
      </c>
      <c r="AW62" s="137" t="str">
        <f aca="false">IFERROR(IF(ISBLANK(Actuals!N77),"",('Original Budget'!N77-Actuals!N77)/ABS('Original Budget'!N77)),"")</f>
        <v/>
      </c>
      <c r="AX62" s="138" t="n">
        <f aca="false">SUMPRODUCT((Actuals!C77:N77&lt;&gt;"")*('Original Budget'!C77:N77))</f>
        <v>0</v>
      </c>
      <c r="AY62" s="138" t="n">
        <f aca="false">SUM(Actuals!C77:N77)</f>
        <v>0</v>
      </c>
      <c r="AZ62" s="139" t="n">
        <f aca="false">AX62-AY62</f>
        <v>0</v>
      </c>
    </row>
    <row r="63" customFormat="false" ht="15" hidden="false" customHeight="true" outlineLevel="0" collapsed="false">
      <c r="A63" s="135" t="s">
        <v>111</v>
      </c>
      <c r="B63" s="136" t="n">
        <f aca="false">'Original Budget'!C78</f>
        <v>0</v>
      </c>
      <c r="C63" s="136" t="str">
        <f aca="false">IF(ISBLANK(Actuals!C78),"",Actuals!C78)</f>
        <v/>
      </c>
      <c r="D63" s="137" t="str">
        <f aca="false">IF(ISBLANK(Actuals!C78),"",'Original Budget'!C78-Actuals!C78)</f>
        <v/>
      </c>
      <c r="E63" s="137" t="str">
        <f aca="false">IFERROR(IF(ISBLANK(Actuals!C78),"",('Original Budget'!C78-Actuals!C78)/ABS('Original Budget'!C78)),"")</f>
        <v/>
      </c>
      <c r="F63" s="136" t="n">
        <f aca="false">'Original Budget'!D78</f>
        <v>0</v>
      </c>
      <c r="G63" s="136" t="str">
        <f aca="false">IF(ISBLANK(Actuals!D78),"",Actuals!D78)</f>
        <v/>
      </c>
      <c r="H63" s="137" t="str">
        <f aca="false">IF(ISBLANK(Actuals!D78),"",'Original Budget'!D78-Actuals!D78)</f>
        <v/>
      </c>
      <c r="I63" s="137" t="str">
        <f aca="false">IFERROR(IF(ISBLANK(Actuals!D78),"",('Original Budget'!D78-Actuals!D78)/ABS('Original Budget'!D78)),"")</f>
        <v/>
      </c>
      <c r="J63" s="136" t="n">
        <f aca="false">'Original Budget'!E78</f>
        <v>0</v>
      </c>
      <c r="K63" s="136" t="str">
        <f aca="false">IF(ISBLANK(Actuals!E78),"",Actuals!E78)</f>
        <v/>
      </c>
      <c r="L63" s="137" t="str">
        <f aca="false">IF(ISBLANK(Actuals!E78),"",'Original Budget'!E78-Actuals!E78)</f>
        <v/>
      </c>
      <c r="M63" s="137" t="str">
        <f aca="false">IFERROR(IF(ISBLANK(Actuals!E78),"",('Original Budget'!E78-Actuals!E78)/ABS('Original Budget'!E78)),"")</f>
        <v/>
      </c>
      <c r="N63" s="136" t="n">
        <f aca="false">'Original Budget'!F78</f>
        <v>0</v>
      </c>
      <c r="O63" s="136" t="str">
        <f aca="false">IF(ISBLANK(Actuals!F78),"",Actuals!F78)</f>
        <v/>
      </c>
      <c r="P63" s="137" t="str">
        <f aca="false">IF(ISBLANK(Actuals!F78),"",'Original Budget'!F78-Actuals!F78)</f>
        <v/>
      </c>
      <c r="Q63" s="137" t="str">
        <f aca="false">IFERROR(IF(ISBLANK(Actuals!F78),"",('Original Budget'!F78-Actuals!F78)/ABS('Original Budget'!F78)),"")</f>
        <v/>
      </c>
      <c r="R63" s="136" t="n">
        <f aca="false">'Original Budget'!G78</f>
        <v>0</v>
      </c>
      <c r="S63" s="136" t="str">
        <f aca="false">IF(ISBLANK(Actuals!G78),"",Actuals!G78)</f>
        <v/>
      </c>
      <c r="T63" s="137" t="str">
        <f aca="false">IF(ISBLANK(Actuals!G78),"",'Original Budget'!G78-Actuals!G78)</f>
        <v/>
      </c>
      <c r="U63" s="137" t="str">
        <f aca="false">IFERROR(IF(ISBLANK(Actuals!G78),"",('Original Budget'!G78-Actuals!G78)/ABS('Original Budget'!G78)),"")</f>
        <v/>
      </c>
      <c r="V63" s="136" t="n">
        <f aca="false">'Original Budget'!H78</f>
        <v>0</v>
      </c>
      <c r="W63" s="136" t="str">
        <f aca="false">IF(ISBLANK(Actuals!H78),"",Actuals!H78)</f>
        <v/>
      </c>
      <c r="X63" s="137" t="str">
        <f aca="false">IF(ISBLANK(Actuals!H78),"",'Original Budget'!H78-Actuals!H78)</f>
        <v/>
      </c>
      <c r="Y63" s="137" t="str">
        <f aca="false">IFERROR(IF(ISBLANK(Actuals!H78),"",('Original Budget'!H78-Actuals!H78)/ABS('Original Budget'!H78)),"")</f>
        <v/>
      </c>
      <c r="Z63" s="136" t="n">
        <f aca="false">'Original Budget'!I78</f>
        <v>0</v>
      </c>
      <c r="AA63" s="136" t="str">
        <f aca="false">IF(ISBLANK(Actuals!I78),"",Actuals!I78)</f>
        <v/>
      </c>
      <c r="AB63" s="137" t="str">
        <f aca="false">IF(ISBLANK(Actuals!I78),"",'Original Budget'!I78-Actuals!I78)</f>
        <v/>
      </c>
      <c r="AC63" s="137" t="str">
        <f aca="false">IFERROR(IF(ISBLANK(Actuals!I78),"",('Original Budget'!I78-Actuals!I78)/ABS('Original Budget'!I78)),"")</f>
        <v/>
      </c>
      <c r="AD63" s="136" t="n">
        <f aca="false">'Original Budget'!J78</f>
        <v>0</v>
      </c>
      <c r="AE63" s="136" t="str">
        <f aca="false">IF(ISBLANK(Actuals!J78),"",Actuals!J78)</f>
        <v/>
      </c>
      <c r="AF63" s="137" t="str">
        <f aca="false">IF(ISBLANK(Actuals!J78),"",'Original Budget'!J78-Actuals!J78)</f>
        <v/>
      </c>
      <c r="AG63" s="137" t="str">
        <f aca="false">IFERROR(IF(ISBLANK(Actuals!J78),"",('Original Budget'!J78-Actuals!J78)/ABS('Original Budget'!J78)),"")</f>
        <v/>
      </c>
      <c r="AH63" s="136" t="n">
        <f aca="false">'Original Budget'!K78</f>
        <v>0</v>
      </c>
      <c r="AI63" s="136" t="str">
        <f aca="false">IF(ISBLANK(Actuals!K78),"",Actuals!K78)</f>
        <v/>
      </c>
      <c r="AJ63" s="137" t="str">
        <f aca="false">IF(ISBLANK(Actuals!K78),"",'Original Budget'!K78-Actuals!K78)</f>
        <v/>
      </c>
      <c r="AK63" s="137" t="str">
        <f aca="false">IFERROR(IF(ISBLANK(Actuals!K78),"",('Original Budget'!K78-Actuals!K78)/ABS('Original Budget'!K78)),"")</f>
        <v/>
      </c>
      <c r="AL63" s="136" t="n">
        <f aca="false">'Original Budget'!L78</f>
        <v>0</v>
      </c>
      <c r="AM63" s="136" t="str">
        <f aca="false">IF(ISBLANK(Actuals!L78),"",Actuals!L78)</f>
        <v/>
      </c>
      <c r="AN63" s="137" t="str">
        <f aca="false">IF(ISBLANK(Actuals!L78),"",'Original Budget'!L78-Actuals!L78)</f>
        <v/>
      </c>
      <c r="AO63" s="137" t="str">
        <f aca="false">IFERROR(IF(ISBLANK(Actuals!L78),"",('Original Budget'!L78-Actuals!L78)/ABS('Original Budget'!L78)),"")</f>
        <v/>
      </c>
      <c r="AP63" s="136" t="n">
        <f aca="false">'Original Budget'!M78</f>
        <v>0</v>
      </c>
      <c r="AQ63" s="136" t="str">
        <f aca="false">IF(ISBLANK(Actuals!M78),"",Actuals!M78)</f>
        <v/>
      </c>
      <c r="AR63" s="137" t="str">
        <f aca="false">IF(ISBLANK(Actuals!M78),"",'Original Budget'!M78-Actuals!M78)</f>
        <v/>
      </c>
      <c r="AS63" s="137" t="str">
        <f aca="false">IFERROR(IF(ISBLANK(Actuals!M78),"",('Original Budget'!M78-Actuals!M78)/ABS('Original Budget'!M78)),"")</f>
        <v/>
      </c>
      <c r="AT63" s="136" t="n">
        <f aca="false">'Original Budget'!N78</f>
        <v>0</v>
      </c>
      <c r="AU63" s="136" t="str">
        <f aca="false">IF(ISBLANK(Actuals!N78),"",Actuals!N78)</f>
        <v/>
      </c>
      <c r="AV63" s="137" t="str">
        <f aca="false">IF(ISBLANK(Actuals!N78),"",'Original Budget'!N78-Actuals!N78)</f>
        <v/>
      </c>
      <c r="AW63" s="137" t="str">
        <f aca="false">IFERROR(IF(ISBLANK(Actuals!N78),"",('Original Budget'!N78-Actuals!N78)/ABS('Original Budget'!N78)),"")</f>
        <v/>
      </c>
      <c r="AX63" s="138" t="n">
        <f aca="false">SUMPRODUCT((Actuals!C78:N78&lt;&gt;"")*('Original Budget'!C78:N78))</f>
        <v>0</v>
      </c>
      <c r="AY63" s="138" t="n">
        <f aca="false">SUM(Actuals!C78:N78)</f>
        <v>0</v>
      </c>
      <c r="AZ63" s="139" t="n">
        <f aca="false">AX63-AY63</f>
        <v>0</v>
      </c>
    </row>
    <row r="64" customFormat="false" ht="15" hidden="false" customHeight="true" outlineLevel="0" collapsed="false">
      <c r="A64" s="135" t="s">
        <v>112</v>
      </c>
      <c r="B64" s="136" t="n">
        <f aca="false">'Original Budget'!C79</f>
        <v>0</v>
      </c>
      <c r="C64" s="136" t="str">
        <f aca="false">IF(ISBLANK(Actuals!C79),"",Actuals!C79)</f>
        <v/>
      </c>
      <c r="D64" s="137" t="str">
        <f aca="false">IF(ISBLANK(Actuals!C79),"",'Original Budget'!C79-Actuals!C79)</f>
        <v/>
      </c>
      <c r="E64" s="137" t="str">
        <f aca="false">IFERROR(IF(ISBLANK(Actuals!C79),"",('Original Budget'!C79-Actuals!C79)/ABS('Original Budget'!C79)),"")</f>
        <v/>
      </c>
      <c r="F64" s="136" t="n">
        <f aca="false">'Original Budget'!D79</f>
        <v>0</v>
      </c>
      <c r="G64" s="136" t="str">
        <f aca="false">IF(ISBLANK(Actuals!D79),"",Actuals!D79)</f>
        <v/>
      </c>
      <c r="H64" s="137" t="str">
        <f aca="false">IF(ISBLANK(Actuals!D79),"",'Original Budget'!D79-Actuals!D79)</f>
        <v/>
      </c>
      <c r="I64" s="137" t="str">
        <f aca="false">IFERROR(IF(ISBLANK(Actuals!D79),"",('Original Budget'!D79-Actuals!D79)/ABS('Original Budget'!D79)),"")</f>
        <v/>
      </c>
      <c r="J64" s="136" t="n">
        <f aca="false">'Original Budget'!E79</f>
        <v>0</v>
      </c>
      <c r="K64" s="136" t="str">
        <f aca="false">IF(ISBLANK(Actuals!E79),"",Actuals!E79)</f>
        <v/>
      </c>
      <c r="L64" s="137" t="str">
        <f aca="false">IF(ISBLANK(Actuals!E79),"",'Original Budget'!E79-Actuals!E79)</f>
        <v/>
      </c>
      <c r="M64" s="137" t="str">
        <f aca="false">IFERROR(IF(ISBLANK(Actuals!E79),"",('Original Budget'!E79-Actuals!E79)/ABS('Original Budget'!E79)),"")</f>
        <v/>
      </c>
      <c r="N64" s="136" t="n">
        <f aca="false">'Original Budget'!F79</f>
        <v>0</v>
      </c>
      <c r="O64" s="136" t="str">
        <f aca="false">IF(ISBLANK(Actuals!F79),"",Actuals!F79)</f>
        <v/>
      </c>
      <c r="P64" s="137" t="str">
        <f aca="false">IF(ISBLANK(Actuals!F79),"",'Original Budget'!F79-Actuals!F79)</f>
        <v/>
      </c>
      <c r="Q64" s="137" t="str">
        <f aca="false">IFERROR(IF(ISBLANK(Actuals!F79),"",('Original Budget'!F79-Actuals!F79)/ABS('Original Budget'!F79)),"")</f>
        <v/>
      </c>
      <c r="R64" s="136" t="n">
        <f aca="false">'Original Budget'!G79</f>
        <v>0</v>
      </c>
      <c r="S64" s="136" t="str">
        <f aca="false">IF(ISBLANK(Actuals!G79),"",Actuals!G79)</f>
        <v/>
      </c>
      <c r="T64" s="137" t="str">
        <f aca="false">IF(ISBLANK(Actuals!G79),"",'Original Budget'!G79-Actuals!G79)</f>
        <v/>
      </c>
      <c r="U64" s="137" t="str">
        <f aca="false">IFERROR(IF(ISBLANK(Actuals!G79),"",('Original Budget'!G79-Actuals!G79)/ABS('Original Budget'!G79)),"")</f>
        <v/>
      </c>
      <c r="V64" s="136" t="n">
        <f aca="false">'Original Budget'!H79</f>
        <v>0</v>
      </c>
      <c r="W64" s="136" t="str">
        <f aca="false">IF(ISBLANK(Actuals!H79),"",Actuals!H79)</f>
        <v/>
      </c>
      <c r="X64" s="137" t="str">
        <f aca="false">IF(ISBLANK(Actuals!H79),"",'Original Budget'!H79-Actuals!H79)</f>
        <v/>
      </c>
      <c r="Y64" s="137" t="str">
        <f aca="false">IFERROR(IF(ISBLANK(Actuals!H79),"",('Original Budget'!H79-Actuals!H79)/ABS('Original Budget'!H79)),"")</f>
        <v/>
      </c>
      <c r="Z64" s="136" t="n">
        <f aca="false">'Original Budget'!I79</f>
        <v>0</v>
      </c>
      <c r="AA64" s="136" t="str">
        <f aca="false">IF(ISBLANK(Actuals!I79),"",Actuals!I79)</f>
        <v/>
      </c>
      <c r="AB64" s="137" t="str">
        <f aca="false">IF(ISBLANK(Actuals!I79),"",'Original Budget'!I79-Actuals!I79)</f>
        <v/>
      </c>
      <c r="AC64" s="137" t="str">
        <f aca="false">IFERROR(IF(ISBLANK(Actuals!I79),"",('Original Budget'!I79-Actuals!I79)/ABS('Original Budget'!I79)),"")</f>
        <v/>
      </c>
      <c r="AD64" s="136" t="n">
        <f aca="false">'Original Budget'!J79</f>
        <v>0</v>
      </c>
      <c r="AE64" s="136" t="str">
        <f aca="false">IF(ISBLANK(Actuals!J79),"",Actuals!J79)</f>
        <v/>
      </c>
      <c r="AF64" s="137" t="str">
        <f aca="false">IF(ISBLANK(Actuals!J79),"",'Original Budget'!J79-Actuals!J79)</f>
        <v/>
      </c>
      <c r="AG64" s="137" t="str">
        <f aca="false">IFERROR(IF(ISBLANK(Actuals!J79),"",('Original Budget'!J79-Actuals!J79)/ABS('Original Budget'!J79)),"")</f>
        <v/>
      </c>
      <c r="AH64" s="136" t="n">
        <f aca="false">'Original Budget'!K79</f>
        <v>0</v>
      </c>
      <c r="AI64" s="136" t="str">
        <f aca="false">IF(ISBLANK(Actuals!K79),"",Actuals!K79)</f>
        <v/>
      </c>
      <c r="AJ64" s="137" t="str">
        <f aca="false">IF(ISBLANK(Actuals!K79),"",'Original Budget'!K79-Actuals!K79)</f>
        <v/>
      </c>
      <c r="AK64" s="137" t="str">
        <f aca="false">IFERROR(IF(ISBLANK(Actuals!K79),"",('Original Budget'!K79-Actuals!K79)/ABS('Original Budget'!K79)),"")</f>
        <v/>
      </c>
      <c r="AL64" s="136" t="n">
        <f aca="false">'Original Budget'!L79</f>
        <v>0</v>
      </c>
      <c r="AM64" s="136" t="str">
        <f aca="false">IF(ISBLANK(Actuals!L79),"",Actuals!L79)</f>
        <v/>
      </c>
      <c r="AN64" s="137" t="str">
        <f aca="false">IF(ISBLANK(Actuals!L79),"",'Original Budget'!L79-Actuals!L79)</f>
        <v/>
      </c>
      <c r="AO64" s="137" t="str">
        <f aca="false">IFERROR(IF(ISBLANK(Actuals!L79),"",('Original Budget'!L79-Actuals!L79)/ABS('Original Budget'!L79)),"")</f>
        <v/>
      </c>
      <c r="AP64" s="136" t="n">
        <f aca="false">'Original Budget'!M79</f>
        <v>0</v>
      </c>
      <c r="AQ64" s="136" t="str">
        <f aca="false">IF(ISBLANK(Actuals!M79),"",Actuals!M79)</f>
        <v/>
      </c>
      <c r="AR64" s="137" t="str">
        <f aca="false">IF(ISBLANK(Actuals!M79),"",'Original Budget'!M79-Actuals!M79)</f>
        <v/>
      </c>
      <c r="AS64" s="137" t="str">
        <f aca="false">IFERROR(IF(ISBLANK(Actuals!M79),"",('Original Budget'!M79-Actuals!M79)/ABS('Original Budget'!M79)),"")</f>
        <v/>
      </c>
      <c r="AT64" s="136" t="n">
        <f aca="false">'Original Budget'!N79</f>
        <v>0</v>
      </c>
      <c r="AU64" s="136" t="str">
        <f aca="false">IF(ISBLANK(Actuals!N79),"",Actuals!N79)</f>
        <v/>
      </c>
      <c r="AV64" s="137" t="str">
        <f aca="false">IF(ISBLANK(Actuals!N79),"",'Original Budget'!N79-Actuals!N79)</f>
        <v/>
      </c>
      <c r="AW64" s="137" t="str">
        <f aca="false">IFERROR(IF(ISBLANK(Actuals!N79),"",('Original Budget'!N79-Actuals!N79)/ABS('Original Budget'!N79)),"")</f>
        <v/>
      </c>
      <c r="AX64" s="138" t="n">
        <f aca="false">SUMPRODUCT((Actuals!C79:N79&lt;&gt;"")*('Original Budget'!C79:N79))</f>
        <v>0</v>
      </c>
      <c r="AY64" s="138" t="n">
        <f aca="false">SUM(Actuals!C79:N79)</f>
        <v>0</v>
      </c>
      <c r="AZ64" s="139" t="n">
        <f aca="false">AX64-AY64</f>
        <v>0</v>
      </c>
    </row>
    <row r="65" customFormat="false" ht="15" hidden="false" customHeight="true" outlineLevel="0" collapsed="false">
      <c r="A65" s="135" t="s">
        <v>113</v>
      </c>
      <c r="B65" s="136" t="n">
        <f aca="false">'Original Budget'!C80</f>
        <v>0</v>
      </c>
      <c r="C65" s="136" t="str">
        <f aca="false">IF(ISBLANK(Actuals!C80),"",Actuals!C80)</f>
        <v/>
      </c>
      <c r="D65" s="137" t="str">
        <f aca="false">IF(ISBLANK(Actuals!C80),"",'Original Budget'!C80-Actuals!C80)</f>
        <v/>
      </c>
      <c r="E65" s="137" t="str">
        <f aca="false">IFERROR(IF(ISBLANK(Actuals!C80),"",('Original Budget'!C80-Actuals!C80)/ABS('Original Budget'!C80)),"")</f>
        <v/>
      </c>
      <c r="F65" s="136" t="n">
        <f aca="false">'Original Budget'!D80</f>
        <v>0</v>
      </c>
      <c r="G65" s="136" t="str">
        <f aca="false">IF(ISBLANK(Actuals!D80),"",Actuals!D80)</f>
        <v/>
      </c>
      <c r="H65" s="137" t="str">
        <f aca="false">IF(ISBLANK(Actuals!D80),"",'Original Budget'!D80-Actuals!D80)</f>
        <v/>
      </c>
      <c r="I65" s="137" t="str">
        <f aca="false">IFERROR(IF(ISBLANK(Actuals!D80),"",('Original Budget'!D80-Actuals!D80)/ABS('Original Budget'!D80)),"")</f>
        <v/>
      </c>
      <c r="J65" s="136" t="n">
        <f aca="false">'Original Budget'!E80</f>
        <v>0</v>
      </c>
      <c r="K65" s="136" t="str">
        <f aca="false">IF(ISBLANK(Actuals!E80),"",Actuals!E80)</f>
        <v/>
      </c>
      <c r="L65" s="137" t="str">
        <f aca="false">IF(ISBLANK(Actuals!E80),"",'Original Budget'!E80-Actuals!E80)</f>
        <v/>
      </c>
      <c r="M65" s="137" t="str">
        <f aca="false">IFERROR(IF(ISBLANK(Actuals!E80),"",('Original Budget'!E80-Actuals!E80)/ABS('Original Budget'!E80)),"")</f>
        <v/>
      </c>
      <c r="N65" s="136" t="n">
        <f aca="false">'Original Budget'!F80</f>
        <v>0</v>
      </c>
      <c r="O65" s="136" t="str">
        <f aca="false">IF(ISBLANK(Actuals!F80),"",Actuals!F80)</f>
        <v/>
      </c>
      <c r="P65" s="137" t="str">
        <f aca="false">IF(ISBLANK(Actuals!F80),"",'Original Budget'!F80-Actuals!F80)</f>
        <v/>
      </c>
      <c r="Q65" s="137" t="str">
        <f aca="false">IFERROR(IF(ISBLANK(Actuals!F80),"",('Original Budget'!F80-Actuals!F80)/ABS('Original Budget'!F80)),"")</f>
        <v/>
      </c>
      <c r="R65" s="136" t="n">
        <f aca="false">'Original Budget'!G80</f>
        <v>0</v>
      </c>
      <c r="S65" s="136" t="str">
        <f aca="false">IF(ISBLANK(Actuals!G80),"",Actuals!G80)</f>
        <v/>
      </c>
      <c r="T65" s="137" t="str">
        <f aca="false">IF(ISBLANK(Actuals!G80),"",'Original Budget'!G80-Actuals!G80)</f>
        <v/>
      </c>
      <c r="U65" s="137" t="str">
        <f aca="false">IFERROR(IF(ISBLANK(Actuals!G80),"",('Original Budget'!G80-Actuals!G80)/ABS('Original Budget'!G80)),"")</f>
        <v/>
      </c>
      <c r="V65" s="136" t="n">
        <f aca="false">'Original Budget'!H80</f>
        <v>0</v>
      </c>
      <c r="W65" s="136" t="str">
        <f aca="false">IF(ISBLANK(Actuals!H80),"",Actuals!H80)</f>
        <v/>
      </c>
      <c r="X65" s="137" t="str">
        <f aca="false">IF(ISBLANK(Actuals!H80),"",'Original Budget'!H80-Actuals!H80)</f>
        <v/>
      </c>
      <c r="Y65" s="137" t="str">
        <f aca="false">IFERROR(IF(ISBLANK(Actuals!H80),"",('Original Budget'!H80-Actuals!H80)/ABS('Original Budget'!H80)),"")</f>
        <v/>
      </c>
      <c r="Z65" s="136" t="n">
        <f aca="false">'Original Budget'!I80</f>
        <v>0</v>
      </c>
      <c r="AA65" s="136" t="str">
        <f aca="false">IF(ISBLANK(Actuals!I80),"",Actuals!I80)</f>
        <v/>
      </c>
      <c r="AB65" s="137" t="str">
        <f aca="false">IF(ISBLANK(Actuals!I80),"",'Original Budget'!I80-Actuals!I80)</f>
        <v/>
      </c>
      <c r="AC65" s="137" t="str">
        <f aca="false">IFERROR(IF(ISBLANK(Actuals!I80),"",('Original Budget'!I80-Actuals!I80)/ABS('Original Budget'!I80)),"")</f>
        <v/>
      </c>
      <c r="AD65" s="136" t="n">
        <f aca="false">'Original Budget'!J80</f>
        <v>0</v>
      </c>
      <c r="AE65" s="136" t="str">
        <f aca="false">IF(ISBLANK(Actuals!J80),"",Actuals!J80)</f>
        <v/>
      </c>
      <c r="AF65" s="137" t="str">
        <f aca="false">IF(ISBLANK(Actuals!J80),"",'Original Budget'!J80-Actuals!J80)</f>
        <v/>
      </c>
      <c r="AG65" s="137" t="str">
        <f aca="false">IFERROR(IF(ISBLANK(Actuals!J80),"",('Original Budget'!J80-Actuals!J80)/ABS('Original Budget'!J80)),"")</f>
        <v/>
      </c>
      <c r="AH65" s="136" t="n">
        <f aca="false">'Original Budget'!K80</f>
        <v>0</v>
      </c>
      <c r="AI65" s="136" t="str">
        <f aca="false">IF(ISBLANK(Actuals!K80),"",Actuals!K80)</f>
        <v/>
      </c>
      <c r="AJ65" s="137" t="str">
        <f aca="false">IF(ISBLANK(Actuals!K80),"",'Original Budget'!K80-Actuals!K80)</f>
        <v/>
      </c>
      <c r="AK65" s="137" t="str">
        <f aca="false">IFERROR(IF(ISBLANK(Actuals!K80),"",('Original Budget'!K80-Actuals!K80)/ABS('Original Budget'!K80)),"")</f>
        <v/>
      </c>
      <c r="AL65" s="136" t="n">
        <f aca="false">'Original Budget'!L80</f>
        <v>0</v>
      </c>
      <c r="AM65" s="136" t="str">
        <f aca="false">IF(ISBLANK(Actuals!L80),"",Actuals!L80)</f>
        <v/>
      </c>
      <c r="AN65" s="137" t="str">
        <f aca="false">IF(ISBLANK(Actuals!L80),"",'Original Budget'!L80-Actuals!L80)</f>
        <v/>
      </c>
      <c r="AO65" s="137" t="str">
        <f aca="false">IFERROR(IF(ISBLANK(Actuals!L80),"",('Original Budget'!L80-Actuals!L80)/ABS('Original Budget'!L80)),"")</f>
        <v/>
      </c>
      <c r="AP65" s="136" t="n">
        <f aca="false">'Original Budget'!M80</f>
        <v>0</v>
      </c>
      <c r="AQ65" s="136" t="str">
        <f aca="false">IF(ISBLANK(Actuals!M80),"",Actuals!M80)</f>
        <v/>
      </c>
      <c r="AR65" s="137" t="str">
        <f aca="false">IF(ISBLANK(Actuals!M80),"",'Original Budget'!M80-Actuals!M80)</f>
        <v/>
      </c>
      <c r="AS65" s="137" t="str">
        <f aca="false">IFERROR(IF(ISBLANK(Actuals!M80),"",('Original Budget'!M80-Actuals!M80)/ABS('Original Budget'!M80)),"")</f>
        <v/>
      </c>
      <c r="AT65" s="136" t="n">
        <f aca="false">'Original Budget'!N80</f>
        <v>0</v>
      </c>
      <c r="AU65" s="136" t="str">
        <f aca="false">IF(ISBLANK(Actuals!N80),"",Actuals!N80)</f>
        <v/>
      </c>
      <c r="AV65" s="137" t="str">
        <f aca="false">IF(ISBLANK(Actuals!N80),"",'Original Budget'!N80-Actuals!N80)</f>
        <v/>
      </c>
      <c r="AW65" s="137" t="str">
        <f aca="false">IFERROR(IF(ISBLANK(Actuals!N80),"",('Original Budget'!N80-Actuals!N80)/ABS('Original Budget'!N80)),"")</f>
        <v/>
      </c>
      <c r="AX65" s="138" t="n">
        <f aca="false">SUMPRODUCT((Actuals!C80:N80&lt;&gt;"")*('Original Budget'!C80:N80))</f>
        <v>0</v>
      </c>
      <c r="AY65" s="138" t="n">
        <f aca="false">SUM(Actuals!C80:N80)</f>
        <v>0</v>
      </c>
      <c r="AZ65" s="139" t="n">
        <f aca="false">AX65-AY65</f>
        <v>0</v>
      </c>
    </row>
    <row r="66" customFormat="false" ht="15" hidden="false" customHeight="false" outlineLevel="0" collapsed="false">
      <c r="A66" s="140" t="s">
        <v>114</v>
      </c>
      <c r="B66" s="136" t="n">
        <f aca="false">'Original Budget'!C63</f>
        <v>0</v>
      </c>
      <c r="C66" s="136" t="str">
        <f aca="false">IF(ISBLANK(Actuals!C63),"",Actuals!C63)</f>
        <v/>
      </c>
      <c r="D66" s="137" t="str">
        <f aca="false">IF(ISBLANK(Actuals!C63),"",'Original Budget'!C63-Actuals!C63)</f>
        <v/>
      </c>
      <c r="E66" s="137" t="str">
        <f aca="false">IFERROR(IF(ISBLANK(Actuals!C63),"",('Original Budget'!C63-Actuals!C63)/ABS('Original Budget'!C63)),"")</f>
        <v/>
      </c>
      <c r="F66" s="136" t="n">
        <f aca="false">'Original Budget'!D63</f>
        <v>0</v>
      </c>
      <c r="G66" s="136" t="str">
        <f aca="false">IF(ISBLANK(Actuals!D63),"",Actuals!D63)</f>
        <v/>
      </c>
      <c r="H66" s="137" t="str">
        <f aca="false">IF(ISBLANK(Actuals!D63),"",'Original Budget'!D63-Actuals!D63)</f>
        <v/>
      </c>
      <c r="I66" s="137" t="str">
        <f aca="false">IFERROR(IF(ISBLANK(Actuals!D63),"",('Original Budget'!D63-Actuals!D63)/ABS('Original Budget'!D63)),"")</f>
        <v/>
      </c>
      <c r="J66" s="136" t="n">
        <f aca="false">'Original Budget'!E63</f>
        <v>0</v>
      </c>
      <c r="K66" s="136" t="str">
        <f aca="false">IF(ISBLANK(Actuals!E63),"",Actuals!E63)</f>
        <v/>
      </c>
      <c r="L66" s="137" t="str">
        <f aca="false">IF(ISBLANK(Actuals!E63),"",'Original Budget'!E63-Actuals!E63)</f>
        <v/>
      </c>
      <c r="M66" s="137" t="str">
        <f aca="false">IFERROR(IF(ISBLANK(Actuals!E63),"",('Original Budget'!E63-Actuals!E63)/ABS('Original Budget'!E63)),"")</f>
        <v/>
      </c>
      <c r="N66" s="136" t="n">
        <f aca="false">'Original Budget'!F63</f>
        <v>0</v>
      </c>
      <c r="O66" s="136" t="str">
        <f aca="false">IF(ISBLANK(Actuals!F63),"",Actuals!F63)</f>
        <v/>
      </c>
      <c r="P66" s="137" t="str">
        <f aca="false">IF(ISBLANK(Actuals!F63),"",'Original Budget'!F63-Actuals!F63)</f>
        <v/>
      </c>
      <c r="Q66" s="137" t="str">
        <f aca="false">IFERROR(IF(ISBLANK(Actuals!F63),"",('Original Budget'!F63-Actuals!F63)/ABS('Original Budget'!F63)),"")</f>
        <v/>
      </c>
      <c r="R66" s="136" t="n">
        <f aca="false">'Original Budget'!G63</f>
        <v>0</v>
      </c>
      <c r="S66" s="136" t="str">
        <f aca="false">IF(ISBLANK(Actuals!G63),"",Actuals!G63)</f>
        <v/>
      </c>
      <c r="T66" s="137" t="str">
        <f aca="false">IF(ISBLANK(Actuals!G63),"",'Original Budget'!G63-Actuals!G63)</f>
        <v/>
      </c>
      <c r="U66" s="137" t="str">
        <f aca="false">IFERROR(IF(ISBLANK(Actuals!G63),"",('Original Budget'!G63-Actuals!G63)/ABS('Original Budget'!G63)),"")</f>
        <v/>
      </c>
      <c r="V66" s="136" t="n">
        <f aca="false">'Original Budget'!H63</f>
        <v>0</v>
      </c>
      <c r="W66" s="136" t="n">
        <f aca="false">IF(ISBLANK(Actuals!H63),"",Actuals!H63)</f>
        <v>299000</v>
      </c>
      <c r="X66" s="137" t="n">
        <f aca="false">IF(ISBLANK(Actuals!H63),"",'Original Budget'!H63-Actuals!H63)</f>
        <v>-299000</v>
      </c>
      <c r="Y66" s="137" t="str">
        <f aca="false">IFERROR(IF(ISBLANK(Actuals!H63),"",('Original Budget'!H63-Actuals!H63)/ABS('Original Budget'!H63)),"")</f>
        <v/>
      </c>
      <c r="Z66" s="136" t="n">
        <f aca="false">'Original Budget'!I63</f>
        <v>0</v>
      </c>
      <c r="AA66" s="136" t="str">
        <f aca="false">IF(ISBLANK(Actuals!I63),"",Actuals!I63)</f>
        <v/>
      </c>
      <c r="AB66" s="137" t="str">
        <f aca="false">IF(ISBLANK(Actuals!I63),"",'Original Budget'!I63-Actuals!I63)</f>
        <v/>
      </c>
      <c r="AC66" s="137" t="str">
        <f aca="false">IFERROR(IF(ISBLANK(Actuals!I63),"",('Original Budget'!I63-Actuals!I63)/ABS('Original Budget'!I63)),"")</f>
        <v/>
      </c>
      <c r="AD66" s="136" t="n">
        <f aca="false">'Original Budget'!J63</f>
        <v>0</v>
      </c>
      <c r="AE66" s="136" t="str">
        <f aca="false">IF(ISBLANK(Actuals!J63),"",Actuals!J63)</f>
        <v/>
      </c>
      <c r="AF66" s="137" t="str">
        <f aca="false">IF(ISBLANK(Actuals!J63),"",'Original Budget'!J63-Actuals!J63)</f>
        <v/>
      </c>
      <c r="AG66" s="137" t="str">
        <f aca="false">IFERROR(IF(ISBLANK(Actuals!J63),"",('Original Budget'!J63-Actuals!J63)/ABS('Original Budget'!J63)),"")</f>
        <v/>
      </c>
      <c r="AH66" s="136" t="n">
        <f aca="false">'Original Budget'!K63</f>
        <v>0</v>
      </c>
      <c r="AI66" s="136" t="str">
        <f aca="false">IF(ISBLANK(Actuals!K63),"",Actuals!K63)</f>
        <v/>
      </c>
      <c r="AJ66" s="137" t="str">
        <f aca="false">IF(ISBLANK(Actuals!K63),"",'Original Budget'!K63-Actuals!K63)</f>
        <v/>
      </c>
      <c r="AK66" s="137" t="str">
        <f aca="false">IFERROR(IF(ISBLANK(Actuals!K63),"",('Original Budget'!K63-Actuals!K63)/ABS('Original Budget'!K63)),"")</f>
        <v/>
      </c>
      <c r="AL66" s="136" t="n">
        <f aca="false">'Original Budget'!L63</f>
        <v>0</v>
      </c>
      <c r="AM66" s="136" t="str">
        <f aca="false">IF(ISBLANK(Actuals!L63),"",Actuals!L63)</f>
        <v/>
      </c>
      <c r="AN66" s="137" t="str">
        <f aca="false">IF(ISBLANK(Actuals!L63),"",'Original Budget'!L63-Actuals!L63)</f>
        <v/>
      </c>
      <c r="AO66" s="137" t="str">
        <f aca="false">IFERROR(IF(ISBLANK(Actuals!L63),"",('Original Budget'!L63-Actuals!L63)/ABS('Original Budget'!L63)),"")</f>
        <v/>
      </c>
      <c r="AP66" s="136" t="n">
        <f aca="false">'Original Budget'!M63</f>
        <v>0</v>
      </c>
      <c r="AQ66" s="136" t="str">
        <f aca="false">IF(ISBLANK(Actuals!M63),"",Actuals!M63)</f>
        <v/>
      </c>
      <c r="AR66" s="137" t="str">
        <f aca="false">IF(ISBLANK(Actuals!M63),"",'Original Budget'!M63-Actuals!M63)</f>
        <v/>
      </c>
      <c r="AS66" s="137" t="str">
        <f aca="false">IFERROR(IF(ISBLANK(Actuals!M63),"",('Original Budget'!M63-Actuals!M63)/ABS('Original Budget'!M63)),"")</f>
        <v/>
      </c>
      <c r="AT66" s="136" t="n">
        <f aca="false">'Original Budget'!N63</f>
        <v>0</v>
      </c>
      <c r="AU66" s="136" t="str">
        <f aca="false">IF(ISBLANK(Actuals!N63),"",Actuals!N63)</f>
        <v/>
      </c>
      <c r="AV66" s="137" t="str">
        <f aca="false">IF(ISBLANK(Actuals!N63),"",'Original Budget'!N63-Actuals!N63)</f>
        <v/>
      </c>
      <c r="AW66" s="137" t="str">
        <f aca="false">IFERROR(IF(ISBLANK(Actuals!N63),"",('Original Budget'!N63-Actuals!N63)/ABS('Original Budget'!N63)),"")</f>
        <v/>
      </c>
      <c r="AX66" s="138" t="n">
        <f aca="false">SUMPRODUCT((Actuals!C63:N66&lt;&gt;"")*('Original Budget'!C63:N66))</f>
        <v>148437.48</v>
      </c>
      <c r="AY66" s="138" t="n">
        <f aca="false">SUM(Actuals!C63:N66)</f>
        <v>447437.48</v>
      </c>
      <c r="AZ66" s="139" t="n">
        <f aca="false">AX66-AY66</f>
        <v>-299000</v>
      </c>
    </row>
    <row r="67" customFormat="false" ht="15" hidden="false" customHeight="true" outlineLevel="0" collapsed="false">
      <c r="A67" s="135" t="s">
        <v>60</v>
      </c>
      <c r="B67" s="136" t="n">
        <f aca="false">'Original Budget'!C83</f>
        <v>-54421</v>
      </c>
      <c r="C67" s="136" t="n">
        <f aca="false">IF(ISBLANK(Actuals!C83),"",Actuals!C83)</f>
        <v>-54421</v>
      </c>
      <c r="D67" s="137" t="n">
        <f aca="false">IF(ISBLANK(Actuals!C83),"",'Original Budget'!C83-Actuals!C83)</f>
        <v>0</v>
      </c>
      <c r="E67" s="137" t="n">
        <f aca="false">IFERROR(IF(ISBLANK(Actuals!C83),"",('Original Budget'!C83-Actuals!C83)/ABS('Original Budget'!C83)),"")</f>
        <v>0</v>
      </c>
      <c r="F67" s="136" t="n">
        <f aca="false">'Original Budget'!D83</f>
        <v>-54166.68</v>
      </c>
      <c r="G67" s="136" t="n">
        <f aca="false">IF(ISBLANK(Actuals!D83),"",Actuals!D83)</f>
        <v>-54166.68</v>
      </c>
      <c r="H67" s="137" t="n">
        <f aca="false">IF(ISBLANK(Actuals!D83),"",'Original Budget'!D83-Actuals!D83)</f>
        <v>0</v>
      </c>
      <c r="I67" s="137" t="n">
        <f aca="false">IFERROR(IF(ISBLANK(Actuals!D83),"",('Original Budget'!D83-Actuals!D83)/ABS('Original Budget'!D83)),"")</f>
        <v>0</v>
      </c>
      <c r="J67" s="136" t="n">
        <f aca="false">'Original Budget'!E83</f>
        <v>-54166.68</v>
      </c>
      <c r="K67" s="136" t="n">
        <f aca="false">IF(ISBLANK(Actuals!E83),"",Actuals!E83)</f>
        <v>-54166.68</v>
      </c>
      <c r="L67" s="137" t="n">
        <f aca="false">IF(ISBLANK(Actuals!E83),"",'Original Budget'!E83-Actuals!E83)</f>
        <v>0</v>
      </c>
      <c r="M67" s="137" t="n">
        <f aca="false">IFERROR(IF(ISBLANK(Actuals!E83),"",('Original Budget'!E83-Actuals!E83)/ABS('Original Budget'!E83)),"")</f>
        <v>0</v>
      </c>
      <c r="N67" s="136" t="n">
        <f aca="false">'Original Budget'!F83</f>
        <v>-11458.3333333333</v>
      </c>
      <c r="O67" s="136" t="n">
        <f aca="false">IF(ISBLANK(Actuals!F83),"",Actuals!F83)</f>
        <v>-54166.68</v>
      </c>
      <c r="P67" s="137" t="n">
        <f aca="false">IF(ISBLANK(Actuals!F83),"",'Original Budget'!F83-Actuals!F83)</f>
        <v>42708.3466666667</v>
      </c>
      <c r="Q67" s="137" t="n">
        <f aca="false">IFERROR(IF(ISBLANK(Actuals!F83),"",('Original Budget'!F83-Actuals!F83)/ABS('Original Budget'!F83)),"")</f>
        <v>3.72727389090911</v>
      </c>
      <c r="R67" s="136" t="n">
        <f aca="false">'Original Budget'!G83</f>
        <v>-11458.3333333333</v>
      </c>
      <c r="S67" s="136" t="n">
        <f aca="false">IF(ISBLANK(Actuals!G83),"",Actuals!G83)</f>
        <v>-54166.68</v>
      </c>
      <c r="T67" s="137" t="n">
        <f aca="false">IF(ISBLANK(Actuals!G83),"",'Original Budget'!G83-Actuals!G83)</f>
        <v>42708.3466666667</v>
      </c>
      <c r="U67" s="137" t="n">
        <f aca="false">IFERROR(IF(ISBLANK(Actuals!G83),"",('Original Budget'!G83-Actuals!G83)/ABS('Original Budget'!G83)),"")</f>
        <v>3.72727389090911</v>
      </c>
      <c r="V67" s="136" t="n">
        <f aca="false">'Original Budget'!H83</f>
        <v>-11458.3333333333</v>
      </c>
      <c r="W67" s="136" t="n">
        <f aca="false">IF(ISBLANK(Actuals!H83),"",Actuals!H83)</f>
        <v>-54166.68</v>
      </c>
      <c r="X67" s="137" t="n">
        <f aca="false">IF(ISBLANK(Actuals!H83),"",'Original Budget'!H83-Actuals!H83)</f>
        <v>42708.3466666667</v>
      </c>
      <c r="Y67" s="137" t="n">
        <f aca="false">IFERROR(IF(ISBLANK(Actuals!H83),"",('Original Budget'!H83-Actuals!H83)/ABS('Original Budget'!H83)),"")</f>
        <v>3.72727389090911</v>
      </c>
      <c r="Z67" s="136" t="n">
        <f aca="false">'Original Budget'!I83</f>
        <v>-11458.3333333333</v>
      </c>
      <c r="AA67" s="136" t="str">
        <f aca="false">IF(ISBLANK(Actuals!I83),"",Actuals!I83)</f>
        <v/>
      </c>
      <c r="AB67" s="137" t="str">
        <f aca="false">IF(ISBLANK(Actuals!I83),"",'Original Budget'!I83-Actuals!I83)</f>
        <v/>
      </c>
      <c r="AC67" s="137" t="str">
        <f aca="false">IFERROR(IF(ISBLANK(Actuals!I83),"",('Original Budget'!I83-Actuals!I83)/ABS('Original Budget'!I83)),"")</f>
        <v/>
      </c>
      <c r="AD67" s="136" t="n">
        <f aca="false">'Original Budget'!J83</f>
        <v>-11458.3333333333</v>
      </c>
      <c r="AE67" s="136" t="str">
        <f aca="false">IF(ISBLANK(Actuals!J83),"",Actuals!J83)</f>
        <v/>
      </c>
      <c r="AF67" s="137" t="str">
        <f aca="false">IF(ISBLANK(Actuals!J83),"",'Original Budget'!J83-Actuals!J83)</f>
        <v/>
      </c>
      <c r="AG67" s="137" t="str">
        <f aca="false">IFERROR(IF(ISBLANK(Actuals!J83),"",('Original Budget'!J83-Actuals!J83)/ABS('Original Budget'!J83)),"")</f>
        <v/>
      </c>
      <c r="AH67" s="136" t="n">
        <f aca="false">'Original Budget'!K83</f>
        <v>-11458.3333333333</v>
      </c>
      <c r="AI67" s="136" t="str">
        <f aca="false">IF(ISBLANK(Actuals!K83),"",Actuals!K83)</f>
        <v/>
      </c>
      <c r="AJ67" s="137" t="str">
        <f aca="false">IF(ISBLANK(Actuals!K83),"",'Original Budget'!K83-Actuals!K83)</f>
        <v/>
      </c>
      <c r="AK67" s="137" t="str">
        <f aca="false">IFERROR(IF(ISBLANK(Actuals!K83),"",('Original Budget'!K83-Actuals!K83)/ABS('Original Budget'!K83)),"")</f>
        <v/>
      </c>
      <c r="AL67" s="136" t="n">
        <f aca="false">'Original Budget'!L83</f>
        <v>-11458.3333333333</v>
      </c>
      <c r="AM67" s="136" t="str">
        <f aca="false">IF(ISBLANK(Actuals!L83),"",Actuals!L83)</f>
        <v/>
      </c>
      <c r="AN67" s="137" t="str">
        <f aca="false">IF(ISBLANK(Actuals!L83),"",'Original Budget'!L83-Actuals!L83)</f>
        <v/>
      </c>
      <c r="AO67" s="137" t="str">
        <f aca="false">IFERROR(IF(ISBLANK(Actuals!L83),"",('Original Budget'!L83-Actuals!L83)/ABS('Original Budget'!L83)),"")</f>
        <v/>
      </c>
      <c r="AP67" s="136" t="n">
        <f aca="false">'Original Budget'!M83</f>
        <v>-11458.3333333333</v>
      </c>
      <c r="AQ67" s="136" t="str">
        <f aca="false">IF(ISBLANK(Actuals!M83),"",Actuals!M83)</f>
        <v/>
      </c>
      <c r="AR67" s="137" t="str">
        <f aca="false">IF(ISBLANK(Actuals!M83),"",'Original Budget'!M83-Actuals!M83)</f>
        <v/>
      </c>
      <c r="AS67" s="137" t="str">
        <f aca="false">IFERROR(IF(ISBLANK(Actuals!M83),"",('Original Budget'!M83-Actuals!M83)/ABS('Original Budget'!M83)),"")</f>
        <v/>
      </c>
      <c r="AT67" s="136" t="n">
        <f aca="false">'Original Budget'!N83</f>
        <v>-11458.3333333333</v>
      </c>
      <c r="AU67" s="136" t="str">
        <f aca="false">IF(ISBLANK(Actuals!N83),"",Actuals!N83)</f>
        <v/>
      </c>
      <c r="AV67" s="137" t="str">
        <f aca="false">IF(ISBLANK(Actuals!N83),"",'Original Budget'!N83-Actuals!N83)</f>
        <v/>
      </c>
      <c r="AW67" s="137" t="str">
        <f aca="false">IFERROR(IF(ISBLANK(Actuals!N83),"",('Original Budget'!N83-Actuals!N83)/ABS('Original Budget'!N83)),"")</f>
        <v/>
      </c>
      <c r="AX67" s="138" t="n">
        <f aca="false">SUMPRODUCT((Actuals!C83:N83&lt;&gt;"")*('Original Budget'!C83:N83))</f>
        <v>-197129.36</v>
      </c>
      <c r="AY67" s="138" t="n">
        <f aca="false">SUM(Actuals!C83:N83)</f>
        <v>-325254.4</v>
      </c>
      <c r="AZ67" s="139" t="n">
        <f aca="false">AX67-AY67</f>
        <v>128125.04</v>
      </c>
    </row>
    <row r="68" customFormat="false" ht="15" hidden="false" customHeight="true" outlineLevel="0" collapsed="false">
      <c r="A68" s="135" t="s">
        <v>61</v>
      </c>
      <c r="B68" s="136" t="n">
        <f aca="false">'Original Budget'!C84</f>
        <v>-5302</v>
      </c>
      <c r="C68" s="136" t="n">
        <f aca="false">IF(ISBLANK(Actuals!C84),"",Actuals!C84)</f>
        <v>-5302</v>
      </c>
      <c r="D68" s="137" t="n">
        <f aca="false">IF(ISBLANK(Actuals!C84),"",'Original Budget'!C84-Actuals!C84)</f>
        <v>0</v>
      </c>
      <c r="E68" s="137" t="n">
        <f aca="false">IFERROR(IF(ISBLANK(Actuals!C84),"",('Original Budget'!C84-Actuals!C84)/ABS('Original Budget'!C84)),"")</f>
        <v>0</v>
      </c>
      <c r="F68" s="136" t="n">
        <f aca="false">'Original Budget'!D84</f>
        <v>-4279.79</v>
      </c>
      <c r="G68" s="136" t="n">
        <f aca="false">IF(ISBLANK(Actuals!D84),"",Actuals!D84)</f>
        <v>-4279.79</v>
      </c>
      <c r="H68" s="137" t="n">
        <f aca="false">IF(ISBLANK(Actuals!D84),"",'Original Budget'!D84-Actuals!D84)</f>
        <v>0</v>
      </c>
      <c r="I68" s="137" t="n">
        <f aca="false">IFERROR(IF(ISBLANK(Actuals!D84),"",('Original Budget'!D84-Actuals!D84)/ABS('Original Budget'!D84)),"")</f>
        <v>0</v>
      </c>
      <c r="J68" s="136" t="n">
        <f aca="false">'Original Budget'!E84</f>
        <v>-4145.97</v>
      </c>
      <c r="K68" s="136" t="n">
        <f aca="false">IF(ISBLANK(Actuals!E84),"",Actuals!E84)</f>
        <v>-4145.97</v>
      </c>
      <c r="L68" s="137" t="n">
        <f aca="false">IF(ISBLANK(Actuals!E84),"",'Original Budget'!E84-Actuals!E84)</f>
        <v>0</v>
      </c>
      <c r="M68" s="137" t="n">
        <f aca="false">IFERROR(IF(ISBLANK(Actuals!E84),"",('Original Budget'!E84-Actuals!E84)/ABS('Original Budget'!E84)),"")</f>
        <v>0</v>
      </c>
      <c r="N68" s="136" t="n">
        <f aca="false">'Original Budget'!F84</f>
        <v>-802.083333333334</v>
      </c>
      <c r="O68" s="136" t="n">
        <f aca="false">IF(ISBLANK(Actuals!F84),"",Actuals!F84)</f>
        <v>-4145.96</v>
      </c>
      <c r="P68" s="137" t="n">
        <f aca="false">IF(ISBLANK(Actuals!F84),"",'Original Budget'!F84-Actuals!F84)</f>
        <v>3343.87666666667</v>
      </c>
      <c r="Q68" s="137" t="n">
        <f aca="false">IFERROR(IF(ISBLANK(Actuals!F84),"",('Original Budget'!F84-Actuals!F84)/ABS('Original Budget'!F84)),"")</f>
        <v>4.16898909090909</v>
      </c>
      <c r="R68" s="136" t="n">
        <f aca="false">'Original Budget'!G84</f>
        <v>-802.083333333334</v>
      </c>
      <c r="S68" s="136" t="n">
        <f aca="false">IF(ISBLANK(Actuals!G84),"",Actuals!G84)</f>
        <v>-4145.99</v>
      </c>
      <c r="T68" s="137" t="n">
        <f aca="false">IF(ISBLANK(Actuals!G84),"",'Original Budget'!G84-Actuals!G84)</f>
        <v>3343.90666666667</v>
      </c>
      <c r="U68" s="137" t="n">
        <f aca="false">IFERROR(IF(ISBLANK(Actuals!G84),"",('Original Budget'!G84-Actuals!G84)/ABS('Original Budget'!G84)),"")</f>
        <v>4.16902649350649</v>
      </c>
      <c r="V68" s="136" t="n">
        <f aca="false">'Original Budget'!H84</f>
        <v>-802.083333333334</v>
      </c>
      <c r="W68" s="136" t="n">
        <f aca="false">IF(ISBLANK(Actuals!H84),"",Actuals!H84)</f>
        <v>-4145.95</v>
      </c>
      <c r="X68" s="137" t="n">
        <f aca="false">IF(ISBLANK(Actuals!H84),"",'Original Budget'!H84-Actuals!H84)</f>
        <v>3343.86666666667</v>
      </c>
      <c r="Y68" s="137" t="n">
        <f aca="false">IFERROR(IF(ISBLANK(Actuals!H84),"",('Original Budget'!H84-Actuals!H84)/ABS('Original Budget'!H84)),"")</f>
        <v>4.16897662337662</v>
      </c>
      <c r="Z68" s="136" t="n">
        <f aca="false">'Original Budget'!I84</f>
        <v>-802.083333333334</v>
      </c>
      <c r="AA68" s="136" t="str">
        <f aca="false">IF(ISBLANK(Actuals!I84),"",Actuals!I84)</f>
        <v/>
      </c>
      <c r="AB68" s="137" t="str">
        <f aca="false">IF(ISBLANK(Actuals!I84),"",'Original Budget'!I84-Actuals!I84)</f>
        <v/>
      </c>
      <c r="AC68" s="137" t="str">
        <f aca="false">IFERROR(IF(ISBLANK(Actuals!I84),"",('Original Budget'!I84-Actuals!I84)/ABS('Original Budget'!I84)),"")</f>
        <v/>
      </c>
      <c r="AD68" s="136" t="n">
        <f aca="false">'Original Budget'!J84</f>
        <v>-802.083333333334</v>
      </c>
      <c r="AE68" s="136" t="str">
        <f aca="false">IF(ISBLANK(Actuals!J84),"",Actuals!J84)</f>
        <v/>
      </c>
      <c r="AF68" s="137" t="str">
        <f aca="false">IF(ISBLANK(Actuals!J84),"",'Original Budget'!J84-Actuals!J84)</f>
        <v/>
      </c>
      <c r="AG68" s="137" t="str">
        <f aca="false">IFERROR(IF(ISBLANK(Actuals!J84),"",('Original Budget'!J84-Actuals!J84)/ABS('Original Budget'!J84)),"")</f>
        <v/>
      </c>
      <c r="AH68" s="136" t="n">
        <f aca="false">'Original Budget'!K84</f>
        <v>-802.083333333334</v>
      </c>
      <c r="AI68" s="136" t="str">
        <f aca="false">IF(ISBLANK(Actuals!K84),"",Actuals!K84)</f>
        <v/>
      </c>
      <c r="AJ68" s="137" t="str">
        <f aca="false">IF(ISBLANK(Actuals!K84),"",'Original Budget'!K84-Actuals!K84)</f>
        <v/>
      </c>
      <c r="AK68" s="137" t="str">
        <f aca="false">IFERROR(IF(ISBLANK(Actuals!K84),"",('Original Budget'!K84-Actuals!K84)/ABS('Original Budget'!K84)),"")</f>
        <v/>
      </c>
      <c r="AL68" s="136" t="n">
        <f aca="false">'Original Budget'!L84</f>
        <v>-802.083333333334</v>
      </c>
      <c r="AM68" s="136" t="str">
        <f aca="false">IF(ISBLANK(Actuals!L84),"",Actuals!L84)</f>
        <v/>
      </c>
      <c r="AN68" s="137" t="str">
        <f aca="false">IF(ISBLANK(Actuals!L84),"",'Original Budget'!L84-Actuals!L84)</f>
        <v/>
      </c>
      <c r="AO68" s="137" t="str">
        <f aca="false">IFERROR(IF(ISBLANK(Actuals!L84),"",('Original Budget'!L84-Actuals!L84)/ABS('Original Budget'!L84)),"")</f>
        <v/>
      </c>
      <c r="AP68" s="136" t="n">
        <f aca="false">'Original Budget'!M84</f>
        <v>-802.083333333334</v>
      </c>
      <c r="AQ68" s="136" t="str">
        <f aca="false">IF(ISBLANK(Actuals!M84),"",Actuals!M84)</f>
        <v/>
      </c>
      <c r="AR68" s="137" t="str">
        <f aca="false">IF(ISBLANK(Actuals!M84),"",'Original Budget'!M84-Actuals!M84)</f>
        <v/>
      </c>
      <c r="AS68" s="137" t="str">
        <f aca="false">IFERROR(IF(ISBLANK(Actuals!M84),"",('Original Budget'!M84-Actuals!M84)/ABS('Original Budget'!M84)),"")</f>
        <v/>
      </c>
      <c r="AT68" s="136" t="n">
        <f aca="false">'Original Budget'!N84</f>
        <v>-802.083333333334</v>
      </c>
      <c r="AU68" s="136" t="str">
        <f aca="false">IF(ISBLANK(Actuals!N84),"",Actuals!N84)</f>
        <v/>
      </c>
      <c r="AV68" s="137" t="str">
        <f aca="false">IF(ISBLANK(Actuals!N84),"",'Original Budget'!N84-Actuals!N84)</f>
        <v/>
      </c>
      <c r="AW68" s="137" t="str">
        <f aca="false">IFERROR(IF(ISBLANK(Actuals!N84),"",('Original Budget'!N84-Actuals!N84)/ABS('Original Budget'!N84)),"")</f>
        <v/>
      </c>
      <c r="AX68" s="138" t="n">
        <f aca="false">SUMPRODUCT((Actuals!C84:N84&lt;&gt;"")*('Original Budget'!C84:N84))</f>
        <v>-16134.01</v>
      </c>
      <c r="AY68" s="138" t="n">
        <f aca="false">SUM(Actuals!C84:N84)</f>
        <v>-26165.66</v>
      </c>
      <c r="AZ68" s="139" t="n">
        <f aca="false">AX68-AY68</f>
        <v>10031.65</v>
      </c>
    </row>
    <row r="69" customFormat="false" ht="15" hidden="false" customHeight="true" outlineLevel="0" collapsed="false">
      <c r="A69" s="135" t="s">
        <v>63</v>
      </c>
      <c r="B69" s="136" t="n">
        <f aca="false">'Original Budget'!C85</f>
        <v>-12137.77</v>
      </c>
      <c r="C69" s="136" t="n">
        <f aca="false">IF(ISBLANK(Actuals!C85),"",Actuals!C85)</f>
        <v>-12137.77</v>
      </c>
      <c r="D69" s="137" t="n">
        <f aca="false">IF(ISBLANK(Actuals!C85),"",'Original Budget'!C85-Actuals!C85)</f>
        <v>0</v>
      </c>
      <c r="E69" s="137" t="n">
        <f aca="false">IFERROR(IF(ISBLANK(Actuals!C85),"",('Original Budget'!C85-Actuals!C85)/ABS('Original Budget'!C85)),"")</f>
        <v>0</v>
      </c>
      <c r="F69" s="136" t="n">
        <f aca="false">'Original Budget'!D85</f>
        <v>-12137.78</v>
      </c>
      <c r="G69" s="136" t="n">
        <f aca="false">IF(ISBLANK(Actuals!D85),"",Actuals!D85)</f>
        <v>-12137.78</v>
      </c>
      <c r="H69" s="137" t="n">
        <f aca="false">IF(ISBLANK(Actuals!D85),"",'Original Budget'!D85-Actuals!D85)</f>
        <v>0</v>
      </c>
      <c r="I69" s="137" t="n">
        <f aca="false">IFERROR(IF(ISBLANK(Actuals!D85),"",('Original Budget'!D85-Actuals!D85)/ABS('Original Budget'!D85)),"")</f>
        <v>0</v>
      </c>
      <c r="J69" s="136" t="n">
        <f aca="false">'Original Budget'!E85</f>
        <v>-12137.78</v>
      </c>
      <c r="K69" s="136" t="n">
        <f aca="false">IF(ISBLANK(Actuals!E85),"",Actuals!E85)</f>
        <v>-12137.78</v>
      </c>
      <c r="L69" s="137" t="n">
        <f aca="false">IF(ISBLANK(Actuals!E85),"",'Original Budget'!E85-Actuals!E85)</f>
        <v>0</v>
      </c>
      <c r="M69" s="137" t="n">
        <f aca="false">IFERROR(IF(ISBLANK(Actuals!E85),"",('Original Budget'!E85-Actuals!E85)/ABS('Original Budget'!E85)),"")</f>
        <v>0</v>
      </c>
      <c r="N69" s="136" t="n">
        <f aca="false">'Original Budget'!F85</f>
        <v>-572.916666666667</v>
      </c>
      <c r="O69" s="136" t="n">
        <f aca="false">IF(ISBLANK(Actuals!F85),"",Actuals!F85)</f>
        <v>-12137.78</v>
      </c>
      <c r="P69" s="137" t="n">
        <f aca="false">IF(ISBLANK(Actuals!F85),"",'Original Budget'!F85-Actuals!F85)</f>
        <v>11564.8633333333</v>
      </c>
      <c r="Q69" s="137" t="n">
        <f aca="false">IFERROR(IF(ISBLANK(Actuals!F85),"",('Original Budget'!F85-Actuals!F85)/ABS('Original Budget'!F85)),"")</f>
        <v>20.1859432727273</v>
      </c>
      <c r="R69" s="136" t="n">
        <f aca="false">'Original Budget'!G85</f>
        <v>-572.916666666667</v>
      </c>
      <c r="S69" s="136" t="n">
        <f aca="false">IF(ISBLANK(Actuals!G85),"",Actuals!G85)</f>
        <v>-12137.78</v>
      </c>
      <c r="T69" s="137" t="n">
        <f aca="false">IF(ISBLANK(Actuals!G85),"",'Original Budget'!G85-Actuals!G85)</f>
        <v>11564.8633333333</v>
      </c>
      <c r="U69" s="137" t="n">
        <f aca="false">IFERROR(IF(ISBLANK(Actuals!G85),"",('Original Budget'!G85-Actuals!G85)/ABS('Original Budget'!G85)),"")</f>
        <v>20.1859432727273</v>
      </c>
      <c r="V69" s="136" t="n">
        <f aca="false">'Original Budget'!H85</f>
        <v>-572.916666666667</v>
      </c>
      <c r="W69" s="136" t="n">
        <f aca="false">IF(ISBLANK(Actuals!H85),"",Actuals!H85)</f>
        <v>-12137.78</v>
      </c>
      <c r="X69" s="137" t="n">
        <f aca="false">IF(ISBLANK(Actuals!H85),"",'Original Budget'!H85-Actuals!H85)</f>
        <v>11564.8633333333</v>
      </c>
      <c r="Y69" s="137" t="n">
        <f aca="false">IFERROR(IF(ISBLANK(Actuals!H85),"",('Original Budget'!H85-Actuals!H85)/ABS('Original Budget'!H85)),"")</f>
        <v>20.1859432727273</v>
      </c>
      <c r="Z69" s="136" t="n">
        <f aca="false">'Original Budget'!I85</f>
        <v>-572.916666666667</v>
      </c>
      <c r="AA69" s="136" t="str">
        <f aca="false">IF(ISBLANK(Actuals!I85),"",Actuals!I85)</f>
        <v/>
      </c>
      <c r="AB69" s="137" t="str">
        <f aca="false">IF(ISBLANK(Actuals!I85),"",'Original Budget'!I85-Actuals!I85)</f>
        <v/>
      </c>
      <c r="AC69" s="137" t="str">
        <f aca="false">IFERROR(IF(ISBLANK(Actuals!I85),"",('Original Budget'!I85-Actuals!I85)/ABS('Original Budget'!I85)),"")</f>
        <v/>
      </c>
      <c r="AD69" s="136" t="n">
        <f aca="false">'Original Budget'!J85</f>
        <v>-572.916666666667</v>
      </c>
      <c r="AE69" s="136" t="str">
        <f aca="false">IF(ISBLANK(Actuals!J85),"",Actuals!J85)</f>
        <v/>
      </c>
      <c r="AF69" s="137" t="str">
        <f aca="false">IF(ISBLANK(Actuals!J85),"",'Original Budget'!J85-Actuals!J85)</f>
        <v/>
      </c>
      <c r="AG69" s="137" t="str">
        <f aca="false">IFERROR(IF(ISBLANK(Actuals!J85),"",('Original Budget'!J85-Actuals!J85)/ABS('Original Budget'!J85)),"")</f>
        <v/>
      </c>
      <c r="AH69" s="136" t="n">
        <f aca="false">'Original Budget'!K85</f>
        <v>-572.916666666667</v>
      </c>
      <c r="AI69" s="136" t="str">
        <f aca="false">IF(ISBLANK(Actuals!K85),"",Actuals!K85)</f>
        <v/>
      </c>
      <c r="AJ69" s="137" t="str">
        <f aca="false">IF(ISBLANK(Actuals!K85),"",'Original Budget'!K85-Actuals!K85)</f>
        <v/>
      </c>
      <c r="AK69" s="137" t="str">
        <f aca="false">IFERROR(IF(ISBLANK(Actuals!K85),"",('Original Budget'!K85-Actuals!K85)/ABS('Original Budget'!K85)),"")</f>
        <v/>
      </c>
      <c r="AL69" s="136" t="n">
        <f aca="false">'Original Budget'!L85</f>
        <v>-572.916666666667</v>
      </c>
      <c r="AM69" s="136" t="str">
        <f aca="false">IF(ISBLANK(Actuals!L85),"",Actuals!L85)</f>
        <v/>
      </c>
      <c r="AN69" s="137" t="str">
        <f aca="false">IF(ISBLANK(Actuals!L85),"",'Original Budget'!L85-Actuals!L85)</f>
        <v/>
      </c>
      <c r="AO69" s="137" t="str">
        <f aca="false">IFERROR(IF(ISBLANK(Actuals!L85),"",('Original Budget'!L85-Actuals!L85)/ABS('Original Budget'!L85)),"")</f>
        <v/>
      </c>
      <c r="AP69" s="136" t="n">
        <f aca="false">'Original Budget'!M85</f>
        <v>-572.916666666667</v>
      </c>
      <c r="AQ69" s="136" t="str">
        <f aca="false">IF(ISBLANK(Actuals!M85),"",Actuals!M85)</f>
        <v/>
      </c>
      <c r="AR69" s="137" t="str">
        <f aca="false">IF(ISBLANK(Actuals!M85),"",'Original Budget'!M85-Actuals!M85)</f>
        <v/>
      </c>
      <c r="AS69" s="137" t="str">
        <f aca="false">IFERROR(IF(ISBLANK(Actuals!M85),"",('Original Budget'!M85-Actuals!M85)/ABS('Original Budget'!M85)),"")</f>
        <v/>
      </c>
      <c r="AT69" s="136" t="n">
        <f aca="false">'Original Budget'!N85</f>
        <v>-572.916666666667</v>
      </c>
      <c r="AU69" s="136" t="str">
        <f aca="false">IF(ISBLANK(Actuals!N85),"",Actuals!N85)</f>
        <v/>
      </c>
      <c r="AV69" s="137" t="str">
        <f aca="false">IF(ISBLANK(Actuals!N85),"",'Original Budget'!N85-Actuals!N85)</f>
        <v/>
      </c>
      <c r="AW69" s="137" t="str">
        <f aca="false">IFERROR(IF(ISBLANK(Actuals!N85),"",('Original Budget'!N85-Actuals!N85)/ABS('Original Budget'!N85)),"")</f>
        <v/>
      </c>
      <c r="AX69" s="138" t="n">
        <f aca="false">SUMPRODUCT((Actuals!C85:N85&lt;&gt;"")*('Original Budget'!C85:N85))</f>
        <v>-38132.08</v>
      </c>
      <c r="AY69" s="138" t="n">
        <f aca="false">SUM(Actuals!C85:N85)</f>
        <v>-72826.67</v>
      </c>
      <c r="AZ69" s="139" t="n">
        <f aca="false">AX69-AY69</f>
        <v>34694.59</v>
      </c>
    </row>
    <row r="70" customFormat="false" ht="15" hidden="false" customHeight="true" outlineLevel="0" collapsed="false">
      <c r="A70" s="135" t="s">
        <v>64</v>
      </c>
      <c r="B70" s="136" t="n">
        <f aca="false">'Original Budget'!C86</f>
        <v>-475.76</v>
      </c>
      <c r="C70" s="136" t="n">
        <f aca="false">IF(ISBLANK(Actuals!C86),"",Actuals!C86)</f>
        <v>-475.76</v>
      </c>
      <c r="D70" s="137" t="n">
        <f aca="false">IF(ISBLANK(Actuals!C86),"",'Original Budget'!C86-Actuals!C86)</f>
        <v>0</v>
      </c>
      <c r="E70" s="137" t="n">
        <f aca="false">IFERROR(IF(ISBLANK(Actuals!C86),"",('Original Budget'!C86-Actuals!C86)/ABS('Original Budget'!C86)),"")</f>
        <v>0</v>
      </c>
      <c r="F70" s="136" t="n">
        <f aca="false">'Original Budget'!D86</f>
        <v>-475.76</v>
      </c>
      <c r="G70" s="136" t="n">
        <f aca="false">IF(ISBLANK(Actuals!D86),"",Actuals!D86)</f>
        <v>-475.76</v>
      </c>
      <c r="H70" s="137" t="n">
        <f aca="false">IF(ISBLANK(Actuals!D86),"",'Original Budget'!D86-Actuals!D86)</f>
        <v>0</v>
      </c>
      <c r="I70" s="137" t="n">
        <f aca="false">IFERROR(IF(ISBLANK(Actuals!D86),"",('Original Budget'!D86-Actuals!D86)/ABS('Original Budget'!D86)),"")</f>
        <v>0</v>
      </c>
      <c r="J70" s="136" t="n">
        <f aca="false">'Original Budget'!E86</f>
        <v>-475.76</v>
      </c>
      <c r="K70" s="136" t="n">
        <f aca="false">IF(ISBLANK(Actuals!E86),"",Actuals!E86)</f>
        <v>-475.76</v>
      </c>
      <c r="L70" s="137" t="n">
        <f aca="false">IF(ISBLANK(Actuals!E86),"",'Original Budget'!E86-Actuals!E86)</f>
        <v>0</v>
      </c>
      <c r="M70" s="137" t="n">
        <f aca="false">IFERROR(IF(ISBLANK(Actuals!E86),"",('Original Budget'!E86-Actuals!E86)/ABS('Original Budget'!E86)),"")</f>
        <v>0</v>
      </c>
      <c r="N70" s="136" t="n">
        <f aca="false">'Original Budget'!F86</f>
        <v>-229.166666666667</v>
      </c>
      <c r="O70" s="136" t="n">
        <f aca="false">IF(ISBLANK(Actuals!F86),"",Actuals!F86)</f>
        <v>-475.76</v>
      </c>
      <c r="P70" s="137" t="n">
        <f aca="false">IF(ISBLANK(Actuals!F86),"",'Original Budget'!F86-Actuals!F86)</f>
        <v>246.593333333333</v>
      </c>
      <c r="Q70" s="137" t="n">
        <f aca="false">IFERROR(IF(ISBLANK(Actuals!F86),"",('Original Budget'!F86-Actuals!F86)/ABS('Original Budget'!F86)),"")</f>
        <v>1.07604363636363</v>
      </c>
      <c r="R70" s="136" t="n">
        <f aca="false">'Original Budget'!G86</f>
        <v>-229.166666666667</v>
      </c>
      <c r="S70" s="136" t="n">
        <f aca="false">IF(ISBLANK(Actuals!G86),"",Actuals!G86)</f>
        <v>-475.76</v>
      </c>
      <c r="T70" s="137" t="n">
        <f aca="false">IF(ISBLANK(Actuals!G86),"",'Original Budget'!G86-Actuals!G86)</f>
        <v>246.593333333333</v>
      </c>
      <c r="U70" s="137" t="n">
        <f aca="false">IFERROR(IF(ISBLANK(Actuals!G86),"",('Original Budget'!G86-Actuals!G86)/ABS('Original Budget'!G86)),"")</f>
        <v>1.07604363636363</v>
      </c>
      <c r="V70" s="136" t="n">
        <f aca="false">'Original Budget'!H86</f>
        <v>-229.166666666667</v>
      </c>
      <c r="W70" s="136" t="n">
        <f aca="false">IF(ISBLANK(Actuals!H86),"",Actuals!H86)</f>
        <v>-475.76</v>
      </c>
      <c r="X70" s="137" t="n">
        <f aca="false">IF(ISBLANK(Actuals!H86),"",'Original Budget'!H86-Actuals!H86)</f>
        <v>246.593333333333</v>
      </c>
      <c r="Y70" s="137" t="n">
        <f aca="false">IFERROR(IF(ISBLANK(Actuals!H86),"",('Original Budget'!H86-Actuals!H86)/ABS('Original Budget'!H86)),"")</f>
        <v>1.07604363636363</v>
      </c>
      <c r="Z70" s="136" t="n">
        <f aca="false">'Original Budget'!I86</f>
        <v>-229.166666666667</v>
      </c>
      <c r="AA70" s="136" t="str">
        <f aca="false">IF(ISBLANK(Actuals!I86),"",Actuals!I86)</f>
        <v/>
      </c>
      <c r="AB70" s="137" t="str">
        <f aca="false">IF(ISBLANK(Actuals!I86),"",'Original Budget'!I86-Actuals!I86)</f>
        <v/>
      </c>
      <c r="AC70" s="137" t="str">
        <f aca="false">IFERROR(IF(ISBLANK(Actuals!I86),"",('Original Budget'!I86-Actuals!I86)/ABS('Original Budget'!I86)),"")</f>
        <v/>
      </c>
      <c r="AD70" s="136" t="n">
        <f aca="false">'Original Budget'!J86</f>
        <v>-229.166666666667</v>
      </c>
      <c r="AE70" s="136" t="str">
        <f aca="false">IF(ISBLANK(Actuals!J86),"",Actuals!J86)</f>
        <v/>
      </c>
      <c r="AF70" s="137" t="str">
        <f aca="false">IF(ISBLANK(Actuals!J86),"",'Original Budget'!J86-Actuals!J86)</f>
        <v/>
      </c>
      <c r="AG70" s="137" t="str">
        <f aca="false">IFERROR(IF(ISBLANK(Actuals!J86),"",('Original Budget'!J86-Actuals!J86)/ABS('Original Budget'!J86)),"")</f>
        <v/>
      </c>
      <c r="AH70" s="136" t="n">
        <f aca="false">'Original Budget'!K86</f>
        <v>-229.166666666667</v>
      </c>
      <c r="AI70" s="136" t="str">
        <f aca="false">IF(ISBLANK(Actuals!K86),"",Actuals!K86)</f>
        <v/>
      </c>
      <c r="AJ70" s="137" t="str">
        <f aca="false">IF(ISBLANK(Actuals!K86),"",'Original Budget'!K86-Actuals!K86)</f>
        <v/>
      </c>
      <c r="AK70" s="137" t="str">
        <f aca="false">IFERROR(IF(ISBLANK(Actuals!K86),"",('Original Budget'!K86-Actuals!K86)/ABS('Original Budget'!K86)),"")</f>
        <v/>
      </c>
      <c r="AL70" s="136" t="n">
        <f aca="false">'Original Budget'!L86</f>
        <v>-229.166666666667</v>
      </c>
      <c r="AM70" s="136" t="str">
        <f aca="false">IF(ISBLANK(Actuals!L86),"",Actuals!L86)</f>
        <v/>
      </c>
      <c r="AN70" s="137" t="str">
        <f aca="false">IF(ISBLANK(Actuals!L86),"",'Original Budget'!L86-Actuals!L86)</f>
        <v/>
      </c>
      <c r="AO70" s="137" t="str">
        <f aca="false">IFERROR(IF(ISBLANK(Actuals!L86),"",('Original Budget'!L86-Actuals!L86)/ABS('Original Budget'!L86)),"")</f>
        <v/>
      </c>
      <c r="AP70" s="136" t="n">
        <f aca="false">'Original Budget'!M86</f>
        <v>-229.166666666667</v>
      </c>
      <c r="AQ70" s="136" t="str">
        <f aca="false">IF(ISBLANK(Actuals!M86),"",Actuals!M86)</f>
        <v/>
      </c>
      <c r="AR70" s="137" t="str">
        <f aca="false">IF(ISBLANK(Actuals!M86),"",'Original Budget'!M86-Actuals!M86)</f>
        <v/>
      </c>
      <c r="AS70" s="137" t="str">
        <f aca="false">IFERROR(IF(ISBLANK(Actuals!M86),"",('Original Budget'!M86-Actuals!M86)/ABS('Original Budget'!M86)),"")</f>
        <v/>
      </c>
      <c r="AT70" s="136" t="n">
        <f aca="false">'Original Budget'!N86</f>
        <v>-229.166666666667</v>
      </c>
      <c r="AU70" s="136" t="str">
        <f aca="false">IF(ISBLANK(Actuals!N86),"",Actuals!N86)</f>
        <v/>
      </c>
      <c r="AV70" s="137" t="str">
        <f aca="false">IF(ISBLANK(Actuals!N86),"",'Original Budget'!N86-Actuals!N86)</f>
        <v/>
      </c>
      <c r="AW70" s="137" t="str">
        <f aca="false">IFERROR(IF(ISBLANK(Actuals!N86),"",('Original Budget'!N86-Actuals!N86)/ABS('Original Budget'!N86)),"")</f>
        <v/>
      </c>
      <c r="AX70" s="138" t="n">
        <f aca="false">SUMPRODUCT((Actuals!C86:N86&lt;&gt;"")*('Original Budget'!C86:N86))</f>
        <v>-2114.78</v>
      </c>
      <c r="AY70" s="138" t="n">
        <f aca="false">SUM(Actuals!C86:N86)</f>
        <v>-2854.56</v>
      </c>
      <c r="AZ70" s="139" t="n">
        <f aca="false">AX70-AY70</f>
        <v>739.779999999999</v>
      </c>
    </row>
    <row r="71" customFormat="false" ht="15" hidden="false" customHeight="true" outlineLevel="0" collapsed="false">
      <c r="A71" s="135" t="s">
        <v>65</v>
      </c>
      <c r="B71" s="136" t="n">
        <f aca="false">'Original Budget'!C87</f>
        <v>-2200.12</v>
      </c>
      <c r="C71" s="136" t="n">
        <f aca="false">IF(ISBLANK(Actuals!C87),"",Actuals!C87)</f>
        <v>-2200.12</v>
      </c>
      <c r="D71" s="137" t="n">
        <f aca="false">IF(ISBLANK(Actuals!C87),"",'Original Budget'!C87-Actuals!C87)</f>
        <v>0</v>
      </c>
      <c r="E71" s="137" t="n">
        <f aca="false">IFERROR(IF(ISBLANK(Actuals!C87),"",('Original Budget'!C87-Actuals!C87)/ABS('Original Budget'!C87)),"")</f>
        <v>0</v>
      </c>
      <c r="F71" s="136" t="n">
        <f aca="false">'Original Budget'!D87</f>
        <v>-2200.12</v>
      </c>
      <c r="G71" s="136" t="n">
        <f aca="false">IF(ISBLANK(Actuals!D87),"",Actuals!D87)</f>
        <v>-2200.12</v>
      </c>
      <c r="H71" s="137" t="n">
        <f aca="false">IF(ISBLANK(Actuals!D87),"",'Original Budget'!D87-Actuals!D87)</f>
        <v>0</v>
      </c>
      <c r="I71" s="137" t="n">
        <f aca="false">IFERROR(IF(ISBLANK(Actuals!D87),"",('Original Budget'!D87-Actuals!D87)/ABS('Original Budget'!D87)),"")</f>
        <v>0</v>
      </c>
      <c r="J71" s="136" t="n">
        <f aca="false">'Original Budget'!E87</f>
        <v>-2200.12</v>
      </c>
      <c r="K71" s="136" t="n">
        <f aca="false">IF(ISBLANK(Actuals!E87),"",Actuals!E87)</f>
        <v>-2200.12</v>
      </c>
      <c r="L71" s="137" t="n">
        <f aca="false">IF(ISBLANK(Actuals!E87),"",'Original Budget'!E87-Actuals!E87)</f>
        <v>0</v>
      </c>
      <c r="M71" s="137" t="n">
        <f aca="false">IFERROR(IF(ISBLANK(Actuals!E87),"",('Original Budget'!E87-Actuals!E87)/ABS('Original Budget'!E87)),"")</f>
        <v>0</v>
      </c>
      <c r="N71" s="136" t="n">
        <f aca="false">'Original Budget'!F87</f>
        <v>-57.2916666666667</v>
      </c>
      <c r="O71" s="136" t="n">
        <f aca="false">IF(ISBLANK(Actuals!F87),"",Actuals!F87)</f>
        <v>-2200.12</v>
      </c>
      <c r="P71" s="137" t="n">
        <f aca="false">IF(ISBLANK(Actuals!F87),"",'Original Budget'!F87-Actuals!F87)</f>
        <v>2142.82833333333</v>
      </c>
      <c r="Q71" s="137" t="n">
        <f aca="false">IFERROR(IF(ISBLANK(Actuals!F87),"",('Original Budget'!F87-Actuals!F87)/ABS('Original Budget'!F87)),"")</f>
        <v>37.4020945454545</v>
      </c>
      <c r="R71" s="136" t="n">
        <f aca="false">'Original Budget'!G87</f>
        <v>-57.2916666666667</v>
      </c>
      <c r="S71" s="136" t="n">
        <f aca="false">IF(ISBLANK(Actuals!G87),"",Actuals!G87)</f>
        <v>-2200.12</v>
      </c>
      <c r="T71" s="137" t="n">
        <f aca="false">IF(ISBLANK(Actuals!G87),"",'Original Budget'!G87-Actuals!G87)</f>
        <v>2142.82833333333</v>
      </c>
      <c r="U71" s="137" t="n">
        <f aca="false">IFERROR(IF(ISBLANK(Actuals!G87),"",('Original Budget'!G87-Actuals!G87)/ABS('Original Budget'!G87)),"")</f>
        <v>37.4020945454545</v>
      </c>
      <c r="V71" s="136" t="n">
        <f aca="false">'Original Budget'!H87</f>
        <v>-57.2916666666667</v>
      </c>
      <c r="W71" s="136" t="n">
        <f aca="false">IF(ISBLANK(Actuals!H87),"",Actuals!H87)</f>
        <v>-2200.12</v>
      </c>
      <c r="X71" s="137" t="n">
        <f aca="false">IF(ISBLANK(Actuals!H87),"",'Original Budget'!H87-Actuals!H87)</f>
        <v>2142.82833333333</v>
      </c>
      <c r="Y71" s="137" t="n">
        <f aca="false">IFERROR(IF(ISBLANK(Actuals!H87),"",('Original Budget'!H87-Actuals!H87)/ABS('Original Budget'!H87)),"")</f>
        <v>37.4020945454545</v>
      </c>
      <c r="Z71" s="136" t="n">
        <f aca="false">'Original Budget'!I87</f>
        <v>-57.2916666666667</v>
      </c>
      <c r="AA71" s="136" t="str">
        <f aca="false">IF(ISBLANK(Actuals!I87),"",Actuals!I87)</f>
        <v/>
      </c>
      <c r="AB71" s="137" t="str">
        <f aca="false">IF(ISBLANK(Actuals!I87),"",'Original Budget'!I87-Actuals!I87)</f>
        <v/>
      </c>
      <c r="AC71" s="137" t="str">
        <f aca="false">IFERROR(IF(ISBLANK(Actuals!I87),"",('Original Budget'!I87-Actuals!I87)/ABS('Original Budget'!I87)),"")</f>
        <v/>
      </c>
      <c r="AD71" s="136" t="n">
        <f aca="false">'Original Budget'!J87</f>
        <v>-57.2916666666667</v>
      </c>
      <c r="AE71" s="136" t="str">
        <f aca="false">IF(ISBLANK(Actuals!J87),"",Actuals!J87)</f>
        <v/>
      </c>
      <c r="AF71" s="137" t="str">
        <f aca="false">IF(ISBLANK(Actuals!J87),"",'Original Budget'!J87-Actuals!J87)</f>
        <v/>
      </c>
      <c r="AG71" s="137" t="str">
        <f aca="false">IFERROR(IF(ISBLANK(Actuals!J87),"",('Original Budget'!J87-Actuals!J87)/ABS('Original Budget'!J87)),"")</f>
        <v/>
      </c>
      <c r="AH71" s="136" t="n">
        <f aca="false">'Original Budget'!K87</f>
        <v>-57.2916666666667</v>
      </c>
      <c r="AI71" s="136" t="str">
        <f aca="false">IF(ISBLANK(Actuals!K87),"",Actuals!K87)</f>
        <v/>
      </c>
      <c r="AJ71" s="137" t="str">
        <f aca="false">IF(ISBLANK(Actuals!K87),"",'Original Budget'!K87-Actuals!K87)</f>
        <v/>
      </c>
      <c r="AK71" s="137" t="str">
        <f aca="false">IFERROR(IF(ISBLANK(Actuals!K87),"",('Original Budget'!K87-Actuals!K87)/ABS('Original Budget'!K87)),"")</f>
        <v/>
      </c>
      <c r="AL71" s="136" t="n">
        <f aca="false">'Original Budget'!L87</f>
        <v>-57.2916666666667</v>
      </c>
      <c r="AM71" s="136" t="str">
        <f aca="false">IF(ISBLANK(Actuals!L87),"",Actuals!L87)</f>
        <v/>
      </c>
      <c r="AN71" s="137" t="str">
        <f aca="false">IF(ISBLANK(Actuals!L87),"",'Original Budget'!L87-Actuals!L87)</f>
        <v/>
      </c>
      <c r="AO71" s="137" t="str">
        <f aca="false">IFERROR(IF(ISBLANK(Actuals!L87),"",('Original Budget'!L87-Actuals!L87)/ABS('Original Budget'!L87)),"")</f>
        <v/>
      </c>
      <c r="AP71" s="136" t="n">
        <f aca="false">'Original Budget'!M87</f>
        <v>-57.2916666666667</v>
      </c>
      <c r="AQ71" s="136" t="str">
        <f aca="false">IF(ISBLANK(Actuals!M87),"",Actuals!M87)</f>
        <v/>
      </c>
      <c r="AR71" s="137" t="str">
        <f aca="false">IF(ISBLANK(Actuals!M87),"",'Original Budget'!M87-Actuals!M87)</f>
        <v/>
      </c>
      <c r="AS71" s="137" t="str">
        <f aca="false">IFERROR(IF(ISBLANK(Actuals!M87),"",('Original Budget'!M87-Actuals!M87)/ABS('Original Budget'!M87)),"")</f>
        <v/>
      </c>
      <c r="AT71" s="136" t="n">
        <f aca="false">'Original Budget'!N87</f>
        <v>-57.2916666666667</v>
      </c>
      <c r="AU71" s="136" t="str">
        <f aca="false">IF(ISBLANK(Actuals!N87),"",Actuals!N87)</f>
        <v/>
      </c>
      <c r="AV71" s="137" t="str">
        <f aca="false">IF(ISBLANK(Actuals!N87),"",'Original Budget'!N87-Actuals!N87)</f>
        <v/>
      </c>
      <c r="AW71" s="137" t="str">
        <f aca="false">IFERROR(IF(ISBLANK(Actuals!N87),"",('Original Budget'!N87-Actuals!N87)/ABS('Original Budget'!N87)),"")</f>
        <v/>
      </c>
      <c r="AX71" s="138" t="n">
        <f aca="false">SUMPRODUCT((Actuals!C87:N87&lt;&gt;"")*('Original Budget'!C87:N87))</f>
        <v>-6772.235</v>
      </c>
      <c r="AY71" s="138" t="n">
        <f aca="false">SUM(Actuals!C87:N87)</f>
        <v>-13200.72</v>
      </c>
      <c r="AZ71" s="139" t="n">
        <f aca="false">AX71-AY71</f>
        <v>6428.485</v>
      </c>
    </row>
    <row r="72" customFormat="false" ht="15" hidden="false" customHeight="true" outlineLevel="0" collapsed="false">
      <c r="A72" s="135" t="s">
        <v>68</v>
      </c>
      <c r="B72" s="136" t="n">
        <f aca="false">'Original Budget'!C88</f>
        <v>-8848.65</v>
      </c>
      <c r="C72" s="136" t="n">
        <f aca="false">IF(ISBLANK(Actuals!C88),"",Actuals!C88)</f>
        <v>-8848.65</v>
      </c>
      <c r="D72" s="137" t="n">
        <f aca="false">IF(ISBLANK(Actuals!C88),"",'Original Budget'!C88-Actuals!C88)</f>
        <v>0</v>
      </c>
      <c r="E72" s="137" t="n">
        <f aca="false">IFERROR(IF(ISBLANK(Actuals!C88),"",('Original Budget'!C88-Actuals!C88)/ABS('Original Budget'!C88)),"")</f>
        <v>0</v>
      </c>
      <c r="F72" s="136" t="n">
        <f aca="false">'Original Budget'!D88</f>
        <v>-8817.63</v>
      </c>
      <c r="G72" s="136" t="n">
        <f aca="false">IF(ISBLANK(Actuals!D88),"",Actuals!D88)</f>
        <v>-8817.63</v>
      </c>
      <c r="H72" s="137" t="n">
        <f aca="false">IF(ISBLANK(Actuals!D88),"",'Original Budget'!D88-Actuals!D88)</f>
        <v>0</v>
      </c>
      <c r="I72" s="137" t="n">
        <f aca="false">IFERROR(IF(ISBLANK(Actuals!D88),"",('Original Budget'!D88-Actuals!D88)/ABS('Original Budget'!D88)),"")</f>
        <v>0</v>
      </c>
      <c r="J72" s="136" t="n">
        <f aca="false">'Original Budget'!E88</f>
        <v>-3775.91</v>
      </c>
      <c r="K72" s="136" t="n">
        <f aca="false">IF(ISBLANK(Actuals!E88),"",Actuals!E88)</f>
        <v>-3775.91</v>
      </c>
      <c r="L72" s="137" t="n">
        <f aca="false">IF(ISBLANK(Actuals!E88),"",'Original Budget'!E88-Actuals!E88)</f>
        <v>0</v>
      </c>
      <c r="M72" s="137" t="n">
        <f aca="false">IFERROR(IF(ISBLANK(Actuals!E88),"",('Original Budget'!E88-Actuals!E88)/ABS('Original Budget'!E88)),"")</f>
        <v>0</v>
      </c>
      <c r="N72" s="136" t="n">
        <f aca="false">'Original Budget'!F88</f>
        <v>-8500</v>
      </c>
      <c r="O72" s="136" t="n">
        <f aca="false">IF(ISBLANK(Actuals!F88),"",Actuals!F88)</f>
        <v>-8731.12</v>
      </c>
      <c r="P72" s="137" t="n">
        <f aca="false">IF(ISBLANK(Actuals!F88),"",'Original Budget'!F88-Actuals!F88)</f>
        <v>231.120000000001</v>
      </c>
      <c r="Q72" s="137" t="n">
        <f aca="false">IFERROR(IF(ISBLANK(Actuals!F88),"",('Original Budget'!F88-Actuals!F88)/ABS('Original Budget'!F88)),"")</f>
        <v>0.0271905882352942</v>
      </c>
      <c r="R72" s="136" t="n">
        <f aca="false">'Original Budget'!G88</f>
        <v>-8500</v>
      </c>
      <c r="S72" s="136" t="n">
        <f aca="false">IF(ISBLANK(Actuals!G88),"",Actuals!G88)</f>
        <v>-8739.17</v>
      </c>
      <c r="T72" s="137" t="n">
        <f aca="false">IF(ISBLANK(Actuals!G88),"",'Original Budget'!G88-Actuals!G88)</f>
        <v>239.17</v>
      </c>
      <c r="U72" s="137" t="n">
        <f aca="false">IFERROR(IF(ISBLANK(Actuals!G88),"",('Original Budget'!G88-Actuals!G88)/ABS('Original Budget'!G88)),"")</f>
        <v>0.0281376470588235</v>
      </c>
      <c r="V72" s="136" t="n">
        <f aca="false">'Original Budget'!H88</f>
        <v>-8500</v>
      </c>
      <c r="W72" s="136" t="n">
        <f aca="false">IF(ISBLANK(Actuals!H88),"",Actuals!H88)</f>
        <v>-8771.99</v>
      </c>
      <c r="X72" s="137" t="n">
        <f aca="false">IF(ISBLANK(Actuals!H88),"",'Original Budget'!H88-Actuals!H88)</f>
        <v>271.99</v>
      </c>
      <c r="Y72" s="137" t="n">
        <f aca="false">IFERROR(IF(ISBLANK(Actuals!H88),"",('Original Budget'!H88-Actuals!H88)/ABS('Original Budget'!H88)),"")</f>
        <v>0.0319988235294117</v>
      </c>
      <c r="Z72" s="136" t="n">
        <f aca="false">'Original Budget'!I88</f>
        <v>-8500</v>
      </c>
      <c r="AA72" s="136" t="str">
        <f aca="false">IF(ISBLANK(Actuals!I88),"",Actuals!I88)</f>
        <v/>
      </c>
      <c r="AB72" s="137" t="str">
        <f aca="false">IF(ISBLANK(Actuals!I88),"",'Original Budget'!I88-Actuals!I88)</f>
        <v/>
      </c>
      <c r="AC72" s="137" t="str">
        <f aca="false">IFERROR(IF(ISBLANK(Actuals!I88),"",('Original Budget'!I88-Actuals!I88)/ABS('Original Budget'!I88)),"")</f>
        <v/>
      </c>
      <c r="AD72" s="136" t="n">
        <f aca="false">'Original Budget'!J88</f>
        <v>-8500</v>
      </c>
      <c r="AE72" s="136" t="str">
        <f aca="false">IF(ISBLANK(Actuals!J88),"",Actuals!J88)</f>
        <v/>
      </c>
      <c r="AF72" s="137" t="str">
        <f aca="false">IF(ISBLANK(Actuals!J88),"",'Original Budget'!J88-Actuals!J88)</f>
        <v/>
      </c>
      <c r="AG72" s="137" t="str">
        <f aca="false">IFERROR(IF(ISBLANK(Actuals!J88),"",('Original Budget'!J88-Actuals!J88)/ABS('Original Budget'!J88)),"")</f>
        <v/>
      </c>
      <c r="AH72" s="136" t="n">
        <f aca="false">'Original Budget'!K88</f>
        <v>-8500</v>
      </c>
      <c r="AI72" s="136" t="str">
        <f aca="false">IF(ISBLANK(Actuals!K88),"",Actuals!K88)</f>
        <v/>
      </c>
      <c r="AJ72" s="137" t="str">
        <f aca="false">IF(ISBLANK(Actuals!K88),"",'Original Budget'!K88-Actuals!K88)</f>
        <v/>
      </c>
      <c r="AK72" s="137" t="str">
        <f aca="false">IFERROR(IF(ISBLANK(Actuals!K88),"",('Original Budget'!K88-Actuals!K88)/ABS('Original Budget'!K88)),"")</f>
        <v/>
      </c>
      <c r="AL72" s="136" t="n">
        <f aca="false">'Original Budget'!L88</f>
        <v>-8500</v>
      </c>
      <c r="AM72" s="136" t="str">
        <f aca="false">IF(ISBLANK(Actuals!L88),"",Actuals!L88)</f>
        <v/>
      </c>
      <c r="AN72" s="137" t="str">
        <f aca="false">IF(ISBLANK(Actuals!L88),"",'Original Budget'!L88-Actuals!L88)</f>
        <v/>
      </c>
      <c r="AO72" s="137" t="str">
        <f aca="false">IFERROR(IF(ISBLANK(Actuals!L88),"",('Original Budget'!L88-Actuals!L88)/ABS('Original Budget'!L88)),"")</f>
        <v/>
      </c>
      <c r="AP72" s="136" t="n">
        <f aca="false">'Original Budget'!M88</f>
        <v>-8500</v>
      </c>
      <c r="AQ72" s="136" t="str">
        <f aca="false">IF(ISBLANK(Actuals!M88),"",Actuals!M88)</f>
        <v/>
      </c>
      <c r="AR72" s="137" t="str">
        <f aca="false">IF(ISBLANK(Actuals!M88),"",'Original Budget'!M88-Actuals!M88)</f>
        <v/>
      </c>
      <c r="AS72" s="137" t="str">
        <f aca="false">IFERROR(IF(ISBLANK(Actuals!M88),"",('Original Budget'!M88-Actuals!M88)/ABS('Original Budget'!M88)),"")</f>
        <v/>
      </c>
      <c r="AT72" s="136" t="n">
        <f aca="false">'Original Budget'!N88</f>
        <v>-8500</v>
      </c>
      <c r="AU72" s="136" t="str">
        <f aca="false">IF(ISBLANK(Actuals!N88),"",Actuals!N88)</f>
        <v/>
      </c>
      <c r="AV72" s="137" t="str">
        <f aca="false">IF(ISBLANK(Actuals!N88),"",'Original Budget'!N88-Actuals!N88)</f>
        <v/>
      </c>
      <c r="AW72" s="137" t="str">
        <f aca="false">IFERROR(IF(ISBLANK(Actuals!N88),"",('Original Budget'!N88-Actuals!N88)/ABS('Original Budget'!N88)),"")</f>
        <v/>
      </c>
      <c r="AX72" s="138" t="n">
        <f aca="false">SUMPRODUCT((Actuals!C88:N88&lt;&gt;"")*('Original Budget'!C88:N88))</f>
        <v>-46942.19</v>
      </c>
      <c r="AY72" s="138" t="n">
        <f aca="false">SUM(Actuals!C88:N88)</f>
        <v>-47684.47</v>
      </c>
      <c r="AZ72" s="139" t="n">
        <f aca="false">AX72-AY72</f>
        <v>742.279999999992</v>
      </c>
    </row>
    <row r="73" customFormat="false" ht="15" hidden="false" customHeight="true" outlineLevel="0" collapsed="false">
      <c r="A73" s="135" t="s">
        <v>69</v>
      </c>
      <c r="B73" s="136" t="n">
        <f aca="false">'Original Budget'!C89</f>
        <v>-1722.9</v>
      </c>
      <c r="C73" s="136" t="n">
        <f aca="false">IF(ISBLANK(Actuals!C89),"",Actuals!C89)</f>
        <v>-1722.9</v>
      </c>
      <c r="D73" s="137" t="n">
        <f aca="false">IF(ISBLANK(Actuals!C89),"",'Original Budget'!C89-Actuals!C89)</f>
        <v>0</v>
      </c>
      <c r="E73" s="137" t="n">
        <f aca="false">IFERROR(IF(ISBLANK(Actuals!C89),"",('Original Budget'!C89-Actuals!C89)/ABS('Original Budget'!C89)),"")</f>
        <v>0</v>
      </c>
      <c r="F73" s="136" t="n">
        <f aca="false">'Original Budget'!D89</f>
        <v>0</v>
      </c>
      <c r="G73" s="136" t="n">
        <f aca="false">IF(ISBLANK(Actuals!D89),"",Actuals!D89)</f>
        <v>0</v>
      </c>
      <c r="H73" s="137" t="n">
        <f aca="false">IF(ISBLANK(Actuals!D89),"",'Original Budget'!D89-Actuals!D89)</f>
        <v>0</v>
      </c>
      <c r="I73" s="137" t="str">
        <f aca="false">IFERROR(IF(ISBLANK(Actuals!D89),"",('Original Budget'!D89-Actuals!D89)/ABS('Original Budget'!D89)),"")</f>
        <v/>
      </c>
      <c r="J73" s="136" t="n">
        <f aca="false">'Original Budget'!E89</f>
        <v>-28.51</v>
      </c>
      <c r="K73" s="136" t="n">
        <f aca="false">IF(ISBLANK(Actuals!E89),"",Actuals!E89)</f>
        <v>-28.51</v>
      </c>
      <c r="L73" s="137" t="n">
        <f aca="false">IF(ISBLANK(Actuals!E89),"",'Original Budget'!E89-Actuals!E89)</f>
        <v>0</v>
      </c>
      <c r="M73" s="137" t="n">
        <f aca="false">IFERROR(IF(ISBLANK(Actuals!E89),"",('Original Budget'!E89-Actuals!E89)/ABS('Original Budget'!E89)),"")</f>
        <v>0</v>
      </c>
      <c r="N73" s="136" t="n">
        <f aca="false">'Original Budget'!F89</f>
        <v>-583.8</v>
      </c>
      <c r="O73" s="136" t="n">
        <f aca="false">IF(ISBLANK(Actuals!F89),"",Actuals!F89)</f>
        <v>0</v>
      </c>
      <c r="P73" s="137" t="n">
        <f aca="false">IF(ISBLANK(Actuals!F89),"",'Original Budget'!F89-Actuals!F89)</f>
        <v>-583.8</v>
      </c>
      <c r="Q73" s="137" t="n">
        <f aca="false">IFERROR(IF(ISBLANK(Actuals!F89),"",('Original Budget'!F89-Actuals!F89)/ABS('Original Budget'!F89)),"")</f>
        <v>-1</v>
      </c>
      <c r="R73" s="136" t="n">
        <f aca="false">'Original Budget'!G89</f>
        <v>-583.8</v>
      </c>
      <c r="S73" s="136" t="n">
        <f aca="false">IF(ISBLANK(Actuals!G89),"",Actuals!G89)</f>
        <v>-212.12</v>
      </c>
      <c r="T73" s="137" t="n">
        <f aca="false">IF(ISBLANK(Actuals!G89),"",'Original Budget'!G89-Actuals!G89)</f>
        <v>-371.68</v>
      </c>
      <c r="U73" s="137" t="n">
        <f aca="false">IFERROR(IF(ISBLANK(Actuals!G89),"",('Original Budget'!G89-Actuals!G89)/ABS('Original Budget'!G89)),"")</f>
        <v>-0.636656389174375</v>
      </c>
      <c r="V73" s="136" t="n">
        <f aca="false">'Original Budget'!H89</f>
        <v>-583.8</v>
      </c>
      <c r="W73" s="136" t="n">
        <f aca="false">IF(ISBLANK(Actuals!H89),"",Actuals!H89)</f>
        <v>-83.92</v>
      </c>
      <c r="X73" s="137" t="n">
        <f aca="false">IF(ISBLANK(Actuals!H89),"",'Original Budget'!H89-Actuals!H89)</f>
        <v>-499.88</v>
      </c>
      <c r="Y73" s="137" t="n">
        <f aca="false">IFERROR(IF(ISBLANK(Actuals!H89),"",('Original Budget'!H89-Actuals!H89)/ABS('Original Budget'!H89)),"")</f>
        <v>-0.856252141144227</v>
      </c>
      <c r="Z73" s="136" t="n">
        <f aca="false">'Original Budget'!I89</f>
        <v>-583.8</v>
      </c>
      <c r="AA73" s="136" t="str">
        <f aca="false">IF(ISBLANK(Actuals!I89),"",Actuals!I89)</f>
        <v/>
      </c>
      <c r="AB73" s="137" t="str">
        <f aca="false">IF(ISBLANK(Actuals!I89),"",'Original Budget'!I89-Actuals!I89)</f>
        <v/>
      </c>
      <c r="AC73" s="137" t="str">
        <f aca="false">IFERROR(IF(ISBLANK(Actuals!I89),"",('Original Budget'!I89-Actuals!I89)/ABS('Original Budget'!I89)),"")</f>
        <v/>
      </c>
      <c r="AD73" s="136" t="n">
        <f aca="false">'Original Budget'!J89</f>
        <v>-583.8</v>
      </c>
      <c r="AE73" s="136" t="str">
        <f aca="false">IF(ISBLANK(Actuals!J89),"",Actuals!J89)</f>
        <v/>
      </c>
      <c r="AF73" s="137" t="str">
        <f aca="false">IF(ISBLANK(Actuals!J89),"",'Original Budget'!J89-Actuals!J89)</f>
        <v/>
      </c>
      <c r="AG73" s="137" t="str">
        <f aca="false">IFERROR(IF(ISBLANK(Actuals!J89),"",('Original Budget'!J89-Actuals!J89)/ABS('Original Budget'!J89)),"")</f>
        <v/>
      </c>
      <c r="AH73" s="136" t="n">
        <f aca="false">'Original Budget'!K89</f>
        <v>-583.8</v>
      </c>
      <c r="AI73" s="136" t="str">
        <f aca="false">IF(ISBLANK(Actuals!K89),"",Actuals!K89)</f>
        <v/>
      </c>
      <c r="AJ73" s="137" t="str">
        <f aca="false">IF(ISBLANK(Actuals!K89),"",'Original Budget'!K89-Actuals!K89)</f>
        <v/>
      </c>
      <c r="AK73" s="137" t="str">
        <f aca="false">IFERROR(IF(ISBLANK(Actuals!K89),"",('Original Budget'!K89-Actuals!K89)/ABS('Original Budget'!K89)),"")</f>
        <v/>
      </c>
      <c r="AL73" s="136" t="n">
        <f aca="false">'Original Budget'!L89</f>
        <v>-583.8</v>
      </c>
      <c r="AM73" s="136" t="str">
        <f aca="false">IF(ISBLANK(Actuals!L89),"",Actuals!L89)</f>
        <v/>
      </c>
      <c r="AN73" s="137" t="str">
        <f aca="false">IF(ISBLANK(Actuals!L89),"",'Original Budget'!L89-Actuals!L89)</f>
        <v/>
      </c>
      <c r="AO73" s="137" t="str">
        <f aca="false">IFERROR(IF(ISBLANK(Actuals!L89),"",('Original Budget'!L89-Actuals!L89)/ABS('Original Budget'!L89)),"")</f>
        <v/>
      </c>
      <c r="AP73" s="136" t="n">
        <f aca="false">'Original Budget'!M89</f>
        <v>-583.8</v>
      </c>
      <c r="AQ73" s="136" t="str">
        <f aca="false">IF(ISBLANK(Actuals!M89),"",Actuals!M89)</f>
        <v/>
      </c>
      <c r="AR73" s="137" t="str">
        <f aca="false">IF(ISBLANK(Actuals!M89),"",'Original Budget'!M89-Actuals!M89)</f>
        <v/>
      </c>
      <c r="AS73" s="137" t="str">
        <f aca="false">IFERROR(IF(ISBLANK(Actuals!M89),"",('Original Budget'!M89-Actuals!M89)/ABS('Original Budget'!M89)),"")</f>
        <v/>
      </c>
      <c r="AT73" s="136" t="n">
        <f aca="false">'Original Budget'!N89</f>
        <v>-583.8</v>
      </c>
      <c r="AU73" s="136" t="str">
        <f aca="false">IF(ISBLANK(Actuals!N89),"",Actuals!N89)</f>
        <v/>
      </c>
      <c r="AV73" s="137" t="str">
        <f aca="false">IF(ISBLANK(Actuals!N89),"",'Original Budget'!N89-Actuals!N89)</f>
        <v/>
      </c>
      <c r="AW73" s="137" t="str">
        <f aca="false">IFERROR(IF(ISBLANK(Actuals!N89),"",('Original Budget'!N89-Actuals!N89)/ABS('Original Budget'!N89)),"")</f>
        <v/>
      </c>
      <c r="AX73" s="138" t="n">
        <f aca="false">SUMPRODUCT((Actuals!C89:N89&lt;&gt;"")*('Original Budget'!C89:N89))</f>
        <v>-3502.81</v>
      </c>
      <c r="AY73" s="138" t="n">
        <f aca="false">SUM(Actuals!C89:N89)</f>
        <v>-2047.45</v>
      </c>
      <c r="AZ73" s="139" t="n">
        <f aca="false">AX73-AY73</f>
        <v>-1455.36</v>
      </c>
    </row>
    <row r="74" customFormat="false" ht="15" hidden="false" customHeight="true" outlineLevel="0" collapsed="false">
      <c r="A74" s="135" t="s">
        <v>72</v>
      </c>
      <c r="B74" s="136" t="n">
        <f aca="false">'Original Budget'!C90</f>
        <v>-246.85</v>
      </c>
      <c r="C74" s="136" t="n">
        <f aca="false">IF(ISBLANK(Actuals!C90),"",Actuals!C90)</f>
        <v>-246.85</v>
      </c>
      <c r="D74" s="137" t="n">
        <f aca="false">IF(ISBLANK(Actuals!C90),"",'Original Budget'!C90-Actuals!C90)</f>
        <v>0</v>
      </c>
      <c r="E74" s="137" t="n">
        <f aca="false">IFERROR(IF(ISBLANK(Actuals!C90),"",('Original Budget'!C90-Actuals!C90)/ABS('Original Budget'!C90)),"")</f>
        <v>0</v>
      </c>
      <c r="F74" s="136" t="n">
        <f aca="false">'Original Budget'!D90</f>
        <v>0</v>
      </c>
      <c r="G74" s="136" t="n">
        <f aca="false">IF(ISBLANK(Actuals!D90),"",Actuals!D90)</f>
        <v>0</v>
      </c>
      <c r="H74" s="137" t="n">
        <f aca="false">IF(ISBLANK(Actuals!D90),"",'Original Budget'!D90-Actuals!D90)</f>
        <v>0</v>
      </c>
      <c r="I74" s="137" t="str">
        <f aca="false">IFERROR(IF(ISBLANK(Actuals!D90),"",('Original Budget'!D90-Actuals!D90)/ABS('Original Budget'!D90)),"")</f>
        <v/>
      </c>
      <c r="J74" s="136" t="n">
        <f aca="false">'Original Budget'!E90</f>
        <v>-4246.73</v>
      </c>
      <c r="K74" s="136" t="n">
        <f aca="false">IF(ISBLANK(Actuals!E90),"",Actuals!E90)</f>
        <v>-4246.73</v>
      </c>
      <c r="L74" s="137" t="n">
        <f aca="false">IF(ISBLANK(Actuals!E90),"",'Original Budget'!E90-Actuals!E90)</f>
        <v>0</v>
      </c>
      <c r="M74" s="137" t="n">
        <f aca="false">IFERROR(IF(ISBLANK(Actuals!E90),"",('Original Budget'!E90-Actuals!E90)/ABS('Original Budget'!E90)),"")</f>
        <v>0</v>
      </c>
      <c r="N74" s="136" t="n">
        <f aca="false">'Original Budget'!F90</f>
        <v>-1497.86</v>
      </c>
      <c r="O74" s="136" t="n">
        <f aca="false">IF(ISBLANK(Actuals!F90),"",Actuals!F90)</f>
        <v>-3123.87</v>
      </c>
      <c r="P74" s="137" t="n">
        <f aca="false">IF(ISBLANK(Actuals!F90),"",'Original Budget'!F90-Actuals!F90)</f>
        <v>1626.01</v>
      </c>
      <c r="Q74" s="137" t="n">
        <f aca="false">IFERROR(IF(ISBLANK(Actuals!F90),"",('Original Budget'!F90-Actuals!F90)/ABS('Original Budget'!F90)),"")</f>
        <v>1.08555539235977</v>
      </c>
      <c r="R74" s="136" t="n">
        <f aca="false">'Original Budget'!G90</f>
        <v>-1497.86</v>
      </c>
      <c r="S74" s="136" t="n">
        <f aca="false">IF(ISBLANK(Actuals!G90),"",Actuals!G90)</f>
        <v>-3184.88</v>
      </c>
      <c r="T74" s="137" t="n">
        <f aca="false">IF(ISBLANK(Actuals!G90),"",'Original Budget'!G90-Actuals!G90)</f>
        <v>1687.02</v>
      </c>
      <c r="U74" s="137" t="n">
        <f aca="false">IFERROR(IF(ISBLANK(Actuals!G90),"",('Original Budget'!G90-Actuals!G90)/ABS('Original Budget'!G90)),"")</f>
        <v>1.12628683588586</v>
      </c>
      <c r="V74" s="136" t="n">
        <f aca="false">'Original Budget'!H90</f>
        <v>-1497.86</v>
      </c>
      <c r="W74" s="136" t="n">
        <f aca="false">IF(ISBLANK(Actuals!H90),"",Actuals!H90)</f>
        <v>-4015.94</v>
      </c>
      <c r="X74" s="137" t="n">
        <f aca="false">IF(ISBLANK(Actuals!H90),"",'Original Budget'!H90-Actuals!H90)</f>
        <v>2518.08</v>
      </c>
      <c r="Y74" s="137" t="n">
        <f aca="false">IFERROR(IF(ISBLANK(Actuals!H90),"",('Original Budget'!H90-Actuals!H90)/ABS('Original Budget'!H90)),"")</f>
        <v>1.68111839557769</v>
      </c>
      <c r="Z74" s="136" t="n">
        <f aca="false">'Original Budget'!I90</f>
        <v>-1497.86</v>
      </c>
      <c r="AA74" s="136" t="str">
        <f aca="false">IF(ISBLANK(Actuals!I90),"",Actuals!I90)</f>
        <v/>
      </c>
      <c r="AB74" s="137" t="str">
        <f aca="false">IF(ISBLANK(Actuals!I90),"",'Original Budget'!I90-Actuals!I90)</f>
        <v/>
      </c>
      <c r="AC74" s="137" t="str">
        <f aca="false">IFERROR(IF(ISBLANK(Actuals!I90),"",('Original Budget'!I90-Actuals!I90)/ABS('Original Budget'!I90)),"")</f>
        <v/>
      </c>
      <c r="AD74" s="136" t="n">
        <f aca="false">'Original Budget'!J90</f>
        <v>-1497.86</v>
      </c>
      <c r="AE74" s="136" t="str">
        <f aca="false">IF(ISBLANK(Actuals!J90),"",Actuals!J90)</f>
        <v/>
      </c>
      <c r="AF74" s="137" t="str">
        <f aca="false">IF(ISBLANK(Actuals!J90),"",'Original Budget'!J90-Actuals!J90)</f>
        <v/>
      </c>
      <c r="AG74" s="137" t="str">
        <f aca="false">IFERROR(IF(ISBLANK(Actuals!J90),"",('Original Budget'!J90-Actuals!J90)/ABS('Original Budget'!J90)),"")</f>
        <v/>
      </c>
      <c r="AH74" s="136" t="n">
        <f aca="false">'Original Budget'!K90</f>
        <v>-1497.86</v>
      </c>
      <c r="AI74" s="136" t="str">
        <f aca="false">IF(ISBLANK(Actuals!K90),"",Actuals!K90)</f>
        <v/>
      </c>
      <c r="AJ74" s="137" t="str">
        <f aca="false">IF(ISBLANK(Actuals!K90),"",'Original Budget'!K90-Actuals!K90)</f>
        <v/>
      </c>
      <c r="AK74" s="137" t="str">
        <f aca="false">IFERROR(IF(ISBLANK(Actuals!K90),"",('Original Budget'!K90-Actuals!K90)/ABS('Original Budget'!K90)),"")</f>
        <v/>
      </c>
      <c r="AL74" s="136" t="n">
        <f aca="false">'Original Budget'!L90</f>
        <v>-1497.86</v>
      </c>
      <c r="AM74" s="136" t="str">
        <f aca="false">IF(ISBLANK(Actuals!L90),"",Actuals!L90)</f>
        <v/>
      </c>
      <c r="AN74" s="137" t="str">
        <f aca="false">IF(ISBLANK(Actuals!L90),"",'Original Budget'!L90-Actuals!L90)</f>
        <v/>
      </c>
      <c r="AO74" s="137" t="str">
        <f aca="false">IFERROR(IF(ISBLANK(Actuals!L90),"",('Original Budget'!L90-Actuals!L90)/ABS('Original Budget'!L90)),"")</f>
        <v/>
      </c>
      <c r="AP74" s="136" t="n">
        <f aca="false">'Original Budget'!M90</f>
        <v>-1497.86</v>
      </c>
      <c r="AQ74" s="136" t="str">
        <f aca="false">IF(ISBLANK(Actuals!M90),"",Actuals!M90)</f>
        <v/>
      </c>
      <c r="AR74" s="137" t="str">
        <f aca="false">IF(ISBLANK(Actuals!M90),"",'Original Budget'!M90-Actuals!M90)</f>
        <v/>
      </c>
      <c r="AS74" s="137" t="str">
        <f aca="false">IFERROR(IF(ISBLANK(Actuals!M90),"",('Original Budget'!M90-Actuals!M90)/ABS('Original Budget'!M90)),"")</f>
        <v/>
      </c>
      <c r="AT74" s="136" t="n">
        <f aca="false">'Original Budget'!N90</f>
        <v>-1497.86</v>
      </c>
      <c r="AU74" s="136" t="str">
        <f aca="false">IF(ISBLANK(Actuals!N90),"",Actuals!N90)</f>
        <v/>
      </c>
      <c r="AV74" s="137" t="str">
        <f aca="false">IF(ISBLANK(Actuals!N90),"",'Original Budget'!N90-Actuals!N90)</f>
        <v/>
      </c>
      <c r="AW74" s="137" t="str">
        <f aca="false">IFERROR(IF(ISBLANK(Actuals!N90),"",('Original Budget'!N90-Actuals!N90)/ABS('Original Budget'!N90)),"")</f>
        <v/>
      </c>
      <c r="AX74" s="138" t="n">
        <f aca="false">SUMPRODUCT((Actuals!C90:N90&lt;&gt;"")*('Original Budget'!C90:N90))</f>
        <v>-8987.16</v>
      </c>
      <c r="AY74" s="138" t="n">
        <f aca="false">SUM(Actuals!C90:N90)</f>
        <v>-14818.27</v>
      </c>
      <c r="AZ74" s="139" t="n">
        <f aca="false">AX74-AY74</f>
        <v>5831.11</v>
      </c>
    </row>
    <row r="75" customFormat="false" ht="15" hidden="false" customHeight="true" outlineLevel="0" collapsed="false">
      <c r="A75" s="135" t="s">
        <v>118</v>
      </c>
      <c r="B75" s="136" t="n">
        <f aca="false">'Original Budget'!C91</f>
        <v>0</v>
      </c>
      <c r="C75" s="136" t="n">
        <f aca="false">IF(ISBLANK(Actuals!C91),"",Actuals!C91)</f>
        <v>0</v>
      </c>
      <c r="D75" s="137" t="n">
        <f aca="false">IF(ISBLANK(Actuals!C91),"",'Original Budget'!C91-Actuals!C91)</f>
        <v>0</v>
      </c>
      <c r="E75" s="137" t="str">
        <f aca="false">IFERROR(IF(ISBLANK(Actuals!C91),"",('Original Budget'!C91-Actuals!C91)/ABS('Original Budget'!C91)),"")</f>
        <v/>
      </c>
      <c r="F75" s="136" t="n">
        <f aca="false">'Original Budget'!D91</f>
        <v>0</v>
      </c>
      <c r="G75" s="136" t="n">
        <f aca="false">IF(ISBLANK(Actuals!D91),"",Actuals!D91)</f>
        <v>0</v>
      </c>
      <c r="H75" s="137" t="n">
        <f aca="false">IF(ISBLANK(Actuals!D91),"",'Original Budget'!D91-Actuals!D91)</f>
        <v>0</v>
      </c>
      <c r="I75" s="137" t="str">
        <f aca="false">IFERROR(IF(ISBLANK(Actuals!D91),"",('Original Budget'!D91-Actuals!D91)/ABS('Original Budget'!D91)),"")</f>
        <v/>
      </c>
      <c r="J75" s="136" t="n">
        <f aca="false">'Original Budget'!E91</f>
        <v>-870</v>
      </c>
      <c r="K75" s="136" t="n">
        <f aca="false">IF(ISBLANK(Actuals!E91),"",Actuals!E91)</f>
        <v>-870</v>
      </c>
      <c r="L75" s="137" t="n">
        <f aca="false">IF(ISBLANK(Actuals!E91),"",'Original Budget'!E91-Actuals!E91)</f>
        <v>0</v>
      </c>
      <c r="M75" s="137" t="n">
        <f aca="false">IFERROR(IF(ISBLANK(Actuals!E91),"",('Original Budget'!E91-Actuals!E91)/ABS('Original Budget'!E91)),"")</f>
        <v>0</v>
      </c>
      <c r="N75" s="136" t="n">
        <f aca="false">'Original Budget'!F91</f>
        <v>-290</v>
      </c>
      <c r="O75" s="136" t="n">
        <f aca="false">IF(ISBLANK(Actuals!F91),"",Actuals!F91)</f>
        <v>0</v>
      </c>
      <c r="P75" s="137" t="n">
        <f aca="false">IF(ISBLANK(Actuals!F91),"",'Original Budget'!F91-Actuals!F91)</f>
        <v>-290</v>
      </c>
      <c r="Q75" s="137" t="n">
        <f aca="false">IFERROR(IF(ISBLANK(Actuals!F91),"",('Original Budget'!F91-Actuals!F91)/ABS('Original Budget'!F91)),"")</f>
        <v>-1</v>
      </c>
      <c r="R75" s="136" t="n">
        <f aca="false">'Original Budget'!G91</f>
        <v>-290</v>
      </c>
      <c r="S75" s="136" t="n">
        <f aca="false">IF(ISBLANK(Actuals!G91),"",Actuals!G91)</f>
        <v>0</v>
      </c>
      <c r="T75" s="137" t="n">
        <f aca="false">IF(ISBLANK(Actuals!G91),"",'Original Budget'!G91-Actuals!G91)</f>
        <v>-290</v>
      </c>
      <c r="U75" s="137" t="n">
        <f aca="false">IFERROR(IF(ISBLANK(Actuals!G91),"",('Original Budget'!G91-Actuals!G91)/ABS('Original Budget'!G91)),"")</f>
        <v>-1</v>
      </c>
      <c r="V75" s="136" t="n">
        <f aca="false">'Original Budget'!H91</f>
        <v>-290</v>
      </c>
      <c r="W75" s="136" t="n">
        <f aca="false">IF(ISBLANK(Actuals!H91),"",Actuals!H91)</f>
        <v>0</v>
      </c>
      <c r="X75" s="137" t="n">
        <f aca="false">IF(ISBLANK(Actuals!H91),"",'Original Budget'!H91-Actuals!H91)</f>
        <v>-290</v>
      </c>
      <c r="Y75" s="137" t="n">
        <f aca="false">IFERROR(IF(ISBLANK(Actuals!H91),"",('Original Budget'!H91-Actuals!H91)/ABS('Original Budget'!H91)),"")</f>
        <v>-1</v>
      </c>
      <c r="Z75" s="136" t="n">
        <f aca="false">'Original Budget'!I91</f>
        <v>-290</v>
      </c>
      <c r="AA75" s="136" t="str">
        <f aca="false">IF(ISBLANK(Actuals!I91),"",Actuals!I91)</f>
        <v/>
      </c>
      <c r="AB75" s="137" t="str">
        <f aca="false">IF(ISBLANK(Actuals!I91),"",'Original Budget'!I91-Actuals!I91)</f>
        <v/>
      </c>
      <c r="AC75" s="137" t="str">
        <f aca="false">IFERROR(IF(ISBLANK(Actuals!I91),"",('Original Budget'!I91-Actuals!I91)/ABS('Original Budget'!I91)),"")</f>
        <v/>
      </c>
      <c r="AD75" s="136" t="n">
        <f aca="false">'Original Budget'!J91</f>
        <v>-290</v>
      </c>
      <c r="AE75" s="136" t="str">
        <f aca="false">IF(ISBLANK(Actuals!J91),"",Actuals!J91)</f>
        <v/>
      </c>
      <c r="AF75" s="137" t="str">
        <f aca="false">IF(ISBLANK(Actuals!J91),"",'Original Budget'!J91-Actuals!J91)</f>
        <v/>
      </c>
      <c r="AG75" s="137" t="str">
        <f aca="false">IFERROR(IF(ISBLANK(Actuals!J91),"",('Original Budget'!J91-Actuals!J91)/ABS('Original Budget'!J91)),"")</f>
        <v/>
      </c>
      <c r="AH75" s="136" t="n">
        <f aca="false">'Original Budget'!K91</f>
        <v>-290</v>
      </c>
      <c r="AI75" s="136" t="str">
        <f aca="false">IF(ISBLANK(Actuals!K91),"",Actuals!K91)</f>
        <v/>
      </c>
      <c r="AJ75" s="137" t="str">
        <f aca="false">IF(ISBLANK(Actuals!K91),"",'Original Budget'!K91-Actuals!K91)</f>
        <v/>
      </c>
      <c r="AK75" s="137" t="str">
        <f aca="false">IFERROR(IF(ISBLANK(Actuals!K91),"",('Original Budget'!K91-Actuals!K91)/ABS('Original Budget'!K91)),"")</f>
        <v/>
      </c>
      <c r="AL75" s="136" t="n">
        <f aca="false">'Original Budget'!L91</f>
        <v>-290</v>
      </c>
      <c r="AM75" s="136" t="str">
        <f aca="false">IF(ISBLANK(Actuals!L91),"",Actuals!L91)</f>
        <v/>
      </c>
      <c r="AN75" s="137" t="str">
        <f aca="false">IF(ISBLANK(Actuals!L91),"",'Original Budget'!L91-Actuals!L91)</f>
        <v/>
      </c>
      <c r="AO75" s="137" t="str">
        <f aca="false">IFERROR(IF(ISBLANK(Actuals!L91),"",('Original Budget'!L91-Actuals!L91)/ABS('Original Budget'!L91)),"")</f>
        <v/>
      </c>
      <c r="AP75" s="136" t="n">
        <f aca="false">'Original Budget'!M91</f>
        <v>-290</v>
      </c>
      <c r="AQ75" s="136" t="str">
        <f aca="false">IF(ISBLANK(Actuals!M91),"",Actuals!M91)</f>
        <v/>
      </c>
      <c r="AR75" s="137" t="str">
        <f aca="false">IF(ISBLANK(Actuals!M91),"",'Original Budget'!M91-Actuals!M91)</f>
        <v/>
      </c>
      <c r="AS75" s="137" t="str">
        <f aca="false">IFERROR(IF(ISBLANK(Actuals!M91),"",('Original Budget'!M91-Actuals!M91)/ABS('Original Budget'!M91)),"")</f>
        <v/>
      </c>
      <c r="AT75" s="136" t="n">
        <f aca="false">'Original Budget'!N91</f>
        <v>-290</v>
      </c>
      <c r="AU75" s="136" t="str">
        <f aca="false">IF(ISBLANK(Actuals!N91),"",Actuals!N91)</f>
        <v/>
      </c>
      <c r="AV75" s="137" t="str">
        <f aca="false">IF(ISBLANK(Actuals!N91),"",'Original Budget'!N91-Actuals!N91)</f>
        <v/>
      </c>
      <c r="AW75" s="137" t="str">
        <f aca="false">IFERROR(IF(ISBLANK(Actuals!N91),"",('Original Budget'!N91-Actuals!N91)/ABS('Original Budget'!N91)),"")</f>
        <v/>
      </c>
      <c r="AX75" s="138" t="n">
        <f aca="false">SUMPRODUCT((Actuals!C91:N91&lt;&gt;"")*('Original Budget'!C91:N91))</f>
        <v>-1740</v>
      </c>
      <c r="AY75" s="138" t="n">
        <f aca="false">SUM(Actuals!C91:N91)</f>
        <v>-870</v>
      </c>
      <c r="AZ75" s="139" t="n">
        <f aca="false">AX75-AY75</f>
        <v>-870</v>
      </c>
    </row>
    <row r="76" customFormat="false" ht="15" hidden="false" customHeight="true" outlineLevel="0" collapsed="false">
      <c r="A76" s="135" t="s">
        <v>119</v>
      </c>
      <c r="B76" s="136" t="n">
        <f aca="false">'Original Budget'!C92</f>
        <v>-245</v>
      </c>
      <c r="C76" s="136" t="n">
        <f aca="false">IF(ISBLANK(Actuals!C92),"",Actuals!C92)</f>
        <v>-245</v>
      </c>
      <c r="D76" s="137" t="n">
        <f aca="false">IF(ISBLANK(Actuals!C92),"",'Original Budget'!C92-Actuals!C92)</f>
        <v>0</v>
      </c>
      <c r="E76" s="137" t="n">
        <f aca="false">IFERROR(IF(ISBLANK(Actuals!C92),"",('Original Budget'!C92-Actuals!C92)/ABS('Original Budget'!C92)),"")</f>
        <v>0</v>
      </c>
      <c r="F76" s="136" t="n">
        <f aca="false">'Original Budget'!D92</f>
        <v>-245</v>
      </c>
      <c r="G76" s="136" t="n">
        <f aca="false">IF(ISBLANK(Actuals!D92),"",Actuals!D92)</f>
        <v>-245</v>
      </c>
      <c r="H76" s="137" t="n">
        <f aca="false">IF(ISBLANK(Actuals!D92),"",'Original Budget'!D92-Actuals!D92)</f>
        <v>0</v>
      </c>
      <c r="I76" s="137" t="n">
        <f aca="false">IFERROR(IF(ISBLANK(Actuals!D92),"",('Original Budget'!D92-Actuals!D92)/ABS('Original Budget'!D92)),"")</f>
        <v>0</v>
      </c>
      <c r="J76" s="136" t="n">
        <f aca="false">'Original Budget'!E92</f>
        <v>-245</v>
      </c>
      <c r="K76" s="136" t="n">
        <f aca="false">IF(ISBLANK(Actuals!E92),"",Actuals!E92)</f>
        <v>-245</v>
      </c>
      <c r="L76" s="137" t="n">
        <f aca="false">IF(ISBLANK(Actuals!E92),"",'Original Budget'!E92-Actuals!E92)</f>
        <v>0</v>
      </c>
      <c r="M76" s="137" t="n">
        <f aca="false">IFERROR(IF(ISBLANK(Actuals!E92),"",('Original Budget'!E92-Actuals!E92)/ABS('Original Budget'!E92)),"")</f>
        <v>0</v>
      </c>
      <c r="N76" s="136" t="n">
        <f aca="false">'Original Budget'!F92</f>
        <v>-245</v>
      </c>
      <c r="O76" s="136" t="n">
        <f aca="false">IF(ISBLANK(Actuals!F92),"",Actuals!F92)</f>
        <v>-245</v>
      </c>
      <c r="P76" s="137" t="n">
        <f aca="false">IF(ISBLANK(Actuals!F92),"",'Original Budget'!F92-Actuals!F92)</f>
        <v>0</v>
      </c>
      <c r="Q76" s="137" t="n">
        <f aca="false">IFERROR(IF(ISBLANK(Actuals!F92),"",('Original Budget'!F92-Actuals!F92)/ABS('Original Budget'!F92)),"")</f>
        <v>0</v>
      </c>
      <c r="R76" s="136" t="n">
        <f aca="false">'Original Budget'!G92</f>
        <v>-245</v>
      </c>
      <c r="S76" s="136" t="n">
        <f aca="false">IF(ISBLANK(Actuals!G92),"",Actuals!G92)</f>
        <v>-245</v>
      </c>
      <c r="T76" s="137" t="n">
        <f aca="false">IF(ISBLANK(Actuals!G92),"",'Original Budget'!G92-Actuals!G92)</f>
        <v>0</v>
      </c>
      <c r="U76" s="137" t="n">
        <f aca="false">IFERROR(IF(ISBLANK(Actuals!G92),"",('Original Budget'!G92-Actuals!G92)/ABS('Original Budget'!G92)),"")</f>
        <v>0</v>
      </c>
      <c r="V76" s="136" t="n">
        <f aca="false">'Original Budget'!H92</f>
        <v>-245</v>
      </c>
      <c r="W76" s="136" t="n">
        <f aca="false">IF(ISBLANK(Actuals!H92),"",Actuals!H92)</f>
        <v>-245</v>
      </c>
      <c r="X76" s="137" t="n">
        <f aca="false">IF(ISBLANK(Actuals!H92),"",'Original Budget'!H92-Actuals!H92)</f>
        <v>0</v>
      </c>
      <c r="Y76" s="137" t="n">
        <f aca="false">IFERROR(IF(ISBLANK(Actuals!H92),"",('Original Budget'!H92-Actuals!H92)/ABS('Original Budget'!H92)),"")</f>
        <v>0</v>
      </c>
      <c r="Z76" s="136" t="n">
        <f aca="false">'Original Budget'!I92</f>
        <v>-245</v>
      </c>
      <c r="AA76" s="136" t="str">
        <f aca="false">IF(ISBLANK(Actuals!I92),"",Actuals!I92)</f>
        <v/>
      </c>
      <c r="AB76" s="137" t="str">
        <f aca="false">IF(ISBLANK(Actuals!I92),"",'Original Budget'!I92-Actuals!I92)</f>
        <v/>
      </c>
      <c r="AC76" s="137" t="str">
        <f aca="false">IFERROR(IF(ISBLANK(Actuals!I92),"",('Original Budget'!I92-Actuals!I92)/ABS('Original Budget'!I92)),"")</f>
        <v/>
      </c>
      <c r="AD76" s="136" t="n">
        <f aca="false">'Original Budget'!J92</f>
        <v>-245</v>
      </c>
      <c r="AE76" s="136" t="str">
        <f aca="false">IF(ISBLANK(Actuals!J92),"",Actuals!J92)</f>
        <v/>
      </c>
      <c r="AF76" s="137" t="str">
        <f aca="false">IF(ISBLANK(Actuals!J92),"",'Original Budget'!J92-Actuals!J92)</f>
        <v/>
      </c>
      <c r="AG76" s="137" t="str">
        <f aca="false">IFERROR(IF(ISBLANK(Actuals!J92),"",('Original Budget'!J92-Actuals!J92)/ABS('Original Budget'!J92)),"")</f>
        <v/>
      </c>
      <c r="AH76" s="136" t="n">
        <f aca="false">'Original Budget'!K92</f>
        <v>-245</v>
      </c>
      <c r="AI76" s="136" t="str">
        <f aca="false">IF(ISBLANK(Actuals!K92),"",Actuals!K92)</f>
        <v/>
      </c>
      <c r="AJ76" s="137" t="str">
        <f aca="false">IF(ISBLANK(Actuals!K92),"",'Original Budget'!K92-Actuals!K92)</f>
        <v/>
      </c>
      <c r="AK76" s="137" t="str">
        <f aca="false">IFERROR(IF(ISBLANK(Actuals!K92),"",('Original Budget'!K92-Actuals!K92)/ABS('Original Budget'!K92)),"")</f>
        <v/>
      </c>
      <c r="AL76" s="136" t="n">
        <f aca="false">'Original Budget'!L92</f>
        <v>-245</v>
      </c>
      <c r="AM76" s="136" t="str">
        <f aca="false">IF(ISBLANK(Actuals!L92),"",Actuals!L92)</f>
        <v/>
      </c>
      <c r="AN76" s="137" t="str">
        <f aca="false">IF(ISBLANK(Actuals!L92),"",'Original Budget'!L92-Actuals!L92)</f>
        <v/>
      </c>
      <c r="AO76" s="137" t="str">
        <f aca="false">IFERROR(IF(ISBLANK(Actuals!L92),"",('Original Budget'!L92-Actuals!L92)/ABS('Original Budget'!L92)),"")</f>
        <v/>
      </c>
      <c r="AP76" s="136" t="n">
        <f aca="false">'Original Budget'!M92</f>
        <v>-245</v>
      </c>
      <c r="AQ76" s="136" t="str">
        <f aca="false">IF(ISBLANK(Actuals!M92),"",Actuals!M92)</f>
        <v/>
      </c>
      <c r="AR76" s="137" t="str">
        <f aca="false">IF(ISBLANK(Actuals!M92),"",'Original Budget'!M92-Actuals!M92)</f>
        <v/>
      </c>
      <c r="AS76" s="137" t="str">
        <f aca="false">IFERROR(IF(ISBLANK(Actuals!M92),"",('Original Budget'!M92-Actuals!M92)/ABS('Original Budget'!M92)),"")</f>
        <v/>
      </c>
      <c r="AT76" s="136" t="n">
        <f aca="false">'Original Budget'!N92</f>
        <v>-245</v>
      </c>
      <c r="AU76" s="136" t="str">
        <f aca="false">IF(ISBLANK(Actuals!N92),"",Actuals!N92)</f>
        <v/>
      </c>
      <c r="AV76" s="137" t="str">
        <f aca="false">IF(ISBLANK(Actuals!N92),"",'Original Budget'!N92-Actuals!N92)</f>
        <v/>
      </c>
      <c r="AW76" s="137" t="str">
        <f aca="false">IFERROR(IF(ISBLANK(Actuals!N92),"",('Original Budget'!N92-Actuals!N92)/ABS('Original Budget'!N92)),"")</f>
        <v/>
      </c>
      <c r="AX76" s="138" t="n">
        <f aca="false">SUMPRODUCT((Actuals!C92:N92&lt;&gt;"")*('Original Budget'!C92:N92))</f>
        <v>-1470</v>
      </c>
      <c r="AY76" s="138" t="n">
        <f aca="false">SUM(Actuals!C92:N92)</f>
        <v>-1470</v>
      </c>
      <c r="AZ76" s="139" t="n">
        <f aca="false">AX76-AY76</f>
        <v>0</v>
      </c>
    </row>
    <row r="77" customFormat="false" ht="15" hidden="false" customHeight="true" outlineLevel="0" collapsed="false">
      <c r="A77" s="135" t="s">
        <v>120</v>
      </c>
      <c r="B77" s="136" t="n">
        <f aca="false">'Original Budget'!C93</f>
        <v>-986.57</v>
      </c>
      <c r="C77" s="136" t="n">
        <f aca="false">IF(ISBLANK(Actuals!C93),"",Actuals!C93)</f>
        <v>-986.57</v>
      </c>
      <c r="D77" s="137" t="n">
        <f aca="false">IF(ISBLANK(Actuals!C93),"",'Original Budget'!C93-Actuals!C93)</f>
        <v>0</v>
      </c>
      <c r="E77" s="137" t="n">
        <f aca="false">IFERROR(IF(ISBLANK(Actuals!C93),"",('Original Budget'!C93-Actuals!C93)/ABS('Original Budget'!C93)),"")</f>
        <v>0</v>
      </c>
      <c r="F77" s="136" t="n">
        <f aca="false">'Original Budget'!D93</f>
        <v>-1254.61</v>
      </c>
      <c r="G77" s="136" t="n">
        <f aca="false">IF(ISBLANK(Actuals!D93),"",Actuals!D93)</f>
        <v>-1254.61</v>
      </c>
      <c r="H77" s="137" t="n">
        <f aca="false">IF(ISBLANK(Actuals!D93),"",'Original Budget'!D93-Actuals!D93)</f>
        <v>0</v>
      </c>
      <c r="I77" s="137" t="n">
        <f aca="false">IFERROR(IF(ISBLANK(Actuals!D93),"",('Original Budget'!D93-Actuals!D93)/ABS('Original Budget'!D93)),"")</f>
        <v>0</v>
      </c>
      <c r="J77" s="136" t="n">
        <f aca="false">'Original Budget'!E93</f>
        <v>-1297.31</v>
      </c>
      <c r="K77" s="136" t="n">
        <f aca="false">IF(ISBLANK(Actuals!E93),"",Actuals!E93)</f>
        <v>-1297.31</v>
      </c>
      <c r="L77" s="137" t="n">
        <f aca="false">IF(ISBLANK(Actuals!E93),"",'Original Budget'!E93-Actuals!E93)</f>
        <v>0</v>
      </c>
      <c r="M77" s="137" t="n">
        <f aca="false">IFERROR(IF(ISBLANK(Actuals!E93),"",('Original Budget'!E93-Actuals!E93)/ABS('Original Budget'!E93)),"")</f>
        <v>0</v>
      </c>
      <c r="N77" s="136" t="n">
        <f aca="false">'Original Budget'!F93</f>
        <v>-1179.5</v>
      </c>
      <c r="O77" s="136" t="n">
        <f aca="false">IF(ISBLANK(Actuals!F93),"",Actuals!F93)</f>
        <v>-48.78</v>
      </c>
      <c r="P77" s="137" t="n">
        <f aca="false">IF(ISBLANK(Actuals!F93),"",'Original Budget'!F93-Actuals!F93)</f>
        <v>-1130.72</v>
      </c>
      <c r="Q77" s="137" t="n">
        <f aca="false">IFERROR(IF(ISBLANK(Actuals!F93),"",('Original Budget'!F93-Actuals!F93)/ABS('Original Budget'!F93)),"")</f>
        <v>-0.958643493005511</v>
      </c>
      <c r="R77" s="136" t="n">
        <f aca="false">'Original Budget'!G93</f>
        <v>-1179.5</v>
      </c>
      <c r="S77" s="136" t="n">
        <f aca="false">IF(ISBLANK(Actuals!G93),"",Actuals!G93)</f>
        <v>-4199.86</v>
      </c>
      <c r="T77" s="137" t="n">
        <f aca="false">IF(ISBLANK(Actuals!G93),"",'Original Budget'!G93-Actuals!G93)</f>
        <v>3020.36</v>
      </c>
      <c r="U77" s="137" t="n">
        <f aca="false">IFERROR(IF(ISBLANK(Actuals!G93),"",('Original Budget'!G93-Actuals!G93)/ABS('Original Budget'!G93)),"")</f>
        <v>2.56071216617211</v>
      </c>
      <c r="V77" s="136" t="n">
        <f aca="false">'Original Budget'!H93</f>
        <v>-1179.5</v>
      </c>
      <c r="W77" s="136" t="n">
        <f aca="false">IF(ISBLANK(Actuals!H93),"",Actuals!H93)</f>
        <v>-3433.39</v>
      </c>
      <c r="X77" s="137" t="n">
        <f aca="false">IF(ISBLANK(Actuals!H93),"",'Original Budget'!H93-Actuals!H93)</f>
        <v>2253.89</v>
      </c>
      <c r="Y77" s="137" t="n">
        <f aca="false">IFERROR(IF(ISBLANK(Actuals!H93),"",('Original Budget'!H93-Actuals!H93)/ABS('Original Budget'!H93)),"")</f>
        <v>1.91088596863078</v>
      </c>
      <c r="Z77" s="136" t="n">
        <f aca="false">'Original Budget'!I93</f>
        <v>-1179.5</v>
      </c>
      <c r="AA77" s="136" t="str">
        <f aca="false">IF(ISBLANK(Actuals!I93),"",Actuals!I93)</f>
        <v/>
      </c>
      <c r="AB77" s="137" t="str">
        <f aca="false">IF(ISBLANK(Actuals!I93),"",'Original Budget'!I93-Actuals!I93)</f>
        <v/>
      </c>
      <c r="AC77" s="137" t="str">
        <f aca="false">IFERROR(IF(ISBLANK(Actuals!I93),"",('Original Budget'!I93-Actuals!I93)/ABS('Original Budget'!I93)),"")</f>
        <v/>
      </c>
      <c r="AD77" s="136" t="n">
        <f aca="false">'Original Budget'!J93</f>
        <v>-1179.5</v>
      </c>
      <c r="AE77" s="136" t="str">
        <f aca="false">IF(ISBLANK(Actuals!J93),"",Actuals!J93)</f>
        <v/>
      </c>
      <c r="AF77" s="137" t="str">
        <f aca="false">IF(ISBLANK(Actuals!J93),"",'Original Budget'!J93-Actuals!J93)</f>
        <v/>
      </c>
      <c r="AG77" s="137" t="str">
        <f aca="false">IFERROR(IF(ISBLANK(Actuals!J93),"",('Original Budget'!J93-Actuals!J93)/ABS('Original Budget'!J93)),"")</f>
        <v/>
      </c>
      <c r="AH77" s="136" t="n">
        <f aca="false">'Original Budget'!K93</f>
        <v>-1179.5</v>
      </c>
      <c r="AI77" s="136" t="str">
        <f aca="false">IF(ISBLANK(Actuals!K93),"",Actuals!K93)</f>
        <v/>
      </c>
      <c r="AJ77" s="137" t="str">
        <f aca="false">IF(ISBLANK(Actuals!K93),"",'Original Budget'!K93-Actuals!K93)</f>
        <v/>
      </c>
      <c r="AK77" s="137" t="str">
        <f aca="false">IFERROR(IF(ISBLANK(Actuals!K93),"",('Original Budget'!K93-Actuals!K93)/ABS('Original Budget'!K93)),"")</f>
        <v/>
      </c>
      <c r="AL77" s="136" t="n">
        <f aca="false">'Original Budget'!L93</f>
        <v>-1179.5</v>
      </c>
      <c r="AM77" s="136" t="str">
        <f aca="false">IF(ISBLANK(Actuals!L93),"",Actuals!L93)</f>
        <v/>
      </c>
      <c r="AN77" s="137" t="str">
        <f aca="false">IF(ISBLANK(Actuals!L93),"",'Original Budget'!L93-Actuals!L93)</f>
        <v/>
      </c>
      <c r="AO77" s="137" t="str">
        <f aca="false">IFERROR(IF(ISBLANK(Actuals!L93),"",('Original Budget'!L93-Actuals!L93)/ABS('Original Budget'!L93)),"")</f>
        <v/>
      </c>
      <c r="AP77" s="136" t="n">
        <f aca="false">'Original Budget'!M93</f>
        <v>-1179.5</v>
      </c>
      <c r="AQ77" s="136" t="str">
        <f aca="false">IF(ISBLANK(Actuals!M93),"",Actuals!M93)</f>
        <v/>
      </c>
      <c r="AR77" s="137" t="str">
        <f aca="false">IF(ISBLANK(Actuals!M93),"",'Original Budget'!M93-Actuals!M93)</f>
        <v/>
      </c>
      <c r="AS77" s="137" t="str">
        <f aca="false">IFERROR(IF(ISBLANK(Actuals!M93),"",('Original Budget'!M93-Actuals!M93)/ABS('Original Budget'!M93)),"")</f>
        <v/>
      </c>
      <c r="AT77" s="136" t="n">
        <f aca="false">'Original Budget'!N93</f>
        <v>-1179.5</v>
      </c>
      <c r="AU77" s="136" t="str">
        <f aca="false">IF(ISBLANK(Actuals!N93),"",Actuals!N93)</f>
        <v/>
      </c>
      <c r="AV77" s="137" t="str">
        <f aca="false">IF(ISBLANK(Actuals!N93),"",'Original Budget'!N93-Actuals!N93)</f>
        <v/>
      </c>
      <c r="AW77" s="137" t="str">
        <f aca="false">IFERROR(IF(ISBLANK(Actuals!N93),"",('Original Budget'!N93-Actuals!N93)/ABS('Original Budget'!N93)),"")</f>
        <v/>
      </c>
      <c r="AX77" s="138" t="n">
        <f aca="false">SUMPRODUCT((Actuals!C93:N93&lt;&gt;"")*('Original Budget'!C93:N93))</f>
        <v>-7076.99</v>
      </c>
      <c r="AY77" s="138" t="n">
        <f aca="false">SUM(Actuals!C93:N93)</f>
        <v>-11220.52</v>
      </c>
      <c r="AZ77" s="139" t="n">
        <f aca="false">AX77-AY77</f>
        <v>4143.53</v>
      </c>
    </row>
    <row r="78" customFormat="false" ht="15" hidden="false" customHeight="true" outlineLevel="0" collapsed="false">
      <c r="A78" s="135" t="s">
        <v>121</v>
      </c>
      <c r="B78" s="136" t="n">
        <f aca="false">'Original Budget'!C94</f>
        <v>-588.66</v>
      </c>
      <c r="C78" s="136" t="n">
        <f aca="false">IF(ISBLANK(Actuals!C94),"",Actuals!C94)</f>
        <v>-588.66</v>
      </c>
      <c r="D78" s="137" t="n">
        <f aca="false">IF(ISBLANK(Actuals!C94),"",'Original Budget'!C94-Actuals!C94)</f>
        <v>0</v>
      </c>
      <c r="E78" s="137" t="n">
        <f aca="false">IFERROR(IF(ISBLANK(Actuals!C94),"",('Original Budget'!C94-Actuals!C94)/ABS('Original Budget'!C94)),"")</f>
        <v>0</v>
      </c>
      <c r="F78" s="136" t="n">
        <f aca="false">'Original Budget'!D94</f>
        <v>-22.94</v>
      </c>
      <c r="G78" s="136" t="n">
        <f aca="false">IF(ISBLANK(Actuals!D94),"",Actuals!D94)</f>
        <v>-22.94</v>
      </c>
      <c r="H78" s="137" t="n">
        <f aca="false">IF(ISBLANK(Actuals!D94),"",'Original Budget'!D94-Actuals!D94)</f>
        <v>0</v>
      </c>
      <c r="I78" s="137" t="n">
        <f aca="false">IFERROR(IF(ISBLANK(Actuals!D94),"",('Original Budget'!D94-Actuals!D94)/ABS('Original Budget'!D94)),"")</f>
        <v>0</v>
      </c>
      <c r="J78" s="136" t="n">
        <f aca="false">'Original Budget'!E94</f>
        <v>-487.3</v>
      </c>
      <c r="K78" s="136" t="n">
        <f aca="false">IF(ISBLANK(Actuals!E94),"",Actuals!E94)</f>
        <v>-487.3</v>
      </c>
      <c r="L78" s="137" t="n">
        <f aca="false">IF(ISBLANK(Actuals!E94),"",'Original Budget'!E94-Actuals!E94)</f>
        <v>0</v>
      </c>
      <c r="M78" s="137" t="n">
        <f aca="false">IFERROR(IF(ISBLANK(Actuals!E94),"",('Original Budget'!E94-Actuals!E94)/ABS('Original Budget'!E94)),"")</f>
        <v>0</v>
      </c>
      <c r="N78" s="136" t="n">
        <f aca="false">'Original Budget'!F94</f>
        <v>-366.3</v>
      </c>
      <c r="O78" s="136" t="n">
        <f aca="false">IF(ISBLANK(Actuals!F94),"",Actuals!F94)</f>
        <v>-399.98</v>
      </c>
      <c r="P78" s="137" t="n">
        <f aca="false">IF(ISBLANK(Actuals!F94),"",'Original Budget'!F94-Actuals!F94)</f>
        <v>33.68</v>
      </c>
      <c r="Q78" s="137" t="n">
        <f aca="false">IFERROR(IF(ISBLANK(Actuals!F94),"",('Original Budget'!F94-Actuals!F94)/ABS('Original Budget'!F94)),"")</f>
        <v>0.091946491946492</v>
      </c>
      <c r="R78" s="136" t="n">
        <f aca="false">'Original Budget'!G94</f>
        <v>-366.3</v>
      </c>
      <c r="S78" s="136" t="n">
        <f aca="false">IF(ISBLANK(Actuals!G94),"",Actuals!G94)</f>
        <v>-216.15</v>
      </c>
      <c r="T78" s="137" t="n">
        <f aca="false">IF(ISBLANK(Actuals!G94),"",'Original Budget'!G94-Actuals!G94)</f>
        <v>-150.15</v>
      </c>
      <c r="U78" s="137" t="n">
        <f aca="false">IFERROR(IF(ISBLANK(Actuals!G94),"",('Original Budget'!G94-Actuals!G94)/ABS('Original Budget'!G94)),"")</f>
        <v>-0.40990990990991</v>
      </c>
      <c r="V78" s="136" t="n">
        <f aca="false">'Original Budget'!H94</f>
        <v>-366.3</v>
      </c>
      <c r="W78" s="136" t="n">
        <f aca="false">IF(ISBLANK(Actuals!H94),"",Actuals!H94)</f>
        <v>-936.05</v>
      </c>
      <c r="X78" s="137" t="n">
        <f aca="false">IF(ISBLANK(Actuals!H94),"",'Original Budget'!H94-Actuals!H94)</f>
        <v>569.75</v>
      </c>
      <c r="Y78" s="137" t="n">
        <f aca="false">IFERROR(IF(ISBLANK(Actuals!H94),"",('Original Budget'!H94-Actuals!H94)/ABS('Original Budget'!H94)),"")</f>
        <v>1.55541905541906</v>
      </c>
      <c r="Z78" s="136" t="n">
        <f aca="false">'Original Budget'!I94</f>
        <v>-366.3</v>
      </c>
      <c r="AA78" s="136" t="str">
        <f aca="false">IF(ISBLANK(Actuals!I94),"",Actuals!I94)</f>
        <v/>
      </c>
      <c r="AB78" s="137" t="str">
        <f aca="false">IF(ISBLANK(Actuals!I94),"",'Original Budget'!I94-Actuals!I94)</f>
        <v/>
      </c>
      <c r="AC78" s="137" t="str">
        <f aca="false">IFERROR(IF(ISBLANK(Actuals!I94),"",('Original Budget'!I94-Actuals!I94)/ABS('Original Budget'!I94)),"")</f>
        <v/>
      </c>
      <c r="AD78" s="136" t="n">
        <f aca="false">'Original Budget'!J94</f>
        <v>-366.3</v>
      </c>
      <c r="AE78" s="136" t="str">
        <f aca="false">IF(ISBLANK(Actuals!J94),"",Actuals!J94)</f>
        <v/>
      </c>
      <c r="AF78" s="137" t="str">
        <f aca="false">IF(ISBLANK(Actuals!J94),"",'Original Budget'!J94-Actuals!J94)</f>
        <v/>
      </c>
      <c r="AG78" s="137" t="str">
        <f aca="false">IFERROR(IF(ISBLANK(Actuals!J94),"",('Original Budget'!J94-Actuals!J94)/ABS('Original Budget'!J94)),"")</f>
        <v/>
      </c>
      <c r="AH78" s="136" t="n">
        <f aca="false">'Original Budget'!K94</f>
        <v>-366.3</v>
      </c>
      <c r="AI78" s="136" t="str">
        <f aca="false">IF(ISBLANK(Actuals!K94),"",Actuals!K94)</f>
        <v/>
      </c>
      <c r="AJ78" s="137" t="str">
        <f aca="false">IF(ISBLANK(Actuals!K94),"",'Original Budget'!K94-Actuals!K94)</f>
        <v/>
      </c>
      <c r="AK78" s="137" t="str">
        <f aca="false">IFERROR(IF(ISBLANK(Actuals!K94),"",('Original Budget'!K94-Actuals!K94)/ABS('Original Budget'!K94)),"")</f>
        <v/>
      </c>
      <c r="AL78" s="136" t="n">
        <f aca="false">'Original Budget'!L94</f>
        <v>-366.3</v>
      </c>
      <c r="AM78" s="136" t="str">
        <f aca="false">IF(ISBLANK(Actuals!L94),"",Actuals!L94)</f>
        <v/>
      </c>
      <c r="AN78" s="137" t="str">
        <f aca="false">IF(ISBLANK(Actuals!L94),"",'Original Budget'!L94-Actuals!L94)</f>
        <v/>
      </c>
      <c r="AO78" s="137" t="str">
        <f aca="false">IFERROR(IF(ISBLANK(Actuals!L94),"",('Original Budget'!L94-Actuals!L94)/ABS('Original Budget'!L94)),"")</f>
        <v/>
      </c>
      <c r="AP78" s="136" t="n">
        <f aca="false">'Original Budget'!M94</f>
        <v>-366.3</v>
      </c>
      <c r="AQ78" s="136" t="str">
        <f aca="false">IF(ISBLANK(Actuals!M94),"",Actuals!M94)</f>
        <v/>
      </c>
      <c r="AR78" s="137" t="str">
        <f aca="false">IF(ISBLANK(Actuals!M94),"",'Original Budget'!M94-Actuals!M94)</f>
        <v/>
      </c>
      <c r="AS78" s="137" t="str">
        <f aca="false">IFERROR(IF(ISBLANK(Actuals!M94),"",('Original Budget'!M94-Actuals!M94)/ABS('Original Budget'!M94)),"")</f>
        <v/>
      </c>
      <c r="AT78" s="136" t="n">
        <f aca="false">'Original Budget'!N94</f>
        <v>-366.3</v>
      </c>
      <c r="AU78" s="136" t="str">
        <f aca="false">IF(ISBLANK(Actuals!N94),"",Actuals!N94)</f>
        <v/>
      </c>
      <c r="AV78" s="137" t="str">
        <f aca="false">IF(ISBLANK(Actuals!N94),"",'Original Budget'!N94-Actuals!N94)</f>
        <v/>
      </c>
      <c r="AW78" s="137" t="str">
        <f aca="false">IFERROR(IF(ISBLANK(Actuals!N94),"",('Original Budget'!N94-Actuals!N94)/ABS('Original Budget'!N94)),"")</f>
        <v/>
      </c>
      <c r="AX78" s="138" t="n">
        <f aca="false">SUMPRODUCT((Actuals!C94:N94&lt;&gt;"")*('Original Budget'!C94:N94))</f>
        <v>-2197.8</v>
      </c>
      <c r="AY78" s="138" t="n">
        <f aca="false">SUM(Actuals!C94:N94)</f>
        <v>-2651.08</v>
      </c>
      <c r="AZ78" s="139" t="n">
        <f aca="false">AX78-AY78</f>
        <v>453.28</v>
      </c>
    </row>
    <row r="79" customFormat="false" ht="15" hidden="false" customHeight="true" outlineLevel="0" collapsed="false">
      <c r="A79" s="135" t="s">
        <v>122</v>
      </c>
      <c r="B79" s="136" t="n">
        <f aca="false">'Original Budget'!C95</f>
        <v>0</v>
      </c>
      <c r="C79" s="136" t="n">
        <f aca="false">IF(ISBLANK(Actuals!C95),"",Actuals!C95)</f>
        <v>0</v>
      </c>
      <c r="D79" s="137" t="n">
        <f aca="false">IF(ISBLANK(Actuals!C95),"",'Original Budget'!C95-Actuals!C95)</f>
        <v>0</v>
      </c>
      <c r="E79" s="137" t="str">
        <f aca="false">IFERROR(IF(ISBLANK(Actuals!C95),"",('Original Budget'!C95-Actuals!C95)/ABS('Original Budget'!C95)),"")</f>
        <v/>
      </c>
      <c r="F79" s="136" t="n">
        <f aca="false">'Original Budget'!D95</f>
        <v>-92.75</v>
      </c>
      <c r="G79" s="136" t="n">
        <f aca="false">IF(ISBLANK(Actuals!D95),"",Actuals!D95)</f>
        <v>-92.75</v>
      </c>
      <c r="H79" s="137" t="n">
        <f aca="false">IF(ISBLANK(Actuals!D95),"",'Original Budget'!D95-Actuals!D95)</f>
        <v>0</v>
      </c>
      <c r="I79" s="137" t="n">
        <f aca="false">IFERROR(IF(ISBLANK(Actuals!D95),"",('Original Budget'!D95-Actuals!D95)/ABS('Original Budget'!D95)),"")</f>
        <v>0</v>
      </c>
      <c r="J79" s="136" t="n">
        <f aca="false">'Original Budget'!E95</f>
        <v>-57.46</v>
      </c>
      <c r="K79" s="136" t="n">
        <f aca="false">IF(ISBLANK(Actuals!E95),"",Actuals!E95)</f>
        <v>-57.46</v>
      </c>
      <c r="L79" s="137" t="n">
        <f aca="false">IF(ISBLANK(Actuals!E95),"",'Original Budget'!E95-Actuals!E95)</f>
        <v>0</v>
      </c>
      <c r="M79" s="137" t="n">
        <f aca="false">IFERROR(IF(ISBLANK(Actuals!E95),"",('Original Budget'!E95-Actuals!E95)/ABS('Original Budget'!E95)),"")</f>
        <v>0</v>
      </c>
      <c r="N79" s="136" t="n">
        <f aca="false">'Original Budget'!F95</f>
        <v>-50.07</v>
      </c>
      <c r="O79" s="136" t="n">
        <f aca="false">IF(ISBLANK(Actuals!F95),"",Actuals!F95)</f>
        <v>0</v>
      </c>
      <c r="P79" s="137" t="n">
        <f aca="false">IF(ISBLANK(Actuals!F95),"",'Original Budget'!F95-Actuals!F95)</f>
        <v>-50.07</v>
      </c>
      <c r="Q79" s="137" t="n">
        <f aca="false">IFERROR(IF(ISBLANK(Actuals!F95),"",('Original Budget'!F95-Actuals!F95)/ABS('Original Budget'!F95)),"")</f>
        <v>-1</v>
      </c>
      <c r="R79" s="136" t="n">
        <f aca="false">'Original Budget'!G95</f>
        <v>-50.07</v>
      </c>
      <c r="S79" s="136" t="n">
        <f aca="false">IF(ISBLANK(Actuals!G95),"",Actuals!G95)</f>
        <v>-24.3</v>
      </c>
      <c r="T79" s="137" t="n">
        <f aca="false">IF(ISBLANK(Actuals!G95),"",'Original Budget'!G95-Actuals!G95)</f>
        <v>-25.77</v>
      </c>
      <c r="U79" s="137" t="n">
        <f aca="false">IFERROR(IF(ISBLANK(Actuals!G95),"",('Original Budget'!G95-Actuals!G95)/ABS('Original Budget'!G95)),"")</f>
        <v>-0.51467944877172</v>
      </c>
      <c r="V79" s="136" t="n">
        <f aca="false">'Original Budget'!H95</f>
        <v>-50.07</v>
      </c>
      <c r="W79" s="136" t="n">
        <f aca="false">IF(ISBLANK(Actuals!H95),"",Actuals!H95)</f>
        <v>-917.7</v>
      </c>
      <c r="X79" s="137" t="n">
        <f aca="false">IF(ISBLANK(Actuals!H95),"",'Original Budget'!H95-Actuals!H95)</f>
        <v>867.63</v>
      </c>
      <c r="Y79" s="137" t="n">
        <f aca="false">IFERROR(IF(ISBLANK(Actuals!H95),"",('Original Budget'!H95-Actuals!H95)/ABS('Original Budget'!H95)),"")</f>
        <v>17.328340323547</v>
      </c>
      <c r="Z79" s="136" t="n">
        <f aca="false">'Original Budget'!I95</f>
        <v>-50.07</v>
      </c>
      <c r="AA79" s="136" t="str">
        <f aca="false">IF(ISBLANK(Actuals!I95),"",Actuals!I95)</f>
        <v/>
      </c>
      <c r="AB79" s="137" t="str">
        <f aca="false">IF(ISBLANK(Actuals!I95),"",'Original Budget'!I95-Actuals!I95)</f>
        <v/>
      </c>
      <c r="AC79" s="137" t="str">
        <f aca="false">IFERROR(IF(ISBLANK(Actuals!I95),"",('Original Budget'!I95-Actuals!I95)/ABS('Original Budget'!I95)),"")</f>
        <v/>
      </c>
      <c r="AD79" s="136" t="n">
        <f aca="false">'Original Budget'!J95</f>
        <v>-50.07</v>
      </c>
      <c r="AE79" s="136" t="str">
        <f aca="false">IF(ISBLANK(Actuals!J95),"",Actuals!J95)</f>
        <v/>
      </c>
      <c r="AF79" s="137" t="str">
        <f aca="false">IF(ISBLANK(Actuals!J95),"",'Original Budget'!J95-Actuals!J95)</f>
        <v/>
      </c>
      <c r="AG79" s="137" t="str">
        <f aca="false">IFERROR(IF(ISBLANK(Actuals!J95),"",('Original Budget'!J95-Actuals!J95)/ABS('Original Budget'!J95)),"")</f>
        <v/>
      </c>
      <c r="AH79" s="136" t="n">
        <f aca="false">'Original Budget'!K95</f>
        <v>-50.07</v>
      </c>
      <c r="AI79" s="136" t="str">
        <f aca="false">IF(ISBLANK(Actuals!K95),"",Actuals!K95)</f>
        <v/>
      </c>
      <c r="AJ79" s="137" t="str">
        <f aca="false">IF(ISBLANK(Actuals!K95),"",'Original Budget'!K95-Actuals!K95)</f>
        <v/>
      </c>
      <c r="AK79" s="137" t="str">
        <f aca="false">IFERROR(IF(ISBLANK(Actuals!K95),"",('Original Budget'!K95-Actuals!K95)/ABS('Original Budget'!K95)),"")</f>
        <v/>
      </c>
      <c r="AL79" s="136" t="n">
        <f aca="false">'Original Budget'!L95</f>
        <v>-50.07</v>
      </c>
      <c r="AM79" s="136" t="str">
        <f aca="false">IF(ISBLANK(Actuals!L95),"",Actuals!L95)</f>
        <v/>
      </c>
      <c r="AN79" s="137" t="str">
        <f aca="false">IF(ISBLANK(Actuals!L95),"",'Original Budget'!L95-Actuals!L95)</f>
        <v/>
      </c>
      <c r="AO79" s="137" t="str">
        <f aca="false">IFERROR(IF(ISBLANK(Actuals!L95),"",('Original Budget'!L95-Actuals!L95)/ABS('Original Budget'!L95)),"")</f>
        <v/>
      </c>
      <c r="AP79" s="136" t="n">
        <f aca="false">'Original Budget'!M95</f>
        <v>-50.07</v>
      </c>
      <c r="AQ79" s="136" t="str">
        <f aca="false">IF(ISBLANK(Actuals!M95),"",Actuals!M95)</f>
        <v/>
      </c>
      <c r="AR79" s="137" t="str">
        <f aca="false">IF(ISBLANK(Actuals!M95),"",'Original Budget'!M95-Actuals!M95)</f>
        <v/>
      </c>
      <c r="AS79" s="137" t="str">
        <f aca="false">IFERROR(IF(ISBLANK(Actuals!M95),"",('Original Budget'!M95-Actuals!M95)/ABS('Original Budget'!M95)),"")</f>
        <v/>
      </c>
      <c r="AT79" s="136" t="n">
        <f aca="false">'Original Budget'!N95</f>
        <v>-50.07</v>
      </c>
      <c r="AU79" s="136" t="str">
        <f aca="false">IF(ISBLANK(Actuals!N95),"",Actuals!N95)</f>
        <v/>
      </c>
      <c r="AV79" s="137" t="str">
        <f aca="false">IF(ISBLANK(Actuals!N95),"",'Original Budget'!N95-Actuals!N95)</f>
        <v/>
      </c>
      <c r="AW79" s="137" t="str">
        <f aca="false">IFERROR(IF(ISBLANK(Actuals!N95),"",('Original Budget'!N95-Actuals!N95)/ABS('Original Budget'!N95)),"")</f>
        <v/>
      </c>
      <c r="AX79" s="138" t="n">
        <f aca="false">SUMPRODUCT((Actuals!C95:N95&lt;&gt;"")*('Original Budget'!C95:N95))</f>
        <v>-300.42</v>
      </c>
      <c r="AY79" s="138" t="n">
        <f aca="false">SUM(Actuals!C95:N95)</f>
        <v>-1092.21</v>
      </c>
      <c r="AZ79" s="139" t="n">
        <f aca="false">AX79-AY79</f>
        <v>791.79</v>
      </c>
    </row>
    <row r="80" customFormat="false" ht="15" hidden="false" customHeight="true" outlineLevel="0" collapsed="false">
      <c r="A80" s="135" t="s">
        <v>74</v>
      </c>
      <c r="B80" s="136" t="n">
        <f aca="false">'Original Budget'!C96</f>
        <v>-640.88</v>
      </c>
      <c r="C80" s="136" t="n">
        <f aca="false">IF(ISBLANK(Actuals!C96),"",Actuals!C96)</f>
        <v>-640.88</v>
      </c>
      <c r="D80" s="137" t="n">
        <f aca="false">IF(ISBLANK(Actuals!C96),"",'Original Budget'!C96-Actuals!C96)</f>
        <v>0</v>
      </c>
      <c r="E80" s="137" t="n">
        <f aca="false">IFERROR(IF(ISBLANK(Actuals!C96),"",('Original Budget'!C96-Actuals!C96)/ABS('Original Budget'!C96)),"")</f>
        <v>0</v>
      </c>
      <c r="F80" s="136" t="n">
        <f aca="false">'Original Budget'!D96</f>
        <v>-872.64</v>
      </c>
      <c r="G80" s="136" t="n">
        <f aca="false">IF(ISBLANK(Actuals!D96),"",Actuals!D96)</f>
        <v>-872.64</v>
      </c>
      <c r="H80" s="137" t="n">
        <f aca="false">IF(ISBLANK(Actuals!D96),"",'Original Budget'!D96-Actuals!D96)</f>
        <v>0</v>
      </c>
      <c r="I80" s="137" t="n">
        <f aca="false">IFERROR(IF(ISBLANK(Actuals!D96),"",('Original Budget'!D96-Actuals!D96)/ABS('Original Budget'!D96)),"")</f>
        <v>0</v>
      </c>
      <c r="J80" s="136" t="n">
        <f aca="false">'Original Budget'!E96</f>
        <v>-1175.78</v>
      </c>
      <c r="K80" s="136" t="n">
        <f aca="false">IF(ISBLANK(Actuals!E96),"",Actuals!E96)</f>
        <v>-1175.78</v>
      </c>
      <c r="L80" s="137" t="n">
        <f aca="false">IF(ISBLANK(Actuals!E96),"",'Original Budget'!E96-Actuals!E96)</f>
        <v>0</v>
      </c>
      <c r="M80" s="137" t="n">
        <f aca="false">IFERROR(IF(ISBLANK(Actuals!E96),"",('Original Budget'!E96-Actuals!E96)/ABS('Original Budget'!E96)),"")</f>
        <v>0</v>
      </c>
      <c r="N80" s="136" t="n">
        <f aca="false">'Original Budget'!F96</f>
        <v>-896.43</v>
      </c>
      <c r="O80" s="136" t="n">
        <f aca="false">IF(ISBLANK(Actuals!F96),"",Actuals!F96)</f>
        <v>-471.38</v>
      </c>
      <c r="P80" s="137" t="n">
        <f aca="false">IF(ISBLANK(Actuals!F96),"",'Original Budget'!F96-Actuals!F96)</f>
        <v>-425.05</v>
      </c>
      <c r="Q80" s="137" t="n">
        <f aca="false">IFERROR(IF(ISBLANK(Actuals!F96),"",('Original Budget'!F96-Actuals!F96)/ABS('Original Budget'!F96)),"")</f>
        <v>-0.474158606918555</v>
      </c>
      <c r="R80" s="136" t="n">
        <f aca="false">'Original Budget'!G96</f>
        <v>-896.43</v>
      </c>
      <c r="S80" s="136" t="n">
        <f aca="false">IF(ISBLANK(Actuals!G96),"",Actuals!G96)</f>
        <v>-1307.57</v>
      </c>
      <c r="T80" s="137" t="n">
        <f aca="false">IF(ISBLANK(Actuals!G96),"",'Original Budget'!G96-Actuals!G96)</f>
        <v>411.14</v>
      </c>
      <c r="U80" s="137" t="n">
        <f aca="false">IFERROR(IF(ISBLANK(Actuals!G96),"",('Original Budget'!G96-Actuals!G96)/ABS('Original Budget'!G96)),"")</f>
        <v>0.458641500172908</v>
      </c>
      <c r="V80" s="136" t="n">
        <f aca="false">'Original Budget'!H96</f>
        <v>-896.43</v>
      </c>
      <c r="W80" s="136" t="n">
        <f aca="false">IF(ISBLANK(Actuals!H96),"",Actuals!H96)</f>
        <v>-3067.11</v>
      </c>
      <c r="X80" s="137" t="n">
        <f aca="false">IF(ISBLANK(Actuals!H96),"",'Original Budget'!H96-Actuals!H96)</f>
        <v>2170.68</v>
      </c>
      <c r="Y80" s="137" t="n">
        <f aca="false">IFERROR(IF(ISBLANK(Actuals!H96),"",('Original Budget'!H96-Actuals!H96)/ABS('Original Budget'!H96)),"")</f>
        <v>2.42147183829189</v>
      </c>
      <c r="Z80" s="136" t="n">
        <f aca="false">'Original Budget'!I96</f>
        <v>-896.43</v>
      </c>
      <c r="AA80" s="136" t="str">
        <f aca="false">IF(ISBLANK(Actuals!I96),"",Actuals!I96)</f>
        <v/>
      </c>
      <c r="AB80" s="137" t="str">
        <f aca="false">IF(ISBLANK(Actuals!I96),"",'Original Budget'!I96-Actuals!I96)</f>
        <v/>
      </c>
      <c r="AC80" s="137" t="str">
        <f aca="false">IFERROR(IF(ISBLANK(Actuals!I96),"",('Original Budget'!I96-Actuals!I96)/ABS('Original Budget'!I96)),"")</f>
        <v/>
      </c>
      <c r="AD80" s="136" t="n">
        <f aca="false">'Original Budget'!J96</f>
        <v>-896.43</v>
      </c>
      <c r="AE80" s="136" t="str">
        <f aca="false">IF(ISBLANK(Actuals!J96),"",Actuals!J96)</f>
        <v/>
      </c>
      <c r="AF80" s="137" t="str">
        <f aca="false">IF(ISBLANK(Actuals!J96),"",'Original Budget'!J96-Actuals!J96)</f>
        <v/>
      </c>
      <c r="AG80" s="137" t="str">
        <f aca="false">IFERROR(IF(ISBLANK(Actuals!J96),"",('Original Budget'!J96-Actuals!J96)/ABS('Original Budget'!J96)),"")</f>
        <v/>
      </c>
      <c r="AH80" s="136" t="n">
        <f aca="false">'Original Budget'!K96</f>
        <v>-896.43</v>
      </c>
      <c r="AI80" s="136" t="str">
        <f aca="false">IF(ISBLANK(Actuals!K96),"",Actuals!K96)</f>
        <v/>
      </c>
      <c r="AJ80" s="137" t="str">
        <f aca="false">IF(ISBLANK(Actuals!K96),"",'Original Budget'!K96-Actuals!K96)</f>
        <v/>
      </c>
      <c r="AK80" s="137" t="str">
        <f aca="false">IFERROR(IF(ISBLANK(Actuals!K96),"",('Original Budget'!K96-Actuals!K96)/ABS('Original Budget'!K96)),"")</f>
        <v/>
      </c>
      <c r="AL80" s="136" t="n">
        <f aca="false">'Original Budget'!L96</f>
        <v>-896.43</v>
      </c>
      <c r="AM80" s="136" t="str">
        <f aca="false">IF(ISBLANK(Actuals!L96),"",Actuals!L96)</f>
        <v/>
      </c>
      <c r="AN80" s="137" t="str">
        <f aca="false">IF(ISBLANK(Actuals!L96),"",'Original Budget'!L96-Actuals!L96)</f>
        <v/>
      </c>
      <c r="AO80" s="137" t="str">
        <f aca="false">IFERROR(IF(ISBLANK(Actuals!L96),"",('Original Budget'!L96-Actuals!L96)/ABS('Original Budget'!L96)),"")</f>
        <v/>
      </c>
      <c r="AP80" s="136" t="n">
        <f aca="false">'Original Budget'!M96</f>
        <v>-896.43</v>
      </c>
      <c r="AQ80" s="136" t="str">
        <f aca="false">IF(ISBLANK(Actuals!M96),"",Actuals!M96)</f>
        <v/>
      </c>
      <c r="AR80" s="137" t="str">
        <f aca="false">IF(ISBLANK(Actuals!M96),"",'Original Budget'!M96-Actuals!M96)</f>
        <v/>
      </c>
      <c r="AS80" s="137" t="str">
        <f aca="false">IFERROR(IF(ISBLANK(Actuals!M96),"",('Original Budget'!M96-Actuals!M96)/ABS('Original Budget'!M96)),"")</f>
        <v/>
      </c>
      <c r="AT80" s="136" t="n">
        <f aca="false">'Original Budget'!N96</f>
        <v>-896.43</v>
      </c>
      <c r="AU80" s="136" t="str">
        <f aca="false">IF(ISBLANK(Actuals!N96),"",Actuals!N96)</f>
        <v/>
      </c>
      <c r="AV80" s="137" t="str">
        <f aca="false">IF(ISBLANK(Actuals!N96),"",'Original Budget'!N96-Actuals!N96)</f>
        <v/>
      </c>
      <c r="AW80" s="137" t="str">
        <f aca="false">IFERROR(IF(ISBLANK(Actuals!N96),"",('Original Budget'!N96-Actuals!N96)/ABS('Original Budget'!N96)),"")</f>
        <v/>
      </c>
      <c r="AX80" s="138" t="n">
        <f aca="false">SUMPRODUCT((Actuals!C96:N96&lt;&gt;"")*('Original Budget'!C96:N96))</f>
        <v>-5378.59</v>
      </c>
      <c r="AY80" s="138" t="n">
        <f aca="false">SUM(Actuals!C96:N96)</f>
        <v>-7535.36</v>
      </c>
      <c r="AZ80" s="139" t="n">
        <f aca="false">AX80-AY80</f>
        <v>2156.77</v>
      </c>
    </row>
    <row r="81" customFormat="false" ht="15" hidden="false" customHeight="true" outlineLevel="0" collapsed="false">
      <c r="A81" s="135" t="s">
        <v>75</v>
      </c>
      <c r="B81" s="136" t="n">
        <f aca="false">'Original Budget'!C97</f>
        <v>0</v>
      </c>
      <c r="C81" s="136" t="n">
        <f aca="false">IF(ISBLANK(Actuals!C97),"",Actuals!C97)</f>
        <v>0</v>
      </c>
      <c r="D81" s="137" t="n">
        <f aca="false">IF(ISBLANK(Actuals!C97),"",'Original Budget'!C97-Actuals!C97)</f>
        <v>0</v>
      </c>
      <c r="E81" s="137" t="str">
        <f aca="false">IFERROR(IF(ISBLANK(Actuals!C97),"",('Original Budget'!C97-Actuals!C97)/ABS('Original Budget'!C97)),"")</f>
        <v/>
      </c>
      <c r="F81" s="136" t="n">
        <f aca="false">'Original Budget'!D97</f>
        <v>0</v>
      </c>
      <c r="G81" s="136" t="n">
        <f aca="false">IF(ISBLANK(Actuals!D97),"",Actuals!D97)</f>
        <v>0</v>
      </c>
      <c r="H81" s="137" t="n">
        <f aca="false">IF(ISBLANK(Actuals!D97),"",'Original Budget'!D97-Actuals!D97)</f>
        <v>0</v>
      </c>
      <c r="I81" s="137" t="str">
        <f aca="false">IFERROR(IF(ISBLANK(Actuals!D97),"",('Original Budget'!D97-Actuals!D97)/ABS('Original Budget'!D97)),"")</f>
        <v/>
      </c>
      <c r="J81" s="136" t="n">
        <f aca="false">'Original Budget'!E97</f>
        <v>-38050.5</v>
      </c>
      <c r="K81" s="136" t="n">
        <f aca="false">IF(ISBLANK(Actuals!E97),"",Actuals!E97)</f>
        <v>-38050.5</v>
      </c>
      <c r="L81" s="137" t="n">
        <f aca="false">IF(ISBLANK(Actuals!E97),"",'Original Budget'!E97-Actuals!E97)</f>
        <v>0</v>
      </c>
      <c r="M81" s="137" t="n">
        <f aca="false">IFERROR(IF(ISBLANK(Actuals!E97),"",('Original Budget'!E97-Actuals!E97)/ABS('Original Budget'!E97)),"")</f>
        <v>0</v>
      </c>
      <c r="N81" s="136" t="n">
        <f aca="false">'Original Budget'!F97</f>
        <v>-2000</v>
      </c>
      <c r="O81" s="136" t="n">
        <f aca="false">IF(ISBLANK(Actuals!F97),"",Actuals!F97)</f>
        <v>0</v>
      </c>
      <c r="P81" s="137" t="n">
        <f aca="false">IF(ISBLANK(Actuals!F97),"",'Original Budget'!F97-Actuals!F97)</f>
        <v>-2000</v>
      </c>
      <c r="Q81" s="137" t="n">
        <f aca="false">IFERROR(IF(ISBLANK(Actuals!F97),"",('Original Budget'!F97-Actuals!F97)/ABS('Original Budget'!F97)),"")</f>
        <v>-1</v>
      </c>
      <c r="R81" s="136" t="n">
        <f aca="false">'Original Budget'!G97</f>
        <v>-2000</v>
      </c>
      <c r="S81" s="136" t="n">
        <f aca="false">IF(ISBLANK(Actuals!G97),"",Actuals!G97)</f>
        <v>-986.5</v>
      </c>
      <c r="T81" s="137" t="n">
        <f aca="false">IF(ISBLANK(Actuals!G97),"",'Original Budget'!G97-Actuals!G97)</f>
        <v>-1013.5</v>
      </c>
      <c r="U81" s="137" t="n">
        <f aca="false">IFERROR(IF(ISBLANK(Actuals!G97),"",('Original Budget'!G97-Actuals!G97)/ABS('Original Budget'!G97)),"")</f>
        <v>-0.50675</v>
      </c>
      <c r="V81" s="136" t="n">
        <f aca="false">'Original Budget'!H97</f>
        <v>-2000</v>
      </c>
      <c r="W81" s="136" t="n">
        <f aca="false">IF(ISBLANK(Actuals!H97),"",Actuals!H97)</f>
        <v>-4830</v>
      </c>
      <c r="X81" s="137" t="n">
        <f aca="false">IF(ISBLANK(Actuals!H97),"",'Original Budget'!H97-Actuals!H97)</f>
        <v>2830</v>
      </c>
      <c r="Y81" s="137" t="n">
        <f aca="false">IFERROR(IF(ISBLANK(Actuals!H97),"",('Original Budget'!H97-Actuals!H97)/ABS('Original Budget'!H97)),"")</f>
        <v>1.415</v>
      </c>
      <c r="Z81" s="136" t="n">
        <f aca="false">'Original Budget'!I97</f>
        <v>-2000</v>
      </c>
      <c r="AA81" s="136" t="str">
        <f aca="false">IF(ISBLANK(Actuals!I97),"",Actuals!I97)</f>
        <v/>
      </c>
      <c r="AB81" s="137" t="str">
        <f aca="false">IF(ISBLANK(Actuals!I97),"",'Original Budget'!I97-Actuals!I97)</f>
        <v/>
      </c>
      <c r="AC81" s="137" t="str">
        <f aca="false">IFERROR(IF(ISBLANK(Actuals!I97),"",('Original Budget'!I97-Actuals!I97)/ABS('Original Budget'!I97)),"")</f>
        <v/>
      </c>
      <c r="AD81" s="136" t="n">
        <f aca="false">'Original Budget'!J97</f>
        <v>-2000</v>
      </c>
      <c r="AE81" s="136" t="str">
        <f aca="false">IF(ISBLANK(Actuals!J97),"",Actuals!J97)</f>
        <v/>
      </c>
      <c r="AF81" s="137" t="str">
        <f aca="false">IF(ISBLANK(Actuals!J97),"",'Original Budget'!J97-Actuals!J97)</f>
        <v/>
      </c>
      <c r="AG81" s="137" t="str">
        <f aca="false">IFERROR(IF(ISBLANK(Actuals!J97),"",('Original Budget'!J97-Actuals!J97)/ABS('Original Budget'!J97)),"")</f>
        <v/>
      </c>
      <c r="AH81" s="136" t="n">
        <f aca="false">'Original Budget'!K97</f>
        <v>-2000</v>
      </c>
      <c r="AI81" s="136" t="str">
        <f aca="false">IF(ISBLANK(Actuals!K97),"",Actuals!K97)</f>
        <v/>
      </c>
      <c r="AJ81" s="137" t="str">
        <f aca="false">IF(ISBLANK(Actuals!K97),"",'Original Budget'!K97-Actuals!K97)</f>
        <v/>
      </c>
      <c r="AK81" s="137" t="str">
        <f aca="false">IFERROR(IF(ISBLANK(Actuals!K97),"",('Original Budget'!K97-Actuals!K97)/ABS('Original Budget'!K97)),"")</f>
        <v/>
      </c>
      <c r="AL81" s="136" t="n">
        <f aca="false">'Original Budget'!L97</f>
        <v>-2000</v>
      </c>
      <c r="AM81" s="136" t="str">
        <f aca="false">IF(ISBLANK(Actuals!L97),"",Actuals!L97)</f>
        <v/>
      </c>
      <c r="AN81" s="137" t="str">
        <f aca="false">IF(ISBLANK(Actuals!L97),"",'Original Budget'!L97-Actuals!L97)</f>
        <v/>
      </c>
      <c r="AO81" s="137" t="str">
        <f aca="false">IFERROR(IF(ISBLANK(Actuals!L97),"",('Original Budget'!L97-Actuals!L97)/ABS('Original Budget'!L97)),"")</f>
        <v/>
      </c>
      <c r="AP81" s="136" t="n">
        <f aca="false">'Original Budget'!M97</f>
        <v>-2000</v>
      </c>
      <c r="AQ81" s="136" t="str">
        <f aca="false">IF(ISBLANK(Actuals!M97),"",Actuals!M97)</f>
        <v/>
      </c>
      <c r="AR81" s="137" t="str">
        <f aca="false">IF(ISBLANK(Actuals!M97),"",'Original Budget'!M97-Actuals!M97)</f>
        <v/>
      </c>
      <c r="AS81" s="137" t="str">
        <f aca="false">IFERROR(IF(ISBLANK(Actuals!M97),"",('Original Budget'!M97-Actuals!M97)/ABS('Original Budget'!M97)),"")</f>
        <v/>
      </c>
      <c r="AT81" s="136" t="n">
        <f aca="false">'Original Budget'!N97</f>
        <v>-2000</v>
      </c>
      <c r="AU81" s="136" t="str">
        <f aca="false">IF(ISBLANK(Actuals!N97),"",Actuals!N97)</f>
        <v/>
      </c>
      <c r="AV81" s="137" t="str">
        <f aca="false">IF(ISBLANK(Actuals!N97),"",'Original Budget'!N97-Actuals!N97)</f>
        <v/>
      </c>
      <c r="AW81" s="137" t="str">
        <f aca="false">IFERROR(IF(ISBLANK(Actuals!N97),"",('Original Budget'!N97-Actuals!N97)/ABS('Original Budget'!N97)),"")</f>
        <v/>
      </c>
      <c r="AX81" s="138" t="n">
        <f aca="false">SUMPRODUCT((Actuals!C97:N97&lt;&gt;"")*('Original Budget'!C97:N97))</f>
        <v>-44050.5</v>
      </c>
      <c r="AY81" s="138" t="n">
        <f aca="false">SUM(Actuals!C97:N97)</f>
        <v>-43867</v>
      </c>
      <c r="AZ81" s="139" t="n">
        <f aca="false">AX81-AY81</f>
        <v>-183.5</v>
      </c>
    </row>
    <row r="82" customFormat="false" ht="15" hidden="false" customHeight="true" outlineLevel="0" collapsed="false">
      <c r="A82" s="135" t="s">
        <v>76</v>
      </c>
      <c r="B82" s="136" t="n">
        <f aca="false">'Original Budget'!C98</f>
        <v>-4097.78</v>
      </c>
      <c r="C82" s="136" t="n">
        <f aca="false">IF(ISBLANK(Actuals!C98),"",Actuals!C98)</f>
        <v>-4097.78</v>
      </c>
      <c r="D82" s="137" t="n">
        <f aca="false">IF(ISBLANK(Actuals!C98),"",'Original Budget'!C98-Actuals!C98)</f>
        <v>0</v>
      </c>
      <c r="E82" s="137" t="n">
        <f aca="false">IFERROR(IF(ISBLANK(Actuals!C98),"",('Original Budget'!C98-Actuals!C98)/ABS('Original Budget'!C98)),"")</f>
        <v>0</v>
      </c>
      <c r="F82" s="136" t="n">
        <f aca="false">'Original Budget'!D98</f>
        <v>-1950.2</v>
      </c>
      <c r="G82" s="136" t="n">
        <f aca="false">IF(ISBLANK(Actuals!D98),"",Actuals!D98)</f>
        <v>-1950.2</v>
      </c>
      <c r="H82" s="137" t="n">
        <f aca="false">IF(ISBLANK(Actuals!D98),"",'Original Budget'!D98-Actuals!D98)</f>
        <v>0</v>
      </c>
      <c r="I82" s="137" t="n">
        <f aca="false">IFERROR(IF(ISBLANK(Actuals!D98),"",('Original Budget'!D98-Actuals!D98)/ABS('Original Budget'!D98)),"")</f>
        <v>0</v>
      </c>
      <c r="J82" s="136" t="n">
        <f aca="false">'Original Budget'!E98</f>
        <v>-1978.2</v>
      </c>
      <c r="K82" s="136" t="n">
        <f aca="false">IF(ISBLANK(Actuals!E98),"",Actuals!E98)</f>
        <v>-1978.2</v>
      </c>
      <c r="L82" s="137" t="n">
        <f aca="false">IF(ISBLANK(Actuals!E98),"",'Original Budget'!E98-Actuals!E98)</f>
        <v>0</v>
      </c>
      <c r="M82" s="137" t="n">
        <f aca="false">IFERROR(IF(ISBLANK(Actuals!E98),"",('Original Budget'!E98-Actuals!E98)/ABS('Original Budget'!E98)),"")</f>
        <v>0</v>
      </c>
      <c r="N82" s="136" t="n">
        <f aca="false">'Original Budget'!F98</f>
        <v>-2675.39</v>
      </c>
      <c r="O82" s="136" t="n">
        <f aca="false">IF(ISBLANK(Actuals!F98),"",Actuals!F98)</f>
        <v>-1970.2</v>
      </c>
      <c r="P82" s="137" t="n">
        <f aca="false">IF(ISBLANK(Actuals!F98),"",'Original Budget'!F98-Actuals!F98)</f>
        <v>-705.19</v>
      </c>
      <c r="Q82" s="137" t="n">
        <f aca="false">IFERROR(IF(ISBLANK(Actuals!F98),"",('Original Budget'!F98-Actuals!F98)/ABS('Original Budget'!F98)),"")</f>
        <v>-0.263584000837261</v>
      </c>
      <c r="R82" s="136" t="n">
        <f aca="false">'Original Budget'!G98</f>
        <v>-2675.39</v>
      </c>
      <c r="S82" s="136" t="n">
        <f aca="false">IF(ISBLANK(Actuals!G98),"",Actuals!G98)</f>
        <v>-6126.2</v>
      </c>
      <c r="T82" s="137" t="n">
        <f aca="false">IF(ISBLANK(Actuals!G98),"",'Original Budget'!G98-Actuals!G98)</f>
        <v>3450.81</v>
      </c>
      <c r="U82" s="137" t="n">
        <f aca="false">IFERROR(IF(ISBLANK(Actuals!G98),"",('Original Budget'!G98-Actuals!G98)/ABS('Original Budget'!G98)),"")</f>
        <v>1.28983437928676</v>
      </c>
      <c r="V82" s="136" t="n">
        <f aca="false">'Original Budget'!H98</f>
        <v>-2675.39</v>
      </c>
      <c r="W82" s="136" t="n">
        <f aca="false">IF(ISBLANK(Actuals!H98),"",Actuals!H98)</f>
        <v>-1993.2</v>
      </c>
      <c r="X82" s="137" t="n">
        <f aca="false">IF(ISBLANK(Actuals!H98),"",'Original Budget'!H98-Actuals!H98)</f>
        <v>-682.19</v>
      </c>
      <c r="Y82" s="137" t="n">
        <f aca="false">IFERROR(IF(ISBLANK(Actuals!H98),"",('Original Budget'!H98-Actuals!H98)/ABS('Original Budget'!H98)),"")</f>
        <v>-0.254987123372667</v>
      </c>
      <c r="Z82" s="136" t="n">
        <f aca="false">'Original Budget'!I98</f>
        <v>-2675.39</v>
      </c>
      <c r="AA82" s="136" t="str">
        <f aca="false">IF(ISBLANK(Actuals!I98),"",Actuals!I98)</f>
        <v/>
      </c>
      <c r="AB82" s="137" t="str">
        <f aca="false">IF(ISBLANK(Actuals!I98),"",'Original Budget'!I98-Actuals!I98)</f>
        <v/>
      </c>
      <c r="AC82" s="137" t="str">
        <f aca="false">IFERROR(IF(ISBLANK(Actuals!I98),"",('Original Budget'!I98-Actuals!I98)/ABS('Original Budget'!I98)),"")</f>
        <v/>
      </c>
      <c r="AD82" s="136" t="n">
        <f aca="false">'Original Budget'!J98</f>
        <v>-2675.39</v>
      </c>
      <c r="AE82" s="136" t="str">
        <f aca="false">IF(ISBLANK(Actuals!J98),"",Actuals!J98)</f>
        <v/>
      </c>
      <c r="AF82" s="137" t="str">
        <f aca="false">IF(ISBLANK(Actuals!J98),"",'Original Budget'!J98-Actuals!J98)</f>
        <v/>
      </c>
      <c r="AG82" s="137" t="str">
        <f aca="false">IFERROR(IF(ISBLANK(Actuals!J98),"",('Original Budget'!J98-Actuals!J98)/ABS('Original Budget'!J98)),"")</f>
        <v/>
      </c>
      <c r="AH82" s="136" t="n">
        <f aca="false">'Original Budget'!K98</f>
        <v>-2675.39</v>
      </c>
      <c r="AI82" s="136" t="str">
        <f aca="false">IF(ISBLANK(Actuals!K98),"",Actuals!K98)</f>
        <v/>
      </c>
      <c r="AJ82" s="137" t="str">
        <f aca="false">IF(ISBLANK(Actuals!K98),"",'Original Budget'!K98-Actuals!K98)</f>
        <v/>
      </c>
      <c r="AK82" s="137" t="str">
        <f aca="false">IFERROR(IF(ISBLANK(Actuals!K98),"",('Original Budget'!K98-Actuals!K98)/ABS('Original Budget'!K98)),"")</f>
        <v/>
      </c>
      <c r="AL82" s="136" t="n">
        <f aca="false">'Original Budget'!L98</f>
        <v>-2675.39</v>
      </c>
      <c r="AM82" s="136" t="str">
        <f aca="false">IF(ISBLANK(Actuals!L98),"",Actuals!L98)</f>
        <v/>
      </c>
      <c r="AN82" s="137" t="str">
        <f aca="false">IF(ISBLANK(Actuals!L98),"",'Original Budget'!L98-Actuals!L98)</f>
        <v/>
      </c>
      <c r="AO82" s="137" t="str">
        <f aca="false">IFERROR(IF(ISBLANK(Actuals!L98),"",('Original Budget'!L98-Actuals!L98)/ABS('Original Budget'!L98)),"")</f>
        <v/>
      </c>
      <c r="AP82" s="136" t="n">
        <f aca="false">'Original Budget'!M98</f>
        <v>-2675.39</v>
      </c>
      <c r="AQ82" s="136" t="str">
        <f aca="false">IF(ISBLANK(Actuals!M98),"",Actuals!M98)</f>
        <v/>
      </c>
      <c r="AR82" s="137" t="str">
        <f aca="false">IF(ISBLANK(Actuals!M98),"",'Original Budget'!M98-Actuals!M98)</f>
        <v/>
      </c>
      <c r="AS82" s="137" t="str">
        <f aca="false">IFERROR(IF(ISBLANK(Actuals!M98),"",('Original Budget'!M98-Actuals!M98)/ABS('Original Budget'!M98)),"")</f>
        <v/>
      </c>
      <c r="AT82" s="136" t="n">
        <f aca="false">'Original Budget'!N98</f>
        <v>-2675.39</v>
      </c>
      <c r="AU82" s="136" t="str">
        <f aca="false">IF(ISBLANK(Actuals!N98),"",Actuals!N98)</f>
        <v/>
      </c>
      <c r="AV82" s="137" t="str">
        <f aca="false">IF(ISBLANK(Actuals!N98),"",'Original Budget'!N98-Actuals!N98)</f>
        <v/>
      </c>
      <c r="AW82" s="137" t="str">
        <f aca="false">IFERROR(IF(ISBLANK(Actuals!N98),"",('Original Budget'!N98-Actuals!N98)/ABS('Original Budget'!N98)),"")</f>
        <v/>
      </c>
      <c r="AX82" s="138" t="n">
        <f aca="false">SUMPRODUCT((Actuals!C98:N98&lt;&gt;"")*('Original Budget'!C98:N98))</f>
        <v>-16052.35</v>
      </c>
      <c r="AY82" s="138" t="n">
        <f aca="false">SUM(Actuals!C98:N98)</f>
        <v>-18115.78</v>
      </c>
      <c r="AZ82" s="139" t="n">
        <f aca="false">AX82-AY82</f>
        <v>2063.43</v>
      </c>
    </row>
    <row r="83" customFormat="false" ht="15" hidden="false" customHeight="true" outlineLevel="0" collapsed="false">
      <c r="A83" s="135" t="s">
        <v>77</v>
      </c>
      <c r="B83" s="136" t="n">
        <f aca="false">'Original Budget'!C99</f>
        <v>-28038</v>
      </c>
      <c r="C83" s="136" t="n">
        <f aca="false">IF(ISBLANK(Actuals!C99),"",Actuals!C99)</f>
        <v>-28038</v>
      </c>
      <c r="D83" s="137" t="n">
        <f aca="false">IF(ISBLANK(Actuals!C99),"",'Original Budget'!C99-Actuals!C99)</f>
        <v>0</v>
      </c>
      <c r="E83" s="137" t="n">
        <f aca="false">IFERROR(IF(ISBLANK(Actuals!C99),"",('Original Budget'!C99-Actuals!C99)/ABS('Original Budget'!C99)),"")</f>
        <v>0</v>
      </c>
      <c r="F83" s="136" t="n">
        <f aca="false">'Original Budget'!D99</f>
        <v>-29387.5</v>
      </c>
      <c r="G83" s="136" t="n">
        <f aca="false">IF(ISBLANK(Actuals!D99),"",Actuals!D99)</f>
        <v>-29387.5</v>
      </c>
      <c r="H83" s="137" t="n">
        <f aca="false">IF(ISBLANK(Actuals!D99),"",'Original Budget'!D99-Actuals!D99)</f>
        <v>0</v>
      </c>
      <c r="I83" s="137" t="n">
        <f aca="false">IFERROR(IF(ISBLANK(Actuals!D99),"",('Original Budget'!D99-Actuals!D99)/ABS('Original Budget'!D99)),"")</f>
        <v>0</v>
      </c>
      <c r="J83" s="136" t="n">
        <f aca="false">'Original Budget'!E99</f>
        <v>-28083</v>
      </c>
      <c r="K83" s="136" t="n">
        <f aca="false">IF(ISBLANK(Actuals!E99),"",Actuals!E99)</f>
        <v>-28083</v>
      </c>
      <c r="L83" s="137" t="n">
        <f aca="false">IF(ISBLANK(Actuals!E99),"",'Original Budget'!E99-Actuals!E99)</f>
        <v>0</v>
      </c>
      <c r="M83" s="137" t="n">
        <f aca="false">IFERROR(IF(ISBLANK(Actuals!E99),"",('Original Budget'!E99-Actuals!E99)/ABS('Original Budget'!E99)),"")</f>
        <v>0</v>
      </c>
      <c r="N83" s="136" t="n">
        <f aca="false">'Original Budget'!F99</f>
        <v>-8625</v>
      </c>
      <c r="O83" s="136" t="n">
        <f aca="false">IF(ISBLANK(Actuals!F99),"",Actuals!F99)</f>
        <v>-28083</v>
      </c>
      <c r="P83" s="137" t="n">
        <f aca="false">IF(ISBLANK(Actuals!F99),"",'Original Budget'!F99-Actuals!F99)</f>
        <v>19458</v>
      </c>
      <c r="Q83" s="137" t="n">
        <f aca="false">IFERROR(IF(ISBLANK(Actuals!F99),"",('Original Budget'!F99-Actuals!F99)/ABS('Original Budget'!F99)),"")</f>
        <v>2.256</v>
      </c>
      <c r="R83" s="136" t="n">
        <f aca="false">'Original Budget'!G99</f>
        <v>-8625</v>
      </c>
      <c r="S83" s="136" t="n">
        <f aca="false">IF(ISBLANK(Actuals!G99),"",Actuals!G99)</f>
        <v>-69333</v>
      </c>
      <c r="T83" s="137" t="n">
        <f aca="false">IF(ISBLANK(Actuals!G99),"",'Original Budget'!G99-Actuals!G99)</f>
        <v>60708</v>
      </c>
      <c r="U83" s="137" t="n">
        <f aca="false">IFERROR(IF(ISBLANK(Actuals!G99),"",('Original Budget'!G99-Actuals!G99)/ABS('Original Budget'!G99)),"")</f>
        <v>7.03860869565217</v>
      </c>
      <c r="V83" s="136" t="n">
        <f aca="false">'Original Budget'!H99</f>
        <v>-8625</v>
      </c>
      <c r="W83" s="136" t="n">
        <f aca="false">IF(ISBLANK(Actuals!H99),"",Actuals!H99)</f>
        <v>-28083</v>
      </c>
      <c r="X83" s="137" t="n">
        <f aca="false">IF(ISBLANK(Actuals!H99),"",'Original Budget'!H99-Actuals!H99)</f>
        <v>19458</v>
      </c>
      <c r="Y83" s="137" t="n">
        <f aca="false">IFERROR(IF(ISBLANK(Actuals!H99),"",('Original Budget'!H99-Actuals!H99)/ABS('Original Budget'!H99)),"")</f>
        <v>2.256</v>
      </c>
      <c r="Z83" s="136" t="n">
        <f aca="false">'Original Budget'!I99</f>
        <v>-8625</v>
      </c>
      <c r="AA83" s="136" t="str">
        <f aca="false">IF(ISBLANK(Actuals!I99),"",Actuals!I99)</f>
        <v/>
      </c>
      <c r="AB83" s="137" t="str">
        <f aca="false">IF(ISBLANK(Actuals!I99),"",'Original Budget'!I99-Actuals!I99)</f>
        <v/>
      </c>
      <c r="AC83" s="137" t="str">
        <f aca="false">IFERROR(IF(ISBLANK(Actuals!I99),"",('Original Budget'!I99-Actuals!I99)/ABS('Original Budget'!I99)),"")</f>
        <v/>
      </c>
      <c r="AD83" s="136" t="n">
        <f aca="false">'Original Budget'!J99</f>
        <v>-8625</v>
      </c>
      <c r="AE83" s="136" t="str">
        <f aca="false">IF(ISBLANK(Actuals!J99),"",Actuals!J99)</f>
        <v/>
      </c>
      <c r="AF83" s="137" t="str">
        <f aca="false">IF(ISBLANK(Actuals!J99),"",'Original Budget'!J99-Actuals!J99)</f>
        <v/>
      </c>
      <c r="AG83" s="137" t="str">
        <f aca="false">IFERROR(IF(ISBLANK(Actuals!J99),"",('Original Budget'!J99-Actuals!J99)/ABS('Original Budget'!J99)),"")</f>
        <v/>
      </c>
      <c r="AH83" s="136" t="n">
        <f aca="false">'Original Budget'!K99</f>
        <v>-8625</v>
      </c>
      <c r="AI83" s="136" t="str">
        <f aca="false">IF(ISBLANK(Actuals!K99),"",Actuals!K99)</f>
        <v/>
      </c>
      <c r="AJ83" s="137" t="str">
        <f aca="false">IF(ISBLANK(Actuals!K99),"",'Original Budget'!K99-Actuals!K99)</f>
        <v/>
      </c>
      <c r="AK83" s="137" t="str">
        <f aca="false">IFERROR(IF(ISBLANK(Actuals!K99),"",('Original Budget'!K99-Actuals!K99)/ABS('Original Budget'!K99)),"")</f>
        <v/>
      </c>
      <c r="AL83" s="136" t="n">
        <f aca="false">'Original Budget'!L99</f>
        <v>-8625</v>
      </c>
      <c r="AM83" s="136" t="str">
        <f aca="false">IF(ISBLANK(Actuals!L99),"",Actuals!L99)</f>
        <v/>
      </c>
      <c r="AN83" s="137" t="str">
        <f aca="false">IF(ISBLANK(Actuals!L99),"",'Original Budget'!L99-Actuals!L99)</f>
        <v/>
      </c>
      <c r="AO83" s="137" t="str">
        <f aca="false">IFERROR(IF(ISBLANK(Actuals!L99),"",('Original Budget'!L99-Actuals!L99)/ABS('Original Budget'!L99)),"")</f>
        <v/>
      </c>
      <c r="AP83" s="136" t="n">
        <f aca="false">'Original Budget'!M99</f>
        <v>-8625</v>
      </c>
      <c r="AQ83" s="136" t="str">
        <f aca="false">IF(ISBLANK(Actuals!M99),"",Actuals!M99)</f>
        <v/>
      </c>
      <c r="AR83" s="137" t="str">
        <f aca="false">IF(ISBLANK(Actuals!M99),"",'Original Budget'!M99-Actuals!M99)</f>
        <v/>
      </c>
      <c r="AS83" s="137" t="str">
        <f aca="false">IFERROR(IF(ISBLANK(Actuals!M99),"",('Original Budget'!M99-Actuals!M99)/ABS('Original Budget'!M99)),"")</f>
        <v/>
      </c>
      <c r="AT83" s="136" t="n">
        <f aca="false">'Original Budget'!N99</f>
        <v>-8625</v>
      </c>
      <c r="AU83" s="136" t="str">
        <f aca="false">IF(ISBLANK(Actuals!N99),"",Actuals!N99)</f>
        <v/>
      </c>
      <c r="AV83" s="137" t="str">
        <f aca="false">IF(ISBLANK(Actuals!N99),"",'Original Budget'!N99-Actuals!N99)</f>
        <v/>
      </c>
      <c r="AW83" s="137" t="str">
        <f aca="false">IFERROR(IF(ISBLANK(Actuals!N99),"",('Original Budget'!N99-Actuals!N99)/ABS('Original Budget'!N99)),"")</f>
        <v/>
      </c>
      <c r="AX83" s="138" t="n">
        <f aca="false">SUMPRODUCT((Actuals!C99:N99&lt;&gt;"")*('Original Budget'!C99:N99))</f>
        <v>-111383.5</v>
      </c>
      <c r="AY83" s="138" t="n">
        <f aca="false">SUM(Actuals!C99:N99)</f>
        <v>-211007.5</v>
      </c>
      <c r="AZ83" s="139" t="n">
        <f aca="false">AX83-AY83</f>
        <v>99624</v>
      </c>
    </row>
    <row r="84" customFormat="false" ht="15" hidden="false" customHeight="true" outlineLevel="0" collapsed="false">
      <c r="A84" s="135" t="s">
        <v>123</v>
      </c>
      <c r="B84" s="136" t="n">
        <f aca="false">'Original Budget'!C100</f>
        <v>-268</v>
      </c>
      <c r="C84" s="136" t="n">
        <f aca="false">IF(ISBLANK(Actuals!C100),"",Actuals!C100)</f>
        <v>-268</v>
      </c>
      <c r="D84" s="137" t="n">
        <f aca="false">IF(ISBLANK(Actuals!C100),"",'Original Budget'!C100-Actuals!C100)</f>
        <v>0</v>
      </c>
      <c r="E84" s="137" t="n">
        <f aca="false">IFERROR(IF(ISBLANK(Actuals!C100),"",('Original Budget'!C100-Actuals!C100)/ABS('Original Budget'!C100)),"")</f>
        <v>0</v>
      </c>
      <c r="F84" s="136" t="n">
        <f aca="false">'Original Budget'!D100</f>
        <v>-2088.75</v>
      </c>
      <c r="G84" s="136" t="n">
        <f aca="false">IF(ISBLANK(Actuals!D100),"",Actuals!D100)</f>
        <v>-2088.75</v>
      </c>
      <c r="H84" s="137" t="n">
        <f aca="false">IF(ISBLANK(Actuals!D100),"",'Original Budget'!D100-Actuals!D100)</f>
        <v>0</v>
      </c>
      <c r="I84" s="137" t="n">
        <f aca="false">IFERROR(IF(ISBLANK(Actuals!D100),"",('Original Budget'!D100-Actuals!D100)/ABS('Original Budget'!D100)),"")</f>
        <v>0</v>
      </c>
      <c r="J84" s="136" t="n">
        <f aca="false">'Original Budget'!E100</f>
        <v>-2401.75</v>
      </c>
      <c r="K84" s="136" t="n">
        <f aca="false">IF(ISBLANK(Actuals!E100),"",Actuals!E100)</f>
        <v>-2401.75</v>
      </c>
      <c r="L84" s="137" t="n">
        <f aca="false">IF(ISBLANK(Actuals!E100),"",'Original Budget'!E100-Actuals!E100)</f>
        <v>0</v>
      </c>
      <c r="M84" s="137" t="n">
        <f aca="false">IFERROR(IF(ISBLANK(Actuals!E100),"",('Original Budget'!E100-Actuals!E100)/ABS('Original Budget'!E100)),"")</f>
        <v>0</v>
      </c>
      <c r="N84" s="136" t="n">
        <f aca="false">'Original Budget'!F100</f>
        <v>-1586.17</v>
      </c>
      <c r="O84" s="136" t="n">
        <f aca="false">IF(ISBLANK(Actuals!F100),"",Actuals!F100)</f>
        <v>-4209.5</v>
      </c>
      <c r="P84" s="137" t="n">
        <f aca="false">IF(ISBLANK(Actuals!F100),"",'Original Budget'!F100-Actuals!F100)</f>
        <v>2623.33</v>
      </c>
      <c r="Q84" s="137" t="n">
        <f aca="false">IFERROR(IF(ISBLANK(Actuals!F100),"",('Original Budget'!F100-Actuals!F100)/ABS('Original Budget'!F100)),"")</f>
        <v>1.65387694887685</v>
      </c>
      <c r="R84" s="136" t="n">
        <f aca="false">'Original Budget'!G100</f>
        <v>-1586.17</v>
      </c>
      <c r="S84" s="136" t="n">
        <f aca="false">IF(ISBLANK(Actuals!G100),"",Actuals!G100)</f>
        <v>-2377.59</v>
      </c>
      <c r="T84" s="137" t="n">
        <f aca="false">IF(ISBLANK(Actuals!G100),"",'Original Budget'!G100-Actuals!G100)</f>
        <v>791.42</v>
      </c>
      <c r="U84" s="137" t="n">
        <f aca="false">IFERROR(IF(ISBLANK(Actuals!G100),"",('Original Budget'!G100-Actuals!G100)/ABS('Original Budget'!G100)),"")</f>
        <v>0.498950301670061</v>
      </c>
      <c r="V84" s="136" t="n">
        <f aca="false">'Original Budget'!H100</f>
        <v>-1586.17</v>
      </c>
      <c r="W84" s="136" t="n">
        <f aca="false">IF(ISBLANK(Actuals!H100),"",Actuals!H100)</f>
        <v>-16</v>
      </c>
      <c r="X84" s="137" t="n">
        <f aca="false">IF(ISBLANK(Actuals!H100),"",'Original Budget'!H100-Actuals!H100)</f>
        <v>-1570.17</v>
      </c>
      <c r="Y84" s="137" t="n">
        <f aca="false">IFERROR(IF(ISBLANK(Actuals!H100),"",('Original Budget'!H100-Actuals!H100)/ABS('Original Budget'!H100)),"")</f>
        <v>-0.989912808841423</v>
      </c>
      <c r="Z84" s="136" t="n">
        <f aca="false">'Original Budget'!I100</f>
        <v>-1586.17</v>
      </c>
      <c r="AA84" s="136" t="str">
        <f aca="false">IF(ISBLANK(Actuals!I100),"",Actuals!I100)</f>
        <v/>
      </c>
      <c r="AB84" s="137" t="str">
        <f aca="false">IF(ISBLANK(Actuals!I100),"",'Original Budget'!I100-Actuals!I100)</f>
        <v/>
      </c>
      <c r="AC84" s="137" t="str">
        <f aca="false">IFERROR(IF(ISBLANK(Actuals!I100),"",('Original Budget'!I100-Actuals!I100)/ABS('Original Budget'!I100)),"")</f>
        <v/>
      </c>
      <c r="AD84" s="136" t="n">
        <f aca="false">'Original Budget'!J100</f>
        <v>-1586.17</v>
      </c>
      <c r="AE84" s="136" t="str">
        <f aca="false">IF(ISBLANK(Actuals!J100),"",Actuals!J100)</f>
        <v/>
      </c>
      <c r="AF84" s="137" t="str">
        <f aca="false">IF(ISBLANK(Actuals!J100),"",'Original Budget'!J100-Actuals!J100)</f>
        <v/>
      </c>
      <c r="AG84" s="137" t="str">
        <f aca="false">IFERROR(IF(ISBLANK(Actuals!J100),"",('Original Budget'!J100-Actuals!J100)/ABS('Original Budget'!J100)),"")</f>
        <v/>
      </c>
      <c r="AH84" s="136" t="n">
        <f aca="false">'Original Budget'!K100</f>
        <v>-1586.17</v>
      </c>
      <c r="AI84" s="136" t="str">
        <f aca="false">IF(ISBLANK(Actuals!K100),"",Actuals!K100)</f>
        <v/>
      </c>
      <c r="AJ84" s="137" t="str">
        <f aca="false">IF(ISBLANK(Actuals!K100),"",'Original Budget'!K100-Actuals!K100)</f>
        <v/>
      </c>
      <c r="AK84" s="137" t="str">
        <f aca="false">IFERROR(IF(ISBLANK(Actuals!K100),"",('Original Budget'!K100-Actuals!K100)/ABS('Original Budget'!K100)),"")</f>
        <v/>
      </c>
      <c r="AL84" s="136" t="n">
        <f aca="false">'Original Budget'!L100</f>
        <v>-1586.17</v>
      </c>
      <c r="AM84" s="136" t="str">
        <f aca="false">IF(ISBLANK(Actuals!L100),"",Actuals!L100)</f>
        <v/>
      </c>
      <c r="AN84" s="137" t="str">
        <f aca="false">IF(ISBLANK(Actuals!L100),"",'Original Budget'!L100-Actuals!L100)</f>
        <v/>
      </c>
      <c r="AO84" s="137" t="str">
        <f aca="false">IFERROR(IF(ISBLANK(Actuals!L100),"",('Original Budget'!L100-Actuals!L100)/ABS('Original Budget'!L100)),"")</f>
        <v/>
      </c>
      <c r="AP84" s="136" t="n">
        <f aca="false">'Original Budget'!M100</f>
        <v>-1586.17</v>
      </c>
      <c r="AQ84" s="136" t="str">
        <f aca="false">IF(ISBLANK(Actuals!M100),"",Actuals!M100)</f>
        <v/>
      </c>
      <c r="AR84" s="137" t="str">
        <f aca="false">IF(ISBLANK(Actuals!M100),"",'Original Budget'!M100-Actuals!M100)</f>
        <v/>
      </c>
      <c r="AS84" s="137" t="str">
        <f aca="false">IFERROR(IF(ISBLANK(Actuals!M100),"",('Original Budget'!M100-Actuals!M100)/ABS('Original Budget'!M100)),"")</f>
        <v/>
      </c>
      <c r="AT84" s="136" t="n">
        <f aca="false">'Original Budget'!N100</f>
        <v>-1586.17</v>
      </c>
      <c r="AU84" s="136" t="str">
        <f aca="false">IF(ISBLANK(Actuals!N100),"",Actuals!N100)</f>
        <v/>
      </c>
      <c r="AV84" s="137" t="str">
        <f aca="false">IF(ISBLANK(Actuals!N100),"",'Original Budget'!N100-Actuals!N100)</f>
        <v/>
      </c>
      <c r="AW84" s="137" t="str">
        <f aca="false">IFERROR(IF(ISBLANK(Actuals!N100),"",('Original Budget'!N100-Actuals!N100)/ABS('Original Budget'!N100)),"")</f>
        <v/>
      </c>
      <c r="AX84" s="138" t="n">
        <f aca="false">SUMPRODUCT((Actuals!C100:N100&lt;&gt;"")*('Original Budget'!C100:N100))</f>
        <v>-9517.01</v>
      </c>
      <c r="AY84" s="138" t="n">
        <f aca="false">SUM(Actuals!C100:N100)</f>
        <v>-11361.59</v>
      </c>
      <c r="AZ84" s="139" t="n">
        <f aca="false">AX84-AY84</f>
        <v>1844.58</v>
      </c>
    </row>
    <row r="85" customFormat="false" ht="15" hidden="false" customHeight="true" outlineLevel="0" collapsed="false">
      <c r="A85" s="135" t="s">
        <v>124</v>
      </c>
      <c r="B85" s="136" t="n">
        <f aca="false">'Original Budget'!C101</f>
        <v>-341.83</v>
      </c>
      <c r="C85" s="136" t="n">
        <f aca="false">IF(ISBLANK(Actuals!C101),"",Actuals!C101)</f>
        <v>-341.83</v>
      </c>
      <c r="D85" s="137" t="n">
        <f aca="false">IF(ISBLANK(Actuals!C101),"",'Original Budget'!C101-Actuals!C101)</f>
        <v>0</v>
      </c>
      <c r="E85" s="137" t="n">
        <f aca="false">IFERROR(IF(ISBLANK(Actuals!C101),"",('Original Budget'!C101-Actuals!C101)/ABS('Original Budget'!C101)),"")</f>
        <v>0</v>
      </c>
      <c r="F85" s="136" t="n">
        <f aca="false">'Original Budget'!D101</f>
        <v>-728</v>
      </c>
      <c r="G85" s="136" t="n">
        <f aca="false">IF(ISBLANK(Actuals!D101),"",Actuals!D101)</f>
        <v>-728</v>
      </c>
      <c r="H85" s="137" t="n">
        <f aca="false">IF(ISBLANK(Actuals!D101),"",'Original Budget'!D101-Actuals!D101)</f>
        <v>0</v>
      </c>
      <c r="I85" s="137" t="n">
        <f aca="false">IFERROR(IF(ISBLANK(Actuals!D101),"",('Original Budget'!D101-Actuals!D101)/ABS('Original Budget'!D101)),"")</f>
        <v>0</v>
      </c>
      <c r="J85" s="136" t="n">
        <f aca="false">'Original Budget'!E101</f>
        <v>-15256.75</v>
      </c>
      <c r="K85" s="136" t="n">
        <f aca="false">IF(ISBLANK(Actuals!E101),"",Actuals!E101)</f>
        <v>-15256.75</v>
      </c>
      <c r="L85" s="137" t="n">
        <f aca="false">IF(ISBLANK(Actuals!E101),"",'Original Budget'!E101-Actuals!E101)</f>
        <v>0</v>
      </c>
      <c r="M85" s="137" t="n">
        <f aca="false">IFERROR(IF(ISBLANK(Actuals!E101),"",('Original Budget'!E101-Actuals!E101)/ABS('Original Budget'!E101)),"")</f>
        <v>0</v>
      </c>
      <c r="N85" s="136" t="n">
        <f aca="false">'Original Budget'!F101</f>
        <v>-5442.19</v>
      </c>
      <c r="O85" s="136" t="n">
        <f aca="false">IF(ISBLANK(Actuals!F101),"",Actuals!F101)</f>
        <v>-1033.41</v>
      </c>
      <c r="P85" s="137" t="n">
        <f aca="false">IF(ISBLANK(Actuals!F101),"",'Original Budget'!F101-Actuals!F101)</f>
        <v>-4408.78</v>
      </c>
      <c r="Q85" s="137" t="n">
        <f aca="false">IFERROR(IF(ISBLANK(Actuals!F101),"",('Original Budget'!F101-Actuals!F101)/ABS('Original Budget'!F101)),"")</f>
        <v>-0.810111370606318</v>
      </c>
      <c r="R85" s="136" t="n">
        <f aca="false">'Original Budget'!G101</f>
        <v>-5442.19</v>
      </c>
      <c r="S85" s="136" t="n">
        <f aca="false">IF(ISBLANK(Actuals!G101),"",Actuals!G101)</f>
        <v>-3499</v>
      </c>
      <c r="T85" s="137" t="n">
        <f aca="false">IF(ISBLANK(Actuals!G101),"",'Original Budget'!G101-Actuals!G101)</f>
        <v>-1943.19</v>
      </c>
      <c r="U85" s="137" t="n">
        <f aca="false">IFERROR(IF(ISBLANK(Actuals!G101),"",('Original Budget'!G101-Actuals!G101)/ABS('Original Budget'!G101)),"")</f>
        <v>-0.357060301092024</v>
      </c>
      <c r="V85" s="136" t="n">
        <f aca="false">'Original Budget'!H101</f>
        <v>-5442.19</v>
      </c>
      <c r="W85" s="136" t="n">
        <f aca="false">IF(ISBLANK(Actuals!H101),"",Actuals!H101)</f>
        <v>-1033.41</v>
      </c>
      <c r="X85" s="137" t="n">
        <f aca="false">IF(ISBLANK(Actuals!H101),"",'Original Budget'!H101-Actuals!H101)</f>
        <v>-4408.78</v>
      </c>
      <c r="Y85" s="137" t="n">
        <f aca="false">IFERROR(IF(ISBLANK(Actuals!H101),"",('Original Budget'!H101-Actuals!H101)/ABS('Original Budget'!H101)),"")</f>
        <v>-0.810111370606318</v>
      </c>
      <c r="Z85" s="136" t="n">
        <f aca="false">'Original Budget'!I101</f>
        <v>-5442.19</v>
      </c>
      <c r="AA85" s="136" t="str">
        <f aca="false">IF(ISBLANK(Actuals!I101),"",Actuals!I101)</f>
        <v/>
      </c>
      <c r="AB85" s="137" t="str">
        <f aca="false">IF(ISBLANK(Actuals!I101),"",'Original Budget'!I101-Actuals!I101)</f>
        <v/>
      </c>
      <c r="AC85" s="137" t="str">
        <f aca="false">IFERROR(IF(ISBLANK(Actuals!I101),"",('Original Budget'!I101-Actuals!I101)/ABS('Original Budget'!I101)),"")</f>
        <v/>
      </c>
      <c r="AD85" s="136" t="n">
        <f aca="false">'Original Budget'!J101</f>
        <v>-5442.19</v>
      </c>
      <c r="AE85" s="136" t="str">
        <f aca="false">IF(ISBLANK(Actuals!J101),"",Actuals!J101)</f>
        <v/>
      </c>
      <c r="AF85" s="137" t="str">
        <f aca="false">IF(ISBLANK(Actuals!J101),"",'Original Budget'!J101-Actuals!J101)</f>
        <v/>
      </c>
      <c r="AG85" s="137" t="str">
        <f aca="false">IFERROR(IF(ISBLANK(Actuals!J101),"",('Original Budget'!J101-Actuals!J101)/ABS('Original Budget'!J101)),"")</f>
        <v/>
      </c>
      <c r="AH85" s="136" t="n">
        <f aca="false">'Original Budget'!K101</f>
        <v>-5442.19</v>
      </c>
      <c r="AI85" s="136" t="str">
        <f aca="false">IF(ISBLANK(Actuals!K101),"",Actuals!K101)</f>
        <v/>
      </c>
      <c r="AJ85" s="137" t="str">
        <f aca="false">IF(ISBLANK(Actuals!K101),"",'Original Budget'!K101-Actuals!K101)</f>
        <v/>
      </c>
      <c r="AK85" s="137" t="str">
        <f aca="false">IFERROR(IF(ISBLANK(Actuals!K101),"",('Original Budget'!K101-Actuals!K101)/ABS('Original Budget'!K101)),"")</f>
        <v/>
      </c>
      <c r="AL85" s="136" t="n">
        <f aca="false">'Original Budget'!L101</f>
        <v>-5442.19</v>
      </c>
      <c r="AM85" s="136" t="str">
        <f aca="false">IF(ISBLANK(Actuals!L101),"",Actuals!L101)</f>
        <v/>
      </c>
      <c r="AN85" s="137" t="str">
        <f aca="false">IF(ISBLANK(Actuals!L101),"",'Original Budget'!L101-Actuals!L101)</f>
        <v/>
      </c>
      <c r="AO85" s="137" t="str">
        <f aca="false">IFERROR(IF(ISBLANK(Actuals!L101),"",('Original Budget'!L101-Actuals!L101)/ABS('Original Budget'!L101)),"")</f>
        <v/>
      </c>
      <c r="AP85" s="136" t="n">
        <f aca="false">'Original Budget'!M101</f>
        <v>-5442.19</v>
      </c>
      <c r="AQ85" s="136" t="str">
        <f aca="false">IF(ISBLANK(Actuals!M101),"",Actuals!M101)</f>
        <v/>
      </c>
      <c r="AR85" s="137" t="str">
        <f aca="false">IF(ISBLANK(Actuals!M101),"",'Original Budget'!M101-Actuals!M101)</f>
        <v/>
      </c>
      <c r="AS85" s="137" t="str">
        <f aca="false">IFERROR(IF(ISBLANK(Actuals!M101),"",('Original Budget'!M101-Actuals!M101)/ABS('Original Budget'!M101)),"")</f>
        <v/>
      </c>
      <c r="AT85" s="136" t="n">
        <f aca="false">'Original Budget'!N101</f>
        <v>-5442.19</v>
      </c>
      <c r="AU85" s="136" t="str">
        <f aca="false">IF(ISBLANK(Actuals!N101),"",Actuals!N101)</f>
        <v/>
      </c>
      <c r="AV85" s="137" t="str">
        <f aca="false">IF(ISBLANK(Actuals!N101),"",'Original Budget'!N101-Actuals!N101)</f>
        <v/>
      </c>
      <c r="AW85" s="137" t="str">
        <f aca="false">IFERROR(IF(ISBLANK(Actuals!N101),"",('Original Budget'!N101-Actuals!N101)/ABS('Original Budget'!N101)),"")</f>
        <v/>
      </c>
      <c r="AX85" s="138" t="n">
        <f aca="false">SUMPRODUCT((Actuals!C101:N101&lt;&gt;"")*('Original Budget'!C101:N101))</f>
        <v>-32653.15</v>
      </c>
      <c r="AY85" s="138" t="n">
        <f aca="false">SUM(Actuals!C101:N101)</f>
        <v>-21892.4</v>
      </c>
      <c r="AZ85" s="139" t="n">
        <f aca="false">AX85-AY85</f>
        <v>-10760.75</v>
      </c>
    </row>
    <row r="86" customFormat="false" ht="15" hidden="false" customHeight="true" outlineLevel="0" collapsed="false">
      <c r="A86" s="135" t="s">
        <v>125</v>
      </c>
      <c r="B86" s="136" t="n">
        <f aca="false">'Original Budget'!C102</f>
        <v>-1905.31</v>
      </c>
      <c r="C86" s="136" t="n">
        <f aca="false">IF(ISBLANK(Actuals!C102),"",Actuals!C102)</f>
        <v>-1905.31</v>
      </c>
      <c r="D86" s="137" t="n">
        <f aca="false">IF(ISBLANK(Actuals!C102),"",'Original Budget'!C102-Actuals!C102)</f>
        <v>0</v>
      </c>
      <c r="E86" s="137" t="n">
        <f aca="false">IFERROR(IF(ISBLANK(Actuals!C102),"",('Original Budget'!C102-Actuals!C102)/ABS('Original Budget'!C102)),"")</f>
        <v>0</v>
      </c>
      <c r="F86" s="136" t="n">
        <f aca="false">'Original Budget'!D102</f>
        <v>-1905.31</v>
      </c>
      <c r="G86" s="136" t="n">
        <f aca="false">IF(ISBLANK(Actuals!D102),"",Actuals!D102)</f>
        <v>-1905.31</v>
      </c>
      <c r="H86" s="137" t="n">
        <f aca="false">IF(ISBLANK(Actuals!D102),"",'Original Budget'!D102-Actuals!D102)</f>
        <v>0</v>
      </c>
      <c r="I86" s="137" t="n">
        <f aca="false">IFERROR(IF(ISBLANK(Actuals!D102),"",('Original Budget'!D102-Actuals!D102)/ABS('Original Budget'!D102)),"")</f>
        <v>0</v>
      </c>
      <c r="J86" s="136" t="n">
        <f aca="false">'Original Budget'!E102</f>
        <v>-1905.31</v>
      </c>
      <c r="K86" s="136" t="n">
        <f aca="false">IF(ISBLANK(Actuals!E102),"",Actuals!E102)</f>
        <v>-1905.31</v>
      </c>
      <c r="L86" s="137" t="n">
        <f aca="false">IF(ISBLANK(Actuals!E102),"",'Original Budget'!E102-Actuals!E102)</f>
        <v>0</v>
      </c>
      <c r="M86" s="137" t="n">
        <f aca="false">IFERROR(IF(ISBLANK(Actuals!E102),"",('Original Budget'!E102-Actuals!E102)/ABS('Original Budget'!E102)),"")</f>
        <v>0</v>
      </c>
      <c r="N86" s="136" t="n">
        <f aca="false">'Original Budget'!F102</f>
        <v>-1905.31</v>
      </c>
      <c r="O86" s="136" t="n">
        <f aca="false">IF(ISBLANK(Actuals!F102),"",Actuals!F102)</f>
        <v>-1905.31</v>
      </c>
      <c r="P86" s="137" t="n">
        <f aca="false">IF(ISBLANK(Actuals!F102),"",'Original Budget'!F102-Actuals!F102)</f>
        <v>0</v>
      </c>
      <c r="Q86" s="137" t="n">
        <f aca="false">IFERROR(IF(ISBLANK(Actuals!F102),"",('Original Budget'!F102-Actuals!F102)/ABS('Original Budget'!F102)),"")</f>
        <v>0</v>
      </c>
      <c r="R86" s="136" t="n">
        <f aca="false">'Original Budget'!G102</f>
        <v>-1905.31</v>
      </c>
      <c r="S86" s="136" t="n">
        <f aca="false">IF(ISBLANK(Actuals!G102),"",Actuals!G102)</f>
        <v>-1905.31</v>
      </c>
      <c r="T86" s="137" t="n">
        <f aca="false">IF(ISBLANK(Actuals!G102),"",'Original Budget'!G102-Actuals!G102)</f>
        <v>0</v>
      </c>
      <c r="U86" s="137" t="n">
        <f aca="false">IFERROR(IF(ISBLANK(Actuals!G102),"",('Original Budget'!G102-Actuals!G102)/ABS('Original Budget'!G102)),"")</f>
        <v>0</v>
      </c>
      <c r="V86" s="136" t="n">
        <f aca="false">'Original Budget'!H102</f>
        <v>-1905.31</v>
      </c>
      <c r="W86" s="136" t="n">
        <f aca="false">IF(ISBLANK(Actuals!H102),"",Actuals!H102)</f>
        <v>-1905.31</v>
      </c>
      <c r="X86" s="137" t="n">
        <f aca="false">IF(ISBLANK(Actuals!H102),"",'Original Budget'!H102-Actuals!H102)</f>
        <v>0</v>
      </c>
      <c r="Y86" s="137" t="n">
        <f aca="false">IFERROR(IF(ISBLANK(Actuals!H102),"",('Original Budget'!H102-Actuals!H102)/ABS('Original Budget'!H102)),"")</f>
        <v>0</v>
      </c>
      <c r="Z86" s="136" t="n">
        <f aca="false">'Original Budget'!I102</f>
        <v>-1905.31</v>
      </c>
      <c r="AA86" s="136" t="str">
        <f aca="false">IF(ISBLANK(Actuals!I102),"",Actuals!I102)</f>
        <v/>
      </c>
      <c r="AB86" s="137" t="str">
        <f aca="false">IF(ISBLANK(Actuals!I102),"",'Original Budget'!I102-Actuals!I102)</f>
        <v/>
      </c>
      <c r="AC86" s="137" t="str">
        <f aca="false">IFERROR(IF(ISBLANK(Actuals!I102),"",('Original Budget'!I102-Actuals!I102)/ABS('Original Budget'!I102)),"")</f>
        <v/>
      </c>
      <c r="AD86" s="136" t="n">
        <f aca="false">'Original Budget'!J102</f>
        <v>-1905.31</v>
      </c>
      <c r="AE86" s="136" t="str">
        <f aca="false">IF(ISBLANK(Actuals!J102),"",Actuals!J102)</f>
        <v/>
      </c>
      <c r="AF86" s="137" t="str">
        <f aca="false">IF(ISBLANK(Actuals!J102),"",'Original Budget'!J102-Actuals!J102)</f>
        <v/>
      </c>
      <c r="AG86" s="137" t="str">
        <f aca="false">IFERROR(IF(ISBLANK(Actuals!J102),"",('Original Budget'!J102-Actuals!J102)/ABS('Original Budget'!J102)),"")</f>
        <v/>
      </c>
      <c r="AH86" s="136" t="n">
        <f aca="false">'Original Budget'!K102</f>
        <v>-1905.31</v>
      </c>
      <c r="AI86" s="136" t="str">
        <f aca="false">IF(ISBLANK(Actuals!K102),"",Actuals!K102)</f>
        <v/>
      </c>
      <c r="AJ86" s="137" t="str">
        <f aca="false">IF(ISBLANK(Actuals!K102),"",'Original Budget'!K102-Actuals!K102)</f>
        <v/>
      </c>
      <c r="AK86" s="137" t="str">
        <f aca="false">IFERROR(IF(ISBLANK(Actuals!K102),"",('Original Budget'!K102-Actuals!K102)/ABS('Original Budget'!K102)),"")</f>
        <v/>
      </c>
      <c r="AL86" s="136" t="n">
        <f aca="false">'Original Budget'!L102</f>
        <v>-1905.31</v>
      </c>
      <c r="AM86" s="136" t="str">
        <f aca="false">IF(ISBLANK(Actuals!L102),"",Actuals!L102)</f>
        <v/>
      </c>
      <c r="AN86" s="137" t="str">
        <f aca="false">IF(ISBLANK(Actuals!L102),"",'Original Budget'!L102-Actuals!L102)</f>
        <v/>
      </c>
      <c r="AO86" s="137" t="str">
        <f aca="false">IFERROR(IF(ISBLANK(Actuals!L102),"",('Original Budget'!L102-Actuals!L102)/ABS('Original Budget'!L102)),"")</f>
        <v/>
      </c>
      <c r="AP86" s="136" t="n">
        <f aca="false">'Original Budget'!M102</f>
        <v>-1905.31</v>
      </c>
      <c r="AQ86" s="136" t="str">
        <f aca="false">IF(ISBLANK(Actuals!M102),"",Actuals!M102)</f>
        <v/>
      </c>
      <c r="AR86" s="137" t="str">
        <f aca="false">IF(ISBLANK(Actuals!M102),"",'Original Budget'!M102-Actuals!M102)</f>
        <v/>
      </c>
      <c r="AS86" s="137" t="str">
        <f aca="false">IFERROR(IF(ISBLANK(Actuals!M102),"",('Original Budget'!M102-Actuals!M102)/ABS('Original Budget'!M102)),"")</f>
        <v/>
      </c>
      <c r="AT86" s="136" t="n">
        <f aca="false">'Original Budget'!N102</f>
        <v>-1905.31</v>
      </c>
      <c r="AU86" s="136" t="str">
        <f aca="false">IF(ISBLANK(Actuals!N102),"",Actuals!N102)</f>
        <v/>
      </c>
      <c r="AV86" s="137" t="str">
        <f aca="false">IF(ISBLANK(Actuals!N102),"",'Original Budget'!N102-Actuals!N102)</f>
        <v/>
      </c>
      <c r="AW86" s="137" t="str">
        <f aca="false">IFERROR(IF(ISBLANK(Actuals!N102),"",('Original Budget'!N102-Actuals!N102)/ABS('Original Budget'!N102)),"")</f>
        <v/>
      </c>
      <c r="AX86" s="138" t="n">
        <f aca="false">SUMPRODUCT((Actuals!C102:N102&lt;&gt;"")*('Original Budget'!C102:N102))</f>
        <v>-11431.86</v>
      </c>
      <c r="AY86" s="138" t="n">
        <f aca="false">SUM(Actuals!C102:N102)</f>
        <v>-11431.86</v>
      </c>
      <c r="AZ86" s="139" t="n">
        <f aca="false">AX86-AY86</f>
        <v>0</v>
      </c>
    </row>
    <row r="87" customFormat="false" ht="15" hidden="false" customHeight="true" outlineLevel="0" collapsed="false">
      <c r="A87" s="135" t="s">
        <v>126</v>
      </c>
      <c r="B87" s="136" t="n">
        <f aca="false">'Original Budget'!C103</f>
        <v>-2100</v>
      </c>
      <c r="C87" s="136" t="n">
        <f aca="false">IF(ISBLANK(Actuals!C103),"",Actuals!C103)</f>
        <v>-2100</v>
      </c>
      <c r="D87" s="137" t="n">
        <f aca="false">IF(ISBLANK(Actuals!C103),"",'Original Budget'!C103-Actuals!C103)</f>
        <v>0</v>
      </c>
      <c r="E87" s="137" t="n">
        <f aca="false">IFERROR(IF(ISBLANK(Actuals!C103),"",('Original Budget'!C103-Actuals!C103)/ABS('Original Budget'!C103)),"")</f>
        <v>0</v>
      </c>
      <c r="F87" s="136" t="n">
        <f aca="false">'Original Budget'!D103</f>
        <v>-2100</v>
      </c>
      <c r="G87" s="136" t="n">
        <f aca="false">IF(ISBLANK(Actuals!D103),"",Actuals!D103)</f>
        <v>-2100</v>
      </c>
      <c r="H87" s="137" t="n">
        <f aca="false">IF(ISBLANK(Actuals!D103),"",'Original Budget'!D103-Actuals!D103)</f>
        <v>0</v>
      </c>
      <c r="I87" s="137" t="n">
        <f aca="false">IFERROR(IF(ISBLANK(Actuals!D103),"",('Original Budget'!D103-Actuals!D103)/ABS('Original Budget'!D103)),"")</f>
        <v>0</v>
      </c>
      <c r="J87" s="136" t="n">
        <f aca="false">'Original Budget'!E103</f>
        <v>-2100</v>
      </c>
      <c r="K87" s="136" t="n">
        <f aca="false">IF(ISBLANK(Actuals!E103),"",Actuals!E103)</f>
        <v>-2100</v>
      </c>
      <c r="L87" s="137" t="n">
        <f aca="false">IF(ISBLANK(Actuals!E103),"",'Original Budget'!E103-Actuals!E103)</f>
        <v>0</v>
      </c>
      <c r="M87" s="137" t="n">
        <f aca="false">IFERROR(IF(ISBLANK(Actuals!E103),"",('Original Budget'!E103-Actuals!E103)/ABS('Original Budget'!E103)),"")</f>
        <v>0</v>
      </c>
      <c r="N87" s="136" t="n">
        <f aca="false">'Original Budget'!F103</f>
        <v>-2100</v>
      </c>
      <c r="O87" s="136" t="n">
        <f aca="false">IF(ISBLANK(Actuals!F103),"",Actuals!F103)</f>
        <v>-2100</v>
      </c>
      <c r="P87" s="137" t="n">
        <f aca="false">IF(ISBLANK(Actuals!F103),"",'Original Budget'!F103-Actuals!F103)</f>
        <v>0</v>
      </c>
      <c r="Q87" s="137" t="n">
        <f aca="false">IFERROR(IF(ISBLANK(Actuals!F103),"",('Original Budget'!F103-Actuals!F103)/ABS('Original Budget'!F103)),"")</f>
        <v>0</v>
      </c>
      <c r="R87" s="136" t="n">
        <f aca="false">'Original Budget'!G103</f>
        <v>-2100</v>
      </c>
      <c r="S87" s="136" t="n">
        <f aca="false">IF(ISBLANK(Actuals!G103),"",Actuals!G103)</f>
        <v>-2100</v>
      </c>
      <c r="T87" s="137" t="n">
        <f aca="false">IF(ISBLANK(Actuals!G103),"",'Original Budget'!G103-Actuals!G103)</f>
        <v>0</v>
      </c>
      <c r="U87" s="137" t="n">
        <f aca="false">IFERROR(IF(ISBLANK(Actuals!G103),"",('Original Budget'!G103-Actuals!G103)/ABS('Original Budget'!G103)),"")</f>
        <v>0</v>
      </c>
      <c r="V87" s="136" t="n">
        <f aca="false">'Original Budget'!H103</f>
        <v>-2100</v>
      </c>
      <c r="W87" s="136" t="n">
        <f aca="false">IF(ISBLANK(Actuals!H103),"",Actuals!H103)</f>
        <v>-2100</v>
      </c>
      <c r="X87" s="137" t="n">
        <f aca="false">IF(ISBLANK(Actuals!H103),"",'Original Budget'!H103-Actuals!H103)</f>
        <v>0</v>
      </c>
      <c r="Y87" s="137" t="n">
        <f aca="false">IFERROR(IF(ISBLANK(Actuals!H103),"",('Original Budget'!H103-Actuals!H103)/ABS('Original Budget'!H103)),"")</f>
        <v>0</v>
      </c>
      <c r="Z87" s="136" t="n">
        <f aca="false">'Original Budget'!I103</f>
        <v>-2100</v>
      </c>
      <c r="AA87" s="136" t="str">
        <f aca="false">IF(ISBLANK(Actuals!I103),"",Actuals!I103)</f>
        <v/>
      </c>
      <c r="AB87" s="137" t="str">
        <f aca="false">IF(ISBLANK(Actuals!I103),"",'Original Budget'!I103-Actuals!I103)</f>
        <v/>
      </c>
      <c r="AC87" s="137" t="str">
        <f aca="false">IFERROR(IF(ISBLANK(Actuals!I103),"",('Original Budget'!I103-Actuals!I103)/ABS('Original Budget'!I103)),"")</f>
        <v/>
      </c>
      <c r="AD87" s="136" t="n">
        <f aca="false">'Original Budget'!J103</f>
        <v>-2100</v>
      </c>
      <c r="AE87" s="136" t="str">
        <f aca="false">IF(ISBLANK(Actuals!J103),"",Actuals!J103)</f>
        <v/>
      </c>
      <c r="AF87" s="137" t="str">
        <f aca="false">IF(ISBLANK(Actuals!J103),"",'Original Budget'!J103-Actuals!J103)</f>
        <v/>
      </c>
      <c r="AG87" s="137" t="str">
        <f aca="false">IFERROR(IF(ISBLANK(Actuals!J103),"",('Original Budget'!J103-Actuals!J103)/ABS('Original Budget'!J103)),"")</f>
        <v/>
      </c>
      <c r="AH87" s="136" t="n">
        <f aca="false">'Original Budget'!K103</f>
        <v>-2100</v>
      </c>
      <c r="AI87" s="136" t="str">
        <f aca="false">IF(ISBLANK(Actuals!K103),"",Actuals!K103)</f>
        <v/>
      </c>
      <c r="AJ87" s="137" t="str">
        <f aca="false">IF(ISBLANK(Actuals!K103),"",'Original Budget'!K103-Actuals!K103)</f>
        <v/>
      </c>
      <c r="AK87" s="137" t="str">
        <f aca="false">IFERROR(IF(ISBLANK(Actuals!K103),"",('Original Budget'!K103-Actuals!K103)/ABS('Original Budget'!K103)),"")</f>
        <v/>
      </c>
      <c r="AL87" s="136" t="n">
        <f aca="false">'Original Budget'!L103</f>
        <v>-2100</v>
      </c>
      <c r="AM87" s="136" t="str">
        <f aca="false">IF(ISBLANK(Actuals!L103),"",Actuals!L103)</f>
        <v/>
      </c>
      <c r="AN87" s="137" t="str">
        <f aca="false">IF(ISBLANK(Actuals!L103),"",'Original Budget'!L103-Actuals!L103)</f>
        <v/>
      </c>
      <c r="AO87" s="137" t="str">
        <f aca="false">IFERROR(IF(ISBLANK(Actuals!L103),"",('Original Budget'!L103-Actuals!L103)/ABS('Original Budget'!L103)),"")</f>
        <v/>
      </c>
      <c r="AP87" s="136" t="n">
        <f aca="false">'Original Budget'!M103</f>
        <v>-2100</v>
      </c>
      <c r="AQ87" s="136" t="str">
        <f aca="false">IF(ISBLANK(Actuals!M103),"",Actuals!M103)</f>
        <v/>
      </c>
      <c r="AR87" s="137" t="str">
        <f aca="false">IF(ISBLANK(Actuals!M103),"",'Original Budget'!M103-Actuals!M103)</f>
        <v/>
      </c>
      <c r="AS87" s="137" t="str">
        <f aca="false">IFERROR(IF(ISBLANK(Actuals!M103),"",('Original Budget'!M103-Actuals!M103)/ABS('Original Budget'!M103)),"")</f>
        <v/>
      </c>
      <c r="AT87" s="136" t="n">
        <f aca="false">'Original Budget'!N103</f>
        <v>-2100</v>
      </c>
      <c r="AU87" s="136" t="str">
        <f aca="false">IF(ISBLANK(Actuals!N103),"",Actuals!N103)</f>
        <v/>
      </c>
      <c r="AV87" s="137" t="str">
        <f aca="false">IF(ISBLANK(Actuals!N103),"",'Original Budget'!N103-Actuals!N103)</f>
        <v/>
      </c>
      <c r="AW87" s="137" t="str">
        <f aca="false">IFERROR(IF(ISBLANK(Actuals!N103),"",('Original Budget'!N103-Actuals!N103)/ABS('Original Budget'!N103)),"")</f>
        <v/>
      </c>
      <c r="AX87" s="138" t="n">
        <f aca="false">SUMPRODUCT((Actuals!C103:N103&lt;&gt;"")*('Original Budget'!C103:N103))</f>
        <v>-12600</v>
      </c>
      <c r="AY87" s="138" t="n">
        <f aca="false">SUM(Actuals!C103:N103)</f>
        <v>-12600</v>
      </c>
      <c r="AZ87" s="139" t="n">
        <f aca="false">AX87-AY87</f>
        <v>0</v>
      </c>
    </row>
    <row r="88" customFormat="false" ht="15" hidden="false" customHeight="true" outlineLevel="0" collapsed="false">
      <c r="A88" s="135" t="s">
        <v>80</v>
      </c>
      <c r="B88" s="136" t="n">
        <f aca="false">'Original Budget'!C104</f>
        <v>-66666.66</v>
      </c>
      <c r="C88" s="136" t="n">
        <f aca="false">IF(ISBLANK(Actuals!C104),"",Actuals!C104)</f>
        <v>-66666.66</v>
      </c>
      <c r="D88" s="137" t="n">
        <f aca="false">IF(ISBLANK(Actuals!C104),"",'Original Budget'!C104-Actuals!C104)</f>
        <v>0</v>
      </c>
      <c r="E88" s="137" t="n">
        <f aca="false">IFERROR(IF(ISBLANK(Actuals!C104),"",('Original Budget'!C104-Actuals!C104)/ABS('Original Budget'!C104)),"")</f>
        <v>0</v>
      </c>
      <c r="F88" s="136" t="n">
        <f aca="false">'Original Budget'!D104</f>
        <v>-66666.66</v>
      </c>
      <c r="G88" s="136" t="n">
        <f aca="false">IF(ISBLANK(Actuals!D104),"",Actuals!D104)</f>
        <v>-66666.66</v>
      </c>
      <c r="H88" s="137" t="n">
        <f aca="false">IF(ISBLANK(Actuals!D104),"",'Original Budget'!D104-Actuals!D104)</f>
        <v>0</v>
      </c>
      <c r="I88" s="137" t="n">
        <f aca="false">IFERROR(IF(ISBLANK(Actuals!D104),"",('Original Budget'!D104-Actuals!D104)/ABS('Original Budget'!D104)),"")</f>
        <v>0</v>
      </c>
      <c r="J88" s="136" t="n">
        <f aca="false">'Original Budget'!E104</f>
        <v>-66666.66</v>
      </c>
      <c r="K88" s="136" t="n">
        <f aca="false">IF(ISBLANK(Actuals!E104),"",Actuals!E104)</f>
        <v>-66666.66</v>
      </c>
      <c r="L88" s="137" t="n">
        <f aca="false">IF(ISBLANK(Actuals!E104),"",'Original Budget'!E104-Actuals!E104)</f>
        <v>0</v>
      </c>
      <c r="M88" s="137" t="n">
        <f aca="false">IFERROR(IF(ISBLANK(Actuals!E104),"",('Original Budget'!E104-Actuals!E104)/ABS('Original Budget'!E104)),"")</f>
        <v>0</v>
      </c>
      <c r="N88" s="136" t="n">
        <f aca="false">'Original Budget'!F104</f>
        <v>-25000</v>
      </c>
      <c r="O88" s="136" t="n">
        <f aca="false">IF(ISBLANK(Actuals!F104),"",Actuals!F104)</f>
        <v>-66666.66</v>
      </c>
      <c r="P88" s="137" t="n">
        <f aca="false">IF(ISBLANK(Actuals!F104),"",'Original Budget'!F104-Actuals!F104)</f>
        <v>41666.66</v>
      </c>
      <c r="Q88" s="137" t="n">
        <f aca="false">IFERROR(IF(ISBLANK(Actuals!F104),"",('Original Budget'!F104-Actuals!F104)/ABS('Original Budget'!F104)),"")</f>
        <v>1.6666664</v>
      </c>
      <c r="R88" s="136" t="n">
        <f aca="false">'Original Budget'!G104</f>
        <v>-25000</v>
      </c>
      <c r="S88" s="136" t="n">
        <f aca="false">IF(ISBLANK(Actuals!G104),"",Actuals!G104)</f>
        <v>-66666.66</v>
      </c>
      <c r="T88" s="137" t="n">
        <f aca="false">IF(ISBLANK(Actuals!G104),"",'Original Budget'!G104-Actuals!G104)</f>
        <v>41666.66</v>
      </c>
      <c r="U88" s="137" t="n">
        <f aca="false">IFERROR(IF(ISBLANK(Actuals!G104),"",('Original Budget'!G104-Actuals!G104)/ABS('Original Budget'!G104)),"")</f>
        <v>1.6666664</v>
      </c>
      <c r="V88" s="136" t="n">
        <f aca="false">'Original Budget'!H104</f>
        <v>-25000</v>
      </c>
      <c r="W88" s="136" t="n">
        <f aca="false">IF(ISBLANK(Actuals!H104),"",Actuals!H104)</f>
        <v>-66666.66</v>
      </c>
      <c r="X88" s="137" t="n">
        <f aca="false">IF(ISBLANK(Actuals!H104),"",'Original Budget'!H104-Actuals!H104)</f>
        <v>41666.66</v>
      </c>
      <c r="Y88" s="137" t="n">
        <f aca="false">IFERROR(IF(ISBLANK(Actuals!H104),"",('Original Budget'!H104-Actuals!H104)/ABS('Original Budget'!H104)),"")</f>
        <v>1.6666664</v>
      </c>
      <c r="Z88" s="136" t="n">
        <f aca="false">'Original Budget'!I104</f>
        <v>-25000</v>
      </c>
      <c r="AA88" s="136" t="str">
        <f aca="false">IF(ISBLANK(Actuals!I104),"",Actuals!I104)</f>
        <v/>
      </c>
      <c r="AB88" s="137" t="str">
        <f aca="false">IF(ISBLANK(Actuals!I104),"",'Original Budget'!I104-Actuals!I104)</f>
        <v/>
      </c>
      <c r="AC88" s="137" t="str">
        <f aca="false">IFERROR(IF(ISBLANK(Actuals!I104),"",('Original Budget'!I104-Actuals!I104)/ABS('Original Budget'!I104)),"")</f>
        <v/>
      </c>
      <c r="AD88" s="136" t="n">
        <f aca="false">'Original Budget'!J104</f>
        <v>-25000</v>
      </c>
      <c r="AE88" s="136" t="str">
        <f aca="false">IF(ISBLANK(Actuals!J104),"",Actuals!J104)</f>
        <v/>
      </c>
      <c r="AF88" s="137" t="str">
        <f aca="false">IF(ISBLANK(Actuals!J104),"",'Original Budget'!J104-Actuals!J104)</f>
        <v/>
      </c>
      <c r="AG88" s="137" t="str">
        <f aca="false">IFERROR(IF(ISBLANK(Actuals!J104),"",('Original Budget'!J104-Actuals!J104)/ABS('Original Budget'!J104)),"")</f>
        <v/>
      </c>
      <c r="AH88" s="136" t="n">
        <f aca="false">'Original Budget'!K104</f>
        <v>-25000</v>
      </c>
      <c r="AI88" s="136" t="str">
        <f aca="false">IF(ISBLANK(Actuals!K104),"",Actuals!K104)</f>
        <v/>
      </c>
      <c r="AJ88" s="137" t="str">
        <f aca="false">IF(ISBLANK(Actuals!K104),"",'Original Budget'!K104-Actuals!K104)</f>
        <v/>
      </c>
      <c r="AK88" s="137" t="str">
        <f aca="false">IFERROR(IF(ISBLANK(Actuals!K104),"",('Original Budget'!K104-Actuals!K104)/ABS('Original Budget'!K104)),"")</f>
        <v/>
      </c>
      <c r="AL88" s="136" t="n">
        <f aca="false">'Original Budget'!L104</f>
        <v>-25000</v>
      </c>
      <c r="AM88" s="136" t="str">
        <f aca="false">IF(ISBLANK(Actuals!L104),"",Actuals!L104)</f>
        <v/>
      </c>
      <c r="AN88" s="137" t="str">
        <f aca="false">IF(ISBLANK(Actuals!L104),"",'Original Budget'!L104-Actuals!L104)</f>
        <v/>
      </c>
      <c r="AO88" s="137" t="str">
        <f aca="false">IFERROR(IF(ISBLANK(Actuals!L104),"",('Original Budget'!L104-Actuals!L104)/ABS('Original Budget'!L104)),"")</f>
        <v/>
      </c>
      <c r="AP88" s="136" t="n">
        <f aca="false">'Original Budget'!M104</f>
        <v>-25000</v>
      </c>
      <c r="AQ88" s="136" t="str">
        <f aca="false">IF(ISBLANK(Actuals!M104),"",Actuals!M104)</f>
        <v/>
      </c>
      <c r="AR88" s="137" t="str">
        <f aca="false">IF(ISBLANK(Actuals!M104),"",'Original Budget'!M104-Actuals!M104)</f>
        <v/>
      </c>
      <c r="AS88" s="137" t="str">
        <f aca="false">IFERROR(IF(ISBLANK(Actuals!M104),"",('Original Budget'!M104-Actuals!M104)/ABS('Original Budget'!M104)),"")</f>
        <v/>
      </c>
      <c r="AT88" s="136" t="n">
        <f aca="false">'Original Budget'!N104</f>
        <v>-25000</v>
      </c>
      <c r="AU88" s="136" t="str">
        <f aca="false">IF(ISBLANK(Actuals!N104),"",Actuals!N104)</f>
        <v/>
      </c>
      <c r="AV88" s="137" t="str">
        <f aca="false">IF(ISBLANK(Actuals!N104),"",'Original Budget'!N104-Actuals!N104)</f>
        <v/>
      </c>
      <c r="AW88" s="137" t="str">
        <f aca="false">IFERROR(IF(ISBLANK(Actuals!N104),"",('Original Budget'!N104-Actuals!N104)/ABS('Original Budget'!N104)),"")</f>
        <v/>
      </c>
      <c r="AX88" s="138" t="n">
        <f aca="false">SUMPRODUCT((Actuals!C104:N104&lt;&gt;"")*('Original Budget'!C104:N104))</f>
        <v>-274999.98</v>
      </c>
      <c r="AY88" s="138" t="n">
        <f aca="false">SUM(Actuals!C104:N104)</f>
        <v>-399999.96</v>
      </c>
      <c r="AZ88" s="139" t="n">
        <f aca="false">AX88-AY88</f>
        <v>124999.98</v>
      </c>
    </row>
    <row r="89" customFormat="false" ht="15" hidden="false" customHeight="true" outlineLevel="0" collapsed="false">
      <c r="A89" s="135" t="s">
        <v>88</v>
      </c>
      <c r="B89" s="136" t="n">
        <f aca="false">'Original Budget'!C105</f>
        <v>-4731.96</v>
      </c>
      <c r="C89" s="136" t="n">
        <f aca="false">IF(ISBLANK(Actuals!C105),"",Actuals!C105)</f>
        <v>-6935.84</v>
      </c>
      <c r="D89" s="137" t="n">
        <f aca="false">IF(ISBLANK(Actuals!C105),"",'Original Budget'!C105-Actuals!C105)</f>
        <v>2203.88</v>
      </c>
      <c r="E89" s="137" t="n">
        <f aca="false">IFERROR(IF(ISBLANK(Actuals!C105),"",('Original Budget'!C105-Actuals!C105)/ABS('Original Budget'!C105)),"")</f>
        <v>0.465743581940676</v>
      </c>
      <c r="F89" s="136" t="n">
        <f aca="false">'Original Budget'!D105</f>
        <v>-5</v>
      </c>
      <c r="G89" s="136" t="n">
        <f aca="false">IF(ISBLANK(Actuals!D105),"",Actuals!D105)</f>
        <v>-2799.88</v>
      </c>
      <c r="H89" s="137" t="n">
        <f aca="false">IF(ISBLANK(Actuals!D105),"",'Original Budget'!D105-Actuals!D105)</f>
        <v>2794.88</v>
      </c>
      <c r="I89" s="137" t="n">
        <f aca="false">IFERROR(IF(ISBLANK(Actuals!D105),"",('Original Budget'!D105-Actuals!D105)/ABS('Original Budget'!D105)),"")</f>
        <v>558.976</v>
      </c>
      <c r="J89" s="136" t="n">
        <f aca="false">'Original Budget'!E105</f>
        <v>-5</v>
      </c>
      <c r="K89" s="136" t="n">
        <f aca="false">IF(ISBLANK(Actuals!E105),"",Actuals!E105)</f>
        <v>-12899.88</v>
      </c>
      <c r="L89" s="137" t="n">
        <f aca="false">IF(ISBLANK(Actuals!E105),"",'Original Budget'!E105-Actuals!E105)</f>
        <v>12894.88</v>
      </c>
      <c r="M89" s="137" t="n">
        <f aca="false">IFERROR(IF(ISBLANK(Actuals!E105),"",('Original Budget'!E105-Actuals!E105)/ABS('Original Budget'!E105)),"")</f>
        <v>2578.976</v>
      </c>
      <c r="N89" s="136" t="n">
        <f aca="false">'Original Budget'!F105</f>
        <v>-1580.65</v>
      </c>
      <c r="O89" s="136" t="n">
        <f aca="false">IF(ISBLANK(Actuals!F105),"",Actuals!F105)</f>
        <v>-2932.88</v>
      </c>
      <c r="P89" s="137" t="n">
        <f aca="false">IF(ISBLANK(Actuals!F105),"",'Original Budget'!F105-Actuals!F105)</f>
        <v>1352.23</v>
      </c>
      <c r="Q89" s="137" t="n">
        <f aca="false">IFERROR(IF(ISBLANK(Actuals!F105),"",('Original Budget'!F105-Actuals!F105)/ABS('Original Budget'!F105)),"")</f>
        <v>0.855489830133173</v>
      </c>
      <c r="R89" s="136" t="n">
        <f aca="false">'Original Budget'!G105</f>
        <v>-1580.65</v>
      </c>
      <c r="S89" s="136" t="n">
        <f aca="false">IF(ISBLANK(Actuals!G105),"",Actuals!G105)</f>
        <v>-5474.88</v>
      </c>
      <c r="T89" s="137" t="n">
        <f aca="false">IF(ISBLANK(Actuals!G105),"",'Original Budget'!G105-Actuals!G105)</f>
        <v>3894.23</v>
      </c>
      <c r="U89" s="137" t="n">
        <f aca="false">IFERROR(IF(ISBLANK(Actuals!G105),"",('Original Budget'!G105-Actuals!G105)/ABS('Original Budget'!G105)),"")</f>
        <v>2.46368898870718</v>
      </c>
      <c r="V89" s="136" t="n">
        <f aca="false">'Original Budget'!H105</f>
        <v>-1580.65</v>
      </c>
      <c r="W89" s="136" t="n">
        <f aca="false">IF(ISBLANK(Actuals!H105),"",Actuals!H105)</f>
        <v>-5</v>
      </c>
      <c r="X89" s="137" t="n">
        <f aca="false">IF(ISBLANK(Actuals!H105),"",'Original Budget'!H105-Actuals!H105)</f>
        <v>-1575.65</v>
      </c>
      <c r="Y89" s="137" t="n">
        <f aca="false">IFERROR(IF(ISBLANK(Actuals!H105),"",('Original Budget'!H105-Actuals!H105)/ABS('Original Budget'!H105)),"")</f>
        <v>-0.996836744377313</v>
      </c>
      <c r="Z89" s="136" t="n">
        <f aca="false">'Original Budget'!I105</f>
        <v>-1580.65</v>
      </c>
      <c r="AA89" s="136" t="str">
        <f aca="false">IF(ISBLANK(Actuals!I105),"",Actuals!I105)</f>
        <v/>
      </c>
      <c r="AB89" s="137" t="str">
        <f aca="false">IF(ISBLANK(Actuals!I105),"",'Original Budget'!I105-Actuals!I105)</f>
        <v/>
      </c>
      <c r="AC89" s="137" t="str">
        <f aca="false">IFERROR(IF(ISBLANK(Actuals!I105),"",('Original Budget'!I105-Actuals!I105)/ABS('Original Budget'!I105)),"")</f>
        <v/>
      </c>
      <c r="AD89" s="136" t="n">
        <f aca="false">'Original Budget'!J105</f>
        <v>-1580.65</v>
      </c>
      <c r="AE89" s="136" t="str">
        <f aca="false">IF(ISBLANK(Actuals!J105),"",Actuals!J105)</f>
        <v/>
      </c>
      <c r="AF89" s="137" t="str">
        <f aca="false">IF(ISBLANK(Actuals!J105),"",'Original Budget'!J105-Actuals!J105)</f>
        <v/>
      </c>
      <c r="AG89" s="137" t="str">
        <f aca="false">IFERROR(IF(ISBLANK(Actuals!J105),"",('Original Budget'!J105-Actuals!J105)/ABS('Original Budget'!J105)),"")</f>
        <v/>
      </c>
      <c r="AH89" s="136" t="n">
        <f aca="false">'Original Budget'!K105</f>
        <v>-1580.65</v>
      </c>
      <c r="AI89" s="136" t="str">
        <f aca="false">IF(ISBLANK(Actuals!K105),"",Actuals!K105)</f>
        <v/>
      </c>
      <c r="AJ89" s="137" t="str">
        <f aca="false">IF(ISBLANK(Actuals!K105),"",'Original Budget'!K105-Actuals!K105)</f>
        <v/>
      </c>
      <c r="AK89" s="137" t="str">
        <f aca="false">IFERROR(IF(ISBLANK(Actuals!K105),"",('Original Budget'!K105-Actuals!K105)/ABS('Original Budget'!K105)),"")</f>
        <v/>
      </c>
      <c r="AL89" s="136" t="n">
        <f aca="false">'Original Budget'!L105</f>
        <v>-1580.65</v>
      </c>
      <c r="AM89" s="136" t="str">
        <f aca="false">IF(ISBLANK(Actuals!L105),"",Actuals!L105)</f>
        <v/>
      </c>
      <c r="AN89" s="137" t="str">
        <f aca="false">IF(ISBLANK(Actuals!L105),"",'Original Budget'!L105-Actuals!L105)</f>
        <v/>
      </c>
      <c r="AO89" s="137" t="str">
        <f aca="false">IFERROR(IF(ISBLANK(Actuals!L105),"",('Original Budget'!L105-Actuals!L105)/ABS('Original Budget'!L105)),"")</f>
        <v/>
      </c>
      <c r="AP89" s="136" t="n">
        <f aca="false">'Original Budget'!M105</f>
        <v>-1580.65</v>
      </c>
      <c r="AQ89" s="136" t="str">
        <f aca="false">IF(ISBLANK(Actuals!M105),"",Actuals!M105)</f>
        <v/>
      </c>
      <c r="AR89" s="137" t="str">
        <f aca="false">IF(ISBLANK(Actuals!M105),"",'Original Budget'!M105-Actuals!M105)</f>
        <v/>
      </c>
      <c r="AS89" s="137" t="str">
        <f aca="false">IFERROR(IF(ISBLANK(Actuals!M105),"",('Original Budget'!M105-Actuals!M105)/ABS('Original Budget'!M105)),"")</f>
        <v/>
      </c>
      <c r="AT89" s="136" t="n">
        <f aca="false">'Original Budget'!N105</f>
        <v>-1580.65</v>
      </c>
      <c r="AU89" s="136" t="str">
        <f aca="false">IF(ISBLANK(Actuals!N105),"",Actuals!N105)</f>
        <v/>
      </c>
      <c r="AV89" s="137" t="str">
        <f aca="false">IF(ISBLANK(Actuals!N105),"",'Original Budget'!N105-Actuals!N105)</f>
        <v/>
      </c>
      <c r="AW89" s="137" t="str">
        <f aca="false">IFERROR(IF(ISBLANK(Actuals!N105),"",('Original Budget'!N105-Actuals!N105)/ABS('Original Budget'!N105)),"")</f>
        <v/>
      </c>
      <c r="AX89" s="138" t="n">
        <f aca="false">SUMPRODUCT((Actuals!C105:N105&lt;&gt;"")*('Original Budget'!C105:N105))</f>
        <v>-9483.91</v>
      </c>
      <c r="AY89" s="138" t="n">
        <f aca="false">SUM(Actuals!C105:N105)</f>
        <v>-31048.36</v>
      </c>
      <c r="AZ89" s="139" t="n">
        <f aca="false">AX89-AY89</f>
        <v>21564.45</v>
      </c>
    </row>
    <row r="90" customFormat="false" ht="15" hidden="false" customHeight="true" outlineLevel="0" collapsed="false">
      <c r="A90" s="135" t="s">
        <v>89</v>
      </c>
      <c r="B90" s="136" t="n">
        <f aca="false">'Original Budget'!C106</f>
        <v>-658.14</v>
      </c>
      <c r="C90" s="136" t="n">
        <f aca="false">IF(ISBLANK(Actuals!C106),"",Actuals!C106)</f>
        <v>-658.14</v>
      </c>
      <c r="D90" s="137" t="n">
        <f aca="false">IF(ISBLANK(Actuals!C106),"",'Original Budget'!C106-Actuals!C106)</f>
        <v>0</v>
      </c>
      <c r="E90" s="137" t="n">
        <f aca="false">IFERROR(IF(ISBLANK(Actuals!C106),"",('Original Budget'!C106-Actuals!C106)/ABS('Original Budget'!C106)),"")</f>
        <v>0</v>
      </c>
      <c r="F90" s="136" t="n">
        <f aca="false">'Original Budget'!D106</f>
        <v>-310</v>
      </c>
      <c r="G90" s="136" t="n">
        <f aca="false">IF(ISBLANK(Actuals!D106),"",Actuals!D106)</f>
        <v>-310</v>
      </c>
      <c r="H90" s="137" t="n">
        <f aca="false">IF(ISBLANK(Actuals!D106),"",'Original Budget'!D106-Actuals!D106)</f>
        <v>0</v>
      </c>
      <c r="I90" s="137" t="n">
        <f aca="false">IFERROR(IF(ISBLANK(Actuals!D106),"",('Original Budget'!D106-Actuals!D106)/ABS('Original Budget'!D106)),"")</f>
        <v>0</v>
      </c>
      <c r="J90" s="136" t="n">
        <f aca="false">'Original Budget'!E106</f>
        <v>-371.74</v>
      </c>
      <c r="K90" s="136" t="n">
        <f aca="false">IF(ISBLANK(Actuals!E106),"",Actuals!E106)</f>
        <v>-371.74</v>
      </c>
      <c r="L90" s="137" t="n">
        <f aca="false">IF(ISBLANK(Actuals!E106),"",'Original Budget'!E106-Actuals!E106)</f>
        <v>0</v>
      </c>
      <c r="M90" s="137" t="n">
        <f aca="false">IFERROR(IF(ISBLANK(Actuals!E106),"",('Original Budget'!E106-Actuals!E106)/ABS('Original Budget'!E106)),"")</f>
        <v>0</v>
      </c>
      <c r="N90" s="136" t="n">
        <f aca="false">'Original Budget'!F106</f>
        <v>-446.63</v>
      </c>
      <c r="O90" s="136" t="n">
        <f aca="false">IF(ISBLANK(Actuals!F106),"",Actuals!F106)</f>
        <v>-857.33</v>
      </c>
      <c r="P90" s="137" t="n">
        <f aca="false">IF(ISBLANK(Actuals!F106),"",'Original Budget'!F106-Actuals!F106)</f>
        <v>410.7</v>
      </c>
      <c r="Q90" s="137" t="n">
        <f aca="false">IFERROR(IF(ISBLANK(Actuals!F106),"",('Original Budget'!F106-Actuals!F106)/ABS('Original Budget'!F106)),"")</f>
        <v>0.919553097642344</v>
      </c>
      <c r="R90" s="136" t="n">
        <f aca="false">'Original Budget'!G106</f>
        <v>-446.63</v>
      </c>
      <c r="S90" s="136" t="n">
        <f aca="false">IF(ISBLANK(Actuals!G106),"",Actuals!G106)</f>
        <v>-305</v>
      </c>
      <c r="T90" s="137" t="n">
        <f aca="false">IF(ISBLANK(Actuals!G106),"",'Original Budget'!G106-Actuals!G106)</f>
        <v>-141.63</v>
      </c>
      <c r="U90" s="137" t="n">
        <f aca="false">IFERROR(IF(ISBLANK(Actuals!G106),"",('Original Budget'!G106-Actuals!G106)/ABS('Original Budget'!G106)),"")</f>
        <v>-0.317108120815888</v>
      </c>
      <c r="V90" s="136" t="n">
        <f aca="false">'Original Budget'!H106</f>
        <v>-446.63</v>
      </c>
      <c r="W90" s="136" t="n">
        <f aca="false">IF(ISBLANK(Actuals!H106),"",Actuals!H106)</f>
        <v>-352.5</v>
      </c>
      <c r="X90" s="137" t="n">
        <f aca="false">IF(ISBLANK(Actuals!H106),"",'Original Budget'!H106-Actuals!H106)</f>
        <v>-94.13</v>
      </c>
      <c r="Y90" s="137" t="n">
        <f aca="false">IFERROR(IF(ISBLANK(Actuals!H106),"",('Original Budget'!H106-Actuals!H106)/ABS('Original Budget'!H106)),"")</f>
        <v>-0.210756106844592</v>
      </c>
      <c r="Z90" s="136" t="n">
        <f aca="false">'Original Budget'!I106</f>
        <v>-446.63</v>
      </c>
      <c r="AA90" s="136" t="str">
        <f aca="false">IF(ISBLANK(Actuals!I106),"",Actuals!I106)</f>
        <v/>
      </c>
      <c r="AB90" s="137" t="str">
        <f aca="false">IF(ISBLANK(Actuals!I106),"",'Original Budget'!I106-Actuals!I106)</f>
        <v/>
      </c>
      <c r="AC90" s="137" t="str">
        <f aca="false">IFERROR(IF(ISBLANK(Actuals!I106),"",('Original Budget'!I106-Actuals!I106)/ABS('Original Budget'!I106)),"")</f>
        <v/>
      </c>
      <c r="AD90" s="136" t="n">
        <f aca="false">'Original Budget'!J106</f>
        <v>-446.63</v>
      </c>
      <c r="AE90" s="136" t="str">
        <f aca="false">IF(ISBLANK(Actuals!J106),"",Actuals!J106)</f>
        <v/>
      </c>
      <c r="AF90" s="137" t="str">
        <f aca="false">IF(ISBLANK(Actuals!J106),"",'Original Budget'!J106-Actuals!J106)</f>
        <v/>
      </c>
      <c r="AG90" s="137" t="str">
        <f aca="false">IFERROR(IF(ISBLANK(Actuals!J106),"",('Original Budget'!J106-Actuals!J106)/ABS('Original Budget'!J106)),"")</f>
        <v/>
      </c>
      <c r="AH90" s="136" t="n">
        <f aca="false">'Original Budget'!K106</f>
        <v>-446.63</v>
      </c>
      <c r="AI90" s="136" t="str">
        <f aca="false">IF(ISBLANK(Actuals!K106),"",Actuals!K106)</f>
        <v/>
      </c>
      <c r="AJ90" s="137" t="str">
        <f aca="false">IF(ISBLANK(Actuals!K106),"",'Original Budget'!K106-Actuals!K106)</f>
        <v/>
      </c>
      <c r="AK90" s="137" t="str">
        <f aca="false">IFERROR(IF(ISBLANK(Actuals!K106),"",('Original Budget'!K106-Actuals!K106)/ABS('Original Budget'!K106)),"")</f>
        <v/>
      </c>
      <c r="AL90" s="136" t="n">
        <f aca="false">'Original Budget'!L106</f>
        <v>-446.63</v>
      </c>
      <c r="AM90" s="136" t="str">
        <f aca="false">IF(ISBLANK(Actuals!L106),"",Actuals!L106)</f>
        <v/>
      </c>
      <c r="AN90" s="137" t="str">
        <f aca="false">IF(ISBLANK(Actuals!L106),"",'Original Budget'!L106-Actuals!L106)</f>
        <v/>
      </c>
      <c r="AO90" s="137" t="str">
        <f aca="false">IFERROR(IF(ISBLANK(Actuals!L106),"",('Original Budget'!L106-Actuals!L106)/ABS('Original Budget'!L106)),"")</f>
        <v/>
      </c>
      <c r="AP90" s="136" t="n">
        <f aca="false">'Original Budget'!M106</f>
        <v>-446.63</v>
      </c>
      <c r="AQ90" s="136" t="str">
        <f aca="false">IF(ISBLANK(Actuals!M106),"",Actuals!M106)</f>
        <v/>
      </c>
      <c r="AR90" s="137" t="str">
        <f aca="false">IF(ISBLANK(Actuals!M106),"",'Original Budget'!M106-Actuals!M106)</f>
        <v/>
      </c>
      <c r="AS90" s="137" t="str">
        <f aca="false">IFERROR(IF(ISBLANK(Actuals!M106),"",('Original Budget'!M106-Actuals!M106)/ABS('Original Budget'!M106)),"")</f>
        <v/>
      </c>
      <c r="AT90" s="136" t="n">
        <f aca="false">'Original Budget'!N106</f>
        <v>-446.63</v>
      </c>
      <c r="AU90" s="136" t="str">
        <f aca="false">IF(ISBLANK(Actuals!N106),"",Actuals!N106)</f>
        <v/>
      </c>
      <c r="AV90" s="137" t="str">
        <f aca="false">IF(ISBLANK(Actuals!N106),"",'Original Budget'!N106-Actuals!N106)</f>
        <v/>
      </c>
      <c r="AW90" s="137" t="str">
        <f aca="false">IFERROR(IF(ISBLANK(Actuals!N106),"",('Original Budget'!N106-Actuals!N106)/ABS('Original Budget'!N106)),"")</f>
        <v/>
      </c>
      <c r="AX90" s="138" t="n">
        <f aca="false">SUMPRODUCT((Actuals!C106:N106&lt;&gt;"")*('Original Budget'!C106:N106))</f>
        <v>-2679.77</v>
      </c>
      <c r="AY90" s="138" t="n">
        <f aca="false">SUM(Actuals!C106:N106)</f>
        <v>-2854.71</v>
      </c>
      <c r="AZ90" s="139" t="n">
        <f aca="false">AX90-AY90</f>
        <v>174.94</v>
      </c>
    </row>
    <row r="91" customFormat="false" ht="15" hidden="false" customHeight="true" outlineLevel="0" collapsed="false">
      <c r="A91" s="135" t="s">
        <v>127</v>
      </c>
      <c r="B91" s="136" t="n">
        <f aca="false">'Original Budget'!C107</f>
        <v>0</v>
      </c>
      <c r="C91" s="136" t="str">
        <f aca="false">IF(ISBLANK(Actuals!C107),"",Actuals!C107)</f>
        <v/>
      </c>
      <c r="D91" s="137" t="str">
        <f aca="false">IF(ISBLANK(Actuals!C107),"",'Original Budget'!C107-Actuals!C107)</f>
        <v/>
      </c>
      <c r="E91" s="137" t="str">
        <f aca="false">IFERROR(IF(ISBLANK(Actuals!C107),"",('Original Budget'!C107-Actuals!C107)/ABS('Original Budget'!C107)),"")</f>
        <v/>
      </c>
      <c r="F91" s="136" t="n">
        <f aca="false">'Original Budget'!D107</f>
        <v>0</v>
      </c>
      <c r="G91" s="136" t="str">
        <f aca="false">IF(ISBLANK(Actuals!D107),"",Actuals!D107)</f>
        <v/>
      </c>
      <c r="H91" s="137" t="str">
        <f aca="false">IF(ISBLANK(Actuals!D107),"",'Original Budget'!D107-Actuals!D107)</f>
        <v/>
      </c>
      <c r="I91" s="137" t="str">
        <f aca="false">IFERROR(IF(ISBLANK(Actuals!D107),"",('Original Budget'!D107-Actuals!D107)/ABS('Original Budget'!D107)),"")</f>
        <v/>
      </c>
      <c r="J91" s="136" t="n">
        <f aca="false">'Original Budget'!E107</f>
        <v>0</v>
      </c>
      <c r="K91" s="136" t="str">
        <f aca="false">IF(ISBLANK(Actuals!E107),"",Actuals!E107)</f>
        <v/>
      </c>
      <c r="L91" s="137" t="str">
        <f aca="false">IF(ISBLANK(Actuals!E107),"",'Original Budget'!E107-Actuals!E107)</f>
        <v/>
      </c>
      <c r="M91" s="137" t="str">
        <f aca="false">IFERROR(IF(ISBLANK(Actuals!E107),"",('Original Budget'!E107-Actuals!E107)/ABS('Original Budget'!E107)),"")</f>
        <v/>
      </c>
      <c r="N91" s="136" t="n">
        <f aca="false">'Original Budget'!F107</f>
        <v>0</v>
      </c>
      <c r="O91" s="136" t="str">
        <f aca="false">IF(ISBLANK(Actuals!F107),"",Actuals!F107)</f>
        <v/>
      </c>
      <c r="P91" s="137" t="str">
        <f aca="false">IF(ISBLANK(Actuals!F107),"",'Original Budget'!F107-Actuals!F107)</f>
        <v/>
      </c>
      <c r="Q91" s="137" t="str">
        <f aca="false">IFERROR(IF(ISBLANK(Actuals!F107),"",('Original Budget'!F107-Actuals!F107)/ABS('Original Budget'!F107)),"")</f>
        <v/>
      </c>
      <c r="R91" s="136" t="n">
        <f aca="false">'Original Budget'!G107</f>
        <v>0</v>
      </c>
      <c r="S91" s="136" t="str">
        <f aca="false">IF(ISBLANK(Actuals!G107),"",Actuals!G107)</f>
        <v/>
      </c>
      <c r="T91" s="137" t="str">
        <f aca="false">IF(ISBLANK(Actuals!G107),"",'Original Budget'!G107-Actuals!G107)</f>
        <v/>
      </c>
      <c r="U91" s="137" t="str">
        <f aca="false">IFERROR(IF(ISBLANK(Actuals!G107),"",('Original Budget'!G107-Actuals!G107)/ABS('Original Budget'!G107)),"")</f>
        <v/>
      </c>
      <c r="V91" s="136" t="n">
        <f aca="false">'Original Budget'!H107</f>
        <v>0</v>
      </c>
      <c r="W91" s="136" t="str">
        <f aca="false">IF(ISBLANK(Actuals!H107),"",Actuals!H107)</f>
        <v/>
      </c>
      <c r="X91" s="137" t="str">
        <f aca="false">IF(ISBLANK(Actuals!H107),"",'Original Budget'!H107-Actuals!H107)</f>
        <v/>
      </c>
      <c r="Y91" s="137" t="str">
        <f aca="false">IFERROR(IF(ISBLANK(Actuals!H107),"",('Original Budget'!H107-Actuals!H107)/ABS('Original Budget'!H107)),"")</f>
        <v/>
      </c>
      <c r="Z91" s="136" t="n">
        <f aca="false">'Original Budget'!I107</f>
        <v>0</v>
      </c>
      <c r="AA91" s="136" t="str">
        <f aca="false">IF(ISBLANK(Actuals!I107),"",Actuals!I107)</f>
        <v/>
      </c>
      <c r="AB91" s="137" t="str">
        <f aca="false">IF(ISBLANK(Actuals!I107),"",'Original Budget'!I107-Actuals!I107)</f>
        <v/>
      </c>
      <c r="AC91" s="137" t="str">
        <f aca="false">IFERROR(IF(ISBLANK(Actuals!I107),"",('Original Budget'!I107-Actuals!I107)/ABS('Original Budget'!I107)),"")</f>
        <v/>
      </c>
      <c r="AD91" s="136" t="n">
        <f aca="false">'Original Budget'!J107</f>
        <v>0</v>
      </c>
      <c r="AE91" s="136" t="str">
        <f aca="false">IF(ISBLANK(Actuals!J107),"",Actuals!J107)</f>
        <v/>
      </c>
      <c r="AF91" s="137" t="str">
        <f aca="false">IF(ISBLANK(Actuals!J107),"",'Original Budget'!J107-Actuals!J107)</f>
        <v/>
      </c>
      <c r="AG91" s="137" t="str">
        <f aca="false">IFERROR(IF(ISBLANK(Actuals!J107),"",('Original Budget'!J107-Actuals!J107)/ABS('Original Budget'!J107)),"")</f>
        <v/>
      </c>
      <c r="AH91" s="136" t="n">
        <f aca="false">'Original Budget'!K107</f>
        <v>0</v>
      </c>
      <c r="AI91" s="136" t="str">
        <f aca="false">IF(ISBLANK(Actuals!K107),"",Actuals!K107)</f>
        <v/>
      </c>
      <c r="AJ91" s="137" t="str">
        <f aca="false">IF(ISBLANK(Actuals!K107),"",'Original Budget'!K107-Actuals!K107)</f>
        <v/>
      </c>
      <c r="AK91" s="137" t="str">
        <f aca="false">IFERROR(IF(ISBLANK(Actuals!K107),"",('Original Budget'!K107-Actuals!K107)/ABS('Original Budget'!K107)),"")</f>
        <v/>
      </c>
      <c r="AL91" s="136" t="n">
        <f aca="false">'Original Budget'!L107</f>
        <v>0</v>
      </c>
      <c r="AM91" s="136" t="str">
        <f aca="false">IF(ISBLANK(Actuals!L107),"",Actuals!L107)</f>
        <v/>
      </c>
      <c r="AN91" s="137" t="str">
        <f aca="false">IF(ISBLANK(Actuals!L107),"",'Original Budget'!L107-Actuals!L107)</f>
        <v/>
      </c>
      <c r="AO91" s="137" t="str">
        <f aca="false">IFERROR(IF(ISBLANK(Actuals!L107),"",('Original Budget'!L107-Actuals!L107)/ABS('Original Budget'!L107)),"")</f>
        <v/>
      </c>
      <c r="AP91" s="136" t="n">
        <f aca="false">'Original Budget'!M107</f>
        <v>0</v>
      </c>
      <c r="AQ91" s="136" t="str">
        <f aca="false">IF(ISBLANK(Actuals!M107),"",Actuals!M107)</f>
        <v/>
      </c>
      <c r="AR91" s="137" t="str">
        <f aca="false">IF(ISBLANK(Actuals!M107),"",'Original Budget'!M107-Actuals!M107)</f>
        <v/>
      </c>
      <c r="AS91" s="137" t="str">
        <f aca="false">IFERROR(IF(ISBLANK(Actuals!M107),"",('Original Budget'!M107-Actuals!M107)/ABS('Original Budget'!M107)),"")</f>
        <v/>
      </c>
      <c r="AT91" s="136" t="n">
        <f aca="false">'Original Budget'!N107</f>
        <v>0</v>
      </c>
      <c r="AU91" s="136" t="str">
        <f aca="false">IF(ISBLANK(Actuals!N107),"",Actuals!N107)</f>
        <v/>
      </c>
      <c r="AV91" s="137" t="str">
        <f aca="false">IF(ISBLANK(Actuals!N107),"",'Original Budget'!N107-Actuals!N107)</f>
        <v/>
      </c>
      <c r="AW91" s="137" t="str">
        <f aca="false">IFERROR(IF(ISBLANK(Actuals!N107),"",('Original Budget'!N107-Actuals!N107)/ABS('Original Budget'!N107)),"")</f>
        <v/>
      </c>
      <c r="AX91" s="138" t="n">
        <f aca="false">SUMPRODUCT((Actuals!C107:N107&lt;&gt;"")*('Original Budget'!C107:N107))</f>
        <v>0</v>
      </c>
      <c r="AY91" s="138" t="n">
        <f aca="false">SUM(Actuals!C107:N107)</f>
        <v>0</v>
      </c>
      <c r="AZ91" s="139" t="n">
        <f aca="false">AX91-AY91</f>
        <v>0</v>
      </c>
    </row>
    <row r="92" customFormat="false" ht="15" hidden="false" customHeight="true" outlineLevel="0" collapsed="false">
      <c r="A92" s="135" t="s">
        <v>128</v>
      </c>
      <c r="B92" s="136" t="n">
        <f aca="false">'Original Budget'!C108</f>
        <v>0</v>
      </c>
      <c r="C92" s="136" t="str">
        <f aca="false">IF(ISBLANK(Actuals!C108),"",Actuals!C108)</f>
        <v/>
      </c>
      <c r="D92" s="137" t="str">
        <f aca="false">IF(ISBLANK(Actuals!C108),"",'Original Budget'!C108-Actuals!C108)</f>
        <v/>
      </c>
      <c r="E92" s="137" t="str">
        <f aca="false">IFERROR(IF(ISBLANK(Actuals!C108),"",('Original Budget'!C108-Actuals!C108)/ABS('Original Budget'!C108)),"")</f>
        <v/>
      </c>
      <c r="F92" s="136" t="n">
        <f aca="false">'Original Budget'!D108</f>
        <v>0</v>
      </c>
      <c r="G92" s="136" t="str">
        <f aca="false">IF(ISBLANK(Actuals!D108),"",Actuals!D108)</f>
        <v/>
      </c>
      <c r="H92" s="137" t="str">
        <f aca="false">IF(ISBLANK(Actuals!D108),"",'Original Budget'!D108-Actuals!D108)</f>
        <v/>
      </c>
      <c r="I92" s="137" t="str">
        <f aca="false">IFERROR(IF(ISBLANK(Actuals!D108),"",('Original Budget'!D108-Actuals!D108)/ABS('Original Budget'!D108)),"")</f>
        <v/>
      </c>
      <c r="J92" s="136" t="n">
        <f aca="false">'Original Budget'!E108</f>
        <v>0</v>
      </c>
      <c r="K92" s="136" t="str">
        <f aca="false">IF(ISBLANK(Actuals!E108),"",Actuals!E108)</f>
        <v/>
      </c>
      <c r="L92" s="137" t="str">
        <f aca="false">IF(ISBLANK(Actuals!E108),"",'Original Budget'!E108-Actuals!E108)</f>
        <v/>
      </c>
      <c r="M92" s="137" t="str">
        <f aca="false">IFERROR(IF(ISBLANK(Actuals!E108),"",('Original Budget'!E108-Actuals!E108)/ABS('Original Budget'!E108)),"")</f>
        <v/>
      </c>
      <c r="N92" s="136" t="n">
        <f aca="false">'Original Budget'!F108</f>
        <v>0</v>
      </c>
      <c r="O92" s="136" t="str">
        <f aca="false">IF(ISBLANK(Actuals!F108),"",Actuals!F108)</f>
        <v/>
      </c>
      <c r="P92" s="137" t="str">
        <f aca="false">IF(ISBLANK(Actuals!F108),"",'Original Budget'!F108-Actuals!F108)</f>
        <v/>
      </c>
      <c r="Q92" s="137" t="str">
        <f aca="false">IFERROR(IF(ISBLANK(Actuals!F108),"",('Original Budget'!F108-Actuals!F108)/ABS('Original Budget'!F108)),"")</f>
        <v/>
      </c>
      <c r="R92" s="136" t="n">
        <f aca="false">'Original Budget'!G108</f>
        <v>0</v>
      </c>
      <c r="S92" s="136" t="str">
        <f aca="false">IF(ISBLANK(Actuals!G108),"",Actuals!G108)</f>
        <v/>
      </c>
      <c r="T92" s="137" t="str">
        <f aca="false">IF(ISBLANK(Actuals!G108),"",'Original Budget'!G108-Actuals!G108)</f>
        <v/>
      </c>
      <c r="U92" s="137" t="str">
        <f aca="false">IFERROR(IF(ISBLANK(Actuals!G108),"",('Original Budget'!G108-Actuals!G108)/ABS('Original Budget'!G108)),"")</f>
        <v/>
      </c>
      <c r="V92" s="136" t="n">
        <f aca="false">'Original Budget'!H108</f>
        <v>0</v>
      </c>
      <c r="W92" s="136" t="str">
        <f aca="false">IF(ISBLANK(Actuals!H108),"",Actuals!H108)</f>
        <v/>
      </c>
      <c r="X92" s="137" t="str">
        <f aca="false">IF(ISBLANK(Actuals!H108),"",'Original Budget'!H108-Actuals!H108)</f>
        <v/>
      </c>
      <c r="Y92" s="137" t="str">
        <f aca="false">IFERROR(IF(ISBLANK(Actuals!H108),"",('Original Budget'!H108-Actuals!H108)/ABS('Original Budget'!H108)),"")</f>
        <v/>
      </c>
      <c r="Z92" s="136" t="n">
        <f aca="false">'Original Budget'!I108</f>
        <v>0</v>
      </c>
      <c r="AA92" s="136" t="str">
        <f aca="false">IF(ISBLANK(Actuals!I108),"",Actuals!I108)</f>
        <v/>
      </c>
      <c r="AB92" s="137" t="str">
        <f aca="false">IF(ISBLANK(Actuals!I108),"",'Original Budget'!I108-Actuals!I108)</f>
        <v/>
      </c>
      <c r="AC92" s="137" t="str">
        <f aca="false">IFERROR(IF(ISBLANK(Actuals!I108),"",('Original Budget'!I108-Actuals!I108)/ABS('Original Budget'!I108)),"")</f>
        <v/>
      </c>
      <c r="AD92" s="136" t="n">
        <f aca="false">'Original Budget'!J108</f>
        <v>0</v>
      </c>
      <c r="AE92" s="136" t="str">
        <f aca="false">IF(ISBLANK(Actuals!J108),"",Actuals!J108)</f>
        <v/>
      </c>
      <c r="AF92" s="137" t="str">
        <f aca="false">IF(ISBLANK(Actuals!J108),"",'Original Budget'!J108-Actuals!J108)</f>
        <v/>
      </c>
      <c r="AG92" s="137" t="str">
        <f aca="false">IFERROR(IF(ISBLANK(Actuals!J108),"",('Original Budget'!J108-Actuals!J108)/ABS('Original Budget'!J108)),"")</f>
        <v/>
      </c>
      <c r="AH92" s="136" t="n">
        <f aca="false">'Original Budget'!K108</f>
        <v>0</v>
      </c>
      <c r="AI92" s="136" t="str">
        <f aca="false">IF(ISBLANK(Actuals!K108),"",Actuals!K108)</f>
        <v/>
      </c>
      <c r="AJ92" s="137" t="str">
        <f aca="false">IF(ISBLANK(Actuals!K108),"",'Original Budget'!K108-Actuals!K108)</f>
        <v/>
      </c>
      <c r="AK92" s="137" t="str">
        <f aca="false">IFERROR(IF(ISBLANK(Actuals!K108),"",('Original Budget'!K108-Actuals!K108)/ABS('Original Budget'!K108)),"")</f>
        <v/>
      </c>
      <c r="AL92" s="136" t="n">
        <f aca="false">'Original Budget'!L108</f>
        <v>0</v>
      </c>
      <c r="AM92" s="136" t="str">
        <f aca="false">IF(ISBLANK(Actuals!L108),"",Actuals!L108)</f>
        <v/>
      </c>
      <c r="AN92" s="137" t="str">
        <f aca="false">IF(ISBLANK(Actuals!L108),"",'Original Budget'!L108-Actuals!L108)</f>
        <v/>
      </c>
      <c r="AO92" s="137" t="str">
        <f aca="false">IFERROR(IF(ISBLANK(Actuals!L108),"",('Original Budget'!L108-Actuals!L108)/ABS('Original Budget'!L108)),"")</f>
        <v/>
      </c>
      <c r="AP92" s="136" t="n">
        <f aca="false">'Original Budget'!M108</f>
        <v>0</v>
      </c>
      <c r="AQ92" s="136" t="str">
        <f aca="false">IF(ISBLANK(Actuals!M108),"",Actuals!M108)</f>
        <v/>
      </c>
      <c r="AR92" s="137" t="str">
        <f aca="false">IF(ISBLANK(Actuals!M108),"",'Original Budget'!M108-Actuals!M108)</f>
        <v/>
      </c>
      <c r="AS92" s="137" t="str">
        <f aca="false">IFERROR(IF(ISBLANK(Actuals!M108),"",('Original Budget'!M108-Actuals!M108)/ABS('Original Budget'!M108)),"")</f>
        <v/>
      </c>
      <c r="AT92" s="136" t="n">
        <f aca="false">'Original Budget'!N108</f>
        <v>0</v>
      </c>
      <c r="AU92" s="136" t="str">
        <f aca="false">IF(ISBLANK(Actuals!N108),"",Actuals!N108)</f>
        <v/>
      </c>
      <c r="AV92" s="137" t="str">
        <f aca="false">IF(ISBLANK(Actuals!N108),"",'Original Budget'!N108-Actuals!N108)</f>
        <v/>
      </c>
      <c r="AW92" s="137" t="str">
        <f aca="false">IFERROR(IF(ISBLANK(Actuals!N108),"",('Original Budget'!N108-Actuals!N108)/ABS('Original Budget'!N108)),"")</f>
        <v/>
      </c>
      <c r="AX92" s="138" t="n">
        <f aca="false">SUMPRODUCT((Actuals!C108:N108&lt;&gt;"")*('Original Budget'!C108:N108))</f>
        <v>0</v>
      </c>
      <c r="AY92" s="138" t="n">
        <f aca="false">SUM(Actuals!C108:N108)</f>
        <v>0</v>
      </c>
      <c r="AZ92" s="139" t="n">
        <f aca="false">AX92-AY92</f>
        <v>0</v>
      </c>
    </row>
    <row r="93" customFormat="false" ht="15" hidden="false" customHeight="true" outlineLevel="0" collapsed="false">
      <c r="A93" s="135" t="s">
        <v>129</v>
      </c>
      <c r="B93" s="136" t="n">
        <f aca="false">'Original Budget'!C109</f>
        <v>0</v>
      </c>
      <c r="C93" s="136" t="str">
        <f aca="false">IF(ISBLANK(Actuals!C109),"",Actuals!C109)</f>
        <v/>
      </c>
      <c r="D93" s="137" t="str">
        <f aca="false">IF(ISBLANK(Actuals!C109),"",'Original Budget'!C109-Actuals!C109)</f>
        <v/>
      </c>
      <c r="E93" s="137" t="str">
        <f aca="false">IFERROR(IF(ISBLANK(Actuals!C109),"",('Original Budget'!C109-Actuals!C109)/ABS('Original Budget'!C109)),"")</f>
        <v/>
      </c>
      <c r="F93" s="136" t="n">
        <f aca="false">'Original Budget'!D109</f>
        <v>0</v>
      </c>
      <c r="G93" s="136" t="str">
        <f aca="false">IF(ISBLANK(Actuals!D109),"",Actuals!D109)</f>
        <v/>
      </c>
      <c r="H93" s="137" t="str">
        <f aca="false">IF(ISBLANK(Actuals!D109),"",'Original Budget'!D109-Actuals!D109)</f>
        <v/>
      </c>
      <c r="I93" s="137" t="str">
        <f aca="false">IFERROR(IF(ISBLANK(Actuals!D109),"",('Original Budget'!D109-Actuals!D109)/ABS('Original Budget'!D109)),"")</f>
        <v/>
      </c>
      <c r="J93" s="136" t="n">
        <f aca="false">'Original Budget'!E109</f>
        <v>0</v>
      </c>
      <c r="K93" s="136" t="str">
        <f aca="false">IF(ISBLANK(Actuals!E109),"",Actuals!E109)</f>
        <v/>
      </c>
      <c r="L93" s="137" t="str">
        <f aca="false">IF(ISBLANK(Actuals!E109),"",'Original Budget'!E109-Actuals!E109)</f>
        <v/>
      </c>
      <c r="M93" s="137" t="str">
        <f aca="false">IFERROR(IF(ISBLANK(Actuals!E109),"",('Original Budget'!E109-Actuals!E109)/ABS('Original Budget'!E109)),"")</f>
        <v/>
      </c>
      <c r="N93" s="136" t="n">
        <f aca="false">'Original Budget'!F109</f>
        <v>0</v>
      </c>
      <c r="O93" s="136" t="str">
        <f aca="false">IF(ISBLANK(Actuals!F109),"",Actuals!F109)</f>
        <v/>
      </c>
      <c r="P93" s="137" t="str">
        <f aca="false">IF(ISBLANK(Actuals!F109),"",'Original Budget'!F109-Actuals!F109)</f>
        <v/>
      </c>
      <c r="Q93" s="137" t="str">
        <f aca="false">IFERROR(IF(ISBLANK(Actuals!F109),"",('Original Budget'!F109-Actuals!F109)/ABS('Original Budget'!F109)),"")</f>
        <v/>
      </c>
      <c r="R93" s="136" t="n">
        <f aca="false">'Original Budget'!G109</f>
        <v>0</v>
      </c>
      <c r="S93" s="136" t="str">
        <f aca="false">IF(ISBLANK(Actuals!G109),"",Actuals!G109)</f>
        <v/>
      </c>
      <c r="T93" s="137" t="str">
        <f aca="false">IF(ISBLANK(Actuals!G109),"",'Original Budget'!G109-Actuals!G109)</f>
        <v/>
      </c>
      <c r="U93" s="137" t="str">
        <f aca="false">IFERROR(IF(ISBLANK(Actuals!G109),"",('Original Budget'!G109-Actuals!G109)/ABS('Original Budget'!G109)),"")</f>
        <v/>
      </c>
      <c r="V93" s="136" t="n">
        <f aca="false">'Original Budget'!H109</f>
        <v>0</v>
      </c>
      <c r="W93" s="136" t="str">
        <f aca="false">IF(ISBLANK(Actuals!H109),"",Actuals!H109)</f>
        <v/>
      </c>
      <c r="X93" s="137" t="str">
        <f aca="false">IF(ISBLANK(Actuals!H109),"",'Original Budget'!H109-Actuals!H109)</f>
        <v/>
      </c>
      <c r="Y93" s="137" t="str">
        <f aca="false">IFERROR(IF(ISBLANK(Actuals!H109),"",('Original Budget'!H109-Actuals!H109)/ABS('Original Budget'!H109)),"")</f>
        <v/>
      </c>
      <c r="Z93" s="136" t="n">
        <f aca="false">'Original Budget'!I109</f>
        <v>0</v>
      </c>
      <c r="AA93" s="136" t="str">
        <f aca="false">IF(ISBLANK(Actuals!I109),"",Actuals!I109)</f>
        <v/>
      </c>
      <c r="AB93" s="137" t="str">
        <f aca="false">IF(ISBLANK(Actuals!I109),"",'Original Budget'!I109-Actuals!I109)</f>
        <v/>
      </c>
      <c r="AC93" s="137" t="str">
        <f aca="false">IFERROR(IF(ISBLANK(Actuals!I109),"",('Original Budget'!I109-Actuals!I109)/ABS('Original Budget'!I109)),"")</f>
        <v/>
      </c>
      <c r="AD93" s="136" t="n">
        <f aca="false">'Original Budget'!J109</f>
        <v>0</v>
      </c>
      <c r="AE93" s="136" t="str">
        <f aca="false">IF(ISBLANK(Actuals!J109),"",Actuals!J109)</f>
        <v/>
      </c>
      <c r="AF93" s="137" t="str">
        <f aca="false">IF(ISBLANK(Actuals!J109),"",'Original Budget'!J109-Actuals!J109)</f>
        <v/>
      </c>
      <c r="AG93" s="137" t="str">
        <f aca="false">IFERROR(IF(ISBLANK(Actuals!J109),"",('Original Budget'!J109-Actuals!J109)/ABS('Original Budget'!J109)),"")</f>
        <v/>
      </c>
      <c r="AH93" s="136" t="n">
        <f aca="false">'Original Budget'!K109</f>
        <v>0</v>
      </c>
      <c r="AI93" s="136" t="str">
        <f aca="false">IF(ISBLANK(Actuals!K109),"",Actuals!K109)</f>
        <v/>
      </c>
      <c r="AJ93" s="137" t="str">
        <f aca="false">IF(ISBLANK(Actuals!K109),"",'Original Budget'!K109-Actuals!K109)</f>
        <v/>
      </c>
      <c r="AK93" s="137" t="str">
        <f aca="false">IFERROR(IF(ISBLANK(Actuals!K109),"",('Original Budget'!K109-Actuals!K109)/ABS('Original Budget'!K109)),"")</f>
        <v/>
      </c>
      <c r="AL93" s="136" t="n">
        <f aca="false">'Original Budget'!L109</f>
        <v>0</v>
      </c>
      <c r="AM93" s="136" t="str">
        <f aca="false">IF(ISBLANK(Actuals!L109),"",Actuals!L109)</f>
        <v/>
      </c>
      <c r="AN93" s="137" t="str">
        <f aca="false">IF(ISBLANK(Actuals!L109),"",'Original Budget'!L109-Actuals!L109)</f>
        <v/>
      </c>
      <c r="AO93" s="137" t="str">
        <f aca="false">IFERROR(IF(ISBLANK(Actuals!L109),"",('Original Budget'!L109-Actuals!L109)/ABS('Original Budget'!L109)),"")</f>
        <v/>
      </c>
      <c r="AP93" s="136" t="n">
        <f aca="false">'Original Budget'!M109</f>
        <v>0</v>
      </c>
      <c r="AQ93" s="136" t="str">
        <f aca="false">IF(ISBLANK(Actuals!M109),"",Actuals!M109)</f>
        <v/>
      </c>
      <c r="AR93" s="137" t="str">
        <f aca="false">IF(ISBLANK(Actuals!M109),"",'Original Budget'!M109-Actuals!M109)</f>
        <v/>
      </c>
      <c r="AS93" s="137" t="str">
        <f aca="false">IFERROR(IF(ISBLANK(Actuals!M109),"",('Original Budget'!M109-Actuals!M109)/ABS('Original Budget'!M109)),"")</f>
        <v/>
      </c>
      <c r="AT93" s="136" t="n">
        <f aca="false">'Original Budget'!N109</f>
        <v>0</v>
      </c>
      <c r="AU93" s="136" t="str">
        <f aca="false">IF(ISBLANK(Actuals!N109),"",Actuals!N109)</f>
        <v/>
      </c>
      <c r="AV93" s="137" t="str">
        <f aca="false">IF(ISBLANK(Actuals!N109),"",'Original Budget'!N109-Actuals!N109)</f>
        <v/>
      </c>
      <c r="AW93" s="137" t="str">
        <f aca="false">IFERROR(IF(ISBLANK(Actuals!N109),"",('Original Budget'!N109-Actuals!N109)/ABS('Original Budget'!N109)),"")</f>
        <v/>
      </c>
      <c r="AX93" s="138" t="n">
        <f aca="false">SUMPRODUCT((Actuals!C109:N109&lt;&gt;"")*('Original Budget'!C109:N109))</f>
        <v>0</v>
      </c>
      <c r="AY93" s="138" t="n">
        <f aca="false">SUM(Actuals!C109:N109)</f>
        <v>0</v>
      </c>
      <c r="AZ93" s="139" t="n">
        <f aca="false">AX93-AY93</f>
        <v>0</v>
      </c>
    </row>
    <row r="94" customFormat="false" ht="15" hidden="false" customHeight="true" outlineLevel="0" collapsed="false">
      <c r="A94" s="135" t="s">
        <v>130</v>
      </c>
      <c r="B94" s="136" t="n">
        <f aca="false">'Original Budget'!C110</f>
        <v>0</v>
      </c>
      <c r="C94" s="136" t="str">
        <f aca="false">IF(ISBLANK(Actuals!C110),"",Actuals!C110)</f>
        <v/>
      </c>
      <c r="D94" s="137" t="str">
        <f aca="false">IF(ISBLANK(Actuals!C110),"",'Original Budget'!C110-Actuals!C110)</f>
        <v/>
      </c>
      <c r="E94" s="137" t="str">
        <f aca="false">IFERROR(IF(ISBLANK(Actuals!C110),"",('Original Budget'!C110-Actuals!C110)/ABS('Original Budget'!C110)),"")</f>
        <v/>
      </c>
      <c r="F94" s="136" t="n">
        <f aca="false">'Original Budget'!D110</f>
        <v>0</v>
      </c>
      <c r="G94" s="136" t="str">
        <f aca="false">IF(ISBLANK(Actuals!D110),"",Actuals!D110)</f>
        <v/>
      </c>
      <c r="H94" s="137" t="str">
        <f aca="false">IF(ISBLANK(Actuals!D110),"",'Original Budget'!D110-Actuals!D110)</f>
        <v/>
      </c>
      <c r="I94" s="137" t="str">
        <f aca="false">IFERROR(IF(ISBLANK(Actuals!D110),"",('Original Budget'!D110-Actuals!D110)/ABS('Original Budget'!D110)),"")</f>
        <v/>
      </c>
      <c r="J94" s="136" t="n">
        <f aca="false">'Original Budget'!E110</f>
        <v>0</v>
      </c>
      <c r="K94" s="136" t="str">
        <f aca="false">IF(ISBLANK(Actuals!E110),"",Actuals!E110)</f>
        <v/>
      </c>
      <c r="L94" s="137" t="str">
        <f aca="false">IF(ISBLANK(Actuals!E110),"",'Original Budget'!E110-Actuals!E110)</f>
        <v/>
      </c>
      <c r="M94" s="137" t="str">
        <f aca="false">IFERROR(IF(ISBLANK(Actuals!E110),"",('Original Budget'!E110-Actuals!E110)/ABS('Original Budget'!E110)),"")</f>
        <v/>
      </c>
      <c r="N94" s="136" t="n">
        <f aca="false">'Original Budget'!F110</f>
        <v>0</v>
      </c>
      <c r="O94" s="136" t="str">
        <f aca="false">IF(ISBLANK(Actuals!F110),"",Actuals!F110)</f>
        <v/>
      </c>
      <c r="P94" s="137" t="str">
        <f aca="false">IF(ISBLANK(Actuals!F110),"",'Original Budget'!F110-Actuals!F110)</f>
        <v/>
      </c>
      <c r="Q94" s="137" t="str">
        <f aca="false">IFERROR(IF(ISBLANK(Actuals!F110),"",('Original Budget'!F110-Actuals!F110)/ABS('Original Budget'!F110)),"")</f>
        <v/>
      </c>
      <c r="R94" s="136" t="n">
        <f aca="false">'Original Budget'!G110</f>
        <v>0</v>
      </c>
      <c r="S94" s="136" t="str">
        <f aca="false">IF(ISBLANK(Actuals!G110),"",Actuals!G110)</f>
        <v/>
      </c>
      <c r="T94" s="137" t="str">
        <f aca="false">IF(ISBLANK(Actuals!G110),"",'Original Budget'!G110-Actuals!G110)</f>
        <v/>
      </c>
      <c r="U94" s="137" t="str">
        <f aca="false">IFERROR(IF(ISBLANK(Actuals!G110),"",('Original Budget'!G110-Actuals!G110)/ABS('Original Budget'!G110)),"")</f>
        <v/>
      </c>
      <c r="V94" s="136" t="n">
        <f aca="false">'Original Budget'!H110</f>
        <v>0</v>
      </c>
      <c r="W94" s="136" t="str">
        <f aca="false">IF(ISBLANK(Actuals!H110),"",Actuals!H110)</f>
        <v/>
      </c>
      <c r="X94" s="137" t="str">
        <f aca="false">IF(ISBLANK(Actuals!H110),"",'Original Budget'!H110-Actuals!H110)</f>
        <v/>
      </c>
      <c r="Y94" s="137" t="str">
        <f aca="false">IFERROR(IF(ISBLANK(Actuals!H110),"",('Original Budget'!H110-Actuals!H110)/ABS('Original Budget'!H110)),"")</f>
        <v/>
      </c>
      <c r="Z94" s="136" t="n">
        <f aca="false">'Original Budget'!I110</f>
        <v>0</v>
      </c>
      <c r="AA94" s="136" t="str">
        <f aca="false">IF(ISBLANK(Actuals!I110),"",Actuals!I110)</f>
        <v/>
      </c>
      <c r="AB94" s="137" t="str">
        <f aca="false">IF(ISBLANK(Actuals!I110),"",'Original Budget'!I110-Actuals!I110)</f>
        <v/>
      </c>
      <c r="AC94" s="137" t="str">
        <f aca="false">IFERROR(IF(ISBLANK(Actuals!I110),"",('Original Budget'!I110-Actuals!I110)/ABS('Original Budget'!I110)),"")</f>
        <v/>
      </c>
      <c r="AD94" s="136" t="n">
        <f aca="false">'Original Budget'!J110</f>
        <v>0</v>
      </c>
      <c r="AE94" s="136" t="str">
        <f aca="false">IF(ISBLANK(Actuals!J110),"",Actuals!J110)</f>
        <v/>
      </c>
      <c r="AF94" s="137" t="str">
        <f aca="false">IF(ISBLANK(Actuals!J110),"",'Original Budget'!J110-Actuals!J110)</f>
        <v/>
      </c>
      <c r="AG94" s="137" t="str">
        <f aca="false">IFERROR(IF(ISBLANK(Actuals!J110),"",('Original Budget'!J110-Actuals!J110)/ABS('Original Budget'!J110)),"")</f>
        <v/>
      </c>
      <c r="AH94" s="136" t="n">
        <f aca="false">'Original Budget'!K110</f>
        <v>0</v>
      </c>
      <c r="AI94" s="136" t="str">
        <f aca="false">IF(ISBLANK(Actuals!K110),"",Actuals!K110)</f>
        <v/>
      </c>
      <c r="AJ94" s="137" t="str">
        <f aca="false">IF(ISBLANK(Actuals!K110),"",'Original Budget'!K110-Actuals!K110)</f>
        <v/>
      </c>
      <c r="AK94" s="137" t="str">
        <f aca="false">IFERROR(IF(ISBLANK(Actuals!K110),"",('Original Budget'!K110-Actuals!K110)/ABS('Original Budget'!K110)),"")</f>
        <v/>
      </c>
      <c r="AL94" s="136" t="n">
        <f aca="false">'Original Budget'!L110</f>
        <v>0</v>
      </c>
      <c r="AM94" s="136" t="str">
        <f aca="false">IF(ISBLANK(Actuals!L110),"",Actuals!L110)</f>
        <v/>
      </c>
      <c r="AN94" s="137" t="str">
        <f aca="false">IF(ISBLANK(Actuals!L110),"",'Original Budget'!L110-Actuals!L110)</f>
        <v/>
      </c>
      <c r="AO94" s="137" t="str">
        <f aca="false">IFERROR(IF(ISBLANK(Actuals!L110),"",('Original Budget'!L110-Actuals!L110)/ABS('Original Budget'!L110)),"")</f>
        <v/>
      </c>
      <c r="AP94" s="136" t="n">
        <f aca="false">'Original Budget'!M110</f>
        <v>0</v>
      </c>
      <c r="AQ94" s="136" t="str">
        <f aca="false">IF(ISBLANK(Actuals!M110),"",Actuals!M110)</f>
        <v/>
      </c>
      <c r="AR94" s="137" t="str">
        <f aca="false">IF(ISBLANK(Actuals!M110),"",'Original Budget'!M110-Actuals!M110)</f>
        <v/>
      </c>
      <c r="AS94" s="137" t="str">
        <f aca="false">IFERROR(IF(ISBLANK(Actuals!M110),"",('Original Budget'!M110-Actuals!M110)/ABS('Original Budget'!M110)),"")</f>
        <v/>
      </c>
      <c r="AT94" s="136" t="n">
        <f aca="false">'Original Budget'!N110</f>
        <v>0</v>
      </c>
      <c r="AU94" s="136" t="str">
        <f aca="false">IF(ISBLANK(Actuals!N110),"",Actuals!N110)</f>
        <v/>
      </c>
      <c r="AV94" s="137" t="str">
        <f aca="false">IF(ISBLANK(Actuals!N110),"",'Original Budget'!N110-Actuals!N110)</f>
        <v/>
      </c>
      <c r="AW94" s="137" t="str">
        <f aca="false">IFERROR(IF(ISBLANK(Actuals!N110),"",('Original Budget'!N110-Actuals!N110)/ABS('Original Budget'!N110)),"")</f>
        <v/>
      </c>
      <c r="AX94" s="138" t="n">
        <f aca="false">SUMPRODUCT((Actuals!C110:N110&lt;&gt;"")*('Original Budget'!C110:N110))</f>
        <v>0</v>
      </c>
      <c r="AY94" s="138" t="n">
        <f aca="false">SUM(Actuals!C110:N110)</f>
        <v>0</v>
      </c>
      <c r="AZ94" s="139" t="n">
        <f aca="false">AX94-AY94</f>
        <v>0</v>
      </c>
    </row>
    <row r="95" customFormat="false" ht="15" hidden="false" customHeight="true" outlineLevel="0" collapsed="false">
      <c r="A95" s="135" t="s">
        <v>131</v>
      </c>
      <c r="B95" s="136" t="n">
        <f aca="false">'Original Budget'!C111</f>
        <v>0</v>
      </c>
      <c r="C95" s="136" t="str">
        <f aca="false">IF(ISBLANK(Actuals!C111),"",Actuals!C111)</f>
        <v/>
      </c>
      <c r="D95" s="137" t="str">
        <f aca="false">IF(ISBLANK(Actuals!C111),"",'Original Budget'!C111-Actuals!C111)</f>
        <v/>
      </c>
      <c r="E95" s="137" t="str">
        <f aca="false">IFERROR(IF(ISBLANK(Actuals!C111),"",('Original Budget'!C111-Actuals!C111)/ABS('Original Budget'!C111)),"")</f>
        <v/>
      </c>
      <c r="F95" s="136" t="n">
        <f aca="false">'Original Budget'!D111</f>
        <v>0</v>
      </c>
      <c r="G95" s="136" t="str">
        <f aca="false">IF(ISBLANK(Actuals!D111),"",Actuals!D111)</f>
        <v/>
      </c>
      <c r="H95" s="137" t="str">
        <f aca="false">IF(ISBLANK(Actuals!D111),"",'Original Budget'!D111-Actuals!D111)</f>
        <v/>
      </c>
      <c r="I95" s="137" t="str">
        <f aca="false">IFERROR(IF(ISBLANK(Actuals!D111),"",('Original Budget'!D111-Actuals!D111)/ABS('Original Budget'!D111)),"")</f>
        <v/>
      </c>
      <c r="J95" s="136" t="n">
        <f aca="false">'Original Budget'!E111</f>
        <v>0</v>
      </c>
      <c r="K95" s="136" t="str">
        <f aca="false">IF(ISBLANK(Actuals!E111),"",Actuals!E111)</f>
        <v/>
      </c>
      <c r="L95" s="137" t="str">
        <f aca="false">IF(ISBLANK(Actuals!E111),"",'Original Budget'!E111-Actuals!E111)</f>
        <v/>
      </c>
      <c r="M95" s="137" t="str">
        <f aca="false">IFERROR(IF(ISBLANK(Actuals!E111),"",('Original Budget'!E111-Actuals!E111)/ABS('Original Budget'!E111)),"")</f>
        <v/>
      </c>
      <c r="N95" s="136" t="n">
        <f aca="false">'Original Budget'!F111</f>
        <v>0</v>
      </c>
      <c r="O95" s="136" t="str">
        <f aca="false">IF(ISBLANK(Actuals!F111),"",Actuals!F111)</f>
        <v/>
      </c>
      <c r="P95" s="137" t="str">
        <f aca="false">IF(ISBLANK(Actuals!F111),"",'Original Budget'!F111-Actuals!F111)</f>
        <v/>
      </c>
      <c r="Q95" s="137" t="str">
        <f aca="false">IFERROR(IF(ISBLANK(Actuals!F111),"",('Original Budget'!F111-Actuals!F111)/ABS('Original Budget'!F111)),"")</f>
        <v/>
      </c>
      <c r="R95" s="136" t="n">
        <f aca="false">'Original Budget'!G111</f>
        <v>0</v>
      </c>
      <c r="S95" s="136" t="str">
        <f aca="false">IF(ISBLANK(Actuals!G111),"",Actuals!G111)</f>
        <v/>
      </c>
      <c r="T95" s="137" t="str">
        <f aca="false">IF(ISBLANK(Actuals!G111),"",'Original Budget'!G111-Actuals!G111)</f>
        <v/>
      </c>
      <c r="U95" s="137" t="str">
        <f aca="false">IFERROR(IF(ISBLANK(Actuals!G111),"",('Original Budget'!G111-Actuals!G111)/ABS('Original Budget'!G111)),"")</f>
        <v/>
      </c>
      <c r="V95" s="136" t="n">
        <f aca="false">'Original Budget'!H111</f>
        <v>0</v>
      </c>
      <c r="W95" s="136" t="str">
        <f aca="false">IF(ISBLANK(Actuals!H111),"",Actuals!H111)</f>
        <v/>
      </c>
      <c r="X95" s="137" t="str">
        <f aca="false">IF(ISBLANK(Actuals!H111),"",'Original Budget'!H111-Actuals!H111)</f>
        <v/>
      </c>
      <c r="Y95" s="137" t="str">
        <f aca="false">IFERROR(IF(ISBLANK(Actuals!H111),"",('Original Budget'!H111-Actuals!H111)/ABS('Original Budget'!H111)),"")</f>
        <v/>
      </c>
      <c r="Z95" s="136" t="n">
        <f aca="false">'Original Budget'!I111</f>
        <v>0</v>
      </c>
      <c r="AA95" s="136" t="str">
        <f aca="false">IF(ISBLANK(Actuals!I111),"",Actuals!I111)</f>
        <v/>
      </c>
      <c r="AB95" s="137" t="str">
        <f aca="false">IF(ISBLANK(Actuals!I111),"",'Original Budget'!I111-Actuals!I111)</f>
        <v/>
      </c>
      <c r="AC95" s="137" t="str">
        <f aca="false">IFERROR(IF(ISBLANK(Actuals!I111),"",('Original Budget'!I111-Actuals!I111)/ABS('Original Budget'!I111)),"")</f>
        <v/>
      </c>
      <c r="AD95" s="136" t="n">
        <f aca="false">'Original Budget'!J111</f>
        <v>0</v>
      </c>
      <c r="AE95" s="136" t="str">
        <f aca="false">IF(ISBLANK(Actuals!J111),"",Actuals!J111)</f>
        <v/>
      </c>
      <c r="AF95" s="137" t="str">
        <f aca="false">IF(ISBLANK(Actuals!J111),"",'Original Budget'!J111-Actuals!J111)</f>
        <v/>
      </c>
      <c r="AG95" s="137" t="str">
        <f aca="false">IFERROR(IF(ISBLANK(Actuals!J111),"",('Original Budget'!J111-Actuals!J111)/ABS('Original Budget'!J111)),"")</f>
        <v/>
      </c>
      <c r="AH95" s="136" t="n">
        <f aca="false">'Original Budget'!K111</f>
        <v>0</v>
      </c>
      <c r="AI95" s="136" t="str">
        <f aca="false">IF(ISBLANK(Actuals!K111),"",Actuals!K111)</f>
        <v/>
      </c>
      <c r="AJ95" s="137" t="str">
        <f aca="false">IF(ISBLANK(Actuals!K111),"",'Original Budget'!K111-Actuals!K111)</f>
        <v/>
      </c>
      <c r="AK95" s="137" t="str">
        <f aca="false">IFERROR(IF(ISBLANK(Actuals!K111),"",('Original Budget'!K111-Actuals!K111)/ABS('Original Budget'!K111)),"")</f>
        <v/>
      </c>
      <c r="AL95" s="136" t="n">
        <f aca="false">'Original Budget'!L111</f>
        <v>0</v>
      </c>
      <c r="AM95" s="136" t="str">
        <f aca="false">IF(ISBLANK(Actuals!L111),"",Actuals!L111)</f>
        <v/>
      </c>
      <c r="AN95" s="137" t="str">
        <f aca="false">IF(ISBLANK(Actuals!L111),"",'Original Budget'!L111-Actuals!L111)</f>
        <v/>
      </c>
      <c r="AO95" s="137" t="str">
        <f aca="false">IFERROR(IF(ISBLANK(Actuals!L111),"",('Original Budget'!L111-Actuals!L111)/ABS('Original Budget'!L111)),"")</f>
        <v/>
      </c>
      <c r="AP95" s="136" t="n">
        <f aca="false">'Original Budget'!M111</f>
        <v>0</v>
      </c>
      <c r="AQ95" s="136" t="str">
        <f aca="false">IF(ISBLANK(Actuals!M111),"",Actuals!M111)</f>
        <v/>
      </c>
      <c r="AR95" s="137" t="str">
        <f aca="false">IF(ISBLANK(Actuals!M111),"",'Original Budget'!M111-Actuals!M111)</f>
        <v/>
      </c>
      <c r="AS95" s="137" t="str">
        <f aca="false">IFERROR(IF(ISBLANK(Actuals!M111),"",('Original Budget'!M111-Actuals!M111)/ABS('Original Budget'!M111)),"")</f>
        <v/>
      </c>
      <c r="AT95" s="136" t="n">
        <f aca="false">'Original Budget'!N111</f>
        <v>0</v>
      </c>
      <c r="AU95" s="136" t="str">
        <f aca="false">IF(ISBLANK(Actuals!N111),"",Actuals!N111)</f>
        <v/>
      </c>
      <c r="AV95" s="137" t="str">
        <f aca="false">IF(ISBLANK(Actuals!N111),"",'Original Budget'!N111-Actuals!N111)</f>
        <v/>
      </c>
      <c r="AW95" s="137" t="str">
        <f aca="false">IFERROR(IF(ISBLANK(Actuals!N111),"",('Original Budget'!N111-Actuals!N111)/ABS('Original Budget'!N111)),"")</f>
        <v/>
      </c>
      <c r="AX95" s="138" t="n">
        <f aca="false">SUMPRODUCT((Actuals!C111:N111&lt;&gt;"")*('Original Budget'!C111:N111))</f>
        <v>0</v>
      </c>
      <c r="AY95" s="138" t="n">
        <f aca="false">SUM(Actuals!C111:N111)</f>
        <v>0</v>
      </c>
      <c r="AZ95" s="139" t="n">
        <f aca="false">AX95-AY95</f>
        <v>0</v>
      </c>
    </row>
    <row r="96" customFormat="false" ht="15" hidden="false" customHeight="true" outlineLevel="0" collapsed="false"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</row>
    <row r="97" customFormat="false" ht="15" hidden="false" customHeight="true" outlineLevel="0" collapsed="false">
      <c r="A97" s="141" t="s">
        <v>301</v>
      </c>
      <c r="B97" s="142" t="n">
        <f aca="false">SUMIFS(B6:B95,B6:B95,"&lt;&gt;")</f>
        <v>16004.7700000001</v>
      </c>
      <c r="C97" s="142" t="n">
        <f aca="false">SUMIFS(C6:C95,C6:C95,"&lt;&gt;")</f>
        <v>12199.0800000001</v>
      </c>
      <c r="D97" s="142" t="n">
        <f aca="false">SUMIFS(D6:D95,D6:D95,"&lt;&gt;")</f>
        <v>3805.68999999995</v>
      </c>
      <c r="E97" s="142"/>
      <c r="F97" s="142" t="n">
        <f aca="false">SUMIFS(F6:F95,F6:F95,"&lt;&gt;")</f>
        <v>-516298.11</v>
      </c>
      <c r="G97" s="142" t="n">
        <f aca="false">SUMIFS(G6:G95,G6:G95,"&lt;&gt;")</f>
        <v>-520697.5</v>
      </c>
      <c r="H97" s="142" t="n">
        <f aca="false">SUMIFS(H6:H95,H6:H95,"&lt;&gt;")</f>
        <v>4399.39000000027</v>
      </c>
      <c r="I97" s="142"/>
      <c r="J97" s="142" t="n">
        <f aca="false">SUMIFS(J6:J95,J6:J95,"&lt;&gt;")</f>
        <v>630026.570000001</v>
      </c>
      <c r="K97" s="142" t="n">
        <f aca="false">SUMIFS(K6:K95,K6:K95,"&lt;&gt;")</f>
        <v>615521.780000001</v>
      </c>
      <c r="L97" s="142" t="n">
        <f aca="false">SUMIFS(L6:L95,L6:L95,"&lt;&gt;")</f>
        <v>14504.79</v>
      </c>
      <c r="M97" s="142"/>
      <c r="N97" s="142" t="n">
        <f aca="false">SUMIFS(N6:N95,N6:N95,"&lt;&gt;")</f>
        <v>511603.054440486</v>
      </c>
      <c r="O97" s="142" t="n">
        <f aca="false">SUMIFS(O6:O95,O6:O95,"&lt;&gt;")</f>
        <v>659494.800000001</v>
      </c>
      <c r="P97" s="142" t="n">
        <f aca="false">SUMIFS(P6:P95,P6:P95,"&lt;&gt;")</f>
        <v>-157391.745559515</v>
      </c>
      <c r="Q97" s="142"/>
      <c r="R97" s="142" t="n">
        <f aca="false">SUMIFS(R6:R95,R6:R95,"&lt;&gt;")</f>
        <v>439205.13648904</v>
      </c>
      <c r="S97" s="142" t="n">
        <f aca="false">SUMIFS(S6:S95,S6:S95,"&lt;&gt;")</f>
        <v>277243.61</v>
      </c>
      <c r="T97" s="142" t="n">
        <f aca="false">SUMIFS(T6:T95,T6:T95,"&lt;&gt;")</f>
        <v>152461.52648904</v>
      </c>
      <c r="U97" s="142"/>
      <c r="V97" s="142" t="n">
        <f aca="false">SUMIFS(V6:V95,V6:V95,"&lt;&gt;")</f>
        <v>409830.14225528</v>
      </c>
      <c r="W97" s="142" t="n">
        <f aca="false">SUMIFS(W6:W95,W6:W95,"&lt;&gt;")</f>
        <v>1090780.48</v>
      </c>
      <c r="X97" s="142" t="n">
        <f aca="false">SUMIFS(X6:X95,X6:X95,"&lt;&gt;")</f>
        <v>-586617.004411388</v>
      </c>
      <c r="Y97" s="142"/>
      <c r="Z97" s="142" t="n">
        <f aca="false">SUMIFS(Z6:Z95,Z6:Z95,"&lt;&gt;")</f>
        <v>1403670.62720525</v>
      </c>
      <c r="AA97" s="142" t="n">
        <f aca="false">SUMIFS(AA6:AA95,AA6:AA95,"&lt;&gt;")</f>
        <v>0</v>
      </c>
      <c r="AB97" s="142" t="n">
        <f aca="false">SUMIFS(AB6:AB95,AB6:AB95,"&lt;&gt;")</f>
        <v>959257.390269293</v>
      </c>
      <c r="AC97" s="142"/>
      <c r="AD97" s="142" t="n">
        <f aca="false">SUMIFS(AD6:AD95,AD6:AD95,"&lt;&gt;")</f>
        <v>770050.233496412</v>
      </c>
      <c r="AE97" s="142" t="n">
        <f aca="false">SUMIFS(AE6:AE95,AE6:AE95,"&lt;&gt;")</f>
        <v>0</v>
      </c>
      <c r="AF97" s="142" t="n">
        <f aca="false">SUMIFS(AF6:AF95,AF6:AF95,"&lt;&gt;")</f>
        <v>632697.193414873</v>
      </c>
      <c r="AG97" s="142"/>
      <c r="AH97" s="142" t="n">
        <f aca="false">SUMIFS(AH6:AH95,AH6:AH95,"&lt;&gt;")</f>
        <v>769216.899296934</v>
      </c>
      <c r="AI97" s="142" t="n">
        <f aca="false">SUMIFS(AI6:AI95,AI6:AI95,"&lt;&gt;")</f>
        <v>0</v>
      </c>
      <c r="AJ97" s="142" t="n">
        <f aca="false">SUMIFS(AJ6:AJ95,AJ6:AJ95,"&lt;&gt;")</f>
        <v>632697.191315133</v>
      </c>
      <c r="AK97" s="142"/>
      <c r="AL97" s="142" t="n">
        <f aca="false">SUMIFS(AL6:AL95,AL6:AL95,"&lt;&gt;")</f>
        <v>1440672.20765296</v>
      </c>
      <c r="AM97" s="142" t="n">
        <f aca="false">SUMIFS(AM6:AM95,AM6:AM95,"&lt;&gt;")</f>
        <v>0</v>
      </c>
      <c r="AN97" s="142" t="n">
        <f aca="false">SUMIFS(AN6:AN95,AN6:AN95,"&lt;&gt;")</f>
        <v>999101.928826481</v>
      </c>
      <c r="AO97" s="142"/>
      <c r="AP97" s="142" t="n">
        <f aca="false">SUMIFS(AP6:AP95,AP6:AP95,"&lt;&gt;")</f>
        <v>1544149.06314463</v>
      </c>
      <c r="AQ97" s="142" t="n">
        <f aca="false">SUMIFS(AQ6:AQ95,AQ6:AQ95,"&lt;&gt;")</f>
        <v>0</v>
      </c>
      <c r="AR97" s="142" t="n">
        <f aca="false">SUMIFS(AR6:AR95,AR6:AR95,"&lt;&gt;")</f>
        <v>1080952.85657232</v>
      </c>
      <c r="AS97" s="142"/>
      <c r="AT97" s="142" t="n">
        <f aca="false">SUMIFS(AT6:AT95,AT6:AT95,"&lt;&gt;")</f>
        <v>985398.894649886</v>
      </c>
      <c r="AU97" s="142" t="n">
        <f aca="false">SUMIFS(AU6:AU95,AU6:AU95,"&lt;&gt;")</f>
        <v>0</v>
      </c>
      <c r="AV97" s="142" t="n">
        <f aca="false">SUMIFS(AV6:AV95,AV6:AV95,"&lt;&gt;")</f>
        <v>774577.772324943</v>
      </c>
      <c r="AW97" s="142"/>
      <c r="AX97" s="142" t="n">
        <f aca="false">SUM(AX6:AX95)</f>
        <v>6793426.70924118</v>
      </c>
      <c r="AY97" s="142" t="n">
        <f aca="false">SUM(AY6:AY95)</f>
        <v>2282979.73</v>
      </c>
      <c r="AZ97" s="142" t="n">
        <f aca="false">SUM(AZ6:AZ95)</f>
        <v>4510446.97924118</v>
      </c>
    </row>
    <row r="98" customFormat="false" ht="15" hidden="false" customHeight="true" outlineLevel="0" collapsed="false"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</row>
    <row r="99" customFormat="false" ht="15" hidden="false" customHeight="true" outlineLevel="0" collapsed="false"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</row>
    <row r="100" customFormat="false" ht="15" hidden="false" customHeight="true" outlineLevel="0" collapsed="false"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</row>
    <row r="101" customFormat="false" ht="15" hidden="false" customHeight="true" outlineLevel="0" collapsed="false"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</row>
    <row r="102" customFormat="false" ht="15" hidden="false" customHeight="true" outlineLevel="0" collapsed="false"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</row>
    <row r="103" customFormat="false" ht="15" hidden="false" customHeight="true" outlineLevel="0" collapsed="false"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</row>
    <row r="104" customFormat="false" ht="15" hidden="false" customHeight="true" outlineLevel="0" collapsed="false"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</row>
    <row r="105" customFormat="false" ht="15" hidden="false" customHeight="true" outlineLevel="0" collapsed="false"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</row>
    <row r="106" customFormat="false" ht="15" hidden="false" customHeight="true" outlineLevel="0" collapsed="false"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</row>
    <row r="107" customFormat="false" ht="15" hidden="false" customHeight="true" outlineLevel="0" collapsed="false"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</row>
    <row r="108" customFormat="false" ht="15" hidden="false" customHeight="true" outlineLevel="0" collapsed="false"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</row>
    <row r="109" customFormat="false" ht="15" hidden="false" customHeight="true" outlineLevel="0" collapsed="false"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</row>
  </sheetData>
  <mergeCells count="13"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AZ4"/>
  </mergeCells>
  <conditionalFormatting sqref="D6:D94">
    <cfRule type="cellIs" priority="2" operator="greaterThan" aboveAverage="0" equalAverage="0" bottom="0" percent="0" rank="0" text="" dxfId="1">
      <formula>0</formula>
    </cfRule>
    <cfRule type="cellIs" priority="3" operator="lessThan" aboveAverage="0" equalAverage="0" bottom="0" percent="0" rank="0" text="" dxfId="2">
      <formula>0</formula>
    </cfRule>
  </conditionalFormatting>
  <conditionalFormatting sqref="H6:H94">
    <cfRule type="cellIs" priority="4" operator="greaterThan" aboveAverage="0" equalAverage="0" bottom="0" percent="0" rank="0" text="" dxfId="1">
      <formula>0</formula>
    </cfRule>
    <cfRule type="cellIs" priority="5" operator="lessThan" aboveAverage="0" equalAverage="0" bottom="0" percent="0" rank="0" text="" dxfId="2">
      <formula>0</formula>
    </cfRule>
  </conditionalFormatting>
  <conditionalFormatting sqref="L6:L94">
    <cfRule type="cellIs" priority="6" operator="greaterThan" aboveAverage="0" equalAverage="0" bottom="0" percent="0" rank="0" text="" dxfId="1">
      <formula>0</formula>
    </cfRule>
    <cfRule type="cellIs" priority="7" operator="lessThan" aboveAverage="0" equalAverage="0" bottom="0" percent="0" rank="0" text="" dxfId="2">
      <formula>0</formula>
    </cfRule>
  </conditionalFormatting>
  <conditionalFormatting sqref="P6:P94">
    <cfRule type="cellIs" priority="8" operator="greaterThan" aboveAverage="0" equalAverage="0" bottom="0" percent="0" rank="0" text="" dxfId="1">
      <formula>0</formula>
    </cfRule>
    <cfRule type="cellIs" priority="9" operator="lessThan" aboveAverage="0" equalAverage="0" bottom="0" percent="0" rank="0" text="" dxfId="2">
      <formula>0</formula>
    </cfRule>
  </conditionalFormatting>
  <conditionalFormatting sqref="T6:T94">
    <cfRule type="cellIs" priority="10" operator="greaterThan" aboveAverage="0" equalAverage="0" bottom="0" percent="0" rank="0" text="" dxfId="1">
      <formula>0</formula>
    </cfRule>
    <cfRule type="cellIs" priority="11" operator="lessThan" aboveAverage="0" equalAverage="0" bottom="0" percent="0" rank="0" text="" dxfId="2">
      <formula>0</formula>
    </cfRule>
  </conditionalFormatting>
  <conditionalFormatting sqref="X6:X94">
    <cfRule type="cellIs" priority="12" operator="greaterThan" aboveAverage="0" equalAverage="0" bottom="0" percent="0" rank="0" text="" dxfId="1">
      <formula>0</formula>
    </cfRule>
    <cfRule type="cellIs" priority="13" operator="lessThan" aboveAverage="0" equalAverage="0" bottom="0" percent="0" rank="0" text="" dxfId="2">
      <formula>0</formula>
    </cfRule>
  </conditionalFormatting>
  <conditionalFormatting sqref="AB6:AB94">
    <cfRule type="cellIs" priority="14" operator="greaterThan" aboveAverage="0" equalAverage="0" bottom="0" percent="0" rank="0" text="" dxfId="1">
      <formula>0</formula>
    </cfRule>
    <cfRule type="cellIs" priority="15" operator="lessThan" aboveAverage="0" equalAverage="0" bottom="0" percent="0" rank="0" text="" dxfId="2">
      <formula>0</formula>
    </cfRule>
  </conditionalFormatting>
  <conditionalFormatting sqref="AF6:AF94">
    <cfRule type="cellIs" priority="16" operator="greaterThan" aboveAverage="0" equalAverage="0" bottom="0" percent="0" rank="0" text="" dxfId="1">
      <formula>0</formula>
    </cfRule>
    <cfRule type="cellIs" priority="17" operator="lessThan" aboveAverage="0" equalAverage="0" bottom="0" percent="0" rank="0" text="" dxfId="2">
      <formula>0</formula>
    </cfRule>
  </conditionalFormatting>
  <conditionalFormatting sqref="AJ6:AJ94">
    <cfRule type="cellIs" priority="18" operator="greaterThan" aboveAverage="0" equalAverage="0" bottom="0" percent="0" rank="0" text="" dxfId="1">
      <formula>0</formula>
    </cfRule>
    <cfRule type="cellIs" priority="19" operator="lessThan" aboveAverage="0" equalAverage="0" bottom="0" percent="0" rank="0" text="" dxfId="2">
      <formula>0</formula>
    </cfRule>
  </conditionalFormatting>
  <conditionalFormatting sqref="AN6:AN94">
    <cfRule type="cellIs" priority="20" operator="greaterThan" aboveAverage="0" equalAverage="0" bottom="0" percent="0" rank="0" text="" dxfId="1">
      <formula>0</formula>
    </cfRule>
    <cfRule type="cellIs" priority="21" operator="lessThan" aboveAverage="0" equalAverage="0" bottom="0" percent="0" rank="0" text="" dxfId="2">
      <formula>0</formula>
    </cfRule>
  </conditionalFormatting>
  <conditionalFormatting sqref="AR6:AR94">
    <cfRule type="cellIs" priority="22" operator="greaterThan" aboveAverage="0" equalAverage="0" bottom="0" percent="0" rank="0" text="" dxfId="1">
      <formula>0</formula>
    </cfRule>
    <cfRule type="cellIs" priority="23" operator="lessThan" aboveAverage="0" equalAverage="0" bottom="0" percent="0" rank="0" text="" dxfId="2">
      <formula>0</formula>
    </cfRule>
  </conditionalFormatting>
  <conditionalFormatting sqref="AV6:AV94">
    <cfRule type="cellIs" priority="24" operator="greaterThan" aboveAverage="0" equalAverage="0" bottom="0" percent="0" rank="0" text="" dxfId="1">
      <formula>0</formula>
    </cfRule>
    <cfRule type="cellIs" priority="25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S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8" activeCellId="0" sqref="D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13" min="2" style="1" width="17"/>
    <col collapsed="false" customWidth="true" hidden="false" outlineLevel="0" max="14" min="14" style="1" width="19"/>
    <col collapsed="false" customWidth="true" hidden="false" outlineLevel="0" max="16" min="15" style="1" width="15"/>
    <col collapsed="false" customWidth="true" hidden="false" outlineLevel="0" max="17" min="17" style="1" width="12"/>
    <col collapsed="false" customWidth="true" hidden="false" outlineLevel="0" max="18" min="18" style="1" width="17"/>
    <col collapsed="false" customWidth="true" hidden="false" outlineLevel="0" max="19" min="19" style="1" width="19"/>
  </cols>
  <sheetData>
    <row r="1" customFormat="false" ht="17.25" hidden="false" customHeight="true" outlineLevel="0" collapsed="false">
      <c r="A1" s="114" t="s">
        <v>302</v>
      </c>
    </row>
    <row r="2" customFormat="false" ht="15" hidden="false" customHeight="true" outlineLevel="0" collapsed="false">
      <c r="A2" s="115" t="s">
        <v>303</v>
      </c>
    </row>
    <row r="4" customFormat="false" ht="31.5" hidden="false" customHeight="true" outlineLevel="0" collapsed="false">
      <c r="A4" s="144" t="s">
        <v>304</v>
      </c>
      <c r="B4" s="144" t="s">
        <v>305</v>
      </c>
      <c r="C4" s="144" t="s">
        <v>306</v>
      </c>
      <c r="D4" s="144" t="s">
        <v>307</v>
      </c>
      <c r="E4" s="144" t="s">
        <v>308</v>
      </c>
      <c r="F4" s="144" t="s">
        <v>309</v>
      </c>
      <c r="G4" s="144" t="s">
        <v>310</v>
      </c>
      <c r="H4" s="144" t="s">
        <v>311</v>
      </c>
      <c r="I4" s="145" t="s">
        <v>312</v>
      </c>
      <c r="J4" s="144" t="s">
        <v>313</v>
      </c>
      <c r="K4" s="144" t="s">
        <v>314</v>
      </c>
      <c r="L4" s="144" t="s">
        <v>315</v>
      </c>
      <c r="M4" s="145" t="s">
        <v>316</v>
      </c>
      <c r="N4" s="145" t="s">
        <v>317</v>
      </c>
      <c r="O4" s="145" t="s">
        <v>318</v>
      </c>
      <c r="P4" s="145" t="s">
        <v>319</v>
      </c>
      <c r="Q4" s="145" t="s">
        <v>320</v>
      </c>
      <c r="R4" s="145" t="s">
        <v>321</v>
      </c>
      <c r="S4" s="145" t="s">
        <v>322</v>
      </c>
    </row>
    <row r="5" customFormat="false" ht="15" hidden="false" customHeight="true" outlineLevel="0" collapsed="false">
      <c r="A5" s="146" t="s">
        <v>199</v>
      </c>
      <c r="B5" s="147" t="n">
        <f aca="false">SUM(Helpers!C96:N96)</f>
        <v>0</v>
      </c>
      <c r="C5" s="147" t="n">
        <f aca="false">(SUM(Helpers!C97:N97)-SUM(Helpers!C96:N96))*(Assumptions!$B$10+Assumptions!$B$12)/Assumptions!$B$9</f>
        <v>0</v>
      </c>
      <c r="D5" s="147" t="n">
        <f aca="false">(SUM(Helpers!C97:N97)-SUM(Helpers!C96:N96))*Assumptions!$B$11/Assumptions!$B$9</f>
        <v>0</v>
      </c>
      <c r="E5" s="147" t="n">
        <v>0</v>
      </c>
      <c r="F5" s="148" t="n">
        <f aca="false">SUM(Helpers!C97:N97)</f>
        <v>0</v>
      </c>
      <c r="G5" s="147" t="n">
        <f aca="false">SUM(Helpers!C99:N99)</f>
        <v>1765612.63531405</v>
      </c>
      <c r="H5" s="148" t="n">
        <f aca="false">SUM(Helpers!C100:N100)</f>
        <v>0</v>
      </c>
      <c r="I5" s="149" t="n">
        <f aca="false">-SUM(Model!B142:M142)</f>
        <v>-0</v>
      </c>
      <c r="J5" s="147" t="n">
        <f aca="false">Personnel!$C$38*9/12</f>
        <v>166500</v>
      </c>
      <c r="K5" s="150" t="n">
        <f aca="false">I5+J5</f>
        <v>166500</v>
      </c>
      <c r="L5" s="151" t="n">
        <f aca="false">IFERROR(I5/K5,0)</f>
        <v>-0</v>
      </c>
      <c r="M5" s="149" t="n">
        <f aca="false">SUM(Helpers!C101:N101)</f>
        <v>0</v>
      </c>
      <c r="N5" s="149" t="n">
        <f aca="false">B5-M5</f>
        <v>0</v>
      </c>
      <c r="O5" s="149" t="n">
        <f aca="false">IFERROR(H5*M5/B5,0)</f>
        <v>0</v>
      </c>
      <c r="P5" s="149" t="n">
        <f aca="false">H5-O5</f>
        <v>0</v>
      </c>
      <c r="Q5" s="152" t="n">
        <f aca="false">IF(N5&gt;=Assumptions!$B$86,Assumptions!$C$86,IF(N5&gt;=Assumptions!$B$85,Assumptions!$C$85,IF(N5&gt;=Assumptions!$B$84,Assumptions!$C$84,Assumptions!$C$83)))</f>
        <v>0.25</v>
      </c>
      <c r="R5" s="149" t="n">
        <f aca="false">O5*Q5*0.1</f>
        <v>0</v>
      </c>
      <c r="S5" s="149" t="n">
        <f aca="false">P5*0.1</f>
        <v>0</v>
      </c>
    </row>
    <row r="6" customFormat="false" ht="15" hidden="false" customHeight="true" outlineLevel="0" collapsed="false">
      <c r="A6" s="153" t="s">
        <v>200</v>
      </c>
      <c r="B6" s="154" t="n">
        <f aca="false">SUM(Helpers!O96:Z96)</f>
        <v>0</v>
      </c>
      <c r="C6" s="154" t="n">
        <f aca="false">(SUM(Helpers!O97:Z97)-SUM(Helpers!O96:Z96))*(Assumptions!$B$10+Assumptions!$B$12)/Assumptions!$B$9</f>
        <v>0</v>
      </c>
      <c r="D6" s="154" t="n">
        <f aca="false">(SUM(Helpers!O97:Z97)-SUM(Helpers!O96:Z96))*Assumptions!$B$11/Assumptions!$B$9</f>
        <v>0</v>
      </c>
      <c r="E6" s="154" t="n">
        <v>0</v>
      </c>
      <c r="F6" s="155" t="n">
        <f aca="false">SUM(Helpers!O97:Z97)</f>
        <v>0</v>
      </c>
      <c r="G6" s="154" t="n">
        <f aca="false">SUM(Helpers!O99:Z99)</f>
        <v>2051924.36397049</v>
      </c>
      <c r="H6" s="155" t="n">
        <f aca="false">SUM(Helpers!O100:Z100)</f>
        <v>0</v>
      </c>
      <c r="I6" s="156" t="n">
        <f aca="false">-SUM(Model!N142:Y142)</f>
        <v>-0</v>
      </c>
      <c r="J6" s="154" t="n">
        <f aca="false">Personnel!$C$38</f>
        <v>222000</v>
      </c>
      <c r="K6" s="157" t="n">
        <f aca="false">I6+J6</f>
        <v>222000</v>
      </c>
      <c r="L6" s="158" t="n">
        <f aca="false">IFERROR(I6/K6,0)</f>
        <v>-0</v>
      </c>
      <c r="M6" s="149" t="n">
        <f aca="false">SUM(Helpers!O101:Z101)</f>
        <v>0</v>
      </c>
      <c r="N6" s="149" t="n">
        <f aca="false">B6-M6</f>
        <v>0</v>
      </c>
      <c r="O6" s="149" t="n">
        <f aca="false">IFERROR(H6*M6/B6,0)</f>
        <v>0</v>
      </c>
      <c r="P6" s="149" t="n">
        <f aca="false">H6-O6</f>
        <v>0</v>
      </c>
      <c r="Q6" s="152" t="n">
        <f aca="false">IF(N6&gt;=Assumptions!$B$86,Assumptions!$C$86,IF(N6&gt;=Assumptions!$B$85,Assumptions!$C$85,IF(N6&gt;=Assumptions!$B$84,Assumptions!$C$84,Assumptions!$C$83)))</f>
        <v>0.25</v>
      </c>
      <c r="R6" s="149" t="n">
        <f aca="false">O6*Q6*0.1</f>
        <v>0</v>
      </c>
      <c r="S6" s="149" t="n">
        <f aca="false">P6*0.1</f>
        <v>0</v>
      </c>
    </row>
    <row r="7" customFormat="false" ht="15" hidden="false" customHeight="true" outlineLevel="0" collapsed="false">
      <c r="A7" s="146" t="s">
        <v>201</v>
      </c>
      <c r="B7" s="147" t="n">
        <f aca="false">SUM(Helpers!AA96:AL96)</f>
        <v>0</v>
      </c>
      <c r="C7" s="147" t="n">
        <f aca="false">(SUM(Helpers!AA97:AL97)-SUM(Helpers!AA96:AL96))*(Assumptions!$B$10+Assumptions!$B$12)/Assumptions!$B$9</f>
        <v>0</v>
      </c>
      <c r="D7" s="147" t="n">
        <f aca="false">(SUM(Helpers!AA97:AL97)-SUM(Helpers!AA96:AL96))*Assumptions!$B$11/Assumptions!$B$9</f>
        <v>0</v>
      </c>
      <c r="E7" s="147" t="n">
        <v>0</v>
      </c>
      <c r="F7" s="148" t="n">
        <f aca="false">SUM(Helpers!AA97:AL97)</f>
        <v>0</v>
      </c>
      <c r="G7" s="147" t="n">
        <f aca="false">SUM(Helpers!AA99:AL99)</f>
        <v>1248896.96942096</v>
      </c>
      <c r="H7" s="148" t="n">
        <f aca="false">SUM(Helpers!AA100:AL100)</f>
        <v>0</v>
      </c>
      <c r="I7" s="149" t="n">
        <f aca="false">-SUM(Model!Z142:AK142)</f>
        <v>-0</v>
      </c>
      <c r="J7" s="147" t="n">
        <f aca="false">Personnel!$C$38</f>
        <v>222000</v>
      </c>
      <c r="K7" s="150" t="n">
        <f aca="false">I7+J7</f>
        <v>222000</v>
      </c>
      <c r="L7" s="151" t="n">
        <f aca="false">IFERROR(I7/K7,0)</f>
        <v>-0</v>
      </c>
      <c r="M7" s="149" t="n">
        <f aca="false">SUM(Helpers!AA101:AL101)</f>
        <v>0</v>
      </c>
      <c r="N7" s="149" t="n">
        <f aca="false">B7-M7</f>
        <v>0</v>
      </c>
      <c r="O7" s="149" t="n">
        <f aca="false">IFERROR(H7*M7/B7,0)</f>
        <v>0</v>
      </c>
      <c r="P7" s="149" t="n">
        <f aca="false">H7-O7</f>
        <v>0</v>
      </c>
      <c r="Q7" s="152" t="n">
        <f aca="false">IF(N7&gt;=Assumptions!$B$86,Assumptions!$C$86,IF(N7&gt;=Assumptions!$B$85,Assumptions!$C$85,IF(N7&gt;=Assumptions!$B$84,Assumptions!$C$84,Assumptions!$C$83)))</f>
        <v>0.25</v>
      </c>
      <c r="R7" s="149" t="n">
        <f aca="false">O7*Q7*0.1</f>
        <v>0</v>
      </c>
      <c r="S7" s="149" t="n">
        <f aca="false">P7*0.1</f>
        <v>0</v>
      </c>
    </row>
    <row r="8" customFormat="false" ht="15" hidden="false" customHeight="true" outlineLevel="0" collapsed="false">
      <c r="A8" s="153" t="s">
        <v>202</v>
      </c>
      <c r="B8" s="154" t="n">
        <f aca="false">SUM(Helpers!AM96:AX96)</f>
        <v>0</v>
      </c>
      <c r="C8" s="154" t="n">
        <f aca="false">(SUM(Helpers!AM97:AX97)-SUM(Helpers!AM96:AX96))*(Assumptions!$B$10+Assumptions!$B$12)/Assumptions!$B$9</f>
        <v>0</v>
      </c>
      <c r="D8" s="154" t="n">
        <f aca="false">(SUM(Helpers!AM97:AX97)-SUM(Helpers!AM96:AX96))*Assumptions!$B$11/Assumptions!$B$9</f>
        <v>0</v>
      </c>
      <c r="E8" s="154" t="n">
        <v>0</v>
      </c>
      <c r="F8" s="155" t="n">
        <f aca="false">SUM(Helpers!AM97:AX97)</f>
        <v>0</v>
      </c>
      <c r="G8" s="154" t="n">
        <f aca="false">SUM(Helpers!AM99:AX99)</f>
        <v>-2048293.95617075</v>
      </c>
      <c r="H8" s="155" t="n">
        <f aca="false">SUM(Helpers!AM100:AX100)</f>
        <v>0</v>
      </c>
      <c r="I8" s="156" t="n">
        <f aca="false">-SUM(Model!AL142:AW142)</f>
        <v>-0</v>
      </c>
      <c r="J8" s="154" t="n">
        <f aca="false">Personnel!$C$38</f>
        <v>222000</v>
      </c>
      <c r="K8" s="157" t="n">
        <f aca="false">I8+J8</f>
        <v>222000</v>
      </c>
      <c r="L8" s="158" t="n">
        <f aca="false">IFERROR(I8/K8,0)</f>
        <v>-0</v>
      </c>
      <c r="M8" s="149" t="n">
        <f aca="false">SUM(Helpers!AM101:AX101)</f>
        <v>0</v>
      </c>
      <c r="N8" s="149" t="n">
        <f aca="false">B8-M8</f>
        <v>0</v>
      </c>
      <c r="O8" s="149" t="n">
        <f aca="false">IFERROR(H8*M8/B8,0)</f>
        <v>0</v>
      </c>
      <c r="P8" s="149" t="n">
        <f aca="false">H8-O8</f>
        <v>0</v>
      </c>
      <c r="Q8" s="152" t="n">
        <f aca="false">IF(N8&gt;=Assumptions!$B$86,Assumptions!$C$86,IF(N8&gt;=Assumptions!$B$85,Assumptions!$C$85,IF(N8&gt;=Assumptions!$B$84,Assumptions!$C$84,Assumptions!$C$83)))</f>
        <v>0.25</v>
      </c>
      <c r="R8" s="149" t="n">
        <f aca="false">O8*Q8*0.1</f>
        <v>0</v>
      </c>
      <c r="S8" s="149" t="n">
        <f aca="false">P8*0.1</f>
        <v>0</v>
      </c>
    </row>
    <row r="9" customFormat="false" ht="15" hidden="false" customHeight="true" outlineLevel="0" collapsed="false">
      <c r="A9" s="146" t="s">
        <v>203</v>
      </c>
      <c r="B9" s="147" t="n">
        <f aca="false">SUM(Helpers!AY96:BJ96)</f>
        <v>0</v>
      </c>
      <c r="C9" s="147" t="n">
        <f aca="false">(SUM(Helpers!AY97:BJ97)-SUM(Helpers!AY96:BJ96))*(Assumptions!$B$10+Assumptions!$B$12)/Assumptions!$B$9</f>
        <v>0</v>
      </c>
      <c r="D9" s="147" t="n">
        <f aca="false">(SUM(Helpers!AY97:BJ97)-SUM(Helpers!AY96:BJ96))*Assumptions!$B$11/Assumptions!$B$9</f>
        <v>0</v>
      </c>
      <c r="E9" s="147" t="n">
        <v>0</v>
      </c>
      <c r="F9" s="148" t="n">
        <f aca="false">SUM(Helpers!AY97:BJ97)</f>
        <v>0</v>
      </c>
      <c r="G9" s="147" t="n">
        <f aca="false">SUM(Helpers!AY99:BJ99)</f>
        <v>-4446018.03519552</v>
      </c>
      <c r="H9" s="148" t="n">
        <f aca="false">SUM(Helpers!AY100:BJ100)</f>
        <v>0</v>
      </c>
      <c r="I9" s="149" t="n">
        <f aca="false">-SUM(Model!AX142:BI142)</f>
        <v>-0</v>
      </c>
      <c r="J9" s="147" t="n">
        <f aca="false">Personnel!$C$38</f>
        <v>222000</v>
      </c>
      <c r="K9" s="150" t="n">
        <f aca="false">I9+J9</f>
        <v>222000</v>
      </c>
      <c r="L9" s="151" t="n">
        <f aca="false">IFERROR(I9/K9,0)</f>
        <v>-0</v>
      </c>
      <c r="M9" s="149" t="n">
        <f aca="false">SUM(Helpers!AY101:BJ101)</f>
        <v>0</v>
      </c>
      <c r="N9" s="149" t="n">
        <f aca="false">B9-M9</f>
        <v>0</v>
      </c>
      <c r="O9" s="149" t="n">
        <f aca="false">IFERROR(H9*M9/B9,0)</f>
        <v>0</v>
      </c>
      <c r="P9" s="149" t="n">
        <f aca="false">H9-O9</f>
        <v>0</v>
      </c>
      <c r="Q9" s="152" t="n">
        <f aca="false">IF(N9&gt;=Assumptions!$B$86,Assumptions!$C$86,IF(N9&gt;=Assumptions!$B$85,Assumptions!$C$85,IF(N9&gt;=Assumptions!$B$84,Assumptions!$C$84,Assumptions!$C$83)))</f>
        <v>0.25</v>
      </c>
      <c r="R9" s="149" t="n">
        <f aca="false">O9*Q9*0.1</f>
        <v>0</v>
      </c>
      <c r="S9" s="149" t="n">
        <f aca="false">P9*0.1</f>
        <v>0</v>
      </c>
    </row>
    <row r="10" customFormat="false" ht="15" hidden="false" customHeight="true" outlineLevel="0" collapsed="false">
      <c r="A10" s="153" t="s">
        <v>204</v>
      </c>
      <c r="B10" s="154" t="n">
        <f aca="false">SUM(Helpers!BK96:BV96)</f>
        <v>0</v>
      </c>
      <c r="C10" s="154" t="n">
        <f aca="false">(SUM(Helpers!BK97:BV97)-SUM(Helpers!BK96:BV96))*(Assumptions!$B$10+Assumptions!$B$12)/Assumptions!$B$9</f>
        <v>0</v>
      </c>
      <c r="D10" s="154" t="n">
        <f aca="false">(SUM(Helpers!BK97:BV97)-SUM(Helpers!BK96:BV96))*Assumptions!$B$11/Assumptions!$B$9</f>
        <v>0</v>
      </c>
      <c r="E10" s="154" t="n">
        <v>0</v>
      </c>
      <c r="F10" s="155" t="n">
        <f aca="false">SUM(Helpers!BK97:BV97)</f>
        <v>0</v>
      </c>
      <c r="G10" s="154" t="n">
        <f aca="false">SUM(Helpers!BK99:BV99)</f>
        <v>-6532874.56700124</v>
      </c>
      <c r="H10" s="155" t="n">
        <f aca="false">SUM(Helpers!BK100:BV100)</f>
        <v>0</v>
      </c>
      <c r="I10" s="156" t="n">
        <f aca="false">-SUM(Model!BJ142:BU142)</f>
        <v>-0</v>
      </c>
      <c r="J10" s="154" t="n">
        <f aca="false">Personnel!$C$38</f>
        <v>222000</v>
      </c>
      <c r="K10" s="157" t="n">
        <f aca="false">I10+J10</f>
        <v>222000</v>
      </c>
      <c r="L10" s="158" t="n">
        <f aca="false">IFERROR(I10/K10,0)</f>
        <v>-0</v>
      </c>
      <c r="M10" s="149" t="n">
        <f aca="false">SUM(Helpers!BK101:BV101)</f>
        <v>0</v>
      </c>
      <c r="N10" s="149" t="n">
        <f aca="false">B10-M10</f>
        <v>0</v>
      </c>
      <c r="O10" s="149" t="n">
        <f aca="false">IFERROR(H10*M10/B10,0)</f>
        <v>0</v>
      </c>
      <c r="P10" s="149" t="n">
        <f aca="false">H10-O10</f>
        <v>0</v>
      </c>
      <c r="Q10" s="152" t="n">
        <f aca="false">IF(N10&gt;=Assumptions!$B$86,Assumptions!$C$86,IF(N10&gt;=Assumptions!$B$85,Assumptions!$C$85,IF(N10&gt;=Assumptions!$B$84,Assumptions!$C$84,Assumptions!$C$83)))</f>
        <v>0.25</v>
      </c>
      <c r="R10" s="149" t="n">
        <f aca="false">O10*Q10*0.1</f>
        <v>0</v>
      </c>
      <c r="S10" s="149" t="n">
        <f aca="false">P10*0.1</f>
        <v>0</v>
      </c>
    </row>
    <row r="11" customFormat="false" ht="15" hidden="false" customHeight="true" outlineLevel="0" collapsed="false">
      <c r="A11" s="146" t="s">
        <v>205</v>
      </c>
      <c r="B11" s="147" t="n">
        <f aca="false">SUM(Helpers!BW96:CH96)</f>
        <v>0</v>
      </c>
      <c r="C11" s="147" t="n">
        <f aca="false">(SUM(Helpers!BW97:CH97)-SUM(Helpers!BW96:CH96))*(Assumptions!$B$10+Assumptions!$B$12)/Assumptions!$B$9</f>
        <v>0</v>
      </c>
      <c r="D11" s="147" t="n">
        <f aca="false">(SUM(Helpers!BW97:CH97)-SUM(Helpers!BW96:CH96))*Assumptions!$B$11/Assumptions!$B$9</f>
        <v>0</v>
      </c>
      <c r="E11" s="147" t="n">
        <v>0</v>
      </c>
      <c r="F11" s="148" t="n">
        <f aca="false">SUM(Helpers!BW97:CH97)</f>
        <v>0</v>
      </c>
      <c r="G11" s="147" t="n">
        <f aca="false">SUM(Helpers!BW99:CH99)</f>
        <v>-6638612.05834126</v>
      </c>
      <c r="H11" s="148" t="n">
        <f aca="false">SUM(Helpers!BW100:CH100)</f>
        <v>0</v>
      </c>
      <c r="I11" s="149" t="n">
        <f aca="false">-SUM(Model!BV142:CG142)</f>
        <v>-0</v>
      </c>
      <c r="J11" s="147" t="n">
        <f aca="false">Personnel!$C$38</f>
        <v>222000</v>
      </c>
      <c r="K11" s="150" t="n">
        <f aca="false">I11+J11</f>
        <v>222000</v>
      </c>
      <c r="L11" s="151" t="n">
        <f aca="false">IFERROR(I11/K11,0)</f>
        <v>-0</v>
      </c>
      <c r="M11" s="149" t="n">
        <f aca="false">SUM(Helpers!BW101:CH101)</f>
        <v>0</v>
      </c>
      <c r="N11" s="149" t="n">
        <f aca="false">B11-M11</f>
        <v>0</v>
      </c>
      <c r="O11" s="149" t="n">
        <f aca="false">IFERROR(H11*M11/B11,0)</f>
        <v>0</v>
      </c>
      <c r="P11" s="149" t="n">
        <f aca="false">H11-O11</f>
        <v>0</v>
      </c>
      <c r="Q11" s="152" t="n">
        <f aca="false">IF(N11&gt;=Assumptions!$B$86,Assumptions!$C$86,IF(N11&gt;=Assumptions!$B$85,Assumptions!$C$85,IF(N11&gt;=Assumptions!$B$84,Assumptions!$C$84,Assumptions!$C$83)))</f>
        <v>0.25</v>
      </c>
      <c r="R11" s="149" t="n">
        <f aca="false">O11*Q11*0.1</f>
        <v>0</v>
      </c>
      <c r="S11" s="149" t="n">
        <f aca="false">P11*0.1</f>
        <v>0</v>
      </c>
    </row>
    <row r="12" customFormat="false" ht="15" hidden="false" customHeight="true" outlineLevel="0" collapsed="false">
      <c r="A12" s="153" t="s">
        <v>206</v>
      </c>
      <c r="B12" s="154" t="n">
        <f aca="false">SUM(Helpers!CI96:CT96)</f>
        <v>0</v>
      </c>
      <c r="C12" s="154" t="n">
        <f aca="false">(SUM(Helpers!CI97:CT97)-SUM(Helpers!CI96:CT96))*(Assumptions!$B$10+Assumptions!$B$12)/Assumptions!$B$9</f>
        <v>0</v>
      </c>
      <c r="D12" s="154" t="n">
        <f aca="false">(SUM(Helpers!CI97:CT97)-SUM(Helpers!CI96:CT96))*Assumptions!$B$11/Assumptions!$B$9</f>
        <v>0</v>
      </c>
      <c r="E12" s="154" t="n">
        <v>0</v>
      </c>
      <c r="F12" s="155" t="n">
        <f aca="false">SUM(Helpers!CI97:CT97)</f>
        <v>0</v>
      </c>
      <c r="G12" s="154" t="n">
        <f aca="false">SUM(Helpers!CI99:CT99)</f>
        <v>-6746464.29950809</v>
      </c>
      <c r="H12" s="155" t="n">
        <f aca="false">SUM(Helpers!CI100:CT100)</f>
        <v>0</v>
      </c>
      <c r="I12" s="156" t="n">
        <f aca="false">-SUM(Model!CH142:CS142)</f>
        <v>-0</v>
      </c>
      <c r="J12" s="154" t="n">
        <f aca="false">Personnel!$C$38</f>
        <v>222000</v>
      </c>
      <c r="K12" s="157" t="n">
        <f aca="false">I12+J12</f>
        <v>222000</v>
      </c>
      <c r="L12" s="158" t="n">
        <f aca="false">IFERROR(I12/K12,0)</f>
        <v>-0</v>
      </c>
      <c r="M12" s="149" t="n">
        <f aca="false">SUM(Helpers!CI101:CT101)</f>
        <v>0</v>
      </c>
      <c r="N12" s="149" t="n">
        <f aca="false">B12-M12</f>
        <v>0</v>
      </c>
      <c r="O12" s="149" t="n">
        <f aca="false">IFERROR(H12*M12/B12,0)</f>
        <v>0</v>
      </c>
      <c r="P12" s="149" t="n">
        <f aca="false">H12-O12</f>
        <v>0</v>
      </c>
      <c r="Q12" s="152" t="n">
        <f aca="false">IF(N12&gt;=Assumptions!$B$86,Assumptions!$C$86,IF(N12&gt;=Assumptions!$B$85,Assumptions!$C$85,IF(N12&gt;=Assumptions!$B$84,Assumptions!$C$84,Assumptions!$C$83)))</f>
        <v>0.25</v>
      </c>
      <c r="R12" s="149" t="n">
        <f aca="false">O12*Q12*0.1</f>
        <v>0</v>
      </c>
      <c r="S12" s="149" t="n">
        <f aca="false">P12*0.1</f>
        <v>0</v>
      </c>
    </row>
    <row r="13" customFormat="false" ht="15" hidden="false" customHeight="true" outlineLevel="0" collapsed="false">
      <c r="A13" s="141" t="s">
        <v>323</v>
      </c>
      <c r="B13" s="159" t="n">
        <f aca="false">SUM(B5:B12)</f>
        <v>0</v>
      </c>
      <c r="C13" s="159" t="n">
        <f aca="false">SUM(C5:C12)</f>
        <v>0</v>
      </c>
      <c r="D13" s="159" t="n">
        <f aca="false">SUM(D5:D12)</f>
        <v>0</v>
      </c>
      <c r="E13" s="159" t="n">
        <f aca="false">SUM(E5:E12)</f>
        <v>0</v>
      </c>
      <c r="F13" s="159" t="n">
        <f aca="false">SUM(F5:F12)</f>
        <v>0</v>
      </c>
      <c r="G13" s="159" t="n">
        <f aca="false">SUM(G5:G12)</f>
        <v>-21345828.9475114</v>
      </c>
      <c r="H13" s="159" t="n">
        <f aca="false">SUM(H5:H12)</f>
        <v>0</v>
      </c>
      <c r="I13" s="160" t="n">
        <f aca="false">SUM(I5:I12)</f>
        <v>0</v>
      </c>
      <c r="J13" s="159" t="n">
        <f aca="false">SUM(J5:J12)</f>
        <v>1720500</v>
      </c>
      <c r="K13" s="159" t="n">
        <f aca="false">SUM(K5:K12)</f>
        <v>1720500</v>
      </c>
      <c r="L13" s="161" t="n">
        <f aca="false">IFERROR(I13/K13,0)</f>
        <v>0</v>
      </c>
      <c r="M13" s="162" t="n">
        <f aca="false">SUM(M5:M12)</f>
        <v>0</v>
      </c>
      <c r="N13" s="162" t="n">
        <f aca="false">SUM(N5:N12)</f>
        <v>0</v>
      </c>
      <c r="O13" s="162" t="n">
        <f aca="false">SUM(O5:O12)</f>
        <v>0</v>
      </c>
      <c r="P13" s="162" t="n">
        <f aca="false">SUM(P5:P12)</f>
        <v>0</v>
      </c>
      <c r="Q13" s="163" t="n">
        <f aca="false">IFERROR(R13/O13,0)</f>
        <v>0</v>
      </c>
      <c r="R13" s="162" t="n">
        <f aca="false">SUM(R5:R12)</f>
        <v>0</v>
      </c>
      <c r="S13" s="162" t="n">
        <f aca="false">SUM(S5:S12)</f>
        <v>0</v>
      </c>
    </row>
    <row r="15" customFormat="false" ht="15" hidden="false" customHeight="true" outlineLevel="0" collapsed="false">
      <c r="A15" s="121" t="s">
        <v>192</v>
      </c>
    </row>
    <row r="16" customFormat="false" ht="15" hidden="false" customHeight="true" outlineLevel="0" collapsed="false">
      <c r="A16" s="164" t="s">
        <v>324</v>
      </c>
      <c r="B16" s="164"/>
      <c r="C16" s="164"/>
      <c r="D16" s="164"/>
      <c r="E16" s="164"/>
      <c r="F16" s="164"/>
      <c r="G16" s="164"/>
      <c r="H16" s="164"/>
    </row>
    <row r="17" customFormat="false" ht="15" hidden="false" customHeight="true" outlineLevel="0" collapsed="false">
      <c r="A17" s="164" t="s">
        <v>325</v>
      </c>
      <c r="B17" s="164"/>
      <c r="C17" s="164"/>
      <c r="D17" s="164"/>
      <c r="E17" s="164"/>
      <c r="F17" s="164"/>
      <c r="G17" s="164"/>
      <c r="H17" s="164"/>
    </row>
    <row r="18" customFormat="false" ht="15" hidden="false" customHeight="true" outlineLevel="0" collapsed="false">
      <c r="A18" s="164" t="s">
        <v>326</v>
      </c>
      <c r="B18" s="164"/>
      <c r="C18" s="164"/>
      <c r="D18" s="164"/>
      <c r="E18" s="164"/>
      <c r="F18" s="164"/>
      <c r="G18" s="164"/>
      <c r="H18" s="164"/>
    </row>
    <row r="19" customFormat="false" ht="15" hidden="false" customHeight="true" outlineLevel="0" collapsed="false">
      <c r="A19" s="164" t="s">
        <v>327</v>
      </c>
      <c r="B19" s="164"/>
      <c r="C19" s="164"/>
      <c r="D19" s="164"/>
      <c r="E19" s="164"/>
      <c r="F19" s="164"/>
      <c r="G19" s="164"/>
      <c r="H19" s="164"/>
    </row>
    <row r="20" customFormat="false" ht="15" hidden="false" customHeight="true" outlineLevel="0" collapsed="false">
      <c r="A20" s="164" t="s">
        <v>328</v>
      </c>
      <c r="B20" s="164"/>
      <c r="C20" s="164"/>
      <c r="D20" s="164"/>
      <c r="E20" s="164"/>
      <c r="F20" s="164"/>
      <c r="G20" s="164"/>
      <c r="H20" s="164"/>
    </row>
    <row r="21" customFormat="false" ht="15" hidden="false" customHeight="true" outlineLevel="0" collapsed="false">
      <c r="A21" s="82" t="s">
        <v>329</v>
      </c>
    </row>
    <row r="22" customFormat="false" ht="15" hidden="false" customHeight="true" outlineLevel="0" collapsed="false">
      <c r="A22" s="82" t="s">
        <v>330</v>
      </c>
    </row>
    <row r="23" customFormat="false" ht="15" hidden="false" customHeight="true" outlineLevel="0" collapsed="false">
      <c r="A23" s="82" t="s">
        <v>331</v>
      </c>
    </row>
    <row r="24" customFormat="false" ht="15" hidden="false" customHeight="true" outlineLevel="0" collapsed="false">
      <c r="A24" s="82" t="s">
        <v>332</v>
      </c>
    </row>
    <row r="25" customFormat="false" ht="15" hidden="false" customHeight="true" outlineLevel="0" collapsed="false">
      <c r="A25" s="82" t="s">
        <v>333</v>
      </c>
    </row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F1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S35" activeCellId="0" sqref="S3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110" min="2" style="1" width="13"/>
  </cols>
  <sheetData>
    <row r="1" customFormat="false" ht="17.25" hidden="false" customHeight="true" outlineLevel="0" collapsed="false">
      <c r="A1" s="114" t="s">
        <v>334</v>
      </c>
    </row>
    <row r="2" customFormat="false" ht="15" hidden="false" customHeight="true" outlineLevel="0" collapsed="false">
      <c r="A2" s="115" t="s">
        <v>335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  <c r="CU2" s="116" t="n">
        <v>48945</v>
      </c>
      <c r="CV2" s="116" t="n">
        <v>48976</v>
      </c>
      <c r="CW2" s="116" t="n">
        <v>49004</v>
      </c>
      <c r="CX2" s="116" t="n">
        <v>49035</v>
      </c>
      <c r="CY2" s="116" t="n">
        <v>49065</v>
      </c>
      <c r="CZ2" s="116" t="n">
        <v>49096</v>
      </c>
      <c r="DA2" s="116" t="n">
        <v>49126</v>
      </c>
      <c r="DB2" s="116" t="n">
        <v>49157</v>
      </c>
      <c r="DC2" s="116" t="n">
        <v>49188</v>
      </c>
      <c r="DD2" s="116" t="n">
        <v>49218</v>
      </c>
      <c r="DE2" s="116" t="n">
        <v>49249</v>
      </c>
      <c r="DF2" s="116" t="n">
        <v>49279</v>
      </c>
    </row>
    <row r="3" customFormat="false" ht="15" hidden="false" customHeight="true" outlineLevel="0" collapsed="false">
      <c r="A3" s="165" t="s">
        <v>1</v>
      </c>
      <c r="C3" s="165" t="n">
        <v>-2</v>
      </c>
      <c r="D3" s="165" t="n">
        <v>-1</v>
      </c>
      <c r="E3" s="165" t="n">
        <v>0</v>
      </c>
      <c r="F3" s="165" t="n">
        <v>1</v>
      </c>
      <c r="G3" s="165" t="n">
        <v>2</v>
      </c>
      <c r="H3" s="165" t="n">
        <v>3</v>
      </c>
      <c r="I3" s="165" t="n">
        <v>4</v>
      </c>
      <c r="J3" s="165" t="n">
        <v>5</v>
      </c>
      <c r="K3" s="165" t="n">
        <v>6</v>
      </c>
      <c r="L3" s="165" t="n">
        <v>7</v>
      </c>
      <c r="M3" s="165" t="n">
        <v>8</v>
      </c>
      <c r="N3" s="165" t="n">
        <v>9</v>
      </c>
      <c r="O3" s="165" t="n">
        <v>10</v>
      </c>
      <c r="P3" s="165" t="n">
        <v>11</v>
      </c>
      <c r="Q3" s="165" t="n">
        <v>12</v>
      </c>
      <c r="R3" s="165" t="n">
        <v>13</v>
      </c>
      <c r="S3" s="165" t="n">
        <v>14</v>
      </c>
      <c r="T3" s="165" t="n">
        <v>15</v>
      </c>
      <c r="U3" s="165" t="n">
        <v>16</v>
      </c>
      <c r="V3" s="165" t="n">
        <v>17</v>
      </c>
      <c r="W3" s="165" t="n">
        <v>18</v>
      </c>
      <c r="X3" s="165" t="n">
        <v>19</v>
      </c>
      <c r="Y3" s="165" t="n">
        <v>20</v>
      </c>
      <c r="Z3" s="165" t="n">
        <v>21</v>
      </c>
      <c r="AA3" s="165" t="n">
        <v>22</v>
      </c>
      <c r="AB3" s="165" t="n">
        <v>23</v>
      </c>
      <c r="AC3" s="165" t="n">
        <v>24</v>
      </c>
      <c r="AD3" s="165" t="n">
        <v>25</v>
      </c>
      <c r="AE3" s="165" t="n">
        <v>26</v>
      </c>
      <c r="AF3" s="165" t="n">
        <v>27</v>
      </c>
      <c r="AG3" s="165" t="n">
        <v>28</v>
      </c>
      <c r="AH3" s="165" t="n">
        <v>29</v>
      </c>
      <c r="AI3" s="165" t="n">
        <v>30</v>
      </c>
      <c r="AJ3" s="165" t="n">
        <v>31</v>
      </c>
      <c r="AK3" s="165" t="n">
        <v>32</v>
      </c>
      <c r="AL3" s="165" t="n">
        <v>33</v>
      </c>
      <c r="AM3" s="165" t="n">
        <v>34</v>
      </c>
      <c r="AN3" s="165" t="n">
        <v>35</v>
      </c>
      <c r="AO3" s="165" t="n">
        <v>36</v>
      </c>
      <c r="AP3" s="165" t="n">
        <v>37</v>
      </c>
      <c r="AQ3" s="165" t="n">
        <v>38</v>
      </c>
      <c r="AR3" s="165" t="n">
        <v>39</v>
      </c>
      <c r="AS3" s="165" t="n">
        <v>40</v>
      </c>
      <c r="AT3" s="165" t="n">
        <v>41</v>
      </c>
      <c r="AU3" s="165" t="n">
        <v>42</v>
      </c>
      <c r="AV3" s="165" t="n">
        <v>43</v>
      </c>
      <c r="AW3" s="165" t="n">
        <v>44</v>
      </c>
      <c r="AX3" s="165" t="n">
        <v>45</v>
      </c>
      <c r="AY3" s="165" t="n">
        <v>46</v>
      </c>
      <c r="AZ3" s="165" t="n">
        <v>47</v>
      </c>
      <c r="BA3" s="165" t="n">
        <v>48</v>
      </c>
      <c r="BB3" s="165" t="n">
        <v>49</v>
      </c>
      <c r="BC3" s="165" t="n">
        <v>50</v>
      </c>
      <c r="BD3" s="165" t="n">
        <v>51</v>
      </c>
      <c r="BE3" s="165" t="n">
        <v>52</v>
      </c>
      <c r="BF3" s="165" t="n">
        <v>53</v>
      </c>
      <c r="BG3" s="165" t="n">
        <v>54</v>
      </c>
      <c r="BH3" s="165" t="n">
        <v>55</v>
      </c>
      <c r="BI3" s="165" t="n">
        <v>56</v>
      </c>
      <c r="BJ3" s="165" t="n">
        <v>57</v>
      </c>
      <c r="BK3" s="165" t="n">
        <v>58</v>
      </c>
      <c r="BL3" s="165" t="n">
        <v>59</v>
      </c>
      <c r="BM3" s="165" t="n">
        <v>60</v>
      </c>
      <c r="BN3" s="165" t="n">
        <v>61</v>
      </c>
      <c r="BO3" s="165" t="n">
        <v>62</v>
      </c>
      <c r="BP3" s="165" t="n">
        <v>63</v>
      </c>
      <c r="BQ3" s="165" t="n">
        <v>64</v>
      </c>
      <c r="BR3" s="165" t="n">
        <v>65</v>
      </c>
      <c r="BS3" s="165" t="n">
        <v>66</v>
      </c>
      <c r="BT3" s="165" t="n">
        <v>67</v>
      </c>
      <c r="BU3" s="165" t="n">
        <v>68</v>
      </c>
      <c r="BV3" s="165" t="n">
        <v>69</v>
      </c>
      <c r="BW3" s="165" t="n">
        <v>70</v>
      </c>
      <c r="BX3" s="165" t="n">
        <v>71</v>
      </c>
      <c r="BY3" s="165" t="n">
        <v>72</v>
      </c>
      <c r="BZ3" s="165" t="n">
        <v>73</v>
      </c>
      <c r="CA3" s="165" t="n">
        <v>74</v>
      </c>
      <c r="CB3" s="165" t="n">
        <v>75</v>
      </c>
      <c r="CC3" s="165" t="n">
        <v>76</v>
      </c>
      <c r="CD3" s="165" t="n">
        <v>77</v>
      </c>
      <c r="CE3" s="165" t="n">
        <v>78</v>
      </c>
      <c r="CF3" s="165" t="n">
        <v>79</v>
      </c>
      <c r="CG3" s="165" t="n">
        <v>80</v>
      </c>
      <c r="CH3" s="165" t="n">
        <v>81</v>
      </c>
      <c r="CI3" s="165" t="n">
        <v>82</v>
      </c>
      <c r="CJ3" s="165" t="n">
        <v>83</v>
      </c>
      <c r="CK3" s="165" t="n">
        <v>84</v>
      </c>
      <c r="CL3" s="165" t="n">
        <v>85</v>
      </c>
      <c r="CM3" s="165" t="n">
        <v>86</v>
      </c>
      <c r="CN3" s="165" t="n">
        <v>87</v>
      </c>
      <c r="CO3" s="165" t="n">
        <v>88</v>
      </c>
      <c r="CP3" s="165" t="n">
        <v>89</v>
      </c>
      <c r="CQ3" s="165" t="n">
        <v>90</v>
      </c>
      <c r="CR3" s="165" t="n">
        <v>91</v>
      </c>
      <c r="CS3" s="165" t="n">
        <v>92</v>
      </c>
      <c r="CT3" s="165" t="n">
        <v>93</v>
      </c>
      <c r="CU3" s="165" t="n">
        <v>94</v>
      </c>
      <c r="CV3" s="165" t="n">
        <v>95</v>
      </c>
      <c r="CW3" s="165" t="n">
        <v>96</v>
      </c>
      <c r="CX3" s="165" t="n">
        <v>97</v>
      </c>
      <c r="CY3" s="165" t="n">
        <v>98</v>
      </c>
      <c r="CZ3" s="165" t="n">
        <v>99</v>
      </c>
      <c r="DA3" s="165" t="n">
        <v>100</v>
      </c>
      <c r="DB3" s="165" t="n">
        <v>101</v>
      </c>
      <c r="DC3" s="165" t="n">
        <v>102</v>
      </c>
      <c r="DD3" s="165" t="n">
        <v>103</v>
      </c>
      <c r="DE3" s="165" t="n">
        <v>104</v>
      </c>
      <c r="DF3" s="165" t="n">
        <v>105</v>
      </c>
    </row>
    <row r="7" customFormat="false" ht="15" hidden="false" customHeight="true" outlineLevel="0" collapsed="false">
      <c r="A7" s="140"/>
      <c r="C7" s="125"/>
      <c r="D7" s="125"/>
      <c r="E7" s="125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</row>
    <row r="8" customFormat="false" ht="15" hidden="false" customHeight="true" outlineLevel="0" collapsed="false">
      <c r="A8" s="120" t="s">
        <v>4</v>
      </c>
      <c r="C8" s="167" t="n">
        <v>116363.3</v>
      </c>
      <c r="D8" s="167" t="n">
        <v>138801.52</v>
      </c>
      <c r="E8" s="167" t="n">
        <v>219366.88</v>
      </c>
      <c r="F8" s="168" t="n">
        <v>267934.879957489</v>
      </c>
      <c r="G8" s="168" t="n">
        <v>267934.879957489</v>
      </c>
      <c r="H8" s="168" t="n">
        <v>267934.879957489</v>
      </c>
      <c r="I8" s="168" t="n">
        <v>361542.001995889</v>
      </c>
      <c r="J8" s="168" t="n">
        <v>361542.001995889</v>
      </c>
      <c r="K8" s="168" t="n">
        <v>361542.001995889</v>
      </c>
      <c r="L8" s="168" t="n">
        <v>442929.46088908</v>
      </c>
      <c r="M8" s="168" t="n">
        <v>525344.508604757</v>
      </c>
      <c r="N8" s="168" t="n">
        <v>442616.790480539</v>
      </c>
      <c r="O8" s="168" t="n">
        <v>442616.790480539</v>
      </c>
      <c r="P8" s="168" t="n">
        <v>442616.790480539</v>
      </c>
      <c r="Q8" s="168" t="n">
        <v>442616.790480539</v>
      </c>
      <c r="R8" s="168" t="n">
        <v>541230.826148622</v>
      </c>
      <c r="S8" s="168" t="n">
        <v>541230.826148622</v>
      </c>
      <c r="T8" s="168" t="n">
        <v>631894.944867622</v>
      </c>
      <c r="U8" s="168" t="n">
        <v>495791.549552305</v>
      </c>
      <c r="V8" s="168" t="n">
        <v>343974.804822852</v>
      </c>
      <c r="W8" s="168" t="n">
        <v>343974.804822852</v>
      </c>
      <c r="X8" s="168" t="n">
        <v>356437.861811602</v>
      </c>
      <c r="Y8" s="168" t="n">
        <v>331511.747834102</v>
      </c>
      <c r="Z8" s="168" t="n">
        <v>331511.747834102</v>
      </c>
      <c r="AA8" s="168" t="n">
        <v>331511.747834102</v>
      </c>
      <c r="AB8" s="168" t="n">
        <v>331511.747834102</v>
      </c>
      <c r="AC8" s="168" t="n">
        <v>331511.747834102</v>
      </c>
      <c r="AD8" s="168" t="n">
        <v>378380.997071102</v>
      </c>
      <c r="AE8" s="168" t="n">
        <v>284642.498597102</v>
      </c>
      <c r="AF8" s="168" t="n">
        <v>374733.909031035</v>
      </c>
      <c r="AG8" s="168" t="n">
        <v>374733.909031035</v>
      </c>
      <c r="AH8" s="168" t="n">
        <v>374733.909031035</v>
      </c>
      <c r="AI8" s="168" t="n">
        <v>374733.909031035</v>
      </c>
      <c r="AJ8" s="168" t="n">
        <v>447874.706379785</v>
      </c>
      <c r="AK8" s="168" t="n">
        <v>316830.777796608</v>
      </c>
      <c r="AL8" s="168" t="n">
        <v>464631.496804608</v>
      </c>
      <c r="AM8" s="168" t="n">
        <v>223223.655758208</v>
      </c>
      <c r="AN8" s="168" t="n">
        <v>223223.655758208</v>
      </c>
      <c r="AO8" s="168" t="n">
        <v>277726.092057458</v>
      </c>
      <c r="AP8" s="168" t="n">
        <v>188705.446102017</v>
      </c>
      <c r="AQ8" s="168" t="n">
        <v>188705.446102017</v>
      </c>
      <c r="AR8" s="168" t="n">
        <v>188705.446102017</v>
      </c>
      <c r="AS8" s="168" t="n">
        <v>188705.446102017</v>
      </c>
      <c r="AT8" s="168" t="n">
        <v>188705.446102017</v>
      </c>
      <c r="AU8" s="168" t="n">
        <v>344411.818209517</v>
      </c>
      <c r="AV8" s="168" t="n">
        <v>90091.4104339333</v>
      </c>
      <c r="AW8" s="168" t="n">
        <v>90091.4104339333</v>
      </c>
      <c r="AX8" s="168" t="n">
        <v>90091.4104339333</v>
      </c>
      <c r="AY8" s="168" t="n">
        <v>90091.4104339333</v>
      </c>
      <c r="AZ8" s="168" t="n">
        <v>90091.4104339333</v>
      </c>
      <c r="BA8" s="168" t="n">
        <v>90091.4104339333</v>
      </c>
      <c r="BB8" s="168" t="n">
        <v>90091.4104339333</v>
      </c>
      <c r="BC8" s="168" t="n">
        <v>90091.4104339333</v>
      </c>
      <c r="BD8" s="168" t="n">
        <v>90091.4104339333</v>
      </c>
      <c r="BE8" s="168" t="n">
        <v>90091.4104339333</v>
      </c>
      <c r="BF8" s="168" t="n">
        <v>90091.4104339333</v>
      </c>
      <c r="BG8" s="168" t="n">
        <v>90091.4104339333</v>
      </c>
      <c r="BH8" s="168" t="n">
        <v>90091.4104339333</v>
      </c>
      <c r="BI8" s="168" t="n">
        <v>232341.005855933</v>
      </c>
      <c r="BJ8" s="168" t="n">
        <v>0</v>
      </c>
      <c r="BK8" s="168" t="n">
        <v>0</v>
      </c>
      <c r="BL8" s="168" t="n">
        <v>0</v>
      </c>
      <c r="BM8" s="168" t="n">
        <v>0</v>
      </c>
      <c r="BN8" s="168" t="n">
        <v>0</v>
      </c>
      <c r="BO8" s="168" t="n">
        <v>0</v>
      </c>
      <c r="BP8" s="168" t="n">
        <v>0</v>
      </c>
      <c r="BQ8" s="168" t="n">
        <v>0</v>
      </c>
      <c r="BR8" s="168" t="n">
        <v>0</v>
      </c>
      <c r="BS8" s="168" t="n">
        <v>0</v>
      </c>
      <c r="BT8" s="168" t="n">
        <v>0</v>
      </c>
      <c r="BU8" s="168" t="n">
        <v>0</v>
      </c>
      <c r="BV8" s="168" t="n">
        <v>0</v>
      </c>
      <c r="BW8" s="168" t="n">
        <v>0</v>
      </c>
      <c r="BX8" s="168" t="n">
        <v>0</v>
      </c>
      <c r="BY8" s="168" t="n">
        <v>0</v>
      </c>
      <c r="BZ8" s="168" t="n">
        <v>0</v>
      </c>
      <c r="CA8" s="168" t="n">
        <v>0</v>
      </c>
      <c r="CB8" s="168" t="n">
        <v>0</v>
      </c>
      <c r="CC8" s="168" t="n">
        <v>0</v>
      </c>
      <c r="CD8" s="168" t="n">
        <v>0</v>
      </c>
      <c r="CE8" s="168" t="n">
        <v>0</v>
      </c>
      <c r="CF8" s="168" t="n">
        <v>0</v>
      </c>
      <c r="CG8" s="168" t="n">
        <v>0</v>
      </c>
      <c r="CH8" s="168" t="n">
        <v>0</v>
      </c>
      <c r="CI8" s="168" t="n">
        <v>0</v>
      </c>
      <c r="CJ8" s="168" t="n">
        <v>0</v>
      </c>
      <c r="CK8" s="168" t="n">
        <v>0</v>
      </c>
      <c r="CL8" s="168" t="n">
        <v>0</v>
      </c>
      <c r="CM8" s="168" t="n">
        <v>0</v>
      </c>
      <c r="CN8" s="168" t="n">
        <v>0</v>
      </c>
      <c r="CO8" s="168" t="n">
        <v>0</v>
      </c>
      <c r="CP8" s="168" t="n">
        <v>0</v>
      </c>
      <c r="CQ8" s="168" t="n">
        <v>0</v>
      </c>
      <c r="CR8" s="168" t="n">
        <v>0</v>
      </c>
      <c r="CS8" s="168" t="n">
        <v>0</v>
      </c>
      <c r="CT8" s="168" t="n">
        <v>0</v>
      </c>
      <c r="CU8" s="168" t="n">
        <v>0</v>
      </c>
      <c r="CV8" s="168" t="n">
        <v>0</v>
      </c>
      <c r="CW8" s="168" t="n">
        <v>0</v>
      </c>
      <c r="CX8" s="168" t="n">
        <v>0</v>
      </c>
      <c r="CY8" s="168" t="n">
        <v>0</v>
      </c>
      <c r="CZ8" s="168" t="n">
        <v>0</v>
      </c>
      <c r="DA8" s="168" t="n">
        <v>0</v>
      </c>
      <c r="DB8" s="168" t="n">
        <v>0</v>
      </c>
      <c r="DC8" s="168" t="n">
        <v>0</v>
      </c>
      <c r="DD8" s="168" t="n">
        <v>0</v>
      </c>
      <c r="DE8" s="168" t="n">
        <v>0</v>
      </c>
      <c r="DF8" s="168" t="n">
        <v>0</v>
      </c>
    </row>
    <row r="9" customFormat="false" ht="15" hidden="false" customHeight="true" outlineLevel="0" collapsed="false">
      <c r="A9" s="140" t="s">
        <v>271</v>
      </c>
      <c r="C9" s="125" t="n">
        <v>0</v>
      </c>
      <c r="D9" s="125" t="n">
        <v>0</v>
      </c>
      <c r="E9" s="125" t="n">
        <v>0</v>
      </c>
      <c r="F9" s="166" t="n">
        <v>0</v>
      </c>
      <c r="G9" s="166" t="n">
        <v>0</v>
      </c>
      <c r="H9" s="166" t="n">
        <v>0</v>
      </c>
      <c r="I9" s="166" t="n">
        <v>0</v>
      </c>
      <c r="J9" s="166" t="n">
        <v>0</v>
      </c>
      <c r="K9" s="166" t="n">
        <v>0</v>
      </c>
      <c r="L9" s="166" t="n">
        <v>0</v>
      </c>
      <c r="M9" s="166" t="n">
        <v>0</v>
      </c>
      <c r="N9" s="166" t="n">
        <v>0</v>
      </c>
      <c r="O9" s="166" t="n">
        <v>0</v>
      </c>
      <c r="P9" s="166" t="n">
        <v>0</v>
      </c>
      <c r="Q9" s="166" t="n">
        <v>0</v>
      </c>
      <c r="R9" s="166" t="n">
        <v>0</v>
      </c>
      <c r="S9" s="166" t="n">
        <v>0</v>
      </c>
      <c r="T9" s="166" t="n">
        <v>0</v>
      </c>
      <c r="U9" s="166" t="n">
        <v>0</v>
      </c>
      <c r="V9" s="166" t="n">
        <v>0</v>
      </c>
      <c r="W9" s="166" t="n">
        <v>0</v>
      </c>
      <c r="X9" s="166" t="n">
        <v>0</v>
      </c>
      <c r="Y9" s="166" t="n">
        <v>0</v>
      </c>
      <c r="Z9" s="166" t="n">
        <v>0</v>
      </c>
      <c r="AA9" s="166" t="n">
        <v>0</v>
      </c>
      <c r="AB9" s="166" t="n">
        <v>0</v>
      </c>
      <c r="AC9" s="166" t="n">
        <v>0</v>
      </c>
      <c r="AD9" s="166" t="n">
        <v>0</v>
      </c>
      <c r="AE9" s="166" t="n">
        <v>0</v>
      </c>
      <c r="AF9" s="166" t="n">
        <v>0</v>
      </c>
      <c r="AG9" s="166" t="n">
        <v>0</v>
      </c>
      <c r="AH9" s="166" t="n">
        <v>0</v>
      </c>
      <c r="AI9" s="166" t="n">
        <v>0</v>
      </c>
      <c r="AJ9" s="166" t="n">
        <v>0</v>
      </c>
      <c r="AK9" s="166" t="n">
        <v>0</v>
      </c>
      <c r="AL9" s="166" t="n">
        <v>0</v>
      </c>
      <c r="AM9" s="166" t="n">
        <v>0</v>
      </c>
      <c r="AN9" s="166" t="n">
        <v>0</v>
      </c>
      <c r="AO9" s="166" t="n">
        <v>0</v>
      </c>
      <c r="AP9" s="166" t="n">
        <v>0</v>
      </c>
      <c r="AQ9" s="166" t="n">
        <v>0</v>
      </c>
      <c r="AR9" s="166" t="n">
        <v>0</v>
      </c>
      <c r="AS9" s="166" t="n">
        <v>0</v>
      </c>
      <c r="AT9" s="166" t="n">
        <v>0</v>
      </c>
      <c r="AU9" s="166" t="n">
        <v>0</v>
      </c>
      <c r="AV9" s="166" t="n">
        <v>0</v>
      </c>
      <c r="AW9" s="166" t="n">
        <v>0</v>
      </c>
      <c r="AX9" s="166" t="n">
        <v>0</v>
      </c>
      <c r="AY9" s="166" t="n">
        <v>0</v>
      </c>
      <c r="AZ9" s="166" t="n">
        <v>0</v>
      </c>
      <c r="BA9" s="166" t="n">
        <v>0</v>
      </c>
      <c r="BB9" s="166" t="n">
        <v>0</v>
      </c>
      <c r="BC9" s="166" t="n">
        <v>0</v>
      </c>
      <c r="BD9" s="166" t="n">
        <v>0</v>
      </c>
      <c r="BE9" s="166" t="n">
        <v>0</v>
      </c>
      <c r="BF9" s="166" t="n">
        <v>0</v>
      </c>
      <c r="BG9" s="166" t="n">
        <v>0</v>
      </c>
      <c r="BH9" s="166" t="n">
        <v>0</v>
      </c>
      <c r="BI9" s="166" t="n">
        <v>0</v>
      </c>
      <c r="BJ9" s="166" t="n">
        <v>0</v>
      </c>
      <c r="BK9" s="166" t="n">
        <v>0</v>
      </c>
      <c r="BL9" s="166" t="n">
        <v>0</v>
      </c>
      <c r="BM9" s="166" t="n">
        <v>0</v>
      </c>
      <c r="BN9" s="166" t="n">
        <v>0</v>
      </c>
      <c r="BO9" s="166" t="n">
        <v>0</v>
      </c>
      <c r="BP9" s="166" t="n">
        <v>0</v>
      </c>
      <c r="BQ9" s="166" t="n">
        <v>0</v>
      </c>
      <c r="BR9" s="166" t="n">
        <v>0</v>
      </c>
      <c r="BS9" s="166" t="n">
        <v>0</v>
      </c>
      <c r="BT9" s="166" t="n">
        <v>0</v>
      </c>
      <c r="BU9" s="166" t="n">
        <v>0</v>
      </c>
      <c r="BV9" s="166" t="n">
        <v>0</v>
      </c>
      <c r="BW9" s="166" t="n">
        <v>0</v>
      </c>
      <c r="BX9" s="166" t="n">
        <v>0</v>
      </c>
      <c r="BY9" s="166" t="n">
        <v>0</v>
      </c>
      <c r="BZ9" s="166" t="n">
        <v>0</v>
      </c>
      <c r="CA9" s="166" t="n">
        <v>0</v>
      </c>
      <c r="CB9" s="166" t="n">
        <v>0</v>
      </c>
      <c r="CC9" s="166" t="n">
        <v>0</v>
      </c>
      <c r="CD9" s="166" t="n">
        <v>0</v>
      </c>
      <c r="CE9" s="166" t="n">
        <v>0</v>
      </c>
      <c r="CF9" s="166" t="n">
        <v>0</v>
      </c>
      <c r="CG9" s="166" t="n">
        <v>0</v>
      </c>
      <c r="CH9" s="166" t="n">
        <v>0</v>
      </c>
      <c r="CI9" s="166" t="n">
        <v>0</v>
      </c>
      <c r="CJ9" s="166" t="n">
        <v>0</v>
      </c>
      <c r="CK9" s="166" t="n">
        <v>0</v>
      </c>
      <c r="CL9" s="166" t="n">
        <v>0</v>
      </c>
      <c r="CM9" s="166" t="n">
        <v>0</v>
      </c>
      <c r="CN9" s="166" t="n">
        <v>0</v>
      </c>
      <c r="CO9" s="166" t="n">
        <v>0</v>
      </c>
      <c r="CP9" s="166" t="n">
        <v>0</v>
      </c>
      <c r="CQ9" s="166" t="n">
        <v>0</v>
      </c>
      <c r="CR9" s="166" t="n">
        <v>0</v>
      </c>
      <c r="CS9" s="166" t="n">
        <v>0</v>
      </c>
      <c r="CT9" s="166" t="n">
        <v>0</v>
      </c>
      <c r="CU9" s="166" t="n">
        <v>0</v>
      </c>
      <c r="CV9" s="166" t="n">
        <v>0</v>
      </c>
      <c r="CW9" s="166" t="n">
        <v>0</v>
      </c>
      <c r="CX9" s="166" t="n">
        <v>0</v>
      </c>
      <c r="CY9" s="166" t="n">
        <v>0</v>
      </c>
      <c r="CZ9" s="166" t="n">
        <v>0</v>
      </c>
      <c r="DA9" s="166" t="n">
        <v>0</v>
      </c>
      <c r="DB9" s="166" t="n">
        <v>0</v>
      </c>
      <c r="DC9" s="166" t="n">
        <v>0</v>
      </c>
      <c r="DD9" s="166" t="n">
        <v>0</v>
      </c>
      <c r="DE9" s="166" t="n">
        <v>0</v>
      </c>
      <c r="DF9" s="166" t="n">
        <v>0</v>
      </c>
    </row>
    <row r="10" customFormat="false" ht="15" hidden="false" customHeight="true" outlineLevel="0" collapsed="false">
      <c r="A10" s="140" t="s">
        <v>336</v>
      </c>
      <c r="C10" s="125" t="n">
        <v>95370.25</v>
      </c>
      <c r="D10" s="125" t="n">
        <v>173282.89</v>
      </c>
      <c r="E10" s="125" t="n">
        <v>50438.85</v>
      </c>
      <c r="F10" s="166" t="n">
        <v>200950.186296774</v>
      </c>
      <c r="G10" s="166" t="n">
        <v>200950.186296774</v>
      </c>
      <c r="H10" s="166" t="n">
        <v>200950.186296774</v>
      </c>
      <c r="I10" s="166" t="n">
        <v>271155.187658694</v>
      </c>
      <c r="J10" s="166" t="n">
        <v>271155.187658694</v>
      </c>
      <c r="K10" s="166" t="n">
        <v>271155.187658694</v>
      </c>
      <c r="L10" s="166" t="n">
        <v>332195.486067781</v>
      </c>
      <c r="M10" s="166" t="n">
        <v>394006.472359489</v>
      </c>
      <c r="N10" s="166" t="n">
        <v>331960.984397614</v>
      </c>
      <c r="O10" s="166" t="n">
        <v>331960.984397614</v>
      </c>
      <c r="P10" s="166" t="n">
        <v>331960.984397614</v>
      </c>
      <c r="Q10" s="166" t="n">
        <v>331960.984397614</v>
      </c>
      <c r="R10" s="166" t="n">
        <v>405921.152786748</v>
      </c>
      <c r="S10" s="166" t="n">
        <v>405921.152786748</v>
      </c>
      <c r="T10" s="166" t="n">
        <v>473918.912353948</v>
      </c>
      <c r="U10" s="166" t="n">
        <v>371841.860465161</v>
      </c>
      <c r="V10" s="166" t="n">
        <v>257979.853617848</v>
      </c>
      <c r="W10" s="166" t="n">
        <v>257979.853617848</v>
      </c>
      <c r="X10" s="166" t="n">
        <v>267327.101068848</v>
      </c>
      <c r="Y10" s="166" t="n">
        <v>248632.606166848</v>
      </c>
      <c r="Z10" s="166" t="n">
        <v>248632.606166848</v>
      </c>
      <c r="AA10" s="166" t="n">
        <v>248632.606166848</v>
      </c>
      <c r="AB10" s="166" t="n">
        <v>248632.606166848</v>
      </c>
      <c r="AC10" s="166" t="n">
        <v>248632.606166848</v>
      </c>
      <c r="AD10" s="166" t="n">
        <v>283784.372772448</v>
      </c>
      <c r="AE10" s="166" t="n">
        <v>213480.839561248</v>
      </c>
      <c r="AF10" s="166" t="n">
        <v>281049.069995862</v>
      </c>
      <c r="AG10" s="166" t="n">
        <v>281049.069995862</v>
      </c>
      <c r="AH10" s="166" t="n">
        <v>281049.069995862</v>
      </c>
      <c r="AI10" s="166" t="n">
        <v>281049.069995862</v>
      </c>
      <c r="AJ10" s="166" t="n">
        <v>335904.402214862</v>
      </c>
      <c r="AK10" s="166" t="n">
        <v>237621.931989153</v>
      </c>
      <c r="AL10" s="166" t="n">
        <v>348471.934139553</v>
      </c>
      <c r="AM10" s="166" t="n">
        <v>167416.930627233</v>
      </c>
      <c r="AN10" s="166" t="n">
        <v>167416.930627233</v>
      </c>
      <c r="AO10" s="166" t="n">
        <v>208293.559790633</v>
      </c>
      <c r="AP10" s="166" t="n">
        <v>141528.398823747</v>
      </c>
      <c r="AQ10" s="166" t="n">
        <v>141528.398823747</v>
      </c>
      <c r="AR10" s="166" t="n">
        <v>141528.398823747</v>
      </c>
      <c r="AS10" s="166" t="n">
        <v>141528.398823747</v>
      </c>
      <c r="AT10" s="166" t="n">
        <v>141528.398823747</v>
      </c>
      <c r="AU10" s="166" t="n">
        <v>258307.612069747</v>
      </c>
      <c r="AV10" s="166" t="n">
        <v>67568.2304346134</v>
      </c>
      <c r="AW10" s="166" t="n">
        <v>67568.2304346134</v>
      </c>
      <c r="AX10" s="166" t="n">
        <v>67568.2304346134</v>
      </c>
      <c r="AY10" s="166" t="n">
        <v>67568.2304346134</v>
      </c>
      <c r="AZ10" s="166" t="n">
        <v>67568.2304346134</v>
      </c>
      <c r="BA10" s="166" t="n">
        <v>67568.2304346134</v>
      </c>
      <c r="BB10" s="166" t="n">
        <v>67568.2304346134</v>
      </c>
      <c r="BC10" s="166" t="n">
        <v>67568.2304346134</v>
      </c>
      <c r="BD10" s="166" t="n">
        <v>67568.2304346134</v>
      </c>
      <c r="BE10" s="166" t="n">
        <v>67568.2304346134</v>
      </c>
      <c r="BF10" s="166" t="n">
        <v>67568.2304346134</v>
      </c>
      <c r="BG10" s="166" t="n">
        <v>67568.2304346134</v>
      </c>
      <c r="BH10" s="166" t="n">
        <v>67568.2304346134</v>
      </c>
      <c r="BI10" s="166" t="n">
        <v>174254.910068213</v>
      </c>
      <c r="BJ10" s="166" t="n">
        <v>0</v>
      </c>
      <c r="BK10" s="166" t="n">
        <v>0</v>
      </c>
      <c r="BL10" s="166" t="n">
        <v>0</v>
      </c>
      <c r="BM10" s="166" t="n">
        <v>0</v>
      </c>
      <c r="BN10" s="166" t="n">
        <v>0</v>
      </c>
      <c r="BO10" s="166" t="n">
        <v>0</v>
      </c>
      <c r="BP10" s="166" t="n">
        <v>0</v>
      </c>
      <c r="BQ10" s="166" t="n">
        <v>0</v>
      </c>
      <c r="BR10" s="166" t="n">
        <v>0</v>
      </c>
      <c r="BS10" s="166" t="n">
        <v>0</v>
      </c>
      <c r="BT10" s="166" t="n">
        <v>0</v>
      </c>
      <c r="BU10" s="166" t="n">
        <v>0</v>
      </c>
      <c r="BV10" s="166" t="n">
        <v>0</v>
      </c>
      <c r="BW10" s="166" t="n">
        <v>0</v>
      </c>
      <c r="BX10" s="166" t="n">
        <v>0</v>
      </c>
      <c r="BY10" s="166" t="n">
        <v>0</v>
      </c>
      <c r="BZ10" s="166" t="n">
        <v>0</v>
      </c>
      <c r="CA10" s="166" t="n">
        <v>0</v>
      </c>
      <c r="CB10" s="166" t="n">
        <v>0</v>
      </c>
      <c r="CC10" s="166" t="n">
        <v>0</v>
      </c>
      <c r="CD10" s="166" t="n">
        <v>0</v>
      </c>
      <c r="CE10" s="166" t="n">
        <v>0</v>
      </c>
      <c r="CF10" s="166" t="n">
        <v>0</v>
      </c>
      <c r="CG10" s="166" t="n">
        <v>0</v>
      </c>
      <c r="CH10" s="166" t="n">
        <v>0</v>
      </c>
      <c r="CI10" s="166" t="n">
        <v>0</v>
      </c>
      <c r="CJ10" s="166" t="n">
        <v>0</v>
      </c>
      <c r="CK10" s="166" t="n">
        <v>0</v>
      </c>
      <c r="CL10" s="166" t="n">
        <v>0</v>
      </c>
      <c r="CM10" s="166" t="n">
        <v>0</v>
      </c>
      <c r="CN10" s="166" t="n">
        <v>0</v>
      </c>
      <c r="CO10" s="166" t="n">
        <v>0</v>
      </c>
      <c r="CP10" s="166" t="n">
        <v>0</v>
      </c>
      <c r="CQ10" s="166" t="n">
        <v>0</v>
      </c>
      <c r="CR10" s="166" t="n">
        <v>0</v>
      </c>
      <c r="CS10" s="166" t="n">
        <v>0</v>
      </c>
      <c r="CT10" s="166" t="n">
        <v>0</v>
      </c>
      <c r="CU10" s="166" t="n">
        <v>0</v>
      </c>
      <c r="CV10" s="166" t="n">
        <v>0</v>
      </c>
      <c r="CW10" s="166" t="n">
        <v>0</v>
      </c>
      <c r="CX10" s="166" t="n">
        <v>0</v>
      </c>
      <c r="CY10" s="166" t="n">
        <v>0</v>
      </c>
      <c r="CZ10" s="166" t="n">
        <v>0</v>
      </c>
      <c r="DA10" s="166" t="n">
        <v>0</v>
      </c>
      <c r="DB10" s="166" t="n">
        <v>0</v>
      </c>
      <c r="DC10" s="166" t="n">
        <v>0</v>
      </c>
      <c r="DD10" s="166" t="n">
        <v>0</v>
      </c>
      <c r="DE10" s="166" t="n">
        <v>0</v>
      </c>
      <c r="DF10" s="166" t="n">
        <v>0</v>
      </c>
    </row>
    <row r="11" customFormat="false" ht="15" hidden="false" customHeight="true" outlineLevel="0" collapsed="false">
      <c r="A11" s="140" t="s">
        <v>272</v>
      </c>
      <c r="C11" s="169" t="n">
        <v>0</v>
      </c>
      <c r="D11" s="169" t="n">
        <v>0</v>
      </c>
      <c r="E11" s="169" t="n">
        <v>0</v>
      </c>
      <c r="F11" s="166" t="n">
        <v>0</v>
      </c>
      <c r="G11" s="166" t="n">
        <v>0</v>
      </c>
      <c r="H11" s="166" t="n">
        <v>0</v>
      </c>
      <c r="I11" s="166" t="n">
        <v>0</v>
      </c>
      <c r="J11" s="166" t="n">
        <v>0</v>
      </c>
      <c r="K11" s="166" t="n">
        <v>0</v>
      </c>
      <c r="L11" s="166" t="n">
        <v>0</v>
      </c>
      <c r="M11" s="166" t="n">
        <v>0</v>
      </c>
      <c r="N11" s="166" t="n">
        <v>0</v>
      </c>
      <c r="O11" s="166" t="n">
        <v>0</v>
      </c>
      <c r="P11" s="166" t="n">
        <v>0</v>
      </c>
      <c r="Q11" s="166" t="n">
        <v>0</v>
      </c>
      <c r="R11" s="166" t="n">
        <v>0</v>
      </c>
      <c r="S11" s="166" t="n">
        <v>0</v>
      </c>
      <c r="T11" s="166" t="n">
        <v>0</v>
      </c>
      <c r="U11" s="166" t="n">
        <v>0</v>
      </c>
      <c r="V11" s="166" t="n">
        <v>0</v>
      </c>
      <c r="W11" s="166" t="n">
        <v>0</v>
      </c>
      <c r="X11" s="166" t="n">
        <v>0</v>
      </c>
      <c r="Y11" s="166" t="n">
        <v>0</v>
      </c>
      <c r="Z11" s="166" t="n">
        <v>0</v>
      </c>
      <c r="AA11" s="166" t="n">
        <v>0</v>
      </c>
      <c r="AB11" s="166" t="n">
        <v>0</v>
      </c>
      <c r="AC11" s="166" t="n">
        <v>0</v>
      </c>
      <c r="AD11" s="166" t="n">
        <v>0</v>
      </c>
      <c r="AE11" s="166" t="n">
        <v>0</v>
      </c>
      <c r="AF11" s="166" t="n">
        <v>0</v>
      </c>
      <c r="AG11" s="166" t="n">
        <v>0</v>
      </c>
      <c r="AH11" s="166" t="n">
        <v>0</v>
      </c>
      <c r="AI11" s="166" t="n">
        <v>0</v>
      </c>
      <c r="AJ11" s="166" t="n">
        <v>0</v>
      </c>
      <c r="AK11" s="166" t="n">
        <v>0</v>
      </c>
      <c r="AL11" s="166" t="n">
        <v>0</v>
      </c>
      <c r="AM11" s="166" t="n">
        <v>0</v>
      </c>
      <c r="AN11" s="166" t="n">
        <v>0</v>
      </c>
      <c r="AO11" s="166" t="n">
        <v>0</v>
      </c>
      <c r="AP11" s="166" t="n">
        <v>0</v>
      </c>
      <c r="AQ11" s="166" t="n">
        <v>0</v>
      </c>
      <c r="AR11" s="166" t="n">
        <v>0</v>
      </c>
      <c r="AS11" s="166" t="n">
        <v>0</v>
      </c>
      <c r="AT11" s="166" t="n">
        <v>0</v>
      </c>
      <c r="AU11" s="166" t="n">
        <v>0</v>
      </c>
      <c r="AV11" s="166" t="n">
        <v>0</v>
      </c>
      <c r="AW11" s="166" t="n">
        <v>0</v>
      </c>
      <c r="AX11" s="166" t="n">
        <v>0</v>
      </c>
      <c r="AY11" s="166" t="n">
        <v>0</v>
      </c>
      <c r="AZ11" s="166" t="n">
        <v>0</v>
      </c>
      <c r="BA11" s="166" t="n">
        <v>0</v>
      </c>
      <c r="BB11" s="166" t="n">
        <v>0</v>
      </c>
      <c r="BC11" s="166" t="n">
        <v>0</v>
      </c>
      <c r="BD11" s="166" t="n">
        <v>0</v>
      </c>
      <c r="BE11" s="166" t="n">
        <v>0</v>
      </c>
      <c r="BF11" s="166" t="n">
        <v>0</v>
      </c>
      <c r="BG11" s="166" t="n">
        <v>0</v>
      </c>
      <c r="BH11" s="166" t="n">
        <v>0</v>
      </c>
      <c r="BI11" s="166" t="n">
        <v>0</v>
      </c>
      <c r="BJ11" s="166" t="n">
        <v>0</v>
      </c>
      <c r="BK11" s="166" t="n">
        <v>0</v>
      </c>
      <c r="BL11" s="166" t="n">
        <v>0</v>
      </c>
      <c r="BM11" s="166" t="n">
        <v>0</v>
      </c>
      <c r="BN11" s="166" t="n">
        <v>0</v>
      </c>
      <c r="BO11" s="166" t="n">
        <v>0</v>
      </c>
      <c r="BP11" s="166" t="n">
        <v>0</v>
      </c>
      <c r="BQ11" s="166" t="n">
        <v>0</v>
      </c>
      <c r="BR11" s="166" t="n">
        <v>0</v>
      </c>
      <c r="BS11" s="166" t="n">
        <v>0</v>
      </c>
      <c r="BT11" s="166" t="n">
        <v>0</v>
      </c>
      <c r="BU11" s="166" t="n">
        <v>0</v>
      </c>
      <c r="BV11" s="166" t="n">
        <v>0</v>
      </c>
      <c r="BW11" s="166" t="n">
        <v>0</v>
      </c>
      <c r="BX11" s="166" t="n">
        <v>0</v>
      </c>
      <c r="BY11" s="166" t="n">
        <v>0</v>
      </c>
      <c r="BZ11" s="166" t="n">
        <v>0</v>
      </c>
      <c r="CA11" s="166" t="n">
        <v>0</v>
      </c>
      <c r="CB11" s="166" t="n">
        <v>0</v>
      </c>
      <c r="CC11" s="166" t="n">
        <v>0</v>
      </c>
      <c r="CD11" s="166" t="n">
        <v>0</v>
      </c>
      <c r="CE11" s="166" t="n">
        <v>0</v>
      </c>
      <c r="CF11" s="166" t="n">
        <v>0</v>
      </c>
      <c r="CG11" s="166" t="n">
        <v>0</v>
      </c>
      <c r="CH11" s="166" t="n">
        <v>0</v>
      </c>
      <c r="CI11" s="166" t="n">
        <v>0</v>
      </c>
      <c r="CJ11" s="166" t="n">
        <v>0</v>
      </c>
      <c r="CK11" s="166" t="n">
        <v>0</v>
      </c>
      <c r="CL11" s="166" t="n">
        <v>0</v>
      </c>
      <c r="CM11" s="166" t="n">
        <v>0</v>
      </c>
      <c r="CN11" s="166" t="n">
        <v>0</v>
      </c>
      <c r="CO11" s="166" t="n">
        <v>0</v>
      </c>
      <c r="CP11" s="166" t="n">
        <v>0</v>
      </c>
      <c r="CQ11" s="166" t="n">
        <v>0</v>
      </c>
      <c r="CR11" s="166" t="n">
        <v>0</v>
      </c>
      <c r="CS11" s="166" t="n">
        <v>0</v>
      </c>
      <c r="CT11" s="166" t="n">
        <v>0</v>
      </c>
      <c r="CU11" s="166" t="n">
        <v>0</v>
      </c>
      <c r="CV11" s="166" t="n">
        <v>0</v>
      </c>
      <c r="CW11" s="166" t="n">
        <v>0</v>
      </c>
      <c r="CX11" s="166" t="n">
        <v>0</v>
      </c>
      <c r="CY11" s="166" t="n">
        <v>0</v>
      </c>
      <c r="CZ11" s="166" t="n">
        <v>0</v>
      </c>
      <c r="DA11" s="166" t="n">
        <v>0</v>
      </c>
      <c r="DB11" s="166" t="n">
        <v>0</v>
      </c>
      <c r="DC11" s="166" t="n">
        <v>0</v>
      </c>
      <c r="DD11" s="166" t="n">
        <v>0</v>
      </c>
      <c r="DE11" s="166" t="n">
        <v>0</v>
      </c>
      <c r="DF11" s="166" t="n">
        <v>0</v>
      </c>
    </row>
    <row r="12" customFormat="false" ht="15" hidden="false" customHeight="true" outlineLevel="0" collapsed="false">
      <c r="A12" s="120" t="s">
        <v>6</v>
      </c>
      <c r="C12" s="167" t="n">
        <v>1242053.19</v>
      </c>
      <c r="D12" s="167" t="n">
        <v>2710434.48</v>
      </c>
      <c r="E12" s="167" t="n">
        <v>2402410.43</v>
      </c>
      <c r="F12" s="167" t="n">
        <v>3985482.58</v>
      </c>
      <c r="G12" s="167" t="n">
        <v>4178441.93</v>
      </c>
      <c r="H12" s="167" t="n">
        <v>4314673.98</v>
      </c>
      <c r="I12" s="167" t="n">
        <v>5100719.4</v>
      </c>
      <c r="J12" s="167" t="n">
        <v>5260214.26</v>
      </c>
      <c r="K12" s="167" t="n">
        <v>5352854.32</v>
      </c>
      <c r="L12" s="167" t="n">
        <v>5849570.15</v>
      </c>
      <c r="M12" s="167" t="n">
        <v>6345476.13</v>
      </c>
      <c r="N12" s="167" t="n">
        <v>6208239.26</v>
      </c>
      <c r="O12" s="167" t="n">
        <v>6395725.66</v>
      </c>
      <c r="P12" s="167" t="n">
        <v>6526715.61</v>
      </c>
      <c r="Q12" s="167" t="n">
        <v>6598279.77</v>
      </c>
      <c r="R12" s="167" t="n">
        <v>7163160.25</v>
      </c>
      <c r="S12" s="167" t="n">
        <v>7214523.9</v>
      </c>
      <c r="T12" s="167" t="n">
        <v>7044289.83</v>
      </c>
      <c r="U12" s="167" t="n">
        <v>6558946.87</v>
      </c>
      <c r="V12" s="167" t="n">
        <v>6351724.99</v>
      </c>
      <c r="W12" s="167" t="n">
        <v>6350910.58</v>
      </c>
      <c r="X12" s="167" t="n">
        <v>6231956.53</v>
      </c>
      <c r="Y12" s="167" t="n">
        <v>6016281.88</v>
      </c>
      <c r="Z12" s="167" t="n">
        <v>5778039.55</v>
      </c>
      <c r="AA12" s="167" t="n">
        <v>5481055.51</v>
      </c>
      <c r="AB12" s="167" t="n">
        <v>5142476.89</v>
      </c>
      <c r="AC12" s="167" t="n">
        <v>4779056.04</v>
      </c>
      <c r="AD12" s="167" t="n">
        <v>4323487.76</v>
      </c>
      <c r="AE12" s="167" t="n">
        <v>3830756.31</v>
      </c>
      <c r="AF12" s="167" t="n">
        <v>3598719.36</v>
      </c>
      <c r="AG12" s="167" t="n">
        <v>2781458.46</v>
      </c>
      <c r="AH12" s="167" t="n">
        <v>2827130.02</v>
      </c>
      <c r="AI12" s="167" t="n">
        <v>2855162.63</v>
      </c>
      <c r="AJ12" s="167" t="n">
        <v>2738010.36</v>
      </c>
      <c r="AK12" s="167" t="n">
        <v>2961685.5</v>
      </c>
      <c r="AL12" s="167" t="n">
        <v>2681612.9</v>
      </c>
      <c r="AM12" s="167" t="n">
        <v>3067683.88</v>
      </c>
      <c r="AN12" s="167" t="n">
        <v>3017131.53</v>
      </c>
      <c r="AO12" s="167" t="n">
        <v>2857832.82</v>
      </c>
      <c r="AP12" s="167" t="n">
        <v>2717434.99</v>
      </c>
      <c r="AQ12" s="167" t="n">
        <v>2661368.69</v>
      </c>
      <c r="AR12" s="167" t="n">
        <v>2590847.28</v>
      </c>
      <c r="AS12" s="167" t="n">
        <v>2506479.9</v>
      </c>
      <c r="AT12" s="167" t="n">
        <v>2409088.63</v>
      </c>
      <c r="AU12" s="167" t="n">
        <v>2027193.27</v>
      </c>
      <c r="AV12" s="167" t="n">
        <v>1724513.73</v>
      </c>
      <c r="AW12" s="167" t="n">
        <v>1687294.56</v>
      </c>
      <c r="AX12" s="167" t="n">
        <v>1632789.15</v>
      </c>
      <c r="AY12" s="167" t="n">
        <v>1562651.7</v>
      </c>
      <c r="AZ12" s="167" t="n">
        <v>1478825.86</v>
      </c>
      <c r="BA12" s="167" t="n">
        <v>1383586.14</v>
      </c>
      <c r="BB12" s="167" t="n">
        <v>1279496.53</v>
      </c>
      <c r="BC12" s="167" t="n">
        <v>1169079.66</v>
      </c>
      <c r="BD12" s="167" t="n">
        <v>1054982.23</v>
      </c>
      <c r="BE12" s="167" t="n">
        <v>939685.52</v>
      </c>
      <c r="BF12" s="167" t="n">
        <v>825464.03</v>
      </c>
      <c r="BG12" s="167" t="n">
        <v>714385.48</v>
      </c>
      <c r="BH12" s="167" t="n">
        <v>608145.43</v>
      </c>
      <c r="BI12" s="167" t="n">
        <v>259255.01</v>
      </c>
      <c r="BJ12" s="167" t="n">
        <v>0</v>
      </c>
      <c r="BK12" s="167" t="n">
        <v>0</v>
      </c>
      <c r="BL12" s="167" t="n">
        <v>0</v>
      </c>
      <c r="BM12" s="167" t="n">
        <v>0</v>
      </c>
      <c r="BN12" s="167" t="n">
        <v>0</v>
      </c>
      <c r="BO12" s="167" t="n">
        <v>0</v>
      </c>
      <c r="BP12" s="167" t="n">
        <v>0</v>
      </c>
      <c r="BQ12" s="167" t="n">
        <v>0</v>
      </c>
      <c r="BR12" s="167" t="n">
        <v>0</v>
      </c>
      <c r="BS12" s="167" t="n">
        <v>0</v>
      </c>
      <c r="BT12" s="167" t="n">
        <v>0</v>
      </c>
      <c r="BU12" s="167" t="n">
        <v>0</v>
      </c>
      <c r="BV12" s="167" t="n">
        <v>0</v>
      </c>
      <c r="BW12" s="167" t="n">
        <v>0</v>
      </c>
      <c r="BX12" s="167" t="n">
        <v>0</v>
      </c>
      <c r="BY12" s="167" t="n">
        <v>0</v>
      </c>
      <c r="BZ12" s="167" t="n">
        <v>0</v>
      </c>
      <c r="CA12" s="167" t="n">
        <v>0</v>
      </c>
      <c r="CB12" s="167" t="n">
        <v>0</v>
      </c>
      <c r="CC12" s="167" t="n">
        <v>0</v>
      </c>
      <c r="CD12" s="167" t="n">
        <v>0</v>
      </c>
      <c r="CE12" s="167" t="n">
        <v>0</v>
      </c>
      <c r="CF12" s="167" t="n">
        <v>0</v>
      </c>
      <c r="CG12" s="167" t="n">
        <v>0</v>
      </c>
      <c r="CH12" s="167" t="n">
        <v>0</v>
      </c>
      <c r="CI12" s="167" t="n">
        <v>0</v>
      </c>
      <c r="CJ12" s="167" t="n">
        <v>0</v>
      </c>
      <c r="CK12" s="167" t="n">
        <v>0</v>
      </c>
      <c r="CL12" s="167" t="n">
        <v>0</v>
      </c>
      <c r="CM12" s="167" t="n">
        <v>0</v>
      </c>
      <c r="CN12" s="167" t="n">
        <v>0</v>
      </c>
      <c r="CO12" s="167" t="n">
        <v>0</v>
      </c>
      <c r="CP12" s="167" t="n">
        <v>0</v>
      </c>
      <c r="CQ12" s="167" t="n">
        <v>0</v>
      </c>
      <c r="CR12" s="167" t="n">
        <v>0</v>
      </c>
      <c r="CS12" s="167" t="n">
        <v>0</v>
      </c>
      <c r="CT12" s="167" t="n">
        <v>0</v>
      </c>
      <c r="CU12" s="167" t="n">
        <v>0</v>
      </c>
      <c r="CV12" s="167" t="n">
        <v>0</v>
      </c>
      <c r="CW12" s="167" t="n">
        <v>0</v>
      </c>
      <c r="CX12" s="167" t="n">
        <v>0</v>
      </c>
      <c r="CY12" s="167" t="n">
        <v>0</v>
      </c>
      <c r="CZ12" s="167" t="n">
        <v>0</v>
      </c>
      <c r="DA12" s="167" t="n">
        <v>0</v>
      </c>
      <c r="DB12" s="167" t="n">
        <v>0</v>
      </c>
      <c r="DC12" s="167" t="n">
        <v>0</v>
      </c>
      <c r="DD12" s="167" t="n">
        <v>0</v>
      </c>
      <c r="DE12" s="167" t="n">
        <v>0</v>
      </c>
      <c r="DF12" s="167" t="n">
        <v>0</v>
      </c>
    </row>
    <row r="13" customFormat="false" ht="15" hidden="false" customHeight="true" outlineLevel="0" collapsed="false">
      <c r="A13" s="121" t="s">
        <v>52</v>
      </c>
      <c r="C13" s="170" t="n">
        <f aca="false">C8+C10+C12</f>
        <v>1453786.74</v>
      </c>
      <c r="D13" s="170" t="n">
        <f aca="false">D8+D10+D12</f>
        <v>3022518.89</v>
      </c>
      <c r="E13" s="170" t="n">
        <f aca="false">E8+E10+E12</f>
        <v>2672216.16</v>
      </c>
      <c r="F13" s="170" t="n">
        <f aca="false">F8+F10+F12</f>
        <v>4454367.64625426</v>
      </c>
      <c r="G13" s="170" t="n">
        <f aca="false">G8+G10+G12</f>
        <v>4647326.99625426</v>
      </c>
      <c r="H13" s="170" t="n">
        <f aca="false">H8+H10+H12</f>
        <v>4783559.04625426</v>
      </c>
      <c r="I13" s="170" t="n">
        <f aca="false">I8+I10+I12</f>
        <v>5733416.58965458</v>
      </c>
      <c r="J13" s="170" t="n">
        <f aca="false">J8+J10+J12</f>
        <v>5892911.44965458</v>
      </c>
      <c r="K13" s="170" t="n">
        <f aca="false">K8+K10+K12</f>
        <v>5985551.50965458</v>
      </c>
      <c r="L13" s="170" t="n">
        <f aca="false">L8+L10+L12</f>
        <v>6624695.09695686</v>
      </c>
      <c r="M13" s="170" t="n">
        <f aca="false">M8+M10+M12</f>
        <v>7264827.11096425</v>
      </c>
      <c r="N13" s="170" t="n">
        <f aca="false">N8+N10+N12</f>
        <v>6982817.03487815</v>
      </c>
      <c r="O13" s="170" t="n">
        <f aca="false">O8+O10+O12</f>
        <v>7170303.43487815</v>
      </c>
      <c r="P13" s="170" t="n">
        <f aca="false">P8+P10+P12</f>
        <v>7301293.38487815</v>
      </c>
      <c r="Q13" s="170" t="n">
        <f aca="false">Q8+Q10+Q12</f>
        <v>7372857.54487815</v>
      </c>
      <c r="R13" s="170" t="n">
        <f aca="false">R8+R10+R12</f>
        <v>8110312.22893537</v>
      </c>
      <c r="S13" s="170" t="n">
        <f aca="false">S8+S10+S12</f>
        <v>8161675.87893537</v>
      </c>
      <c r="T13" s="170" t="n">
        <f aca="false">T8+T10+T12</f>
        <v>8150103.68722157</v>
      </c>
      <c r="U13" s="170" t="n">
        <f aca="false">U8+U10+U12</f>
        <v>7426580.28001747</v>
      </c>
      <c r="V13" s="170" t="n">
        <f aca="false">V8+V10+V12</f>
        <v>6953679.6484407</v>
      </c>
      <c r="W13" s="170" t="n">
        <f aca="false">W8+W10+W12</f>
        <v>6952865.2384407</v>
      </c>
      <c r="X13" s="170" t="n">
        <f aca="false">X8+X10+X12</f>
        <v>6855721.49288045</v>
      </c>
      <c r="Y13" s="170" t="n">
        <f aca="false">Y8+Y10+Y12</f>
        <v>6596426.23400095</v>
      </c>
      <c r="Z13" s="170" t="n">
        <f aca="false">Z8+Z10+Z12</f>
        <v>6358183.90400095</v>
      </c>
      <c r="AA13" s="170" t="n">
        <f aca="false">AA8+AA10+AA12</f>
        <v>6061199.86400095</v>
      </c>
      <c r="AB13" s="170" t="n">
        <f aca="false">AB8+AB10+AB12</f>
        <v>5722621.24400095</v>
      </c>
      <c r="AC13" s="170" t="n">
        <f aca="false">AC8+AC10+AC12</f>
        <v>5359200.39400095</v>
      </c>
      <c r="AD13" s="170" t="n">
        <f aca="false">AD8+AD10+AD12</f>
        <v>4985653.12984355</v>
      </c>
      <c r="AE13" s="170" t="n">
        <f aca="false">AE8+AE10+AE12</f>
        <v>4328879.64815835</v>
      </c>
      <c r="AF13" s="170" t="n">
        <f aca="false">AF8+AF10+AF12</f>
        <v>4254502.3390269</v>
      </c>
      <c r="AG13" s="170" t="n">
        <f aca="false">AG8+AG10+AG12</f>
        <v>3437241.4390269</v>
      </c>
      <c r="AH13" s="170" t="n">
        <f aca="false">AH8+AH10+AH12</f>
        <v>3482912.9990269</v>
      </c>
      <c r="AI13" s="170" t="n">
        <f aca="false">AI8+AI10+AI12</f>
        <v>3510945.6090269</v>
      </c>
      <c r="AJ13" s="170" t="n">
        <f aca="false">AJ8+AJ10+AJ12</f>
        <v>3521789.46859465</v>
      </c>
      <c r="AK13" s="170" t="n">
        <f aca="false">AK8+AK10+AK12</f>
        <v>3516138.20978576</v>
      </c>
      <c r="AL13" s="170" t="n">
        <f aca="false">AL8+AL10+AL12</f>
        <v>3494716.33094416</v>
      </c>
      <c r="AM13" s="170" t="n">
        <f aca="false">AM8+AM10+AM12</f>
        <v>3458324.46638544</v>
      </c>
      <c r="AN13" s="170" t="n">
        <f aca="false">AN8+AN10+AN12</f>
        <v>3407772.11638544</v>
      </c>
      <c r="AO13" s="170" t="n">
        <f aca="false">AO8+AO10+AO12</f>
        <v>3343852.47184809</v>
      </c>
      <c r="AP13" s="170" t="n">
        <f aca="false">AP8+AP10+AP12</f>
        <v>3047668.83492576</v>
      </c>
      <c r="AQ13" s="170" t="n">
        <f aca="false">AQ8+AQ10+AQ12</f>
        <v>2991602.53492576</v>
      </c>
      <c r="AR13" s="170" t="n">
        <f aca="false">AR8+AR10+AR12</f>
        <v>2921081.12492576</v>
      </c>
      <c r="AS13" s="170" t="n">
        <f aca="false">AS8+AS10+AS12</f>
        <v>2836713.74492576</v>
      </c>
      <c r="AT13" s="170" t="n">
        <f aca="false">AT8+AT10+AT12</f>
        <v>2739322.47492576</v>
      </c>
      <c r="AU13" s="170" t="n">
        <f aca="false">AU8+AU10+AU12</f>
        <v>2629912.70027926</v>
      </c>
      <c r="AV13" s="170" t="n">
        <f aca="false">AV8+AV10+AV12</f>
        <v>1882173.37086855</v>
      </c>
      <c r="AW13" s="170" t="n">
        <f aca="false">AW8+AW10+AW12</f>
        <v>1844954.20086855</v>
      </c>
      <c r="AX13" s="170" t="n">
        <f aca="false">AX8+AX10+AX12</f>
        <v>1790448.79086855</v>
      </c>
      <c r="AY13" s="170" t="n">
        <f aca="false">AY8+AY10+AY12</f>
        <v>1720311.34086855</v>
      </c>
      <c r="AZ13" s="170" t="n">
        <f aca="false">AZ8+AZ10+AZ12</f>
        <v>1636485.50086855</v>
      </c>
      <c r="BA13" s="170" t="n">
        <f aca="false">BA8+BA10+BA12</f>
        <v>1541245.78086855</v>
      </c>
      <c r="BB13" s="170" t="n">
        <f aca="false">BB8+BB10+BB12</f>
        <v>1437156.17086855</v>
      </c>
      <c r="BC13" s="170" t="n">
        <f aca="false">BC8+BC10+BC12</f>
        <v>1326739.30086855</v>
      </c>
      <c r="BD13" s="170" t="n">
        <f aca="false">BD8+BD10+BD12</f>
        <v>1212641.87086855</v>
      </c>
      <c r="BE13" s="170" t="n">
        <f aca="false">BE8+BE10+BE12</f>
        <v>1097345.16086855</v>
      </c>
      <c r="BF13" s="170" t="n">
        <f aca="false">BF8+BF10+BF12</f>
        <v>983123.670868547</v>
      </c>
      <c r="BG13" s="170" t="n">
        <f aca="false">BG8+BG10+BG12</f>
        <v>872045.120868547</v>
      </c>
      <c r="BH13" s="170" t="n">
        <f aca="false">BH8+BH10+BH12</f>
        <v>765805.070868547</v>
      </c>
      <c r="BI13" s="170" t="n">
        <f aca="false">BI8+BI10+BI12</f>
        <v>665850.925924146</v>
      </c>
      <c r="BJ13" s="170" t="n">
        <f aca="false">BJ8+BJ10+BJ12</f>
        <v>0</v>
      </c>
      <c r="BK13" s="170" t="n">
        <f aca="false">BK8+BK10+BK12</f>
        <v>0</v>
      </c>
      <c r="BL13" s="170" t="n">
        <f aca="false">BL8+BL10+BL12</f>
        <v>0</v>
      </c>
      <c r="BM13" s="170" t="n">
        <f aca="false">BM8+BM10+BM12</f>
        <v>0</v>
      </c>
      <c r="BN13" s="170" t="n">
        <f aca="false">BN8+BN10+BN12</f>
        <v>0</v>
      </c>
      <c r="BO13" s="170" t="n">
        <f aca="false">BO8+BO10+BO12</f>
        <v>0</v>
      </c>
      <c r="BP13" s="170" t="n">
        <f aca="false">BP8+BP10+BP12</f>
        <v>0</v>
      </c>
      <c r="BQ13" s="170" t="n">
        <f aca="false">BQ8+BQ10+BQ12</f>
        <v>0</v>
      </c>
      <c r="BR13" s="170" t="n">
        <f aca="false">BR8+BR10+BR12</f>
        <v>0</v>
      </c>
      <c r="BS13" s="170" t="n">
        <f aca="false">BS8+BS10+BS12</f>
        <v>0</v>
      </c>
      <c r="BT13" s="170" t="n">
        <f aca="false">BT8+BT10+BT12</f>
        <v>0</v>
      </c>
      <c r="BU13" s="170" t="n">
        <f aca="false">BU8+BU10+BU12</f>
        <v>0</v>
      </c>
      <c r="BV13" s="170" t="n">
        <f aca="false">BV8+BV10+BV12</f>
        <v>0</v>
      </c>
      <c r="BW13" s="170" t="n">
        <f aca="false">BW8+BW10+BW12</f>
        <v>0</v>
      </c>
      <c r="BX13" s="170" t="n">
        <f aca="false">BX8+BX10+BX12</f>
        <v>0</v>
      </c>
      <c r="BY13" s="170" t="n">
        <f aca="false">BY8+BY10+BY12</f>
        <v>0</v>
      </c>
      <c r="BZ13" s="170" t="n">
        <f aca="false">BZ8+BZ10+BZ12</f>
        <v>0</v>
      </c>
      <c r="CA13" s="170" t="n">
        <f aca="false">CA8+CA10+CA12</f>
        <v>0</v>
      </c>
      <c r="CB13" s="170" t="n">
        <f aca="false">CB8+CB10+CB12</f>
        <v>0</v>
      </c>
      <c r="CC13" s="170" t="n">
        <f aca="false">CC8+CC10+CC12</f>
        <v>0</v>
      </c>
      <c r="CD13" s="170" t="n">
        <f aca="false">CD8+CD10+CD12</f>
        <v>0</v>
      </c>
      <c r="CE13" s="170" t="n">
        <f aca="false">CE8+CE10+CE12</f>
        <v>0</v>
      </c>
      <c r="CF13" s="170" t="n">
        <f aca="false">CF8+CF10+CF12</f>
        <v>0</v>
      </c>
      <c r="CG13" s="170" t="n">
        <f aca="false">CG8+CG10+CG12</f>
        <v>0</v>
      </c>
      <c r="CH13" s="170" t="n">
        <f aca="false">CH8+CH10+CH12</f>
        <v>0</v>
      </c>
      <c r="CI13" s="170" t="n">
        <f aca="false">CI8+CI10+CI12</f>
        <v>0</v>
      </c>
      <c r="CJ13" s="170" t="n">
        <f aca="false">CJ8+CJ10+CJ12</f>
        <v>0</v>
      </c>
      <c r="CK13" s="170" t="n">
        <f aca="false">CK8+CK10+CK12</f>
        <v>0</v>
      </c>
      <c r="CL13" s="170" t="n">
        <f aca="false">CL8+CL10+CL12</f>
        <v>0</v>
      </c>
      <c r="CM13" s="170" t="n">
        <f aca="false">CM8+CM10+CM12</f>
        <v>0</v>
      </c>
      <c r="CN13" s="170" t="n">
        <f aca="false">CN8+CN10+CN12</f>
        <v>0</v>
      </c>
      <c r="CO13" s="170" t="n">
        <f aca="false">CO8+CO10+CO12</f>
        <v>0</v>
      </c>
      <c r="CP13" s="170" t="n">
        <f aca="false">CP8+CP10+CP12</f>
        <v>0</v>
      </c>
      <c r="CQ13" s="170" t="n">
        <f aca="false">CQ8+CQ10+CQ12</f>
        <v>0</v>
      </c>
      <c r="CR13" s="170" t="n">
        <f aca="false">CR8+CR10+CR12</f>
        <v>0</v>
      </c>
      <c r="CS13" s="170" t="n">
        <f aca="false">CS8+CS10+CS12</f>
        <v>0</v>
      </c>
      <c r="CT13" s="170" t="n">
        <f aca="false">CT8+CT10+CT12</f>
        <v>0</v>
      </c>
      <c r="CU13" s="170" t="n">
        <f aca="false">CU8+CU10+CU12</f>
        <v>0</v>
      </c>
      <c r="CV13" s="170" t="n">
        <f aca="false">CV8+CV10+CV12</f>
        <v>0</v>
      </c>
      <c r="CW13" s="170" t="n">
        <f aca="false">CW8+CW10+CW12</f>
        <v>0</v>
      </c>
      <c r="CX13" s="170" t="n">
        <f aca="false">CX8+CX10+CX12</f>
        <v>0</v>
      </c>
      <c r="CY13" s="170" t="n">
        <f aca="false">CY8+CY10+CY12</f>
        <v>0</v>
      </c>
      <c r="CZ13" s="170" t="n">
        <f aca="false">CZ8+CZ10+CZ12</f>
        <v>0</v>
      </c>
      <c r="DA13" s="170" t="n">
        <f aca="false">DA8+DA10+DA12</f>
        <v>0</v>
      </c>
      <c r="DB13" s="170" t="n">
        <f aca="false">DB8+DB10+DB12</f>
        <v>0</v>
      </c>
      <c r="DC13" s="170" t="n">
        <f aca="false">DC8+DC10+DC12</f>
        <v>0</v>
      </c>
      <c r="DD13" s="170" t="n">
        <f aca="false">DD8+DD10+DD12</f>
        <v>0</v>
      </c>
      <c r="DE13" s="170" t="n">
        <f aca="false">DE8+DE10+DE12</f>
        <v>0</v>
      </c>
      <c r="DF13" s="170" t="n">
        <f aca="false">DF8+DF10+DF12</f>
        <v>0</v>
      </c>
    </row>
    <row r="14" customFormat="false" ht="15" hidden="false" customHeight="true" outlineLevel="0" collapsed="false">
      <c r="A14" s="81" t="s">
        <v>273</v>
      </c>
      <c r="C14" s="169" t="n">
        <v>-1233067.43</v>
      </c>
      <c r="D14" s="169" t="n">
        <v>-3073522.36</v>
      </c>
      <c r="E14" s="169" t="n">
        <v>-2078031.64</v>
      </c>
      <c r="F14" s="171" t="n">
        <v>-3985482.58403402</v>
      </c>
      <c r="G14" s="171" t="n">
        <v>-4178441.93467641</v>
      </c>
      <c r="H14" s="171" t="n">
        <v>-4314673.98179329</v>
      </c>
      <c r="I14" s="171" t="n">
        <v>-5100719.40418529</v>
      </c>
      <c r="J14" s="171" t="n">
        <v>-5260214.25623971</v>
      </c>
      <c r="K14" s="171" t="n">
        <v>-5352854.31833945</v>
      </c>
      <c r="L14" s="171" t="n">
        <v>-5849570.14613038</v>
      </c>
      <c r="M14" s="171" t="n">
        <v>-6345476.13239193</v>
      </c>
      <c r="N14" s="171" t="n">
        <v>-6208239.26255321</v>
      </c>
      <c r="O14" s="171" t="n">
        <v>-6395725.66434017</v>
      </c>
      <c r="P14" s="171" t="n">
        <v>-6526715.60885338</v>
      </c>
      <c r="Q14" s="171" t="n">
        <v>-6598279.76517372</v>
      </c>
      <c r="R14" s="171" t="n">
        <v>-7163160.25198472</v>
      </c>
      <c r="S14" s="171" t="n">
        <v>-7214523.89541135</v>
      </c>
      <c r="T14" s="171" t="n">
        <v>-7044289.82829815</v>
      </c>
      <c r="U14" s="171" t="n">
        <v>-6558946.86638782</v>
      </c>
      <c r="V14" s="171" t="n">
        <v>-6351724.9937303</v>
      </c>
      <c r="W14" s="171" t="n">
        <v>-6350910.5797313</v>
      </c>
      <c r="X14" s="171" t="n">
        <v>-6231956.52523155</v>
      </c>
      <c r="Y14" s="171" t="n">
        <v>-6016281.88355905</v>
      </c>
      <c r="Z14" s="171" t="n">
        <v>-5778039.55108905</v>
      </c>
      <c r="AA14" s="171" t="n">
        <v>-5481055.51416705</v>
      </c>
      <c r="AB14" s="171" t="n">
        <v>-5142476.88514805</v>
      </c>
      <c r="AC14" s="171" t="n">
        <v>-4779056.03641005</v>
      </c>
      <c r="AD14" s="171" t="n">
        <v>-4323487.76034045</v>
      </c>
      <c r="AE14" s="171" t="n">
        <v>-3830756.31368165</v>
      </c>
      <c r="AF14" s="171" t="n">
        <v>-3598719.3564371</v>
      </c>
      <c r="AG14" s="171" t="n">
        <v>-2781458.4577761</v>
      </c>
      <c r="AH14" s="171" t="n">
        <v>-2827130.0229831</v>
      </c>
      <c r="AI14" s="171" t="n">
        <v>-2855162.6339251</v>
      </c>
      <c r="AJ14" s="171" t="n">
        <v>-2738010.36288435</v>
      </c>
      <c r="AK14" s="171" t="n">
        <v>-2961685.49998524</v>
      </c>
      <c r="AL14" s="171" t="n">
        <v>-2681612.89887884</v>
      </c>
      <c r="AM14" s="171" t="n">
        <v>-3067683.88382956</v>
      </c>
      <c r="AN14" s="171" t="n">
        <v>-3017131.52805656</v>
      </c>
      <c r="AO14" s="171" t="n">
        <v>-2857832.82197891</v>
      </c>
      <c r="AP14" s="171" t="n">
        <v>-2717434.98835224</v>
      </c>
      <c r="AQ14" s="171" t="n">
        <v>-2661368.68946424</v>
      </c>
      <c r="AR14" s="171" t="n">
        <v>-2590847.27570024</v>
      </c>
      <c r="AS14" s="171" t="n">
        <v>-2506479.90028024</v>
      </c>
      <c r="AT14" s="171" t="n">
        <v>-2409088.63497424</v>
      </c>
      <c r="AU14" s="171" t="n">
        <v>-2027193.26653074</v>
      </c>
      <c r="AV14" s="171" t="n">
        <v>-1724513.72534745</v>
      </c>
      <c r="AW14" s="171" t="n">
        <v>-1687294.55654745</v>
      </c>
      <c r="AX14" s="171" t="n">
        <v>-1632789.15157145</v>
      </c>
      <c r="AY14" s="171" t="n">
        <v>-1562651.69569945</v>
      </c>
      <c r="AZ14" s="171" t="n">
        <v>-1478825.85663545</v>
      </c>
      <c r="BA14" s="171" t="n">
        <v>-1383586.13913945</v>
      </c>
      <c r="BB14" s="171" t="n">
        <v>-1279496.53039545</v>
      </c>
      <c r="BC14" s="171" t="n">
        <v>-1169079.66295545</v>
      </c>
      <c r="BD14" s="171" t="n">
        <v>-1054982.23326745</v>
      </c>
      <c r="BE14" s="171" t="n">
        <v>-939685.519251453</v>
      </c>
      <c r="BF14" s="171" t="n">
        <v>-825464.025667453</v>
      </c>
      <c r="BG14" s="171" t="n">
        <v>-714385.484115453</v>
      </c>
      <c r="BH14" s="171" t="n">
        <v>-608145.434507453</v>
      </c>
      <c r="BI14" s="171" t="n">
        <v>-259255.013907853</v>
      </c>
      <c r="BJ14" s="171" t="n">
        <v>0</v>
      </c>
      <c r="BK14" s="171" t="n">
        <v>0</v>
      </c>
      <c r="BL14" s="171" t="n">
        <v>0</v>
      </c>
      <c r="BM14" s="171" t="n">
        <v>0</v>
      </c>
      <c r="BN14" s="171" t="n">
        <v>0</v>
      </c>
      <c r="BO14" s="171" t="n">
        <v>0</v>
      </c>
      <c r="BP14" s="171" t="n">
        <v>0</v>
      </c>
      <c r="BQ14" s="171" t="n">
        <v>0</v>
      </c>
      <c r="BR14" s="171" t="n">
        <v>0</v>
      </c>
      <c r="BS14" s="171" t="n">
        <v>0</v>
      </c>
      <c r="BT14" s="171" t="n">
        <v>0</v>
      </c>
      <c r="BU14" s="171" t="n">
        <v>0</v>
      </c>
      <c r="BV14" s="171" t="n">
        <v>0</v>
      </c>
      <c r="BW14" s="171" t="n">
        <v>0</v>
      </c>
      <c r="BX14" s="171" t="n">
        <v>0</v>
      </c>
      <c r="BY14" s="171" t="n">
        <v>0</v>
      </c>
      <c r="BZ14" s="171" t="n">
        <v>0</v>
      </c>
      <c r="CA14" s="171" t="n">
        <v>0</v>
      </c>
      <c r="CB14" s="171" t="n">
        <v>0</v>
      </c>
      <c r="CC14" s="171" t="n">
        <v>0</v>
      </c>
      <c r="CD14" s="171" t="n">
        <v>0</v>
      </c>
      <c r="CE14" s="171" t="n">
        <v>0</v>
      </c>
      <c r="CF14" s="171" t="n">
        <v>0</v>
      </c>
      <c r="CG14" s="171" t="n">
        <v>0</v>
      </c>
      <c r="CH14" s="171" t="n">
        <v>0</v>
      </c>
      <c r="CI14" s="171" t="n">
        <v>0</v>
      </c>
      <c r="CJ14" s="171" t="n">
        <v>0</v>
      </c>
      <c r="CK14" s="171" t="n">
        <v>0</v>
      </c>
      <c r="CL14" s="171" t="n">
        <v>0</v>
      </c>
      <c r="CM14" s="171" t="n">
        <v>0</v>
      </c>
      <c r="CN14" s="171" t="n">
        <v>0</v>
      </c>
      <c r="CO14" s="171" t="n">
        <v>0</v>
      </c>
      <c r="CP14" s="171" t="n">
        <v>0</v>
      </c>
      <c r="CQ14" s="171" t="n">
        <v>0</v>
      </c>
      <c r="CR14" s="171" t="n">
        <v>0</v>
      </c>
      <c r="CS14" s="171" t="n">
        <v>0</v>
      </c>
      <c r="CT14" s="171" t="n">
        <v>0</v>
      </c>
      <c r="CU14" s="171" t="n">
        <v>0</v>
      </c>
      <c r="CV14" s="171" t="n">
        <v>0</v>
      </c>
      <c r="CW14" s="171" t="n">
        <v>0</v>
      </c>
      <c r="CX14" s="171" t="n">
        <v>0</v>
      </c>
      <c r="CY14" s="171" t="n">
        <v>0</v>
      </c>
      <c r="CZ14" s="171" t="n">
        <v>0</v>
      </c>
      <c r="DA14" s="171" t="n">
        <v>0</v>
      </c>
      <c r="DB14" s="171" t="n">
        <v>0</v>
      </c>
      <c r="DC14" s="171" t="n">
        <v>0</v>
      </c>
      <c r="DD14" s="171" t="n">
        <v>0</v>
      </c>
      <c r="DE14" s="171" t="n">
        <v>0</v>
      </c>
      <c r="DF14" s="171" t="n">
        <v>0</v>
      </c>
    </row>
    <row r="15" customFormat="false" ht="15" hidden="false" customHeight="true" outlineLevel="0" collapsed="false">
      <c r="A15" s="140" t="s">
        <v>55</v>
      </c>
      <c r="C15" s="125" t="n">
        <v>0</v>
      </c>
      <c r="D15" s="125" t="n">
        <v>0</v>
      </c>
      <c r="E15" s="125" t="n">
        <v>0</v>
      </c>
      <c r="F15" s="166" t="n">
        <v>0</v>
      </c>
      <c r="G15" s="166" t="n">
        <v>0</v>
      </c>
      <c r="H15" s="166" t="n">
        <v>0</v>
      </c>
      <c r="I15" s="166" t="n">
        <v>644526.72</v>
      </c>
      <c r="J15" s="166" t="n">
        <v>0</v>
      </c>
      <c r="K15" s="166" t="n">
        <v>0</v>
      </c>
      <c r="L15" s="166" t="n">
        <v>442059.825</v>
      </c>
      <c r="M15" s="166" t="n">
        <v>318951.075</v>
      </c>
      <c r="N15" s="166" t="n">
        <v>0</v>
      </c>
      <c r="O15" s="166" t="n">
        <v>0</v>
      </c>
      <c r="P15" s="166" t="n">
        <v>0</v>
      </c>
      <c r="Q15" s="166" t="n">
        <v>0</v>
      </c>
      <c r="R15" s="166" t="n">
        <v>679001.55</v>
      </c>
      <c r="S15" s="166" t="n">
        <v>0</v>
      </c>
      <c r="T15" s="166" t="n">
        <v>0</v>
      </c>
      <c r="U15" s="166" t="n">
        <v>0</v>
      </c>
      <c r="V15" s="166" t="n">
        <v>0</v>
      </c>
      <c r="W15" s="166" t="n">
        <v>0</v>
      </c>
      <c r="X15" s="166" t="n">
        <v>0</v>
      </c>
      <c r="Y15" s="166" t="n">
        <v>0</v>
      </c>
      <c r="Z15" s="166" t="n">
        <v>0</v>
      </c>
      <c r="AA15" s="166" t="n">
        <v>0</v>
      </c>
      <c r="AB15" s="166" t="n">
        <v>0</v>
      </c>
      <c r="AC15" s="166" t="n">
        <v>0</v>
      </c>
      <c r="AD15" s="166" t="n">
        <v>0</v>
      </c>
      <c r="AE15" s="166" t="n">
        <v>0</v>
      </c>
      <c r="AF15" s="166" t="n">
        <v>620319.48</v>
      </c>
      <c r="AG15" s="166" t="n">
        <v>0</v>
      </c>
      <c r="AH15" s="166" t="n">
        <v>0</v>
      </c>
      <c r="AI15" s="166" t="n">
        <v>0</v>
      </c>
      <c r="AJ15" s="166" t="n">
        <v>0</v>
      </c>
      <c r="AK15" s="166" t="n">
        <v>0</v>
      </c>
      <c r="AL15" s="166" t="n">
        <v>0</v>
      </c>
      <c r="AM15" s="166" t="n">
        <v>0</v>
      </c>
      <c r="AN15" s="166" t="n">
        <v>0</v>
      </c>
      <c r="AO15" s="166" t="n">
        <v>0</v>
      </c>
      <c r="AP15" s="166" t="n">
        <v>0</v>
      </c>
      <c r="AQ15" s="166" t="n">
        <v>0</v>
      </c>
      <c r="AR15" s="166" t="n">
        <v>0</v>
      </c>
      <c r="AS15" s="166" t="n">
        <v>0</v>
      </c>
      <c r="AT15" s="166" t="n">
        <v>0</v>
      </c>
      <c r="AU15" s="166" t="n">
        <v>0</v>
      </c>
      <c r="AV15" s="166" t="n">
        <v>0</v>
      </c>
      <c r="AW15" s="166" t="n">
        <v>0</v>
      </c>
      <c r="AX15" s="166" t="n">
        <v>0</v>
      </c>
      <c r="AY15" s="166" t="n">
        <v>0</v>
      </c>
      <c r="AZ15" s="166" t="n">
        <v>0</v>
      </c>
      <c r="BA15" s="166" t="n">
        <v>0</v>
      </c>
      <c r="BB15" s="166" t="n">
        <v>0</v>
      </c>
      <c r="BC15" s="166" t="n">
        <v>0</v>
      </c>
      <c r="BD15" s="166" t="n">
        <v>0</v>
      </c>
      <c r="BE15" s="166" t="n">
        <v>0</v>
      </c>
      <c r="BF15" s="166" t="n">
        <v>0</v>
      </c>
      <c r="BG15" s="166" t="n">
        <v>0</v>
      </c>
      <c r="BH15" s="166" t="n">
        <v>0</v>
      </c>
      <c r="BI15" s="166" t="n">
        <v>0</v>
      </c>
      <c r="BJ15" s="166" t="n">
        <v>0</v>
      </c>
      <c r="BK15" s="166" t="n">
        <v>0</v>
      </c>
      <c r="BL15" s="166" t="n">
        <v>0</v>
      </c>
      <c r="BM15" s="166" t="n">
        <v>0</v>
      </c>
      <c r="BN15" s="166" t="n">
        <v>0</v>
      </c>
      <c r="BO15" s="166" t="n">
        <v>0</v>
      </c>
      <c r="BP15" s="166" t="n">
        <v>0</v>
      </c>
      <c r="BQ15" s="166" t="n">
        <v>0</v>
      </c>
      <c r="BR15" s="166" t="n">
        <v>0</v>
      </c>
      <c r="BS15" s="166" t="n">
        <v>0</v>
      </c>
      <c r="BT15" s="166" t="n">
        <v>0</v>
      </c>
      <c r="BU15" s="166" t="n">
        <v>0</v>
      </c>
      <c r="BV15" s="166" t="n">
        <v>0</v>
      </c>
      <c r="BW15" s="166" t="n">
        <v>0</v>
      </c>
      <c r="BX15" s="166" t="n">
        <v>0</v>
      </c>
      <c r="BY15" s="166" t="n">
        <v>0</v>
      </c>
      <c r="BZ15" s="166" t="n">
        <v>0</v>
      </c>
      <c r="CA15" s="166" t="n">
        <v>0</v>
      </c>
      <c r="CB15" s="166" t="n">
        <v>0</v>
      </c>
      <c r="CC15" s="166" t="n">
        <v>0</v>
      </c>
      <c r="CD15" s="166" t="n">
        <v>0</v>
      </c>
      <c r="CE15" s="166" t="n">
        <v>0</v>
      </c>
      <c r="CF15" s="166" t="n">
        <v>0</v>
      </c>
      <c r="CG15" s="166" t="n">
        <v>0</v>
      </c>
      <c r="CH15" s="166" t="n">
        <v>0</v>
      </c>
      <c r="CI15" s="166" t="n">
        <v>0</v>
      </c>
      <c r="CJ15" s="166" t="n">
        <v>0</v>
      </c>
      <c r="CK15" s="166" t="n">
        <v>0</v>
      </c>
      <c r="CL15" s="166" t="n">
        <v>0</v>
      </c>
      <c r="CM15" s="166" t="n">
        <v>0</v>
      </c>
      <c r="CN15" s="166" t="n">
        <v>0</v>
      </c>
      <c r="CO15" s="166" t="n">
        <v>0</v>
      </c>
      <c r="CP15" s="166" t="n">
        <v>0</v>
      </c>
      <c r="CQ15" s="166" t="n">
        <v>0</v>
      </c>
      <c r="CR15" s="166" t="n">
        <v>0</v>
      </c>
      <c r="CS15" s="166" t="n">
        <v>0</v>
      </c>
      <c r="CT15" s="166" t="n">
        <v>0</v>
      </c>
      <c r="CU15" s="166" t="n">
        <v>0</v>
      </c>
      <c r="CV15" s="166" t="n">
        <v>0</v>
      </c>
      <c r="CW15" s="166" t="n">
        <v>0</v>
      </c>
      <c r="CX15" s="166" t="n">
        <v>0</v>
      </c>
      <c r="CY15" s="166" t="n">
        <v>0</v>
      </c>
      <c r="CZ15" s="166" t="n">
        <v>0</v>
      </c>
      <c r="DA15" s="166" t="n">
        <v>0</v>
      </c>
      <c r="DB15" s="166" t="n">
        <v>0</v>
      </c>
      <c r="DC15" s="166" t="n">
        <v>0</v>
      </c>
      <c r="DD15" s="166" t="n">
        <v>0</v>
      </c>
      <c r="DE15" s="166" t="n">
        <v>0</v>
      </c>
      <c r="DF15" s="166" t="n">
        <v>0</v>
      </c>
    </row>
    <row r="16" customFormat="false" ht="15" hidden="false" customHeight="true" outlineLevel="0" collapsed="false">
      <c r="A16" s="140" t="s">
        <v>56</v>
      </c>
      <c r="C16" s="170" t="n">
        <v>-1966.5</v>
      </c>
      <c r="D16" s="170" t="n">
        <v>0</v>
      </c>
      <c r="E16" s="170" t="n">
        <v>0</v>
      </c>
      <c r="F16" s="166" t="n">
        <v>0</v>
      </c>
      <c r="G16" s="166" t="n">
        <v>0</v>
      </c>
      <c r="H16" s="166" t="n">
        <v>0</v>
      </c>
      <c r="I16" s="166" t="n">
        <v>-317966.5152</v>
      </c>
      <c r="J16" s="166" t="n">
        <v>0</v>
      </c>
      <c r="K16" s="166" t="n">
        <v>0</v>
      </c>
      <c r="L16" s="166" t="n">
        <v>-218082.847</v>
      </c>
      <c r="M16" s="166" t="n">
        <v>-157349.197</v>
      </c>
      <c r="N16" s="166" t="n">
        <v>0</v>
      </c>
      <c r="O16" s="166" t="n">
        <v>0</v>
      </c>
      <c r="P16" s="166" t="n">
        <v>0</v>
      </c>
      <c r="Q16" s="166" t="n">
        <v>0</v>
      </c>
      <c r="R16" s="166" t="n">
        <v>-1471170.025</v>
      </c>
      <c r="S16" s="166" t="n">
        <v>0</v>
      </c>
      <c r="T16" s="166" t="n">
        <v>0</v>
      </c>
      <c r="U16" s="166" t="n">
        <v>0</v>
      </c>
      <c r="V16" s="166" t="n">
        <v>0</v>
      </c>
      <c r="W16" s="166" t="n">
        <v>0</v>
      </c>
      <c r="X16" s="166" t="n">
        <v>0</v>
      </c>
      <c r="Y16" s="166" t="n">
        <v>0</v>
      </c>
      <c r="Z16" s="166" t="n">
        <v>0</v>
      </c>
      <c r="AA16" s="166" t="n">
        <v>0</v>
      </c>
      <c r="AB16" s="166" t="n">
        <v>0</v>
      </c>
      <c r="AC16" s="166" t="n">
        <v>0</v>
      </c>
      <c r="AD16" s="166" t="n">
        <v>0</v>
      </c>
      <c r="AE16" s="166" t="n">
        <v>0</v>
      </c>
      <c r="AF16" s="166" t="n">
        <v>-1344025.54</v>
      </c>
      <c r="AG16" s="166" t="n">
        <v>0</v>
      </c>
      <c r="AH16" s="166" t="n">
        <v>0</v>
      </c>
      <c r="AI16" s="166" t="n">
        <v>0</v>
      </c>
      <c r="AJ16" s="166" t="n">
        <v>0</v>
      </c>
      <c r="AK16" s="166" t="n">
        <v>0</v>
      </c>
      <c r="AL16" s="166" t="n">
        <v>0</v>
      </c>
      <c r="AM16" s="166" t="n">
        <v>0</v>
      </c>
      <c r="AN16" s="166" t="n">
        <v>0</v>
      </c>
      <c r="AO16" s="166" t="n">
        <v>0</v>
      </c>
      <c r="AP16" s="166" t="n">
        <v>0</v>
      </c>
      <c r="AQ16" s="166" t="n">
        <v>0</v>
      </c>
      <c r="AR16" s="166" t="n">
        <v>0</v>
      </c>
      <c r="AS16" s="166" t="n">
        <v>0</v>
      </c>
      <c r="AT16" s="166" t="n">
        <v>0</v>
      </c>
      <c r="AU16" s="166" t="n">
        <v>0</v>
      </c>
      <c r="AV16" s="166" t="n">
        <v>0</v>
      </c>
      <c r="AW16" s="166" t="n">
        <v>0</v>
      </c>
      <c r="AX16" s="166" t="n">
        <v>0</v>
      </c>
      <c r="AY16" s="166" t="n">
        <v>0</v>
      </c>
      <c r="AZ16" s="166" t="n">
        <v>0</v>
      </c>
      <c r="BA16" s="166" t="n">
        <v>0</v>
      </c>
      <c r="BB16" s="166" t="n">
        <v>0</v>
      </c>
      <c r="BC16" s="166" t="n">
        <v>0</v>
      </c>
      <c r="BD16" s="166" t="n">
        <v>0</v>
      </c>
      <c r="BE16" s="166" t="n">
        <v>0</v>
      </c>
      <c r="BF16" s="166" t="n">
        <v>0</v>
      </c>
      <c r="BG16" s="166" t="n">
        <v>0</v>
      </c>
      <c r="BH16" s="166" t="n">
        <v>0</v>
      </c>
      <c r="BI16" s="166" t="n">
        <v>0</v>
      </c>
      <c r="BJ16" s="166" t="n">
        <v>0</v>
      </c>
      <c r="BK16" s="166" t="n">
        <v>0</v>
      </c>
      <c r="BL16" s="166" t="n">
        <v>0</v>
      </c>
      <c r="BM16" s="166" t="n">
        <v>0</v>
      </c>
      <c r="BN16" s="166" t="n">
        <v>0</v>
      </c>
      <c r="BO16" s="166" t="n">
        <v>0</v>
      </c>
      <c r="BP16" s="166" t="n">
        <v>0</v>
      </c>
      <c r="BQ16" s="166" t="n">
        <v>0</v>
      </c>
      <c r="BR16" s="166" t="n">
        <v>0</v>
      </c>
      <c r="BS16" s="166" t="n">
        <v>0</v>
      </c>
      <c r="BT16" s="166" t="n">
        <v>0</v>
      </c>
      <c r="BU16" s="166" t="n">
        <v>0</v>
      </c>
      <c r="BV16" s="166" t="n">
        <v>0</v>
      </c>
      <c r="BW16" s="166" t="n">
        <v>0</v>
      </c>
      <c r="BX16" s="166" t="n">
        <v>0</v>
      </c>
      <c r="BY16" s="166" t="n">
        <v>0</v>
      </c>
      <c r="BZ16" s="166" t="n">
        <v>0</v>
      </c>
      <c r="CA16" s="166" t="n">
        <v>0</v>
      </c>
      <c r="CB16" s="166" t="n">
        <v>0</v>
      </c>
      <c r="CC16" s="166" t="n">
        <v>0</v>
      </c>
      <c r="CD16" s="166" t="n">
        <v>0</v>
      </c>
      <c r="CE16" s="166" t="n">
        <v>0</v>
      </c>
      <c r="CF16" s="166" t="n">
        <v>0</v>
      </c>
      <c r="CG16" s="166" t="n">
        <v>0</v>
      </c>
      <c r="CH16" s="166" t="n">
        <v>0</v>
      </c>
      <c r="CI16" s="166" t="n">
        <v>0</v>
      </c>
      <c r="CJ16" s="166" t="n">
        <v>0</v>
      </c>
      <c r="CK16" s="166" t="n">
        <v>0</v>
      </c>
      <c r="CL16" s="166" t="n">
        <v>0</v>
      </c>
      <c r="CM16" s="166" t="n">
        <v>0</v>
      </c>
      <c r="CN16" s="166" t="n">
        <v>0</v>
      </c>
      <c r="CO16" s="166" t="n">
        <v>0</v>
      </c>
      <c r="CP16" s="166" t="n">
        <v>0</v>
      </c>
      <c r="CQ16" s="166" t="n">
        <v>0</v>
      </c>
      <c r="CR16" s="166" t="n">
        <v>0</v>
      </c>
      <c r="CS16" s="166" t="n">
        <v>0</v>
      </c>
      <c r="CT16" s="166" t="n">
        <v>0</v>
      </c>
      <c r="CU16" s="166" t="n">
        <v>0</v>
      </c>
      <c r="CV16" s="166" t="n">
        <v>0</v>
      </c>
      <c r="CW16" s="166" t="n">
        <v>0</v>
      </c>
      <c r="CX16" s="166" t="n">
        <v>0</v>
      </c>
      <c r="CY16" s="166" t="n">
        <v>0</v>
      </c>
      <c r="CZ16" s="166" t="n">
        <v>0</v>
      </c>
      <c r="DA16" s="166" t="n">
        <v>0</v>
      </c>
      <c r="DB16" s="166" t="n">
        <v>0</v>
      </c>
      <c r="DC16" s="166" t="n">
        <v>0</v>
      </c>
      <c r="DD16" s="166" t="n">
        <v>0</v>
      </c>
      <c r="DE16" s="166" t="n">
        <v>0</v>
      </c>
      <c r="DF16" s="166" t="n">
        <v>0</v>
      </c>
    </row>
    <row r="17" customFormat="false" ht="15" hidden="false" customHeight="true" outlineLevel="0" collapsed="false">
      <c r="A17" s="121" t="s">
        <v>57</v>
      </c>
      <c r="C17" s="170" t="n">
        <f aca="false">C8+C9+C10+C11+C12+C14+C15+C16</f>
        <v>218752.81</v>
      </c>
      <c r="D17" s="170" t="n">
        <f aca="false">D8+D9+D10+D11+D12+D14+D15+D16</f>
        <v>-51003.4699999997</v>
      </c>
      <c r="E17" s="170" t="n">
        <f aca="false">E8+E9+E10+E11+E12+E14+E15+E16</f>
        <v>594184.52</v>
      </c>
      <c r="F17" s="172" t="n">
        <f aca="false">F8+F9+F10+F11+F12+F14+F15+F16</f>
        <v>468885.062220243</v>
      </c>
      <c r="G17" s="172" t="n">
        <f aca="false">G8+G9+G10+G11+G12+G14+G15+G16</f>
        <v>468885.061577853</v>
      </c>
      <c r="H17" s="172" t="n">
        <f aca="false">H8+H9+H10+H11+H12+H14+H15+H16</f>
        <v>468885.064460973</v>
      </c>
      <c r="I17" s="172" t="n">
        <f aca="false">I8+I9+I10+I11+I12+I14+I15+I16</f>
        <v>959257.390269293</v>
      </c>
      <c r="J17" s="172" t="n">
        <f aca="false">J8+J9+J10+J11+J12+J14+J15+J16</f>
        <v>632697.193414873</v>
      </c>
      <c r="K17" s="172" t="n">
        <f aca="false">K8+K9+K10+K11+K12+K14+K15+K16</f>
        <v>632697.191315133</v>
      </c>
      <c r="L17" s="172" t="n">
        <f aca="false">L8+L9+L10+L11+L12+L14+L15+L16</f>
        <v>999101.928826481</v>
      </c>
      <c r="M17" s="172" t="n">
        <f aca="false">M8+M9+M10+M11+M12+M14+M15+M16</f>
        <v>1080952.85657232</v>
      </c>
      <c r="N17" s="172" t="n">
        <f aca="false">N8+N9+N10+N11+N12+N14+N15+N16</f>
        <v>774577.772324943</v>
      </c>
      <c r="O17" s="172" t="n">
        <f aca="false">O8+O9+O10+O11+O12+O14+O15+O16</f>
        <v>774577.770537984</v>
      </c>
      <c r="P17" s="172" t="n">
        <f aca="false">P8+P9+P10+P11+P12+P14+P15+P16</f>
        <v>774577.776024773</v>
      </c>
      <c r="Q17" s="172" t="n">
        <f aca="false">Q8+Q9+Q10+Q11+Q12+Q14+Q15+Q16</f>
        <v>774577.779704433</v>
      </c>
      <c r="R17" s="172" t="n">
        <f aca="false">R8+R9+R10+R11+R12+R14+R15+R16</f>
        <v>154983.50195065</v>
      </c>
      <c r="S17" s="172" t="n">
        <f aca="false">S8+S9+S10+S11+S12+S14+S15+S16</f>
        <v>947151.983524021</v>
      </c>
      <c r="T17" s="172" t="n">
        <f aca="false">T8+T9+T10+T11+T12+T14+T15+T16</f>
        <v>1105813.85892342</v>
      </c>
      <c r="U17" s="172" t="n">
        <f aca="false">U8+U9+U10+U11+U12+U14+U15+U16</f>
        <v>867633.413629646</v>
      </c>
      <c r="V17" s="172" t="n">
        <f aca="false">V8+V9+V10+V11+V12+V14+V15+V16</f>
        <v>601954.6547104</v>
      </c>
      <c r="W17" s="172" t="n">
        <f aca="false">W8+W9+W10+W11+W12+W14+W15+W16</f>
        <v>601954.6587094</v>
      </c>
      <c r="X17" s="172" t="n">
        <f aca="false">X8+X9+X10+X11+X12+X14+X15+X16</f>
        <v>623764.9676489</v>
      </c>
      <c r="Y17" s="172" t="n">
        <f aca="false">Y8+Y9+Y10+Y11+Y12+Y14+Y15+Y16</f>
        <v>580144.3504419</v>
      </c>
      <c r="Z17" s="172" t="n">
        <f aca="false">Z8+Z9+Z10+Z11+Z12+Z14+Z15+Z16</f>
        <v>580144.3529119</v>
      </c>
      <c r="AA17" s="172" t="n">
        <f aca="false">AA8+AA9+AA10+AA11+AA12+AA14+AA15+AA16</f>
        <v>580144.3498339</v>
      </c>
      <c r="AB17" s="172" t="n">
        <f aca="false">AB8+AB9+AB10+AB11+AB12+AB14+AB15+AB16</f>
        <v>580144.3588529</v>
      </c>
      <c r="AC17" s="172" t="n">
        <f aca="false">AC8+AC9+AC10+AC11+AC12+AC14+AC15+AC16</f>
        <v>580144.357590901</v>
      </c>
      <c r="AD17" s="172" t="n">
        <f aca="false">AD8+AD9+AD10+AD11+AD12+AD14+AD15+AD16</f>
        <v>662165.3695031</v>
      </c>
      <c r="AE17" s="172" t="n">
        <f aca="false">AE8+AE9+AE10+AE11+AE12+AE14+AE15+AE16</f>
        <v>498123.3344767</v>
      </c>
      <c r="AF17" s="172" t="n">
        <f aca="false">AF8+AF9+AF10+AF11+AF12+AF14+AF15+AF16</f>
        <v>-67923.0774102029</v>
      </c>
      <c r="AG17" s="172" t="n">
        <f aca="false">AG8+AG9+AG10+AG11+AG12+AG14+AG15+AG16</f>
        <v>655782.981250797</v>
      </c>
      <c r="AH17" s="172" t="n">
        <f aca="false">AH8+AH9+AH10+AH11+AH12+AH14+AH15+AH16</f>
        <v>655782.976043797</v>
      </c>
      <c r="AI17" s="172" t="n">
        <f aca="false">AI8+AI9+AI10+AI11+AI12+AI14+AI15+AI16</f>
        <v>655782.975101797</v>
      </c>
      <c r="AJ17" s="172" t="n">
        <f aca="false">AJ8+AJ9+AJ10+AJ11+AJ12+AJ14+AJ15+AJ16</f>
        <v>783779.105710297</v>
      </c>
      <c r="AK17" s="172" t="n">
        <f aca="false">AK8+AK9+AK10+AK11+AK12+AK14+AK15+AK16</f>
        <v>554452.709800521</v>
      </c>
      <c r="AL17" s="172" t="n">
        <f aca="false">AL8+AL9+AL10+AL11+AL12+AL14+AL15+AL16</f>
        <v>813103.432065321</v>
      </c>
      <c r="AM17" s="172" t="n">
        <f aca="false">AM8+AM9+AM10+AM11+AM12+AM14+AM15+AM16</f>
        <v>390640.582555881</v>
      </c>
      <c r="AN17" s="172" t="n">
        <f aca="false">AN8+AN9+AN10+AN11+AN12+AN14+AN15+AN16</f>
        <v>390640.588328881</v>
      </c>
      <c r="AO17" s="172" t="n">
        <f aca="false">AO8+AO9+AO10+AO11+AO12+AO14+AO15+AO16</f>
        <v>486019.649869181</v>
      </c>
      <c r="AP17" s="172" t="n">
        <f aca="false">AP8+AP9+AP10+AP11+AP12+AP14+AP15+AP16</f>
        <v>330233.846573524</v>
      </c>
      <c r="AQ17" s="172" t="n">
        <f aca="false">AQ8+AQ9+AQ10+AQ11+AQ12+AQ14+AQ15+AQ16</f>
        <v>330233.845461524</v>
      </c>
      <c r="AR17" s="172" t="n">
        <f aca="false">AR8+AR9+AR10+AR11+AR12+AR14+AR15+AR16</f>
        <v>330233.849225524</v>
      </c>
      <c r="AS17" s="172" t="n">
        <f aca="false">AS8+AS9+AS10+AS11+AS12+AS14+AS15+AS16</f>
        <v>330233.844645524</v>
      </c>
      <c r="AT17" s="172" t="n">
        <f aca="false">AT8+AT9+AT10+AT11+AT12+AT14+AT15+AT16</f>
        <v>330233.839951524</v>
      </c>
      <c r="AU17" s="172" t="n">
        <f aca="false">AU8+AU9+AU10+AU11+AU12+AU14+AU15+AU16</f>
        <v>602719.433748524</v>
      </c>
      <c r="AV17" s="172" t="n">
        <f aca="false">AV8+AV9+AV10+AV11+AV12+AV14+AV15+AV16</f>
        <v>157659.645521097</v>
      </c>
      <c r="AW17" s="172" t="n">
        <f aca="false">AW8+AW9+AW10+AW11+AW12+AW14+AW15+AW16</f>
        <v>157659.644321097</v>
      </c>
      <c r="AX17" s="172" t="n">
        <f aca="false">AX8+AX9+AX10+AX11+AX12+AX14+AX15+AX16</f>
        <v>157659.639297097</v>
      </c>
      <c r="AY17" s="172" t="n">
        <f aca="false">AY8+AY9+AY10+AY11+AY12+AY14+AY15+AY16</f>
        <v>157659.645169097</v>
      </c>
      <c r="AZ17" s="172" t="n">
        <f aca="false">AZ8+AZ9+AZ10+AZ11+AZ12+AZ14+AZ15+AZ16</f>
        <v>157659.644233097</v>
      </c>
      <c r="BA17" s="172" t="n">
        <f aca="false">BA8+BA9+BA10+BA11+BA12+BA14+BA15+BA16</f>
        <v>157659.641729097</v>
      </c>
      <c r="BB17" s="172" t="n">
        <f aca="false">BB8+BB9+BB10+BB11+BB12+BB14+BB15+BB16</f>
        <v>157659.640473097</v>
      </c>
      <c r="BC17" s="172" t="n">
        <f aca="false">BC8+BC9+BC10+BC11+BC12+BC14+BC15+BC16</f>
        <v>157659.637913097</v>
      </c>
      <c r="BD17" s="172" t="n">
        <f aca="false">BD8+BD9+BD10+BD11+BD12+BD14+BD15+BD16</f>
        <v>157659.637601097</v>
      </c>
      <c r="BE17" s="172" t="n">
        <f aca="false">BE8+BE9+BE10+BE11+BE12+BE14+BE15+BE16</f>
        <v>157659.641617094</v>
      </c>
      <c r="BF17" s="172" t="n">
        <f aca="false">BF8+BF9+BF10+BF11+BF12+BF14+BF15+BF16</f>
        <v>157659.645201094</v>
      </c>
      <c r="BG17" s="172" t="n">
        <f aca="false">BG8+BG9+BG10+BG11+BG12+BG14+BG15+BG16</f>
        <v>157659.636753094</v>
      </c>
      <c r="BH17" s="172" t="n">
        <f aca="false">BH8+BH9+BH10+BH11+BH12+BH14+BH15+BH16</f>
        <v>157659.636361094</v>
      </c>
      <c r="BI17" s="172" t="n">
        <f aca="false">BI8+BI9+BI10+BI11+BI12+BI14+BI15+BI16</f>
        <v>406595.912016293</v>
      </c>
      <c r="BJ17" s="172" t="n">
        <f aca="false">BJ8+BJ9+BJ10+BJ11+BJ12+BJ14+BJ15+BJ16</f>
        <v>0</v>
      </c>
      <c r="BK17" s="172" t="n">
        <f aca="false">BK8+BK9+BK10+BK11+BK12+BK14+BK15+BK16</f>
        <v>0</v>
      </c>
      <c r="BL17" s="172" t="n">
        <f aca="false">BL8+BL9+BL10+BL11+BL12+BL14+BL15+BL16</f>
        <v>0</v>
      </c>
      <c r="BM17" s="172" t="n">
        <f aca="false">BM8+BM9+BM10+BM11+BM12+BM14+BM15+BM16</f>
        <v>0</v>
      </c>
      <c r="BN17" s="172" t="n">
        <f aca="false">BN8+BN9+BN10+BN11+BN12+BN14+BN15+BN16</f>
        <v>0</v>
      </c>
      <c r="BO17" s="172" t="n">
        <f aca="false">BO8+BO9+BO10+BO11+BO12+BO14+BO15+BO16</f>
        <v>0</v>
      </c>
      <c r="BP17" s="172" t="n">
        <f aca="false">BP8+BP9+BP10+BP11+BP12+BP14+BP15+BP16</f>
        <v>0</v>
      </c>
      <c r="BQ17" s="172" t="n">
        <f aca="false">BQ8+BQ9+BQ10+BQ11+BQ12+BQ14+BQ15+BQ16</f>
        <v>0</v>
      </c>
      <c r="BR17" s="172" t="n">
        <f aca="false">BR8+BR9+BR10+BR11+BR12+BR14+BR15+BR16</f>
        <v>0</v>
      </c>
      <c r="BS17" s="172" t="n">
        <f aca="false">BS8+BS9+BS10+BS11+BS12+BS14+BS15+BS16</f>
        <v>0</v>
      </c>
      <c r="BT17" s="172" t="n">
        <f aca="false">BT8+BT9+BT10+BT11+BT12+BT14+BT15+BT16</f>
        <v>0</v>
      </c>
      <c r="BU17" s="172" t="n">
        <f aca="false">BU8+BU9+BU10+BU11+BU12+BU14+BU15+BU16</f>
        <v>0</v>
      </c>
      <c r="BV17" s="172" t="n">
        <f aca="false">BV8+BV9+BV10+BV11+BV12+BV14+BV15+BV16</f>
        <v>0</v>
      </c>
      <c r="BW17" s="172" t="n">
        <f aca="false">BW8+BW9+BW10+BW11+BW12+BW14+BW15+BW16</f>
        <v>0</v>
      </c>
      <c r="BX17" s="172" t="n">
        <f aca="false">BX8+BX9+BX10+BX11+BX12+BX14+BX15+BX16</f>
        <v>0</v>
      </c>
      <c r="BY17" s="172" t="n">
        <f aca="false">BY8+BY9+BY10+BY11+BY12+BY14+BY15+BY16</f>
        <v>0</v>
      </c>
      <c r="BZ17" s="172" t="n">
        <f aca="false">BZ8+BZ9+BZ10+BZ11+BZ12+BZ14+BZ15+BZ16</f>
        <v>0</v>
      </c>
      <c r="CA17" s="172" t="n">
        <f aca="false">CA8+CA9+CA10+CA11+CA12+CA14+CA15+CA16</f>
        <v>0</v>
      </c>
      <c r="CB17" s="172" t="n">
        <f aca="false">CB8+CB9+CB10+CB11+CB12+CB14+CB15+CB16</f>
        <v>0</v>
      </c>
      <c r="CC17" s="172" t="n">
        <f aca="false">CC8+CC9+CC10+CC11+CC12+CC14+CC15+CC16</f>
        <v>0</v>
      </c>
      <c r="CD17" s="172" t="n">
        <f aca="false">CD8+CD9+CD10+CD11+CD12+CD14+CD15+CD16</f>
        <v>0</v>
      </c>
      <c r="CE17" s="172" t="n">
        <f aca="false">CE8+CE9+CE10+CE11+CE12+CE14+CE15+CE16</f>
        <v>0</v>
      </c>
      <c r="CF17" s="172" t="n">
        <f aca="false">CF8+CF9+CF10+CF11+CF12+CF14+CF15+CF16</f>
        <v>0</v>
      </c>
      <c r="CG17" s="172" t="n">
        <f aca="false">CG8+CG9+CG10+CG11+CG12+CG14+CG15+CG16</f>
        <v>0</v>
      </c>
      <c r="CH17" s="172" t="n">
        <f aca="false">CH8+CH9+CH10+CH11+CH12+CH14+CH15+CH16</f>
        <v>0</v>
      </c>
      <c r="CI17" s="172" t="n">
        <f aca="false">CI8+CI9+CI10+CI11+CI12+CI14+CI15+CI16</f>
        <v>0</v>
      </c>
      <c r="CJ17" s="172" t="n">
        <f aca="false">CJ8+CJ9+CJ10+CJ11+CJ12+CJ14+CJ15+CJ16</f>
        <v>0</v>
      </c>
      <c r="CK17" s="172" t="n">
        <f aca="false">CK8+CK9+CK10+CK11+CK12+CK14+CK15+CK16</f>
        <v>0</v>
      </c>
      <c r="CL17" s="172" t="n">
        <f aca="false">CL8+CL9+CL10+CL11+CL12+CL14+CL15+CL16</f>
        <v>0</v>
      </c>
      <c r="CM17" s="172" t="n">
        <f aca="false">CM8+CM9+CM10+CM11+CM12+CM14+CM15+CM16</f>
        <v>0</v>
      </c>
      <c r="CN17" s="172" t="n">
        <f aca="false">CN8+CN9+CN10+CN11+CN12+CN14+CN15+CN16</f>
        <v>0</v>
      </c>
      <c r="CO17" s="172" t="n">
        <f aca="false">CO8+CO9+CO10+CO11+CO12+CO14+CO15+CO16</f>
        <v>0</v>
      </c>
      <c r="CP17" s="172" t="n">
        <f aca="false">CP8+CP9+CP10+CP11+CP12+CP14+CP15+CP16</f>
        <v>0</v>
      </c>
      <c r="CQ17" s="172" t="n">
        <f aca="false">CQ8+CQ9+CQ10+CQ11+CQ12+CQ14+CQ15+CQ16</f>
        <v>0</v>
      </c>
      <c r="CR17" s="172" t="n">
        <f aca="false">CR8+CR9+CR10+CR11+CR12+CR14+CR15+CR16</f>
        <v>0</v>
      </c>
      <c r="CS17" s="172" t="n">
        <f aca="false">CS8+CS9+CS10+CS11+CS12+CS14+CS15+CS16</f>
        <v>0</v>
      </c>
      <c r="CT17" s="172" t="n">
        <f aca="false">CT8+CT9+CT10+CT11+CT12+CT14+CT15+CT16</f>
        <v>0</v>
      </c>
      <c r="CU17" s="172" t="n">
        <f aca="false">CU8+CU9+CU10+CU11+CU12+CU14+CU15+CU16</f>
        <v>0</v>
      </c>
      <c r="CV17" s="172" t="n">
        <f aca="false">CV8+CV9+CV10+CV11+CV12+CV14+CV15+CV16</f>
        <v>0</v>
      </c>
      <c r="CW17" s="172" t="n">
        <f aca="false">CW8+CW9+CW10+CW11+CW12+CW14+CW15+CW16</f>
        <v>0</v>
      </c>
      <c r="CX17" s="172" t="n">
        <f aca="false">CX8+CX9+CX10+CX11+CX12+CX14+CX15+CX16</f>
        <v>0</v>
      </c>
      <c r="CY17" s="172" t="n">
        <f aca="false">CY8+CY9+CY10+CY11+CY12+CY14+CY15+CY16</f>
        <v>0</v>
      </c>
      <c r="CZ17" s="172" t="n">
        <f aca="false">CZ8+CZ9+CZ10+CZ11+CZ12+CZ14+CZ15+CZ16</f>
        <v>0</v>
      </c>
      <c r="DA17" s="172" t="n">
        <f aca="false">DA8+DA9+DA10+DA11+DA12+DA14+DA15+DA16</f>
        <v>0</v>
      </c>
      <c r="DB17" s="172" t="n">
        <f aca="false">DB8+DB9+DB10+DB11+DB12+DB14+DB15+DB16</f>
        <v>0</v>
      </c>
      <c r="DC17" s="172" t="n">
        <f aca="false">DC8+DC9+DC10+DC11+DC12+DC14+DC15+DC16</f>
        <v>0</v>
      </c>
      <c r="DD17" s="172" t="n">
        <f aca="false">DD8+DD9+DD10+DD11+DD12+DD14+DD15+DD16</f>
        <v>0</v>
      </c>
      <c r="DE17" s="172" t="n">
        <f aca="false">DE8+DE9+DE10+DE11+DE12+DE14+DE15+DE16</f>
        <v>0</v>
      </c>
      <c r="DF17" s="172" t="n">
        <f aca="false">DF8+DF9+DF10+DF11+DF12+DF14+DF15+DF16</f>
        <v>0</v>
      </c>
    </row>
    <row r="18" customFormat="false" ht="15" hidden="false" customHeight="true" outlineLevel="0" collapsed="false">
      <c r="A18" s="120" t="s">
        <v>58</v>
      </c>
      <c r="C18" s="173" t="n">
        <f aca="false">IFERROR(C17/C13,0)</f>
        <v>0.150471045017236</v>
      </c>
      <c r="D18" s="173" t="n">
        <f aca="false">IFERROR(D17/D13,0)</f>
        <v>-0.0168744917256745</v>
      </c>
      <c r="E18" s="173" t="n">
        <f aca="false">IFERROR(E17/E13,0)</f>
        <v>0.222356457869786</v>
      </c>
      <c r="F18" s="173" t="n">
        <f aca="false">IFERROR(F17/F13,0)</f>
        <v>0.105264113664828</v>
      </c>
      <c r="G18" s="173" t="n">
        <f aca="false">IFERROR(G17/G13,0)</f>
        <v>0.100893494681087</v>
      </c>
      <c r="H18" s="173" t="n">
        <f aca="false">IFERROR(H17/H13,0)</f>
        <v>0.0980201268401047</v>
      </c>
      <c r="I18" s="173" t="n">
        <f aca="false">IFERROR(I17/I13,0)</f>
        <v>0.167309905929422</v>
      </c>
      <c r="J18" s="173" t="n">
        <f aca="false">IFERROR(J17/J13,0)</f>
        <v>0.107365807007325</v>
      </c>
      <c r="K18" s="173" t="n">
        <f aca="false">IFERROR(K17/K13,0)</f>
        <v>0.105704075939302</v>
      </c>
      <c r="L18" s="173" t="n">
        <f aca="false">IFERROR(L17/L13,0)</f>
        <v>0.150814779277228</v>
      </c>
      <c r="M18" s="173" t="n">
        <f aca="false">IFERROR(M17/M13,0)</f>
        <v>0.148792647101115</v>
      </c>
      <c r="N18" s="173" t="n">
        <f aca="false">IFERROR(N17/N13,0)</f>
        <v>0.110926259195399</v>
      </c>
      <c r="O18" s="173" t="n">
        <f aca="false">IFERROR(O17/O13,0)</f>
        <v>0.108025800800876</v>
      </c>
      <c r="P18" s="173" t="n">
        <f aca="false">IFERROR(P17/P13,0)</f>
        <v>0.106087748456871</v>
      </c>
      <c r="Q18" s="173" t="n">
        <f aca="false">IFERROR(Q17/Q13,0)</f>
        <v>0.105058015157573</v>
      </c>
      <c r="R18" s="173" t="n">
        <f aca="false">IFERROR(R17/R13,0)</f>
        <v>0.0191094371678703</v>
      </c>
      <c r="S18" s="173" t="n">
        <f aca="false">IFERROR(S17/S13,0)</f>
        <v>0.116048713226721</v>
      </c>
      <c r="T18" s="173" t="n">
        <f aca="false">IFERROR(T17/T13,0)</f>
        <v>0.135680955894734</v>
      </c>
      <c r="U18" s="173" t="n">
        <f aca="false">IFERROR(U17/U13,0)</f>
        <v>0.11682812020011</v>
      </c>
      <c r="V18" s="173" t="n">
        <f aca="false">IFERROR(V17/V13,0)</f>
        <v>0.0865663483426912</v>
      </c>
      <c r="W18" s="173" t="n">
        <f aca="false">IFERROR(W17/W13,0)</f>
        <v>0.0865764886943788</v>
      </c>
      <c r="X18" s="173" t="n">
        <f aca="false">IFERROR(X17/X13,0)</f>
        <v>0.0909845839415544</v>
      </c>
      <c r="Y18" s="173" t="n">
        <f aca="false">IFERROR(Y17/Y13,0)</f>
        <v>0.0879482813665944</v>
      </c>
      <c r="Z18" s="173" t="n">
        <f aca="false">IFERROR(Z17/Z13,0)</f>
        <v>0.0912437201677728</v>
      </c>
      <c r="AA18" s="173" t="n">
        <f aca="false">IFERROR(AA17/AA13,0)</f>
        <v>0.0957144398553047</v>
      </c>
      <c r="AB18" s="173" t="n">
        <f aca="false">IFERROR(AB17/AB13,0)</f>
        <v>0.101377381818003</v>
      </c>
      <c r="AC18" s="173" t="n">
        <f aca="false">IFERROR(AC17/AC13,0)</f>
        <v>0.10825203667329</v>
      </c>
      <c r="AD18" s="173" t="n">
        <f aca="false">IFERROR(AD17/AD13,0)</f>
        <v>0.132814167423613</v>
      </c>
      <c r="AE18" s="173" t="n">
        <f aca="false">IFERROR(AE17/AE13,0)</f>
        <v>0.115069804421248</v>
      </c>
      <c r="AF18" s="173" t="n">
        <f aca="false">IFERROR(AF17/AF13,0)</f>
        <v>-0.0159649876760295</v>
      </c>
      <c r="AG18" s="173" t="n">
        <f aca="false">IFERROR(AG17/AG13,0)</f>
        <v>0.190787581519573</v>
      </c>
      <c r="AH18" s="173" t="n">
        <f aca="false">IFERROR(AH17/AH13,0)</f>
        <v>0.188285775793716</v>
      </c>
      <c r="AI18" s="173" t="n">
        <f aca="false">IFERROR(AI17/AI13,0)</f>
        <v>0.186782436451232</v>
      </c>
      <c r="AJ18" s="173" t="n">
        <f aca="false">IFERROR(AJ17/AJ13,0)</f>
        <v>0.222551379831078</v>
      </c>
      <c r="AK18" s="173" t="n">
        <f aca="false">IFERROR(AK17/AK13,0)</f>
        <v>0.157687973771174</v>
      </c>
      <c r="AL18" s="173" t="n">
        <f aca="false">IFERROR(AL17/AL13,0)</f>
        <v>0.232666504249759</v>
      </c>
      <c r="AM18" s="173" t="n">
        <f aca="false">IFERROR(AM17/AM13,0)</f>
        <v>0.11295660264179</v>
      </c>
      <c r="AN18" s="173" t="n">
        <f aca="false">IFERROR(AN17/AN13,0)</f>
        <v>0.114632250921528</v>
      </c>
      <c r="AO18" s="173" t="n">
        <f aca="false">IFERROR(AO17/AO13,0)</f>
        <v>0.145347216709165</v>
      </c>
      <c r="AP18" s="173" t="n">
        <f aca="false">IFERROR(AP17/AP13,0)</f>
        <v>0.108356210750033</v>
      </c>
      <c r="AQ18" s="173" t="n">
        <f aca="false">IFERROR(AQ17/AQ13,0)</f>
        <v>0.110386938641138</v>
      </c>
      <c r="AR18" s="173" t="n">
        <f aca="false">IFERROR(AR17/AR13,0)</f>
        <v>0.113051926701939</v>
      </c>
      <c r="AS18" s="173" t="n">
        <f aca="false">IFERROR(AS17/AS13,0)</f>
        <v>0.116414229400565</v>
      </c>
      <c r="AT18" s="173" t="n">
        <f aca="false">IFERROR(AT17/AT13,0)</f>
        <v>0.12055310865161</v>
      </c>
      <c r="AU18" s="173" t="n">
        <f aca="false">IFERROR(AU17/AU13,0)</f>
        <v>0.229178494664299</v>
      </c>
      <c r="AV18" s="173" t="n">
        <f aca="false">IFERROR(AV17/AV13,0)</f>
        <v>0.0837646775590833</v>
      </c>
      <c r="AW18" s="173" t="n">
        <f aca="false">IFERROR(AW17/AW13,0)</f>
        <v>0.0854545030152378</v>
      </c>
      <c r="AX18" s="173" t="n">
        <f aca="false">IFERROR(AX17/AX13,0)</f>
        <v>0.0880559332951466</v>
      </c>
      <c r="AY18" s="173" t="n">
        <f aca="false">IFERROR(AY17/AY13,0)</f>
        <v>0.0916459953635472</v>
      </c>
      <c r="AZ18" s="173" t="n">
        <f aca="false">IFERROR(AZ17/AZ13,0)</f>
        <v>0.0963403856309272</v>
      </c>
      <c r="BA18" s="173" t="n">
        <f aca="false">IFERROR(BA17/BA13,0)</f>
        <v>0.102293640434331</v>
      </c>
      <c r="BB18" s="173" t="n">
        <f aca="false">IFERROR(BB17/BB13,0)</f>
        <v>0.109702510881483</v>
      </c>
      <c r="BC18" s="173" t="n">
        <f aca="false">IFERROR(BC17/BC13,0)</f>
        <v>0.118832417046729</v>
      </c>
      <c r="BD18" s="173" t="n">
        <f aca="false">IFERROR(BD17/BD13,0)</f>
        <v>0.130013354633857</v>
      </c>
      <c r="BE18" s="173" t="n">
        <f aca="false">IFERROR(BE17/BE13,0)</f>
        <v>0.143673701984803</v>
      </c>
      <c r="BF18" s="173" t="n">
        <f aca="false">IFERROR(BF17/BF13,0)</f>
        <v>0.160366035192509</v>
      </c>
      <c r="BG18" s="173" t="n">
        <f aca="false">IFERROR(BG17/BG13,0)</f>
        <v>0.180792980753182</v>
      </c>
      <c r="BH18" s="173" t="n">
        <f aca="false">IFERROR(BH17/BH13,0)</f>
        <v>0.205874369808341</v>
      </c>
      <c r="BI18" s="173" t="n">
        <f aca="false">IFERROR(BI17/BI13,0)</f>
        <v>0.610641055206121</v>
      </c>
      <c r="BJ18" s="173" t="n">
        <f aca="false">IFERROR(BJ17/BJ13,0)</f>
        <v>0</v>
      </c>
      <c r="BK18" s="173" t="n">
        <f aca="false">IFERROR(BK17/BK13,0)</f>
        <v>0</v>
      </c>
      <c r="BL18" s="173" t="n">
        <f aca="false">IFERROR(BL17/BL13,0)</f>
        <v>0</v>
      </c>
      <c r="BM18" s="173" t="n">
        <f aca="false">IFERROR(BM17/BM13,0)</f>
        <v>0</v>
      </c>
      <c r="BN18" s="173" t="n">
        <f aca="false">IFERROR(BN17/BN13,0)</f>
        <v>0</v>
      </c>
      <c r="BO18" s="173" t="n">
        <f aca="false">IFERROR(BO17/BO13,0)</f>
        <v>0</v>
      </c>
      <c r="BP18" s="173" t="n">
        <f aca="false">IFERROR(BP17/BP13,0)</f>
        <v>0</v>
      </c>
      <c r="BQ18" s="173" t="n">
        <f aca="false">IFERROR(BQ17/BQ13,0)</f>
        <v>0</v>
      </c>
      <c r="BR18" s="173" t="n">
        <f aca="false">IFERROR(BR17/BR13,0)</f>
        <v>0</v>
      </c>
      <c r="BS18" s="173" t="n">
        <f aca="false">IFERROR(BS17/BS13,0)</f>
        <v>0</v>
      </c>
      <c r="BT18" s="173" t="n">
        <f aca="false">IFERROR(BT17/BT13,0)</f>
        <v>0</v>
      </c>
      <c r="BU18" s="173" t="n">
        <f aca="false">IFERROR(BU17/BU13,0)</f>
        <v>0</v>
      </c>
      <c r="BV18" s="173" t="n">
        <f aca="false">IFERROR(BV17/BV13,0)</f>
        <v>0</v>
      </c>
      <c r="BW18" s="173" t="n">
        <f aca="false">IFERROR(BW17/BW13,0)</f>
        <v>0</v>
      </c>
      <c r="BX18" s="173" t="n">
        <f aca="false">IFERROR(BX17/BX13,0)</f>
        <v>0</v>
      </c>
      <c r="BY18" s="173" t="n">
        <f aca="false">IFERROR(BY17/BY13,0)</f>
        <v>0</v>
      </c>
      <c r="BZ18" s="173" t="n">
        <f aca="false">IFERROR(BZ17/BZ13,0)</f>
        <v>0</v>
      </c>
      <c r="CA18" s="173" t="n">
        <f aca="false">IFERROR(CA17/CA13,0)</f>
        <v>0</v>
      </c>
      <c r="CB18" s="173" t="n">
        <f aca="false">IFERROR(CB17/CB13,0)</f>
        <v>0</v>
      </c>
      <c r="CC18" s="173" t="n">
        <f aca="false">IFERROR(CC17/CC13,0)</f>
        <v>0</v>
      </c>
      <c r="CD18" s="173" t="n">
        <f aca="false">IFERROR(CD17/CD13,0)</f>
        <v>0</v>
      </c>
      <c r="CE18" s="173" t="n">
        <f aca="false">IFERROR(CE17/CE13,0)</f>
        <v>0</v>
      </c>
      <c r="CF18" s="173" t="n">
        <f aca="false">IFERROR(CF17/CF13,0)</f>
        <v>0</v>
      </c>
      <c r="CG18" s="173" t="n">
        <f aca="false">IFERROR(CG17/CG13,0)</f>
        <v>0</v>
      </c>
      <c r="CH18" s="173" t="n">
        <f aca="false">IFERROR(CH17/CH13,0)</f>
        <v>0</v>
      </c>
      <c r="CI18" s="173" t="n">
        <f aca="false">IFERROR(CI17/CI13,0)</f>
        <v>0</v>
      </c>
      <c r="CJ18" s="173" t="n">
        <f aca="false">IFERROR(CJ17/CJ13,0)</f>
        <v>0</v>
      </c>
      <c r="CK18" s="173" t="n">
        <f aca="false">IFERROR(CK17/CK13,0)</f>
        <v>0</v>
      </c>
      <c r="CL18" s="173" t="n">
        <f aca="false">IFERROR(CL17/CL13,0)</f>
        <v>0</v>
      </c>
      <c r="CM18" s="173" t="n">
        <f aca="false">IFERROR(CM17/CM13,0)</f>
        <v>0</v>
      </c>
      <c r="CN18" s="173" t="n">
        <f aca="false">IFERROR(CN17/CN13,0)</f>
        <v>0</v>
      </c>
      <c r="CO18" s="173" t="n">
        <f aca="false">IFERROR(CO17/CO13,0)</f>
        <v>0</v>
      </c>
      <c r="CP18" s="173" t="n">
        <f aca="false">IFERROR(CP17/CP13,0)</f>
        <v>0</v>
      </c>
      <c r="CQ18" s="173" t="n">
        <f aca="false">IFERROR(CQ17/CQ13,0)</f>
        <v>0</v>
      </c>
      <c r="CR18" s="173" t="n">
        <f aca="false">IFERROR(CR17/CR13,0)</f>
        <v>0</v>
      </c>
      <c r="CS18" s="173" t="n">
        <f aca="false">IFERROR(CS17/CS13,0)</f>
        <v>0</v>
      </c>
      <c r="CT18" s="173" t="n">
        <f aca="false">IFERROR(CT17/CT13,0)</f>
        <v>0</v>
      </c>
      <c r="CU18" s="173" t="n">
        <f aca="false">IFERROR(CU17/CU13,0)</f>
        <v>0</v>
      </c>
      <c r="CV18" s="173" t="n">
        <f aca="false">IFERROR(CV17/CV13,0)</f>
        <v>0</v>
      </c>
      <c r="CW18" s="173" t="n">
        <f aca="false">IFERROR(CW17/CW13,0)</f>
        <v>0</v>
      </c>
      <c r="CX18" s="173" t="n">
        <f aca="false">IFERROR(CX17/CX13,0)</f>
        <v>0</v>
      </c>
      <c r="CY18" s="173" t="n">
        <f aca="false">IFERROR(CY17/CY13,0)</f>
        <v>0</v>
      </c>
      <c r="CZ18" s="173" t="n">
        <f aca="false">IFERROR(CZ17/CZ13,0)</f>
        <v>0</v>
      </c>
      <c r="DA18" s="173" t="n">
        <f aca="false">IFERROR(DA17/DA13,0)</f>
        <v>0</v>
      </c>
      <c r="DB18" s="173" t="n">
        <f aca="false">IFERROR(DB17/DB13,0)</f>
        <v>0</v>
      </c>
      <c r="DC18" s="173" t="n">
        <f aca="false">IFERROR(DC17/DC13,0)</f>
        <v>0</v>
      </c>
      <c r="DD18" s="173" t="n">
        <f aca="false">IFERROR(DD17/DD13,0)</f>
        <v>0</v>
      </c>
      <c r="DE18" s="173" t="n">
        <f aca="false">IFERROR(DE17/DE13,0)</f>
        <v>0</v>
      </c>
      <c r="DF18" s="173" t="n">
        <f aca="false">IFERROR(DF17/DF13,0)</f>
        <v>0</v>
      </c>
    </row>
    <row r="19" customFormat="false" ht="15" hidden="false" customHeight="true" outlineLevel="0" collapsed="false">
      <c r="A19" s="140"/>
      <c r="C19" s="125"/>
      <c r="D19" s="125"/>
      <c r="E19" s="125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</row>
    <row r="20" customFormat="false" ht="15" hidden="false" customHeight="true" outlineLevel="0" collapsed="false">
      <c r="A20" s="140"/>
      <c r="C20" s="125"/>
      <c r="D20" s="125"/>
      <c r="E20" s="125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</row>
    <row r="21" customFormat="false" ht="15" hidden="false" customHeight="true" outlineLevel="0" collapsed="false">
      <c r="A21" s="140" t="s">
        <v>60</v>
      </c>
      <c r="C21" s="125" t="n">
        <v>-144550.9</v>
      </c>
      <c r="D21" s="125" t="n">
        <v>-150672.84</v>
      </c>
      <c r="E21" s="125" t="n">
        <v>-178867.86</v>
      </c>
      <c r="F21" s="166" t="n">
        <v>-164791.666666667</v>
      </c>
      <c r="G21" s="166" t="n">
        <v>-189375</v>
      </c>
      <c r="H21" s="166" t="n">
        <v>-214375</v>
      </c>
      <c r="I21" s="166" t="n">
        <v>-225208.333333333</v>
      </c>
      <c r="J21" s="166" t="n">
        <v>-225208.333333333</v>
      </c>
      <c r="K21" s="166" t="n">
        <v>-225208.333333333</v>
      </c>
      <c r="L21" s="166" t="n">
        <v>-246041.666666667</v>
      </c>
      <c r="M21" s="166" t="n">
        <v>-276041.666666667</v>
      </c>
      <c r="N21" s="166" t="n">
        <v>-276041.666666667</v>
      </c>
      <c r="O21" s="166" t="n">
        <v>-276041.666666667</v>
      </c>
      <c r="P21" s="166" t="n">
        <v>-276041.666666667</v>
      </c>
      <c r="Q21" s="166" t="n">
        <v>-276041.666666667</v>
      </c>
      <c r="R21" s="166" t="n">
        <v>-295162.5</v>
      </c>
      <c r="S21" s="166" t="n">
        <v>-295162.5</v>
      </c>
      <c r="T21" s="166" t="n">
        <v>-295162.5</v>
      </c>
      <c r="U21" s="166" t="n">
        <v>-295162.5</v>
      </c>
      <c r="V21" s="166" t="n">
        <v>-295162.5</v>
      </c>
      <c r="W21" s="166" t="n">
        <v>-295162.5</v>
      </c>
      <c r="X21" s="166" t="n">
        <v>-295162.5</v>
      </c>
      <c r="Y21" s="166" t="n">
        <v>-295162.5</v>
      </c>
      <c r="Z21" s="166" t="n">
        <v>-295162.5</v>
      </c>
      <c r="AA21" s="166" t="n">
        <v>-295162.5</v>
      </c>
      <c r="AB21" s="166" t="n">
        <v>-295162.5</v>
      </c>
      <c r="AC21" s="166" t="n">
        <v>-295162.5</v>
      </c>
      <c r="AD21" s="166" t="n">
        <v>-301065.75</v>
      </c>
      <c r="AE21" s="166" t="n">
        <v>-301065.75</v>
      </c>
      <c r="AF21" s="166" t="n">
        <v>-301065.75</v>
      </c>
      <c r="AG21" s="166" t="n">
        <v>-301065.75</v>
      </c>
      <c r="AH21" s="166" t="n">
        <v>-301065.75</v>
      </c>
      <c r="AI21" s="166" t="n">
        <v>-301065.75</v>
      </c>
      <c r="AJ21" s="166" t="n">
        <v>-301065.75</v>
      </c>
      <c r="AK21" s="166" t="n">
        <v>-301065.75</v>
      </c>
      <c r="AL21" s="166" t="n">
        <v>-301065.75</v>
      </c>
      <c r="AM21" s="166" t="n">
        <v>-301065.75</v>
      </c>
      <c r="AN21" s="166" t="n">
        <v>-301065.75</v>
      </c>
      <c r="AO21" s="166" t="n">
        <v>-301065.75</v>
      </c>
      <c r="AP21" s="166" t="n">
        <v>-307087.065</v>
      </c>
      <c r="AQ21" s="166" t="n">
        <v>-307087.065</v>
      </c>
      <c r="AR21" s="166" t="n">
        <v>-307087.065</v>
      </c>
      <c r="AS21" s="166" t="n">
        <v>-307087.065</v>
      </c>
      <c r="AT21" s="166" t="n">
        <v>-307087.065</v>
      </c>
      <c r="AU21" s="166" t="n">
        <v>-307087.065</v>
      </c>
      <c r="AV21" s="166" t="n">
        <v>-307087.065</v>
      </c>
      <c r="AW21" s="166" t="n">
        <v>-307087.065</v>
      </c>
      <c r="AX21" s="166" t="n">
        <v>-307087.065</v>
      </c>
      <c r="AY21" s="166" t="n">
        <v>-307087.065</v>
      </c>
      <c r="AZ21" s="166" t="n">
        <v>-307087.065</v>
      </c>
      <c r="BA21" s="166" t="n">
        <v>-307087.065</v>
      </c>
      <c r="BB21" s="166" t="n">
        <v>-313228.8063</v>
      </c>
      <c r="BC21" s="166" t="n">
        <v>-313228.8063</v>
      </c>
      <c r="BD21" s="166" t="n">
        <v>-313228.8063</v>
      </c>
      <c r="BE21" s="166" t="n">
        <v>-313228.8063</v>
      </c>
      <c r="BF21" s="166" t="n">
        <v>-313228.8063</v>
      </c>
      <c r="BG21" s="166" t="n">
        <v>-313228.8063</v>
      </c>
      <c r="BH21" s="166" t="n">
        <v>-313228.8063</v>
      </c>
      <c r="BI21" s="166" t="n">
        <v>-313228.8063</v>
      </c>
      <c r="BJ21" s="166" t="n">
        <v>-313228.8063</v>
      </c>
      <c r="BK21" s="166" t="n">
        <v>-313228.8063</v>
      </c>
      <c r="BL21" s="166" t="n">
        <v>-313228.8063</v>
      </c>
      <c r="BM21" s="166" t="n">
        <v>-313228.8063</v>
      </c>
      <c r="BN21" s="166" t="n">
        <v>-319493.382426</v>
      </c>
      <c r="BO21" s="166" t="n">
        <v>-319493.382426</v>
      </c>
      <c r="BP21" s="166" t="n">
        <v>-319493.382426</v>
      </c>
      <c r="BQ21" s="166" t="n">
        <v>-319493.382426</v>
      </c>
      <c r="BR21" s="166" t="n">
        <v>-319493.382426</v>
      </c>
      <c r="BS21" s="166" t="n">
        <v>-319493.382426</v>
      </c>
      <c r="BT21" s="166" t="n">
        <v>-319493.382426</v>
      </c>
      <c r="BU21" s="166" t="n">
        <v>-319493.382426</v>
      </c>
      <c r="BV21" s="166" t="n">
        <v>-319493.382426</v>
      </c>
      <c r="BW21" s="166" t="n">
        <v>-319493.382426</v>
      </c>
      <c r="BX21" s="166" t="n">
        <v>-319493.382426</v>
      </c>
      <c r="BY21" s="166" t="n">
        <v>-319493.382426</v>
      </c>
      <c r="BZ21" s="166" t="n">
        <v>-325883.25007452</v>
      </c>
      <c r="CA21" s="166" t="n">
        <v>-325883.25007452</v>
      </c>
      <c r="CB21" s="166" t="n">
        <v>-325883.25007452</v>
      </c>
      <c r="CC21" s="166" t="n">
        <v>-325883.25007452</v>
      </c>
      <c r="CD21" s="166" t="n">
        <v>-325883.25007452</v>
      </c>
      <c r="CE21" s="166" t="n">
        <v>-325883.25007452</v>
      </c>
      <c r="CF21" s="166" t="n">
        <v>-325883.25007452</v>
      </c>
      <c r="CG21" s="166" t="n">
        <v>-325883.25007452</v>
      </c>
      <c r="CH21" s="166" t="n">
        <v>-325883.25007452</v>
      </c>
      <c r="CI21" s="166" t="n">
        <v>-325883.25007452</v>
      </c>
      <c r="CJ21" s="166" t="n">
        <v>-325883.25007452</v>
      </c>
      <c r="CK21" s="166" t="n">
        <v>-325883.25007452</v>
      </c>
      <c r="CL21" s="166" t="n">
        <v>-332400.91507601</v>
      </c>
      <c r="CM21" s="166" t="n">
        <v>-332400.91507601</v>
      </c>
      <c r="CN21" s="166" t="n">
        <v>-332400.91507601</v>
      </c>
      <c r="CO21" s="166" t="n">
        <v>-332400.91507601</v>
      </c>
      <c r="CP21" s="166" t="n">
        <v>-332400.91507601</v>
      </c>
      <c r="CQ21" s="166" t="n">
        <v>-332400.91507601</v>
      </c>
      <c r="CR21" s="166" t="n">
        <v>-332400.91507601</v>
      </c>
      <c r="CS21" s="166" t="n">
        <v>-332400.91507601</v>
      </c>
      <c r="CT21" s="166" t="n">
        <v>-332400.91507601</v>
      </c>
      <c r="CU21" s="166" t="n">
        <v>-332400.91507601</v>
      </c>
      <c r="CV21" s="166" t="n">
        <v>-332400.91507601</v>
      </c>
      <c r="CW21" s="166" t="n">
        <v>-332400.91507601</v>
      </c>
      <c r="CX21" s="166" t="n">
        <v>-339048.933377531</v>
      </c>
      <c r="CY21" s="166" t="n">
        <v>-339048.933377531</v>
      </c>
      <c r="CZ21" s="166" t="n">
        <v>-339048.933377531</v>
      </c>
      <c r="DA21" s="166" t="n">
        <v>-339048.933377531</v>
      </c>
      <c r="DB21" s="166" t="n">
        <v>-339048.933377531</v>
      </c>
      <c r="DC21" s="166" t="n">
        <v>-339048.933377531</v>
      </c>
      <c r="DD21" s="166" t="n">
        <v>-339048.933377531</v>
      </c>
      <c r="DE21" s="166" t="n">
        <v>-339048.933377531</v>
      </c>
      <c r="DF21" s="166" t="n">
        <v>-339048.933377531</v>
      </c>
    </row>
    <row r="22" customFormat="false" ht="15" hidden="false" customHeight="true" outlineLevel="0" collapsed="false">
      <c r="A22" s="140" t="s">
        <v>61</v>
      </c>
      <c r="C22" s="125" t="n">
        <v>-7450.37</v>
      </c>
      <c r="D22" s="125" t="n">
        <v>-10567.2</v>
      </c>
      <c r="E22" s="125" t="n">
        <v>-17033.3</v>
      </c>
      <c r="F22" s="166" t="n">
        <v>-15327.0833333333</v>
      </c>
      <c r="G22" s="166" t="n">
        <v>-17047.9166666667</v>
      </c>
      <c r="H22" s="166" t="n">
        <v>-18797.9166666667</v>
      </c>
      <c r="I22" s="166" t="n">
        <v>-19556.25</v>
      </c>
      <c r="J22" s="166" t="n">
        <v>-19556.25</v>
      </c>
      <c r="K22" s="166" t="n">
        <v>-19556.25</v>
      </c>
      <c r="L22" s="166" t="n">
        <v>-21014.5833333333</v>
      </c>
      <c r="M22" s="166" t="n">
        <v>-23114.5833333333</v>
      </c>
      <c r="N22" s="166" t="n">
        <v>-23114.5833333333</v>
      </c>
      <c r="O22" s="166" t="n">
        <v>-23114.5833333333</v>
      </c>
      <c r="P22" s="166" t="n">
        <v>-23114.5833333333</v>
      </c>
      <c r="Q22" s="166" t="n">
        <v>-23114.5833333333</v>
      </c>
      <c r="R22" s="166" t="n">
        <v>-24528.875</v>
      </c>
      <c r="S22" s="166" t="n">
        <v>-24528.875</v>
      </c>
      <c r="T22" s="166" t="n">
        <v>-24528.875</v>
      </c>
      <c r="U22" s="166" t="n">
        <v>-24528.875</v>
      </c>
      <c r="V22" s="166" t="n">
        <v>-24528.875</v>
      </c>
      <c r="W22" s="166" t="n">
        <v>-24528.875</v>
      </c>
      <c r="X22" s="166" t="n">
        <v>-24528.875</v>
      </c>
      <c r="Y22" s="166" t="n">
        <v>-24528.875</v>
      </c>
      <c r="Z22" s="166" t="n">
        <v>-24528.875</v>
      </c>
      <c r="AA22" s="166" t="n">
        <v>-24528.875</v>
      </c>
      <c r="AB22" s="166" t="n">
        <v>-24528.875</v>
      </c>
      <c r="AC22" s="166" t="n">
        <v>-24528.875</v>
      </c>
      <c r="AD22" s="166" t="n">
        <v>-25019.4525</v>
      </c>
      <c r="AE22" s="166" t="n">
        <v>-25019.4525</v>
      </c>
      <c r="AF22" s="166" t="n">
        <v>-25019.4525</v>
      </c>
      <c r="AG22" s="166" t="n">
        <v>-25019.4525</v>
      </c>
      <c r="AH22" s="166" t="n">
        <v>-25019.4525</v>
      </c>
      <c r="AI22" s="166" t="n">
        <v>-25019.4525</v>
      </c>
      <c r="AJ22" s="166" t="n">
        <v>-25019.4525</v>
      </c>
      <c r="AK22" s="166" t="n">
        <v>-25019.4525</v>
      </c>
      <c r="AL22" s="166" t="n">
        <v>-25019.4525</v>
      </c>
      <c r="AM22" s="166" t="n">
        <v>-25019.4525</v>
      </c>
      <c r="AN22" s="166" t="n">
        <v>-25019.4525</v>
      </c>
      <c r="AO22" s="166" t="n">
        <v>-25019.4525</v>
      </c>
      <c r="AP22" s="166" t="n">
        <v>-25519.84155</v>
      </c>
      <c r="AQ22" s="166" t="n">
        <v>-25519.84155</v>
      </c>
      <c r="AR22" s="166" t="n">
        <v>-25519.84155</v>
      </c>
      <c r="AS22" s="166" t="n">
        <v>-25519.84155</v>
      </c>
      <c r="AT22" s="166" t="n">
        <v>-25519.84155</v>
      </c>
      <c r="AU22" s="166" t="n">
        <v>-25519.84155</v>
      </c>
      <c r="AV22" s="166" t="n">
        <v>-25519.84155</v>
      </c>
      <c r="AW22" s="166" t="n">
        <v>-25519.84155</v>
      </c>
      <c r="AX22" s="166" t="n">
        <v>-25519.84155</v>
      </c>
      <c r="AY22" s="166" t="n">
        <v>-25519.84155</v>
      </c>
      <c r="AZ22" s="166" t="n">
        <v>-25519.84155</v>
      </c>
      <c r="BA22" s="166" t="n">
        <v>-25519.84155</v>
      </c>
      <c r="BB22" s="166" t="n">
        <v>-26030.238381</v>
      </c>
      <c r="BC22" s="166" t="n">
        <v>-26030.238381</v>
      </c>
      <c r="BD22" s="166" t="n">
        <v>-26030.238381</v>
      </c>
      <c r="BE22" s="166" t="n">
        <v>-26030.238381</v>
      </c>
      <c r="BF22" s="166" t="n">
        <v>-26030.238381</v>
      </c>
      <c r="BG22" s="166" t="n">
        <v>-26030.238381</v>
      </c>
      <c r="BH22" s="166" t="n">
        <v>-26030.238381</v>
      </c>
      <c r="BI22" s="166" t="n">
        <v>-26030.238381</v>
      </c>
      <c r="BJ22" s="166" t="n">
        <v>-26030.238381</v>
      </c>
      <c r="BK22" s="166" t="n">
        <v>-26030.238381</v>
      </c>
      <c r="BL22" s="166" t="n">
        <v>-26030.238381</v>
      </c>
      <c r="BM22" s="166" t="n">
        <v>-26030.238381</v>
      </c>
      <c r="BN22" s="166" t="n">
        <v>-26550.84314862</v>
      </c>
      <c r="BO22" s="166" t="n">
        <v>-26550.84314862</v>
      </c>
      <c r="BP22" s="166" t="n">
        <v>-26550.84314862</v>
      </c>
      <c r="BQ22" s="166" t="n">
        <v>-26550.84314862</v>
      </c>
      <c r="BR22" s="166" t="n">
        <v>-26550.84314862</v>
      </c>
      <c r="BS22" s="166" t="n">
        <v>-26550.84314862</v>
      </c>
      <c r="BT22" s="166" t="n">
        <v>-26550.84314862</v>
      </c>
      <c r="BU22" s="166" t="n">
        <v>-26550.84314862</v>
      </c>
      <c r="BV22" s="166" t="n">
        <v>-26550.84314862</v>
      </c>
      <c r="BW22" s="166" t="n">
        <v>-26550.84314862</v>
      </c>
      <c r="BX22" s="166" t="n">
        <v>-26550.84314862</v>
      </c>
      <c r="BY22" s="166" t="n">
        <v>-26550.84314862</v>
      </c>
      <c r="BZ22" s="166" t="n">
        <v>-27081.8600115924</v>
      </c>
      <c r="CA22" s="166" t="n">
        <v>-27081.8600115924</v>
      </c>
      <c r="CB22" s="166" t="n">
        <v>-27081.8600115924</v>
      </c>
      <c r="CC22" s="166" t="n">
        <v>-27081.8600115924</v>
      </c>
      <c r="CD22" s="166" t="n">
        <v>-27081.8600115924</v>
      </c>
      <c r="CE22" s="166" t="n">
        <v>-27081.8600115924</v>
      </c>
      <c r="CF22" s="166" t="n">
        <v>-27081.8600115924</v>
      </c>
      <c r="CG22" s="166" t="n">
        <v>-27081.8600115924</v>
      </c>
      <c r="CH22" s="166" t="n">
        <v>-27081.8600115924</v>
      </c>
      <c r="CI22" s="166" t="n">
        <v>-27081.8600115924</v>
      </c>
      <c r="CJ22" s="166" t="n">
        <v>-27081.8600115924</v>
      </c>
      <c r="CK22" s="166" t="n">
        <v>-27081.8600115924</v>
      </c>
      <c r="CL22" s="166" t="n">
        <v>-27623.4972118242</v>
      </c>
      <c r="CM22" s="166" t="n">
        <v>-27623.4972118242</v>
      </c>
      <c r="CN22" s="166" t="n">
        <v>-27623.4972118242</v>
      </c>
      <c r="CO22" s="166" t="n">
        <v>-27623.4972118242</v>
      </c>
      <c r="CP22" s="166" t="n">
        <v>-27623.4972118242</v>
      </c>
      <c r="CQ22" s="166" t="n">
        <v>-27623.4972118242</v>
      </c>
      <c r="CR22" s="166" t="n">
        <v>-27623.4972118242</v>
      </c>
      <c r="CS22" s="166" t="n">
        <v>-27623.4972118242</v>
      </c>
      <c r="CT22" s="166" t="n">
        <v>-27623.4972118242</v>
      </c>
      <c r="CU22" s="166" t="n">
        <v>0</v>
      </c>
      <c r="CV22" s="166" t="n">
        <v>0</v>
      </c>
      <c r="CW22" s="166" t="n">
        <v>0</v>
      </c>
      <c r="CX22" s="166" t="n">
        <v>0</v>
      </c>
      <c r="CY22" s="166" t="n">
        <v>0</v>
      </c>
      <c r="CZ22" s="166" t="n">
        <v>0</v>
      </c>
      <c r="DA22" s="166" t="n">
        <v>0</v>
      </c>
      <c r="DB22" s="166" t="n">
        <v>0</v>
      </c>
      <c r="DC22" s="166" t="n">
        <v>0</v>
      </c>
      <c r="DD22" s="166" t="n">
        <v>0</v>
      </c>
      <c r="DE22" s="166" t="n">
        <v>0</v>
      </c>
      <c r="DF22" s="166" t="n">
        <v>0</v>
      </c>
    </row>
    <row r="23" customFormat="false" ht="15" hidden="false" customHeight="true" outlineLevel="0" collapsed="false">
      <c r="A23" s="140" t="s">
        <v>62</v>
      </c>
      <c r="C23" s="125" t="n">
        <v>0</v>
      </c>
      <c r="D23" s="125" t="n">
        <v>0</v>
      </c>
      <c r="E23" s="125" t="n">
        <v>0</v>
      </c>
      <c r="F23" s="166" t="n">
        <v>-103833.333333333</v>
      </c>
      <c r="G23" s="166" t="n">
        <v>-103833.333333333</v>
      </c>
      <c r="H23" s="166" t="n">
        <v>-103833.333333333</v>
      </c>
      <c r="I23" s="166" t="n">
        <v>-103833.333333333</v>
      </c>
      <c r="J23" s="166" t="n">
        <v>-103833.333333333</v>
      </c>
      <c r="K23" s="166" t="n">
        <v>-103833.333333333</v>
      </c>
      <c r="L23" s="166" t="n">
        <v>-103833.333333333</v>
      </c>
      <c r="M23" s="166" t="n">
        <v>-103833.333333333</v>
      </c>
      <c r="N23" s="166" t="n">
        <v>-103833.333333333</v>
      </c>
      <c r="O23" s="166" t="n">
        <v>-103833.333333333</v>
      </c>
      <c r="P23" s="166" t="n">
        <v>-103833.333333333</v>
      </c>
      <c r="Q23" s="166" t="n">
        <v>-103833.333333333</v>
      </c>
      <c r="R23" s="166" t="n">
        <v>-103833.333333333</v>
      </c>
      <c r="S23" s="166" t="n">
        <v>-103833.333333333</v>
      </c>
      <c r="T23" s="166" t="n">
        <v>-103833.333333333</v>
      </c>
      <c r="U23" s="166" t="n">
        <v>-103833.333333333</v>
      </c>
      <c r="V23" s="166" t="n">
        <v>-103833.333333333</v>
      </c>
      <c r="W23" s="166" t="n">
        <v>-103833.333333333</v>
      </c>
      <c r="X23" s="166" t="n">
        <v>-103833.333333333</v>
      </c>
      <c r="Y23" s="166" t="n">
        <v>-103833.333333333</v>
      </c>
      <c r="Z23" s="166" t="n">
        <v>-103833.333333333</v>
      </c>
      <c r="AA23" s="166" t="n">
        <v>-103833.333333333</v>
      </c>
      <c r="AB23" s="166" t="n">
        <v>-103833.333333333</v>
      </c>
      <c r="AC23" s="166" t="n">
        <v>-103833.333333333</v>
      </c>
      <c r="AD23" s="166" t="n">
        <v>-103833.333333333</v>
      </c>
      <c r="AE23" s="166" t="n">
        <v>-103833.333333333</v>
      </c>
      <c r="AF23" s="166" t="n">
        <v>-103833.333333333</v>
      </c>
      <c r="AG23" s="166" t="n">
        <v>-103833.333333333</v>
      </c>
      <c r="AH23" s="166" t="n">
        <v>-103833.333333333</v>
      </c>
      <c r="AI23" s="166" t="n">
        <v>-103833.333333333</v>
      </c>
      <c r="AJ23" s="166" t="n">
        <v>-103833.333333333</v>
      </c>
      <c r="AK23" s="166" t="n">
        <v>-103833.333333333</v>
      </c>
      <c r="AL23" s="166" t="n">
        <v>-103833.333333333</v>
      </c>
      <c r="AM23" s="166" t="n">
        <v>-103833.333333333</v>
      </c>
      <c r="AN23" s="166" t="n">
        <v>-103833.333333333</v>
      </c>
      <c r="AO23" s="166" t="n">
        <v>-103833.333333333</v>
      </c>
      <c r="AP23" s="166" t="n">
        <v>-103833.333333333</v>
      </c>
      <c r="AQ23" s="166" t="n">
        <v>-103833.333333333</v>
      </c>
      <c r="AR23" s="166" t="n">
        <v>-103833.333333333</v>
      </c>
      <c r="AS23" s="166" t="n">
        <v>-103833.333333333</v>
      </c>
      <c r="AT23" s="166" t="n">
        <v>-103833.333333333</v>
      </c>
      <c r="AU23" s="166" t="n">
        <v>-103833.333333333</v>
      </c>
      <c r="AV23" s="166" t="n">
        <v>-103833.333333333</v>
      </c>
      <c r="AW23" s="166" t="n">
        <v>-103833.333333333</v>
      </c>
      <c r="AX23" s="166" t="n">
        <v>-103833.333333333</v>
      </c>
      <c r="AY23" s="166" t="n">
        <v>-103833.333333333</v>
      </c>
      <c r="AZ23" s="166" t="n">
        <v>-103833.333333333</v>
      </c>
      <c r="BA23" s="166" t="n">
        <v>-103833.333333333</v>
      </c>
      <c r="BB23" s="166" t="n">
        <v>-103833.333333333</v>
      </c>
      <c r="BC23" s="166" t="n">
        <v>-103833.333333333</v>
      </c>
      <c r="BD23" s="166" t="n">
        <v>-103833.333333333</v>
      </c>
      <c r="BE23" s="166" t="n">
        <v>-103833.333333333</v>
      </c>
      <c r="BF23" s="166" t="n">
        <v>-103833.333333333</v>
      </c>
      <c r="BG23" s="166" t="n">
        <v>-103833.333333333</v>
      </c>
      <c r="BH23" s="166" t="n">
        <v>-103833.333333333</v>
      </c>
      <c r="BI23" s="166" t="n">
        <v>-103833.333333333</v>
      </c>
      <c r="BJ23" s="166" t="n">
        <v>-103833.333333333</v>
      </c>
      <c r="BK23" s="166" t="n">
        <v>-103833.333333333</v>
      </c>
      <c r="BL23" s="166" t="n">
        <v>-103833.333333333</v>
      </c>
      <c r="BM23" s="166" t="n">
        <v>-103833.333333333</v>
      </c>
      <c r="BN23" s="166" t="n">
        <v>-103833.333333333</v>
      </c>
      <c r="BO23" s="166" t="n">
        <v>-103833.333333333</v>
      </c>
      <c r="BP23" s="166" t="n">
        <v>-103833.333333333</v>
      </c>
      <c r="BQ23" s="166" t="n">
        <v>-103833.333333333</v>
      </c>
      <c r="BR23" s="166" t="n">
        <v>-103833.333333333</v>
      </c>
      <c r="BS23" s="166" t="n">
        <v>-103833.333333333</v>
      </c>
      <c r="BT23" s="166" t="n">
        <v>-103833.333333333</v>
      </c>
      <c r="BU23" s="166" t="n">
        <v>-103833.333333333</v>
      </c>
      <c r="BV23" s="166" t="n">
        <v>-103833.333333333</v>
      </c>
      <c r="BW23" s="166" t="n">
        <v>-103833.333333333</v>
      </c>
      <c r="BX23" s="166" t="n">
        <v>-103833.333333333</v>
      </c>
      <c r="BY23" s="166" t="n">
        <v>-103833.333333333</v>
      </c>
      <c r="BZ23" s="166" t="n">
        <v>-103833.333333333</v>
      </c>
      <c r="CA23" s="166" t="n">
        <v>-103833.333333333</v>
      </c>
      <c r="CB23" s="166" t="n">
        <v>-103833.333333333</v>
      </c>
      <c r="CC23" s="166" t="n">
        <v>-103833.333333333</v>
      </c>
      <c r="CD23" s="166" t="n">
        <v>-103833.333333333</v>
      </c>
      <c r="CE23" s="166" t="n">
        <v>-103833.333333333</v>
      </c>
      <c r="CF23" s="166" t="n">
        <v>-103833.333333333</v>
      </c>
      <c r="CG23" s="166" t="n">
        <v>-103833.333333333</v>
      </c>
      <c r="CH23" s="166" t="n">
        <v>-103833.333333333</v>
      </c>
      <c r="CI23" s="166" t="n">
        <v>-103833.333333333</v>
      </c>
      <c r="CJ23" s="166" t="n">
        <v>-103833.333333333</v>
      </c>
      <c r="CK23" s="166" t="n">
        <v>-103833.333333333</v>
      </c>
      <c r="CL23" s="166" t="n">
        <v>-103833.333333333</v>
      </c>
      <c r="CM23" s="166" t="n">
        <v>-103833.333333333</v>
      </c>
      <c r="CN23" s="166" t="n">
        <v>-103833.333333333</v>
      </c>
      <c r="CO23" s="166" t="n">
        <v>-103833.333333333</v>
      </c>
      <c r="CP23" s="166" t="n">
        <v>-103833.333333333</v>
      </c>
      <c r="CQ23" s="166" t="n">
        <v>-103833.333333333</v>
      </c>
      <c r="CR23" s="166" t="n">
        <v>-103833.333333333</v>
      </c>
      <c r="CS23" s="166" t="n">
        <v>-103833.333333333</v>
      </c>
      <c r="CT23" s="166" t="n">
        <v>-103833.333333333</v>
      </c>
      <c r="CU23" s="166" t="n">
        <v>-103833.333333333</v>
      </c>
      <c r="CV23" s="166" t="n">
        <v>-103833.333333333</v>
      </c>
      <c r="CW23" s="166" t="n">
        <v>-103833.333333333</v>
      </c>
      <c r="CX23" s="166" t="n">
        <v>-103833.333333333</v>
      </c>
      <c r="CY23" s="166" t="n">
        <v>-103833.333333333</v>
      </c>
      <c r="CZ23" s="166" t="n">
        <v>-103833.333333333</v>
      </c>
      <c r="DA23" s="166" t="n">
        <v>-103833.333333333</v>
      </c>
      <c r="DB23" s="166" t="n">
        <v>-103833.333333333</v>
      </c>
      <c r="DC23" s="166" t="n">
        <v>-103833.333333333</v>
      </c>
      <c r="DD23" s="166" t="n">
        <v>-103833.333333333</v>
      </c>
      <c r="DE23" s="166" t="n">
        <v>-103833.333333333</v>
      </c>
      <c r="DF23" s="166" t="n">
        <v>-103833.333333333</v>
      </c>
    </row>
    <row r="24" customFormat="false" ht="15" hidden="false" customHeight="true" outlineLevel="0" collapsed="false">
      <c r="A24" s="140" t="s">
        <v>63</v>
      </c>
      <c r="C24" s="125" t="n">
        <v>-9482.97</v>
      </c>
      <c r="D24" s="125" t="n">
        <v>-10343.29</v>
      </c>
      <c r="E24" s="125" t="n">
        <v>-3729.48</v>
      </c>
      <c r="F24" s="166" t="n">
        <v>-10947.9166666667</v>
      </c>
      <c r="G24" s="166" t="n">
        <v>-12177.0833333333</v>
      </c>
      <c r="H24" s="166" t="n">
        <v>-13427.0833333333</v>
      </c>
      <c r="I24" s="166" t="n">
        <v>-13968.75</v>
      </c>
      <c r="J24" s="166" t="n">
        <v>-13968.75</v>
      </c>
      <c r="K24" s="166" t="n">
        <v>-13968.75</v>
      </c>
      <c r="L24" s="166" t="n">
        <v>-15010.4166666667</v>
      </c>
      <c r="M24" s="166" t="n">
        <v>-16510.4166666667</v>
      </c>
      <c r="N24" s="166" t="n">
        <v>-16510.4166666667</v>
      </c>
      <c r="O24" s="166" t="n">
        <v>-16510.4166666667</v>
      </c>
      <c r="P24" s="166" t="n">
        <v>-16510.4166666667</v>
      </c>
      <c r="Q24" s="166" t="n">
        <v>-16510.4166666667</v>
      </c>
      <c r="R24" s="166" t="n">
        <v>-17520.625</v>
      </c>
      <c r="S24" s="166" t="n">
        <v>-17520.625</v>
      </c>
      <c r="T24" s="166" t="n">
        <v>-17520.625</v>
      </c>
      <c r="U24" s="166" t="n">
        <v>-17520.625</v>
      </c>
      <c r="V24" s="166" t="n">
        <v>-17520.625</v>
      </c>
      <c r="W24" s="166" t="n">
        <v>-17520.625</v>
      </c>
      <c r="X24" s="166" t="n">
        <v>-17520.625</v>
      </c>
      <c r="Y24" s="166" t="n">
        <v>-17520.625</v>
      </c>
      <c r="Z24" s="166" t="n">
        <v>-17520.625</v>
      </c>
      <c r="AA24" s="166" t="n">
        <v>-17520.625</v>
      </c>
      <c r="AB24" s="166" t="n">
        <v>-17520.625</v>
      </c>
      <c r="AC24" s="166" t="n">
        <v>-17520.625</v>
      </c>
      <c r="AD24" s="166" t="n">
        <v>-17871.0375</v>
      </c>
      <c r="AE24" s="166" t="n">
        <v>-17871.0375</v>
      </c>
      <c r="AF24" s="166" t="n">
        <v>-17871.0375</v>
      </c>
      <c r="AG24" s="166" t="n">
        <v>-17871.0375</v>
      </c>
      <c r="AH24" s="166" t="n">
        <v>-17871.0375</v>
      </c>
      <c r="AI24" s="166" t="n">
        <v>-17871.0375</v>
      </c>
      <c r="AJ24" s="166" t="n">
        <v>-17871.0375</v>
      </c>
      <c r="AK24" s="166" t="n">
        <v>-17871.0375</v>
      </c>
      <c r="AL24" s="166" t="n">
        <v>-17871.0375</v>
      </c>
      <c r="AM24" s="166" t="n">
        <v>-17871.0375</v>
      </c>
      <c r="AN24" s="166" t="n">
        <v>-17871.0375</v>
      </c>
      <c r="AO24" s="166" t="n">
        <v>-17871.0375</v>
      </c>
      <c r="AP24" s="166" t="n">
        <v>-18228.45825</v>
      </c>
      <c r="AQ24" s="166" t="n">
        <v>-18228.45825</v>
      </c>
      <c r="AR24" s="166" t="n">
        <v>-18228.45825</v>
      </c>
      <c r="AS24" s="166" t="n">
        <v>-18228.45825</v>
      </c>
      <c r="AT24" s="166" t="n">
        <v>-18228.45825</v>
      </c>
      <c r="AU24" s="166" t="n">
        <v>-18228.45825</v>
      </c>
      <c r="AV24" s="166" t="n">
        <v>-18228.45825</v>
      </c>
      <c r="AW24" s="166" t="n">
        <v>-18228.45825</v>
      </c>
      <c r="AX24" s="166" t="n">
        <v>-18228.45825</v>
      </c>
      <c r="AY24" s="166" t="n">
        <v>-18228.45825</v>
      </c>
      <c r="AZ24" s="166" t="n">
        <v>-18228.45825</v>
      </c>
      <c r="BA24" s="166" t="n">
        <v>-18228.45825</v>
      </c>
      <c r="BB24" s="166" t="n">
        <v>-18593.027415</v>
      </c>
      <c r="BC24" s="166" t="n">
        <v>-18593.027415</v>
      </c>
      <c r="BD24" s="166" t="n">
        <v>-18593.027415</v>
      </c>
      <c r="BE24" s="166" t="n">
        <v>-18593.027415</v>
      </c>
      <c r="BF24" s="166" t="n">
        <v>-18593.027415</v>
      </c>
      <c r="BG24" s="166" t="n">
        <v>-18593.027415</v>
      </c>
      <c r="BH24" s="166" t="n">
        <v>-18593.027415</v>
      </c>
      <c r="BI24" s="166" t="n">
        <v>-18593.027415</v>
      </c>
      <c r="BJ24" s="166" t="n">
        <v>-18593.027415</v>
      </c>
      <c r="BK24" s="166" t="n">
        <v>-18593.027415</v>
      </c>
      <c r="BL24" s="166" t="n">
        <v>-18593.027415</v>
      </c>
      <c r="BM24" s="166" t="n">
        <v>-18593.027415</v>
      </c>
      <c r="BN24" s="166" t="n">
        <v>-18964.8879633</v>
      </c>
      <c r="BO24" s="166" t="n">
        <v>-18964.8879633</v>
      </c>
      <c r="BP24" s="166" t="n">
        <v>-18964.8879633</v>
      </c>
      <c r="BQ24" s="166" t="n">
        <v>-18964.8879633</v>
      </c>
      <c r="BR24" s="166" t="n">
        <v>-18964.8879633</v>
      </c>
      <c r="BS24" s="166" t="n">
        <v>-18964.8879633</v>
      </c>
      <c r="BT24" s="166" t="n">
        <v>-18964.8879633</v>
      </c>
      <c r="BU24" s="166" t="n">
        <v>-18964.8879633</v>
      </c>
      <c r="BV24" s="166" t="n">
        <v>-18964.8879633</v>
      </c>
      <c r="BW24" s="166" t="n">
        <v>-18964.8879633</v>
      </c>
      <c r="BX24" s="166" t="n">
        <v>-18964.8879633</v>
      </c>
      <c r="BY24" s="166" t="n">
        <v>-18964.8879633</v>
      </c>
      <c r="BZ24" s="166" t="n">
        <v>-19344.185722566</v>
      </c>
      <c r="CA24" s="166" t="n">
        <v>-19344.185722566</v>
      </c>
      <c r="CB24" s="166" t="n">
        <v>-19344.185722566</v>
      </c>
      <c r="CC24" s="166" t="n">
        <v>-19344.185722566</v>
      </c>
      <c r="CD24" s="166" t="n">
        <v>-19344.185722566</v>
      </c>
      <c r="CE24" s="166" t="n">
        <v>-19344.185722566</v>
      </c>
      <c r="CF24" s="166" t="n">
        <v>-19344.185722566</v>
      </c>
      <c r="CG24" s="166" t="n">
        <v>-19344.185722566</v>
      </c>
      <c r="CH24" s="166" t="n">
        <v>-19344.185722566</v>
      </c>
      <c r="CI24" s="166" t="n">
        <v>-19344.185722566</v>
      </c>
      <c r="CJ24" s="166" t="n">
        <v>-19344.185722566</v>
      </c>
      <c r="CK24" s="166" t="n">
        <v>-19344.185722566</v>
      </c>
      <c r="CL24" s="166" t="n">
        <v>-19731.0694370173</v>
      </c>
      <c r="CM24" s="166" t="n">
        <v>-19731.0694370173</v>
      </c>
      <c r="CN24" s="166" t="n">
        <v>-19731.0694370173</v>
      </c>
      <c r="CO24" s="166" t="n">
        <v>-19731.0694370173</v>
      </c>
      <c r="CP24" s="166" t="n">
        <v>-19731.0694370173</v>
      </c>
      <c r="CQ24" s="166" t="n">
        <v>-19731.0694370173</v>
      </c>
      <c r="CR24" s="166" t="n">
        <v>-19731.0694370173</v>
      </c>
      <c r="CS24" s="166" t="n">
        <v>-19731.0694370173</v>
      </c>
      <c r="CT24" s="166" t="n">
        <v>-19731.0694370173</v>
      </c>
      <c r="CU24" s="166" t="n">
        <v>0</v>
      </c>
      <c r="CV24" s="166" t="n">
        <v>0</v>
      </c>
      <c r="CW24" s="166" t="n">
        <v>0</v>
      </c>
      <c r="CX24" s="166" t="n">
        <v>0</v>
      </c>
      <c r="CY24" s="166" t="n">
        <v>0</v>
      </c>
      <c r="CZ24" s="166" t="n">
        <v>0</v>
      </c>
      <c r="DA24" s="166" t="n">
        <v>0</v>
      </c>
      <c r="DB24" s="166" t="n">
        <v>0</v>
      </c>
      <c r="DC24" s="166" t="n">
        <v>0</v>
      </c>
      <c r="DD24" s="166" t="n">
        <v>0</v>
      </c>
      <c r="DE24" s="166" t="n">
        <v>0</v>
      </c>
      <c r="DF24" s="166" t="n">
        <v>0</v>
      </c>
    </row>
    <row r="25" customFormat="false" ht="15" hidden="false" customHeight="true" outlineLevel="0" collapsed="false">
      <c r="A25" s="140" t="s">
        <v>64</v>
      </c>
      <c r="C25" s="125" t="n">
        <v>-2542.47</v>
      </c>
      <c r="D25" s="125" t="n">
        <v>-1618.75</v>
      </c>
      <c r="E25" s="125" t="n">
        <v>3406.77</v>
      </c>
      <c r="F25" s="166" t="n">
        <v>-4379.16666666667</v>
      </c>
      <c r="G25" s="166" t="n">
        <v>-4870.83333333333</v>
      </c>
      <c r="H25" s="166" t="n">
        <v>-5370.83333333333</v>
      </c>
      <c r="I25" s="166" t="n">
        <v>-5587.5</v>
      </c>
      <c r="J25" s="166" t="n">
        <v>-5587.5</v>
      </c>
      <c r="K25" s="166" t="n">
        <v>-5587.5</v>
      </c>
      <c r="L25" s="166" t="n">
        <v>-6004.16666666667</v>
      </c>
      <c r="M25" s="166" t="n">
        <v>-6604.16666666666</v>
      </c>
      <c r="N25" s="166" t="n">
        <v>-6604.16666666666</v>
      </c>
      <c r="O25" s="166" t="n">
        <v>-6604.16666666666</v>
      </c>
      <c r="P25" s="166" t="n">
        <v>-6604.16666666666</v>
      </c>
      <c r="Q25" s="166" t="n">
        <v>-6604.16666666666</v>
      </c>
      <c r="R25" s="166" t="n">
        <v>-7008.25</v>
      </c>
      <c r="S25" s="166" t="n">
        <v>-7008.25</v>
      </c>
      <c r="T25" s="166" t="n">
        <v>-7008.25</v>
      </c>
      <c r="U25" s="166" t="n">
        <v>-7008.25</v>
      </c>
      <c r="V25" s="166" t="n">
        <v>-7008.25</v>
      </c>
      <c r="W25" s="166" t="n">
        <v>-7008.25</v>
      </c>
      <c r="X25" s="166" t="n">
        <v>-7008.25</v>
      </c>
      <c r="Y25" s="166" t="n">
        <v>-7008.25</v>
      </c>
      <c r="Z25" s="166" t="n">
        <v>-7008.25</v>
      </c>
      <c r="AA25" s="166" t="n">
        <v>-7008.25</v>
      </c>
      <c r="AB25" s="166" t="n">
        <v>-7008.25</v>
      </c>
      <c r="AC25" s="166" t="n">
        <v>-7008.25</v>
      </c>
      <c r="AD25" s="166" t="n">
        <v>-7148.415</v>
      </c>
      <c r="AE25" s="166" t="n">
        <v>-7148.415</v>
      </c>
      <c r="AF25" s="166" t="n">
        <v>-7148.415</v>
      </c>
      <c r="AG25" s="166" t="n">
        <v>-7148.415</v>
      </c>
      <c r="AH25" s="166" t="n">
        <v>-7148.415</v>
      </c>
      <c r="AI25" s="166" t="n">
        <v>-7148.415</v>
      </c>
      <c r="AJ25" s="166" t="n">
        <v>-7148.415</v>
      </c>
      <c r="AK25" s="166" t="n">
        <v>-7148.415</v>
      </c>
      <c r="AL25" s="166" t="n">
        <v>-7148.415</v>
      </c>
      <c r="AM25" s="166" t="n">
        <v>-7148.415</v>
      </c>
      <c r="AN25" s="166" t="n">
        <v>-7148.415</v>
      </c>
      <c r="AO25" s="166" t="n">
        <v>-7148.415</v>
      </c>
      <c r="AP25" s="166" t="n">
        <v>-7291.3833</v>
      </c>
      <c r="AQ25" s="166" t="n">
        <v>-7291.3833</v>
      </c>
      <c r="AR25" s="166" t="n">
        <v>-7291.3833</v>
      </c>
      <c r="AS25" s="166" t="n">
        <v>-7291.3833</v>
      </c>
      <c r="AT25" s="166" t="n">
        <v>-7291.3833</v>
      </c>
      <c r="AU25" s="166" t="n">
        <v>-7291.3833</v>
      </c>
      <c r="AV25" s="166" t="n">
        <v>-7291.3833</v>
      </c>
      <c r="AW25" s="166" t="n">
        <v>-7291.3833</v>
      </c>
      <c r="AX25" s="166" t="n">
        <v>-7291.3833</v>
      </c>
      <c r="AY25" s="166" t="n">
        <v>-7291.3833</v>
      </c>
      <c r="AZ25" s="166" t="n">
        <v>-7291.3833</v>
      </c>
      <c r="BA25" s="166" t="n">
        <v>-7291.3833</v>
      </c>
      <c r="BB25" s="166" t="n">
        <v>-7437.210966</v>
      </c>
      <c r="BC25" s="166" t="n">
        <v>-7437.210966</v>
      </c>
      <c r="BD25" s="166" t="n">
        <v>-7437.210966</v>
      </c>
      <c r="BE25" s="166" t="n">
        <v>-7437.210966</v>
      </c>
      <c r="BF25" s="166" t="n">
        <v>-7437.210966</v>
      </c>
      <c r="BG25" s="166" t="n">
        <v>-7437.210966</v>
      </c>
      <c r="BH25" s="166" t="n">
        <v>-7437.210966</v>
      </c>
      <c r="BI25" s="166" t="n">
        <v>-7437.210966</v>
      </c>
      <c r="BJ25" s="166" t="n">
        <v>-7437.210966</v>
      </c>
      <c r="BK25" s="166" t="n">
        <v>-7437.210966</v>
      </c>
      <c r="BL25" s="166" t="n">
        <v>-7437.210966</v>
      </c>
      <c r="BM25" s="166" t="n">
        <v>-7437.210966</v>
      </c>
      <c r="BN25" s="166" t="n">
        <v>-7585.95518532</v>
      </c>
      <c r="BO25" s="166" t="n">
        <v>-7585.95518532</v>
      </c>
      <c r="BP25" s="166" t="n">
        <v>-7585.95518532</v>
      </c>
      <c r="BQ25" s="166" t="n">
        <v>-7585.95518532</v>
      </c>
      <c r="BR25" s="166" t="n">
        <v>-7585.95518532</v>
      </c>
      <c r="BS25" s="166" t="n">
        <v>-7585.95518532</v>
      </c>
      <c r="BT25" s="166" t="n">
        <v>-7585.95518532</v>
      </c>
      <c r="BU25" s="166" t="n">
        <v>-7585.95518532</v>
      </c>
      <c r="BV25" s="166" t="n">
        <v>-7585.95518532</v>
      </c>
      <c r="BW25" s="166" t="n">
        <v>-7585.95518532</v>
      </c>
      <c r="BX25" s="166" t="n">
        <v>-7585.95518532</v>
      </c>
      <c r="BY25" s="166" t="n">
        <v>-7585.95518532</v>
      </c>
      <c r="BZ25" s="166" t="n">
        <v>-7737.6742890264</v>
      </c>
      <c r="CA25" s="166" t="n">
        <v>-7737.6742890264</v>
      </c>
      <c r="CB25" s="166" t="n">
        <v>-7737.6742890264</v>
      </c>
      <c r="CC25" s="166" t="n">
        <v>-7737.6742890264</v>
      </c>
      <c r="CD25" s="166" t="n">
        <v>-7737.6742890264</v>
      </c>
      <c r="CE25" s="166" t="n">
        <v>-7737.6742890264</v>
      </c>
      <c r="CF25" s="166" t="n">
        <v>-7737.6742890264</v>
      </c>
      <c r="CG25" s="166" t="n">
        <v>-7737.6742890264</v>
      </c>
      <c r="CH25" s="166" t="n">
        <v>-7737.6742890264</v>
      </c>
      <c r="CI25" s="166" t="n">
        <v>-7737.6742890264</v>
      </c>
      <c r="CJ25" s="166" t="n">
        <v>-7737.6742890264</v>
      </c>
      <c r="CK25" s="166" t="n">
        <v>-7737.6742890264</v>
      </c>
      <c r="CL25" s="166" t="n">
        <v>-7892.42777480693</v>
      </c>
      <c r="CM25" s="166" t="n">
        <v>-7892.42777480693</v>
      </c>
      <c r="CN25" s="166" t="n">
        <v>-7892.42777480693</v>
      </c>
      <c r="CO25" s="166" t="n">
        <v>-7892.42777480693</v>
      </c>
      <c r="CP25" s="166" t="n">
        <v>-7892.42777480693</v>
      </c>
      <c r="CQ25" s="166" t="n">
        <v>-7892.42777480693</v>
      </c>
      <c r="CR25" s="166" t="n">
        <v>-7892.42777480693</v>
      </c>
      <c r="CS25" s="166" t="n">
        <v>-7892.42777480693</v>
      </c>
      <c r="CT25" s="166" t="n">
        <v>-7892.42777480693</v>
      </c>
      <c r="CU25" s="166" t="n">
        <v>0</v>
      </c>
      <c r="CV25" s="166" t="n">
        <v>0</v>
      </c>
      <c r="CW25" s="166" t="n">
        <v>0</v>
      </c>
      <c r="CX25" s="166" t="n">
        <v>0</v>
      </c>
      <c r="CY25" s="166" t="n">
        <v>0</v>
      </c>
      <c r="CZ25" s="166" t="n">
        <v>0</v>
      </c>
      <c r="DA25" s="166" t="n">
        <v>0</v>
      </c>
      <c r="DB25" s="166" t="n">
        <v>0</v>
      </c>
      <c r="DC25" s="166" t="n">
        <v>0</v>
      </c>
      <c r="DD25" s="166" t="n">
        <v>0</v>
      </c>
      <c r="DE25" s="166" t="n">
        <v>0</v>
      </c>
      <c r="DF25" s="166" t="n">
        <v>0</v>
      </c>
    </row>
    <row r="26" customFormat="false" ht="15" hidden="false" customHeight="true" outlineLevel="0" collapsed="false">
      <c r="A26" s="140" t="s">
        <v>65</v>
      </c>
      <c r="C26" s="125" t="n">
        <v>-195</v>
      </c>
      <c r="D26" s="125" t="n">
        <v>-200</v>
      </c>
      <c r="E26" s="125" t="n">
        <v>0</v>
      </c>
      <c r="F26" s="166" t="n">
        <v>-1094.79166666667</v>
      </c>
      <c r="G26" s="166" t="n">
        <v>-1217.70833333333</v>
      </c>
      <c r="H26" s="166" t="n">
        <v>-1342.70833333333</v>
      </c>
      <c r="I26" s="166" t="n">
        <v>-1396.875</v>
      </c>
      <c r="J26" s="166" t="n">
        <v>-1396.875</v>
      </c>
      <c r="K26" s="166" t="n">
        <v>-1396.875</v>
      </c>
      <c r="L26" s="166" t="n">
        <v>-1501.04166666667</v>
      </c>
      <c r="M26" s="166" t="n">
        <v>-1651.04166666667</v>
      </c>
      <c r="N26" s="166" t="n">
        <v>-1651.04166666667</v>
      </c>
      <c r="O26" s="166" t="n">
        <v>-1651.04166666667</v>
      </c>
      <c r="P26" s="166" t="n">
        <v>-1651.04166666667</v>
      </c>
      <c r="Q26" s="166" t="n">
        <v>-1651.04166666667</v>
      </c>
      <c r="R26" s="166" t="n">
        <v>-1752.0625</v>
      </c>
      <c r="S26" s="166" t="n">
        <v>-1752.0625</v>
      </c>
      <c r="T26" s="166" t="n">
        <v>-1752.0625</v>
      </c>
      <c r="U26" s="166" t="n">
        <v>-1752.0625</v>
      </c>
      <c r="V26" s="166" t="n">
        <v>-1752.0625</v>
      </c>
      <c r="W26" s="166" t="n">
        <v>-1752.0625</v>
      </c>
      <c r="X26" s="166" t="n">
        <v>-1752.0625</v>
      </c>
      <c r="Y26" s="166" t="n">
        <v>-1752.0625</v>
      </c>
      <c r="Z26" s="166" t="n">
        <v>-1752.0625</v>
      </c>
      <c r="AA26" s="166" t="n">
        <v>-1752.0625</v>
      </c>
      <c r="AB26" s="166" t="n">
        <v>-1752.0625</v>
      </c>
      <c r="AC26" s="166" t="n">
        <v>-1752.0625</v>
      </c>
      <c r="AD26" s="166" t="n">
        <v>-1787.10375</v>
      </c>
      <c r="AE26" s="166" t="n">
        <v>-1787.10375</v>
      </c>
      <c r="AF26" s="166" t="n">
        <v>-1787.10375</v>
      </c>
      <c r="AG26" s="166" t="n">
        <v>-1787.10375</v>
      </c>
      <c r="AH26" s="166" t="n">
        <v>-1787.10375</v>
      </c>
      <c r="AI26" s="166" t="n">
        <v>-1787.10375</v>
      </c>
      <c r="AJ26" s="166" t="n">
        <v>-1787.10375</v>
      </c>
      <c r="AK26" s="166" t="n">
        <v>-1787.10375</v>
      </c>
      <c r="AL26" s="166" t="n">
        <v>-1787.10375</v>
      </c>
      <c r="AM26" s="166" t="n">
        <v>-1787.10375</v>
      </c>
      <c r="AN26" s="166" t="n">
        <v>-1787.10375</v>
      </c>
      <c r="AO26" s="166" t="n">
        <v>-1787.10375</v>
      </c>
      <c r="AP26" s="166" t="n">
        <v>-1822.845825</v>
      </c>
      <c r="AQ26" s="166" t="n">
        <v>-1822.845825</v>
      </c>
      <c r="AR26" s="166" t="n">
        <v>-1822.845825</v>
      </c>
      <c r="AS26" s="166" t="n">
        <v>-1822.845825</v>
      </c>
      <c r="AT26" s="166" t="n">
        <v>-1822.845825</v>
      </c>
      <c r="AU26" s="166" t="n">
        <v>-1822.845825</v>
      </c>
      <c r="AV26" s="166" t="n">
        <v>-1822.845825</v>
      </c>
      <c r="AW26" s="166" t="n">
        <v>-1822.845825</v>
      </c>
      <c r="AX26" s="166" t="n">
        <v>-1822.845825</v>
      </c>
      <c r="AY26" s="166" t="n">
        <v>-1822.845825</v>
      </c>
      <c r="AZ26" s="166" t="n">
        <v>-1822.845825</v>
      </c>
      <c r="BA26" s="166" t="n">
        <v>-1822.845825</v>
      </c>
      <c r="BB26" s="166" t="n">
        <v>-1859.3027415</v>
      </c>
      <c r="BC26" s="166" t="n">
        <v>-1859.3027415</v>
      </c>
      <c r="BD26" s="166" t="n">
        <v>-1859.3027415</v>
      </c>
      <c r="BE26" s="166" t="n">
        <v>-1859.3027415</v>
      </c>
      <c r="BF26" s="166" t="n">
        <v>-1859.3027415</v>
      </c>
      <c r="BG26" s="166" t="n">
        <v>-1859.3027415</v>
      </c>
      <c r="BH26" s="166" t="n">
        <v>-1859.3027415</v>
      </c>
      <c r="BI26" s="166" t="n">
        <v>-1859.3027415</v>
      </c>
      <c r="BJ26" s="166" t="n">
        <v>-1859.3027415</v>
      </c>
      <c r="BK26" s="166" t="n">
        <v>-1859.3027415</v>
      </c>
      <c r="BL26" s="166" t="n">
        <v>-1859.3027415</v>
      </c>
      <c r="BM26" s="166" t="n">
        <v>-1859.3027415</v>
      </c>
      <c r="BN26" s="166" t="n">
        <v>-1896.48879633</v>
      </c>
      <c r="BO26" s="166" t="n">
        <v>-1896.48879633</v>
      </c>
      <c r="BP26" s="166" t="n">
        <v>-1896.48879633</v>
      </c>
      <c r="BQ26" s="166" t="n">
        <v>-1896.48879633</v>
      </c>
      <c r="BR26" s="166" t="n">
        <v>-1896.48879633</v>
      </c>
      <c r="BS26" s="166" t="n">
        <v>-1896.48879633</v>
      </c>
      <c r="BT26" s="166" t="n">
        <v>-1896.48879633</v>
      </c>
      <c r="BU26" s="166" t="n">
        <v>-1896.48879633</v>
      </c>
      <c r="BV26" s="166" t="n">
        <v>-1896.48879633</v>
      </c>
      <c r="BW26" s="166" t="n">
        <v>-1896.48879633</v>
      </c>
      <c r="BX26" s="166" t="n">
        <v>-1896.48879633</v>
      </c>
      <c r="BY26" s="166" t="n">
        <v>-1896.48879633</v>
      </c>
      <c r="BZ26" s="166" t="n">
        <v>-1934.4185722566</v>
      </c>
      <c r="CA26" s="166" t="n">
        <v>-1934.4185722566</v>
      </c>
      <c r="CB26" s="166" t="n">
        <v>-1934.4185722566</v>
      </c>
      <c r="CC26" s="166" t="n">
        <v>-1934.4185722566</v>
      </c>
      <c r="CD26" s="166" t="n">
        <v>-1934.4185722566</v>
      </c>
      <c r="CE26" s="166" t="n">
        <v>-1934.4185722566</v>
      </c>
      <c r="CF26" s="166" t="n">
        <v>-1934.4185722566</v>
      </c>
      <c r="CG26" s="166" t="n">
        <v>-1934.4185722566</v>
      </c>
      <c r="CH26" s="166" t="n">
        <v>-1934.4185722566</v>
      </c>
      <c r="CI26" s="166" t="n">
        <v>-1934.4185722566</v>
      </c>
      <c r="CJ26" s="166" t="n">
        <v>-1934.4185722566</v>
      </c>
      <c r="CK26" s="166" t="n">
        <v>-1934.4185722566</v>
      </c>
      <c r="CL26" s="166" t="n">
        <v>-1973.10694370173</v>
      </c>
      <c r="CM26" s="166" t="n">
        <v>-1973.10694370173</v>
      </c>
      <c r="CN26" s="166" t="n">
        <v>-1973.10694370173</v>
      </c>
      <c r="CO26" s="166" t="n">
        <v>-1973.10694370173</v>
      </c>
      <c r="CP26" s="166" t="n">
        <v>-1973.10694370173</v>
      </c>
      <c r="CQ26" s="166" t="n">
        <v>-1973.10694370173</v>
      </c>
      <c r="CR26" s="166" t="n">
        <v>-1973.10694370173</v>
      </c>
      <c r="CS26" s="166" t="n">
        <v>-1973.10694370173</v>
      </c>
      <c r="CT26" s="166" t="n">
        <v>-1973.10694370173</v>
      </c>
      <c r="CU26" s="166" t="n">
        <v>0</v>
      </c>
      <c r="CV26" s="166" t="n">
        <v>0</v>
      </c>
      <c r="CW26" s="166" t="n">
        <v>0</v>
      </c>
      <c r="CX26" s="166" t="n">
        <v>0</v>
      </c>
      <c r="CY26" s="166" t="n">
        <v>0</v>
      </c>
      <c r="CZ26" s="166" t="n">
        <v>0</v>
      </c>
      <c r="DA26" s="166" t="n">
        <v>0</v>
      </c>
      <c r="DB26" s="166" t="n">
        <v>0</v>
      </c>
      <c r="DC26" s="166" t="n">
        <v>0</v>
      </c>
      <c r="DD26" s="166" t="n">
        <v>0</v>
      </c>
      <c r="DE26" s="166" t="n">
        <v>0</v>
      </c>
      <c r="DF26" s="166" t="n">
        <v>0</v>
      </c>
    </row>
    <row r="27" customFormat="false" ht="15" hidden="false" customHeight="true" outlineLevel="0" collapsed="false">
      <c r="A27" s="140" t="s">
        <v>66</v>
      </c>
      <c r="C27" s="125" t="n">
        <v>-33002.28</v>
      </c>
      <c r="D27" s="125" t="n">
        <v>-29166.66</v>
      </c>
      <c r="E27" s="125" t="n">
        <v>-41666.66</v>
      </c>
      <c r="F27" s="166" t="n">
        <v>-29166.66</v>
      </c>
      <c r="G27" s="166" t="n">
        <v>-29166.66</v>
      </c>
      <c r="H27" s="166" t="n">
        <v>-29166.66</v>
      </c>
      <c r="I27" s="166" t="n">
        <v>-29166.66</v>
      </c>
      <c r="J27" s="166" t="n">
        <v>-29166.66</v>
      </c>
      <c r="K27" s="166" t="n">
        <v>-29166.66</v>
      </c>
      <c r="L27" s="166" t="n">
        <v>-29166.66</v>
      </c>
      <c r="M27" s="166" t="n">
        <v>-29166.66</v>
      </c>
      <c r="N27" s="166" t="n">
        <v>-29166.66</v>
      </c>
      <c r="O27" s="166" t="n">
        <v>-29166.66</v>
      </c>
      <c r="P27" s="166" t="n">
        <v>-29166.66</v>
      </c>
      <c r="Q27" s="166" t="n">
        <v>-29166.66</v>
      </c>
      <c r="R27" s="166" t="n">
        <v>-29749.9932</v>
      </c>
      <c r="S27" s="166" t="n">
        <v>-29749.9932</v>
      </c>
      <c r="T27" s="166" t="n">
        <v>-29749.9932</v>
      </c>
      <c r="U27" s="166" t="n">
        <v>-29749.9932</v>
      </c>
      <c r="V27" s="166" t="n">
        <v>-29749.9932</v>
      </c>
      <c r="W27" s="166" t="n">
        <v>-29749.9932</v>
      </c>
      <c r="X27" s="166" t="n">
        <v>-29749.9932</v>
      </c>
      <c r="Y27" s="166" t="n">
        <v>-29749.9932</v>
      </c>
      <c r="Z27" s="166" t="n">
        <v>-29749.9932</v>
      </c>
      <c r="AA27" s="166" t="n">
        <v>-29749.9932</v>
      </c>
      <c r="AB27" s="166" t="n">
        <v>-29749.9932</v>
      </c>
      <c r="AC27" s="166" t="n">
        <v>-29749.9932</v>
      </c>
      <c r="AD27" s="166" t="n">
        <v>-30344.993064</v>
      </c>
      <c r="AE27" s="166" t="n">
        <v>-30344.993064</v>
      </c>
      <c r="AF27" s="166" t="n">
        <v>-30344.993064</v>
      </c>
      <c r="AG27" s="166" t="n">
        <v>-30344.993064</v>
      </c>
      <c r="AH27" s="166" t="n">
        <v>-30344.993064</v>
      </c>
      <c r="AI27" s="166" t="n">
        <v>-30344.993064</v>
      </c>
      <c r="AJ27" s="166" t="n">
        <v>-30344.993064</v>
      </c>
      <c r="AK27" s="166" t="n">
        <v>-30344.993064</v>
      </c>
      <c r="AL27" s="166" t="n">
        <v>-30344.993064</v>
      </c>
      <c r="AM27" s="166" t="n">
        <v>-30344.993064</v>
      </c>
      <c r="AN27" s="166" t="n">
        <v>-30344.993064</v>
      </c>
      <c r="AO27" s="166" t="n">
        <v>-30344.993064</v>
      </c>
      <c r="AP27" s="166" t="n">
        <v>-30951.89292528</v>
      </c>
      <c r="AQ27" s="166" t="n">
        <v>-30951.89292528</v>
      </c>
      <c r="AR27" s="166" t="n">
        <v>-30951.89292528</v>
      </c>
      <c r="AS27" s="166" t="n">
        <v>-30951.89292528</v>
      </c>
      <c r="AT27" s="166" t="n">
        <v>-30951.89292528</v>
      </c>
      <c r="AU27" s="166" t="n">
        <v>-30951.89292528</v>
      </c>
      <c r="AV27" s="166" t="n">
        <v>-30951.89292528</v>
      </c>
      <c r="AW27" s="166" t="n">
        <v>-30951.89292528</v>
      </c>
      <c r="AX27" s="166" t="n">
        <v>-30951.89292528</v>
      </c>
      <c r="AY27" s="166" t="n">
        <v>-30951.89292528</v>
      </c>
      <c r="AZ27" s="166" t="n">
        <v>-30951.89292528</v>
      </c>
      <c r="BA27" s="166" t="n">
        <v>-30951.89292528</v>
      </c>
      <c r="BB27" s="166" t="n">
        <v>-31570.9307837856</v>
      </c>
      <c r="BC27" s="166" t="n">
        <v>-31570.9307837856</v>
      </c>
      <c r="BD27" s="166" t="n">
        <v>-31570.9307837856</v>
      </c>
      <c r="BE27" s="166" t="n">
        <v>-31570.9307837856</v>
      </c>
      <c r="BF27" s="166" t="n">
        <v>-31570.9307837856</v>
      </c>
      <c r="BG27" s="166" t="n">
        <v>-31570.9307837856</v>
      </c>
      <c r="BH27" s="166" t="n">
        <v>-31570.9307837856</v>
      </c>
      <c r="BI27" s="166" t="n">
        <v>-31570.9307837856</v>
      </c>
      <c r="BJ27" s="166" t="n">
        <v>-31570.9307837856</v>
      </c>
      <c r="BK27" s="166" t="n">
        <v>-31570.9307837856</v>
      </c>
      <c r="BL27" s="166" t="n">
        <v>-31570.9307837856</v>
      </c>
      <c r="BM27" s="166" t="n">
        <v>-31570.9307837856</v>
      </c>
      <c r="BN27" s="166" t="n">
        <v>-32202.3493994613</v>
      </c>
      <c r="BO27" s="166" t="n">
        <v>-32202.3493994613</v>
      </c>
      <c r="BP27" s="166" t="n">
        <v>-32202.3493994613</v>
      </c>
      <c r="BQ27" s="166" t="n">
        <v>-32202.3493994613</v>
      </c>
      <c r="BR27" s="166" t="n">
        <v>-32202.3493994613</v>
      </c>
      <c r="BS27" s="166" t="n">
        <v>-32202.3493994613</v>
      </c>
      <c r="BT27" s="166" t="n">
        <v>-32202.3493994613</v>
      </c>
      <c r="BU27" s="166" t="n">
        <v>-32202.3493994613</v>
      </c>
      <c r="BV27" s="166" t="n">
        <v>-32202.3493994613</v>
      </c>
      <c r="BW27" s="166" t="n">
        <v>-32202.3493994613</v>
      </c>
      <c r="BX27" s="166" t="n">
        <v>-32202.3493994613</v>
      </c>
      <c r="BY27" s="166" t="n">
        <v>-32202.3493994613</v>
      </c>
      <c r="BZ27" s="166" t="n">
        <v>-32846.3963874505</v>
      </c>
      <c r="CA27" s="166" t="n">
        <v>-32846.3963874505</v>
      </c>
      <c r="CB27" s="166" t="n">
        <v>-32846.3963874505</v>
      </c>
      <c r="CC27" s="166" t="n">
        <v>-32846.3963874505</v>
      </c>
      <c r="CD27" s="166" t="n">
        <v>-32846.3963874505</v>
      </c>
      <c r="CE27" s="166" t="n">
        <v>-32846.3963874505</v>
      </c>
      <c r="CF27" s="166" t="n">
        <v>-32846.3963874505</v>
      </c>
      <c r="CG27" s="166" t="n">
        <v>-32846.3963874505</v>
      </c>
      <c r="CH27" s="166" t="n">
        <v>-32846.3963874505</v>
      </c>
      <c r="CI27" s="166" t="n">
        <v>-32846.3963874505</v>
      </c>
      <c r="CJ27" s="166" t="n">
        <v>-32846.3963874505</v>
      </c>
      <c r="CK27" s="166" t="n">
        <v>-32846.3963874505</v>
      </c>
      <c r="CL27" s="166" t="n">
        <v>-33503.3243151996</v>
      </c>
      <c r="CM27" s="166" t="n">
        <v>-33503.3243151996</v>
      </c>
      <c r="CN27" s="166" t="n">
        <v>-33503.3243151996</v>
      </c>
      <c r="CO27" s="166" t="n">
        <v>-33503.3243151996</v>
      </c>
      <c r="CP27" s="166" t="n">
        <v>-33503.3243151996</v>
      </c>
      <c r="CQ27" s="166" t="n">
        <v>-33503.3243151996</v>
      </c>
      <c r="CR27" s="166" t="n">
        <v>-33503.3243151996</v>
      </c>
      <c r="CS27" s="166" t="n">
        <v>-33503.3243151996</v>
      </c>
      <c r="CT27" s="166" t="n">
        <v>-33503.3243151996</v>
      </c>
      <c r="CU27" s="166" t="n">
        <v>-33503.3243151996</v>
      </c>
      <c r="CV27" s="166" t="n">
        <v>-33503.3243151996</v>
      </c>
      <c r="CW27" s="166" t="n">
        <v>-33503.3243151996</v>
      </c>
      <c r="CX27" s="166" t="n">
        <v>-34173.3908015035</v>
      </c>
      <c r="CY27" s="166" t="n">
        <v>-34173.3908015035</v>
      </c>
      <c r="CZ27" s="166" t="n">
        <v>-34173.3908015035</v>
      </c>
      <c r="DA27" s="166" t="n">
        <v>-34173.3908015035</v>
      </c>
      <c r="DB27" s="166" t="n">
        <v>-34173.3908015035</v>
      </c>
      <c r="DC27" s="166" t="n">
        <v>-34173.3908015035</v>
      </c>
      <c r="DD27" s="166" t="n">
        <v>-34173.3908015035</v>
      </c>
      <c r="DE27" s="166" t="n">
        <v>-34173.3908015035</v>
      </c>
      <c r="DF27" s="166" t="n">
        <v>-34173.3908015035</v>
      </c>
    </row>
    <row r="28" customFormat="false" ht="15" hidden="false" customHeight="true" outlineLevel="0" collapsed="false">
      <c r="A28" s="140" t="s">
        <v>67</v>
      </c>
      <c r="C28" s="125" t="n">
        <v>0</v>
      </c>
      <c r="D28" s="125" t="n">
        <v>0</v>
      </c>
      <c r="E28" s="125" t="n">
        <v>0</v>
      </c>
      <c r="F28" s="166" t="n">
        <v>0</v>
      </c>
      <c r="G28" s="166" t="n">
        <v>0</v>
      </c>
      <c r="H28" s="166" t="n">
        <v>0</v>
      </c>
      <c r="I28" s="166" t="n">
        <v>0</v>
      </c>
      <c r="J28" s="166" t="n">
        <v>0</v>
      </c>
      <c r="K28" s="166" t="n">
        <v>0</v>
      </c>
      <c r="L28" s="166" t="n">
        <v>0</v>
      </c>
      <c r="M28" s="166" t="n">
        <v>0</v>
      </c>
      <c r="N28" s="166" t="n">
        <v>0</v>
      </c>
      <c r="O28" s="166" t="n">
        <v>0</v>
      </c>
      <c r="P28" s="166" t="n">
        <v>0</v>
      </c>
      <c r="Q28" s="166" t="n">
        <v>0</v>
      </c>
      <c r="R28" s="166" t="n">
        <v>0</v>
      </c>
      <c r="S28" s="166" t="n">
        <v>0</v>
      </c>
      <c r="T28" s="166" t="n">
        <v>0</v>
      </c>
      <c r="U28" s="166" t="n">
        <v>0</v>
      </c>
      <c r="V28" s="166" t="n">
        <v>0</v>
      </c>
      <c r="W28" s="166" t="n">
        <v>0</v>
      </c>
      <c r="X28" s="166" t="n">
        <v>0</v>
      </c>
      <c r="Y28" s="166" t="n">
        <v>0</v>
      </c>
      <c r="Z28" s="166" t="n">
        <v>0</v>
      </c>
      <c r="AA28" s="166" t="n">
        <v>0</v>
      </c>
      <c r="AB28" s="166" t="n">
        <v>0</v>
      </c>
      <c r="AC28" s="166" t="n">
        <v>0</v>
      </c>
      <c r="AD28" s="166" t="n">
        <v>0</v>
      </c>
      <c r="AE28" s="166" t="n">
        <v>0</v>
      </c>
      <c r="AF28" s="166" t="n">
        <v>0</v>
      </c>
      <c r="AG28" s="166" t="n">
        <v>0</v>
      </c>
      <c r="AH28" s="166" t="n">
        <v>0</v>
      </c>
      <c r="AI28" s="166" t="n">
        <v>0</v>
      </c>
      <c r="AJ28" s="166" t="n">
        <v>0</v>
      </c>
      <c r="AK28" s="166" t="n">
        <v>0</v>
      </c>
      <c r="AL28" s="166" t="n">
        <v>0</v>
      </c>
      <c r="AM28" s="166" t="n">
        <v>0</v>
      </c>
      <c r="AN28" s="166" t="n">
        <v>0</v>
      </c>
      <c r="AO28" s="166" t="n">
        <v>0</v>
      </c>
      <c r="AP28" s="166" t="n">
        <v>0</v>
      </c>
      <c r="AQ28" s="166" t="n">
        <v>0</v>
      </c>
      <c r="AR28" s="166" t="n">
        <v>0</v>
      </c>
      <c r="AS28" s="166" t="n">
        <v>0</v>
      </c>
      <c r="AT28" s="166" t="n">
        <v>0</v>
      </c>
      <c r="AU28" s="166" t="n">
        <v>0</v>
      </c>
      <c r="AV28" s="166" t="n">
        <v>0</v>
      </c>
      <c r="AW28" s="166" t="n">
        <v>0</v>
      </c>
      <c r="AX28" s="166" t="n">
        <v>0</v>
      </c>
      <c r="AY28" s="166" t="n">
        <v>0</v>
      </c>
      <c r="AZ28" s="166" t="n">
        <v>0</v>
      </c>
      <c r="BA28" s="166" t="n">
        <v>0</v>
      </c>
      <c r="BB28" s="166" t="n">
        <v>0</v>
      </c>
      <c r="BC28" s="166" t="n">
        <v>0</v>
      </c>
      <c r="BD28" s="166" t="n">
        <v>0</v>
      </c>
      <c r="BE28" s="166" t="n">
        <v>0</v>
      </c>
      <c r="BF28" s="166" t="n">
        <v>0</v>
      </c>
      <c r="BG28" s="166" t="n">
        <v>0</v>
      </c>
      <c r="BH28" s="166" t="n">
        <v>0</v>
      </c>
      <c r="BI28" s="166" t="n">
        <v>0</v>
      </c>
      <c r="BJ28" s="166" t="n">
        <v>0</v>
      </c>
      <c r="BK28" s="166" t="n">
        <v>0</v>
      </c>
      <c r="BL28" s="166" t="n">
        <v>0</v>
      </c>
      <c r="BM28" s="166" t="n">
        <v>0</v>
      </c>
      <c r="BN28" s="166" t="n">
        <v>0</v>
      </c>
      <c r="BO28" s="166" t="n">
        <v>0</v>
      </c>
      <c r="BP28" s="166" t="n">
        <v>0</v>
      </c>
      <c r="BQ28" s="166" t="n">
        <v>0</v>
      </c>
      <c r="BR28" s="166" t="n">
        <v>0</v>
      </c>
      <c r="BS28" s="166" t="n">
        <v>0</v>
      </c>
      <c r="BT28" s="166" t="n">
        <v>0</v>
      </c>
      <c r="BU28" s="166" t="n">
        <v>0</v>
      </c>
      <c r="BV28" s="166" t="n">
        <v>0</v>
      </c>
      <c r="BW28" s="166" t="n">
        <v>0</v>
      </c>
      <c r="BX28" s="166" t="n">
        <v>0</v>
      </c>
      <c r="BY28" s="166" t="n">
        <v>0</v>
      </c>
      <c r="BZ28" s="166" t="n">
        <v>0</v>
      </c>
      <c r="CA28" s="166" t="n">
        <v>0</v>
      </c>
      <c r="CB28" s="166" t="n">
        <v>0</v>
      </c>
      <c r="CC28" s="166" t="n">
        <v>0</v>
      </c>
      <c r="CD28" s="166" t="n">
        <v>0</v>
      </c>
      <c r="CE28" s="166" t="n">
        <v>0</v>
      </c>
      <c r="CF28" s="166" t="n">
        <v>0</v>
      </c>
      <c r="CG28" s="166" t="n">
        <v>0</v>
      </c>
      <c r="CH28" s="166" t="n">
        <v>0</v>
      </c>
      <c r="CI28" s="166" t="n">
        <v>0</v>
      </c>
      <c r="CJ28" s="166" t="n">
        <v>0</v>
      </c>
      <c r="CK28" s="166" t="n">
        <v>0</v>
      </c>
      <c r="CL28" s="166" t="n">
        <v>0</v>
      </c>
      <c r="CM28" s="166" t="n">
        <v>0</v>
      </c>
      <c r="CN28" s="166" t="n">
        <v>0</v>
      </c>
      <c r="CO28" s="166" t="n">
        <v>0</v>
      </c>
      <c r="CP28" s="166" t="n">
        <v>0</v>
      </c>
      <c r="CQ28" s="166" t="n">
        <v>0</v>
      </c>
      <c r="CR28" s="166" t="n">
        <v>0</v>
      </c>
      <c r="CS28" s="166" t="n">
        <v>0</v>
      </c>
      <c r="CT28" s="166" t="n">
        <v>0</v>
      </c>
      <c r="CU28" s="166" t="n">
        <v>0</v>
      </c>
      <c r="CV28" s="166" t="n">
        <v>0</v>
      </c>
      <c r="CW28" s="166" t="n">
        <v>0</v>
      </c>
      <c r="CX28" s="166" t="n">
        <v>0</v>
      </c>
      <c r="CY28" s="166" t="n">
        <v>0</v>
      </c>
      <c r="CZ28" s="166" t="n">
        <v>0</v>
      </c>
      <c r="DA28" s="166" t="n">
        <v>0</v>
      </c>
      <c r="DB28" s="166" t="n">
        <v>0</v>
      </c>
      <c r="DC28" s="166" t="n">
        <v>0</v>
      </c>
      <c r="DD28" s="166" t="n">
        <v>0</v>
      </c>
      <c r="DE28" s="166" t="n">
        <v>0</v>
      </c>
      <c r="DF28" s="166" t="n">
        <v>0</v>
      </c>
    </row>
    <row r="29" customFormat="false" ht="15" hidden="false" customHeight="true" outlineLevel="0" collapsed="false">
      <c r="A29" s="140" t="s">
        <v>68</v>
      </c>
      <c r="C29" s="125" t="n">
        <v>-10400</v>
      </c>
      <c r="D29" s="125" t="n">
        <v>-10400</v>
      </c>
      <c r="E29" s="125" t="n">
        <v>-400</v>
      </c>
      <c r="F29" s="166" t="n">
        <v>-10400</v>
      </c>
      <c r="G29" s="166" t="n">
        <v>-10400</v>
      </c>
      <c r="H29" s="166" t="n">
        <v>-10400</v>
      </c>
      <c r="I29" s="166" t="n">
        <v>-10400</v>
      </c>
      <c r="J29" s="166" t="n">
        <v>-10400</v>
      </c>
      <c r="K29" s="166" t="n">
        <v>-10400</v>
      </c>
      <c r="L29" s="166" t="n">
        <v>-10400</v>
      </c>
      <c r="M29" s="166" t="n">
        <v>-10400</v>
      </c>
      <c r="N29" s="166" t="n">
        <v>-10400</v>
      </c>
      <c r="O29" s="166" t="n">
        <v>-10400</v>
      </c>
      <c r="P29" s="166" t="n">
        <v>-10400</v>
      </c>
      <c r="Q29" s="166" t="n">
        <v>-10400</v>
      </c>
      <c r="R29" s="166" t="n">
        <v>-10608</v>
      </c>
      <c r="S29" s="166" t="n">
        <v>-10608</v>
      </c>
      <c r="T29" s="166" t="n">
        <v>-10608</v>
      </c>
      <c r="U29" s="166" t="n">
        <v>-10608</v>
      </c>
      <c r="V29" s="166" t="n">
        <v>-10608</v>
      </c>
      <c r="W29" s="166" t="n">
        <v>-10608</v>
      </c>
      <c r="X29" s="166" t="n">
        <v>-10608</v>
      </c>
      <c r="Y29" s="166" t="n">
        <v>-10608</v>
      </c>
      <c r="Z29" s="166" t="n">
        <v>-10608</v>
      </c>
      <c r="AA29" s="166" t="n">
        <v>-10608</v>
      </c>
      <c r="AB29" s="166" t="n">
        <v>-10608</v>
      </c>
      <c r="AC29" s="166" t="n">
        <v>-10608</v>
      </c>
      <c r="AD29" s="166" t="n">
        <v>-10820.16</v>
      </c>
      <c r="AE29" s="166" t="n">
        <v>-10820.16</v>
      </c>
      <c r="AF29" s="166" t="n">
        <v>-10820.16</v>
      </c>
      <c r="AG29" s="166" t="n">
        <v>-10820.16</v>
      </c>
      <c r="AH29" s="166" t="n">
        <v>-10820.16</v>
      </c>
      <c r="AI29" s="166" t="n">
        <v>-10820.16</v>
      </c>
      <c r="AJ29" s="166" t="n">
        <v>-10820.16</v>
      </c>
      <c r="AK29" s="166" t="n">
        <v>-10820.16</v>
      </c>
      <c r="AL29" s="166" t="n">
        <v>-10820.16</v>
      </c>
      <c r="AM29" s="166" t="n">
        <v>-10820.16</v>
      </c>
      <c r="AN29" s="166" t="n">
        <v>-10820.16</v>
      </c>
      <c r="AO29" s="166" t="n">
        <v>-10820.16</v>
      </c>
      <c r="AP29" s="166" t="n">
        <v>-11036.5632</v>
      </c>
      <c r="AQ29" s="166" t="n">
        <v>-11036.5632</v>
      </c>
      <c r="AR29" s="166" t="n">
        <v>-11036.5632</v>
      </c>
      <c r="AS29" s="166" t="n">
        <v>-11036.5632</v>
      </c>
      <c r="AT29" s="166" t="n">
        <v>-11036.5632</v>
      </c>
      <c r="AU29" s="166" t="n">
        <v>-11036.5632</v>
      </c>
      <c r="AV29" s="166" t="n">
        <v>-11036.5632</v>
      </c>
      <c r="AW29" s="166" t="n">
        <v>-11036.5632</v>
      </c>
      <c r="AX29" s="166" t="n">
        <v>-11036.5632</v>
      </c>
      <c r="AY29" s="166" t="n">
        <v>-11036.5632</v>
      </c>
      <c r="AZ29" s="166" t="n">
        <v>-11036.5632</v>
      </c>
      <c r="BA29" s="166" t="n">
        <v>-11036.5632</v>
      </c>
      <c r="BB29" s="166" t="n">
        <v>-11257.294464</v>
      </c>
      <c r="BC29" s="166" t="n">
        <v>-11257.294464</v>
      </c>
      <c r="BD29" s="166" t="n">
        <v>-11257.294464</v>
      </c>
      <c r="BE29" s="166" t="n">
        <v>-11257.294464</v>
      </c>
      <c r="BF29" s="166" t="n">
        <v>-11257.294464</v>
      </c>
      <c r="BG29" s="166" t="n">
        <v>-11257.294464</v>
      </c>
      <c r="BH29" s="166" t="n">
        <v>-11257.294464</v>
      </c>
      <c r="BI29" s="166" t="n">
        <v>-11257.294464</v>
      </c>
      <c r="BJ29" s="166" t="n">
        <v>-11257.294464</v>
      </c>
      <c r="BK29" s="166" t="n">
        <v>-11257.294464</v>
      </c>
      <c r="BL29" s="166" t="n">
        <v>-11257.294464</v>
      </c>
      <c r="BM29" s="166" t="n">
        <v>-11257.294464</v>
      </c>
      <c r="BN29" s="166" t="n">
        <v>-11482.44035328</v>
      </c>
      <c r="BO29" s="166" t="n">
        <v>-11482.44035328</v>
      </c>
      <c r="BP29" s="166" t="n">
        <v>-11482.44035328</v>
      </c>
      <c r="BQ29" s="166" t="n">
        <v>-11482.44035328</v>
      </c>
      <c r="BR29" s="166" t="n">
        <v>-11482.44035328</v>
      </c>
      <c r="BS29" s="166" t="n">
        <v>-11482.44035328</v>
      </c>
      <c r="BT29" s="166" t="n">
        <v>-11482.44035328</v>
      </c>
      <c r="BU29" s="166" t="n">
        <v>-11482.44035328</v>
      </c>
      <c r="BV29" s="166" t="n">
        <v>-11482.44035328</v>
      </c>
      <c r="BW29" s="166" t="n">
        <v>-11482.44035328</v>
      </c>
      <c r="BX29" s="166" t="n">
        <v>-11482.44035328</v>
      </c>
      <c r="BY29" s="166" t="n">
        <v>-11482.44035328</v>
      </c>
      <c r="BZ29" s="166" t="n">
        <v>-11712.0891603456</v>
      </c>
      <c r="CA29" s="166" t="n">
        <v>-11712.0891603456</v>
      </c>
      <c r="CB29" s="166" t="n">
        <v>-11712.0891603456</v>
      </c>
      <c r="CC29" s="166" t="n">
        <v>-11712.0891603456</v>
      </c>
      <c r="CD29" s="166" t="n">
        <v>-11712.0891603456</v>
      </c>
      <c r="CE29" s="166" t="n">
        <v>-11712.0891603456</v>
      </c>
      <c r="CF29" s="166" t="n">
        <v>-11712.0891603456</v>
      </c>
      <c r="CG29" s="166" t="n">
        <v>-11712.0891603456</v>
      </c>
      <c r="CH29" s="166" t="n">
        <v>-11712.0891603456</v>
      </c>
      <c r="CI29" s="166" t="n">
        <v>-11712.0891603456</v>
      </c>
      <c r="CJ29" s="166" t="n">
        <v>-11712.0891603456</v>
      </c>
      <c r="CK29" s="166" t="n">
        <v>-11712.0891603456</v>
      </c>
      <c r="CL29" s="166" t="n">
        <v>-11946.3309435525</v>
      </c>
      <c r="CM29" s="166" t="n">
        <v>-11946.3309435525</v>
      </c>
      <c r="CN29" s="166" t="n">
        <v>-11946.3309435525</v>
      </c>
      <c r="CO29" s="166" t="n">
        <v>-11946.3309435525</v>
      </c>
      <c r="CP29" s="166" t="n">
        <v>-11946.3309435525</v>
      </c>
      <c r="CQ29" s="166" t="n">
        <v>-11946.3309435525</v>
      </c>
      <c r="CR29" s="166" t="n">
        <v>-11946.3309435525</v>
      </c>
      <c r="CS29" s="166" t="n">
        <v>-11946.3309435525</v>
      </c>
      <c r="CT29" s="166" t="n">
        <v>-11946.3309435525</v>
      </c>
      <c r="CU29" s="166" t="n">
        <v>-11946.3309435525</v>
      </c>
      <c r="CV29" s="166" t="n">
        <v>-11946.3309435525</v>
      </c>
      <c r="CW29" s="166" t="n">
        <v>-11946.3309435525</v>
      </c>
      <c r="CX29" s="166" t="n">
        <v>-12185.2575624236</v>
      </c>
      <c r="CY29" s="166" t="n">
        <v>-12185.2575624236</v>
      </c>
      <c r="CZ29" s="166" t="n">
        <v>-12185.2575624236</v>
      </c>
      <c r="DA29" s="166" t="n">
        <v>-12185.2575624236</v>
      </c>
      <c r="DB29" s="166" t="n">
        <v>-12185.2575624236</v>
      </c>
      <c r="DC29" s="166" t="n">
        <v>-12185.2575624236</v>
      </c>
      <c r="DD29" s="166" t="n">
        <v>-12185.2575624236</v>
      </c>
      <c r="DE29" s="166" t="n">
        <v>-12185.2575624236</v>
      </c>
      <c r="DF29" s="166" t="n">
        <v>-12185.2575624236</v>
      </c>
    </row>
    <row r="30" customFormat="false" ht="15" hidden="false" customHeight="true" outlineLevel="0" collapsed="false">
      <c r="A30" s="140" t="s">
        <v>69</v>
      </c>
      <c r="C30" s="125" t="n">
        <v>-1988</v>
      </c>
      <c r="D30" s="125" t="n">
        <v>-955.32</v>
      </c>
      <c r="E30" s="125" t="n">
        <v>-9130.61</v>
      </c>
      <c r="F30" s="166" t="n">
        <v>-4024.64</v>
      </c>
      <c r="G30" s="166" t="n">
        <v>-4024.64</v>
      </c>
      <c r="H30" s="166" t="n">
        <v>-4024.64</v>
      </c>
      <c r="I30" s="166" t="n">
        <v>-4024.64</v>
      </c>
      <c r="J30" s="166" t="n">
        <v>-4024.64</v>
      </c>
      <c r="K30" s="166" t="n">
        <v>-4024.64</v>
      </c>
      <c r="L30" s="166" t="n">
        <v>-4024.64</v>
      </c>
      <c r="M30" s="166" t="n">
        <v>-4024.64</v>
      </c>
      <c r="N30" s="166" t="n">
        <v>-4024.64</v>
      </c>
      <c r="O30" s="166" t="n">
        <v>-4024.64</v>
      </c>
      <c r="P30" s="166" t="n">
        <v>-4024.64</v>
      </c>
      <c r="Q30" s="166" t="n">
        <v>-4024.64</v>
      </c>
      <c r="R30" s="166" t="n">
        <v>-4105.1328</v>
      </c>
      <c r="S30" s="166" t="n">
        <v>-4105.1328</v>
      </c>
      <c r="T30" s="166" t="n">
        <v>-4105.1328</v>
      </c>
      <c r="U30" s="166" t="n">
        <v>-4105.1328</v>
      </c>
      <c r="V30" s="166" t="n">
        <v>-4105.1328</v>
      </c>
      <c r="W30" s="166" t="n">
        <v>-4105.1328</v>
      </c>
      <c r="X30" s="166" t="n">
        <v>-4105.1328</v>
      </c>
      <c r="Y30" s="166" t="n">
        <v>-4105.1328</v>
      </c>
      <c r="Z30" s="166" t="n">
        <v>-4105.1328</v>
      </c>
      <c r="AA30" s="166" t="n">
        <v>-4105.1328</v>
      </c>
      <c r="AB30" s="166" t="n">
        <v>-4105.1328</v>
      </c>
      <c r="AC30" s="166" t="n">
        <v>-4105.1328</v>
      </c>
      <c r="AD30" s="166" t="n">
        <v>-4187.235456</v>
      </c>
      <c r="AE30" s="166" t="n">
        <v>-4187.235456</v>
      </c>
      <c r="AF30" s="166" t="n">
        <v>-4187.235456</v>
      </c>
      <c r="AG30" s="166" t="n">
        <v>-4187.235456</v>
      </c>
      <c r="AH30" s="166" t="n">
        <v>-4187.235456</v>
      </c>
      <c r="AI30" s="166" t="n">
        <v>-4187.235456</v>
      </c>
      <c r="AJ30" s="166" t="n">
        <v>-4187.235456</v>
      </c>
      <c r="AK30" s="166" t="n">
        <v>-4187.235456</v>
      </c>
      <c r="AL30" s="166" t="n">
        <v>-4187.235456</v>
      </c>
      <c r="AM30" s="166" t="n">
        <v>-4187.235456</v>
      </c>
      <c r="AN30" s="166" t="n">
        <v>-4187.235456</v>
      </c>
      <c r="AO30" s="166" t="n">
        <v>-4187.235456</v>
      </c>
      <c r="AP30" s="166" t="n">
        <v>-4270.98016512</v>
      </c>
      <c r="AQ30" s="166" t="n">
        <v>-4270.98016512</v>
      </c>
      <c r="AR30" s="166" t="n">
        <v>-4270.98016512</v>
      </c>
      <c r="AS30" s="166" t="n">
        <v>-4270.98016512</v>
      </c>
      <c r="AT30" s="166" t="n">
        <v>-4270.98016512</v>
      </c>
      <c r="AU30" s="166" t="n">
        <v>-4270.98016512</v>
      </c>
      <c r="AV30" s="166" t="n">
        <v>-4270.98016512</v>
      </c>
      <c r="AW30" s="166" t="n">
        <v>-4270.98016512</v>
      </c>
      <c r="AX30" s="166" t="n">
        <v>-4270.98016512</v>
      </c>
      <c r="AY30" s="166" t="n">
        <v>-4270.98016512</v>
      </c>
      <c r="AZ30" s="166" t="n">
        <v>-4270.98016512</v>
      </c>
      <c r="BA30" s="166" t="n">
        <v>-4270.98016512</v>
      </c>
      <c r="BB30" s="166" t="n">
        <v>-4356.3997684224</v>
      </c>
      <c r="BC30" s="166" t="n">
        <v>-4356.3997684224</v>
      </c>
      <c r="BD30" s="166" t="n">
        <v>-4356.3997684224</v>
      </c>
      <c r="BE30" s="166" t="n">
        <v>-4356.3997684224</v>
      </c>
      <c r="BF30" s="166" t="n">
        <v>-4356.3997684224</v>
      </c>
      <c r="BG30" s="166" t="n">
        <v>-4356.3997684224</v>
      </c>
      <c r="BH30" s="166" t="n">
        <v>-4356.3997684224</v>
      </c>
      <c r="BI30" s="166" t="n">
        <v>-4356.3997684224</v>
      </c>
      <c r="BJ30" s="166" t="n">
        <v>-4356.3997684224</v>
      </c>
      <c r="BK30" s="166" t="n">
        <v>-4356.3997684224</v>
      </c>
      <c r="BL30" s="166" t="n">
        <v>-4356.3997684224</v>
      </c>
      <c r="BM30" s="166" t="n">
        <v>-4356.3997684224</v>
      </c>
      <c r="BN30" s="166" t="n">
        <v>-4443.52776379085</v>
      </c>
      <c r="BO30" s="166" t="n">
        <v>-4443.52776379085</v>
      </c>
      <c r="BP30" s="166" t="n">
        <v>-4443.52776379085</v>
      </c>
      <c r="BQ30" s="166" t="n">
        <v>-4443.52776379085</v>
      </c>
      <c r="BR30" s="166" t="n">
        <v>-4443.52776379085</v>
      </c>
      <c r="BS30" s="166" t="n">
        <v>-4443.52776379085</v>
      </c>
      <c r="BT30" s="166" t="n">
        <v>-4443.52776379085</v>
      </c>
      <c r="BU30" s="166" t="n">
        <v>-4443.52776379085</v>
      </c>
      <c r="BV30" s="166" t="n">
        <v>-4443.52776379085</v>
      </c>
      <c r="BW30" s="166" t="n">
        <v>-4443.52776379085</v>
      </c>
      <c r="BX30" s="166" t="n">
        <v>-4443.52776379085</v>
      </c>
      <c r="BY30" s="166" t="n">
        <v>-4443.52776379085</v>
      </c>
      <c r="BZ30" s="166" t="n">
        <v>-4532.39831906667</v>
      </c>
      <c r="CA30" s="166" t="n">
        <v>-4532.39831906667</v>
      </c>
      <c r="CB30" s="166" t="n">
        <v>-4532.39831906667</v>
      </c>
      <c r="CC30" s="166" t="n">
        <v>-4532.39831906667</v>
      </c>
      <c r="CD30" s="166" t="n">
        <v>-4532.39831906667</v>
      </c>
      <c r="CE30" s="166" t="n">
        <v>-4532.39831906667</v>
      </c>
      <c r="CF30" s="166" t="n">
        <v>-4532.39831906667</v>
      </c>
      <c r="CG30" s="166" t="n">
        <v>-4532.39831906667</v>
      </c>
      <c r="CH30" s="166" t="n">
        <v>-4532.39831906667</v>
      </c>
      <c r="CI30" s="166" t="n">
        <v>-4532.39831906667</v>
      </c>
      <c r="CJ30" s="166" t="n">
        <v>-4532.39831906667</v>
      </c>
      <c r="CK30" s="166" t="n">
        <v>-4532.39831906667</v>
      </c>
      <c r="CL30" s="166" t="n">
        <v>-4623.046285448</v>
      </c>
      <c r="CM30" s="166" t="n">
        <v>-4623.046285448</v>
      </c>
      <c r="CN30" s="166" t="n">
        <v>-4623.046285448</v>
      </c>
      <c r="CO30" s="166" t="n">
        <v>-4623.046285448</v>
      </c>
      <c r="CP30" s="166" t="n">
        <v>-4623.046285448</v>
      </c>
      <c r="CQ30" s="166" t="n">
        <v>-4623.046285448</v>
      </c>
      <c r="CR30" s="166" t="n">
        <v>-4623.046285448</v>
      </c>
      <c r="CS30" s="166" t="n">
        <v>-4623.046285448</v>
      </c>
      <c r="CT30" s="166" t="n">
        <v>-4623.046285448</v>
      </c>
      <c r="CU30" s="166" t="n">
        <v>-4623.046285448</v>
      </c>
      <c r="CV30" s="166" t="n">
        <v>-4623.046285448</v>
      </c>
      <c r="CW30" s="166" t="n">
        <v>-4623.046285448</v>
      </c>
      <c r="CX30" s="166" t="n">
        <v>-4715.50721115696</v>
      </c>
      <c r="CY30" s="166" t="n">
        <v>-4715.50721115696</v>
      </c>
      <c r="CZ30" s="166" t="n">
        <v>-4715.50721115696</v>
      </c>
      <c r="DA30" s="166" t="n">
        <v>-4715.50721115696</v>
      </c>
      <c r="DB30" s="166" t="n">
        <v>-4715.50721115696</v>
      </c>
      <c r="DC30" s="166" t="n">
        <v>-4715.50721115696</v>
      </c>
      <c r="DD30" s="166" t="n">
        <v>-4715.50721115696</v>
      </c>
      <c r="DE30" s="166" t="n">
        <v>-4715.50721115696</v>
      </c>
      <c r="DF30" s="166" t="n">
        <v>-4715.50721115696</v>
      </c>
    </row>
    <row r="31" customFormat="false" ht="15" hidden="false" customHeight="true" outlineLevel="0" collapsed="false">
      <c r="A31" s="140" t="s">
        <v>70</v>
      </c>
      <c r="C31" s="125" t="n">
        <v>0</v>
      </c>
      <c r="D31" s="125" t="n">
        <v>0</v>
      </c>
      <c r="E31" s="125" t="n">
        <v>-1077.38</v>
      </c>
      <c r="F31" s="166" t="n">
        <v>-359.13</v>
      </c>
      <c r="G31" s="166" t="n">
        <v>-359.13</v>
      </c>
      <c r="H31" s="166" t="n">
        <v>-359.13</v>
      </c>
      <c r="I31" s="166" t="n">
        <v>-359.13</v>
      </c>
      <c r="J31" s="166" t="n">
        <v>-359.13</v>
      </c>
      <c r="K31" s="166" t="n">
        <v>-359.13</v>
      </c>
      <c r="L31" s="166" t="n">
        <v>-359.13</v>
      </c>
      <c r="M31" s="166" t="n">
        <v>-359.13</v>
      </c>
      <c r="N31" s="166" t="n">
        <v>-359.13</v>
      </c>
      <c r="O31" s="166" t="n">
        <v>-359.13</v>
      </c>
      <c r="P31" s="166" t="n">
        <v>-359.13</v>
      </c>
      <c r="Q31" s="166" t="n">
        <v>-359.13</v>
      </c>
      <c r="R31" s="166" t="n">
        <v>-366.3126</v>
      </c>
      <c r="S31" s="166" t="n">
        <v>-366.3126</v>
      </c>
      <c r="T31" s="166" t="n">
        <v>-366.3126</v>
      </c>
      <c r="U31" s="166" t="n">
        <v>-366.3126</v>
      </c>
      <c r="V31" s="166" t="n">
        <v>-366.3126</v>
      </c>
      <c r="W31" s="166" t="n">
        <v>-366.3126</v>
      </c>
      <c r="X31" s="166" t="n">
        <v>-366.3126</v>
      </c>
      <c r="Y31" s="166" t="n">
        <v>-366.3126</v>
      </c>
      <c r="Z31" s="166" t="n">
        <v>-366.3126</v>
      </c>
      <c r="AA31" s="166" t="n">
        <v>-366.3126</v>
      </c>
      <c r="AB31" s="166" t="n">
        <v>-366.3126</v>
      </c>
      <c r="AC31" s="166" t="n">
        <v>-366.3126</v>
      </c>
      <c r="AD31" s="166" t="n">
        <v>-373.638852</v>
      </c>
      <c r="AE31" s="166" t="n">
        <v>-373.638852</v>
      </c>
      <c r="AF31" s="166" t="n">
        <v>-373.638852</v>
      </c>
      <c r="AG31" s="166" t="n">
        <v>-373.638852</v>
      </c>
      <c r="AH31" s="166" t="n">
        <v>-373.638852</v>
      </c>
      <c r="AI31" s="166" t="n">
        <v>-373.638852</v>
      </c>
      <c r="AJ31" s="166" t="n">
        <v>-373.638852</v>
      </c>
      <c r="AK31" s="166" t="n">
        <v>-373.638852</v>
      </c>
      <c r="AL31" s="166" t="n">
        <v>-373.638852</v>
      </c>
      <c r="AM31" s="166" t="n">
        <v>-373.638852</v>
      </c>
      <c r="AN31" s="166" t="n">
        <v>-373.638852</v>
      </c>
      <c r="AO31" s="166" t="n">
        <v>-373.638852</v>
      </c>
      <c r="AP31" s="166" t="n">
        <v>-381.11162904</v>
      </c>
      <c r="AQ31" s="166" t="n">
        <v>-381.11162904</v>
      </c>
      <c r="AR31" s="166" t="n">
        <v>-381.11162904</v>
      </c>
      <c r="AS31" s="166" t="n">
        <v>-381.11162904</v>
      </c>
      <c r="AT31" s="166" t="n">
        <v>-381.11162904</v>
      </c>
      <c r="AU31" s="166" t="n">
        <v>-381.11162904</v>
      </c>
      <c r="AV31" s="166" t="n">
        <v>-381.11162904</v>
      </c>
      <c r="AW31" s="166" t="n">
        <v>-381.11162904</v>
      </c>
      <c r="AX31" s="166" t="n">
        <v>-381.11162904</v>
      </c>
      <c r="AY31" s="166" t="n">
        <v>-381.11162904</v>
      </c>
      <c r="AZ31" s="166" t="n">
        <v>-381.11162904</v>
      </c>
      <c r="BA31" s="166" t="n">
        <v>-381.11162904</v>
      </c>
      <c r="BB31" s="166" t="n">
        <v>-388.7338616208</v>
      </c>
      <c r="BC31" s="166" t="n">
        <v>-388.7338616208</v>
      </c>
      <c r="BD31" s="166" t="n">
        <v>-388.7338616208</v>
      </c>
      <c r="BE31" s="166" t="n">
        <v>-388.7338616208</v>
      </c>
      <c r="BF31" s="166" t="n">
        <v>-388.7338616208</v>
      </c>
      <c r="BG31" s="166" t="n">
        <v>-388.7338616208</v>
      </c>
      <c r="BH31" s="166" t="n">
        <v>-388.7338616208</v>
      </c>
      <c r="BI31" s="166" t="n">
        <v>-388.7338616208</v>
      </c>
      <c r="BJ31" s="166" t="n">
        <v>-388.7338616208</v>
      </c>
      <c r="BK31" s="166" t="n">
        <v>-388.7338616208</v>
      </c>
      <c r="BL31" s="166" t="n">
        <v>-388.7338616208</v>
      </c>
      <c r="BM31" s="166" t="n">
        <v>-388.7338616208</v>
      </c>
      <c r="BN31" s="166" t="n">
        <v>-396.508538853216</v>
      </c>
      <c r="BO31" s="166" t="n">
        <v>-396.508538853216</v>
      </c>
      <c r="BP31" s="166" t="n">
        <v>-396.508538853216</v>
      </c>
      <c r="BQ31" s="166" t="n">
        <v>-396.508538853216</v>
      </c>
      <c r="BR31" s="166" t="n">
        <v>-396.508538853216</v>
      </c>
      <c r="BS31" s="166" t="n">
        <v>-396.508538853216</v>
      </c>
      <c r="BT31" s="166" t="n">
        <v>-396.508538853216</v>
      </c>
      <c r="BU31" s="166" t="n">
        <v>-396.508538853216</v>
      </c>
      <c r="BV31" s="166" t="n">
        <v>-396.508538853216</v>
      </c>
      <c r="BW31" s="166" t="n">
        <v>-396.508538853216</v>
      </c>
      <c r="BX31" s="166" t="n">
        <v>-396.508538853216</v>
      </c>
      <c r="BY31" s="166" t="n">
        <v>-396.508538853216</v>
      </c>
      <c r="BZ31" s="166" t="n">
        <v>-404.43870963028</v>
      </c>
      <c r="CA31" s="166" t="n">
        <v>-404.43870963028</v>
      </c>
      <c r="CB31" s="166" t="n">
        <v>-404.43870963028</v>
      </c>
      <c r="CC31" s="166" t="n">
        <v>-404.43870963028</v>
      </c>
      <c r="CD31" s="166" t="n">
        <v>-404.43870963028</v>
      </c>
      <c r="CE31" s="166" t="n">
        <v>-404.43870963028</v>
      </c>
      <c r="CF31" s="166" t="n">
        <v>-404.43870963028</v>
      </c>
      <c r="CG31" s="166" t="n">
        <v>-404.43870963028</v>
      </c>
      <c r="CH31" s="166" t="n">
        <v>-404.43870963028</v>
      </c>
      <c r="CI31" s="166" t="n">
        <v>-404.43870963028</v>
      </c>
      <c r="CJ31" s="166" t="n">
        <v>-404.43870963028</v>
      </c>
      <c r="CK31" s="166" t="n">
        <v>-404.43870963028</v>
      </c>
      <c r="CL31" s="166" t="n">
        <v>-412.527483822886</v>
      </c>
      <c r="CM31" s="166" t="n">
        <v>-412.527483822886</v>
      </c>
      <c r="CN31" s="166" t="n">
        <v>-412.527483822886</v>
      </c>
      <c r="CO31" s="166" t="n">
        <v>-412.527483822886</v>
      </c>
      <c r="CP31" s="166" t="n">
        <v>-412.527483822886</v>
      </c>
      <c r="CQ31" s="166" t="n">
        <v>-412.527483822886</v>
      </c>
      <c r="CR31" s="166" t="n">
        <v>-412.527483822886</v>
      </c>
      <c r="CS31" s="166" t="n">
        <v>-412.527483822886</v>
      </c>
      <c r="CT31" s="166" t="n">
        <v>-412.527483822886</v>
      </c>
      <c r="CU31" s="166" t="n">
        <v>-412.527483822886</v>
      </c>
      <c r="CV31" s="166" t="n">
        <v>-412.527483822886</v>
      </c>
      <c r="CW31" s="166" t="n">
        <v>-412.527483822886</v>
      </c>
      <c r="CX31" s="166" t="n">
        <v>-420.778033499344</v>
      </c>
      <c r="CY31" s="166" t="n">
        <v>-420.778033499344</v>
      </c>
      <c r="CZ31" s="166" t="n">
        <v>-420.778033499344</v>
      </c>
      <c r="DA31" s="166" t="n">
        <v>-420.778033499344</v>
      </c>
      <c r="DB31" s="166" t="n">
        <v>-420.778033499344</v>
      </c>
      <c r="DC31" s="166" t="n">
        <v>-420.778033499344</v>
      </c>
      <c r="DD31" s="166" t="n">
        <v>-420.778033499344</v>
      </c>
      <c r="DE31" s="166" t="n">
        <v>-420.778033499344</v>
      </c>
      <c r="DF31" s="166" t="n">
        <v>-420.778033499344</v>
      </c>
    </row>
    <row r="32" customFormat="false" ht="15" hidden="false" customHeight="true" outlineLevel="0" collapsed="false">
      <c r="A32" s="120" t="s">
        <v>71</v>
      </c>
      <c r="C32" s="167" t="n">
        <v>-79</v>
      </c>
      <c r="D32" s="167" t="n">
        <v>0</v>
      </c>
      <c r="E32" s="167" t="n">
        <v>0</v>
      </c>
      <c r="F32" s="168" t="n">
        <v>-26.33</v>
      </c>
      <c r="G32" s="168" t="n">
        <v>-26.33</v>
      </c>
      <c r="H32" s="168" t="n">
        <v>-26.33</v>
      </c>
      <c r="I32" s="168" t="n">
        <v>-26.33</v>
      </c>
      <c r="J32" s="168" t="n">
        <v>-26.33</v>
      </c>
      <c r="K32" s="168" t="n">
        <v>-26.33</v>
      </c>
      <c r="L32" s="168" t="n">
        <v>-26.33</v>
      </c>
      <c r="M32" s="168" t="n">
        <v>-26.33</v>
      </c>
      <c r="N32" s="168" t="n">
        <v>-26.33</v>
      </c>
      <c r="O32" s="168" t="n">
        <v>-26.33</v>
      </c>
      <c r="P32" s="168" t="n">
        <v>-26.33</v>
      </c>
      <c r="Q32" s="168" t="n">
        <v>-26.33</v>
      </c>
      <c r="R32" s="168" t="n">
        <v>-26.8566</v>
      </c>
      <c r="S32" s="168" t="n">
        <v>-26.8566</v>
      </c>
      <c r="T32" s="168" t="n">
        <v>-26.8566</v>
      </c>
      <c r="U32" s="168" t="n">
        <v>-26.8566</v>
      </c>
      <c r="V32" s="168" t="n">
        <v>-26.8566</v>
      </c>
      <c r="W32" s="168" t="n">
        <v>-26.8566</v>
      </c>
      <c r="X32" s="168" t="n">
        <v>-26.8566</v>
      </c>
      <c r="Y32" s="168" t="n">
        <v>-26.8566</v>
      </c>
      <c r="Z32" s="168" t="n">
        <v>-26.8566</v>
      </c>
      <c r="AA32" s="168" t="n">
        <v>-26.8566</v>
      </c>
      <c r="AB32" s="168" t="n">
        <v>-26.8566</v>
      </c>
      <c r="AC32" s="168" t="n">
        <v>-26.8566</v>
      </c>
      <c r="AD32" s="168" t="n">
        <v>-27.393732</v>
      </c>
      <c r="AE32" s="168" t="n">
        <v>-27.393732</v>
      </c>
      <c r="AF32" s="168" t="n">
        <v>-27.393732</v>
      </c>
      <c r="AG32" s="168" t="n">
        <v>-27.393732</v>
      </c>
      <c r="AH32" s="168" t="n">
        <v>-27.393732</v>
      </c>
      <c r="AI32" s="168" t="n">
        <v>-27.393732</v>
      </c>
      <c r="AJ32" s="168" t="n">
        <v>-27.393732</v>
      </c>
      <c r="AK32" s="168" t="n">
        <v>-27.393732</v>
      </c>
      <c r="AL32" s="168" t="n">
        <v>-27.393732</v>
      </c>
      <c r="AM32" s="168" t="n">
        <v>-27.393732</v>
      </c>
      <c r="AN32" s="168" t="n">
        <v>-27.393732</v>
      </c>
      <c r="AO32" s="168" t="n">
        <v>-27.393732</v>
      </c>
      <c r="AP32" s="168" t="n">
        <v>-27.94160664</v>
      </c>
      <c r="AQ32" s="168" t="n">
        <v>-27.94160664</v>
      </c>
      <c r="AR32" s="168" t="n">
        <v>-27.94160664</v>
      </c>
      <c r="AS32" s="168" t="n">
        <v>-27.94160664</v>
      </c>
      <c r="AT32" s="168" t="n">
        <v>-27.94160664</v>
      </c>
      <c r="AU32" s="168" t="n">
        <v>-27.94160664</v>
      </c>
      <c r="AV32" s="168" t="n">
        <v>-27.94160664</v>
      </c>
      <c r="AW32" s="168" t="n">
        <v>-27.94160664</v>
      </c>
      <c r="AX32" s="168" t="n">
        <v>-27.94160664</v>
      </c>
      <c r="AY32" s="168" t="n">
        <v>-27.94160664</v>
      </c>
      <c r="AZ32" s="168" t="n">
        <v>-27.94160664</v>
      </c>
      <c r="BA32" s="168" t="n">
        <v>-27.94160664</v>
      </c>
      <c r="BB32" s="168" t="n">
        <v>-28.5004387728</v>
      </c>
      <c r="BC32" s="168" t="n">
        <v>-28.5004387728</v>
      </c>
      <c r="BD32" s="168" t="n">
        <v>-28.5004387728</v>
      </c>
      <c r="BE32" s="168" t="n">
        <v>-28.5004387728</v>
      </c>
      <c r="BF32" s="168" t="n">
        <v>-28.5004387728</v>
      </c>
      <c r="BG32" s="168" t="n">
        <v>-28.5004387728</v>
      </c>
      <c r="BH32" s="168" t="n">
        <v>-28.5004387728</v>
      </c>
      <c r="BI32" s="168" t="n">
        <v>-28.5004387728</v>
      </c>
      <c r="BJ32" s="168" t="n">
        <v>-28.5004387728</v>
      </c>
      <c r="BK32" s="168" t="n">
        <v>-28.5004387728</v>
      </c>
      <c r="BL32" s="168" t="n">
        <v>-28.5004387728</v>
      </c>
      <c r="BM32" s="168" t="n">
        <v>-28.5004387728</v>
      </c>
      <c r="BN32" s="168" t="n">
        <v>-29.070447548256</v>
      </c>
      <c r="BO32" s="168" t="n">
        <v>-29.070447548256</v>
      </c>
      <c r="BP32" s="168" t="n">
        <v>-29.070447548256</v>
      </c>
      <c r="BQ32" s="168" t="n">
        <v>-29.070447548256</v>
      </c>
      <c r="BR32" s="168" t="n">
        <v>-29.070447548256</v>
      </c>
      <c r="BS32" s="168" t="n">
        <v>-29.070447548256</v>
      </c>
      <c r="BT32" s="168" t="n">
        <v>-29.070447548256</v>
      </c>
      <c r="BU32" s="168" t="n">
        <v>-29.070447548256</v>
      </c>
      <c r="BV32" s="168" t="n">
        <v>-29.070447548256</v>
      </c>
      <c r="BW32" s="168" t="n">
        <v>-29.070447548256</v>
      </c>
      <c r="BX32" s="168" t="n">
        <v>-29.070447548256</v>
      </c>
      <c r="BY32" s="168" t="n">
        <v>-29.070447548256</v>
      </c>
      <c r="BZ32" s="168" t="n">
        <v>-29.6518564992211</v>
      </c>
      <c r="CA32" s="168" t="n">
        <v>-29.6518564992211</v>
      </c>
      <c r="CB32" s="168" t="n">
        <v>-29.6518564992211</v>
      </c>
      <c r="CC32" s="168" t="n">
        <v>-29.6518564992211</v>
      </c>
      <c r="CD32" s="168" t="n">
        <v>-29.6518564992211</v>
      </c>
      <c r="CE32" s="168" t="n">
        <v>-29.6518564992211</v>
      </c>
      <c r="CF32" s="168" t="n">
        <v>-29.6518564992211</v>
      </c>
      <c r="CG32" s="168" t="n">
        <v>-29.6518564992211</v>
      </c>
      <c r="CH32" s="168" t="n">
        <v>-29.6518564992211</v>
      </c>
      <c r="CI32" s="168" t="n">
        <v>-29.6518564992211</v>
      </c>
      <c r="CJ32" s="168" t="n">
        <v>-29.6518564992211</v>
      </c>
      <c r="CK32" s="168" t="n">
        <v>-29.6518564992211</v>
      </c>
      <c r="CL32" s="168" t="n">
        <v>-30.2448936292055</v>
      </c>
      <c r="CM32" s="168" t="n">
        <v>-30.2448936292055</v>
      </c>
      <c r="CN32" s="168" t="n">
        <v>-30.2448936292055</v>
      </c>
      <c r="CO32" s="168" t="n">
        <v>-30.2448936292055</v>
      </c>
      <c r="CP32" s="168" t="n">
        <v>-30.2448936292055</v>
      </c>
      <c r="CQ32" s="168" t="n">
        <v>-30.2448936292055</v>
      </c>
      <c r="CR32" s="168" t="n">
        <v>-30.2448936292055</v>
      </c>
      <c r="CS32" s="168" t="n">
        <v>-30.2448936292055</v>
      </c>
      <c r="CT32" s="168" t="n">
        <v>-30.2448936292055</v>
      </c>
      <c r="CU32" s="168" t="n">
        <v>-30.2448936292055</v>
      </c>
      <c r="CV32" s="168" t="n">
        <v>-30.2448936292055</v>
      </c>
      <c r="CW32" s="168" t="n">
        <v>-30.2448936292055</v>
      </c>
      <c r="CX32" s="168" t="n">
        <v>-30.8497915017897</v>
      </c>
      <c r="CY32" s="168" t="n">
        <v>-30.8497915017897</v>
      </c>
      <c r="CZ32" s="168" t="n">
        <v>-30.8497915017897</v>
      </c>
      <c r="DA32" s="168" t="n">
        <v>-30.8497915017897</v>
      </c>
      <c r="DB32" s="168" t="n">
        <v>-30.8497915017897</v>
      </c>
      <c r="DC32" s="168" t="n">
        <v>-30.8497915017897</v>
      </c>
      <c r="DD32" s="168" t="n">
        <v>-30.8497915017897</v>
      </c>
      <c r="DE32" s="168" t="n">
        <v>-30.8497915017897</v>
      </c>
      <c r="DF32" s="168" t="n">
        <v>-30.8497915017897</v>
      </c>
    </row>
    <row r="33" customFormat="false" ht="15" hidden="false" customHeight="true" outlineLevel="0" collapsed="false">
      <c r="A33" s="140" t="s">
        <v>72</v>
      </c>
      <c r="C33" s="125" t="n">
        <v>-3405.64</v>
      </c>
      <c r="D33" s="125" t="n">
        <v>-5015.38</v>
      </c>
      <c r="E33" s="125" t="n">
        <v>-7481.39</v>
      </c>
      <c r="F33" s="166" t="n">
        <v>-5300.8</v>
      </c>
      <c r="G33" s="166" t="n">
        <v>-5300.8</v>
      </c>
      <c r="H33" s="166" t="n">
        <v>-5300.8</v>
      </c>
      <c r="I33" s="166" t="n">
        <v>-5300.8</v>
      </c>
      <c r="J33" s="166" t="n">
        <v>-5300.8</v>
      </c>
      <c r="K33" s="166" t="n">
        <v>-5300.8</v>
      </c>
      <c r="L33" s="166" t="n">
        <v>-5300.8</v>
      </c>
      <c r="M33" s="166" t="n">
        <v>-5300.8</v>
      </c>
      <c r="N33" s="166" t="n">
        <v>-5300.8</v>
      </c>
      <c r="O33" s="166" t="n">
        <v>-5300.8</v>
      </c>
      <c r="P33" s="166" t="n">
        <v>-5300.8</v>
      </c>
      <c r="Q33" s="166" t="n">
        <v>-5300.8</v>
      </c>
      <c r="R33" s="166" t="n">
        <v>-5406.816</v>
      </c>
      <c r="S33" s="166" t="n">
        <v>-5406.816</v>
      </c>
      <c r="T33" s="166" t="n">
        <v>-5406.816</v>
      </c>
      <c r="U33" s="166" t="n">
        <v>-5406.816</v>
      </c>
      <c r="V33" s="166" t="n">
        <v>-5406.816</v>
      </c>
      <c r="W33" s="166" t="n">
        <v>-5406.816</v>
      </c>
      <c r="X33" s="166" t="n">
        <v>-5406.816</v>
      </c>
      <c r="Y33" s="166" t="n">
        <v>-5406.816</v>
      </c>
      <c r="Z33" s="166" t="n">
        <v>-5406.816</v>
      </c>
      <c r="AA33" s="166" t="n">
        <v>-5406.816</v>
      </c>
      <c r="AB33" s="166" t="n">
        <v>-5406.816</v>
      </c>
      <c r="AC33" s="166" t="n">
        <v>-5406.816</v>
      </c>
      <c r="AD33" s="166" t="n">
        <v>-5514.95232</v>
      </c>
      <c r="AE33" s="166" t="n">
        <v>-5514.95232</v>
      </c>
      <c r="AF33" s="166" t="n">
        <v>-5514.95232</v>
      </c>
      <c r="AG33" s="166" t="n">
        <v>-5514.95232</v>
      </c>
      <c r="AH33" s="166" t="n">
        <v>-5514.95232</v>
      </c>
      <c r="AI33" s="166" t="n">
        <v>-5514.95232</v>
      </c>
      <c r="AJ33" s="166" t="n">
        <v>-5514.95232</v>
      </c>
      <c r="AK33" s="166" t="n">
        <v>-5514.95232</v>
      </c>
      <c r="AL33" s="166" t="n">
        <v>-5514.95232</v>
      </c>
      <c r="AM33" s="166" t="n">
        <v>-5514.95232</v>
      </c>
      <c r="AN33" s="166" t="n">
        <v>-5514.95232</v>
      </c>
      <c r="AO33" s="166" t="n">
        <v>-5514.95232</v>
      </c>
      <c r="AP33" s="166" t="n">
        <v>-5625.2513664</v>
      </c>
      <c r="AQ33" s="166" t="n">
        <v>-5625.2513664</v>
      </c>
      <c r="AR33" s="166" t="n">
        <v>-5625.2513664</v>
      </c>
      <c r="AS33" s="166" t="n">
        <v>-5625.2513664</v>
      </c>
      <c r="AT33" s="166" t="n">
        <v>-5625.2513664</v>
      </c>
      <c r="AU33" s="166" t="n">
        <v>-5625.2513664</v>
      </c>
      <c r="AV33" s="166" t="n">
        <v>-5625.2513664</v>
      </c>
      <c r="AW33" s="166" t="n">
        <v>-5625.2513664</v>
      </c>
      <c r="AX33" s="166" t="n">
        <v>-5625.2513664</v>
      </c>
      <c r="AY33" s="166" t="n">
        <v>-5625.2513664</v>
      </c>
      <c r="AZ33" s="166" t="n">
        <v>-5625.2513664</v>
      </c>
      <c r="BA33" s="166" t="n">
        <v>-5625.2513664</v>
      </c>
      <c r="BB33" s="166" t="n">
        <v>-5737.756393728</v>
      </c>
      <c r="BC33" s="166" t="n">
        <v>-5737.756393728</v>
      </c>
      <c r="BD33" s="166" t="n">
        <v>-5737.756393728</v>
      </c>
      <c r="BE33" s="166" t="n">
        <v>-5737.756393728</v>
      </c>
      <c r="BF33" s="166" t="n">
        <v>-5737.756393728</v>
      </c>
      <c r="BG33" s="166" t="n">
        <v>-5737.756393728</v>
      </c>
      <c r="BH33" s="166" t="n">
        <v>-5737.756393728</v>
      </c>
      <c r="BI33" s="166" t="n">
        <v>-5737.756393728</v>
      </c>
      <c r="BJ33" s="166" t="n">
        <v>-5737.756393728</v>
      </c>
      <c r="BK33" s="166" t="n">
        <v>-5737.756393728</v>
      </c>
      <c r="BL33" s="166" t="n">
        <v>-5737.756393728</v>
      </c>
      <c r="BM33" s="166" t="n">
        <v>-5737.756393728</v>
      </c>
      <c r="BN33" s="166" t="n">
        <v>-5852.51152160256</v>
      </c>
      <c r="BO33" s="166" t="n">
        <v>-5852.51152160256</v>
      </c>
      <c r="BP33" s="166" t="n">
        <v>-5852.51152160256</v>
      </c>
      <c r="BQ33" s="166" t="n">
        <v>-5852.51152160256</v>
      </c>
      <c r="BR33" s="166" t="n">
        <v>-5852.51152160256</v>
      </c>
      <c r="BS33" s="166" t="n">
        <v>-5852.51152160256</v>
      </c>
      <c r="BT33" s="166" t="n">
        <v>-5852.51152160256</v>
      </c>
      <c r="BU33" s="166" t="n">
        <v>-5852.51152160256</v>
      </c>
      <c r="BV33" s="166" t="n">
        <v>-5852.51152160256</v>
      </c>
      <c r="BW33" s="166" t="n">
        <v>-5852.51152160256</v>
      </c>
      <c r="BX33" s="166" t="n">
        <v>-5852.51152160256</v>
      </c>
      <c r="BY33" s="166" t="n">
        <v>-5852.51152160256</v>
      </c>
      <c r="BZ33" s="166" t="n">
        <v>-5969.56175203461</v>
      </c>
      <c r="CA33" s="166" t="n">
        <v>-5969.56175203461</v>
      </c>
      <c r="CB33" s="166" t="n">
        <v>-5969.56175203461</v>
      </c>
      <c r="CC33" s="166" t="n">
        <v>-5969.56175203461</v>
      </c>
      <c r="CD33" s="166" t="n">
        <v>-5969.56175203461</v>
      </c>
      <c r="CE33" s="166" t="n">
        <v>-5969.56175203461</v>
      </c>
      <c r="CF33" s="166" t="n">
        <v>-5969.56175203461</v>
      </c>
      <c r="CG33" s="166" t="n">
        <v>-5969.56175203461</v>
      </c>
      <c r="CH33" s="166" t="n">
        <v>-5969.56175203461</v>
      </c>
      <c r="CI33" s="166" t="n">
        <v>-5969.56175203461</v>
      </c>
      <c r="CJ33" s="166" t="n">
        <v>-5969.56175203461</v>
      </c>
      <c r="CK33" s="166" t="n">
        <v>-5969.56175203461</v>
      </c>
      <c r="CL33" s="166" t="n">
        <v>-6088.9529870753</v>
      </c>
      <c r="CM33" s="166" t="n">
        <v>-6088.9529870753</v>
      </c>
      <c r="CN33" s="166" t="n">
        <v>-6088.9529870753</v>
      </c>
      <c r="CO33" s="166" t="n">
        <v>-6088.9529870753</v>
      </c>
      <c r="CP33" s="166" t="n">
        <v>-6088.9529870753</v>
      </c>
      <c r="CQ33" s="166" t="n">
        <v>-6088.9529870753</v>
      </c>
      <c r="CR33" s="166" t="n">
        <v>-6088.9529870753</v>
      </c>
      <c r="CS33" s="166" t="n">
        <v>-6088.9529870753</v>
      </c>
      <c r="CT33" s="166" t="n">
        <v>-6088.9529870753</v>
      </c>
      <c r="CU33" s="166" t="n">
        <v>-6088.9529870753</v>
      </c>
      <c r="CV33" s="166" t="n">
        <v>-6088.9529870753</v>
      </c>
      <c r="CW33" s="166" t="n">
        <v>-6088.9529870753</v>
      </c>
      <c r="CX33" s="166" t="n">
        <v>-6210.73204681681</v>
      </c>
      <c r="CY33" s="166" t="n">
        <v>-6210.73204681681</v>
      </c>
      <c r="CZ33" s="166" t="n">
        <v>-6210.73204681681</v>
      </c>
      <c r="DA33" s="166" t="n">
        <v>-6210.73204681681</v>
      </c>
      <c r="DB33" s="166" t="n">
        <v>-6210.73204681681</v>
      </c>
      <c r="DC33" s="166" t="n">
        <v>-6210.73204681681</v>
      </c>
      <c r="DD33" s="166" t="n">
        <v>-6210.73204681681</v>
      </c>
      <c r="DE33" s="166" t="n">
        <v>-6210.73204681681</v>
      </c>
      <c r="DF33" s="166" t="n">
        <v>-6210.73204681681</v>
      </c>
    </row>
    <row r="34" customFormat="false" ht="15" hidden="false" customHeight="true" outlineLevel="0" collapsed="false">
      <c r="A34" s="140" t="s">
        <v>73</v>
      </c>
      <c r="C34" s="125" t="n">
        <v>0</v>
      </c>
      <c r="D34" s="125" t="n">
        <v>-1766.48</v>
      </c>
      <c r="E34" s="125" t="n">
        <v>-441.62</v>
      </c>
      <c r="F34" s="166" t="n">
        <v>-736.03</v>
      </c>
      <c r="G34" s="166" t="n">
        <v>-736.03</v>
      </c>
      <c r="H34" s="166" t="n">
        <v>-736.03</v>
      </c>
      <c r="I34" s="166" t="n">
        <v>-736.03</v>
      </c>
      <c r="J34" s="166" t="n">
        <v>-736.03</v>
      </c>
      <c r="K34" s="166" t="n">
        <v>-736.03</v>
      </c>
      <c r="L34" s="166" t="n">
        <v>-736.03</v>
      </c>
      <c r="M34" s="166" t="n">
        <v>-736.03</v>
      </c>
      <c r="N34" s="166" t="n">
        <v>-736.03</v>
      </c>
      <c r="O34" s="166" t="n">
        <v>-736.03</v>
      </c>
      <c r="P34" s="166" t="n">
        <v>-736.03</v>
      </c>
      <c r="Q34" s="166" t="n">
        <v>-736.03</v>
      </c>
      <c r="R34" s="166" t="n">
        <v>-750.7506</v>
      </c>
      <c r="S34" s="166" t="n">
        <v>-750.7506</v>
      </c>
      <c r="T34" s="166" t="n">
        <v>-750.7506</v>
      </c>
      <c r="U34" s="166" t="n">
        <v>-750.7506</v>
      </c>
      <c r="V34" s="166" t="n">
        <v>-750.7506</v>
      </c>
      <c r="W34" s="166" t="n">
        <v>-750.7506</v>
      </c>
      <c r="X34" s="166" t="n">
        <v>-750.7506</v>
      </c>
      <c r="Y34" s="166" t="n">
        <v>-750.7506</v>
      </c>
      <c r="Z34" s="166" t="n">
        <v>-750.7506</v>
      </c>
      <c r="AA34" s="166" t="n">
        <v>-750.7506</v>
      </c>
      <c r="AB34" s="166" t="n">
        <v>-750.7506</v>
      </c>
      <c r="AC34" s="166" t="n">
        <v>-750.7506</v>
      </c>
      <c r="AD34" s="166" t="n">
        <v>-765.765612</v>
      </c>
      <c r="AE34" s="166" t="n">
        <v>-765.765612</v>
      </c>
      <c r="AF34" s="166" t="n">
        <v>-765.765612</v>
      </c>
      <c r="AG34" s="166" t="n">
        <v>-765.765612</v>
      </c>
      <c r="AH34" s="166" t="n">
        <v>-765.765612</v>
      </c>
      <c r="AI34" s="166" t="n">
        <v>-765.765612</v>
      </c>
      <c r="AJ34" s="166" t="n">
        <v>-765.765612</v>
      </c>
      <c r="AK34" s="166" t="n">
        <v>-765.765612</v>
      </c>
      <c r="AL34" s="166" t="n">
        <v>-765.765612</v>
      </c>
      <c r="AM34" s="166" t="n">
        <v>-765.765612</v>
      </c>
      <c r="AN34" s="166" t="n">
        <v>-765.765612</v>
      </c>
      <c r="AO34" s="166" t="n">
        <v>-765.765612</v>
      </c>
      <c r="AP34" s="166" t="n">
        <v>-781.08092424</v>
      </c>
      <c r="AQ34" s="166" t="n">
        <v>-781.08092424</v>
      </c>
      <c r="AR34" s="166" t="n">
        <v>-781.08092424</v>
      </c>
      <c r="AS34" s="166" t="n">
        <v>-781.08092424</v>
      </c>
      <c r="AT34" s="166" t="n">
        <v>-781.08092424</v>
      </c>
      <c r="AU34" s="166" t="n">
        <v>-781.08092424</v>
      </c>
      <c r="AV34" s="166" t="n">
        <v>-781.08092424</v>
      </c>
      <c r="AW34" s="166" t="n">
        <v>-781.08092424</v>
      </c>
      <c r="AX34" s="166" t="n">
        <v>-781.08092424</v>
      </c>
      <c r="AY34" s="166" t="n">
        <v>-781.08092424</v>
      </c>
      <c r="AZ34" s="166" t="n">
        <v>-781.08092424</v>
      </c>
      <c r="BA34" s="166" t="n">
        <v>-781.08092424</v>
      </c>
      <c r="BB34" s="166" t="n">
        <v>-796.7025427248</v>
      </c>
      <c r="BC34" s="166" t="n">
        <v>-796.7025427248</v>
      </c>
      <c r="BD34" s="166" t="n">
        <v>-796.7025427248</v>
      </c>
      <c r="BE34" s="166" t="n">
        <v>-796.7025427248</v>
      </c>
      <c r="BF34" s="166" t="n">
        <v>-796.7025427248</v>
      </c>
      <c r="BG34" s="166" t="n">
        <v>-796.7025427248</v>
      </c>
      <c r="BH34" s="166" t="n">
        <v>-796.7025427248</v>
      </c>
      <c r="BI34" s="166" t="n">
        <v>-796.7025427248</v>
      </c>
      <c r="BJ34" s="166" t="n">
        <v>-796.7025427248</v>
      </c>
      <c r="BK34" s="166" t="n">
        <v>-796.7025427248</v>
      </c>
      <c r="BL34" s="166" t="n">
        <v>-796.7025427248</v>
      </c>
      <c r="BM34" s="166" t="n">
        <v>-796.7025427248</v>
      </c>
      <c r="BN34" s="166" t="n">
        <v>-812.636593579296</v>
      </c>
      <c r="BO34" s="166" t="n">
        <v>-812.636593579296</v>
      </c>
      <c r="BP34" s="166" t="n">
        <v>-812.636593579296</v>
      </c>
      <c r="BQ34" s="166" t="n">
        <v>-812.636593579296</v>
      </c>
      <c r="BR34" s="166" t="n">
        <v>-812.636593579296</v>
      </c>
      <c r="BS34" s="166" t="n">
        <v>-812.636593579296</v>
      </c>
      <c r="BT34" s="166" t="n">
        <v>-812.636593579296</v>
      </c>
      <c r="BU34" s="166" t="n">
        <v>-812.636593579296</v>
      </c>
      <c r="BV34" s="166" t="n">
        <v>-812.636593579296</v>
      </c>
      <c r="BW34" s="166" t="n">
        <v>-812.636593579296</v>
      </c>
      <c r="BX34" s="166" t="n">
        <v>-812.636593579296</v>
      </c>
      <c r="BY34" s="166" t="n">
        <v>-812.636593579296</v>
      </c>
      <c r="BZ34" s="166" t="n">
        <v>-828.889325450882</v>
      </c>
      <c r="CA34" s="166" t="n">
        <v>-828.889325450882</v>
      </c>
      <c r="CB34" s="166" t="n">
        <v>-828.889325450882</v>
      </c>
      <c r="CC34" s="166" t="n">
        <v>-828.889325450882</v>
      </c>
      <c r="CD34" s="166" t="n">
        <v>-828.889325450882</v>
      </c>
      <c r="CE34" s="166" t="n">
        <v>-828.889325450882</v>
      </c>
      <c r="CF34" s="166" t="n">
        <v>-828.889325450882</v>
      </c>
      <c r="CG34" s="166" t="n">
        <v>-828.889325450882</v>
      </c>
      <c r="CH34" s="166" t="n">
        <v>-828.889325450882</v>
      </c>
      <c r="CI34" s="166" t="n">
        <v>-828.889325450882</v>
      </c>
      <c r="CJ34" s="166" t="n">
        <v>-828.889325450882</v>
      </c>
      <c r="CK34" s="166" t="n">
        <v>-828.889325450882</v>
      </c>
      <c r="CL34" s="166" t="n">
        <v>-845.4671119599</v>
      </c>
      <c r="CM34" s="166" t="n">
        <v>-845.4671119599</v>
      </c>
      <c r="CN34" s="166" t="n">
        <v>-845.4671119599</v>
      </c>
      <c r="CO34" s="166" t="n">
        <v>-845.4671119599</v>
      </c>
      <c r="CP34" s="166" t="n">
        <v>-845.4671119599</v>
      </c>
      <c r="CQ34" s="166" t="n">
        <v>-845.4671119599</v>
      </c>
      <c r="CR34" s="166" t="n">
        <v>-845.4671119599</v>
      </c>
      <c r="CS34" s="166" t="n">
        <v>-845.4671119599</v>
      </c>
      <c r="CT34" s="166" t="n">
        <v>-845.4671119599</v>
      </c>
      <c r="CU34" s="166" t="n">
        <v>-845.4671119599</v>
      </c>
      <c r="CV34" s="166" t="n">
        <v>-845.4671119599</v>
      </c>
      <c r="CW34" s="166" t="n">
        <v>-845.4671119599</v>
      </c>
      <c r="CX34" s="166" t="n">
        <v>-862.376454199098</v>
      </c>
      <c r="CY34" s="166" t="n">
        <v>-862.376454199098</v>
      </c>
      <c r="CZ34" s="166" t="n">
        <v>-862.376454199098</v>
      </c>
      <c r="DA34" s="166" t="n">
        <v>-862.376454199098</v>
      </c>
      <c r="DB34" s="166" t="n">
        <v>-862.376454199098</v>
      </c>
      <c r="DC34" s="166" t="n">
        <v>-862.376454199098</v>
      </c>
      <c r="DD34" s="166" t="n">
        <v>-862.376454199098</v>
      </c>
      <c r="DE34" s="166" t="n">
        <v>-862.376454199098</v>
      </c>
      <c r="DF34" s="166" t="n">
        <v>-862.376454199098</v>
      </c>
    </row>
    <row r="35" customFormat="false" ht="15" hidden="false" customHeight="true" outlineLevel="0" collapsed="false">
      <c r="A35" s="140" t="s">
        <v>74</v>
      </c>
      <c r="C35" s="125" t="n">
        <v>-681.77</v>
      </c>
      <c r="D35" s="125" t="n">
        <v>-600.14</v>
      </c>
      <c r="E35" s="125" t="n">
        <v>-2121.95</v>
      </c>
      <c r="F35" s="166" t="n">
        <v>-1134.62</v>
      </c>
      <c r="G35" s="166" t="n">
        <v>-1134.62</v>
      </c>
      <c r="H35" s="166" t="n">
        <v>-1134.62</v>
      </c>
      <c r="I35" s="166" t="n">
        <v>-1134.62</v>
      </c>
      <c r="J35" s="166" t="n">
        <v>-1134.62</v>
      </c>
      <c r="K35" s="166" t="n">
        <v>-1134.62</v>
      </c>
      <c r="L35" s="166" t="n">
        <v>-1134.62</v>
      </c>
      <c r="M35" s="166" t="n">
        <v>-1134.62</v>
      </c>
      <c r="N35" s="166" t="n">
        <v>-1134.62</v>
      </c>
      <c r="O35" s="166" t="n">
        <v>-1134.62</v>
      </c>
      <c r="P35" s="166" t="n">
        <v>-1134.62</v>
      </c>
      <c r="Q35" s="166" t="n">
        <v>-1134.62</v>
      </c>
      <c r="R35" s="166" t="n">
        <v>-1157.3124</v>
      </c>
      <c r="S35" s="166" t="n">
        <v>-1157.3124</v>
      </c>
      <c r="T35" s="166" t="n">
        <v>-1157.3124</v>
      </c>
      <c r="U35" s="166" t="n">
        <v>-1157.3124</v>
      </c>
      <c r="V35" s="166" t="n">
        <v>-1157.3124</v>
      </c>
      <c r="W35" s="166" t="n">
        <v>-1157.3124</v>
      </c>
      <c r="X35" s="166" t="n">
        <v>-1157.3124</v>
      </c>
      <c r="Y35" s="166" t="n">
        <v>-1157.3124</v>
      </c>
      <c r="Z35" s="166" t="n">
        <v>-1157.3124</v>
      </c>
      <c r="AA35" s="166" t="n">
        <v>-1157.3124</v>
      </c>
      <c r="AB35" s="166" t="n">
        <v>-1157.3124</v>
      </c>
      <c r="AC35" s="166" t="n">
        <v>-1157.3124</v>
      </c>
      <c r="AD35" s="166" t="n">
        <v>-1180.458648</v>
      </c>
      <c r="AE35" s="166" t="n">
        <v>-1180.458648</v>
      </c>
      <c r="AF35" s="166" t="n">
        <v>-1180.458648</v>
      </c>
      <c r="AG35" s="166" t="n">
        <v>-1180.458648</v>
      </c>
      <c r="AH35" s="166" t="n">
        <v>-1180.458648</v>
      </c>
      <c r="AI35" s="166" t="n">
        <v>-1180.458648</v>
      </c>
      <c r="AJ35" s="166" t="n">
        <v>-1180.458648</v>
      </c>
      <c r="AK35" s="166" t="n">
        <v>-1180.458648</v>
      </c>
      <c r="AL35" s="166" t="n">
        <v>-1180.458648</v>
      </c>
      <c r="AM35" s="166" t="n">
        <v>-1180.458648</v>
      </c>
      <c r="AN35" s="166" t="n">
        <v>-1180.458648</v>
      </c>
      <c r="AO35" s="166" t="n">
        <v>-1180.458648</v>
      </c>
      <c r="AP35" s="166" t="n">
        <v>-1204.06782096</v>
      </c>
      <c r="AQ35" s="166" t="n">
        <v>-1204.06782096</v>
      </c>
      <c r="AR35" s="166" t="n">
        <v>-1204.06782096</v>
      </c>
      <c r="AS35" s="166" t="n">
        <v>-1204.06782096</v>
      </c>
      <c r="AT35" s="166" t="n">
        <v>-1204.06782096</v>
      </c>
      <c r="AU35" s="166" t="n">
        <v>-1204.06782096</v>
      </c>
      <c r="AV35" s="166" t="n">
        <v>-1204.06782096</v>
      </c>
      <c r="AW35" s="166" t="n">
        <v>-1204.06782096</v>
      </c>
      <c r="AX35" s="166" t="n">
        <v>-1204.06782096</v>
      </c>
      <c r="AY35" s="166" t="n">
        <v>-1204.06782096</v>
      </c>
      <c r="AZ35" s="166" t="n">
        <v>-1204.06782096</v>
      </c>
      <c r="BA35" s="166" t="n">
        <v>-1204.06782096</v>
      </c>
      <c r="BB35" s="166" t="n">
        <v>-1228.1491773792</v>
      </c>
      <c r="BC35" s="166" t="n">
        <v>-1228.1491773792</v>
      </c>
      <c r="BD35" s="166" t="n">
        <v>-1228.1491773792</v>
      </c>
      <c r="BE35" s="166" t="n">
        <v>-1228.1491773792</v>
      </c>
      <c r="BF35" s="166" t="n">
        <v>-1228.1491773792</v>
      </c>
      <c r="BG35" s="166" t="n">
        <v>-1228.1491773792</v>
      </c>
      <c r="BH35" s="166" t="n">
        <v>-1228.1491773792</v>
      </c>
      <c r="BI35" s="166" t="n">
        <v>-1228.1491773792</v>
      </c>
      <c r="BJ35" s="166" t="n">
        <v>-1228.1491773792</v>
      </c>
      <c r="BK35" s="166" t="n">
        <v>-1228.1491773792</v>
      </c>
      <c r="BL35" s="166" t="n">
        <v>-1228.1491773792</v>
      </c>
      <c r="BM35" s="166" t="n">
        <v>-1228.1491773792</v>
      </c>
      <c r="BN35" s="166" t="n">
        <v>-1252.71216092678</v>
      </c>
      <c r="BO35" s="166" t="n">
        <v>-1252.71216092678</v>
      </c>
      <c r="BP35" s="166" t="n">
        <v>-1252.71216092678</v>
      </c>
      <c r="BQ35" s="166" t="n">
        <v>-1252.71216092678</v>
      </c>
      <c r="BR35" s="166" t="n">
        <v>-1252.71216092678</v>
      </c>
      <c r="BS35" s="166" t="n">
        <v>-1252.71216092678</v>
      </c>
      <c r="BT35" s="166" t="n">
        <v>-1252.71216092678</v>
      </c>
      <c r="BU35" s="166" t="n">
        <v>-1252.71216092678</v>
      </c>
      <c r="BV35" s="166" t="n">
        <v>-1252.71216092678</v>
      </c>
      <c r="BW35" s="166" t="n">
        <v>-1252.71216092678</v>
      </c>
      <c r="BX35" s="166" t="n">
        <v>-1252.71216092678</v>
      </c>
      <c r="BY35" s="166" t="n">
        <v>-1252.71216092678</v>
      </c>
      <c r="BZ35" s="166" t="n">
        <v>-1277.76640414532</v>
      </c>
      <c r="CA35" s="166" t="n">
        <v>-1277.76640414532</v>
      </c>
      <c r="CB35" s="166" t="n">
        <v>-1277.76640414532</v>
      </c>
      <c r="CC35" s="166" t="n">
        <v>-1277.76640414532</v>
      </c>
      <c r="CD35" s="166" t="n">
        <v>-1277.76640414532</v>
      </c>
      <c r="CE35" s="166" t="n">
        <v>-1277.76640414532</v>
      </c>
      <c r="CF35" s="166" t="n">
        <v>-1277.76640414532</v>
      </c>
      <c r="CG35" s="166" t="n">
        <v>-1277.76640414532</v>
      </c>
      <c r="CH35" s="166" t="n">
        <v>-1277.76640414532</v>
      </c>
      <c r="CI35" s="166" t="n">
        <v>-1277.76640414532</v>
      </c>
      <c r="CJ35" s="166" t="n">
        <v>-1277.76640414532</v>
      </c>
      <c r="CK35" s="166" t="n">
        <v>-1277.76640414532</v>
      </c>
      <c r="CL35" s="166" t="n">
        <v>-1303.32173222823</v>
      </c>
      <c r="CM35" s="166" t="n">
        <v>-1303.32173222823</v>
      </c>
      <c r="CN35" s="166" t="n">
        <v>-1303.32173222823</v>
      </c>
      <c r="CO35" s="166" t="n">
        <v>-1303.32173222823</v>
      </c>
      <c r="CP35" s="166" t="n">
        <v>-1303.32173222823</v>
      </c>
      <c r="CQ35" s="166" t="n">
        <v>-1303.32173222823</v>
      </c>
      <c r="CR35" s="166" t="n">
        <v>-1303.32173222823</v>
      </c>
      <c r="CS35" s="166" t="n">
        <v>-1303.32173222823</v>
      </c>
      <c r="CT35" s="166" t="n">
        <v>-1303.32173222823</v>
      </c>
      <c r="CU35" s="166" t="n">
        <v>-1303.32173222823</v>
      </c>
      <c r="CV35" s="166" t="n">
        <v>-1303.32173222823</v>
      </c>
      <c r="CW35" s="166" t="n">
        <v>-1303.32173222823</v>
      </c>
      <c r="CX35" s="166" t="n">
        <v>-1329.38816687279</v>
      </c>
      <c r="CY35" s="166" t="n">
        <v>-1329.38816687279</v>
      </c>
      <c r="CZ35" s="166" t="n">
        <v>-1329.38816687279</v>
      </c>
      <c r="DA35" s="166" t="n">
        <v>-1329.38816687279</v>
      </c>
      <c r="DB35" s="166" t="n">
        <v>-1329.38816687279</v>
      </c>
      <c r="DC35" s="166" t="n">
        <v>-1329.38816687279</v>
      </c>
      <c r="DD35" s="166" t="n">
        <v>-1329.38816687279</v>
      </c>
      <c r="DE35" s="166" t="n">
        <v>-1329.38816687279</v>
      </c>
      <c r="DF35" s="166" t="n">
        <v>-1329.38816687279</v>
      </c>
    </row>
    <row r="36" customFormat="false" ht="15" hidden="false" customHeight="true" outlineLevel="0" collapsed="false">
      <c r="A36" s="140" t="s">
        <v>75</v>
      </c>
      <c r="C36" s="125" t="n">
        <v>-2187.5</v>
      </c>
      <c r="D36" s="125" t="n">
        <v>0</v>
      </c>
      <c r="E36" s="125" t="n">
        <v>-1625</v>
      </c>
      <c r="F36" s="166" t="n">
        <v>-1270.83</v>
      </c>
      <c r="G36" s="166" t="n">
        <v>-1270.83</v>
      </c>
      <c r="H36" s="166" t="n">
        <v>-1270.83</v>
      </c>
      <c r="I36" s="166" t="n">
        <v>-1270.83</v>
      </c>
      <c r="J36" s="166" t="n">
        <v>-1270.83</v>
      </c>
      <c r="K36" s="166" t="n">
        <v>-1270.83</v>
      </c>
      <c r="L36" s="166" t="n">
        <v>-1270.83</v>
      </c>
      <c r="M36" s="166" t="n">
        <v>-1270.83</v>
      </c>
      <c r="N36" s="166" t="n">
        <v>-1270.83</v>
      </c>
      <c r="O36" s="166" t="n">
        <v>-1270.83</v>
      </c>
      <c r="P36" s="166" t="n">
        <v>-1270.83</v>
      </c>
      <c r="Q36" s="166" t="n">
        <v>-1270.83</v>
      </c>
      <c r="R36" s="166" t="n">
        <v>-1296.2466</v>
      </c>
      <c r="S36" s="166" t="n">
        <v>-1296.2466</v>
      </c>
      <c r="T36" s="166" t="n">
        <v>-1296.2466</v>
      </c>
      <c r="U36" s="166" t="n">
        <v>-1296.2466</v>
      </c>
      <c r="V36" s="166" t="n">
        <v>-1296.2466</v>
      </c>
      <c r="W36" s="166" t="n">
        <v>-1296.2466</v>
      </c>
      <c r="X36" s="166" t="n">
        <v>-1296.2466</v>
      </c>
      <c r="Y36" s="166" t="n">
        <v>-1296.2466</v>
      </c>
      <c r="Z36" s="166" t="n">
        <v>-1296.2466</v>
      </c>
      <c r="AA36" s="166" t="n">
        <v>-1296.2466</v>
      </c>
      <c r="AB36" s="166" t="n">
        <v>-1296.2466</v>
      </c>
      <c r="AC36" s="166" t="n">
        <v>-1296.2466</v>
      </c>
      <c r="AD36" s="166" t="n">
        <v>-1322.171532</v>
      </c>
      <c r="AE36" s="166" t="n">
        <v>-1322.171532</v>
      </c>
      <c r="AF36" s="166" t="n">
        <v>-1322.171532</v>
      </c>
      <c r="AG36" s="166" t="n">
        <v>-1322.171532</v>
      </c>
      <c r="AH36" s="166" t="n">
        <v>-1322.171532</v>
      </c>
      <c r="AI36" s="166" t="n">
        <v>-1322.171532</v>
      </c>
      <c r="AJ36" s="166" t="n">
        <v>-1322.171532</v>
      </c>
      <c r="AK36" s="166" t="n">
        <v>-1322.171532</v>
      </c>
      <c r="AL36" s="166" t="n">
        <v>-1322.171532</v>
      </c>
      <c r="AM36" s="166" t="n">
        <v>-1322.171532</v>
      </c>
      <c r="AN36" s="166" t="n">
        <v>-1322.171532</v>
      </c>
      <c r="AO36" s="166" t="n">
        <v>-1322.171532</v>
      </c>
      <c r="AP36" s="166" t="n">
        <v>-1348.61496264</v>
      </c>
      <c r="AQ36" s="166" t="n">
        <v>-1348.61496264</v>
      </c>
      <c r="AR36" s="166" t="n">
        <v>-1348.61496264</v>
      </c>
      <c r="AS36" s="166" t="n">
        <v>-1348.61496264</v>
      </c>
      <c r="AT36" s="166" t="n">
        <v>-1348.61496264</v>
      </c>
      <c r="AU36" s="166" t="n">
        <v>-1348.61496264</v>
      </c>
      <c r="AV36" s="166" t="n">
        <v>-1348.61496264</v>
      </c>
      <c r="AW36" s="166" t="n">
        <v>-1348.61496264</v>
      </c>
      <c r="AX36" s="166" t="n">
        <v>-1348.61496264</v>
      </c>
      <c r="AY36" s="166" t="n">
        <v>-1348.61496264</v>
      </c>
      <c r="AZ36" s="166" t="n">
        <v>-1348.61496264</v>
      </c>
      <c r="BA36" s="166" t="n">
        <v>-1348.61496264</v>
      </c>
      <c r="BB36" s="166" t="n">
        <v>-1375.5872618928</v>
      </c>
      <c r="BC36" s="166" t="n">
        <v>-1375.5872618928</v>
      </c>
      <c r="BD36" s="166" t="n">
        <v>-1375.5872618928</v>
      </c>
      <c r="BE36" s="166" t="n">
        <v>-1375.5872618928</v>
      </c>
      <c r="BF36" s="166" t="n">
        <v>-1375.5872618928</v>
      </c>
      <c r="BG36" s="166" t="n">
        <v>-1375.5872618928</v>
      </c>
      <c r="BH36" s="166" t="n">
        <v>-1375.5872618928</v>
      </c>
      <c r="BI36" s="166" t="n">
        <v>-1375.5872618928</v>
      </c>
      <c r="BJ36" s="166" t="n">
        <v>-1375.5872618928</v>
      </c>
      <c r="BK36" s="166" t="n">
        <v>-1375.5872618928</v>
      </c>
      <c r="BL36" s="166" t="n">
        <v>-1375.5872618928</v>
      </c>
      <c r="BM36" s="166" t="n">
        <v>-1375.5872618928</v>
      </c>
      <c r="BN36" s="166" t="n">
        <v>-1403.09900713066</v>
      </c>
      <c r="BO36" s="166" t="n">
        <v>-1403.09900713066</v>
      </c>
      <c r="BP36" s="166" t="n">
        <v>-1403.09900713066</v>
      </c>
      <c r="BQ36" s="166" t="n">
        <v>-1403.09900713066</v>
      </c>
      <c r="BR36" s="166" t="n">
        <v>-1403.09900713066</v>
      </c>
      <c r="BS36" s="166" t="n">
        <v>-1403.09900713066</v>
      </c>
      <c r="BT36" s="166" t="n">
        <v>-1403.09900713066</v>
      </c>
      <c r="BU36" s="166" t="n">
        <v>-1403.09900713066</v>
      </c>
      <c r="BV36" s="166" t="n">
        <v>-1403.09900713066</v>
      </c>
      <c r="BW36" s="166" t="n">
        <v>-1403.09900713066</v>
      </c>
      <c r="BX36" s="166" t="n">
        <v>-1403.09900713066</v>
      </c>
      <c r="BY36" s="166" t="n">
        <v>-1403.09900713066</v>
      </c>
      <c r="BZ36" s="166" t="n">
        <v>-1431.16098727327</v>
      </c>
      <c r="CA36" s="166" t="n">
        <v>-1431.16098727327</v>
      </c>
      <c r="CB36" s="166" t="n">
        <v>-1431.16098727327</v>
      </c>
      <c r="CC36" s="166" t="n">
        <v>-1431.16098727327</v>
      </c>
      <c r="CD36" s="166" t="n">
        <v>-1431.16098727327</v>
      </c>
      <c r="CE36" s="166" t="n">
        <v>-1431.16098727327</v>
      </c>
      <c r="CF36" s="166" t="n">
        <v>-1431.16098727327</v>
      </c>
      <c r="CG36" s="166" t="n">
        <v>-1431.16098727327</v>
      </c>
      <c r="CH36" s="166" t="n">
        <v>-1431.16098727327</v>
      </c>
      <c r="CI36" s="166" t="n">
        <v>-1431.16098727327</v>
      </c>
      <c r="CJ36" s="166" t="n">
        <v>-1431.16098727327</v>
      </c>
      <c r="CK36" s="166" t="n">
        <v>-1431.16098727327</v>
      </c>
      <c r="CL36" s="166" t="n">
        <v>-1459.78420701873</v>
      </c>
      <c r="CM36" s="166" t="n">
        <v>-1459.78420701873</v>
      </c>
      <c r="CN36" s="166" t="n">
        <v>-1459.78420701873</v>
      </c>
      <c r="CO36" s="166" t="n">
        <v>-1459.78420701873</v>
      </c>
      <c r="CP36" s="166" t="n">
        <v>-1459.78420701873</v>
      </c>
      <c r="CQ36" s="166" t="n">
        <v>-1459.78420701873</v>
      </c>
      <c r="CR36" s="166" t="n">
        <v>-1459.78420701873</v>
      </c>
      <c r="CS36" s="166" t="n">
        <v>-1459.78420701873</v>
      </c>
      <c r="CT36" s="166" t="n">
        <v>-1459.78420701873</v>
      </c>
      <c r="CU36" s="166" t="n">
        <v>-1459.78420701873</v>
      </c>
      <c r="CV36" s="166" t="n">
        <v>-1459.78420701873</v>
      </c>
      <c r="CW36" s="166" t="n">
        <v>-1459.78420701873</v>
      </c>
      <c r="CX36" s="166" t="n">
        <v>-1488.97989115911</v>
      </c>
      <c r="CY36" s="166" t="n">
        <v>-1488.97989115911</v>
      </c>
      <c r="CZ36" s="166" t="n">
        <v>-1488.97989115911</v>
      </c>
      <c r="DA36" s="166" t="n">
        <v>-1488.97989115911</v>
      </c>
      <c r="DB36" s="166" t="n">
        <v>-1488.97989115911</v>
      </c>
      <c r="DC36" s="166" t="n">
        <v>-1488.97989115911</v>
      </c>
      <c r="DD36" s="166" t="n">
        <v>-1488.97989115911</v>
      </c>
      <c r="DE36" s="166" t="n">
        <v>-1488.97989115911</v>
      </c>
      <c r="DF36" s="166" t="n">
        <v>-1488.97989115911</v>
      </c>
    </row>
    <row r="37" customFormat="false" ht="15" hidden="false" customHeight="true" outlineLevel="0" collapsed="false">
      <c r="A37" s="140" t="s">
        <v>76</v>
      </c>
      <c r="C37" s="125" t="n">
        <v>0</v>
      </c>
      <c r="D37" s="125" t="n">
        <v>-12349</v>
      </c>
      <c r="E37" s="125" t="n">
        <v>-5400</v>
      </c>
      <c r="F37" s="166" t="n">
        <v>-5916.33</v>
      </c>
      <c r="G37" s="166" t="n">
        <v>-5916.33</v>
      </c>
      <c r="H37" s="166" t="n">
        <v>-5916.33</v>
      </c>
      <c r="I37" s="166" t="n">
        <v>-5916.33</v>
      </c>
      <c r="J37" s="166" t="n">
        <v>-5916.33</v>
      </c>
      <c r="K37" s="166" t="n">
        <v>-5916.33</v>
      </c>
      <c r="L37" s="166" t="n">
        <v>-5916.33</v>
      </c>
      <c r="M37" s="166" t="n">
        <v>-5916.33</v>
      </c>
      <c r="N37" s="166" t="n">
        <v>-5916.33</v>
      </c>
      <c r="O37" s="166" t="n">
        <v>-5916.33</v>
      </c>
      <c r="P37" s="166" t="n">
        <v>-5916.33</v>
      </c>
      <c r="Q37" s="166" t="n">
        <v>-5916.33</v>
      </c>
      <c r="R37" s="166" t="n">
        <v>-6034.6566</v>
      </c>
      <c r="S37" s="166" t="n">
        <v>-6034.6566</v>
      </c>
      <c r="T37" s="166" t="n">
        <v>-6034.6566</v>
      </c>
      <c r="U37" s="166" t="n">
        <v>-6034.6566</v>
      </c>
      <c r="V37" s="166" t="n">
        <v>-6034.6566</v>
      </c>
      <c r="W37" s="166" t="n">
        <v>-6034.6566</v>
      </c>
      <c r="X37" s="166" t="n">
        <v>-6034.6566</v>
      </c>
      <c r="Y37" s="166" t="n">
        <v>-6034.6566</v>
      </c>
      <c r="Z37" s="166" t="n">
        <v>-6034.6566</v>
      </c>
      <c r="AA37" s="166" t="n">
        <v>-6034.6566</v>
      </c>
      <c r="AB37" s="166" t="n">
        <v>-6034.6566</v>
      </c>
      <c r="AC37" s="166" t="n">
        <v>-6034.6566</v>
      </c>
      <c r="AD37" s="166" t="n">
        <v>-6155.349732</v>
      </c>
      <c r="AE37" s="166" t="n">
        <v>-6155.349732</v>
      </c>
      <c r="AF37" s="166" t="n">
        <v>-6155.349732</v>
      </c>
      <c r="AG37" s="166" t="n">
        <v>-6155.349732</v>
      </c>
      <c r="AH37" s="166" t="n">
        <v>-6155.349732</v>
      </c>
      <c r="AI37" s="166" t="n">
        <v>-6155.349732</v>
      </c>
      <c r="AJ37" s="166" t="n">
        <v>-6155.349732</v>
      </c>
      <c r="AK37" s="166" t="n">
        <v>-6155.349732</v>
      </c>
      <c r="AL37" s="166" t="n">
        <v>-6155.349732</v>
      </c>
      <c r="AM37" s="166" t="n">
        <v>-6155.349732</v>
      </c>
      <c r="AN37" s="166" t="n">
        <v>-6155.349732</v>
      </c>
      <c r="AO37" s="166" t="n">
        <v>-6155.349732</v>
      </c>
      <c r="AP37" s="166" t="n">
        <v>-6278.45672664</v>
      </c>
      <c r="AQ37" s="166" t="n">
        <v>-6278.45672664</v>
      </c>
      <c r="AR37" s="166" t="n">
        <v>-6278.45672664</v>
      </c>
      <c r="AS37" s="166" t="n">
        <v>-6278.45672664</v>
      </c>
      <c r="AT37" s="166" t="n">
        <v>-6278.45672664</v>
      </c>
      <c r="AU37" s="166" t="n">
        <v>-6278.45672664</v>
      </c>
      <c r="AV37" s="166" t="n">
        <v>-6278.45672664</v>
      </c>
      <c r="AW37" s="166" t="n">
        <v>-6278.45672664</v>
      </c>
      <c r="AX37" s="166" t="n">
        <v>-6278.45672664</v>
      </c>
      <c r="AY37" s="166" t="n">
        <v>-6278.45672664</v>
      </c>
      <c r="AZ37" s="166" t="n">
        <v>-6278.45672664</v>
      </c>
      <c r="BA37" s="166" t="n">
        <v>-6278.45672664</v>
      </c>
      <c r="BB37" s="166" t="n">
        <v>-6404.0258611728</v>
      </c>
      <c r="BC37" s="166" t="n">
        <v>-6404.0258611728</v>
      </c>
      <c r="BD37" s="166" t="n">
        <v>-6404.0258611728</v>
      </c>
      <c r="BE37" s="166" t="n">
        <v>-6404.0258611728</v>
      </c>
      <c r="BF37" s="166" t="n">
        <v>-6404.0258611728</v>
      </c>
      <c r="BG37" s="166" t="n">
        <v>-6404.0258611728</v>
      </c>
      <c r="BH37" s="166" t="n">
        <v>-6404.0258611728</v>
      </c>
      <c r="BI37" s="166" t="n">
        <v>-6404.0258611728</v>
      </c>
      <c r="BJ37" s="166" t="n">
        <v>-6404.0258611728</v>
      </c>
      <c r="BK37" s="166" t="n">
        <v>-6404.0258611728</v>
      </c>
      <c r="BL37" s="166" t="n">
        <v>-6404.0258611728</v>
      </c>
      <c r="BM37" s="166" t="n">
        <v>-6404.0258611728</v>
      </c>
      <c r="BN37" s="166" t="n">
        <v>-6532.10637839626</v>
      </c>
      <c r="BO37" s="166" t="n">
        <v>-6532.10637839626</v>
      </c>
      <c r="BP37" s="166" t="n">
        <v>-6532.10637839626</v>
      </c>
      <c r="BQ37" s="166" t="n">
        <v>-6532.10637839626</v>
      </c>
      <c r="BR37" s="166" t="n">
        <v>-6532.10637839626</v>
      </c>
      <c r="BS37" s="166" t="n">
        <v>-6532.10637839626</v>
      </c>
      <c r="BT37" s="166" t="n">
        <v>-6532.10637839626</v>
      </c>
      <c r="BU37" s="166" t="n">
        <v>-6532.10637839626</v>
      </c>
      <c r="BV37" s="166" t="n">
        <v>-6532.10637839626</v>
      </c>
      <c r="BW37" s="166" t="n">
        <v>-6532.10637839626</v>
      </c>
      <c r="BX37" s="166" t="n">
        <v>-6532.10637839626</v>
      </c>
      <c r="BY37" s="166" t="n">
        <v>-6532.10637839626</v>
      </c>
      <c r="BZ37" s="166" t="n">
        <v>-6662.74850596418</v>
      </c>
      <c r="CA37" s="166" t="n">
        <v>-6662.74850596418</v>
      </c>
      <c r="CB37" s="166" t="n">
        <v>-6662.74850596418</v>
      </c>
      <c r="CC37" s="166" t="n">
        <v>-6662.74850596418</v>
      </c>
      <c r="CD37" s="166" t="n">
        <v>-6662.74850596418</v>
      </c>
      <c r="CE37" s="166" t="n">
        <v>-6662.74850596418</v>
      </c>
      <c r="CF37" s="166" t="n">
        <v>-6662.74850596418</v>
      </c>
      <c r="CG37" s="166" t="n">
        <v>-6662.74850596418</v>
      </c>
      <c r="CH37" s="166" t="n">
        <v>-6662.74850596418</v>
      </c>
      <c r="CI37" s="166" t="n">
        <v>-6662.74850596418</v>
      </c>
      <c r="CJ37" s="166" t="n">
        <v>-6662.74850596418</v>
      </c>
      <c r="CK37" s="166" t="n">
        <v>-6662.74850596418</v>
      </c>
      <c r="CL37" s="166" t="n">
        <v>-6796.00347608347</v>
      </c>
      <c r="CM37" s="166" t="n">
        <v>-6796.00347608347</v>
      </c>
      <c r="CN37" s="166" t="n">
        <v>-6796.00347608347</v>
      </c>
      <c r="CO37" s="166" t="n">
        <v>-6796.00347608347</v>
      </c>
      <c r="CP37" s="166" t="n">
        <v>-6796.00347608347</v>
      </c>
      <c r="CQ37" s="166" t="n">
        <v>-6796.00347608347</v>
      </c>
      <c r="CR37" s="166" t="n">
        <v>-6796.00347608347</v>
      </c>
      <c r="CS37" s="166" t="n">
        <v>-6796.00347608347</v>
      </c>
      <c r="CT37" s="166" t="n">
        <v>-6796.00347608347</v>
      </c>
      <c r="CU37" s="166" t="n">
        <v>-6796.00347608347</v>
      </c>
      <c r="CV37" s="166" t="n">
        <v>-6796.00347608347</v>
      </c>
      <c r="CW37" s="166" t="n">
        <v>-6796.00347608347</v>
      </c>
      <c r="CX37" s="166" t="n">
        <v>-6931.92354560514</v>
      </c>
      <c r="CY37" s="166" t="n">
        <v>-6931.92354560514</v>
      </c>
      <c r="CZ37" s="166" t="n">
        <v>-6931.92354560514</v>
      </c>
      <c r="DA37" s="166" t="n">
        <v>-6931.92354560514</v>
      </c>
      <c r="DB37" s="166" t="n">
        <v>-6931.92354560514</v>
      </c>
      <c r="DC37" s="166" t="n">
        <v>-6931.92354560514</v>
      </c>
      <c r="DD37" s="166" t="n">
        <v>-6931.92354560514</v>
      </c>
      <c r="DE37" s="166" t="n">
        <v>-6931.92354560514</v>
      </c>
      <c r="DF37" s="166" t="n">
        <v>-6931.92354560514</v>
      </c>
    </row>
    <row r="38" customFormat="false" ht="15" hidden="false" customHeight="true" outlineLevel="0" collapsed="false">
      <c r="A38" s="140" t="s">
        <v>77</v>
      </c>
      <c r="C38" s="125" t="n">
        <v>0</v>
      </c>
      <c r="D38" s="125" t="n">
        <v>0</v>
      </c>
      <c r="E38" s="125" t="n">
        <v>-750.4</v>
      </c>
      <c r="F38" s="166" t="n">
        <v>-250.13</v>
      </c>
      <c r="G38" s="166" t="n">
        <v>-250.13</v>
      </c>
      <c r="H38" s="166" t="n">
        <v>-250.13</v>
      </c>
      <c r="I38" s="166" t="n">
        <v>-250.13</v>
      </c>
      <c r="J38" s="166" t="n">
        <v>-250.13</v>
      </c>
      <c r="K38" s="166" t="n">
        <v>-250.13</v>
      </c>
      <c r="L38" s="166" t="n">
        <v>-250.13</v>
      </c>
      <c r="M38" s="166" t="n">
        <v>-250.13</v>
      </c>
      <c r="N38" s="166" t="n">
        <v>-250.13</v>
      </c>
      <c r="O38" s="166" t="n">
        <v>-250.13</v>
      </c>
      <c r="P38" s="166" t="n">
        <v>-250.13</v>
      </c>
      <c r="Q38" s="166" t="n">
        <v>-250.13</v>
      </c>
      <c r="R38" s="166" t="n">
        <v>-255.1326</v>
      </c>
      <c r="S38" s="166" t="n">
        <v>-255.1326</v>
      </c>
      <c r="T38" s="166" t="n">
        <v>-255.1326</v>
      </c>
      <c r="U38" s="166" t="n">
        <v>-255.1326</v>
      </c>
      <c r="V38" s="166" t="n">
        <v>-255.1326</v>
      </c>
      <c r="W38" s="166" t="n">
        <v>-255.1326</v>
      </c>
      <c r="X38" s="166" t="n">
        <v>-255.1326</v>
      </c>
      <c r="Y38" s="166" t="n">
        <v>-255.1326</v>
      </c>
      <c r="Z38" s="166" t="n">
        <v>-255.1326</v>
      </c>
      <c r="AA38" s="166" t="n">
        <v>-255.1326</v>
      </c>
      <c r="AB38" s="166" t="n">
        <v>-255.1326</v>
      </c>
      <c r="AC38" s="166" t="n">
        <v>-255.1326</v>
      </c>
      <c r="AD38" s="166" t="n">
        <v>-260.235252</v>
      </c>
      <c r="AE38" s="166" t="n">
        <v>-260.235252</v>
      </c>
      <c r="AF38" s="166" t="n">
        <v>-260.235252</v>
      </c>
      <c r="AG38" s="166" t="n">
        <v>-260.235252</v>
      </c>
      <c r="AH38" s="166" t="n">
        <v>-260.235252</v>
      </c>
      <c r="AI38" s="166" t="n">
        <v>-260.235252</v>
      </c>
      <c r="AJ38" s="166" t="n">
        <v>-260.235252</v>
      </c>
      <c r="AK38" s="166" t="n">
        <v>-260.235252</v>
      </c>
      <c r="AL38" s="166" t="n">
        <v>-260.235252</v>
      </c>
      <c r="AM38" s="166" t="n">
        <v>-260.235252</v>
      </c>
      <c r="AN38" s="166" t="n">
        <v>-260.235252</v>
      </c>
      <c r="AO38" s="166" t="n">
        <v>-260.235252</v>
      </c>
      <c r="AP38" s="166" t="n">
        <v>-265.43995704</v>
      </c>
      <c r="AQ38" s="166" t="n">
        <v>-265.43995704</v>
      </c>
      <c r="AR38" s="166" t="n">
        <v>-265.43995704</v>
      </c>
      <c r="AS38" s="166" t="n">
        <v>-265.43995704</v>
      </c>
      <c r="AT38" s="166" t="n">
        <v>-265.43995704</v>
      </c>
      <c r="AU38" s="166" t="n">
        <v>-265.43995704</v>
      </c>
      <c r="AV38" s="166" t="n">
        <v>-265.43995704</v>
      </c>
      <c r="AW38" s="166" t="n">
        <v>-265.43995704</v>
      </c>
      <c r="AX38" s="166" t="n">
        <v>-265.43995704</v>
      </c>
      <c r="AY38" s="166" t="n">
        <v>-265.43995704</v>
      </c>
      <c r="AZ38" s="166" t="n">
        <v>-265.43995704</v>
      </c>
      <c r="BA38" s="166" t="n">
        <v>-265.43995704</v>
      </c>
      <c r="BB38" s="166" t="n">
        <v>-270.7487561808</v>
      </c>
      <c r="BC38" s="166" t="n">
        <v>-270.7487561808</v>
      </c>
      <c r="BD38" s="166" t="n">
        <v>-270.7487561808</v>
      </c>
      <c r="BE38" s="166" t="n">
        <v>-270.7487561808</v>
      </c>
      <c r="BF38" s="166" t="n">
        <v>-270.7487561808</v>
      </c>
      <c r="BG38" s="166" t="n">
        <v>-270.7487561808</v>
      </c>
      <c r="BH38" s="166" t="n">
        <v>-270.7487561808</v>
      </c>
      <c r="BI38" s="166" t="n">
        <v>-270.7487561808</v>
      </c>
      <c r="BJ38" s="166" t="n">
        <v>-270.7487561808</v>
      </c>
      <c r="BK38" s="166" t="n">
        <v>-270.7487561808</v>
      </c>
      <c r="BL38" s="166" t="n">
        <v>-270.7487561808</v>
      </c>
      <c r="BM38" s="166" t="n">
        <v>-270.7487561808</v>
      </c>
      <c r="BN38" s="166" t="n">
        <v>-276.163731304416</v>
      </c>
      <c r="BO38" s="166" t="n">
        <v>-276.163731304416</v>
      </c>
      <c r="BP38" s="166" t="n">
        <v>-276.163731304416</v>
      </c>
      <c r="BQ38" s="166" t="n">
        <v>-276.163731304416</v>
      </c>
      <c r="BR38" s="166" t="n">
        <v>-276.163731304416</v>
      </c>
      <c r="BS38" s="166" t="n">
        <v>-276.163731304416</v>
      </c>
      <c r="BT38" s="166" t="n">
        <v>-276.163731304416</v>
      </c>
      <c r="BU38" s="166" t="n">
        <v>-276.163731304416</v>
      </c>
      <c r="BV38" s="166" t="n">
        <v>-276.163731304416</v>
      </c>
      <c r="BW38" s="166" t="n">
        <v>-276.163731304416</v>
      </c>
      <c r="BX38" s="166" t="n">
        <v>-276.163731304416</v>
      </c>
      <c r="BY38" s="166" t="n">
        <v>-276.163731304416</v>
      </c>
      <c r="BZ38" s="166" t="n">
        <v>-281.687005930504</v>
      </c>
      <c r="CA38" s="166" t="n">
        <v>-281.687005930504</v>
      </c>
      <c r="CB38" s="166" t="n">
        <v>-281.687005930504</v>
      </c>
      <c r="CC38" s="166" t="n">
        <v>-281.687005930504</v>
      </c>
      <c r="CD38" s="166" t="n">
        <v>-281.687005930504</v>
      </c>
      <c r="CE38" s="166" t="n">
        <v>-281.687005930504</v>
      </c>
      <c r="CF38" s="166" t="n">
        <v>-281.687005930504</v>
      </c>
      <c r="CG38" s="166" t="n">
        <v>-281.687005930504</v>
      </c>
      <c r="CH38" s="166" t="n">
        <v>-281.687005930504</v>
      </c>
      <c r="CI38" s="166" t="n">
        <v>-281.687005930504</v>
      </c>
      <c r="CJ38" s="166" t="n">
        <v>-281.687005930504</v>
      </c>
      <c r="CK38" s="166" t="n">
        <v>-281.687005930504</v>
      </c>
      <c r="CL38" s="166" t="n">
        <v>-287.320746049114</v>
      </c>
      <c r="CM38" s="166" t="n">
        <v>-287.320746049114</v>
      </c>
      <c r="CN38" s="166" t="n">
        <v>-287.320746049114</v>
      </c>
      <c r="CO38" s="166" t="n">
        <v>-287.320746049114</v>
      </c>
      <c r="CP38" s="166" t="n">
        <v>-287.320746049114</v>
      </c>
      <c r="CQ38" s="166" t="n">
        <v>-287.320746049114</v>
      </c>
      <c r="CR38" s="166" t="n">
        <v>-287.320746049114</v>
      </c>
      <c r="CS38" s="166" t="n">
        <v>-287.320746049114</v>
      </c>
      <c r="CT38" s="166" t="n">
        <v>-287.320746049114</v>
      </c>
      <c r="CU38" s="166" t="n">
        <v>-287.320746049114</v>
      </c>
      <c r="CV38" s="166" t="n">
        <v>-287.320746049114</v>
      </c>
      <c r="CW38" s="166" t="n">
        <v>-287.320746049114</v>
      </c>
      <c r="CX38" s="166" t="n">
        <v>-293.067160970097</v>
      </c>
      <c r="CY38" s="166" t="n">
        <v>-293.067160970097</v>
      </c>
      <c r="CZ38" s="166" t="n">
        <v>-293.067160970097</v>
      </c>
      <c r="DA38" s="166" t="n">
        <v>-293.067160970097</v>
      </c>
      <c r="DB38" s="166" t="n">
        <v>-293.067160970097</v>
      </c>
      <c r="DC38" s="166" t="n">
        <v>-293.067160970097</v>
      </c>
      <c r="DD38" s="166" t="n">
        <v>-293.067160970097</v>
      </c>
      <c r="DE38" s="166" t="n">
        <v>-293.067160970097</v>
      </c>
      <c r="DF38" s="166" t="n">
        <v>-293.067160970097</v>
      </c>
    </row>
    <row r="39" customFormat="false" ht="15" hidden="false" customHeight="true" outlineLevel="0" collapsed="false">
      <c r="A39" s="140" t="s">
        <v>78</v>
      </c>
      <c r="C39" s="125" t="n">
        <v>-1474.63</v>
      </c>
      <c r="D39" s="125" t="n">
        <v>-1449.33</v>
      </c>
      <c r="E39" s="125" t="n">
        <v>-2328.76</v>
      </c>
      <c r="F39" s="166" t="n">
        <v>-1750.91</v>
      </c>
      <c r="G39" s="166" t="n">
        <v>-1750.91</v>
      </c>
      <c r="H39" s="166" t="n">
        <v>-1750.91</v>
      </c>
      <c r="I39" s="166" t="n">
        <v>-1750.91</v>
      </c>
      <c r="J39" s="166" t="n">
        <v>-1750.91</v>
      </c>
      <c r="K39" s="166" t="n">
        <v>-1750.91</v>
      </c>
      <c r="L39" s="166" t="n">
        <v>-1750.91</v>
      </c>
      <c r="M39" s="166" t="n">
        <v>-1750.91</v>
      </c>
      <c r="N39" s="166" t="n">
        <v>-1750.91</v>
      </c>
      <c r="O39" s="166" t="n">
        <v>-1750.91</v>
      </c>
      <c r="P39" s="166" t="n">
        <v>-1750.91</v>
      </c>
      <c r="Q39" s="166" t="n">
        <v>-1750.91</v>
      </c>
      <c r="R39" s="166" t="n">
        <v>-1785.9282</v>
      </c>
      <c r="S39" s="166" t="n">
        <v>-1785.9282</v>
      </c>
      <c r="T39" s="166" t="n">
        <v>-1785.9282</v>
      </c>
      <c r="U39" s="166" t="n">
        <v>-1785.9282</v>
      </c>
      <c r="V39" s="166" t="n">
        <v>-1785.9282</v>
      </c>
      <c r="W39" s="166" t="n">
        <v>-1785.9282</v>
      </c>
      <c r="X39" s="166" t="n">
        <v>-1785.9282</v>
      </c>
      <c r="Y39" s="166" t="n">
        <v>-1785.9282</v>
      </c>
      <c r="Z39" s="166" t="n">
        <v>-1785.9282</v>
      </c>
      <c r="AA39" s="166" t="n">
        <v>-1785.9282</v>
      </c>
      <c r="AB39" s="166" t="n">
        <v>-1785.9282</v>
      </c>
      <c r="AC39" s="166" t="n">
        <v>-1785.9282</v>
      </c>
      <c r="AD39" s="166" t="n">
        <v>-1821.646764</v>
      </c>
      <c r="AE39" s="166" t="n">
        <v>-1821.646764</v>
      </c>
      <c r="AF39" s="166" t="n">
        <v>-1821.646764</v>
      </c>
      <c r="AG39" s="166" t="n">
        <v>-1821.646764</v>
      </c>
      <c r="AH39" s="166" t="n">
        <v>-1821.646764</v>
      </c>
      <c r="AI39" s="166" t="n">
        <v>-1821.646764</v>
      </c>
      <c r="AJ39" s="166" t="n">
        <v>-1821.646764</v>
      </c>
      <c r="AK39" s="166" t="n">
        <v>-1821.646764</v>
      </c>
      <c r="AL39" s="166" t="n">
        <v>-1821.646764</v>
      </c>
      <c r="AM39" s="166" t="n">
        <v>-1821.646764</v>
      </c>
      <c r="AN39" s="166" t="n">
        <v>-1821.646764</v>
      </c>
      <c r="AO39" s="166" t="n">
        <v>-1821.646764</v>
      </c>
      <c r="AP39" s="166" t="n">
        <v>-1858.07969928</v>
      </c>
      <c r="AQ39" s="166" t="n">
        <v>-1858.07969928</v>
      </c>
      <c r="AR39" s="166" t="n">
        <v>-1858.07969928</v>
      </c>
      <c r="AS39" s="166" t="n">
        <v>-1858.07969928</v>
      </c>
      <c r="AT39" s="166" t="n">
        <v>-1858.07969928</v>
      </c>
      <c r="AU39" s="166" t="n">
        <v>-1858.07969928</v>
      </c>
      <c r="AV39" s="166" t="n">
        <v>-1858.07969928</v>
      </c>
      <c r="AW39" s="166" t="n">
        <v>-1858.07969928</v>
      </c>
      <c r="AX39" s="166" t="n">
        <v>-1858.07969928</v>
      </c>
      <c r="AY39" s="166" t="n">
        <v>-1858.07969928</v>
      </c>
      <c r="AZ39" s="166" t="n">
        <v>-1858.07969928</v>
      </c>
      <c r="BA39" s="166" t="n">
        <v>-1858.07969928</v>
      </c>
      <c r="BB39" s="166" t="n">
        <v>-1895.2412932656</v>
      </c>
      <c r="BC39" s="166" t="n">
        <v>-1895.2412932656</v>
      </c>
      <c r="BD39" s="166" t="n">
        <v>-1895.2412932656</v>
      </c>
      <c r="BE39" s="166" t="n">
        <v>-1895.2412932656</v>
      </c>
      <c r="BF39" s="166" t="n">
        <v>-1895.2412932656</v>
      </c>
      <c r="BG39" s="166" t="n">
        <v>-1895.2412932656</v>
      </c>
      <c r="BH39" s="166" t="n">
        <v>-1895.2412932656</v>
      </c>
      <c r="BI39" s="166" t="n">
        <v>-1895.2412932656</v>
      </c>
      <c r="BJ39" s="166" t="n">
        <v>-1895.2412932656</v>
      </c>
      <c r="BK39" s="166" t="n">
        <v>-1895.2412932656</v>
      </c>
      <c r="BL39" s="166" t="n">
        <v>-1895.2412932656</v>
      </c>
      <c r="BM39" s="166" t="n">
        <v>-1895.2412932656</v>
      </c>
      <c r="BN39" s="166" t="n">
        <v>-1933.14611913091</v>
      </c>
      <c r="BO39" s="166" t="n">
        <v>-1933.14611913091</v>
      </c>
      <c r="BP39" s="166" t="n">
        <v>-1933.14611913091</v>
      </c>
      <c r="BQ39" s="166" t="n">
        <v>-1933.14611913091</v>
      </c>
      <c r="BR39" s="166" t="n">
        <v>-1933.14611913091</v>
      </c>
      <c r="BS39" s="166" t="n">
        <v>-1933.14611913091</v>
      </c>
      <c r="BT39" s="166" t="n">
        <v>-1933.14611913091</v>
      </c>
      <c r="BU39" s="166" t="n">
        <v>-1933.14611913091</v>
      </c>
      <c r="BV39" s="166" t="n">
        <v>-1933.14611913091</v>
      </c>
      <c r="BW39" s="166" t="n">
        <v>-1933.14611913091</v>
      </c>
      <c r="BX39" s="166" t="n">
        <v>-1933.14611913091</v>
      </c>
      <c r="BY39" s="166" t="n">
        <v>-1933.14611913091</v>
      </c>
      <c r="BZ39" s="166" t="n">
        <v>-1971.80904151353</v>
      </c>
      <c r="CA39" s="166" t="n">
        <v>-1971.80904151353</v>
      </c>
      <c r="CB39" s="166" t="n">
        <v>-1971.80904151353</v>
      </c>
      <c r="CC39" s="166" t="n">
        <v>-1971.80904151353</v>
      </c>
      <c r="CD39" s="166" t="n">
        <v>-1971.80904151353</v>
      </c>
      <c r="CE39" s="166" t="n">
        <v>-1971.80904151353</v>
      </c>
      <c r="CF39" s="166" t="n">
        <v>-1971.80904151353</v>
      </c>
      <c r="CG39" s="166" t="n">
        <v>-1971.80904151353</v>
      </c>
      <c r="CH39" s="166" t="n">
        <v>-1971.80904151353</v>
      </c>
      <c r="CI39" s="166" t="n">
        <v>-1971.80904151353</v>
      </c>
      <c r="CJ39" s="166" t="n">
        <v>-1971.80904151353</v>
      </c>
      <c r="CK39" s="166" t="n">
        <v>-1971.80904151353</v>
      </c>
      <c r="CL39" s="166" t="n">
        <v>-2011.2452223438</v>
      </c>
      <c r="CM39" s="166" t="n">
        <v>-2011.2452223438</v>
      </c>
      <c r="CN39" s="166" t="n">
        <v>-2011.2452223438</v>
      </c>
      <c r="CO39" s="166" t="n">
        <v>-2011.2452223438</v>
      </c>
      <c r="CP39" s="166" t="n">
        <v>-2011.2452223438</v>
      </c>
      <c r="CQ39" s="166" t="n">
        <v>-2011.2452223438</v>
      </c>
      <c r="CR39" s="166" t="n">
        <v>-2011.2452223438</v>
      </c>
      <c r="CS39" s="166" t="n">
        <v>-2011.2452223438</v>
      </c>
      <c r="CT39" s="166" t="n">
        <v>-2011.2452223438</v>
      </c>
      <c r="CU39" s="166" t="n">
        <v>-2011.2452223438</v>
      </c>
      <c r="CV39" s="166" t="n">
        <v>-2011.2452223438</v>
      </c>
      <c r="CW39" s="166" t="n">
        <v>-2011.2452223438</v>
      </c>
      <c r="CX39" s="166" t="n">
        <v>-2051.47012679068</v>
      </c>
      <c r="CY39" s="166" t="n">
        <v>-2051.47012679068</v>
      </c>
      <c r="CZ39" s="166" t="n">
        <v>-2051.47012679068</v>
      </c>
      <c r="DA39" s="166" t="n">
        <v>-2051.47012679068</v>
      </c>
      <c r="DB39" s="166" t="n">
        <v>-2051.47012679068</v>
      </c>
      <c r="DC39" s="166" t="n">
        <v>-2051.47012679068</v>
      </c>
      <c r="DD39" s="166" t="n">
        <v>-2051.47012679068</v>
      </c>
      <c r="DE39" s="166" t="n">
        <v>-2051.47012679068</v>
      </c>
      <c r="DF39" s="166" t="n">
        <v>-2051.47012679068</v>
      </c>
    </row>
    <row r="40" customFormat="false" ht="15" hidden="false" customHeight="true" outlineLevel="0" collapsed="false">
      <c r="A40" s="140" t="s">
        <v>79</v>
      </c>
      <c r="C40" s="125" t="n">
        <v>-1417.61</v>
      </c>
      <c r="D40" s="125" t="n">
        <v>-2730.36</v>
      </c>
      <c r="E40" s="125" t="n">
        <v>-1818.05</v>
      </c>
      <c r="F40" s="166" t="n">
        <v>-1988.67</v>
      </c>
      <c r="G40" s="166" t="n">
        <v>-1988.67</v>
      </c>
      <c r="H40" s="166" t="n">
        <v>-1988.67</v>
      </c>
      <c r="I40" s="166" t="n">
        <v>-1988.67</v>
      </c>
      <c r="J40" s="166" t="n">
        <v>-1988.67</v>
      </c>
      <c r="K40" s="166" t="n">
        <v>-1988.67</v>
      </c>
      <c r="L40" s="166" t="n">
        <v>-1988.67</v>
      </c>
      <c r="M40" s="166" t="n">
        <v>-1988.67</v>
      </c>
      <c r="N40" s="166" t="n">
        <v>-1988.67</v>
      </c>
      <c r="O40" s="166" t="n">
        <v>-1988.67</v>
      </c>
      <c r="P40" s="166" t="n">
        <v>-1988.67</v>
      </c>
      <c r="Q40" s="166" t="n">
        <v>-1988.67</v>
      </c>
      <c r="R40" s="166" t="n">
        <v>-2028.4434</v>
      </c>
      <c r="S40" s="166" t="n">
        <v>-2028.4434</v>
      </c>
      <c r="T40" s="166" t="n">
        <v>-2028.4434</v>
      </c>
      <c r="U40" s="166" t="n">
        <v>-2028.4434</v>
      </c>
      <c r="V40" s="166" t="n">
        <v>-2028.4434</v>
      </c>
      <c r="W40" s="166" t="n">
        <v>-2028.4434</v>
      </c>
      <c r="X40" s="166" t="n">
        <v>-2028.4434</v>
      </c>
      <c r="Y40" s="166" t="n">
        <v>-2028.4434</v>
      </c>
      <c r="Z40" s="166" t="n">
        <v>-2028.4434</v>
      </c>
      <c r="AA40" s="166" t="n">
        <v>-2028.4434</v>
      </c>
      <c r="AB40" s="166" t="n">
        <v>-2028.4434</v>
      </c>
      <c r="AC40" s="166" t="n">
        <v>-2028.4434</v>
      </c>
      <c r="AD40" s="166" t="n">
        <v>-2069.012268</v>
      </c>
      <c r="AE40" s="166" t="n">
        <v>-2069.012268</v>
      </c>
      <c r="AF40" s="166" t="n">
        <v>-2069.012268</v>
      </c>
      <c r="AG40" s="166" t="n">
        <v>-2069.012268</v>
      </c>
      <c r="AH40" s="166" t="n">
        <v>-2069.012268</v>
      </c>
      <c r="AI40" s="166" t="n">
        <v>-2069.012268</v>
      </c>
      <c r="AJ40" s="166" t="n">
        <v>-2069.012268</v>
      </c>
      <c r="AK40" s="166" t="n">
        <v>-2069.012268</v>
      </c>
      <c r="AL40" s="166" t="n">
        <v>-2069.012268</v>
      </c>
      <c r="AM40" s="166" t="n">
        <v>-2069.012268</v>
      </c>
      <c r="AN40" s="166" t="n">
        <v>-2069.012268</v>
      </c>
      <c r="AO40" s="166" t="n">
        <v>-2069.012268</v>
      </c>
      <c r="AP40" s="166" t="n">
        <v>-2110.39251336</v>
      </c>
      <c r="AQ40" s="166" t="n">
        <v>-2110.39251336</v>
      </c>
      <c r="AR40" s="166" t="n">
        <v>-2110.39251336</v>
      </c>
      <c r="AS40" s="166" t="n">
        <v>-2110.39251336</v>
      </c>
      <c r="AT40" s="166" t="n">
        <v>-2110.39251336</v>
      </c>
      <c r="AU40" s="166" t="n">
        <v>-2110.39251336</v>
      </c>
      <c r="AV40" s="166" t="n">
        <v>-2110.39251336</v>
      </c>
      <c r="AW40" s="166" t="n">
        <v>-2110.39251336</v>
      </c>
      <c r="AX40" s="166" t="n">
        <v>-2110.39251336</v>
      </c>
      <c r="AY40" s="166" t="n">
        <v>-2110.39251336</v>
      </c>
      <c r="AZ40" s="166" t="n">
        <v>-2110.39251336</v>
      </c>
      <c r="BA40" s="166" t="n">
        <v>-2110.39251336</v>
      </c>
      <c r="BB40" s="166" t="n">
        <v>-2152.6003636272</v>
      </c>
      <c r="BC40" s="166" t="n">
        <v>-2152.6003636272</v>
      </c>
      <c r="BD40" s="166" t="n">
        <v>-2152.6003636272</v>
      </c>
      <c r="BE40" s="166" t="n">
        <v>-2152.6003636272</v>
      </c>
      <c r="BF40" s="166" t="n">
        <v>-2152.6003636272</v>
      </c>
      <c r="BG40" s="166" t="n">
        <v>-2152.6003636272</v>
      </c>
      <c r="BH40" s="166" t="n">
        <v>-2152.6003636272</v>
      </c>
      <c r="BI40" s="166" t="n">
        <v>-2152.6003636272</v>
      </c>
      <c r="BJ40" s="166" t="n">
        <v>-2152.6003636272</v>
      </c>
      <c r="BK40" s="166" t="n">
        <v>-2152.6003636272</v>
      </c>
      <c r="BL40" s="166" t="n">
        <v>-2152.6003636272</v>
      </c>
      <c r="BM40" s="166" t="n">
        <v>-2152.6003636272</v>
      </c>
      <c r="BN40" s="166" t="n">
        <v>-2195.65237089974</v>
      </c>
      <c r="BO40" s="166" t="n">
        <v>-2195.65237089974</v>
      </c>
      <c r="BP40" s="166" t="n">
        <v>-2195.65237089974</v>
      </c>
      <c r="BQ40" s="166" t="n">
        <v>-2195.65237089974</v>
      </c>
      <c r="BR40" s="166" t="n">
        <v>-2195.65237089974</v>
      </c>
      <c r="BS40" s="166" t="n">
        <v>-2195.65237089974</v>
      </c>
      <c r="BT40" s="166" t="n">
        <v>-2195.65237089974</v>
      </c>
      <c r="BU40" s="166" t="n">
        <v>-2195.65237089974</v>
      </c>
      <c r="BV40" s="166" t="n">
        <v>-2195.65237089974</v>
      </c>
      <c r="BW40" s="166" t="n">
        <v>-2195.65237089974</v>
      </c>
      <c r="BX40" s="166" t="n">
        <v>-2195.65237089974</v>
      </c>
      <c r="BY40" s="166" t="n">
        <v>-2195.65237089974</v>
      </c>
      <c r="BZ40" s="166" t="n">
        <v>-2239.56541831774</v>
      </c>
      <c r="CA40" s="166" t="n">
        <v>-2239.56541831774</v>
      </c>
      <c r="CB40" s="166" t="n">
        <v>-2239.56541831774</v>
      </c>
      <c r="CC40" s="166" t="n">
        <v>-2239.56541831774</v>
      </c>
      <c r="CD40" s="166" t="n">
        <v>-2239.56541831774</v>
      </c>
      <c r="CE40" s="166" t="n">
        <v>-2239.56541831774</v>
      </c>
      <c r="CF40" s="166" t="n">
        <v>-2239.56541831774</v>
      </c>
      <c r="CG40" s="166" t="n">
        <v>-2239.56541831774</v>
      </c>
      <c r="CH40" s="166" t="n">
        <v>-2239.56541831774</v>
      </c>
      <c r="CI40" s="166" t="n">
        <v>-2239.56541831774</v>
      </c>
      <c r="CJ40" s="166" t="n">
        <v>-2239.56541831774</v>
      </c>
      <c r="CK40" s="166" t="n">
        <v>-2239.56541831774</v>
      </c>
      <c r="CL40" s="166" t="n">
        <v>-2284.35672668409</v>
      </c>
      <c r="CM40" s="166" t="n">
        <v>-2284.35672668409</v>
      </c>
      <c r="CN40" s="166" t="n">
        <v>-2284.35672668409</v>
      </c>
      <c r="CO40" s="166" t="n">
        <v>-2284.35672668409</v>
      </c>
      <c r="CP40" s="166" t="n">
        <v>-2284.35672668409</v>
      </c>
      <c r="CQ40" s="166" t="n">
        <v>-2284.35672668409</v>
      </c>
      <c r="CR40" s="166" t="n">
        <v>-2284.35672668409</v>
      </c>
      <c r="CS40" s="166" t="n">
        <v>-2284.35672668409</v>
      </c>
      <c r="CT40" s="166" t="n">
        <v>-2284.35672668409</v>
      </c>
      <c r="CU40" s="166" t="n">
        <v>-2284.35672668409</v>
      </c>
      <c r="CV40" s="166" t="n">
        <v>-2284.35672668409</v>
      </c>
      <c r="CW40" s="166" t="n">
        <v>-2284.35672668409</v>
      </c>
      <c r="CX40" s="166" t="n">
        <v>-2330.04386121778</v>
      </c>
      <c r="CY40" s="166" t="n">
        <v>-2330.04386121778</v>
      </c>
      <c r="CZ40" s="166" t="n">
        <v>-2330.04386121778</v>
      </c>
      <c r="DA40" s="166" t="n">
        <v>-2330.04386121778</v>
      </c>
      <c r="DB40" s="166" t="n">
        <v>-2330.04386121778</v>
      </c>
      <c r="DC40" s="166" t="n">
        <v>-2330.04386121778</v>
      </c>
      <c r="DD40" s="166" t="n">
        <v>-2330.04386121778</v>
      </c>
      <c r="DE40" s="166" t="n">
        <v>-2330.04386121778</v>
      </c>
      <c r="DF40" s="166" t="n">
        <v>-2330.04386121778</v>
      </c>
    </row>
    <row r="41" customFormat="false" ht="15" hidden="false" customHeight="true" outlineLevel="0" collapsed="false">
      <c r="A41" s="140" t="s">
        <v>80</v>
      </c>
      <c r="C41" s="125" t="n">
        <v>0</v>
      </c>
      <c r="D41" s="125" t="n">
        <v>0</v>
      </c>
      <c r="E41" s="125" t="n">
        <v>-41990</v>
      </c>
      <c r="F41" s="166" t="n">
        <v>0</v>
      </c>
      <c r="G41" s="166" t="n">
        <v>-44250</v>
      </c>
      <c r="H41" s="166" t="n">
        <v>-45000</v>
      </c>
      <c r="I41" s="166" t="n">
        <v>-19500</v>
      </c>
      <c r="J41" s="166" t="n">
        <v>0</v>
      </c>
      <c r="K41" s="166" t="n">
        <v>0</v>
      </c>
      <c r="L41" s="166" t="n">
        <v>-37500</v>
      </c>
      <c r="M41" s="166" t="n">
        <v>-54000</v>
      </c>
      <c r="N41" s="166" t="n">
        <v>0</v>
      </c>
      <c r="O41" s="166" t="n">
        <v>0</v>
      </c>
      <c r="P41" s="166" t="n">
        <v>0</v>
      </c>
      <c r="Q41" s="166" t="n">
        <v>0</v>
      </c>
      <c r="R41" s="166" t="n">
        <v>-24000</v>
      </c>
      <c r="S41" s="166" t="n">
        <v>0</v>
      </c>
      <c r="T41" s="166" t="n">
        <v>0</v>
      </c>
      <c r="U41" s="166" t="n">
        <v>0</v>
      </c>
      <c r="V41" s="166" t="n">
        <v>0</v>
      </c>
      <c r="W41" s="166" t="n">
        <v>0</v>
      </c>
      <c r="X41" s="166" t="n">
        <v>0</v>
      </c>
      <c r="Y41" s="166" t="n">
        <v>0</v>
      </c>
      <c r="Z41" s="166" t="n">
        <v>0</v>
      </c>
      <c r="AA41" s="166" t="n">
        <v>0</v>
      </c>
      <c r="AB41" s="166" t="n">
        <v>0</v>
      </c>
      <c r="AC41" s="166" t="n">
        <v>0</v>
      </c>
      <c r="AD41" s="166" t="n">
        <v>0</v>
      </c>
      <c r="AE41" s="166" t="n">
        <v>0</v>
      </c>
      <c r="AF41" s="166" t="n">
        <v>0</v>
      </c>
      <c r="AG41" s="166" t="n">
        <v>0</v>
      </c>
      <c r="AH41" s="166" t="n">
        <v>0</v>
      </c>
      <c r="AI41" s="166" t="n">
        <v>0</v>
      </c>
      <c r="AJ41" s="166" t="n">
        <v>0</v>
      </c>
      <c r="AK41" s="166" t="n">
        <v>0</v>
      </c>
      <c r="AL41" s="166" t="n">
        <v>0</v>
      </c>
      <c r="AM41" s="166" t="n">
        <v>0</v>
      </c>
      <c r="AN41" s="166" t="n">
        <v>0</v>
      </c>
      <c r="AO41" s="166" t="n">
        <v>0</v>
      </c>
      <c r="AP41" s="166" t="n">
        <v>0</v>
      </c>
      <c r="AQ41" s="166" t="n">
        <v>0</v>
      </c>
      <c r="AR41" s="166" t="n">
        <v>0</v>
      </c>
      <c r="AS41" s="166" t="n">
        <v>0</v>
      </c>
      <c r="AT41" s="166" t="n">
        <v>0</v>
      </c>
      <c r="AU41" s="166" t="n">
        <v>0</v>
      </c>
      <c r="AV41" s="166" t="n">
        <v>0</v>
      </c>
      <c r="AW41" s="166" t="n">
        <v>0</v>
      </c>
      <c r="AX41" s="166" t="n">
        <v>0</v>
      </c>
      <c r="AY41" s="166" t="n">
        <v>0</v>
      </c>
      <c r="AZ41" s="166" t="n">
        <v>0</v>
      </c>
      <c r="BA41" s="166" t="n">
        <v>0</v>
      </c>
      <c r="BB41" s="166" t="n">
        <v>0</v>
      </c>
      <c r="BC41" s="166" t="n">
        <v>0</v>
      </c>
      <c r="BD41" s="166" t="n">
        <v>0</v>
      </c>
      <c r="BE41" s="166" t="n">
        <v>0</v>
      </c>
      <c r="BF41" s="166" t="n">
        <v>0</v>
      </c>
      <c r="BG41" s="166" t="n">
        <v>0</v>
      </c>
      <c r="BH41" s="166" t="n">
        <v>0</v>
      </c>
      <c r="BI41" s="166" t="n">
        <v>0</v>
      </c>
      <c r="BJ41" s="166" t="n">
        <v>0</v>
      </c>
      <c r="BK41" s="166" t="n">
        <v>0</v>
      </c>
      <c r="BL41" s="166" t="n">
        <v>0</v>
      </c>
      <c r="BM41" s="166" t="n">
        <v>0</v>
      </c>
      <c r="BN41" s="166" t="n">
        <v>0</v>
      </c>
      <c r="BO41" s="166" t="n">
        <v>0</v>
      </c>
      <c r="BP41" s="166" t="n">
        <v>0</v>
      </c>
      <c r="BQ41" s="166" t="n">
        <v>0</v>
      </c>
      <c r="BR41" s="166" t="n">
        <v>0</v>
      </c>
      <c r="BS41" s="166" t="n">
        <v>0</v>
      </c>
      <c r="BT41" s="166" t="n">
        <v>0</v>
      </c>
      <c r="BU41" s="166" t="n">
        <v>0</v>
      </c>
      <c r="BV41" s="166" t="n">
        <v>0</v>
      </c>
      <c r="BW41" s="166" t="n">
        <v>0</v>
      </c>
      <c r="BX41" s="166" t="n">
        <v>0</v>
      </c>
      <c r="BY41" s="166" t="n">
        <v>0</v>
      </c>
      <c r="BZ41" s="166" t="n">
        <v>0</v>
      </c>
      <c r="CA41" s="166" t="n">
        <v>0</v>
      </c>
      <c r="CB41" s="166" t="n">
        <v>0</v>
      </c>
      <c r="CC41" s="166" t="n">
        <v>0</v>
      </c>
      <c r="CD41" s="166" t="n">
        <v>0</v>
      </c>
      <c r="CE41" s="166" t="n">
        <v>0</v>
      </c>
      <c r="CF41" s="166" t="n">
        <v>0</v>
      </c>
      <c r="CG41" s="166" t="n">
        <v>0</v>
      </c>
      <c r="CH41" s="166" t="n">
        <v>0</v>
      </c>
      <c r="CI41" s="166" t="n">
        <v>0</v>
      </c>
      <c r="CJ41" s="166" t="n">
        <v>0</v>
      </c>
      <c r="CK41" s="166" t="n">
        <v>0</v>
      </c>
      <c r="CL41" s="166" t="n">
        <v>0</v>
      </c>
      <c r="CM41" s="166" t="n">
        <v>0</v>
      </c>
      <c r="CN41" s="166" t="n">
        <v>0</v>
      </c>
      <c r="CO41" s="166" t="n">
        <v>0</v>
      </c>
      <c r="CP41" s="166" t="n">
        <v>0</v>
      </c>
      <c r="CQ41" s="166" t="n">
        <v>0</v>
      </c>
      <c r="CR41" s="166" t="n">
        <v>0</v>
      </c>
      <c r="CS41" s="166" t="n">
        <v>0</v>
      </c>
      <c r="CT41" s="166" t="n">
        <v>0</v>
      </c>
      <c r="CU41" s="166" t="n">
        <v>0</v>
      </c>
      <c r="CV41" s="166" t="n">
        <v>0</v>
      </c>
      <c r="CW41" s="166" t="n">
        <v>0</v>
      </c>
      <c r="CX41" s="166" t="n">
        <v>0</v>
      </c>
      <c r="CY41" s="166" t="n">
        <v>0</v>
      </c>
      <c r="CZ41" s="166" t="n">
        <v>0</v>
      </c>
      <c r="DA41" s="166" t="n">
        <v>0</v>
      </c>
      <c r="DB41" s="166" t="n">
        <v>0</v>
      </c>
      <c r="DC41" s="166" t="n">
        <v>0</v>
      </c>
      <c r="DD41" s="166" t="n">
        <v>0</v>
      </c>
      <c r="DE41" s="166" t="n">
        <v>0</v>
      </c>
      <c r="DF41" s="166" t="n">
        <v>0</v>
      </c>
    </row>
    <row r="42" customFormat="false" ht="15" hidden="false" customHeight="true" outlineLevel="0" collapsed="false">
      <c r="A42" s="140" t="s">
        <v>81</v>
      </c>
      <c r="C42" s="125" t="n">
        <v>-165</v>
      </c>
      <c r="D42" s="125" t="n">
        <v>0</v>
      </c>
      <c r="E42" s="125" t="n">
        <v>0</v>
      </c>
      <c r="F42" s="166" t="n">
        <v>-55</v>
      </c>
      <c r="G42" s="166" t="n">
        <v>-55</v>
      </c>
      <c r="H42" s="166" t="n">
        <v>-55</v>
      </c>
      <c r="I42" s="166" t="n">
        <v>-55</v>
      </c>
      <c r="J42" s="166" t="n">
        <v>-55</v>
      </c>
      <c r="K42" s="166" t="n">
        <v>-55</v>
      </c>
      <c r="L42" s="166" t="n">
        <v>-55</v>
      </c>
      <c r="M42" s="166" t="n">
        <v>-55</v>
      </c>
      <c r="N42" s="166" t="n">
        <v>-55</v>
      </c>
      <c r="O42" s="166" t="n">
        <v>-55</v>
      </c>
      <c r="P42" s="166" t="n">
        <v>-55</v>
      </c>
      <c r="Q42" s="166" t="n">
        <v>-55</v>
      </c>
      <c r="R42" s="166" t="n">
        <v>-56.1</v>
      </c>
      <c r="S42" s="166" t="n">
        <v>-56.1</v>
      </c>
      <c r="T42" s="166" t="n">
        <v>-56.1</v>
      </c>
      <c r="U42" s="166" t="n">
        <v>-56.1</v>
      </c>
      <c r="V42" s="166" t="n">
        <v>-56.1</v>
      </c>
      <c r="W42" s="166" t="n">
        <v>-56.1</v>
      </c>
      <c r="X42" s="166" t="n">
        <v>-56.1</v>
      </c>
      <c r="Y42" s="166" t="n">
        <v>-56.1</v>
      </c>
      <c r="Z42" s="166" t="n">
        <v>-56.1</v>
      </c>
      <c r="AA42" s="166" t="n">
        <v>-56.1</v>
      </c>
      <c r="AB42" s="166" t="n">
        <v>-56.1</v>
      </c>
      <c r="AC42" s="166" t="n">
        <v>-56.1</v>
      </c>
      <c r="AD42" s="166" t="n">
        <v>-57.222</v>
      </c>
      <c r="AE42" s="166" t="n">
        <v>-57.222</v>
      </c>
      <c r="AF42" s="166" t="n">
        <v>-57.222</v>
      </c>
      <c r="AG42" s="166" t="n">
        <v>-57.222</v>
      </c>
      <c r="AH42" s="166" t="n">
        <v>-57.222</v>
      </c>
      <c r="AI42" s="166" t="n">
        <v>-57.222</v>
      </c>
      <c r="AJ42" s="166" t="n">
        <v>-57.222</v>
      </c>
      <c r="AK42" s="166" t="n">
        <v>-57.222</v>
      </c>
      <c r="AL42" s="166" t="n">
        <v>-57.222</v>
      </c>
      <c r="AM42" s="166" t="n">
        <v>-57.222</v>
      </c>
      <c r="AN42" s="166" t="n">
        <v>-57.222</v>
      </c>
      <c r="AO42" s="166" t="n">
        <v>-57.222</v>
      </c>
      <c r="AP42" s="166" t="n">
        <v>-58.36644</v>
      </c>
      <c r="AQ42" s="166" t="n">
        <v>-58.36644</v>
      </c>
      <c r="AR42" s="166" t="n">
        <v>-58.36644</v>
      </c>
      <c r="AS42" s="166" t="n">
        <v>-58.36644</v>
      </c>
      <c r="AT42" s="166" t="n">
        <v>-58.36644</v>
      </c>
      <c r="AU42" s="166" t="n">
        <v>-58.36644</v>
      </c>
      <c r="AV42" s="166" t="n">
        <v>-58.36644</v>
      </c>
      <c r="AW42" s="166" t="n">
        <v>-58.36644</v>
      </c>
      <c r="AX42" s="166" t="n">
        <v>-58.36644</v>
      </c>
      <c r="AY42" s="166" t="n">
        <v>-58.36644</v>
      </c>
      <c r="AZ42" s="166" t="n">
        <v>-58.36644</v>
      </c>
      <c r="BA42" s="166" t="n">
        <v>-58.36644</v>
      </c>
      <c r="BB42" s="166" t="n">
        <v>-59.5337688</v>
      </c>
      <c r="BC42" s="166" t="n">
        <v>-59.5337688</v>
      </c>
      <c r="BD42" s="166" t="n">
        <v>-59.5337688</v>
      </c>
      <c r="BE42" s="166" t="n">
        <v>-59.5337688</v>
      </c>
      <c r="BF42" s="166" t="n">
        <v>-59.5337688</v>
      </c>
      <c r="BG42" s="166" t="n">
        <v>-59.5337688</v>
      </c>
      <c r="BH42" s="166" t="n">
        <v>-59.5337688</v>
      </c>
      <c r="BI42" s="166" t="n">
        <v>-59.5337688</v>
      </c>
      <c r="BJ42" s="166" t="n">
        <v>-59.5337688</v>
      </c>
      <c r="BK42" s="166" t="n">
        <v>-59.5337688</v>
      </c>
      <c r="BL42" s="166" t="n">
        <v>-59.5337688</v>
      </c>
      <c r="BM42" s="166" t="n">
        <v>-59.5337688</v>
      </c>
      <c r="BN42" s="166" t="n">
        <v>-60.724444176</v>
      </c>
      <c r="BO42" s="166" t="n">
        <v>-60.724444176</v>
      </c>
      <c r="BP42" s="166" t="n">
        <v>-60.724444176</v>
      </c>
      <c r="BQ42" s="166" t="n">
        <v>-60.724444176</v>
      </c>
      <c r="BR42" s="166" t="n">
        <v>-60.724444176</v>
      </c>
      <c r="BS42" s="166" t="n">
        <v>-60.724444176</v>
      </c>
      <c r="BT42" s="166" t="n">
        <v>-60.724444176</v>
      </c>
      <c r="BU42" s="166" t="n">
        <v>-60.724444176</v>
      </c>
      <c r="BV42" s="166" t="n">
        <v>-60.724444176</v>
      </c>
      <c r="BW42" s="166" t="n">
        <v>-60.724444176</v>
      </c>
      <c r="BX42" s="166" t="n">
        <v>-60.724444176</v>
      </c>
      <c r="BY42" s="166" t="n">
        <v>-60.724444176</v>
      </c>
      <c r="BZ42" s="166" t="n">
        <v>-61.93893305952</v>
      </c>
      <c r="CA42" s="166" t="n">
        <v>-61.93893305952</v>
      </c>
      <c r="CB42" s="166" t="n">
        <v>-61.93893305952</v>
      </c>
      <c r="CC42" s="166" t="n">
        <v>-61.93893305952</v>
      </c>
      <c r="CD42" s="166" t="n">
        <v>-61.93893305952</v>
      </c>
      <c r="CE42" s="166" t="n">
        <v>-61.93893305952</v>
      </c>
      <c r="CF42" s="166" t="n">
        <v>-61.93893305952</v>
      </c>
      <c r="CG42" s="166" t="n">
        <v>-61.93893305952</v>
      </c>
      <c r="CH42" s="166" t="n">
        <v>-61.93893305952</v>
      </c>
      <c r="CI42" s="166" t="n">
        <v>-61.93893305952</v>
      </c>
      <c r="CJ42" s="166" t="n">
        <v>-61.93893305952</v>
      </c>
      <c r="CK42" s="166" t="n">
        <v>-61.93893305952</v>
      </c>
      <c r="CL42" s="166" t="n">
        <v>-63.1777117207104</v>
      </c>
      <c r="CM42" s="166" t="n">
        <v>-63.1777117207104</v>
      </c>
      <c r="CN42" s="166" t="n">
        <v>-63.1777117207104</v>
      </c>
      <c r="CO42" s="166" t="n">
        <v>-63.1777117207104</v>
      </c>
      <c r="CP42" s="166" t="n">
        <v>-63.1777117207104</v>
      </c>
      <c r="CQ42" s="166" t="n">
        <v>-63.1777117207104</v>
      </c>
      <c r="CR42" s="166" t="n">
        <v>-63.1777117207104</v>
      </c>
      <c r="CS42" s="166" t="n">
        <v>-63.1777117207104</v>
      </c>
      <c r="CT42" s="166" t="n">
        <v>-63.1777117207104</v>
      </c>
      <c r="CU42" s="166" t="n">
        <v>-63.1777117207104</v>
      </c>
      <c r="CV42" s="166" t="n">
        <v>-63.1777117207104</v>
      </c>
      <c r="CW42" s="166" t="n">
        <v>-63.1777117207104</v>
      </c>
      <c r="CX42" s="166" t="n">
        <v>-64.4412659551246</v>
      </c>
      <c r="CY42" s="166" t="n">
        <v>-64.4412659551246</v>
      </c>
      <c r="CZ42" s="166" t="n">
        <v>-64.4412659551246</v>
      </c>
      <c r="DA42" s="166" t="n">
        <v>-64.4412659551246</v>
      </c>
      <c r="DB42" s="166" t="n">
        <v>-64.4412659551246</v>
      </c>
      <c r="DC42" s="166" t="n">
        <v>-64.4412659551246</v>
      </c>
      <c r="DD42" s="166" t="n">
        <v>-64.4412659551246</v>
      </c>
      <c r="DE42" s="166" t="n">
        <v>-64.4412659551246</v>
      </c>
      <c r="DF42" s="166" t="n">
        <v>-64.4412659551246</v>
      </c>
    </row>
    <row r="43" customFormat="false" ht="15" hidden="false" customHeight="true" outlineLevel="0" collapsed="false">
      <c r="A43" s="140" t="s">
        <v>82</v>
      </c>
      <c r="C43" s="170" t="n">
        <v>0</v>
      </c>
      <c r="D43" s="170" t="n">
        <v>0</v>
      </c>
      <c r="E43" s="170" t="n">
        <v>0</v>
      </c>
      <c r="F43" s="166" t="n">
        <v>0</v>
      </c>
      <c r="G43" s="166" t="n">
        <v>0</v>
      </c>
      <c r="H43" s="166" t="n">
        <v>0</v>
      </c>
      <c r="I43" s="166" t="n">
        <v>0</v>
      </c>
      <c r="J43" s="166" t="n">
        <v>0</v>
      </c>
      <c r="K43" s="166" t="n">
        <v>0</v>
      </c>
      <c r="L43" s="166" t="n">
        <v>0</v>
      </c>
      <c r="M43" s="166" t="n">
        <v>0</v>
      </c>
      <c r="N43" s="166" t="n">
        <v>0</v>
      </c>
      <c r="O43" s="166" t="n">
        <v>0</v>
      </c>
      <c r="P43" s="166" t="n">
        <v>0</v>
      </c>
      <c r="Q43" s="166" t="n">
        <v>0</v>
      </c>
      <c r="R43" s="166" t="n">
        <v>0</v>
      </c>
      <c r="S43" s="166" t="n">
        <v>0</v>
      </c>
      <c r="T43" s="166" t="n">
        <v>0</v>
      </c>
      <c r="U43" s="166" t="n">
        <v>0</v>
      </c>
      <c r="V43" s="166" t="n">
        <v>0</v>
      </c>
      <c r="W43" s="166" t="n">
        <v>0</v>
      </c>
      <c r="X43" s="166" t="n">
        <v>0</v>
      </c>
      <c r="Y43" s="166" t="n">
        <v>0</v>
      </c>
      <c r="Z43" s="166" t="n">
        <v>0</v>
      </c>
      <c r="AA43" s="166" t="n">
        <v>0</v>
      </c>
      <c r="AB43" s="166" t="n">
        <v>0</v>
      </c>
      <c r="AC43" s="166" t="n">
        <v>0</v>
      </c>
      <c r="AD43" s="166" t="n">
        <v>0</v>
      </c>
      <c r="AE43" s="166" t="n">
        <v>0</v>
      </c>
      <c r="AF43" s="166" t="n">
        <v>0</v>
      </c>
      <c r="AG43" s="166" t="n">
        <v>0</v>
      </c>
      <c r="AH43" s="166" t="n">
        <v>0</v>
      </c>
      <c r="AI43" s="166" t="n">
        <v>0</v>
      </c>
      <c r="AJ43" s="166" t="n">
        <v>0</v>
      </c>
      <c r="AK43" s="166" t="n">
        <v>0</v>
      </c>
      <c r="AL43" s="166" t="n">
        <v>0</v>
      </c>
      <c r="AM43" s="166" t="n">
        <v>0</v>
      </c>
      <c r="AN43" s="166" t="n">
        <v>0</v>
      </c>
      <c r="AO43" s="166" t="n">
        <v>0</v>
      </c>
      <c r="AP43" s="166" t="n">
        <v>0</v>
      </c>
      <c r="AQ43" s="166" t="n">
        <v>0</v>
      </c>
      <c r="AR43" s="166" t="n">
        <v>0</v>
      </c>
      <c r="AS43" s="166" t="n">
        <v>0</v>
      </c>
      <c r="AT43" s="166" t="n">
        <v>0</v>
      </c>
      <c r="AU43" s="166" t="n">
        <v>0</v>
      </c>
      <c r="AV43" s="166" t="n">
        <v>0</v>
      </c>
      <c r="AW43" s="166" t="n">
        <v>0</v>
      </c>
      <c r="AX43" s="166" t="n">
        <v>0</v>
      </c>
      <c r="AY43" s="166" t="n">
        <v>0</v>
      </c>
      <c r="AZ43" s="166" t="n">
        <v>0</v>
      </c>
      <c r="BA43" s="166" t="n">
        <v>0</v>
      </c>
      <c r="BB43" s="166" t="n">
        <v>0</v>
      </c>
      <c r="BC43" s="166" t="n">
        <v>0</v>
      </c>
      <c r="BD43" s="166" t="n">
        <v>0</v>
      </c>
      <c r="BE43" s="166" t="n">
        <v>0</v>
      </c>
      <c r="BF43" s="166" t="n">
        <v>0</v>
      </c>
      <c r="BG43" s="166" t="n">
        <v>0</v>
      </c>
      <c r="BH43" s="166" t="n">
        <v>0</v>
      </c>
      <c r="BI43" s="166" t="n">
        <v>0</v>
      </c>
      <c r="BJ43" s="166" t="n">
        <v>0</v>
      </c>
      <c r="BK43" s="166" t="n">
        <v>0</v>
      </c>
      <c r="BL43" s="166" t="n">
        <v>0</v>
      </c>
      <c r="BM43" s="166" t="n">
        <v>0</v>
      </c>
      <c r="BN43" s="166" t="n">
        <v>0</v>
      </c>
      <c r="BO43" s="166" t="n">
        <v>0</v>
      </c>
      <c r="BP43" s="166" t="n">
        <v>0</v>
      </c>
      <c r="BQ43" s="166" t="n">
        <v>0</v>
      </c>
      <c r="BR43" s="166" t="n">
        <v>0</v>
      </c>
      <c r="BS43" s="166" t="n">
        <v>0</v>
      </c>
      <c r="BT43" s="166" t="n">
        <v>0</v>
      </c>
      <c r="BU43" s="166" t="n">
        <v>0</v>
      </c>
      <c r="BV43" s="166" t="n">
        <v>0</v>
      </c>
      <c r="BW43" s="166" t="n">
        <v>0</v>
      </c>
      <c r="BX43" s="166" t="n">
        <v>0</v>
      </c>
      <c r="BY43" s="166" t="n">
        <v>0</v>
      </c>
      <c r="BZ43" s="166" t="n">
        <v>0</v>
      </c>
      <c r="CA43" s="166" t="n">
        <v>0</v>
      </c>
      <c r="CB43" s="166" t="n">
        <v>0</v>
      </c>
      <c r="CC43" s="166" t="n">
        <v>0</v>
      </c>
      <c r="CD43" s="166" t="n">
        <v>0</v>
      </c>
      <c r="CE43" s="166" t="n">
        <v>0</v>
      </c>
      <c r="CF43" s="166" t="n">
        <v>0</v>
      </c>
      <c r="CG43" s="166" t="n">
        <v>0</v>
      </c>
      <c r="CH43" s="166" t="n">
        <v>0</v>
      </c>
      <c r="CI43" s="166" t="n">
        <v>0</v>
      </c>
      <c r="CJ43" s="166" t="n">
        <v>0</v>
      </c>
      <c r="CK43" s="166" t="n">
        <v>0</v>
      </c>
      <c r="CL43" s="166" t="n">
        <v>0</v>
      </c>
      <c r="CM43" s="166" t="n">
        <v>0</v>
      </c>
      <c r="CN43" s="166" t="n">
        <v>0</v>
      </c>
      <c r="CO43" s="166" t="n">
        <v>0</v>
      </c>
      <c r="CP43" s="166" t="n">
        <v>0</v>
      </c>
      <c r="CQ43" s="166" t="n">
        <v>0</v>
      </c>
      <c r="CR43" s="166" t="n">
        <v>0</v>
      </c>
      <c r="CS43" s="166" t="n">
        <v>0</v>
      </c>
      <c r="CT43" s="166" t="n">
        <v>0</v>
      </c>
      <c r="CU43" s="166" t="n">
        <v>0</v>
      </c>
      <c r="CV43" s="166" t="n">
        <v>0</v>
      </c>
      <c r="CW43" s="166" t="n">
        <v>0</v>
      </c>
      <c r="CX43" s="166" t="n">
        <v>0</v>
      </c>
      <c r="CY43" s="166" t="n">
        <v>0</v>
      </c>
      <c r="CZ43" s="166" t="n">
        <v>0</v>
      </c>
      <c r="DA43" s="166" t="n">
        <v>0</v>
      </c>
      <c r="DB43" s="166" t="n">
        <v>0</v>
      </c>
      <c r="DC43" s="166" t="n">
        <v>0</v>
      </c>
      <c r="DD43" s="166" t="n">
        <v>0</v>
      </c>
      <c r="DE43" s="166" t="n">
        <v>0</v>
      </c>
      <c r="DF43" s="166" t="n">
        <v>0</v>
      </c>
    </row>
    <row r="44" customFormat="false" ht="15" hidden="false" customHeight="true" outlineLevel="0" collapsed="false">
      <c r="A44" s="140" t="s">
        <v>83</v>
      </c>
      <c r="C44" s="125" t="n">
        <v>-550</v>
      </c>
      <c r="D44" s="125" t="n">
        <v>-550</v>
      </c>
      <c r="E44" s="125" t="n">
        <v>-550</v>
      </c>
      <c r="F44" s="166" t="n">
        <v>-550</v>
      </c>
      <c r="G44" s="166" t="n">
        <v>-550</v>
      </c>
      <c r="H44" s="166" t="n">
        <v>-550</v>
      </c>
      <c r="I44" s="166" t="n">
        <v>-550</v>
      </c>
      <c r="J44" s="166" t="n">
        <v>-550</v>
      </c>
      <c r="K44" s="166" t="n">
        <v>-550</v>
      </c>
      <c r="L44" s="166" t="n">
        <v>-550</v>
      </c>
      <c r="M44" s="166" t="n">
        <v>-550</v>
      </c>
      <c r="N44" s="166" t="n">
        <v>-550</v>
      </c>
      <c r="O44" s="166" t="n">
        <v>-550</v>
      </c>
      <c r="P44" s="166" t="n">
        <v>-550</v>
      </c>
      <c r="Q44" s="166" t="n">
        <v>-550</v>
      </c>
      <c r="R44" s="166" t="n">
        <v>-561</v>
      </c>
      <c r="S44" s="166" t="n">
        <v>-561</v>
      </c>
      <c r="T44" s="166" t="n">
        <v>-561</v>
      </c>
      <c r="U44" s="166" t="n">
        <v>-561</v>
      </c>
      <c r="V44" s="166" t="n">
        <v>-561</v>
      </c>
      <c r="W44" s="166" t="n">
        <v>-561</v>
      </c>
      <c r="X44" s="166" t="n">
        <v>-561</v>
      </c>
      <c r="Y44" s="166" t="n">
        <v>-561</v>
      </c>
      <c r="Z44" s="166" t="n">
        <v>-561</v>
      </c>
      <c r="AA44" s="166" t="n">
        <v>-561</v>
      </c>
      <c r="AB44" s="166" t="n">
        <v>-561</v>
      </c>
      <c r="AC44" s="166" t="n">
        <v>-561</v>
      </c>
      <c r="AD44" s="166" t="n">
        <v>-572.22</v>
      </c>
      <c r="AE44" s="166" t="n">
        <v>-572.22</v>
      </c>
      <c r="AF44" s="166" t="n">
        <v>-572.22</v>
      </c>
      <c r="AG44" s="166" t="n">
        <v>-572.22</v>
      </c>
      <c r="AH44" s="166" t="n">
        <v>-572.22</v>
      </c>
      <c r="AI44" s="166" t="n">
        <v>-572.22</v>
      </c>
      <c r="AJ44" s="166" t="n">
        <v>-572.22</v>
      </c>
      <c r="AK44" s="166" t="n">
        <v>-572.22</v>
      </c>
      <c r="AL44" s="166" t="n">
        <v>-572.22</v>
      </c>
      <c r="AM44" s="166" t="n">
        <v>-572.22</v>
      </c>
      <c r="AN44" s="166" t="n">
        <v>-572.22</v>
      </c>
      <c r="AO44" s="166" t="n">
        <v>-572.22</v>
      </c>
      <c r="AP44" s="166" t="n">
        <v>-583.6644</v>
      </c>
      <c r="AQ44" s="166" t="n">
        <v>-583.6644</v>
      </c>
      <c r="AR44" s="166" t="n">
        <v>-583.6644</v>
      </c>
      <c r="AS44" s="166" t="n">
        <v>-583.6644</v>
      </c>
      <c r="AT44" s="166" t="n">
        <v>-583.6644</v>
      </c>
      <c r="AU44" s="166" t="n">
        <v>-583.6644</v>
      </c>
      <c r="AV44" s="166" t="n">
        <v>-583.6644</v>
      </c>
      <c r="AW44" s="166" t="n">
        <v>-583.6644</v>
      </c>
      <c r="AX44" s="166" t="n">
        <v>-583.6644</v>
      </c>
      <c r="AY44" s="166" t="n">
        <v>-583.6644</v>
      </c>
      <c r="AZ44" s="166" t="n">
        <v>-583.6644</v>
      </c>
      <c r="BA44" s="166" t="n">
        <v>-583.6644</v>
      </c>
      <c r="BB44" s="166" t="n">
        <v>-595.337688</v>
      </c>
      <c r="BC44" s="166" t="n">
        <v>-595.337688</v>
      </c>
      <c r="BD44" s="166" t="n">
        <v>-595.337688</v>
      </c>
      <c r="BE44" s="166" t="n">
        <v>-595.337688</v>
      </c>
      <c r="BF44" s="166" t="n">
        <v>-595.337688</v>
      </c>
      <c r="BG44" s="166" t="n">
        <v>-595.337688</v>
      </c>
      <c r="BH44" s="166" t="n">
        <v>-595.337688</v>
      </c>
      <c r="BI44" s="166" t="n">
        <v>-595.337688</v>
      </c>
      <c r="BJ44" s="166" t="n">
        <v>-595.337688</v>
      </c>
      <c r="BK44" s="166" t="n">
        <v>-595.337688</v>
      </c>
      <c r="BL44" s="166" t="n">
        <v>-595.337688</v>
      </c>
      <c r="BM44" s="166" t="n">
        <v>-595.337688</v>
      </c>
      <c r="BN44" s="166" t="n">
        <v>-607.24444176</v>
      </c>
      <c r="BO44" s="166" t="n">
        <v>-607.24444176</v>
      </c>
      <c r="BP44" s="166" t="n">
        <v>-607.24444176</v>
      </c>
      <c r="BQ44" s="166" t="n">
        <v>-607.24444176</v>
      </c>
      <c r="BR44" s="166" t="n">
        <v>-607.24444176</v>
      </c>
      <c r="BS44" s="166" t="n">
        <v>-607.24444176</v>
      </c>
      <c r="BT44" s="166" t="n">
        <v>-607.24444176</v>
      </c>
      <c r="BU44" s="166" t="n">
        <v>-607.24444176</v>
      </c>
      <c r="BV44" s="166" t="n">
        <v>-607.24444176</v>
      </c>
      <c r="BW44" s="166" t="n">
        <v>-607.24444176</v>
      </c>
      <c r="BX44" s="166" t="n">
        <v>-607.24444176</v>
      </c>
      <c r="BY44" s="166" t="n">
        <v>-607.24444176</v>
      </c>
      <c r="BZ44" s="166" t="n">
        <v>-619.3893305952</v>
      </c>
      <c r="CA44" s="166" t="n">
        <v>-619.3893305952</v>
      </c>
      <c r="CB44" s="166" t="n">
        <v>-619.3893305952</v>
      </c>
      <c r="CC44" s="166" t="n">
        <v>-619.3893305952</v>
      </c>
      <c r="CD44" s="166" t="n">
        <v>-619.3893305952</v>
      </c>
      <c r="CE44" s="166" t="n">
        <v>-619.3893305952</v>
      </c>
      <c r="CF44" s="166" t="n">
        <v>-619.3893305952</v>
      </c>
      <c r="CG44" s="166" t="n">
        <v>-619.3893305952</v>
      </c>
      <c r="CH44" s="166" t="n">
        <v>-619.3893305952</v>
      </c>
      <c r="CI44" s="166" t="n">
        <v>-619.3893305952</v>
      </c>
      <c r="CJ44" s="166" t="n">
        <v>-619.3893305952</v>
      </c>
      <c r="CK44" s="166" t="n">
        <v>-619.3893305952</v>
      </c>
      <c r="CL44" s="166" t="n">
        <v>-631.777117207104</v>
      </c>
      <c r="CM44" s="166" t="n">
        <v>-631.777117207104</v>
      </c>
      <c r="CN44" s="166" t="n">
        <v>-631.777117207104</v>
      </c>
      <c r="CO44" s="166" t="n">
        <v>-631.777117207104</v>
      </c>
      <c r="CP44" s="166" t="n">
        <v>-631.777117207104</v>
      </c>
      <c r="CQ44" s="166" t="n">
        <v>-631.777117207104</v>
      </c>
      <c r="CR44" s="166" t="n">
        <v>-631.777117207104</v>
      </c>
      <c r="CS44" s="166" t="n">
        <v>-631.777117207104</v>
      </c>
      <c r="CT44" s="166" t="n">
        <v>-631.777117207104</v>
      </c>
      <c r="CU44" s="166" t="n">
        <v>-631.777117207104</v>
      </c>
      <c r="CV44" s="166" t="n">
        <v>-631.777117207104</v>
      </c>
      <c r="CW44" s="166" t="n">
        <v>-631.777117207104</v>
      </c>
      <c r="CX44" s="166" t="n">
        <v>-644.412659551246</v>
      </c>
      <c r="CY44" s="166" t="n">
        <v>-644.412659551246</v>
      </c>
      <c r="CZ44" s="166" t="n">
        <v>-644.412659551246</v>
      </c>
      <c r="DA44" s="166" t="n">
        <v>-644.412659551246</v>
      </c>
      <c r="DB44" s="166" t="n">
        <v>-644.412659551246</v>
      </c>
      <c r="DC44" s="166" t="n">
        <v>-644.412659551246</v>
      </c>
      <c r="DD44" s="166" t="n">
        <v>-644.412659551246</v>
      </c>
      <c r="DE44" s="166" t="n">
        <v>-644.412659551246</v>
      </c>
      <c r="DF44" s="166" t="n">
        <v>-644.412659551246</v>
      </c>
    </row>
    <row r="45" customFormat="false" ht="15" hidden="false" customHeight="true" outlineLevel="0" collapsed="false">
      <c r="A45" s="120" t="s">
        <v>84</v>
      </c>
      <c r="C45" s="167" t="n">
        <v>-19223.75</v>
      </c>
      <c r="D45" s="167" t="n">
        <v>-13381.97</v>
      </c>
      <c r="E45" s="167" t="n">
        <v>-20308.69</v>
      </c>
      <c r="F45" s="167" t="n">
        <v>-17638.14</v>
      </c>
      <c r="G45" s="167" t="n">
        <v>-17638.14</v>
      </c>
      <c r="H45" s="167" t="n">
        <v>-17638.14</v>
      </c>
      <c r="I45" s="167" t="n">
        <v>-17638.14</v>
      </c>
      <c r="J45" s="167" t="n">
        <v>-17638.14</v>
      </c>
      <c r="K45" s="167" t="n">
        <v>-17638.14</v>
      </c>
      <c r="L45" s="167" t="n">
        <v>-17638.14</v>
      </c>
      <c r="M45" s="167" t="n">
        <v>-17638.14</v>
      </c>
      <c r="N45" s="167" t="n">
        <v>-17638.14</v>
      </c>
      <c r="O45" s="167" t="n">
        <v>-17638.14</v>
      </c>
      <c r="P45" s="167" t="n">
        <v>-17638.14</v>
      </c>
      <c r="Q45" s="167" t="n">
        <v>-17638.14</v>
      </c>
      <c r="R45" s="167" t="n">
        <v>-17990.9028</v>
      </c>
      <c r="S45" s="167" t="n">
        <v>-17990.9028</v>
      </c>
      <c r="T45" s="167" t="n">
        <v>-17990.9028</v>
      </c>
      <c r="U45" s="167" t="n">
        <v>-17990.9028</v>
      </c>
      <c r="V45" s="167" t="n">
        <v>-17990.9028</v>
      </c>
      <c r="W45" s="167" t="n">
        <v>-17990.9028</v>
      </c>
      <c r="X45" s="167" t="n">
        <v>-17990.9028</v>
      </c>
      <c r="Y45" s="167" t="n">
        <v>-17990.9028</v>
      </c>
      <c r="Z45" s="167" t="n">
        <v>-17990.9028</v>
      </c>
      <c r="AA45" s="167" t="n">
        <v>-17990.9028</v>
      </c>
      <c r="AB45" s="167" t="n">
        <v>-17990.9028</v>
      </c>
      <c r="AC45" s="167" t="n">
        <v>-17990.9028</v>
      </c>
      <c r="AD45" s="167" t="n">
        <v>-18350.720856</v>
      </c>
      <c r="AE45" s="167" t="n">
        <v>-18350.720856</v>
      </c>
      <c r="AF45" s="167" t="n">
        <v>-18350.720856</v>
      </c>
      <c r="AG45" s="167" t="n">
        <v>-18350.720856</v>
      </c>
      <c r="AH45" s="167" t="n">
        <v>-18350.720856</v>
      </c>
      <c r="AI45" s="167" t="n">
        <v>-18350.720856</v>
      </c>
      <c r="AJ45" s="167" t="n">
        <v>-18350.720856</v>
      </c>
      <c r="AK45" s="167" t="n">
        <v>-18350.720856</v>
      </c>
      <c r="AL45" s="167" t="n">
        <v>-18350.720856</v>
      </c>
      <c r="AM45" s="167" t="n">
        <v>-18350.720856</v>
      </c>
      <c r="AN45" s="167" t="n">
        <v>-18350.720856</v>
      </c>
      <c r="AO45" s="167" t="n">
        <v>-18350.720856</v>
      </c>
      <c r="AP45" s="167" t="n">
        <v>-18717.73527312</v>
      </c>
      <c r="AQ45" s="167" t="n">
        <v>-18717.73527312</v>
      </c>
      <c r="AR45" s="167" t="n">
        <v>-18717.73527312</v>
      </c>
      <c r="AS45" s="167" t="n">
        <v>-18717.73527312</v>
      </c>
      <c r="AT45" s="167" t="n">
        <v>-18717.73527312</v>
      </c>
      <c r="AU45" s="167" t="n">
        <v>-18717.73527312</v>
      </c>
      <c r="AV45" s="167" t="n">
        <v>-18717.73527312</v>
      </c>
      <c r="AW45" s="167" t="n">
        <v>-18717.73527312</v>
      </c>
      <c r="AX45" s="167" t="n">
        <v>-18717.73527312</v>
      </c>
      <c r="AY45" s="167" t="n">
        <v>-18717.73527312</v>
      </c>
      <c r="AZ45" s="167" t="n">
        <v>-18717.73527312</v>
      </c>
      <c r="BA45" s="167" t="n">
        <v>-18717.73527312</v>
      </c>
      <c r="BB45" s="167" t="n">
        <v>-19092.0899785824</v>
      </c>
      <c r="BC45" s="167" t="n">
        <v>-19092.0899785824</v>
      </c>
      <c r="BD45" s="167" t="n">
        <v>-19092.0899785824</v>
      </c>
      <c r="BE45" s="167" t="n">
        <v>-19092.0899785824</v>
      </c>
      <c r="BF45" s="167" t="n">
        <v>-19092.0899785824</v>
      </c>
      <c r="BG45" s="167" t="n">
        <v>-19092.0899785824</v>
      </c>
      <c r="BH45" s="167" t="n">
        <v>-19092.0899785824</v>
      </c>
      <c r="BI45" s="167" t="n">
        <v>-19092.0899785824</v>
      </c>
      <c r="BJ45" s="167" t="n">
        <v>-19092.0899785824</v>
      </c>
      <c r="BK45" s="167" t="n">
        <v>-19092.0899785824</v>
      </c>
      <c r="BL45" s="167" t="n">
        <v>-19092.0899785824</v>
      </c>
      <c r="BM45" s="167" t="n">
        <v>-19092.0899785824</v>
      </c>
      <c r="BN45" s="167" t="n">
        <v>-19473.9317781541</v>
      </c>
      <c r="BO45" s="167" t="n">
        <v>-19473.9317781541</v>
      </c>
      <c r="BP45" s="167" t="n">
        <v>-19473.9317781541</v>
      </c>
      <c r="BQ45" s="167" t="n">
        <v>-19473.9317781541</v>
      </c>
      <c r="BR45" s="167" t="n">
        <v>-19473.9317781541</v>
      </c>
      <c r="BS45" s="167" t="n">
        <v>-19473.9317781541</v>
      </c>
      <c r="BT45" s="167" t="n">
        <v>-19473.9317781541</v>
      </c>
      <c r="BU45" s="167" t="n">
        <v>-19473.9317781541</v>
      </c>
      <c r="BV45" s="167" t="n">
        <v>-19473.9317781541</v>
      </c>
      <c r="BW45" s="167" t="n">
        <v>-19473.9317781541</v>
      </c>
      <c r="BX45" s="167" t="n">
        <v>-19473.9317781541</v>
      </c>
      <c r="BY45" s="167" t="n">
        <v>-19473.9317781541</v>
      </c>
      <c r="BZ45" s="167" t="n">
        <v>-19863.4104137171</v>
      </c>
      <c r="CA45" s="167" t="n">
        <v>-19863.4104137171</v>
      </c>
      <c r="CB45" s="167" t="n">
        <v>-19863.4104137171</v>
      </c>
      <c r="CC45" s="167" t="n">
        <v>-19863.4104137171</v>
      </c>
      <c r="CD45" s="167" t="n">
        <v>-19863.4104137171</v>
      </c>
      <c r="CE45" s="167" t="n">
        <v>-19863.4104137171</v>
      </c>
      <c r="CF45" s="167" t="n">
        <v>-19863.4104137171</v>
      </c>
      <c r="CG45" s="167" t="n">
        <v>-19863.4104137171</v>
      </c>
      <c r="CH45" s="167" t="n">
        <v>-19863.4104137171</v>
      </c>
      <c r="CI45" s="167" t="n">
        <v>-19863.4104137171</v>
      </c>
      <c r="CJ45" s="167" t="n">
        <v>-19863.4104137171</v>
      </c>
      <c r="CK45" s="167" t="n">
        <v>-19863.4104137171</v>
      </c>
      <c r="CL45" s="167" t="n">
        <v>-20260.6786219915</v>
      </c>
      <c r="CM45" s="167" t="n">
        <v>-20260.6786219915</v>
      </c>
      <c r="CN45" s="167" t="n">
        <v>-20260.6786219915</v>
      </c>
      <c r="CO45" s="167" t="n">
        <v>-20260.6786219915</v>
      </c>
      <c r="CP45" s="167" t="n">
        <v>-20260.6786219915</v>
      </c>
      <c r="CQ45" s="167" t="n">
        <v>-20260.6786219915</v>
      </c>
      <c r="CR45" s="167" t="n">
        <v>-20260.6786219915</v>
      </c>
      <c r="CS45" s="167" t="n">
        <v>-20260.6786219915</v>
      </c>
      <c r="CT45" s="167" t="n">
        <v>-20260.6786219915</v>
      </c>
      <c r="CU45" s="167" t="n">
        <v>-20260.6786219915</v>
      </c>
      <c r="CV45" s="167" t="n">
        <v>-20260.6786219915</v>
      </c>
      <c r="CW45" s="167" t="n">
        <v>-20260.6786219915</v>
      </c>
      <c r="CX45" s="167" t="n">
        <v>-20665.8921944313</v>
      </c>
      <c r="CY45" s="167" t="n">
        <v>-20665.8921944313</v>
      </c>
      <c r="CZ45" s="167" t="n">
        <v>-20665.8921944313</v>
      </c>
      <c r="DA45" s="167" t="n">
        <v>-20665.8921944313</v>
      </c>
      <c r="DB45" s="167" t="n">
        <v>-20665.8921944313</v>
      </c>
      <c r="DC45" s="167" t="n">
        <v>-20665.8921944313</v>
      </c>
      <c r="DD45" s="167" t="n">
        <v>-20665.8921944313</v>
      </c>
      <c r="DE45" s="167" t="n">
        <v>-20665.8921944313</v>
      </c>
      <c r="DF45" s="167" t="n">
        <v>-20665.8921944313</v>
      </c>
    </row>
    <row r="46" customFormat="false" ht="15" hidden="false" customHeight="true" outlineLevel="0" collapsed="false">
      <c r="A46" s="120" t="s">
        <v>85</v>
      </c>
      <c r="C46" s="167" t="n">
        <v>-1909.98</v>
      </c>
      <c r="D46" s="167" t="n">
        <v>-190.1</v>
      </c>
      <c r="E46" s="167" t="n">
        <v>-2166.92</v>
      </c>
      <c r="F46" s="167" t="n">
        <v>-1422.33</v>
      </c>
      <c r="G46" s="167" t="n">
        <v>-1422.33</v>
      </c>
      <c r="H46" s="167" t="n">
        <v>-1422.33</v>
      </c>
      <c r="I46" s="167" t="n">
        <v>-1422.33</v>
      </c>
      <c r="J46" s="167" t="n">
        <v>-1422.33</v>
      </c>
      <c r="K46" s="167" t="n">
        <v>-1422.33</v>
      </c>
      <c r="L46" s="167" t="n">
        <v>-1422.33</v>
      </c>
      <c r="M46" s="167" t="n">
        <v>-1422.33</v>
      </c>
      <c r="N46" s="167" t="n">
        <v>-1422.33</v>
      </c>
      <c r="O46" s="167" t="n">
        <v>-1422.33</v>
      </c>
      <c r="P46" s="167" t="n">
        <v>-1422.33</v>
      </c>
      <c r="Q46" s="167" t="n">
        <v>-1422.33</v>
      </c>
      <c r="R46" s="167" t="n">
        <v>-1450.7766</v>
      </c>
      <c r="S46" s="167" t="n">
        <v>-1450.7766</v>
      </c>
      <c r="T46" s="167" t="n">
        <v>-1450.7766</v>
      </c>
      <c r="U46" s="167" t="n">
        <v>-1450.7766</v>
      </c>
      <c r="V46" s="167" t="n">
        <v>-1450.7766</v>
      </c>
      <c r="W46" s="167" t="n">
        <v>-1450.7766</v>
      </c>
      <c r="X46" s="167" t="n">
        <v>-1450.7766</v>
      </c>
      <c r="Y46" s="167" t="n">
        <v>-1450.7766</v>
      </c>
      <c r="Z46" s="167" t="n">
        <v>-1450.7766</v>
      </c>
      <c r="AA46" s="167" t="n">
        <v>-1450.7766</v>
      </c>
      <c r="AB46" s="167" t="n">
        <v>-1450.7766</v>
      </c>
      <c r="AC46" s="167" t="n">
        <v>-1450.7766</v>
      </c>
      <c r="AD46" s="167" t="n">
        <v>-1479.792132</v>
      </c>
      <c r="AE46" s="167" t="n">
        <v>-1479.792132</v>
      </c>
      <c r="AF46" s="167" t="n">
        <v>-1479.792132</v>
      </c>
      <c r="AG46" s="167" t="n">
        <v>-1479.792132</v>
      </c>
      <c r="AH46" s="167" t="n">
        <v>-1479.792132</v>
      </c>
      <c r="AI46" s="167" t="n">
        <v>-1479.792132</v>
      </c>
      <c r="AJ46" s="167" t="n">
        <v>-1479.792132</v>
      </c>
      <c r="AK46" s="167" t="n">
        <v>-1479.792132</v>
      </c>
      <c r="AL46" s="167" t="n">
        <v>-1479.792132</v>
      </c>
      <c r="AM46" s="167" t="n">
        <v>-1479.792132</v>
      </c>
      <c r="AN46" s="167" t="n">
        <v>-1479.792132</v>
      </c>
      <c r="AO46" s="167" t="n">
        <v>-1479.792132</v>
      </c>
      <c r="AP46" s="167" t="n">
        <v>-1509.38797464</v>
      </c>
      <c r="AQ46" s="167" t="n">
        <v>-1509.38797464</v>
      </c>
      <c r="AR46" s="167" t="n">
        <v>-1509.38797464</v>
      </c>
      <c r="AS46" s="167" t="n">
        <v>-1509.38797464</v>
      </c>
      <c r="AT46" s="167" t="n">
        <v>-1509.38797464</v>
      </c>
      <c r="AU46" s="167" t="n">
        <v>-1509.38797464</v>
      </c>
      <c r="AV46" s="167" t="n">
        <v>-1509.38797464</v>
      </c>
      <c r="AW46" s="167" t="n">
        <v>-1509.38797464</v>
      </c>
      <c r="AX46" s="167" t="n">
        <v>-1509.38797464</v>
      </c>
      <c r="AY46" s="167" t="n">
        <v>-1509.38797464</v>
      </c>
      <c r="AZ46" s="167" t="n">
        <v>-1509.38797464</v>
      </c>
      <c r="BA46" s="167" t="n">
        <v>-1509.38797464</v>
      </c>
      <c r="BB46" s="167" t="n">
        <v>-1539.5757341328</v>
      </c>
      <c r="BC46" s="167" t="n">
        <v>-1539.5757341328</v>
      </c>
      <c r="BD46" s="167" t="n">
        <v>-1539.5757341328</v>
      </c>
      <c r="BE46" s="167" t="n">
        <v>-1539.5757341328</v>
      </c>
      <c r="BF46" s="167" t="n">
        <v>-1539.5757341328</v>
      </c>
      <c r="BG46" s="167" t="n">
        <v>-1539.5757341328</v>
      </c>
      <c r="BH46" s="167" t="n">
        <v>-1539.5757341328</v>
      </c>
      <c r="BI46" s="167" t="n">
        <v>-1539.5757341328</v>
      </c>
      <c r="BJ46" s="167" t="n">
        <v>-1539.5757341328</v>
      </c>
      <c r="BK46" s="167" t="n">
        <v>-1539.5757341328</v>
      </c>
      <c r="BL46" s="167" t="n">
        <v>-1539.5757341328</v>
      </c>
      <c r="BM46" s="167" t="n">
        <v>-1539.5757341328</v>
      </c>
      <c r="BN46" s="167" t="n">
        <v>-1570.36724881546</v>
      </c>
      <c r="BO46" s="167" t="n">
        <v>-1570.36724881546</v>
      </c>
      <c r="BP46" s="167" t="n">
        <v>-1570.36724881546</v>
      </c>
      <c r="BQ46" s="167" t="n">
        <v>-1570.36724881546</v>
      </c>
      <c r="BR46" s="167" t="n">
        <v>-1570.36724881546</v>
      </c>
      <c r="BS46" s="167" t="n">
        <v>-1570.36724881546</v>
      </c>
      <c r="BT46" s="167" t="n">
        <v>-1570.36724881546</v>
      </c>
      <c r="BU46" s="167" t="n">
        <v>-1570.36724881546</v>
      </c>
      <c r="BV46" s="167" t="n">
        <v>-1570.36724881546</v>
      </c>
      <c r="BW46" s="167" t="n">
        <v>-1570.36724881546</v>
      </c>
      <c r="BX46" s="167" t="n">
        <v>-1570.36724881546</v>
      </c>
      <c r="BY46" s="167" t="n">
        <v>-1570.36724881546</v>
      </c>
      <c r="BZ46" s="167" t="n">
        <v>-1601.77459379177</v>
      </c>
      <c r="CA46" s="167" t="n">
        <v>-1601.77459379177</v>
      </c>
      <c r="CB46" s="167" t="n">
        <v>-1601.77459379177</v>
      </c>
      <c r="CC46" s="167" t="n">
        <v>-1601.77459379177</v>
      </c>
      <c r="CD46" s="167" t="n">
        <v>-1601.77459379177</v>
      </c>
      <c r="CE46" s="167" t="n">
        <v>-1601.77459379177</v>
      </c>
      <c r="CF46" s="167" t="n">
        <v>-1601.77459379177</v>
      </c>
      <c r="CG46" s="167" t="n">
        <v>-1601.77459379177</v>
      </c>
      <c r="CH46" s="167" t="n">
        <v>-1601.77459379177</v>
      </c>
      <c r="CI46" s="167" t="n">
        <v>-1601.77459379177</v>
      </c>
      <c r="CJ46" s="167" t="n">
        <v>-1601.77459379177</v>
      </c>
      <c r="CK46" s="167" t="n">
        <v>-1601.77459379177</v>
      </c>
      <c r="CL46" s="167" t="n">
        <v>-1633.8100856676</v>
      </c>
      <c r="CM46" s="167" t="n">
        <v>-1633.8100856676</v>
      </c>
      <c r="CN46" s="167" t="n">
        <v>-1633.8100856676</v>
      </c>
      <c r="CO46" s="167" t="n">
        <v>-1633.8100856676</v>
      </c>
      <c r="CP46" s="167" t="n">
        <v>-1633.8100856676</v>
      </c>
      <c r="CQ46" s="167" t="n">
        <v>-1633.8100856676</v>
      </c>
      <c r="CR46" s="167" t="n">
        <v>-1633.8100856676</v>
      </c>
      <c r="CS46" s="167" t="n">
        <v>-1633.8100856676</v>
      </c>
      <c r="CT46" s="167" t="n">
        <v>-1633.8100856676</v>
      </c>
      <c r="CU46" s="167" t="n">
        <v>-1633.8100856676</v>
      </c>
      <c r="CV46" s="167" t="n">
        <v>-1633.8100856676</v>
      </c>
      <c r="CW46" s="167" t="n">
        <v>-1633.8100856676</v>
      </c>
      <c r="CX46" s="167" t="n">
        <v>-1666.48628738095</v>
      </c>
      <c r="CY46" s="167" t="n">
        <v>-1666.48628738095</v>
      </c>
      <c r="CZ46" s="167" t="n">
        <v>-1666.48628738095</v>
      </c>
      <c r="DA46" s="167" t="n">
        <v>-1666.48628738095</v>
      </c>
      <c r="DB46" s="167" t="n">
        <v>-1666.48628738095</v>
      </c>
      <c r="DC46" s="167" t="n">
        <v>-1666.48628738095</v>
      </c>
      <c r="DD46" s="167" t="n">
        <v>-1666.48628738095</v>
      </c>
      <c r="DE46" s="167" t="n">
        <v>-1666.48628738095</v>
      </c>
      <c r="DF46" s="167" t="n">
        <v>-1666.48628738095</v>
      </c>
    </row>
    <row r="47" customFormat="false" ht="15" hidden="false" customHeight="true" outlineLevel="0" collapsed="false">
      <c r="A47" s="120" t="s">
        <v>86</v>
      </c>
      <c r="C47" s="167" t="n">
        <v>-320</v>
      </c>
      <c r="D47" s="167" t="n">
        <v>-160</v>
      </c>
      <c r="E47" s="167" t="n">
        <v>0</v>
      </c>
      <c r="F47" s="167" t="n">
        <v>-160</v>
      </c>
      <c r="G47" s="167" t="n">
        <v>-160</v>
      </c>
      <c r="H47" s="167" t="n">
        <v>-160</v>
      </c>
      <c r="I47" s="167" t="n">
        <v>-160</v>
      </c>
      <c r="J47" s="167" t="n">
        <v>-160</v>
      </c>
      <c r="K47" s="167" t="n">
        <v>-160</v>
      </c>
      <c r="L47" s="167" t="n">
        <v>-160</v>
      </c>
      <c r="M47" s="167" t="n">
        <v>-160</v>
      </c>
      <c r="N47" s="167" t="n">
        <v>-160</v>
      </c>
      <c r="O47" s="167" t="n">
        <v>-160</v>
      </c>
      <c r="P47" s="167" t="n">
        <v>-160</v>
      </c>
      <c r="Q47" s="167" t="n">
        <v>-160</v>
      </c>
      <c r="R47" s="167" t="n">
        <v>-163.2</v>
      </c>
      <c r="S47" s="167" t="n">
        <v>-163.2</v>
      </c>
      <c r="T47" s="167" t="n">
        <v>-163.2</v>
      </c>
      <c r="U47" s="167" t="n">
        <v>-163.2</v>
      </c>
      <c r="V47" s="167" t="n">
        <v>-163.2</v>
      </c>
      <c r="W47" s="167" t="n">
        <v>-163.2</v>
      </c>
      <c r="X47" s="167" t="n">
        <v>-163.2</v>
      </c>
      <c r="Y47" s="167" t="n">
        <v>-163.2</v>
      </c>
      <c r="Z47" s="167" t="n">
        <v>-163.2</v>
      </c>
      <c r="AA47" s="167" t="n">
        <v>-163.2</v>
      </c>
      <c r="AB47" s="167" t="n">
        <v>-163.2</v>
      </c>
      <c r="AC47" s="167" t="n">
        <v>-163.2</v>
      </c>
      <c r="AD47" s="167" t="n">
        <v>-166.464</v>
      </c>
      <c r="AE47" s="167" t="n">
        <v>-166.464</v>
      </c>
      <c r="AF47" s="167" t="n">
        <v>-166.464</v>
      </c>
      <c r="AG47" s="167" t="n">
        <v>-166.464</v>
      </c>
      <c r="AH47" s="167" t="n">
        <v>-166.464</v>
      </c>
      <c r="AI47" s="167" t="n">
        <v>-166.464</v>
      </c>
      <c r="AJ47" s="167" t="n">
        <v>-166.464</v>
      </c>
      <c r="AK47" s="167" t="n">
        <v>-166.464</v>
      </c>
      <c r="AL47" s="167" t="n">
        <v>-166.464</v>
      </c>
      <c r="AM47" s="167" t="n">
        <v>-166.464</v>
      </c>
      <c r="AN47" s="167" t="n">
        <v>-166.464</v>
      </c>
      <c r="AO47" s="167" t="n">
        <v>-166.464</v>
      </c>
      <c r="AP47" s="167" t="n">
        <v>-169.79328</v>
      </c>
      <c r="AQ47" s="167" t="n">
        <v>-169.79328</v>
      </c>
      <c r="AR47" s="167" t="n">
        <v>-169.79328</v>
      </c>
      <c r="AS47" s="167" t="n">
        <v>-169.79328</v>
      </c>
      <c r="AT47" s="167" t="n">
        <v>-169.79328</v>
      </c>
      <c r="AU47" s="167" t="n">
        <v>-169.79328</v>
      </c>
      <c r="AV47" s="167" t="n">
        <v>-169.79328</v>
      </c>
      <c r="AW47" s="167" t="n">
        <v>-169.79328</v>
      </c>
      <c r="AX47" s="167" t="n">
        <v>-169.79328</v>
      </c>
      <c r="AY47" s="167" t="n">
        <v>-169.79328</v>
      </c>
      <c r="AZ47" s="167" t="n">
        <v>-169.79328</v>
      </c>
      <c r="BA47" s="167" t="n">
        <v>-169.79328</v>
      </c>
      <c r="BB47" s="167" t="n">
        <v>-173.1891456</v>
      </c>
      <c r="BC47" s="167" t="n">
        <v>-173.1891456</v>
      </c>
      <c r="BD47" s="167" t="n">
        <v>-173.1891456</v>
      </c>
      <c r="BE47" s="167" t="n">
        <v>-173.1891456</v>
      </c>
      <c r="BF47" s="167" t="n">
        <v>-173.1891456</v>
      </c>
      <c r="BG47" s="167" t="n">
        <v>-173.1891456</v>
      </c>
      <c r="BH47" s="167" t="n">
        <v>-173.1891456</v>
      </c>
      <c r="BI47" s="167" t="n">
        <v>-173.1891456</v>
      </c>
      <c r="BJ47" s="167" t="n">
        <v>-173.1891456</v>
      </c>
      <c r="BK47" s="167" t="n">
        <v>-173.1891456</v>
      </c>
      <c r="BL47" s="167" t="n">
        <v>-173.1891456</v>
      </c>
      <c r="BM47" s="167" t="n">
        <v>-173.1891456</v>
      </c>
      <c r="BN47" s="167" t="n">
        <v>-176.652928512</v>
      </c>
      <c r="BO47" s="167" t="n">
        <v>-176.652928512</v>
      </c>
      <c r="BP47" s="167" t="n">
        <v>-176.652928512</v>
      </c>
      <c r="BQ47" s="167" t="n">
        <v>-176.652928512</v>
      </c>
      <c r="BR47" s="167" t="n">
        <v>-176.652928512</v>
      </c>
      <c r="BS47" s="167" t="n">
        <v>-176.652928512</v>
      </c>
      <c r="BT47" s="167" t="n">
        <v>-176.652928512</v>
      </c>
      <c r="BU47" s="167" t="n">
        <v>-176.652928512</v>
      </c>
      <c r="BV47" s="167" t="n">
        <v>-176.652928512</v>
      </c>
      <c r="BW47" s="167" t="n">
        <v>-176.652928512</v>
      </c>
      <c r="BX47" s="167" t="n">
        <v>-176.652928512</v>
      </c>
      <c r="BY47" s="167" t="n">
        <v>-176.652928512</v>
      </c>
      <c r="BZ47" s="167" t="n">
        <v>-180.18598708224</v>
      </c>
      <c r="CA47" s="167" t="n">
        <v>-180.18598708224</v>
      </c>
      <c r="CB47" s="167" t="n">
        <v>-180.18598708224</v>
      </c>
      <c r="CC47" s="167" t="n">
        <v>-180.18598708224</v>
      </c>
      <c r="CD47" s="167" t="n">
        <v>-180.18598708224</v>
      </c>
      <c r="CE47" s="167" t="n">
        <v>-180.18598708224</v>
      </c>
      <c r="CF47" s="167" t="n">
        <v>-180.18598708224</v>
      </c>
      <c r="CG47" s="167" t="n">
        <v>-180.18598708224</v>
      </c>
      <c r="CH47" s="167" t="n">
        <v>-180.18598708224</v>
      </c>
      <c r="CI47" s="167" t="n">
        <v>-180.18598708224</v>
      </c>
      <c r="CJ47" s="167" t="n">
        <v>-180.18598708224</v>
      </c>
      <c r="CK47" s="167" t="n">
        <v>-180.18598708224</v>
      </c>
      <c r="CL47" s="167" t="n">
        <v>-183.789706823885</v>
      </c>
      <c r="CM47" s="167" t="n">
        <v>-183.789706823885</v>
      </c>
      <c r="CN47" s="167" t="n">
        <v>-183.789706823885</v>
      </c>
      <c r="CO47" s="167" t="n">
        <v>-183.789706823885</v>
      </c>
      <c r="CP47" s="167" t="n">
        <v>-183.789706823885</v>
      </c>
      <c r="CQ47" s="167" t="n">
        <v>-183.789706823885</v>
      </c>
      <c r="CR47" s="167" t="n">
        <v>-183.789706823885</v>
      </c>
      <c r="CS47" s="167" t="n">
        <v>-183.789706823885</v>
      </c>
      <c r="CT47" s="167" t="n">
        <v>-183.789706823885</v>
      </c>
      <c r="CU47" s="167" t="n">
        <v>-183.789706823885</v>
      </c>
      <c r="CV47" s="167" t="n">
        <v>-183.789706823885</v>
      </c>
      <c r="CW47" s="167" t="n">
        <v>-183.789706823885</v>
      </c>
      <c r="CX47" s="167" t="n">
        <v>-187.465500960363</v>
      </c>
      <c r="CY47" s="167" t="n">
        <v>-187.465500960363</v>
      </c>
      <c r="CZ47" s="167" t="n">
        <v>-187.465500960363</v>
      </c>
      <c r="DA47" s="167" t="n">
        <v>-187.465500960363</v>
      </c>
      <c r="DB47" s="167" t="n">
        <v>-187.465500960363</v>
      </c>
      <c r="DC47" s="167" t="n">
        <v>-187.465500960363</v>
      </c>
      <c r="DD47" s="167" t="n">
        <v>-187.465500960363</v>
      </c>
      <c r="DE47" s="167" t="n">
        <v>-187.465500960363</v>
      </c>
      <c r="DF47" s="167" t="n">
        <v>-187.465500960363</v>
      </c>
    </row>
    <row r="48" customFormat="false" ht="15" hidden="false" customHeight="true" outlineLevel="0" collapsed="false">
      <c r="A48" s="120" t="s">
        <v>87</v>
      </c>
      <c r="C48" s="167" t="n">
        <v>-17660.72</v>
      </c>
      <c r="D48" s="167" t="n">
        <v>-5799</v>
      </c>
      <c r="E48" s="167" t="n">
        <v>-3432.18</v>
      </c>
      <c r="F48" s="167" t="n">
        <v>-5000</v>
      </c>
      <c r="G48" s="167" t="n">
        <v>-5000</v>
      </c>
      <c r="H48" s="167" t="n">
        <v>-5000</v>
      </c>
      <c r="I48" s="167" t="n">
        <v>-5000</v>
      </c>
      <c r="J48" s="167" t="n">
        <v>-5000</v>
      </c>
      <c r="K48" s="167" t="n">
        <v>-5000</v>
      </c>
      <c r="L48" s="167" t="n">
        <v>-5000</v>
      </c>
      <c r="M48" s="167" t="n">
        <v>-5000</v>
      </c>
      <c r="N48" s="167" t="n">
        <v>-5000</v>
      </c>
      <c r="O48" s="167" t="n">
        <v>-5000</v>
      </c>
      <c r="P48" s="167" t="n">
        <v>-5000</v>
      </c>
      <c r="Q48" s="167" t="n">
        <v>-5000</v>
      </c>
      <c r="R48" s="167" t="n">
        <v>-5100</v>
      </c>
      <c r="S48" s="167" t="n">
        <v>-5100</v>
      </c>
      <c r="T48" s="167" t="n">
        <v>-5100</v>
      </c>
      <c r="U48" s="167" t="n">
        <v>-5100</v>
      </c>
      <c r="V48" s="167" t="n">
        <v>-5100</v>
      </c>
      <c r="W48" s="167" t="n">
        <v>-5100</v>
      </c>
      <c r="X48" s="167" t="n">
        <v>-5100</v>
      </c>
      <c r="Y48" s="167" t="n">
        <v>-5100</v>
      </c>
      <c r="Z48" s="167" t="n">
        <v>-5100</v>
      </c>
      <c r="AA48" s="167" t="n">
        <v>-5100</v>
      </c>
      <c r="AB48" s="167" t="n">
        <v>-5100</v>
      </c>
      <c r="AC48" s="167" t="n">
        <v>-5100</v>
      </c>
      <c r="AD48" s="167" t="n">
        <v>-5202</v>
      </c>
      <c r="AE48" s="167" t="n">
        <v>-5202</v>
      </c>
      <c r="AF48" s="167" t="n">
        <v>-5202</v>
      </c>
      <c r="AG48" s="167" t="n">
        <v>-5202</v>
      </c>
      <c r="AH48" s="167" t="n">
        <v>-5202</v>
      </c>
      <c r="AI48" s="167" t="n">
        <v>-5202</v>
      </c>
      <c r="AJ48" s="167" t="n">
        <v>-5202</v>
      </c>
      <c r="AK48" s="167" t="n">
        <v>-5202</v>
      </c>
      <c r="AL48" s="167" t="n">
        <v>-5202</v>
      </c>
      <c r="AM48" s="167" t="n">
        <v>-5202</v>
      </c>
      <c r="AN48" s="167" t="n">
        <v>-5202</v>
      </c>
      <c r="AO48" s="167" t="n">
        <v>-5202</v>
      </c>
      <c r="AP48" s="167" t="n">
        <v>-5306.04</v>
      </c>
      <c r="AQ48" s="167" t="n">
        <v>-5306.04</v>
      </c>
      <c r="AR48" s="167" t="n">
        <v>-5306.04</v>
      </c>
      <c r="AS48" s="167" t="n">
        <v>-5306.04</v>
      </c>
      <c r="AT48" s="167" t="n">
        <v>-5306.04</v>
      </c>
      <c r="AU48" s="167" t="n">
        <v>-5306.04</v>
      </c>
      <c r="AV48" s="167" t="n">
        <v>-5306.04</v>
      </c>
      <c r="AW48" s="167" t="n">
        <v>-5306.04</v>
      </c>
      <c r="AX48" s="167" t="n">
        <v>-5306.04</v>
      </c>
      <c r="AY48" s="167" t="n">
        <v>-5306.04</v>
      </c>
      <c r="AZ48" s="167" t="n">
        <v>-5306.04</v>
      </c>
      <c r="BA48" s="167" t="n">
        <v>-5306.04</v>
      </c>
      <c r="BB48" s="167" t="n">
        <v>-5412.1608</v>
      </c>
      <c r="BC48" s="167" t="n">
        <v>-5412.1608</v>
      </c>
      <c r="BD48" s="167" t="n">
        <v>-5412.1608</v>
      </c>
      <c r="BE48" s="167" t="n">
        <v>-5412.1608</v>
      </c>
      <c r="BF48" s="167" t="n">
        <v>-5412.1608</v>
      </c>
      <c r="BG48" s="167" t="n">
        <v>-5412.1608</v>
      </c>
      <c r="BH48" s="167" t="n">
        <v>-5412.1608</v>
      </c>
      <c r="BI48" s="167" t="n">
        <v>-5412.1608</v>
      </c>
      <c r="BJ48" s="167" t="n">
        <v>-5412.1608</v>
      </c>
      <c r="BK48" s="167" t="n">
        <v>-5412.1608</v>
      </c>
      <c r="BL48" s="167" t="n">
        <v>-5412.1608</v>
      </c>
      <c r="BM48" s="167" t="n">
        <v>-5412.1608</v>
      </c>
      <c r="BN48" s="167" t="n">
        <v>-5520.404016</v>
      </c>
      <c r="BO48" s="167" t="n">
        <v>-5520.404016</v>
      </c>
      <c r="BP48" s="167" t="n">
        <v>-5520.404016</v>
      </c>
      <c r="BQ48" s="167" t="n">
        <v>-5520.404016</v>
      </c>
      <c r="BR48" s="167" t="n">
        <v>-5520.404016</v>
      </c>
      <c r="BS48" s="167" t="n">
        <v>-5520.404016</v>
      </c>
      <c r="BT48" s="167" t="n">
        <v>-5520.404016</v>
      </c>
      <c r="BU48" s="167" t="n">
        <v>-5520.404016</v>
      </c>
      <c r="BV48" s="167" t="n">
        <v>-5520.404016</v>
      </c>
      <c r="BW48" s="167" t="n">
        <v>-5520.404016</v>
      </c>
      <c r="BX48" s="167" t="n">
        <v>-5520.404016</v>
      </c>
      <c r="BY48" s="167" t="n">
        <v>-5520.404016</v>
      </c>
      <c r="BZ48" s="167" t="n">
        <v>-5630.81209632</v>
      </c>
      <c r="CA48" s="167" t="n">
        <v>-5630.81209632</v>
      </c>
      <c r="CB48" s="167" t="n">
        <v>-5630.81209632</v>
      </c>
      <c r="CC48" s="167" t="n">
        <v>-5630.81209632</v>
      </c>
      <c r="CD48" s="167" t="n">
        <v>-5630.81209632</v>
      </c>
      <c r="CE48" s="167" t="n">
        <v>-5630.81209632</v>
      </c>
      <c r="CF48" s="167" t="n">
        <v>-5630.81209632</v>
      </c>
      <c r="CG48" s="167" t="n">
        <v>-5630.81209632</v>
      </c>
      <c r="CH48" s="167" t="n">
        <v>-5630.81209632</v>
      </c>
      <c r="CI48" s="167" t="n">
        <v>-5630.81209632</v>
      </c>
      <c r="CJ48" s="167" t="n">
        <v>-5630.81209632</v>
      </c>
      <c r="CK48" s="167" t="n">
        <v>-5630.81209632</v>
      </c>
      <c r="CL48" s="167" t="n">
        <v>-5743.4283382464</v>
      </c>
      <c r="CM48" s="167" t="n">
        <v>-5743.4283382464</v>
      </c>
      <c r="CN48" s="167" t="n">
        <v>-5743.4283382464</v>
      </c>
      <c r="CO48" s="167" t="n">
        <v>-5743.4283382464</v>
      </c>
      <c r="CP48" s="167" t="n">
        <v>-5743.4283382464</v>
      </c>
      <c r="CQ48" s="167" t="n">
        <v>-5743.4283382464</v>
      </c>
      <c r="CR48" s="167" t="n">
        <v>-5743.4283382464</v>
      </c>
      <c r="CS48" s="167" t="n">
        <v>-5743.4283382464</v>
      </c>
      <c r="CT48" s="167" t="n">
        <v>-5743.4283382464</v>
      </c>
      <c r="CU48" s="167" t="n">
        <v>-5743.4283382464</v>
      </c>
      <c r="CV48" s="167" t="n">
        <v>-5743.4283382464</v>
      </c>
      <c r="CW48" s="167" t="n">
        <v>-5743.4283382464</v>
      </c>
      <c r="CX48" s="167" t="n">
        <v>-5858.29690501133</v>
      </c>
      <c r="CY48" s="167" t="n">
        <v>-5858.29690501133</v>
      </c>
      <c r="CZ48" s="167" t="n">
        <v>-5858.29690501133</v>
      </c>
      <c r="DA48" s="167" t="n">
        <v>-5858.29690501133</v>
      </c>
      <c r="DB48" s="167" t="n">
        <v>-5858.29690501133</v>
      </c>
      <c r="DC48" s="167" t="n">
        <v>-5858.29690501133</v>
      </c>
      <c r="DD48" s="167" t="n">
        <v>-5858.29690501133</v>
      </c>
      <c r="DE48" s="167" t="n">
        <v>-5858.29690501133</v>
      </c>
      <c r="DF48" s="167" t="n">
        <v>-5858.29690501133</v>
      </c>
    </row>
    <row r="49" customFormat="false" ht="15" hidden="false" customHeight="true" outlineLevel="0" collapsed="false">
      <c r="A49" s="120" t="s">
        <v>88</v>
      </c>
      <c r="C49" s="167" t="n">
        <v>-304</v>
      </c>
      <c r="D49" s="167" t="n">
        <v>-644.81</v>
      </c>
      <c r="E49" s="167" t="n">
        <v>-304</v>
      </c>
      <c r="F49" s="168" t="n">
        <v>-417.6</v>
      </c>
      <c r="G49" s="168" t="n">
        <v>-417.6</v>
      </c>
      <c r="H49" s="168" t="n">
        <v>-417.6</v>
      </c>
      <c r="I49" s="168" t="n">
        <v>-417.6</v>
      </c>
      <c r="J49" s="168" t="n">
        <v>-417.6</v>
      </c>
      <c r="K49" s="168" t="n">
        <v>-417.6</v>
      </c>
      <c r="L49" s="168" t="n">
        <v>-417.6</v>
      </c>
      <c r="M49" s="168" t="n">
        <v>-417.6</v>
      </c>
      <c r="N49" s="168" t="n">
        <v>-417.6</v>
      </c>
      <c r="O49" s="168" t="n">
        <v>-417.6</v>
      </c>
      <c r="P49" s="168" t="n">
        <v>-417.6</v>
      </c>
      <c r="Q49" s="168" t="n">
        <v>-417.6</v>
      </c>
      <c r="R49" s="168" t="n">
        <v>-425.952</v>
      </c>
      <c r="S49" s="168" t="n">
        <v>-425.952</v>
      </c>
      <c r="T49" s="168" t="n">
        <v>-425.952</v>
      </c>
      <c r="U49" s="168" t="n">
        <v>-425.952</v>
      </c>
      <c r="V49" s="168" t="n">
        <v>-425.952</v>
      </c>
      <c r="W49" s="168" t="n">
        <v>-425.952</v>
      </c>
      <c r="X49" s="168" t="n">
        <v>-425.952</v>
      </c>
      <c r="Y49" s="168" t="n">
        <v>-425.952</v>
      </c>
      <c r="Z49" s="168" t="n">
        <v>-425.952</v>
      </c>
      <c r="AA49" s="168" t="n">
        <v>-425.952</v>
      </c>
      <c r="AB49" s="168" t="n">
        <v>-425.952</v>
      </c>
      <c r="AC49" s="168" t="n">
        <v>-425.952</v>
      </c>
      <c r="AD49" s="168" t="n">
        <v>-434.47104</v>
      </c>
      <c r="AE49" s="168" t="n">
        <v>-434.47104</v>
      </c>
      <c r="AF49" s="168" t="n">
        <v>-434.47104</v>
      </c>
      <c r="AG49" s="168" t="n">
        <v>-434.47104</v>
      </c>
      <c r="AH49" s="168" t="n">
        <v>-434.47104</v>
      </c>
      <c r="AI49" s="168" t="n">
        <v>-434.47104</v>
      </c>
      <c r="AJ49" s="168" t="n">
        <v>-434.47104</v>
      </c>
      <c r="AK49" s="168" t="n">
        <v>-434.47104</v>
      </c>
      <c r="AL49" s="168" t="n">
        <v>-434.47104</v>
      </c>
      <c r="AM49" s="168" t="n">
        <v>-434.47104</v>
      </c>
      <c r="AN49" s="168" t="n">
        <v>-434.47104</v>
      </c>
      <c r="AO49" s="168" t="n">
        <v>-434.47104</v>
      </c>
      <c r="AP49" s="168" t="n">
        <v>-443.1604608</v>
      </c>
      <c r="AQ49" s="168" t="n">
        <v>-443.1604608</v>
      </c>
      <c r="AR49" s="168" t="n">
        <v>-443.1604608</v>
      </c>
      <c r="AS49" s="168" t="n">
        <v>-443.1604608</v>
      </c>
      <c r="AT49" s="168" t="n">
        <v>-443.1604608</v>
      </c>
      <c r="AU49" s="168" t="n">
        <v>-443.1604608</v>
      </c>
      <c r="AV49" s="168" t="n">
        <v>-443.1604608</v>
      </c>
      <c r="AW49" s="168" t="n">
        <v>-443.1604608</v>
      </c>
      <c r="AX49" s="168" t="n">
        <v>-443.1604608</v>
      </c>
      <c r="AY49" s="168" t="n">
        <v>-443.1604608</v>
      </c>
      <c r="AZ49" s="168" t="n">
        <v>-443.1604608</v>
      </c>
      <c r="BA49" s="168" t="n">
        <v>-443.1604608</v>
      </c>
      <c r="BB49" s="168" t="n">
        <v>-452.023670016</v>
      </c>
      <c r="BC49" s="168" t="n">
        <v>-452.023670016</v>
      </c>
      <c r="BD49" s="168" t="n">
        <v>-452.023670016</v>
      </c>
      <c r="BE49" s="168" t="n">
        <v>-452.023670016</v>
      </c>
      <c r="BF49" s="168" t="n">
        <v>-452.023670016</v>
      </c>
      <c r="BG49" s="168" t="n">
        <v>-452.023670016</v>
      </c>
      <c r="BH49" s="168" t="n">
        <v>-452.023670016</v>
      </c>
      <c r="BI49" s="168" t="n">
        <v>-452.023670016</v>
      </c>
      <c r="BJ49" s="168" t="n">
        <v>-452.023670016</v>
      </c>
      <c r="BK49" s="168" t="n">
        <v>-452.023670016</v>
      </c>
      <c r="BL49" s="168" t="n">
        <v>-452.023670016</v>
      </c>
      <c r="BM49" s="168" t="n">
        <v>-452.023670016</v>
      </c>
      <c r="BN49" s="168" t="n">
        <v>-461.06414341632</v>
      </c>
      <c r="BO49" s="168" t="n">
        <v>-461.06414341632</v>
      </c>
      <c r="BP49" s="168" t="n">
        <v>-461.06414341632</v>
      </c>
      <c r="BQ49" s="168" t="n">
        <v>-461.06414341632</v>
      </c>
      <c r="BR49" s="168" t="n">
        <v>-461.06414341632</v>
      </c>
      <c r="BS49" s="168" t="n">
        <v>-461.06414341632</v>
      </c>
      <c r="BT49" s="168" t="n">
        <v>-461.06414341632</v>
      </c>
      <c r="BU49" s="168" t="n">
        <v>-461.06414341632</v>
      </c>
      <c r="BV49" s="168" t="n">
        <v>-461.06414341632</v>
      </c>
      <c r="BW49" s="168" t="n">
        <v>-461.06414341632</v>
      </c>
      <c r="BX49" s="168" t="n">
        <v>-461.06414341632</v>
      </c>
      <c r="BY49" s="168" t="n">
        <v>-461.06414341632</v>
      </c>
      <c r="BZ49" s="168" t="n">
        <v>-470.285426284646</v>
      </c>
      <c r="CA49" s="168" t="n">
        <v>-470.285426284646</v>
      </c>
      <c r="CB49" s="168" t="n">
        <v>-470.285426284646</v>
      </c>
      <c r="CC49" s="168" t="n">
        <v>-470.285426284646</v>
      </c>
      <c r="CD49" s="168" t="n">
        <v>-470.285426284646</v>
      </c>
      <c r="CE49" s="168" t="n">
        <v>-470.285426284646</v>
      </c>
      <c r="CF49" s="168" t="n">
        <v>-470.285426284646</v>
      </c>
      <c r="CG49" s="168" t="n">
        <v>-470.285426284646</v>
      </c>
      <c r="CH49" s="168" t="n">
        <v>-470.285426284646</v>
      </c>
      <c r="CI49" s="168" t="n">
        <v>-470.285426284646</v>
      </c>
      <c r="CJ49" s="168" t="n">
        <v>-470.285426284646</v>
      </c>
      <c r="CK49" s="168" t="n">
        <v>-470.285426284646</v>
      </c>
      <c r="CL49" s="168" t="n">
        <v>-479.691134810339</v>
      </c>
      <c r="CM49" s="168" t="n">
        <v>-479.691134810339</v>
      </c>
      <c r="CN49" s="168" t="n">
        <v>-479.691134810339</v>
      </c>
      <c r="CO49" s="168" t="n">
        <v>-479.691134810339</v>
      </c>
      <c r="CP49" s="168" t="n">
        <v>-479.691134810339</v>
      </c>
      <c r="CQ49" s="168" t="n">
        <v>-479.691134810339</v>
      </c>
      <c r="CR49" s="168" t="n">
        <v>-479.691134810339</v>
      </c>
      <c r="CS49" s="168" t="n">
        <v>-479.691134810339</v>
      </c>
      <c r="CT49" s="168" t="n">
        <v>-479.691134810339</v>
      </c>
      <c r="CU49" s="168" t="n">
        <v>-479.691134810339</v>
      </c>
      <c r="CV49" s="168" t="n">
        <v>-479.691134810339</v>
      </c>
      <c r="CW49" s="168" t="n">
        <v>-479.691134810339</v>
      </c>
      <c r="CX49" s="168" t="n">
        <v>-489.284957506546</v>
      </c>
      <c r="CY49" s="168" t="n">
        <v>-489.284957506546</v>
      </c>
      <c r="CZ49" s="168" t="n">
        <v>-489.284957506546</v>
      </c>
      <c r="DA49" s="168" t="n">
        <v>-489.284957506546</v>
      </c>
      <c r="DB49" s="168" t="n">
        <v>-489.284957506546</v>
      </c>
      <c r="DC49" s="168" t="n">
        <v>-489.284957506546</v>
      </c>
      <c r="DD49" s="168" t="n">
        <v>-489.284957506546</v>
      </c>
      <c r="DE49" s="168" t="n">
        <v>-489.284957506546</v>
      </c>
      <c r="DF49" s="168" t="n">
        <v>-489.284957506546</v>
      </c>
    </row>
    <row r="50" customFormat="false" ht="15" hidden="false" customHeight="true" outlineLevel="0" collapsed="false">
      <c r="A50" s="120" t="s">
        <v>89</v>
      </c>
      <c r="C50" s="167" t="n">
        <v>0</v>
      </c>
      <c r="D50" s="167" t="n">
        <v>-75</v>
      </c>
      <c r="E50" s="167" t="n">
        <v>-5</v>
      </c>
      <c r="F50" s="168" t="n">
        <v>-26.67</v>
      </c>
      <c r="G50" s="168" t="n">
        <v>-26.67</v>
      </c>
      <c r="H50" s="168" t="n">
        <v>-26.67</v>
      </c>
      <c r="I50" s="168" t="n">
        <v>-26.67</v>
      </c>
      <c r="J50" s="168" t="n">
        <v>-26.67</v>
      </c>
      <c r="K50" s="168" t="n">
        <v>-26.67</v>
      </c>
      <c r="L50" s="168" t="n">
        <v>-26.67</v>
      </c>
      <c r="M50" s="168" t="n">
        <v>-26.67</v>
      </c>
      <c r="N50" s="168" t="n">
        <v>-26.67</v>
      </c>
      <c r="O50" s="168" t="n">
        <v>-26.67</v>
      </c>
      <c r="P50" s="168" t="n">
        <v>-26.67</v>
      </c>
      <c r="Q50" s="168" t="n">
        <v>-26.67</v>
      </c>
      <c r="R50" s="168" t="n">
        <v>-27.2034</v>
      </c>
      <c r="S50" s="168" t="n">
        <v>-27.2034</v>
      </c>
      <c r="T50" s="168" t="n">
        <v>-27.2034</v>
      </c>
      <c r="U50" s="168" t="n">
        <v>-27.2034</v>
      </c>
      <c r="V50" s="168" t="n">
        <v>-27.2034</v>
      </c>
      <c r="W50" s="168" t="n">
        <v>-27.2034</v>
      </c>
      <c r="X50" s="168" t="n">
        <v>-27.2034</v>
      </c>
      <c r="Y50" s="168" t="n">
        <v>-27.2034</v>
      </c>
      <c r="Z50" s="168" t="n">
        <v>-27.2034</v>
      </c>
      <c r="AA50" s="168" t="n">
        <v>-27.2034</v>
      </c>
      <c r="AB50" s="168" t="n">
        <v>-27.2034</v>
      </c>
      <c r="AC50" s="168" t="n">
        <v>-27.2034</v>
      </c>
      <c r="AD50" s="168" t="n">
        <v>-27.747468</v>
      </c>
      <c r="AE50" s="168" t="n">
        <v>-27.747468</v>
      </c>
      <c r="AF50" s="168" t="n">
        <v>-27.747468</v>
      </c>
      <c r="AG50" s="168" t="n">
        <v>-27.747468</v>
      </c>
      <c r="AH50" s="168" t="n">
        <v>-27.747468</v>
      </c>
      <c r="AI50" s="168" t="n">
        <v>-27.747468</v>
      </c>
      <c r="AJ50" s="168" t="n">
        <v>-27.747468</v>
      </c>
      <c r="AK50" s="168" t="n">
        <v>-27.747468</v>
      </c>
      <c r="AL50" s="168" t="n">
        <v>-27.747468</v>
      </c>
      <c r="AM50" s="168" t="n">
        <v>-27.747468</v>
      </c>
      <c r="AN50" s="168" t="n">
        <v>-27.747468</v>
      </c>
      <c r="AO50" s="168" t="n">
        <v>-27.747468</v>
      </c>
      <c r="AP50" s="168" t="n">
        <v>-28.30241736</v>
      </c>
      <c r="AQ50" s="168" t="n">
        <v>-28.30241736</v>
      </c>
      <c r="AR50" s="168" t="n">
        <v>-28.30241736</v>
      </c>
      <c r="AS50" s="168" t="n">
        <v>-28.30241736</v>
      </c>
      <c r="AT50" s="168" t="n">
        <v>-28.30241736</v>
      </c>
      <c r="AU50" s="168" t="n">
        <v>-28.30241736</v>
      </c>
      <c r="AV50" s="168" t="n">
        <v>-28.30241736</v>
      </c>
      <c r="AW50" s="168" t="n">
        <v>-28.30241736</v>
      </c>
      <c r="AX50" s="168" t="n">
        <v>-28.30241736</v>
      </c>
      <c r="AY50" s="168" t="n">
        <v>-28.30241736</v>
      </c>
      <c r="AZ50" s="168" t="n">
        <v>-28.30241736</v>
      </c>
      <c r="BA50" s="168" t="n">
        <v>-28.30241736</v>
      </c>
      <c r="BB50" s="168" t="n">
        <v>-28.8684657072</v>
      </c>
      <c r="BC50" s="168" t="n">
        <v>-28.8684657072</v>
      </c>
      <c r="BD50" s="168" t="n">
        <v>-28.8684657072</v>
      </c>
      <c r="BE50" s="168" t="n">
        <v>-28.8684657072</v>
      </c>
      <c r="BF50" s="168" t="n">
        <v>-28.8684657072</v>
      </c>
      <c r="BG50" s="168" t="n">
        <v>-28.8684657072</v>
      </c>
      <c r="BH50" s="168" t="n">
        <v>-28.8684657072</v>
      </c>
      <c r="BI50" s="168" t="n">
        <v>-28.8684657072</v>
      </c>
      <c r="BJ50" s="168" t="n">
        <v>-28.8684657072</v>
      </c>
      <c r="BK50" s="168" t="n">
        <v>-28.8684657072</v>
      </c>
      <c r="BL50" s="168" t="n">
        <v>-28.8684657072</v>
      </c>
      <c r="BM50" s="168" t="n">
        <v>-28.8684657072</v>
      </c>
      <c r="BN50" s="168" t="n">
        <v>-29.445835021344</v>
      </c>
      <c r="BO50" s="168" t="n">
        <v>-29.445835021344</v>
      </c>
      <c r="BP50" s="168" t="n">
        <v>-29.445835021344</v>
      </c>
      <c r="BQ50" s="168" t="n">
        <v>-29.445835021344</v>
      </c>
      <c r="BR50" s="168" t="n">
        <v>-29.445835021344</v>
      </c>
      <c r="BS50" s="168" t="n">
        <v>-29.445835021344</v>
      </c>
      <c r="BT50" s="168" t="n">
        <v>-29.445835021344</v>
      </c>
      <c r="BU50" s="168" t="n">
        <v>-29.445835021344</v>
      </c>
      <c r="BV50" s="168" t="n">
        <v>-29.445835021344</v>
      </c>
      <c r="BW50" s="168" t="n">
        <v>-29.445835021344</v>
      </c>
      <c r="BX50" s="168" t="n">
        <v>-29.445835021344</v>
      </c>
      <c r="BY50" s="168" t="n">
        <v>-29.445835021344</v>
      </c>
      <c r="BZ50" s="168" t="n">
        <v>-30.0347517217709</v>
      </c>
      <c r="CA50" s="168" t="n">
        <v>-30.0347517217709</v>
      </c>
      <c r="CB50" s="168" t="n">
        <v>-30.0347517217709</v>
      </c>
      <c r="CC50" s="168" t="n">
        <v>-30.0347517217709</v>
      </c>
      <c r="CD50" s="168" t="n">
        <v>-30.0347517217709</v>
      </c>
      <c r="CE50" s="168" t="n">
        <v>-30.0347517217709</v>
      </c>
      <c r="CF50" s="168" t="n">
        <v>-30.0347517217709</v>
      </c>
      <c r="CG50" s="168" t="n">
        <v>-30.0347517217709</v>
      </c>
      <c r="CH50" s="168" t="n">
        <v>-30.0347517217709</v>
      </c>
      <c r="CI50" s="168" t="n">
        <v>-30.0347517217709</v>
      </c>
      <c r="CJ50" s="168" t="n">
        <v>-30.0347517217709</v>
      </c>
      <c r="CK50" s="168" t="n">
        <v>-30.0347517217709</v>
      </c>
      <c r="CL50" s="168" t="n">
        <v>-30.6354467562063</v>
      </c>
      <c r="CM50" s="168" t="n">
        <v>-30.6354467562063</v>
      </c>
      <c r="CN50" s="168" t="n">
        <v>-30.6354467562063</v>
      </c>
      <c r="CO50" s="168" t="n">
        <v>-30.6354467562063</v>
      </c>
      <c r="CP50" s="168" t="n">
        <v>-30.6354467562063</v>
      </c>
      <c r="CQ50" s="168" t="n">
        <v>-30.6354467562063</v>
      </c>
      <c r="CR50" s="168" t="n">
        <v>-30.6354467562063</v>
      </c>
      <c r="CS50" s="168" t="n">
        <v>-30.6354467562063</v>
      </c>
      <c r="CT50" s="168" t="n">
        <v>-30.6354467562063</v>
      </c>
      <c r="CU50" s="168" t="n">
        <v>-30.6354467562063</v>
      </c>
      <c r="CV50" s="168" t="n">
        <v>-30.6354467562063</v>
      </c>
      <c r="CW50" s="168" t="n">
        <v>-30.6354467562063</v>
      </c>
      <c r="CX50" s="168" t="n">
        <v>-31.2481556913304</v>
      </c>
      <c r="CY50" s="168" t="n">
        <v>-31.2481556913304</v>
      </c>
      <c r="CZ50" s="168" t="n">
        <v>-31.2481556913304</v>
      </c>
      <c r="DA50" s="168" t="n">
        <v>-31.2481556913304</v>
      </c>
      <c r="DB50" s="168" t="n">
        <v>-31.2481556913304</v>
      </c>
      <c r="DC50" s="168" t="n">
        <v>-31.2481556913304</v>
      </c>
      <c r="DD50" s="168" t="n">
        <v>-31.2481556913304</v>
      </c>
      <c r="DE50" s="168" t="n">
        <v>-31.2481556913304</v>
      </c>
      <c r="DF50" s="168" t="n">
        <v>-31.2481556913304</v>
      </c>
    </row>
    <row r="51" customFormat="false" ht="15" hidden="false" customHeight="true" outlineLevel="0" collapsed="false">
      <c r="A51" s="120" t="s">
        <v>90</v>
      </c>
      <c r="C51" s="167" t="n">
        <v>0</v>
      </c>
      <c r="D51" s="167" t="n">
        <v>-63</v>
      </c>
      <c r="E51" s="167" t="n">
        <v>0</v>
      </c>
      <c r="F51" s="168" t="n">
        <v>-21</v>
      </c>
      <c r="G51" s="168" t="n">
        <v>-21</v>
      </c>
      <c r="H51" s="168" t="n">
        <v>-21</v>
      </c>
      <c r="I51" s="168" t="n">
        <v>-21</v>
      </c>
      <c r="J51" s="168" t="n">
        <v>-21</v>
      </c>
      <c r="K51" s="168" t="n">
        <v>-21</v>
      </c>
      <c r="L51" s="168" t="n">
        <v>-21</v>
      </c>
      <c r="M51" s="168" t="n">
        <v>-21</v>
      </c>
      <c r="N51" s="168" t="n">
        <v>-21</v>
      </c>
      <c r="O51" s="168" t="n">
        <v>-21</v>
      </c>
      <c r="P51" s="168" t="n">
        <v>-21</v>
      </c>
      <c r="Q51" s="168" t="n">
        <v>-21</v>
      </c>
      <c r="R51" s="168" t="n">
        <v>-21.42</v>
      </c>
      <c r="S51" s="168" t="n">
        <v>-21.42</v>
      </c>
      <c r="T51" s="168" t="n">
        <v>-21.42</v>
      </c>
      <c r="U51" s="168" t="n">
        <v>-21.42</v>
      </c>
      <c r="V51" s="168" t="n">
        <v>-21.42</v>
      </c>
      <c r="W51" s="168" t="n">
        <v>-21.42</v>
      </c>
      <c r="X51" s="168" t="n">
        <v>-21.42</v>
      </c>
      <c r="Y51" s="168" t="n">
        <v>-21.42</v>
      </c>
      <c r="Z51" s="168" t="n">
        <v>-21.42</v>
      </c>
      <c r="AA51" s="168" t="n">
        <v>-21.42</v>
      </c>
      <c r="AB51" s="168" t="n">
        <v>-21.42</v>
      </c>
      <c r="AC51" s="168" t="n">
        <v>-21.42</v>
      </c>
      <c r="AD51" s="168" t="n">
        <v>-21.8484</v>
      </c>
      <c r="AE51" s="168" t="n">
        <v>-21.8484</v>
      </c>
      <c r="AF51" s="168" t="n">
        <v>-21.8484</v>
      </c>
      <c r="AG51" s="168" t="n">
        <v>-21.8484</v>
      </c>
      <c r="AH51" s="168" t="n">
        <v>-21.8484</v>
      </c>
      <c r="AI51" s="168" t="n">
        <v>-21.8484</v>
      </c>
      <c r="AJ51" s="168" t="n">
        <v>-21.8484</v>
      </c>
      <c r="AK51" s="168" t="n">
        <v>-21.8484</v>
      </c>
      <c r="AL51" s="168" t="n">
        <v>-21.8484</v>
      </c>
      <c r="AM51" s="168" t="n">
        <v>-21.8484</v>
      </c>
      <c r="AN51" s="168" t="n">
        <v>-21.8484</v>
      </c>
      <c r="AO51" s="168" t="n">
        <v>-21.8484</v>
      </c>
      <c r="AP51" s="168" t="n">
        <v>-22.285368</v>
      </c>
      <c r="AQ51" s="168" t="n">
        <v>-22.285368</v>
      </c>
      <c r="AR51" s="168" t="n">
        <v>-22.285368</v>
      </c>
      <c r="AS51" s="168" t="n">
        <v>-22.285368</v>
      </c>
      <c r="AT51" s="168" t="n">
        <v>-22.285368</v>
      </c>
      <c r="AU51" s="168" t="n">
        <v>-22.285368</v>
      </c>
      <c r="AV51" s="168" t="n">
        <v>-22.285368</v>
      </c>
      <c r="AW51" s="168" t="n">
        <v>-22.285368</v>
      </c>
      <c r="AX51" s="168" t="n">
        <v>-22.285368</v>
      </c>
      <c r="AY51" s="168" t="n">
        <v>-22.285368</v>
      </c>
      <c r="AZ51" s="168" t="n">
        <v>-22.285368</v>
      </c>
      <c r="BA51" s="168" t="n">
        <v>-22.285368</v>
      </c>
      <c r="BB51" s="168" t="n">
        <v>-22.73107536</v>
      </c>
      <c r="BC51" s="168" t="n">
        <v>-22.73107536</v>
      </c>
      <c r="BD51" s="168" t="n">
        <v>-22.73107536</v>
      </c>
      <c r="BE51" s="168" t="n">
        <v>-22.73107536</v>
      </c>
      <c r="BF51" s="168" t="n">
        <v>-22.73107536</v>
      </c>
      <c r="BG51" s="168" t="n">
        <v>-22.73107536</v>
      </c>
      <c r="BH51" s="168" t="n">
        <v>-22.73107536</v>
      </c>
      <c r="BI51" s="168" t="n">
        <v>-22.73107536</v>
      </c>
      <c r="BJ51" s="168" t="n">
        <v>-22.73107536</v>
      </c>
      <c r="BK51" s="168" t="n">
        <v>-22.73107536</v>
      </c>
      <c r="BL51" s="168" t="n">
        <v>-22.73107536</v>
      </c>
      <c r="BM51" s="168" t="n">
        <v>-22.73107536</v>
      </c>
      <c r="BN51" s="168" t="n">
        <v>-23.1856968672</v>
      </c>
      <c r="BO51" s="168" t="n">
        <v>-23.1856968672</v>
      </c>
      <c r="BP51" s="168" t="n">
        <v>-23.1856968672</v>
      </c>
      <c r="BQ51" s="168" t="n">
        <v>-23.1856968672</v>
      </c>
      <c r="BR51" s="168" t="n">
        <v>-23.1856968672</v>
      </c>
      <c r="BS51" s="168" t="n">
        <v>-23.1856968672</v>
      </c>
      <c r="BT51" s="168" t="n">
        <v>-23.1856968672</v>
      </c>
      <c r="BU51" s="168" t="n">
        <v>-23.1856968672</v>
      </c>
      <c r="BV51" s="168" t="n">
        <v>-23.1856968672</v>
      </c>
      <c r="BW51" s="168" t="n">
        <v>-23.1856968672</v>
      </c>
      <c r="BX51" s="168" t="n">
        <v>-23.1856968672</v>
      </c>
      <c r="BY51" s="168" t="n">
        <v>-23.1856968672</v>
      </c>
      <c r="BZ51" s="168" t="n">
        <v>-23.649410804544</v>
      </c>
      <c r="CA51" s="168" t="n">
        <v>-23.649410804544</v>
      </c>
      <c r="CB51" s="168" t="n">
        <v>-23.649410804544</v>
      </c>
      <c r="CC51" s="168" t="n">
        <v>-23.649410804544</v>
      </c>
      <c r="CD51" s="168" t="n">
        <v>-23.649410804544</v>
      </c>
      <c r="CE51" s="168" t="n">
        <v>-23.649410804544</v>
      </c>
      <c r="CF51" s="168" t="n">
        <v>-23.649410804544</v>
      </c>
      <c r="CG51" s="168" t="n">
        <v>-23.649410804544</v>
      </c>
      <c r="CH51" s="168" t="n">
        <v>-23.649410804544</v>
      </c>
      <c r="CI51" s="168" t="n">
        <v>-23.649410804544</v>
      </c>
      <c r="CJ51" s="168" t="n">
        <v>-23.649410804544</v>
      </c>
      <c r="CK51" s="168" t="n">
        <v>-23.649410804544</v>
      </c>
      <c r="CL51" s="168" t="n">
        <v>-24.1223990206349</v>
      </c>
      <c r="CM51" s="168" t="n">
        <v>-24.1223990206349</v>
      </c>
      <c r="CN51" s="168" t="n">
        <v>-24.1223990206349</v>
      </c>
      <c r="CO51" s="168" t="n">
        <v>-24.1223990206349</v>
      </c>
      <c r="CP51" s="168" t="n">
        <v>-24.1223990206349</v>
      </c>
      <c r="CQ51" s="168" t="n">
        <v>-24.1223990206349</v>
      </c>
      <c r="CR51" s="168" t="n">
        <v>-24.1223990206349</v>
      </c>
      <c r="CS51" s="168" t="n">
        <v>-24.1223990206349</v>
      </c>
      <c r="CT51" s="168" t="n">
        <v>-24.1223990206349</v>
      </c>
      <c r="CU51" s="168" t="n">
        <v>-24.1223990206349</v>
      </c>
      <c r="CV51" s="168" t="n">
        <v>-24.1223990206349</v>
      </c>
      <c r="CW51" s="168" t="n">
        <v>-24.1223990206349</v>
      </c>
      <c r="CX51" s="168" t="n">
        <v>-24.6048470010476</v>
      </c>
      <c r="CY51" s="168" t="n">
        <v>-24.6048470010476</v>
      </c>
      <c r="CZ51" s="168" t="n">
        <v>-24.6048470010476</v>
      </c>
      <c r="DA51" s="168" t="n">
        <v>-24.6048470010476</v>
      </c>
      <c r="DB51" s="168" t="n">
        <v>-24.6048470010476</v>
      </c>
      <c r="DC51" s="168" t="n">
        <v>-24.6048470010476</v>
      </c>
      <c r="DD51" s="168" t="n">
        <v>-24.6048470010476</v>
      </c>
      <c r="DE51" s="168" t="n">
        <v>-24.6048470010476</v>
      </c>
      <c r="DF51" s="168" t="n">
        <v>-24.6048470010476</v>
      </c>
    </row>
    <row r="52" customFormat="false" ht="18" hidden="false" customHeight="true" outlineLevel="0" collapsed="false">
      <c r="A52" s="81" t="s">
        <v>91</v>
      </c>
      <c r="B52" s="125"/>
      <c r="C52" s="167" t="n">
        <v>0</v>
      </c>
      <c r="D52" s="167" t="n">
        <v>0</v>
      </c>
      <c r="E52" s="167" t="n">
        <v>0</v>
      </c>
      <c r="F52" s="168" t="n">
        <v>0</v>
      </c>
      <c r="G52" s="168" t="n">
        <v>0</v>
      </c>
      <c r="H52" s="168" t="n">
        <v>0</v>
      </c>
      <c r="I52" s="168" t="n">
        <v>0</v>
      </c>
      <c r="J52" s="168" t="n">
        <v>0</v>
      </c>
      <c r="K52" s="168" t="n">
        <v>0</v>
      </c>
      <c r="L52" s="168" t="n">
        <v>0</v>
      </c>
      <c r="M52" s="168" t="n">
        <v>0</v>
      </c>
      <c r="N52" s="168" t="n">
        <v>0</v>
      </c>
      <c r="O52" s="168" t="n">
        <v>0</v>
      </c>
      <c r="P52" s="168" t="n">
        <v>0</v>
      </c>
      <c r="Q52" s="168" t="n">
        <v>0</v>
      </c>
      <c r="R52" s="168" t="n">
        <v>0</v>
      </c>
      <c r="S52" s="168" t="n">
        <v>0</v>
      </c>
      <c r="T52" s="168" t="n">
        <v>0</v>
      </c>
      <c r="U52" s="168" t="n">
        <v>0</v>
      </c>
      <c r="V52" s="168" t="n">
        <v>0</v>
      </c>
      <c r="W52" s="168" t="n">
        <v>0</v>
      </c>
      <c r="X52" s="168" t="n">
        <v>0</v>
      </c>
      <c r="Y52" s="168" t="n">
        <v>0</v>
      </c>
      <c r="Z52" s="168" t="n">
        <v>0</v>
      </c>
      <c r="AA52" s="168" t="n">
        <v>0</v>
      </c>
      <c r="AB52" s="168" t="n">
        <v>0</v>
      </c>
      <c r="AC52" s="168" t="n">
        <v>0</v>
      </c>
      <c r="AD52" s="168" t="n">
        <v>0</v>
      </c>
      <c r="AE52" s="168" t="n">
        <v>0</v>
      </c>
      <c r="AF52" s="168" t="n">
        <v>0</v>
      </c>
      <c r="AG52" s="168" t="n">
        <v>0</v>
      </c>
      <c r="AH52" s="168" t="n">
        <v>0</v>
      </c>
      <c r="AI52" s="168" t="n">
        <v>0</v>
      </c>
      <c r="AJ52" s="168" t="n">
        <v>0</v>
      </c>
      <c r="AK52" s="168" t="n">
        <v>0</v>
      </c>
      <c r="AL52" s="168" t="n">
        <v>0</v>
      </c>
      <c r="AM52" s="168" t="n">
        <v>0</v>
      </c>
      <c r="AN52" s="168" t="n">
        <v>0</v>
      </c>
      <c r="AO52" s="168" t="n">
        <v>0</v>
      </c>
      <c r="AP52" s="168" t="n">
        <v>0</v>
      </c>
      <c r="AQ52" s="168" t="n">
        <v>0</v>
      </c>
      <c r="AR52" s="168" t="n">
        <v>0</v>
      </c>
      <c r="AS52" s="168" t="n">
        <v>0</v>
      </c>
      <c r="AT52" s="168" t="n">
        <v>0</v>
      </c>
      <c r="AU52" s="168" t="n">
        <v>0</v>
      </c>
      <c r="AV52" s="168" t="n">
        <v>0</v>
      </c>
      <c r="AW52" s="168" t="n">
        <v>0</v>
      </c>
      <c r="AX52" s="168" t="n">
        <v>0</v>
      </c>
      <c r="AY52" s="168" t="n">
        <v>0</v>
      </c>
      <c r="AZ52" s="168" t="n">
        <v>0</v>
      </c>
      <c r="BA52" s="168" t="n">
        <v>0</v>
      </c>
      <c r="BB52" s="168" t="n">
        <v>0</v>
      </c>
      <c r="BC52" s="168" t="n">
        <v>0</v>
      </c>
      <c r="BD52" s="168" t="n">
        <v>0</v>
      </c>
      <c r="BE52" s="168" t="n">
        <v>0</v>
      </c>
      <c r="BF52" s="168" t="n">
        <v>0</v>
      </c>
      <c r="BG52" s="168" t="n">
        <v>0</v>
      </c>
      <c r="BH52" s="168" t="n">
        <v>0</v>
      </c>
      <c r="BI52" s="168" t="n">
        <v>0</v>
      </c>
      <c r="BJ52" s="168" t="n">
        <v>0</v>
      </c>
      <c r="BK52" s="168" t="n">
        <v>0</v>
      </c>
      <c r="BL52" s="168" t="n">
        <v>0</v>
      </c>
      <c r="BM52" s="168" t="n">
        <v>0</v>
      </c>
      <c r="BN52" s="168" t="n">
        <v>0</v>
      </c>
      <c r="BO52" s="168" t="n">
        <v>0</v>
      </c>
      <c r="BP52" s="168" t="n">
        <v>0</v>
      </c>
      <c r="BQ52" s="168" t="n">
        <v>0</v>
      </c>
      <c r="BR52" s="168" t="n">
        <v>0</v>
      </c>
      <c r="BS52" s="168" t="n">
        <v>0</v>
      </c>
      <c r="BT52" s="168" t="n">
        <v>0</v>
      </c>
      <c r="BU52" s="168" t="n">
        <v>0</v>
      </c>
      <c r="BV52" s="168" t="n">
        <v>0</v>
      </c>
      <c r="BW52" s="168" t="n">
        <v>0</v>
      </c>
      <c r="BX52" s="168" t="n">
        <v>0</v>
      </c>
      <c r="BY52" s="168" t="n">
        <v>0</v>
      </c>
      <c r="BZ52" s="168" t="n">
        <v>0</v>
      </c>
      <c r="CA52" s="168" t="n">
        <v>0</v>
      </c>
      <c r="CB52" s="168" t="n">
        <v>0</v>
      </c>
      <c r="CC52" s="168" t="n">
        <v>0</v>
      </c>
      <c r="CD52" s="168" t="n">
        <v>0</v>
      </c>
      <c r="CE52" s="168" t="n">
        <v>0</v>
      </c>
      <c r="CF52" s="168" t="n">
        <v>0</v>
      </c>
      <c r="CG52" s="168" t="n">
        <v>0</v>
      </c>
      <c r="CH52" s="168" t="n">
        <v>0</v>
      </c>
      <c r="CI52" s="168" t="n">
        <v>0</v>
      </c>
      <c r="CJ52" s="168" t="n">
        <v>0</v>
      </c>
      <c r="CK52" s="168" t="n">
        <v>0</v>
      </c>
      <c r="CL52" s="168" t="n">
        <v>0</v>
      </c>
      <c r="CM52" s="168" t="n">
        <v>0</v>
      </c>
      <c r="CN52" s="168" t="n">
        <v>0</v>
      </c>
      <c r="CO52" s="168" t="n">
        <v>0</v>
      </c>
      <c r="CP52" s="168" t="n">
        <v>0</v>
      </c>
      <c r="CQ52" s="168" t="n">
        <v>0</v>
      </c>
      <c r="CR52" s="168" t="n">
        <v>0</v>
      </c>
      <c r="CS52" s="168" t="n">
        <v>0</v>
      </c>
      <c r="CT52" s="168" t="n">
        <v>0</v>
      </c>
      <c r="CU52" s="168" t="n">
        <v>0</v>
      </c>
      <c r="CV52" s="168" t="n">
        <v>0</v>
      </c>
      <c r="CW52" s="168" t="n">
        <v>0</v>
      </c>
      <c r="CX52" s="168" t="n">
        <v>0</v>
      </c>
      <c r="CY52" s="168" t="n">
        <v>0</v>
      </c>
      <c r="CZ52" s="168" t="n">
        <v>0</v>
      </c>
      <c r="DA52" s="168" t="n">
        <v>0</v>
      </c>
      <c r="DB52" s="168" t="n">
        <v>0</v>
      </c>
      <c r="DC52" s="168" t="n">
        <v>0</v>
      </c>
      <c r="DD52" s="168" t="n">
        <v>0</v>
      </c>
      <c r="DE52" s="168" t="n">
        <v>0</v>
      </c>
      <c r="DF52" s="168" t="n">
        <v>0</v>
      </c>
    </row>
    <row r="53" customFormat="false" ht="15" hidden="false" customHeight="true" outlineLevel="0" collapsed="false">
      <c r="A53" s="127" t="s">
        <v>92</v>
      </c>
      <c r="C53" s="167" t="n">
        <v>0</v>
      </c>
      <c r="D53" s="167" t="n">
        <v>0</v>
      </c>
      <c r="E53" s="167" t="n">
        <v>-11105.35</v>
      </c>
      <c r="F53" s="168" t="n">
        <v>-3701.78</v>
      </c>
      <c r="G53" s="168" t="n">
        <v>-3701.78</v>
      </c>
      <c r="H53" s="168" t="n">
        <v>-3701.78</v>
      </c>
      <c r="I53" s="168" t="n">
        <v>-3701.78</v>
      </c>
      <c r="J53" s="168" t="n">
        <v>-3701.78</v>
      </c>
      <c r="K53" s="168" t="n">
        <v>-3701.78</v>
      </c>
      <c r="L53" s="168" t="n">
        <v>-3701.78</v>
      </c>
      <c r="M53" s="168" t="n">
        <v>-3701.78</v>
      </c>
      <c r="N53" s="168" t="n">
        <v>-3701.78</v>
      </c>
      <c r="O53" s="168" t="n">
        <v>-3701.78</v>
      </c>
      <c r="P53" s="168" t="n">
        <v>-3701.78</v>
      </c>
      <c r="Q53" s="168" t="n">
        <v>-3701.78</v>
      </c>
      <c r="R53" s="168" t="n">
        <v>-3775.8156</v>
      </c>
      <c r="S53" s="168" t="n">
        <v>-3775.8156</v>
      </c>
      <c r="T53" s="168" t="n">
        <v>-3775.8156</v>
      </c>
      <c r="U53" s="168" t="n">
        <v>-3775.8156</v>
      </c>
      <c r="V53" s="168" t="n">
        <v>-3775.8156</v>
      </c>
      <c r="W53" s="168" t="n">
        <v>-3775.8156</v>
      </c>
      <c r="X53" s="168" t="n">
        <v>-3775.8156</v>
      </c>
      <c r="Y53" s="168" t="n">
        <v>-3775.8156</v>
      </c>
      <c r="Z53" s="168" t="n">
        <v>-3775.8156</v>
      </c>
      <c r="AA53" s="168" t="n">
        <v>-3775.8156</v>
      </c>
      <c r="AB53" s="168" t="n">
        <v>-3775.8156</v>
      </c>
      <c r="AC53" s="168" t="n">
        <v>-3775.8156</v>
      </c>
      <c r="AD53" s="168" t="n">
        <v>-3851.331912</v>
      </c>
      <c r="AE53" s="168" t="n">
        <v>-3851.331912</v>
      </c>
      <c r="AF53" s="168" t="n">
        <v>-3851.331912</v>
      </c>
      <c r="AG53" s="168" t="n">
        <v>-3851.331912</v>
      </c>
      <c r="AH53" s="168" t="n">
        <v>-3851.331912</v>
      </c>
      <c r="AI53" s="168" t="n">
        <v>-3851.331912</v>
      </c>
      <c r="AJ53" s="168" t="n">
        <v>-3851.331912</v>
      </c>
      <c r="AK53" s="168" t="n">
        <v>-3851.331912</v>
      </c>
      <c r="AL53" s="168" t="n">
        <v>-3851.331912</v>
      </c>
      <c r="AM53" s="168" t="n">
        <v>-3851.331912</v>
      </c>
      <c r="AN53" s="168" t="n">
        <v>-3851.331912</v>
      </c>
      <c r="AO53" s="168" t="n">
        <v>-3851.331912</v>
      </c>
      <c r="AP53" s="168" t="n">
        <v>-3928.35855024</v>
      </c>
      <c r="AQ53" s="168" t="n">
        <v>-3928.35855024</v>
      </c>
      <c r="AR53" s="168" t="n">
        <v>-3928.35855024</v>
      </c>
      <c r="AS53" s="168" t="n">
        <v>-3928.35855024</v>
      </c>
      <c r="AT53" s="168" t="n">
        <v>-3928.35855024</v>
      </c>
      <c r="AU53" s="168" t="n">
        <v>-3928.35855024</v>
      </c>
      <c r="AV53" s="168" t="n">
        <v>-3928.35855024</v>
      </c>
      <c r="AW53" s="168" t="n">
        <v>-3928.35855024</v>
      </c>
      <c r="AX53" s="168" t="n">
        <v>-3928.35855024</v>
      </c>
      <c r="AY53" s="168" t="n">
        <v>-3928.35855024</v>
      </c>
      <c r="AZ53" s="168" t="n">
        <v>-3928.35855024</v>
      </c>
      <c r="BA53" s="168" t="n">
        <v>-3928.35855024</v>
      </c>
      <c r="BB53" s="168" t="n">
        <v>-4006.9257212448</v>
      </c>
      <c r="BC53" s="168" t="n">
        <v>-4006.9257212448</v>
      </c>
      <c r="BD53" s="168" t="n">
        <v>-4006.9257212448</v>
      </c>
      <c r="BE53" s="168" t="n">
        <v>-4006.9257212448</v>
      </c>
      <c r="BF53" s="168" t="n">
        <v>-4006.9257212448</v>
      </c>
      <c r="BG53" s="168" t="n">
        <v>-4006.9257212448</v>
      </c>
      <c r="BH53" s="168" t="n">
        <v>-4006.9257212448</v>
      </c>
      <c r="BI53" s="168" t="n">
        <v>-4006.9257212448</v>
      </c>
      <c r="BJ53" s="168" t="n">
        <v>-4006.9257212448</v>
      </c>
      <c r="BK53" s="168" t="n">
        <v>-4006.9257212448</v>
      </c>
      <c r="BL53" s="168" t="n">
        <v>-4006.9257212448</v>
      </c>
      <c r="BM53" s="168" t="n">
        <v>-4006.9257212448</v>
      </c>
      <c r="BN53" s="168" t="n">
        <v>-4087.0642356697</v>
      </c>
      <c r="BO53" s="168" t="n">
        <v>-4087.0642356697</v>
      </c>
      <c r="BP53" s="168" t="n">
        <v>-4087.0642356697</v>
      </c>
      <c r="BQ53" s="168" t="n">
        <v>-4087.0642356697</v>
      </c>
      <c r="BR53" s="168" t="n">
        <v>-4087.0642356697</v>
      </c>
      <c r="BS53" s="168" t="n">
        <v>-4087.0642356697</v>
      </c>
      <c r="BT53" s="168" t="n">
        <v>-4087.0642356697</v>
      </c>
      <c r="BU53" s="168" t="n">
        <v>-4087.0642356697</v>
      </c>
      <c r="BV53" s="168" t="n">
        <v>-4087.0642356697</v>
      </c>
      <c r="BW53" s="168" t="n">
        <v>-4087.0642356697</v>
      </c>
      <c r="BX53" s="168" t="n">
        <v>-4087.0642356697</v>
      </c>
      <c r="BY53" s="168" t="n">
        <v>-4087.0642356697</v>
      </c>
      <c r="BZ53" s="168" t="n">
        <v>-4168.80552038309</v>
      </c>
      <c r="CA53" s="168" t="n">
        <v>-4168.80552038309</v>
      </c>
      <c r="CB53" s="168" t="n">
        <v>-4168.80552038309</v>
      </c>
      <c r="CC53" s="168" t="n">
        <v>-4168.80552038309</v>
      </c>
      <c r="CD53" s="168" t="n">
        <v>-4168.80552038309</v>
      </c>
      <c r="CE53" s="168" t="n">
        <v>-4168.80552038309</v>
      </c>
      <c r="CF53" s="168" t="n">
        <v>-4168.80552038309</v>
      </c>
      <c r="CG53" s="168" t="n">
        <v>-4168.80552038309</v>
      </c>
      <c r="CH53" s="168" t="n">
        <v>-4168.80552038309</v>
      </c>
      <c r="CI53" s="168" t="n">
        <v>-4168.80552038309</v>
      </c>
      <c r="CJ53" s="168" t="n">
        <v>-4168.80552038309</v>
      </c>
      <c r="CK53" s="168" t="n">
        <v>-4168.80552038309</v>
      </c>
      <c r="CL53" s="168" t="n">
        <v>-4252.18163079075</v>
      </c>
      <c r="CM53" s="168" t="n">
        <v>-4252.18163079075</v>
      </c>
      <c r="CN53" s="168" t="n">
        <v>-4252.18163079075</v>
      </c>
      <c r="CO53" s="168" t="n">
        <v>-4252.18163079075</v>
      </c>
      <c r="CP53" s="168" t="n">
        <v>-4252.18163079075</v>
      </c>
      <c r="CQ53" s="168" t="n">
        <v>-4252.18163079075</v>
      </c>
      <c r="CR53" s="168" t="n">
        <v>-4252.18163079075</v>
      </c>
      <c r="CS53" s="168" t="n">
        <v>-4252.18163079075</v>
      </c>
      <c r="CT53" s="168" t="n">
        <v>-4252.18163079075</v>
      </c>
      <c r="CU53" s="168" t="n">
        <v>-4252.18163079075</v>
      </c>
      <c r="CV53" s="168" t="n">
        <v>-4252.18163079075</v>
      </c>
      <c r="CW53" s="168" t="n">
        <v>-4252.18163079075</v>
      </c>
      <c r="CX53" s="168" t="n">
        <v>-4337.22526340657</v>
      </c>
      <c r="CY53" s="168" t="n">
        <v>-4337.22526340657</v>
      </c>
      <c r="CZ53" s="168" t="n">
        <v>-4337.22526340657</v>
      </c>
      <c r="DA53" s="168" t="n">
        <v>-4337.22526340657</v>
      </c>
      <c r="DB53" s="168" t="n">
        <v>-4337.22526340657</v>
      </c>
      <c r="DC53" s="168" t="n">
        <v>-4337.22526340657</v>
      </c>
      <c r="DD53" s="168" t="n">
        <v>-4337.22526340657</v>
      </c>
      <c r="DE53" s="168" t="n">
        <v>-4337.22526340657</v>
      </c>
      <c r="DF53" s="168" t="n">
        <v>-4337.22526340657</v>
      </c>
    </row>
    <row r="54" customFormat="false" ht="15" hidden="false" customHeight="true" outlineLevel="0" collapsed="false">
      <c r="A54" s="127" t="s">
        <v>300</v>
      </c>
      <c r="C54" s="167" t="n">
        <v>0</v>
      </c>
      <c r="D54" s="167" t="n">
        <v>0</v>
      </c>
      <c r="E54" s="167" t="n">
        <v>0</v>
      </c>
      <c r="F54" s="168" t="n">
        <v>0</v>
      </c>
      <c r="G54" s="168" t="n">
        <v>0</v>
      </c>
      <c r="H54" s="168" t="n">
        <v>0</v>
      </c>
      <c r="I54" s="168" t="n">
        <v>0</v>
      </c>
      <c r="J54" s="168" t="n">
        <v>0</v>
      </c>
      <c r="K54" s="168" t="n">
        <v>0</v>
      </c>
      <c r="L54" s="168" t="n">
        <v>0</v>
      </c>
      <c r="M54" s="168" t="n">
        <v>0</v>
      </c>
      <c r="N54" s="168" t="n">
        <v>0</v>
      </c>
      <c r="O54" s="168" t="n">
        <v>0</v>
      </c>
      <c r="P54" s="168" t="n">
        <v>0</v>
      </c>
      <c r="Q54" s="168" t="n">
        <v>0</v>
      </c>
      <c r="R54" s="168" t="n">
        <v>0</v>
      </c>
      <c r="S54" s="168" t="n">
        <v>0</v>
      </c>
      <c r="T54" s="168" t="n">
        <v>0</v>
      </c>
      <c r="U54" s="168" t="n">
        <v>0</v>
      </c>
      <c r="V54" s="168" t="n">
        <v>0</v>
      </c>
      <c r="W54" s="168" t="n">
        <v>0</v>
      </c>
      <c r="X54" s="168" t="n">
        <v>0</v>
      </c>
      <c r="Y54" s="168" t="n">
        <v>0</v>
      </c>
      <c r="Z54" s="168" t="n">
        <v>0</v>
      </c>
      <c r="AA54" s="168" t="n">
        <v>0</v>
      </c>
      <c r="AB54" s="168" t="n">
        <v>0</v>
      </c>
      <c r="AC54" s="168" t="n">
        <v>0</v>
      </c>
      <c r="AD54" s="168" t="n">
        <v>0</v>
      </c>
      <c r="AE54" s="168" t="n">
        <v>0</v>
      </c>
      <c r="AF54" s="168" t="n">
        <v>0</v>
      </c>
      <c r="AG54" s="168" t="n">
        <v>0</v>
      </c>
      <c r="AH54" s="168" t="n">
        <v>0</v>
      </c>
      <c r="AI54" s="168" t="n">
        <v>0</v>
      </c>
      <c r="AJ54" s="168" t="n">
        <v>0</v>
      </c>
      <c r="AK54" s="168" t="n">
        <v>0</v>
      </c>
      <c r="AL54" s="168" t="n">
        <v>0</v>
      </c>
      <c r="AM54" s="168" t="n">
        <v>0</v>
      </c>
      <c r="AN54" s="168" t="n">
        <v>0</v>
      </c>
      <c r="AO54" s="168" t="n">
        <v>0</v>
      </c>
      <c r="AP54" s="168" t="n">
        <v>0</v>
      </c>
      <c r="AQ54" s="168" t="n">
        <v>0</v>
      </c>
      <c r="AR54" s="168" t="n">
        <v>0</v>
      </c>
      <c r="AS54" s="168" t="n">
        <v>0</v>
      </c>
      <c r="AT54" s="168" t="n">
        <v>0</v>
      </c>
      <c r="AU54" s="168" t="n">
        <v>0</v>
      </c>
      <c r="AV54" s="168" t="n">
        <v>0</v>
      </c>
      <c r="AW54" s="168" t="n">
        <v>0</v>
      </c>
      <c r="AX54" s="168" t="n">
        <v>0</v>
      </c>
      <c r="AY54" s="168" t="n">
        <v>0</v>
      </c>
      <c r="AZ54" s="168" t="n">
        <v>0</v>
      </c>
      <c r="BA54" s="168" t="n">
        <v>0</v>
      </c>
      <c r="BB54" s="168" t="n">
        <v>0</v>
      </c>
      <c r="BC54" s="168" t="n">
        <v>0</v>
      </c>
      <c r="BD54" s="168" t="n">
        <v>0</v>
      </c>
      <c r="BE54" s="168" t="n">
        <v>0</v>
      </c>
      <c r="BF54" s="168" t="n">
        <v>0</v>
      </c>
      <c r="BG54" s="168" t="n">
        <v>0</v>
      </c>
      <c r="BH54" s="168" t="n">
        <v>0</v>
      </c>
      <c r="BI54" s="168" t="n">
        <v>0</v>
      </c>
      <c r="BJ54" s="168" t="n">
        <v>0</v>
      </c>
      <c r="BK54" s="168" t="n">
        <v>0</v>
      </c>
      <c r="BL54" s="168" t="n">
        <v>0</v>
      </c>
      <c r="BM54" s="168" t="n">
        <v>0</v>
      </c>
      <c r="BN54" s="168" t="n">
        <v>0</v>
      </c>
      <c r="BO54" s="168" t="n">
        <v>0</v>
      </c>
      <c r="BP54" s="168" t="n">
        <v>0</v>
      </c>
      <c r="BQ54" s="168" t="n">
        <v>0</v>
      </c>
      <c r="BR54" s="168" t="n">
        <v>0</v>
      </c>
      <c r="BS54" s="168" t="n">
        <v>0</v>
      </c>
      <c r="BT54" s="168" t="n">
        <v>0</v>
      </c>
      <c r="BU54" s="168" t="n">
        <v>0</v>
      </c>
      <c r="BV54" s="168" t="n">
        <v>0</v>
      </c>
      <c r="BW54" s="168" t="n">
        <v>0</v>
      </c>
      <c r="BX54" s="168" t="n">
        <v>0</v>
      </c>
      <c r="BY54" s="168" t="n">
        <v>0</v>
      </c>
      <c r="BZ54" s="168" t="n">
        <v>0</v>
      </c>
      <c r="CA54" s="168" t="n">
        <v>0</v>
      </c>
      <c r="CB54" s="168" t="n">
        <v>0</v>
      </c>
      <c r="CC54" s="168" t="n">
        <v>0</v>
      </c>
      <c r="CD54" s="168" t="n">
        <v>0</v>
      </c>
      <c r="CE54" s="168" t="n">
        <v>0</v>
      </c>
      <c r="CF54" s="168" t="n">
        <v>0</v>
      </c>
      <c r="CG54" s="168" t="n">
        <v>0</v>
      </c>
      <c r="CH54" s="168" t="n">
        <v>0</v>
      </c>
      <c r="CI54" s="168" t="n">
        <v>0</v>
      </c>
      <c r="CJ54" s="168" t="n">
        <v>0</v>
      </c>
      <c r="CK54" s="168" t="n">
        <v>0</v>
      </c>
      <c r="CL54" s="168" t="n">
        <v>0</v>
      </c>
      <c r="CM54" s="168" t="n">
        <v>0</v>
      </c>
      <c r="CN54" s="168" t="n">
        <v>0</v>
      </c>
      <c r="CO54" s="168" t="n">
        <v>0</v>
      </c>
      <c r="CP54" s="168" t="n">
        <v>0</v>
      </c>
      <c r="CQ54" s="168" t="n">
        <v>0</v>
      </c>
      <c r="CR54" s="168" t="n">
        <v>0</v>
      </c>
      <c r="CS54" s="168" t="n">
        <v>0</v>
      </c>
      <c r="CT54" s="168" t="n">
        <v>0</v>
      </c>
      <c r="CU54" s="168" t="n">
        <v>0</v>
      </c>
      <c r="CV54" s="168" t="n">
        <v>0</v>
      </c>
      <c r="CW54" s="168" t="n">
        <v>0</v>
      </c>
      <c r="CX54" s="168" t="n">
        <v>0</v>
      </c>
      <c r="CY54" s="168" t="n">
        <v>0</v>
      </c>
      <c r="CZ54" s="168" t="n">
        <v>0</v>
      </c>
      <c r="DA54" s="168" t="n">
        <v>0</v>
      </c>
      <c r="DB54" s="168" t="n">
        <v>0</v>
      </c>
      <c r="DC54" s="168" t="n">
        <v>0</v>
      </c>
      <c r="DD54" s="168" t="n">
        <v>0</v>
      </c>
      <c r="DE54" s="168" t="n">
        <v>0</v>
      </c>
      <c r="DF54" s="168" t="n">
        <v>0</v>
      </c>
    </row>
    <row r="55" customFormat="false" ht="15" hidden="false" customHeight="true" outlineLevel="0" collapsed="false">
      <c r="A55" s="121" t="s">
        <v>93</v>
      </c>
      <c r="C55" s="170" t="n">
        <v>-258991.59</v>
      </c>
      <c r="D55" s="170" t="n">
        <v>-258698.63</v>
      </c>
      <c r="E55" s="170" t="n">
        <v>-350327.83</v>
      </c>
      <c r="F55" s="170" t="n">
        <v>-391691.558333333</v>
      </c>
      <c r="G55" s="170" t="n">
        <v>-464089.475</v>
      </c>
      <c r="H55" s="170" t="n">
        <v>-493464.475</v>
      </c>
      <c r="I55" s="170" t="n">
        <v>-480368.641666666</v>
      </c>
      <c r="J55" s="170" t="n">
        <v>-460868.641666666</v>
      </c>
      <c r="K55" s="170" t="n">
        <v>-460868.641666666</v>
      </c>
      <c r="L55" s="170" t="n">
        <v>-522222.808333333</v>
      </c>
      <c r="M55" s="170" t="n">
        <v>-573072.808333333</v>
      </c>
      <c r="N55" s="170" t="n">
        <v>-519072.808333333</v>
      </c>
      <c r="O55" s="170" t="n">
        <v>-519072.808333333</v>
      </c>
      <c r="P55" s="170" t="n">
        <v>-519072.808333333</v>
      </c>
      <c r="Q55" s="170" t="n">
        <v>-519072.808333333</v>
      </c>
      <c r="R55" s="170" t="n">
        <v>-566949.597833333</v>
      </c>
      <c r="S55" s="170" t="n">
        <v>-542949.597833333</v>
      </c>
      <c r="T55" s="170" t="n">
        <v>-542949.597833333</v>
      </c>
      <c r="U55" s="170" t="n">
        <v>-542949.597833333</v>
      </c>
      <c r="V55" s="170" t="n">
        <v>-542949.597833333</v>
      </c>
      <c r="W55" s="170" t="n">
        <v>-542949.597833333</v>
      </c>
      <c r="X55" s="170" t="n">
        <v>-542949.597833333</v>
      </c>
      <c r="Y55" s="170" t="n">
        <v>-542949.597833333</v>
      </c>
      <c r="Z55" s="170" t="n">
        <v>-542949.597833333</v>
      </c>
      <c r="AA55" s="170" t="n">
        <v>-542949.597833333</v>
      </c>
      <c r="AB55" s="170" t="n">
        <v>-542949.597833333</v>
      </c>
      <c r="AC55" s="170" t="n">
        <v>-542949.597833333</v>
      </c>
      <c r="AD55" s="170" t="n">
        <v>-551731.923123333</v>
      </c>
      <c r="AE55" s="170" t="n">
        <v>-551731.923123333</v>
      </c>
      <c r="AF55" s="170" t="n">
        <v>-551731.923123333</v>
      </c>
      <c r="AG55" s="170" t="n">
        <v>-551731.923123333</v>
      </c>
      <c r="AH55" s="170" t="n">
        <v>-551731.923123333</v>
      </c>
      <c r="AI55" s="170" t="n">
        <v>-551731.923123333</v>
      </c>
      <c r="AJ55" s="170" t="n">
        <v>-551731.923123333</v>
      </c>
      <c r="AK55" s="170" t="n">
        <v>-551731.923123333</v>
      </c>
      <c r="AL55" s="170" t="n">
        <v>-551731.923123333</v>
      </c>
      <c r="AM55" s="170" t="n">
        <v>-551731.923123333</v>
      </c>
      <c r="AN55" s="170" t="n">
        <v>-551731.923123333</v>
      </c>
      <c r="AO55" s="170" t="n">
        <v>-551731.923123333</v>
      </c>
      <c r="AP55" s="170" t="n">
        <v>-560689.894919133</v>
      </c>
      <c r="AQ55" s="170" t="n">
        <v>-560689.894919133</v>
      </c>
      <c r="AR55" s="170" t="n">
        <v>-560689.894919133</v>
      </c>
      <c r="AS55" s="170" t="n">
        <v>-560689.894919133</v>
      </c>
      <c r="AT55" s="170" t="n">
        <v>-560689.894919133</v>
      </c>
      <c r="AU55" s="170" t="n">
        <v>-560689.894919133</v>
      </c>
      <c r="AV55" s="170" t="n">
        <v>-560689.894919133</v>
      </c>
      <c r="AW55" s="170" t="n">
        <v>-560689.894919133</v>
      </c>
      <c r="AX55" s="170" t="n">
        <v>-560689.894919133</v>
      </c>
      <c r="AY55" s="170" t="n">
        <v>-560689.894919133</v>
      </c>
      <c r="AZ55" s="170" t="n">
        <v>-560689.894919133</v>
      </c>
      <c r="BA55" s="170" t="n">
        <v>-560689.894919133</v>
      </c>
      <c r="BB55" s="170" t="n">
        <v>-569827.026150849</v>
      </c>
      <c r="BC55" s="170" t="n">
        <v>-569827.026150849</v>
      </c>
      <c r="BD55" s="170" t="n">
        <v>-569827.026150849</v>
      </c>
      <c r="BE55" s="170" t="n">
        <v>-569827.026150849</v>
      </c>
      <c r="BF55" s="170" t="n">
        <v>-569827.026150849</v>
      </c>
      <c r="BG55" s="170" t="n">
        <v>-569827.026150849</v>
      </c>
      <c r="BH55" s="170" t="n">
        <v>-569827.026150849</v>
      </c>
      <c r="BI55" s="170" t="n">
        <v>-569827.026150849</v>
      </c>
      <c r="BJ55" s="170" t="n">
        <v>-569827.026150849</v>
      </c>
      <c r="BK55" s="170" t="n">
        <v>-569827.026150849</v>
      </c>
      <c r="BL55" s="170" t="n">
        <v>-569827.026150849</v>
      </c>
      <c r="BM55" s="170" t="n">
        <v>-569827.026150849</v>
      </c>
      <c r="BN55" s="170" t="n">
        <v>-579146.900007199</v>
      </c>
      <c r="BO55" s="170" t="n">
        <v>-579146.900007199</v>
      </c>
      <c r="BP55" s="170" t="n">
        <v>-579146.900007199</v>
      </c>
      <c r="BQ55" s="170" t="n">
        <v>-579146.900007199</v>
      </c>
      <c r="BR55" s="170" t="n">
        <v>-579146.900007199</v>
      </c>
      <c r="BS55" s="170" t="n">
        <v>-579146.900007199</v>
      </c>
      <c r="BT55" s="170" t="n">
        <v>-579146.900007199</v>
      </c>
      <c r="BU55" s="170" t="n">
        <v>-579146.900007199</v>
      </c>
      <c r="BV55" s="170" t="n">
        <v>-579146.900007199</v>
      </c>
      <c r="BW55" s="170" t="n">
        <v>-579146.900007199</v>
      </c>
      <c r="BX55" s="170" t="n">
        <v>-579146.900007199</v>
      </c>
      <c r="BY55" s="170" t="n">
        <v>-579146.900007199</v>
      </c>
      <c r="BZ55" s="170" t="n">
        <v>-588653.171340677</v>
      </c>
      <c r="CA55" s="170" t="n">
        <v>-588653.171340677</v>
      </c>
      <c r="CB55" s="170" t="n">
        <v>-588653.171340677</v>
      </c>
      <c r="CC55" s="170" t="n">
        <v>-588653.171340677</v>
      </c>
      <c r="CD55" s="170" t="n">
        <v>-588653.171340677</v>
      </c>
      <c r="CE55" s="170" t="n">
        <v>-588653.171340677</v>
      </c>
      <c r="CF55" s="170" t="n">
        <v>-588653.171340677</v>
      </c>
      <c r="CG55" s="170" t="n">
        <v>-588653.171340677</v>
      </c>
      <c r="CH55" s="170" t="n">
        <v>-588653.171340677</v>
      </c>
      <c r="CI55" s="170" t="n">
        <v>-588653.171340677</v>
      </c>
      <c r="CJ55" s="170" t="n">
        <v>-588653.171340677</v>
      </c>
      <c r="CK55" s="170" t="n">
        <v>-588653.171340677</v>
      </c>
      <c r="CL55" s="170" t="n">
        <v>-598349.568100823</v>
      </c>
      <c r="CM55" s="170" t="n">
        <v>-598349.568100823</v>
      </c>
      <c r="CN55" s="170" t="n">
        <v>-598349.568100823</v>
      </c>
      <c r="CO55" s="170" t="n">
        <v>-598349.568100823</v>
      </c>
      <c r="CP55" s="170" t="n">
        <v>-598349.568100823</v>
      </c>
      <c r="CQ55" s="170" t="n">
        <v>-598349.568100823</v>
      </c>
      <c r="CR55" s="170" t="n">
        <v>-598349.568100823</v>
      </c>
      <c r="CS55" s="170" t="n">
        <v>-598349.568100823</v>
      </c>
      <c r="CT55" s="170" t="n">
        <v>-598349.568100823</v>
      </c>
      <c r="CU55" s="170" t="n">
        <v>-541129.466733473</v>
      </c>
      <c r="CV55" s="170" t="n">
        <v>-541129.466733473</v>
      </c>
      <c r="CW55" s="170" t="n">
        <v>-541129.466733473</v>
      </c>
      <c r="CX55" s="170" t="n">
        <v>-549875.389401476</v>
      </c>
      <c r="CY55" s="170" t="n">
        <v>-549875.389401476</v>
      </c>
      <c r="CZ55" s="170" t="n">
        <v>-549875.389401476</v>
      </c>
      <c r="DA55" s="170" t="n">
        <v>-549875.389401476</v>
      </c>
      <c r="DB55" s="170" t="n">
        <v>-549875.389401476</v>
      </c>
      <c r="DC55" s="170" t="n">
        <v>-549875.389401476</v>
      </c>
      <c r="DD55" s="170" t="n">
        <v>-549875.389401476</v>
      </c>
      <c r="DE55" s="170" t="n">
        <v>-549875.389401476</v>
      </c>
      <c r="DF55" s="170" t="n">
        <v>-549875.389401476</v>
      </c>
    </row>
    <row r="56" customFormat="false" ht="15" hidden="false" customHeight="true" outlineLevel="0" collapsed="false">
      <c r="A56" s="140"/>
      <c r="C56" s="125"/>
      <c r="D56" s="125"/>
      <c r="E56" s="125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  <c r="CM56" s="166"/>
      <c r="CN56" s="166"/>
      <c r="CO56" s="166"/>
      <c r="CP56" s="166"/>
      <c r="CQ56" s="166"/>
      <c r="CR56" s="166"/>
      <c r="CS56" s="166"/>
      <c r="CT56" s="166"/>
      <c r="CU56" s="166"/>
      <c r="CV56" s="166"/>
      <c r="CW56" s="166"/>
      <c r="CX56" s="166"/>
      <c r="CY56" s="166"/>
      <c r="CZ56" s="166"/>
      <c r="DA56" s="166"/>
      <c r="DB56" s="166"/>
      <c r="DC56" s="166"/>
      <c r="DD56" s="166"/>
      <c r="DE56" s="166"/>
      <c r="DF56" s="166"/>
    </row>
    <row r="57" customFormat="false" ht="15" hidden="false" customHeight="true" outlineLevel="0" collapsed="false">
      <c r="A57" s="81" t="s">
        <v>94</v>
      </c>
      <c r="C57" s="174" t="n">
        <v>-40238.7799999999</v>
      </c>
      <c r="D57" s="174" t="n">
        <v>-309702.1</v>
      </c>
      <c r="E57" s="174" t="n">
        <v>243856.69</v>
      </c>
      <c r="F57" s="174" t="n">
        <v>77193.5079209369</v>
      </c>
      <c r="G57" s="174" t="n">
        <v>4795.59125425993</v>
      </c>
      <c r="H57" s="174" t="n">
        <v>-24579.4087457396</v>
      </c>
      <c r="I57" s="174" t="n">
        <v>478888.752787913</v>
      </c>
      <c r="J57" s="174" t="n">
        <v>171828.547987913</v>
      </c>
      <c r="K57" s="174" t="n">
        <v>171828.547987913</v>
      </c>
      <c r="L57" s="174" t="n">
        <v>476879.116623526</v>
      </c>
      <c r="M57" s="174" t="n">
        <v>507880.050630907</v>
      </c>
      <c r="N57" s="174" t="n">
        <v>255504.966544817</v>
      </c>
      <c r="O57" s="174" t="n">
        <v>255504.966544827</v>
      </c>
      <c r="P57" s="174" t="n">
        <v>255504.966544827</v>
      </c>
      <c r="Q57" s="174" t="n">
        <v>255504.966544817</v>
      </c>
      <c r="R57" s="174" t="n">
        <v>-411966.093897963</v>
      </c>
      <c r="S57" s="174" t="n">
        <v>404202.381102027</v>
      </c>
      <c r="T57" s="174" t="n">
        <v>562864.259388238</v>
      </c>
      <c r="U57" s="174" t="n">
        <v>324683.812184128</v>
      </c>
      <c r="V57" s="174" t="n">
        <v>59005.0606073667</v>
      </c>
      <c r="W57" s="174" t="n">
        <v>59005.0606073677</v>
      </c>
      <c r="X57" s="174" t="n">
        <v>80815.3650471163</v>
      </c>
      <c r="Y57" s="174" t="n">
        <v>37194.7561676172</v>
      </c>
      <c r="Z57" s="174" t="n">
        <v>37194.7561676162</v>
      </c>
      <c r="AA57" s="174" t="n">
        <v>37194.7561676172</v>
      </c>
      <c r="AB57" s="174" t="n">
        <v>37194.7561676162</v>
      </c>
      <c r="AC57" s="174" t="n">
        <v>37194.7561676172</v>
      </c>
      <c r="AD57" s="174" t="n">
        <v>110433.446720217</v>
      </c>
      <c r="AE57" s="174" t="n">
        <v>-53608.5849649826</v>
      </c>
      <c r="AF57" s="174" t="n">
        <v>-619655.004096433</v>
      </c>
      <c r="AG57" s="174" t="n">
        <v>104051.055903567</v>
      </c>
      <c r="AH57" s="174" t="n">
        <v>104051.055903567</v>
      </c>
      <c r="AI57" s="174" t="n">
        <v>104051.055903567</v>
      </c>
      <c r="AJ57" s="174" t="n">
        <v>232047.185471317</v>
      </c>
      <c r="AK57" s="174" t="n">
        <v>2720.78666242689</v>
      </c>
      <c r="AL57" s="174" t="n">
        <v>261371.507820827</v>
      </c>
      <c r="AM57" s="174" t="n">
        <v>-161091.336737893</v>
      </c>
      <c r="AN57" s="174" t="n">
        <v>-161091.336737893</v>
      </c>
      <c r="AO57" s="174" t="n">
        <v>-65712.2712752431</v>
      </c>
      <c r="AP57" s="174" t="n">
        <v>-230456.049993373</v>
      </c>
      <c r="AQ57" s="174" t="n">
        <v>-230456.049993373</v>
      </c>
      <c r="AR57" s="174" t="n">
        <v>-230456.049993373</v>
      </c>
      <c r="AS57" s="174" t="n">
        <v>-230456.049993373</v>
      </c>
      <c r="AT57" s="174" t="n">
        <v>-230456.049993373</v>
      </c>
      <c r="AU57" s="174" t="n">
        <v>42029.5353601269</v>
      </c>
      <c r="AV57" s="174" t="n">
        <v>-403030.254050583</v>
      </c>
      <c r="AW57" s="174" t="n">
        <v>-403030.254050583</v>
      </c>
      <c r="AX57" s="174" t="n">
        <v>-403030.254050583</v>
      </c>
      <c r="AY57" s="174" t="n">
        <v>-403030.254050583</v>
      </c>
      <c r="AZ57" s="174" t="n">
        <v>-403030.254050583</v>
      </c>
      <c r="BA57" s="174" t="n">
        <v>-403030.254050583</v>
      </c>
      <c r="BB57" s="174" t="n">
        <v>-412167.385282299</v>
      </c>
      <c r="BC57" s="174" t="n">
        <v>-412167.385282299</v>
      </c>
      <c r="BD57" s="174" t="n">
        <v>-412167.385282299</v>
      </c>
      <c r="BE57" s="174" t="n">
        <v>-412167.385282302</v>
      </c>
      <c r="BF57" s="174" t="n">
        <v>-412167.385282302</v>
      </c>
      <c r="BG57" s="174" t="n">
        <v>-412167.385282302</v>
      </c>
      <c r="BH57" s="174" t="n">
        <v>-412167.385282302</v>
      </c>
      <c r="BI57" s="174" t="n">
        <v>-163231.110226702</v>
      </c>
      <c r="BJ57" s="174" t="n">
        <v>-569827.026150849</v>
      </c>
      <c r="BK57" s="174" t="n">
        <v>-569827.026150849</v>
      </c>
      <c r="BL57" s="174" t="n">
        <v>-569827.026150849</v>
      </c>
      <c r="BM57" s="174" t="n">
        <v>-569827.026150849</v>
      </c>
      <c r="BN57" s="174" t="n">
        <v>-579146.900007199</v>
      </c>
      <c r="BO57" s="174" t="n">
        <v>-579146.900007199</v>
      </c>
      <c r="BP57" s="174" t="n">
        <v>-579146.900007199</v>
      </c>
      <c r="BQ57" s="174" t="n">
        <v>-579146.900007199</v>
      </c>
      <c r="BR57" s="174" t="n">
        <v>-579146.900007199</v>
      </c>
      <c r="BS57" s="174" t="n">
        <v>-579146.900007199</v>
      </c>
      <c r="BT57" s="174" t="n">
        <v>-579146.900007199</v>
      </c>
      <c r="BU57" s="174" t="n">
        <v>-579146.900007199</v>
      </c>
      <c r="BV57" s="174" t="n">
        <v>-579146.900007199</v>
      </c>
      <c r="BW57" s="174" t="n">
        <v>-579146.900007199</v>
      </c>
      <c r="BX57" s="174" t="n">
        <v>-579146.900007199</v>
      </c>
      <c r="BY57" s="174" t="n">
        <v>-579146.900007199</v>
      </c>
      <c r="BZ57" s="174" t="n">
        <v>-588653.171340677</v>
      </c>
      <c r="CA57" s="174" t="n">
        <v>-588653.171340677</v>
      </c>
      <c r="CB57" s="174" t="n">
        <v>-588653.171340677</v>
      </c>
      <c r="CC57" s="174" t="n">
        <v>-588653.171340677</v>
      </c>
      <c r="CD57" s="174" t="n">
        <v>-588653.171340677</v>
      </c>
      <c r="CE57" s="174" t="n">
        <v>-588653.171340677</v>
      </c>
      <c r="CF57" s="174" t="n">
        <v>-588653.171340677</v>
      </c>
      <c r="CG57" s="174" t="n">
        <v>-588653.171340677</v>
      </c>
      <c r="CH57" s="174" t="n">
        <v>-588653.171340677</v>
      </c>
      <c r="CI57" s="174" t="n">
        <v>-588653.171340677</v>
      </c>
      <c r="CJ57" s="174" t="n">
        <v>-588653.171340677</v>
      </c>
      <c r="CK57" s="174" t="n">
        <v>-588653.171340677</v>
      </c>
      <c r="CL57" s="174" t="n">
        <v>-598349.568100823</v>
      </c>
      <c r="CM57" s="174" t="n">
        <v>-598349.568100823</v>
      </c>
      <c r="CN57" s="174" t="n">
        <v>-598349.568100823</v>
      </c>
      <c r="CO57" s="174" t="n">
        <v>-598349.568100823</v>
      </c>
      <c r="CP57" s="174" t="n">
        <v>-598349.568100823</v>
      </c>
      <c r="CQ57" s="174" t="n">
        <v>-598349.568100823</v>
      </c>
      <c r="CR57" s="174" t="n">
        <v>-598349.568100823</v>
      </c>
      <c r="CS57" s="174" t="n">
        <v>-598349.568100823</v>
      </c>
      <c r="CT57" s="174" t="n">
        <v>-598349.568100823</v>
      </c>
      <c r="CU57" s="174" t="n">
        <v>-541129.466733473</v>
      </c>
      <c r="CV57" s="174" t="n">
        <v>-541129.466733473</v>
      </c>
      <c r="CW57" s="174" t="n">
        <v>-541129.466733473</v>
      </c>
      <c r="CX57" s="174" t="n">
        <v>-549875.389401476</v>
      </c>
      <c r="CY57" s="174" t="n">
        <v>-549875.389401476</v>
      </c>
      <c r="CZ57" s="174" t="n">
        <v>-549875.389401476</v>
      </c>
      <c r="DA57" s="174" t="n">
        <v>-549875.389401476</v>
      </c>
      <c r="DB57" s="174" t="n">
        <v>-549875.389401476</v>
      </c>
      <c r="DC57" s="174" t="n">
        <v>-549875.389401476</v>
      </c>
      <c r="DD57" s="174" t="n">
        <v>-549875.389401476</v>
      </c>
      <c r="DE57" s="174" t="n">
        <v>-549875.389401476</v>
      </c>
      <c r="DF57" s="174" t="n">
        <v>-549875.389401476</v>
      </c>
    </row>
    <row r="58" customFormat="false" ht="15" hidden="false" customHeight="true" outlineLevel="0" collapsed="false">
      <c r="A58" s="120" t="s">
        <v>95</v>
      </c>
      <c r="C58" s="173" t="n">
        <f aca="false">IFERROR(C57/C13,0)</f>
        <v>-0.0276785988569409</v>
      </c>
      <c r="D58" s="173" t="n">
        <f aca="false">IFERROR(D57/D13,0)</f>
        <v>-0.102464901385612</v>
      </c>
      <c r="E58" s="173" t="n">
        <f aca="false">IFERROR(E57/E13,0)</f>
        <v>0.0912563488127398</v>
      </c>
      <c r="F58" s="173" t="n">
        <f aca="false">IFERROR(F57/F13,0)</f>
        <v>0.0173298465800976</v>
      </c>
      <c r="G58" s="173" t="n">
        <f aca="false">IFERROR(G57/G13,0)</f>
        <v>0.00103190312584528</v>
      </c>
      <c r="H58" s="173" t="n">
        <f aca="false">IFERROR(H57/H13,0)</f>
        <v>-0.00513830988769468</v>
      </c>
      <c r="I58" s="173" t="n">
        <f aca="false">IFERROR(I57/I13,0)</f>
        <v>0.0835258951271783</v>
      </c>
      <c r="J58" s="173" t="n">
        <f aca="false">IFERROR(J57/J13,0)</f>
        <v>0.0291585151848811</v>
      </c>
      <c r="K58" s="173" t="n">
        <f aca="false">IFERROR(K57/K13,0)</f>
        <v>0.0287072206647552</v>
      </c>
      <c r="L58" s="173" t="n">
        <f aca="false">IFERROR(L57/L13,0)</f>
        <v>0.0719850664285797</v>
      </c>
      <c r="M58" s="173" t="n">
        <f aca="false">IFERROR(M57/M13,0)</f>
        <v>0.0699094476542191</v>
      </c>
      <c r="N58" s="173" t="n">
        <f aca="false">IFERROR(N57/N13,0)</f>
        <v>0.0365905286174057</v>
      </c>
      <c r="O58" s="173" t="n">
        <f aca="false">IFERROR(O57/O13,0)</f>
        <v>0.035633773223876</v>
      </c>
      <c r="P58" s="173" t="n">
        <f aca="false">IFERROR(P57/P13,0)</f>
        <v>0.0349944801662139</v>
      </c>
      <c r="Q58" s="173" t="n">
        <f aca="false">IFERROR(Q57/Q13,0)</f>
        <v>0.0346548085310985</v>
      </c>
      <c r="R58" s="173" t="n">
        <f aca="false">IFERROR(R57/R13,0)</f>
        <v>-0.050795343294945</v>
      </c>
      <c r="S58" s="173" t="n">
        <f aca="false">IFERROR(S57/S13,0)</f>
        <v>0.0495244343315864</v>
      </c>
      <c r="T58" s="173" t="n">
        <f aca="false">IFERROR(T57/T13,0)</f>
        <v>0.0690622206771117</v>
      </c>
      <c r="U58" s="173" t="n">
        <f aca="false">IFERROR(U57/U13,0)</f>
        <v>0.0437191547040497</v>
      </c>
      <c r="V58" s="173" t="n">
        <f aca="false">IFERROR(V57/V13,0)</f>
        <v>0.00848544419508858</v>
      </c>
      <c r="W58" s="173" t="n">
        <f aca="false">IFERROR(W57/W13,0)</f>
        <v>0.00848643812066759</v>
      </c>
      <c r="X58" s="173" t="n">
        <f aca="false">IFERROR(X57/X13,0)</f>
        <v>0.0117880175166161</v>
      </c>
      <c r="Y58" s="173" t="n">
        <f aca="false">IFERROR(Y57/Y13,0)</f>
        <v>0.00563862231580771</v>
      </c>
      <c r="Z58" s="173" t="n">
        <f aca="false">IFERROR(Z57/Z13,0)</f>
        <v>0.00584990253965618</v>
      </c>
      <c r="AA58" s="173" t="n">
        <f aca="false">IFERROR(AA57/AA13,0)</f>
        <v>0.00613653352507423</v>
      </c>
      <c r="AB58" s="173" t="n">
        <f aca="false">IFERROR(AB57/AB13,0)</f>
        <v>0.00649960124595134</v>
      </c>
      <c r="AC58" s="173" t="n">
        <f aca="false">IFERROR(AC57/AC13,0)</f>
        <v>0.00694035554431828</v>
      </c>
      <c r="AD58" s="173" t="n">
        <f aca="false">IFERROR(AD57/AD13,0)</f>
        <v>0.0221502466866728</v>
      </c>
      <c r="AE58" s="173" t="n">
        <f aca="false">IFERROR(AE57/AE13,0)</f>
        <v>-0.012383939800172</v>
      </c>
      <c r="AF58" s="173" t="n">
        <f aca="false">IFERROR(AF57/AF13,0)</f>
        <v>-0.145646882929711</v>
      </c>
      <c r="AG58" s="173" t="n">
        <f aca="false">IFERROR(AG57/AG13,0)</f>
        <v>0.0302716750479491</v>
      </c>
      <c r="AH58" s="173" t="n">
        <f aca="false">IFERROR(AH57/AH13,0)</f>
        <v>0.0298747215140425</v>
      </c>
      <c r="AI58" s="173" t="n">
        <f aca="false">IFERROR(AI57/AI13,0)</f>
        <v>0.0296361913542734</v>
      </c>
      <c r="AJ58" s="173" t="n">
        <f aca="false">IFERROR(AJ57/AJ13,0)</f>
        <v>0.065888999765768</v>
      </c>
      <c r="AK58" s="173" t="n">
        <f aca="false">IFERROR(AK57/AK13,0)</f>
        <v>0.00077379969162039</v>
      </c>
      <c r="AL58" s="173" t="n">
        <f aca="false">IFERROR(AL57/AL13,0)</f>
        <v>0.0747904788455928</v>
      </c>
      <c r="AM58" s="173" t="n">
        <f aca="false">IFERROR(AM57/AM13,0)</f>
        <v>-0.0465807469205635</v>
      </c>
      <c r="AN58" s="173" t="n">
        <f aca="false">IFERROR(AN57/AN13,0)</f>
        <v>-0.0472717456555632</v>
      </c>
      <c r="AO58" s="173" t="n">
        <f aca="false">IFERROR(AO57/AO13,0)</f>
        <v>-0.019651665804181</v>
      </c>
      <c r="AP58" s="173" t="n">
        <f aca="false">IFERROR(AP57/AP13,0)</f>
        <v>-0.0756171560874285</v>
      </c>
      <c r="AQ58" s="173" t="n">
        <f aca="false">IFERROR(AQ57/AQ13,0)</f>
        <v>-0.0770343143191285</v>
      </c>
      <c r="AR58" s="173" t="n">
        <f aca="false">IFERROR(AR57/AR13,0)</f>
        <v>-0.0788940943909012</v>
      </c>
      <c r="AS58" s="173" t="n">
        <f aca="false">IFERROR(AS57/AS13,0)</f>
        <v>-0.0812405024671969</v>
      </c>
      <c r="AT58" s="173" t="n">
        <f aca="false">IFERROR(AT57/AT13,0)</f>
        <v>-0.0841288501455523</v>
      </c>
      <c r="AU58" s="173" t="n">
        <f aca="false">IFERROR(AU57/AU13,0)</f>
        <v>0.0159813424056486</v>
      </c>
      <c r="AV58" s="173" t="n">
        <f aca="false">IFERROR(AV57/AV13,0)</f>
        <v>-0.214130249789158</v>
      </c>
      <c r="AW58" s="173" t="n">
        <f aca="false">IFERROR(AW57/AW13,0)</f>
        <v>-0.218450004808168</v>
      </c>
      <c r="AX58" s="173" t="n">
        <f aca="false">IFERROR(AX57/AX13,0)</f>
        <v>-0.225100129144198</v>
      </c>
      <c r="AY58" s="173" t="n">
        <f aca="false">IFERROR(AY57/AY13,0)</f>
        <v>-0.234277508074266</v>
      </c>
      <c r="AZ58" s="173" t="n">
        <f aca="false">IFERROR(AZ57/AZ13,0)</f>
        <v>-0.24627792536914</v>
      </c>
      <c r="BA58" s="173" t="n">
        <f aca="false">IFERROR(BA57/BA13,0)</f>
        <v>-0.261496420008664</v>
      </c>
      <c r="BB58" s="173" t="n">
        <f aca="false">IFERROR(BB57/BB13,0)</f>
        <v>-0.286793734485519</v>
      </c>
      <c r="BC58" s="173" t="n">
        <f aca="false">IFERROR(BC57/BC13,0)</f>
        <v>-0.310661925076369</v>
      </c>
      <c r="BD58" s="173" t="n">
        <f aca="false">IFERROR(BD57/BD13,0)</f>
        <v>-0.339892094429402</v>
      </c>
      <c r="BE58" s="173" t="n">
        <f aca="false">IFERROR(BE57/BE13,0)</f>
        <v>-0.375604139864318</v>
      </c>
      <c r="BF58" s="173" t="n">
        <f aca="false">IFERROR(BF57/BF13,0)</f>
        <v>-0.419242662439579</v>
      </c>
      <c r="BG58" s="173" t="n">
        <f aca="false">IFERROR(BG57/BG13,0)</f>
        <v>-0.472644563244375</v>
      </c>
      <c r="BH58" s="173" t="n">
        <f aca="false">IFERROR(BH57/BH13,0)</f>
        <v>-0.538214489510807</v>
      </c>
      <c r="BI58" s="173" t="n">
        <f aca="false">IFERROR(BI57/BI13,0)</f>
        <v>-0.245146629480391</v>
      </c>
      <c r="BJ58" s="173" t="n">
        <f aca="false">IFERROR(BJ57/BJ13,0)</f>
        <v>0</v>
      </c>
      <c r="BK58" s="173" t="n">
        <f aca="false">IFERROR(BK57/BK13,0)</f>
        <v>0</v>
      </c>
      <c r="BL58" s="173" t="n">
        <f aca="false">IFERROR(BL57/BL13,0)</f>
        <v>0</v>
      </c>
      <c r="BM58" s="173" t="n">
        <f aca="false">IFERROR(BM57/BM13,0)</f>
        <v>0</v>
      </c>
      <c r="BN58" s="173" t="n">
        <f aca="false">IFERROR(BN57/BN13,0)</f>
        <v>0</v>
      </c>
      <c r="BO58" s="173" t="n">
        <f aca="false">IFERROR(BO57/BO13,0)</f>
        <v>0</v>
      </c>
      <c r="BP58" s="173" t="n">
        <f aca="false">IFERROR(BP57/BP13,0)</f>
        <v>0</v>
      </c>
      <c r="BQ58" s="173" t="n">
        <f aca="false">IFERROR(BQ57/BQ13,0)</f>
        <v>0</v>
      </c>
      <c r="BR58" s="173" t="n">
        <f aca="false">IFERROR(BR57/BR13,0)</f>
        <v>0</v>
      </c>
      <c r="BS58" s="173" t="n">
        <f aca="false">IFERROR(BS57/BS13,0)</f>
        <v>0</v>
      </c>
      <c r="BT58" s="173" t="n">
        <f aca="false">IFERROR(BT57/BT13,0)</f>
        <v>0</v>
      </c>
      <c r="BU58" s="173" t="n">
        <f aca="false">IFERROR(BU57/BU13,0)</f>
        <v>0</v>
      </c>
      <c r="BV58" s="173" t="n">
        <f aca="false">IFERROR(BV57/BV13,0)</f>
        <v>0</v>
      </c>
      <c r="BW58" s="173" t="n">
        <f aca="false">IFERROR(BW57/BW13,0)</f>
        <v>0</v>
      </c>
      <c r="BX58" s="173" t="n">
        <f aca="false">IFERROR(BX57/BX13,0)</f>
        <v>0</v>
      </c>
      <c r="BY58" s="173" t="n">
        <f aca="false">IFERROR(BY57/BY13,0)</f>
        <v>0</v>
      </c>
      <c r="BZ58" s="173" t="n">
        <f aca="false">IFERROR(BZ57/BZ13,0)</f>
        <v>0</v>
      </c>
      <c r="CA58" s="173" t="n">
        <f aca="false">IFERROR(CA57/CA13,0)</f>
        <v>0</v>
      </c>
      <c r="CB58" s="173" t="n">
        <f aca="false">IFERROR(CB57/CB13,0)</f>
        <v>0</v>
      </c>
      <c r="CC58" s="173" t="n">
        <f aca="false">IFERROR(CC57/CC13,0)</f>
        <v>0</v>
      </c>
      <c r="CD58" s="173" t="n">
        <f aca="false">IFERROR(CD57/CD13,0)</f>
        <v>0</v>
      </c>
      <c r="CE58" s="173" t="n">
        <f aca="false">IFERROR(CE57/CE13,0)</f>
        <v>0</v>
      </c>
      <c r="CF58" s="173" t="n">
        <f aca="false">IFERROR(CF57/CF13,0)</f>
        <v>0</v>
      </c>
      <c r="CG58" s="173" t="n">
        <f aca="false">IFERROR(CG57/CG13,0)</f>
        <v>0</v>
      </c>
      <c r="CH58" s="173" t="n">
        <f aca="false">IFERROR(CH57/CH13,0)</f>
        <v>0</v>
      </c>
      <c r="CI58" s="173" t="n">
        <f aca="false">IFERROR(CI57/CI13,0)</f>
        <v>0</v>
      </c>
      <c r="CJ58" s="173" t="n">
        <f aca="false">IFERROR(CJ57/CJ13,0)</f>
        <v>0</v>
      </c>
      <c r="CK58" s="173" t="n">
        <f aca="false">IFERROR(CK57/CK13,0)</f>
        <v>0</v>
      </c>
      <c r="CL58" s="173" t="n">
        <f aca="false">IFERROR(CL57/CL13,0)</f>
        <v>0</v>
      </c>
      <c r="CM58" s="173" t="n">
        <f aca="false">IFERROR(CM57/CM13,0)</f>
        <v>0</v>
      </c>
      <c r="CN58" s="173" t="n">
        <f aca="false">IFERROR(CN57/CN13,0)</f>
        <v>0</v>
      </c>
      <c r="CO58" s="173" t="n">
        <f aca="false">IFERROR(CO57/CO13,0)</f>
        <v>0</v>
      </c>
      <c r="CP58" s="173" t="n">
        <f aca="false">IFERROR(CP57/CP13,0)</f>
        <v>0</v>
      </c>
      <c r="CQ58" s="173" t="n">
        <f aca="false">IFERROR(CQ57/CQ13,0)</f>
        <v>0</v>
      </c>
      <c r="CR58" s="173" t="n">
        <f aca="false">IFERROR(CR57/CR13,0)</f>
        <v>0</v>
      </c>
      <c r="CS58" s="173" t="n">
        <f aca="false">IFERROR(CS57/CS13,0)</f>
        <v>0</v>
      </c>
      <c r="CT58" s="173" t="n">
        <f aca="false">IFERROR(CT57/CT13,0)</f>
        <v>0</v>
      </c>
      <c r="CU58" s="173" t="n">
        <f aca="false">IFERROR(CU57/CU13,0)</f>
        <v>0</v>
      </c>
      <c r="CV58" s="173" t="n">
        <f aca="false">IFERROR(CV57/CV13,0)</f>
        <v>0</v>
      </c>
      <c r="CW58" s="173" t="n">
        <f aca="false">IFERROR(CW57/CW13,0)</f>
        <v>0</v>
      </c>
      <c r="CX58" s="173" t="n">
        <f aca="false">IFERROR(CX57/CX13,0)</f>
        <v>0</v>
      </c>
      <c r="CY58" s="173" t="n">
        <f aca="false">IFERROR(CY57/CY13,0)</f>
        <v>0</v>
      </c>
      <c r="CZ58" s="173" t="n">
        <f aca="false">IFERROR(CZ57/CZ13,0)</f>
        <v>0</v>
      </c>
      <c r="DA58" s="173" t="n">
        <f aca="false">IFERROR(DA57/DA13,0)</f>
        <v>0</v>
      </c>
      <c r="DB58" s="173" t="n">
        <f aca="false">IFERROR(DB57/DB13,0)</f>
        <v>0</v>
      </c>
      <c r="DC58" s="173" t="n">
        <f aca="false">IFERROR(DC57/DC13,0)</f>
        <v>0</v>
      </c>
      <c r="DD58" s="173" t="n">
        <f aca="false">IFERROR(DD57/DD13,0)</f>
        <v>0</v>
      </c>
      <c r="DE58" s="173" t="n">
        <f aca="false">IFERROR(DE57/DE13,0)</f>
        <v>0</v>
      </c>
      <c r="DF58" s="173" t="n">
        <f aca="false">IFERROR(DF57/DF13,0)</f>
        <v>0</v>
      </c>
    </row>
    <row r="59" customFormat="false" ht="15" hidden="false" customHeight="true" outlineLevel="0" collapsed="false">
      <c r="A59" s="140"/>
      <c r="C59" s="125"/>
      <c r="D59" s="125"/>
      <c r="E59" s="125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CZ59" s="166"/>
      <c r="DA59" s="166"/>
      <c r="DB59" s="166"/>
      <c r="DC59" s="166"/>
      <c r="DD59" s="166"/>
      <c r="DE59" s="166"/>
      <c r="DF59" s="166"/>
    </row>
    <row r="60" customFormat="false" ht="15" hidden="false" customHeight="true" outlineLevel="0" collapsed="false">
      <c r="A60" s="140"/>
      <c r="C60" s="125"/>
      <c r="D60" s="125"/>
      <c r="E60" s="125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</row>
    <row r="61" customFormat="false" ht="15" hidden="false" customHeight="true" outlineLevel="0" collapsed="false">
      <c r="A61" s="140"/>
      <c r="C61" s="125"/>
      <c r="D61" s="125"/>
      <c r="E61" s="125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  <c r="CM61" s="166"/>
      <c r="CN61" s="166"/>
      <c r="CO61" s="166"/>
      <c r="CP61" s="166"/>
      <c r="CQ61" s="166"/>
      <c r="CR61" s="166"/>
      <c r="CS61" s="166"/>
      <c r="CT61" s="166"/>
      <c r="CU61" s="166"/>
      <c r="CV61" s="166"/>
      <c r="CW61" s="166"/>
      <c r="CX61" s="166"/>
      <c r="CY61" s="166"/>
      <c r="CZ61" s="166"/>
      <c r="DA61" s="166"/>
      <c r="DB61" s="166"/>
      <c r="DC61" s="166"/>
      <c r="DD61" s="166"/>
      <c r="DE61" s="166"/>
      <c r="DF61" s="166"/>
    </row>
    <row r="62" customFormat="false" ht="15" hidden="false" customHeight="true" outlineLevel="0" collapsed="false">
      <c r="A62" s="140"/>
      <c r="C62" s="125"/>
      <c r="D62" s="125"/>
      <c r="E62" s="125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CZ62" s="166"/>
      <c r="DA62" s="166"/>
      <c r="DB62" s="166"/>
      <c r="DC62" s="166"/>
      <c r="DD62" s="166"/>
      <c r="DE62" s="166"/>
      <c r="DF62" s="166"/>
    </row>
    <row r="63" customFormat="false" ht="15" hidden="false" customHeight="true" outlineLevel="0" collapsed="false">
      <c r="A63" s="140" t="s">
        <v>114</v>
      </c>
      <c r="C63" s="125" t="n">
        <v>0</v>
      </c>
      <c r="D63" s="125" t="n">
        <v>0</v>
      </c>
      <c r="E63" s="125" t="n">
        <v>0</v>
      </c>
      <c r="F63" s="166" t="n">
        <v>0</v>
      </c>
      <c r="G63" s="166" t="n">
        <v>0</v>
      </c>
      <c r="H63" s="166" t="n">
        <v>0</v>
      </c>
      <c r="I63" s="166" t="n">
        <v>0</v>
      </c>
      <c r="J63" s="166" t="n">
        <v>0</v>
      </c>
      <c r="K63" s="166" t="n">
        <v>0</v>
      </c>
      <c r="L63" s="166" t="n">
        <v>0</v>
      </c>
      <c r="M63" s="166" t="n">
        <v>0</v>
      </c>
      <c r="N63" s="166" t="n">
        <v>0</v>
      </c>
      <c r="O63" s="166" t="n">
        <v>0</v>
      </c>
      <c r="P63" s="166" t="n">
        <v>0</v>
      </c>
      <c r="Q63" s="166" t="n">
        <v>0</v>
      </c>
      <c r="R63" s="166" t="n">
        <v>0</v>
      </c>
      <c r="S63" s="166" t="n">
        <v>0</v>
      </c>
      <c r="T63" s="166" t="n">
        <v>0</v>
      </c>
      <c r="U63" s="166" t="n">
        <v>0</v>
      </c>
      <c r="V63" s="166" t="n">
        <v>0</v>
      </c>
      <c r="W63" s="166" t="n">
        <v>0</v>
      </c>
      <c r="X63" s="166" t="n">
        <v>0</v>
      </c>
      <c r="Y63" s="166" t="n">
        <v>0</v>
      </c>
      <c r="Z63" s="166" t="n">
        <v>0</v>
      </c>
      <c r="AA63" s="166" t="n">
        <v>0</v>
      </c>
      <c r="AB63" s="166" t="n">
        <v>0</v>
      </c>
      <c r="AC63" s="166" t="n">
        <v>0</v>
      </c>
      <c r="AD63" s="166" t="n">
        <v>0</v>
      </c>
      <c r="AE63" s="166" t="n">
        <v>0</v>
      </c>
      <c r="AF63" s="166" t="n">
        <v>0</v>
      </c>
      <c r="AG63" s="166" t="n">
        <v>0</v>
      </c>
      <c r="AH63" s="166" t="n">
        <v>0</v>
      </c>
      <c r="AI63" s="166" t="n">
        <v>0</v>
      </c>
      <c r="AJ63" s="166" t="n">
        <v>0</v>
      </c>
      <c r="AK63" s="166" t="n">
        <v>0</v>
      </c>
      <c r="AL63" s="166" t="n">
        <v>0</v>
      </c>
      <c r="AM63" s="166" t="n">
        <v>0</v>
      </c>
      <c r="AN63" s="166" t="n">
        <v>0</v>
      </c>
      <c r="AO63" s="166" t="n">
        <v>0</v>
      </c>
      <c r="AP63" s="166" t="n">
        <v>0</v>
      </c>
      <c r="AQ63" s="166" t="n">
        <v>0</v>
      </c>
      <c r="AR63" s="166" t="n">
        <v>0</v>
      </c>
      <c r="AS63" s="166" t="n">
        <v>0</v>
      </c>
      <c r="AT63" s="166" t="n">
        <v>0</v>
      </c>
      <c r="AU63" s="166" t="n">
        <v>0</v>
      </c>
      <c r="AV63" s="166" t="n">
        <v>0</v>
      </c>
      <c r="AW63" s="166" t="n">
        <v>0</v>
      </c>
      <c r="AX63" s="166" t="n">
        <v>0</v>
      </c>
      <c r="AY63" s="166" t="n">
        <v>0</v>
      </c>
      <c r="AZ63" s="166" t="n">
        <v>0</v>
      </c>
      <c r="BA63" s="166" t="n">
        <v>0</v>
      </c>
      <c r="BB63" s="166" t="n">
        <v>0</v>
      </c>
      <c r="BC63" s="166" t="n">
        <v>0</v>
      </c>
      <c r="BD63" s="166" t="n">
        <v>0</v>
      </c>
      <c r="BE63" s="166" t="n">
        <v>0</v>
      </c>
      <c r="BF63" s="166" t="n">
        <v>0</v>
      </c>
      <c r="BG63" s="166" t="n">
        <v>0</v>
      </c>
      <c r="BH63" s="166" t="n">
        <v>0</v>
      </c>
      <c r="BI63" s="166" t="n">
        <v>0</v>
      </c>
      <c r="BJ63" s="166" t="n">
        <v>0</v>
      </c>
      <c r="BK63" s="166" t="n">
        <v>0</v>
      </c>
      <c r="BL63" s="166" t="n">
        <v>0</v>
      </c>
      <c r="BM63" s="166" t="n">
        <v>0</v>
      </c>
      <c r="BN63" s="166" t="n">
        <v>0</v>
      </c>
      <c r="BO63" s="166" t="n">
        <v>0</v>
      </c>
      <c r="BP63" s="166" t="n">
        <v>0</v>
      </c>
      <c r="BQ63" s="166" t="n">
        <v>0</v>
      </c>
      <c r="BR63" s="166" t="n">
        <v>0</v>
      </c>
      <c r="BS63" s="166" t="n">
        <v>0</v>
      </c>
      <c r="BT63" s="166" t="n">
        <v>0</v>
      </c>
      <c r="BU63" s="166" t="n">
        <v>0</v>
      </c>
      <c r="BV63" s="166" t="n">
        <v>0</v>
      </c>
      <c r="BW63" s="166" t="n">
        <v>0</v>
      </c>
      <c r="BX63" s="166" t="n">
        <v>0</v>
      </c>
      <c r="BY63" s="166" t="n">
        <v>0</v>
      </c>
      <c r="BZ63" s="166" t="n">
        <v>0</v>
      </c>
      <c r="CA63" s="166" t="n">
        <v>0</v>
      </c>
      <c r="CB63" s="166" t="n">
        <v>0</v>
      </c>
      <c r="CC63" s="166" t="n">
        <v>0</v>
      </c>
      <c r="CD63" s="166" t="n">
        <v>0</v>
      </c>
      <c r="CE63" s="166" t="n">
        <v>0</v>
      </c>
      <c r="CF63" s="166" t="n">
        <v>0</v>
      </c>
      <c r="CG63" s="166" t="n">
        <v>0</v>
      </c>
      <c r="CH63" s="166" t="n">
        <v>0</v>
      </c>
      <c r="CI63" s="166" t="n">
        <v>0</v>
      </c>
      <c r="CJ63" s="166" t="n">
        <v>0</v>
      </c>
      <c r="CK63" s="166" t="n">
        <v>0</v>
      </c>
      <c r="CL63" s="166" t="n">
        <v>0</v>
      </c>
      <c r="CM63" s="166" t="n">
        <v>0</v>
      </c>
      <c r="CN63" s="166" t="n">
        <v>0</v>
      </c>
      <c r="CO63" s="166" t="n">
        <v>0</v>
      </c>
      <c r="CP63" s="166" t="n">
        <v>0</v>
      </c>
      <c r="CQ63" s="166" t="n">
        <v>0</v>
      </c>
      <c r="CR63" s="166" t="n">
        <v>0</v>
      </c>
      <c r="CS63" s="166" t="n">
        <v>0</v>
      </c>
      <c r="CT63" s="166" t="n">
        <v>0</v>
      </c>
      <c r="CU63" s="166" t="n">
        <v>0</v>
      </c>
      <c r="CV63" s="166" t="n">
        <v>0</v>
      </c>
      <c r="CW63" s="166" t="n">
        <v>0</v>
      </c>
      <c r="CX63" s="166" t="n">
        <v>0</v>
      </c>
      <c r="CY63" s="166" t="n">
        <v>0</v>
      </c>
      <c r="CZ63" s="166" t="n">
        <v>0</v>
      </c>
      <c r="DA63" s="166" t="n">
        <v>0</v>
      </c>
      <c r="DB63" s="166" t="n">
        <v>0</v>
      </c>
      <c r="DC63" s="166" t="n">
        <v>0</v>
      </c>
      <c r="DD63" s="166" t="n">
        <v>0</v>
      </c>
      <c r="DE63" s="166" t="n">
        <v>0</v>
      </c>
      <c r="DF63" s="166" t="n">
        <v>0</v>
      </c>
    </row>
    <row r="64" customFormat="false" ht="15" hidden="false" customHeight="true" outlineLevel="0" collapsed="false">
      <c r="A64" s="140" t="s">
        <v>97</v>
      </c>
      <c r="C64" s="125" t="n">
        <v>833.33</v>
      </c>
      <c r="D64" s="125" t="n">
        <v>833.33</v>
      </c>
      <c r="E64" s="125" t="n">
        <v>833.33</v>
      </c>
      <c r="F64" s="166" t="n">
        <v>833.33</v>
      </c>
      <c r="G64" s="166" t="n">
        <v>833.33</v>
      </c>
      <c r="H64" s="166" t="n">
        <v>833.33</v>
      </c>
      <c r="I64" s="166" t="n">
        <v>833.33</v>
      </c>
      <c r="J64" s="166" t="n">
        <v>833.33</v>
      </c>
      <c r="K64" s="166" t="n">
        <v>0</v>
      </c>
      <c r="L64" s="166" t="n">
        <v>0</v>
      </c>
      <c r="M64" s="166" t="n">
        <v>0</v>
      </c>
      <c r="N64" s="166" t="n">
        <v>0</v>
      </c>
      <c r="O64" s="166" t="n">
        <v>0</v>
      </c>
      <c r="P64" s="166" t="n">
        <v>0</v>
      </c>
      <c r="Q64" s="166" t="n">
        <v>0</v>
      </c>
      <c r="R64" s="166" t="n">
        <v>0</v>
      </c>
      <c r="S64" s="166" t="n">
        <v>0</v>
      </c>
      <c r="T64" s="166" t="n">
        <v>0</v>
      </c>
      <c r="U64" s="166" t="n">
        <v>0</v>
      </c>
      <c r="V64" s="166" t="n">
        <v>0</v>
      </c>
      <c r="W64" s="166" t="n">
        <v>0</v>
      </c>
      <c r="X64" s="166" t="n">
        <v>0</v>
      </c>
      <c r="Y64" s="166" t="n">
        <v>0</v>
      </c>
      <c r="Z64" s="166" t="n">
        <v>0</v>
      </c>
      <c r="AA64" s="166" t="n">
        <v>0</v>
      </c>
      <c r="AB64" s="166" t="n">
        <v>0</v>
      </c>
      <c r="AC64" s="166" t="n">
        <v>0</v>
      </c>
      <c r="AD64" s="166" t="n">
        <v>0</v>
      </c>
      <c r="AE64" s="166" t="n">
        <v>0</v>
      </c>
      <c r="AF64" s="166" t="n">
        <v>0</v>
      </c>
      <c r="AG64" s="166" t="n">
        <v>0</v>
      </c>
      <c r="AH64" s="166" t="n">
        <v>0</v>
      </c>
      <c r="AI64" s="166" t="n">
        <v>0</v>
      </c>
      <c r="AJ64" s="166" t="n">
        <v>0</v>
      </c>
      <c r="AK64" s="166" t="n">
        <v>0</v>
      </c>
      <c r="AL64" s="166" t="n">
        <v>0</v>
      </c>
      <c r="AM64" s="166" t="n">
        <v>0</v>
      </c>
      <c r="AN64" s="166" t="n">
        <v>0</v>
      </c>
      <c r="AO64" s="166" t="n">
        <v>0</v>
      </c>
      <c r="AP64" s="166" t="n">
        <v>0</v>
      </c>
      <c r="AQ64" s="166" t="n">
        <v>0</v>
      </c>
      <c r="AR64" s="166" t="n">
        <v>0</v>
      </c>
      <c r="AS64" s="166" t="n">
        <v>0</v>
      </c>
      <c r="AT64" s="166" t="n">
        <v>0</v>
      </c>
      <c r="AU64" s="166" t="n">
        <v>0</v>
      </c>
      <c r="AV64" s="166" t="n">
        <v>0</v>
      </c>
      <c r="AW64" s="166" t="n">
        <v>0</v>
      </c>
      <c r="AX64" s="166" t="n">
        <v>0</v>
      </c>
      <c r="AY64" s="166" t="n">
        <v>0</v>
      </c>
      <c r="AZ64" s="166" t="n">
        <v>0</v>
      </c>
      <c r="BA64" s="166" t="n">
        <v>0</v>
      </c>
      <c r="BB64" s="166" t="n">
        <v>0</v>
      </c>
      <c r="BC64" s="166" t="n">
        <v>0</v>
      </c>
      <c r="BD64" s="166" t="n">
        <v>0</v>
      </c>
      <c r="BE64" s="166" t="n">
        <v>0</v>
      </c>
      <c r="BF64" s="166" t="n">
        <v>0</v>
      </c>
      <c r="BG64" s="166" t="n">
        <v>0</v>
      </c>
      <c r="BH64" s="166" t="n">
        <v>0</v>
      </c>
      <c r="BI64" s="166" t="n">
        <v>0</v>
      </c>
      <c r="BJ64" s="166" t="n">
        <v>0</v>
      </c>
      <c r="BK64" s="166" t="n">
        <v>0</v>
      </c>
      <c r="BL64" s="166" t="n">
        <v>0</v>
      </c>
      <c r="BM64" s="166" t="n">
        <v>0</v>
      </c>
      <c r="BN64" s="166" t="n">
        <v>0</v>
      </c>
      <c r="BO64" s="166" t="n">
        <v>0</v>
      </c>
      <c r="BP64" s="166" t="n">
        <v>0</v>
      </c>
      <c r="BQ64" s="166" t="n">
        <v>0</v>
      </c>
      <c r="BR64" s="166" t="n">
        <v>0</v>
      </c>
      <c r="BS64" s="166" t="n">
        <v>0</v>
      </c>
      <c r="BT64" s="166" t="n">
        <v>0</v>
      </c>
      <c r="BU64" s="166" t="n">
        <v>0</v>
      </c>
      <c r="BV64" s="166" t="n">
        <v>0</v>
      </c>
      <c r="BW64" s="166" t="n">
        <v>0</v>
      </c>
      <c r="BX64" s="166" t="n">
        <v>0</v>
      </c>
      <c r="BY64" s="166" t="n">
        <v>0</v>
      </c>
      <c r="BZ64" s="166" t="n">
        <v>0</v>
      </c>
      <c r="CA64" s="166" t="n">
        <v>0</v>
      </c>
      <c r="CB64" s="166" t="n">
        <v>0</v>
      </c>
      <c r="CC64" s="166" t="n">
        <v>0</v>
      </c>
      <c r="CD64" s="166" t="n">
        <v>0</v>
      </c>
      <c r="CE64" s="166" t="n">
        <v>0</v>
      </c>
      <c r="CF64" s="166" t="n">
        <v>0</v>
      </c>
      <c r="CG64" s="166" t="n">
        <v>0</v>
      </c>
      <c r="CH64" s="166" t="n">
        <v>0</v>
      </c>
      <c r="CI64" s="166" t="n">
        <v>0</v>
      </c>
      <c r="CJ64" s="166" t="n">
        <v>0</v>
      </c>
      <c r="CK64" s="166" t="n">
        <v>0</v>
      </c>
      <c r="CL64" s="166" t="n">
        <v>0</v>
      </c>
      <c r="CM64" s="166" t="n">
        <v>0</v>
      </c>
      <c r="CN64" s="166" t="n">
        <v>0</v>
      </c>
      <c r="CO64" s="166" t="n">
        <v>0</v>
      </c>
      <c r="CP64" s="166" t="n">
        <v>0</v>
      </c>
      <c r="CQ64" s="166" t="n">
        <v>0</v>
      </c>
      <c r="CR64" s="166" t="n">
        <v>0</v>
      </c>
      <c r="CS64" s="166" t="n">
        <v>0</v>
      </c>
      <c r="CT64" s="166" t="n">
        <v>0</v>
      </c>
      <c r="CU64" s="166" t="n">
        <v>0</v>
      </c>
      <c r="CV64" s="166" t="n">
        <v>0</v>
      </c>
      <c r="CW64" s="166" t="n">
        <v>0</v>
      </c>
      <c r="CX64" s="166" t="n">
        <v>0</v>
      </c>
      <c r="CY64" s="166" t="n">
        <v>0</v>
      </c>
      <c r="CZ64" s="166" t="n">
        <v>0</v>
      </c>
      <c r="DA64" s="166" t="n">
        <v>0</v>
      </c>
      <c r="DB64" s="166" t="n">
        <v>0</v>
      </c>
      <c r="DC64" s="166" t="n">
        <v>0</v>
      </c>
      <c r="DD64" s="166" t="n">
        <v>0</v>
      </c>
      <c r="DE64" s="166" t="n">
        <v>0</v>
      </c>
      <c r="DF64" s="166" t="n">
        <v>0</v>
      </c>
    </row>
    <row r="65" customFormat="false" ht="15" hidden="false" customHeight="true" outlineLevel="0" collapsed="false">
      <c r="A65" s="140" t="s">
        <v>98</v>
      </c>
      <c r="C65" s="125" t="n">
        <v>23906.25</v>
      </c>
      <c r="D65" s="125" t="n">
        <v>23906.25</v>
      </c>
      <c r="E65" s="125" t="n">
        <v>23906.25</v>
      </c>
      <c r="F65" s="166" t="n">
        <v>23906.25</v>
      </c>
      <c r="G65" s="166" t="n">
        <v>23906.25</v>
      </c>
      <c r="H65" s="166" t="n">
        <v>23906.25</v>
      </c>
      <c r="I65" s="166" t="n">
        <v>23906.25</v>
      </c>
      <c r="J65" s="166" t="n">
        <v>23906.25</v>
      </c>
      <c r="K65" s="166" t="n">
        <v>23906.25</v>
      </c>
      <c r="L65" s="166" t="n">
        <v>23906.25</v>
      </c>
      <c r="M65" s="166" t="n">
        <v>23906.25</v>
      </c>
      <c r="N65" s="166" t="n">
        <v>23906.25</v>
      </c>
      <c r="O65" s="166" t="n">
        <v>23906.25</v>
      </c>
      <c r="P65" s="166" t="n">
        <v>23906.25</v>
      </c>
      <c r="Q65" s="166" t="n">
        <v>23906.25</v>
      </c>
      <c r="R65" s="166" t="n">
        <v>23906.25</v>
      </c>
      <c r="S65" s="166" t="n">
        <v>23906.25</v>
      </c>
      <c r="T65" s="166" t="n">
        <v>23906.25</v>
      </c>
      <c r="U65" s="166" t="n">
        <v>0</v>
      </c>
      <c r="V65" s="166" t="n">
        <v>0</v>
      </c>
      <c r="W65" s="166" t="n">
        <v>0</v>
      </c>
      <c r="X65" s="166" t="n">
        <v>0</v>
      </c>
      <c r="Y65" s="166" t="n">
        <v>0</v>
      </c>
      <c r="Z65" s="166" t="n">
        <v>0</v>
      </c>
      <c r="AA65" s="166" t="n">
        <v>0</v>
      </c>
      <c r="AB65" s="166" t="n">
        <v>0</v>
      </c>
      <c r="AC65" s="166" t="n">
        <v>0</v>
      </c>
      <c r="AD65" s="166" t="n">
        <v>0</v>
      </c>
      <c r="AE65" s="166" t="n">
        <v>0</v>
      </c>
      <c r="AF65" s="166" t="n">
        <v>0</v>
      </c>
      <c r="AG65" s="166" t="n">
        <v>0</v>
      </c>
      <c r="AH65" s="166" t="n">
        <v>0</v>
      </c>
      <c r="AI65" s="166" t="n">
        <v>0</v>
      </c>
      <c r="AJ65" s="166" t="n">
        <v>0</v>
      </c>
      <c r="AK65" s="166" t="n">
        <v>0</v>
      </c>
      <c r="AL65" s="166" t="n">
        <v>0</v>
      </c>
      <c r="AM65" s="166" t="n">
        <v>0</v>
      </c>
      <c r="AN65" s="166" t="n">
        <v>0</v>
      </c>
      <c r="AO65" s="166" t="n">
        <v>0</v>
      </c>
      <c r="AP65" s="166" t="n">
        <v>0</v>
      </c>
      <c r="AQ65" s="166" t="n">
        <v>0</v>
      </c>
      <c r="AR65" s="166" t="n">
        <v>0</v>
      </c>
      <c r="AS65" s="166" t="n">
        <v>0</v>
      </c>
      <c r="AT65" s="166" t="n">
        <v>0</v>
      </c>
      <c r="AU65" s="166" t="n">
        <v>0</v>
      </c>
      <c r="AV65" s="166" t="n">
        <v>0</v>
      </c>
      <c r="AW65" s="166" t="n">
        <v>0</v>
      </c>
      <c r="AX65" s="166" t="n">
        <v>0</v>
      </c>
      <c r="AY65" s="166" t="n">
        <v>0</v>
      </c>
      <c r="AZ65" s="166" t="n">
        <v>0</v>
      </c>
      <c r="BA65" s="166" t="n">
        <v>0</v>
      </c>
      <c r="BB65" s="166" t="n">
        <v>0</v>
      </c>
      <c r="BC65" s="166" t="n">
        <v>0</v>
      </c>
      <c r="BD65" s="166" t="n">
        <v>0</v>
      </c>
      <c r="BE65" s="166" t="n">
        <v>0</v>
      </c>
      <c r="BF65" s="166" t="n">
        <v>0</v>
      </c>
      <c r="BG65" s="166" t="n">
        <v>0</v>
      </c>
      <c r="BH65" s="166" t="n">
        <v>0</v>
      </c>
      <c r="BI65" s="166" t="n">
        <v>0</v>
      </c>
      <c r="BJ65" s="166" t="n">
        <v>0</v>
      </c>
      <c r="BK65" s="166" t="n">
        <v>0</v>
      </c>
      <c r="BL65" s="166" t="n">
        <v>0</v>
      </c>
      <c r="BM65" s="166" t="n">
        <v>0</v>
      </c>
      <c r="BN65" s="166" t="n">
        <v>0</v>
      </c>
      <c r="BO65" s="166" t="n">
        <v>0</v>
      </c>
      <c r="BP65" s="166" t="n">
        <v>0</v>
      </c>
      <c r="BQ65" s="166" t="n">
        <v>0</v>
      </c>
      <c r="BR65" s="166" t="n">
        <v>0</v>
      </c>
      <c r="BS65" s="166" t="n">
        <v>0</v>
      </c>
      <c r="BT65" s="166" t="n">
        <v>0</v>
      </c>
      <c r="BU65" s="166" t="n">
        <v>0</v>
      </c>
      <c r="BV65" s="166" t="n">
        <v>0</v>
      </c>
      <c r="BW65" s="166" t="n">
        <v>0</v>
      </c>
      <c r="BX65" s="166" t="n">
        <v>0</v>
      </c>
      <c r="BY65" s="166" t="n">
        <v>0</v>
      </c>
      <c r="BZ65" s="166" t="n">
        <v>0</v>
      </c>
      <c r="CA65" s="166" t="n">
        <v>0</v>
      </c>
      <c r="CB65" s="166" t="n">
        <v>0</v>
      </c>
      <c r="CC65" s="166" t="n">
        <v>0</v>
      </c>
      <c r="CD65" s="166" t="n">
        <v>0</v>
      </c>
      <c r="CE65" s="166" t="n">
        <v>0</v>
      </c>
      <c r="CF65" s="166" t="n">
        <v>0</v>
      </c>
      <c r="CG65" s="166" t="n">
        <v>0</v>
      </c>
      <c r="CH65" s="166" t="n">
        <v>0</v>
      </c>
      <c r="CI65" s="166" t="n">
        <v>0</v>
      </c>
      <c r="CJ65" s="166" t="n">
        <v>0</v>
      </c>
      <c r="CK65" s="166" t="n">
        <v>0</v>
      </c>
      <c r="CL65" s="166" t="n">
        <v>0</v>
      </c>
      <c r="CM65" s="166" t="n">
        <v>0</v>
      </c>
      <c r="CN65" s="166" t="n">
        <v>0</v>
      </c>
      <c r="CO65" s="166" t="n">
        <v>0</v>
      </c>
      <c r="CP65" s="166" t="n">
        <v>0</v>
      </c>
      <c r="CQ65" s="166" t="n">
        <v>0</v>
      </c>
      <c r="CR65" s="166" t="n">
        <v>0</v>
      </c>
      <c r="CS65" s="166" t="n">
        <v>0</v>
      </c>
      <c r="CT65" s="166" t="n">
        <v>0</v>
      </c>
      <c r="CU65" s="166" t="n">
        <v>0</v>
      </c>
      <c r="CV65" s="166" t="n">
        <v>0</v>
      </c>
      <c r="CW65" s="166" t="n">
        <v>0</v>
      </c>
      <c r="CX65" s="166" t="n">
        <v>0</v>
      </c>
      <c r="CY65" s="166" t="n">
        <v>0</v>
      </c>
      <c r="CZ65" s="166" t="n">
        <v>0</v>
      </c>
      <c r="DA65" s="166" t="n">
        <v>0</v>
      </c>
      <c r="DB65" s="166" t="n">
        <v>0</v>
      </c>
      <c r="DC65" s="166" t="n">
        <v>0</v>
      </c>
      <c r="DD65" s="166" t="n">
        <v>0</v>
      </c>
      <c r="DE65" s="166" t="n">
        <v>0</v>
      </c>
      <c r="DF65" s="166" t="n">
        <v>0</v>
      </c>
    </row>
    <row r="66" customFormat="false" ht="15" hidden="false" customHeight="true" outlineLevel="0" collapsed="false">
      <c r="A66" s="140" t="s">
        <v>99</v>
      </c>
      <c r="C66" s="125" t="n">
        <v>0</v>
      </c>
      <c r="D66" s="125" t="n">
        <v>0</v>
      </c>
      <c r="E66" s="125" t="n">
        <v>0</v>
      </c>
      <c r="F66" s="166" t="n">
        <v>0</v>
      </c>
      <c r="G66" s="166" t="n">
        <v>0</v>
      </c>
      <c r="H66" s="166" t="n">
        <v>0</v>
      </c>
      <c r="I66" s="166" t="n">
        <v>0</v>
      </c>
      <c r="J66" s="166" t="n">
        <v>0</v>
      </c>
      <c r="K66" s="166" t="n">
        <v>0</v>
      </c>
      <c r="L66" s="166" t="n">
        <v>0</v>
      </c>
      <c r="M66" s="166" t="n">
        <v>0</v>
      </c>
      <c r="N66" s="166" t="n">
        <v>0</v>
      </c>
      <c r="O66" s="166" t="n">
        <v>0</v>
      </c>
      <c r="P66" s="166" t="n">
        <v>0</v>
      </c>
      <c r="Q66" s="166" t="n">
        <v>0</v>
      </c>
      <c r="R66" s="166" t="n">
        <v>0</v>
      </c>
      <c r="S66" s="166" t="n">
        <v>0</v>
      </c>
      <c r="T66" s="166" t="n">
        <v>0</v>
      </c>
      <c r="U66" s="166" t="n">
        <v>0</v>
      </c>
      <c r="V66" s="166" t="n">
        <v>0</v>
      </c>
      <c r="W66" s="166" t="n">
        <v>0</v>
      </c>
      <c r="X66" s="166" t="n">
        <v>0</v>
      </c>
      <c r="Y66" s="166" t="n">
        <v>0</v>
      </c>
      <c r="Z66" s="166" t="n">
        <v>57375</v>
      </c>
      <c r="AA66" s="166" t="n">
        <v>0</v>
      </c>
      <c r="AB66" s="166" t="n">
        <v>0</v>
      </c>
      <c r="AC66" s="166" t="n">
        <v>0</v>
      </c>
      <c r="AD66" s="166" t="n">
        <v>0</v>
      </c>
      <c r="AE66" s="166" t="n">
        <v>0</v>
      </c>
      <c r="AF66" s="166" t="n">
        <v>0</v>
      </c>
      <c r="AG66" s="166" t="n">
        <v>0</v>
      </c>
      <c r="AH66" s="166" t="n">
        <v>0</v>
      </c>
      <c r="AI66" s="166" t="n">
        <v>0</v>
      </c>
      <c r="AJ66" s="166" t="n">
        <v>0</v>
      </c>
      <c r="AK66" s="166" t="n">
        <v>0</v>
      </c>
      <c r="AL66" s="166" t="n">
        <v>0</v>
      </c>
      <c r="AM66" s="166" t="n">
        <v>0</v>
      </c>
      <c r="AN66" s="166" t="n">
        <v>0</v>
      </c>
      <c r="AO66" s="166" t="n">
        <v>0</v>
      </c>
      <c r="AP66" s="166" t="n">
        <v>0</v>
      </c>
      <c r="AQ66" s="166" t="n">
        <v>0</v>
      </c>
      <c r="AR66" s="166" t="n">
        <v>0</v>
      </c>
      <c r="AS66" s="166" t="n">
        <v>0</v>
      </c>
      <c r="AT66" s="166" t="n">
        <v>0</v>
      </c>
      <c r="AU66" s="166" t="n">
        <v>0</v>
      </c>
      <c r="AV66" s="166" t="n">
        <v>0</v>
      </c>
      <c r="AW66" s="166" t="n">
        <v>0</v>
      </c>
      <c r="AX66" s="166" t="n">
        <v>0</v>
      </c>
      <c r="AY66" s="166" t="n">
        <v>0</v>
      </c>
      <c r="AZ66" s="166" t="n">
        <v>0</v>
      </c>
      <c r="BA66" s="166" t="n">
        <v>0</v>
      </c>
      <c r="BB66" s="166" t="n">
        <v>0</v>
      </c>
      <c r="BC66" s="166" t="n">
        <v>0</v>
      </c>
      <c r="BD66" s="166" t="n">
        <v>0</v>
      </c>
      <c r="BE66" s="166" t="n">
        <v>0</v>
      </c>
      <c r="BF66" s="166" t="n">
        <v>0</v>
      </c>
      <c r="BG66" s="166" t="n">
        <v>0</v>
      </c>
      <c r="BH66" s="166" t="n">
        <v>0</v>
      </c>
      <c r="BI66" s="166" t="n">
        <v>0</v>
      </c>
      <c r="BJ66" s="166" t="n">
        <v>0</v>
      </c>
      <c r="BK66" s="166" t="n">
        <v>0</v>
      </c>
      <c r="BL66" s="166" t="n">
        <v>0</v>
      </c>
      <c r="BM66" s="166" t="n">
        <v>0</v>
      </c>
      <c r="BN66" s="166" t="n">
        <v>0</v>
      </c>
      <c r="BO66" s="166" t="n">
        <v>0</v>
      </c>
      <c r="BP66" s="166" t="n">
        <v>0</v>
      </c>
      <c r="BQ66" s="166" t="n">
        <v>0</v>
      </c>
      <c r="BR66" s="166" t="n">
        <v>0</v>
      </c>
      <c r="BS66" s="166" t="n">
        <v>0</v>
      </c>
      <c r="BT66" s="166" t="n">
        <v>0</v>
      </c>
      <c r="BU66" s="166" t="n">
        <v>0</v>
      </c>
      <c r="BV66" s="166" t="n">
        <v>0</v>
      </c>
      <c r="BW66" s="166" t="n">
        <v>0</v>
      </c>
      <c r="BX66" s="166" t="n">
        <v>0</v>
      </c>
      <c r="BY66" s="166" t="n">
        <v>0</v>
      </c>
      <c r="BZ66" s="166" t="n">
        <v>0</v>
      </c>
      <c r="CA66" s="166" t="n">
        <v>0</v>
      </c>
      <c r="CB66" s="166" t="n">
        <v>0</v>
      </c>
      <c r="CC66" s="166" t="n">
        <v>0</v>
      </c>
      <c r="CD66" s="166" t="n">
        <v>0</v>
      </c>
      <c r="CE66" s="166" t="n">
        <v>0</v>
      </c>
      <c r="CF66" s="166" t="n">
        <v>0</v>
      </c>
      <c r="CG66" s="166" t="n">
        <v>0</v>
      </c>
      <c r="CH66" s="166" t="n">
        <v>0</v>
      </c>
      <c r="CI66" s="166" t="n">
        <v>0</v>
      </c>
      <c r="CJ66" s="166" t="n">
        <v>0</v>
      </c>
      <c r="CK66" s="166" t="n">
        <v>0</v>
      </c>
      <c r="CL66" s="166" t="n">
        <v>0</v>
      </c>
      <c r="CM66" s="166" t="n">
        <v>0</v>
      </c>
      <c r="CN66" s="166" t="n">
        <v>0</v>
      </c>
      <c r="CO66" s="166" t="n">
        <v>0</v>
      </c>
      <c r="CP66" s="166" t="n">
        <v>0</v>
      </c>
      <c r="CQ66" s="166" t="n">
        <v>0</v>
      </c>
      <c r="CR66" s="166" t="n">
        <v>0</v>
      </c>
      <c r="CS66" s="166" t="n">
        <v>0</v>
      </c>
      <c r="CT66" s="166" t="n">
        <v>0</v>
      </c>
      <c r="CU66" s="166" t="n">
        <v>0</v>
      </c>
      <c r="CV66" s="166" t="n">
        <v>0</v>
      </c>
      <c r="CW66" s="166" t="n">
        <v>0</v>
      </c>
      <c r="CX66" s="166" t="n">
        <v>0</v>
      </c>
      <c r="CY66" s="166" t="n">
        <v>0</v>
      </c>
      <c r="CZ66" s="166" t="n">
        <v>0</v>
      </c>
      <c r="DA66" s="166" t="n">
        <v>0</v>
      </c>
      <c r="DB66" s="166" t="n">
        <v>0</v>
      </c>
      <c r="DC66" s="166" t="n">
        <v>0</v>
      </c>
      <c r="DD66" s="166" t="n">
        <v>0</v>
      </c>
      <c r="DE66" s="166" t="n">
        <v>0</v>
      </c>
      <c r="DF66" s="166" t="n">
        <v>0</v>
      </c>
    </row>
    <row r="67" customFormat="false" ht="15" hidden="false" customHeight="true" outlineLevel="0" collapsed="false">
      <c r="A67" s="140" t="s">
        <v>100</v>
      </c>
      <c r="C67" s="125" t="n">
        <v>0</v>
      </c>
      <c r="D67" s="125" t="n">
        <v>0</v>
      </c>
      <c r="E67" s="125" t="n">
        <v>0</v>
      </c>
      <c r="F67" s="166" t="n">
        <v>0</v>
      </c>
      <c r="G67" s="166" t="n">
        <v>0</v>
      </c>
      <c r="H67" s="166" t="n">
        <v>0</v>
      </c>
      <c r="I67" s="166" t="n">
        <v>0</v>
      </c>
      <c r="J67" s="166" t="n">
        <v>0</v>
      </c>
      <c r="K67" s="166" t="n">
        <v>0</v>
      </c>
      <c r="L67" s="166" t="n">
        <v>0</v>
      </c>
      <c r="M67" s="166" t="n">
        <v>0</v>
      </c>
      <c r="N67" s="166" t="n">
        <v>0</v>
      </c>
      <c r="O67" s="166" t="n">
        <v>0</v>
      </c>
      <c r="P67" s="166" t="n">
        <v>0</v>
      </c>
      <c r="Q67" s="166" t="n">
        <v>0</v>
      </c>
      <c r="R67" s="166" t="n">
        <v>0</v>
      </c>
      <c r="S67" s="166" t="n">
        <v>0</v>
      </c>
      <c r="T67" s="166" t="n">
        <v>0</v>
      </c>
      <c r="U67" s="166" t="n">
        <v>0</v>
      </c>
      <c r="V67" s="166" t="n">
        <v>0</v>
      </c>
      <c r="W67" s="166" t="n">
        <v>0</v>
      </c>
      <c r="X67" s="166" t="n">
        <v>0</v>
      </c>
      <c r="Y67" s="166" t="n">
        <v>0</v>
      </c>
      <c r="Z67" s="166" t="n">
        <v>0</v>
      </c>
      <c r="AA67" s="166" t="n">
        <v>0</v>
      </c>
      <c r="AB67" s="166" t="n">
        <v>0</v>
      </c>
      <c r="AC67" s="166" t="n">
        <v>57375</v>
      </c>
      <c r="AD67" s="166" t="n">
        <v>0</v>
      </c>
      <c r="AE67" s="166" t="n">
        <v>0</v>
      </c>
      <c r="AF67" s="166" t="n">
        <v>0</v>
      </c>
      <c r="AG67" s="166" t="n">
        <v>0</v>
      </c>
      <c r="AH67" s="166" t="n">
        <v>0</v>
      </c>
      <c r="AI67" s="166" t="n">
        <v>0</v>
      </c>
      <c r="AJ67" s="166" t="n">
        <v>0</v>
      </c>
      <c r="AK67" s="166" t="n">
        <v>0</v>
      </c>
      <c r="AL67" s="166" t="n">
        <v>0</v>
      </c>
      <c r="AM67" s="166" t="n">
        <v>0</v>
      </c>
      <c r="AN67" s="166" t="n">
        <v>0</v>
      </c>
      <c r="AO67" s="166" t="n">
        <v>0</v>
      </c>
      <c r="AP67" s="166" t="n">
        <v>0</v>
      </c>
      <c r="AQ67" s="166" t="n">
        <v>0</v>
      </c>
      <c r="AR67" s="166" t="n">
        <v>0</v>
      </c>
      <c r="AS67" s="166" t="n">
        <v>0</v>
      </c>
      <c r="AT67" s="166" t="n">
        <v>0</v>
      </c>
      <c r="AU67" s="166" t="n">
        <v>0</v>
      </c>
      <c r="AV67" s="166" t="n">
        <v>0</v>
      </c>
      <c r="AW67" s="166" t="n">
        <v>0</v>
      </c>
      <c r="AX67" s="166" t="n">
        <v>0</v>
      </c>
      <c r="AY67" s="166" t="n">
        <v>0</v>
      </c>
      <c r="AZ67" s="166" t="n">
        <v>0</v>
      </c>
      <c r="BA67" s="166" t="n">
        <v>0</v>
      </c>
      <c r="BB67" s="166" t="n">
        <v>0</v>
      </c>
      <c r="BC67" s="166" t="n">
        <v>0</v>
      </c>
      <c r="BD67" s="166" t="n">
        <v>0</v>
      </c>
      <c r="BE67" s="166" t="n">
        <v>0</v>
      </c>
      <c r="BF67" s="166" t="n">
        <v>0</v>
      </c>
      <c r="BG67" s="166" t="n">
        <v>0</v>
      </c>
      <c r="BH67" s="166" t="n">
        <v>0</v>
      </c>
      <c r="BI67" s="166" t="n">
        <v>0</v>
      </c>
      <c r="BJ67" s="166" t="n">
        <v>0</v>
      </c>
      <c r="BK67" s="166" t="n">
        <v>0</v>
      </c>
      <c r="BL67" s="166" t="n">
        <v>0</v>
      </c>
      <c r="BM67" s="166" t="n">
        <v>0</v>
      </c>
      <c r="BN67" s="166" t="n">
        <v>0</v>
      </c>
      <c r="BO67" s="166" t="n">
        <v>0</v>
      </c>
      <c r="BP67" s="166" t="n">
        <v>0</v>
      </c>
      <c r="BQ67" s="166" t="n">
        <v>0</v>
      </c>
      <c r="BR67" s="166" t="n">
        <v>0</v>
      </c>
      <c r="BS67" s="166" t="n">
        <v>0</v>
      </c>
      <c r="BT67" s="166" t="n">
        <v>0</v>
      </c>
      <c r="BU67" s="166" t="n">
        <v>0</v>
      </c>
      <c r="BV67" s="166" t="n">
        <v>0</v>
      </c>
      <c r="BW67" s="166" t="n">
        <v>0</v>
      </c>
      <c r="BX67" s="166" t="n">
        <v>0</v>
      </c>
      <c r="BY67" s="166" t="n">
        <v>0</v>
      </c>
      <c r="BZ67" s="166" t="n">
        <v>0</v>
      </c>
      <c r="CA67" s="166" t="n">
        <v>0</v>
      </c>
      <c r="CB67" s="166" t="n">
        <v>0</v>
      </c>
      <c r="CC67" s="166" t="n">
        <v>0</v>
      </c>
      <c r="CD67" s="166" t="n">
        <v>0</v>
      </c>
      <c r="CE67" s="166" t="n">
        <v>0</v>
      </c>
      <c r="CF67" s="166" t="n">
        <v>0</v>
      </c>
      <c r="CG67" s="166" t="n">
        <v>0</v>
      </c>
      <c r="CH67" s="166" t="n">
        <v>0</v>
      </c>
      <c r="CI67" s="166" t="n">
        <v>0</v>
      </c>
      <c r="CJ67" s="166" t="n">
        <v>0</v>
      </c>
      <c r="CK67" s="166" t="n">
        <v>0</v>
      </c>
      <c r="CL67" s="166" t="n">
        <v>0</v>
      </c>
      <c r="CM67" s="166" t="n">
        <v>0</v>
      </c>
      <c r="CN67" s="166" t="n">
        <v>0</v>
      </c>
      <c r="CO67" s="166" t="n">
        <v>0</v>
      </c>
      <c r="CP67" s="166" t="n">
        <v>0</v>
      </c>
      <c r="CQ67" s="166" t="n">
        <v>0</v>
      </c>
      <c r="CR67" s="166" t="n">
        <v>0</v>
      </c>
      <c r="CS67" s="166" t="n">
        <v>0</v>
      </c>
      <c r="CT67" s="166" t="n">
        <v>0</v>
      </c>
      <c r="CU67" s="166" t="n">
        <v>0</v>
      </c>
      <c r="CV67" s="166" t="n">
        <v>0</v>
      </c>
      <c r="CW67" s="166" t="n">
        <v>0</v>
      </c>
      <c r="CX67" s="166" t="n">
        <v>0</v>
      </c>
      <c r="CY67" s="166" t="n">
        <v>0</v>
      </c>
      <c r="CZ67" s="166" t="n">
        <v>0</v>
      </c>
      <c r="DA67" s="166" t="n">
        <v>0</v>
      </c>
      <c r="DB67" s="166" t="n">
        <v>0</v>
      </c>
      <c r="DC67" s="166" t="n">
        <v>0</v>
      </c>
      <c r="DD67" s="166" t="n">
        <v>0</v>
      </c>
      <c r="DE67" s="166" t="n">
        <v>0</v>
      </c>
      <c r="DF67" s="166" t="n">
        <v>0</v>
      </c>
    </row>
    <row r="68" customFormat="false" ht="15" hidden="false" customHeight="true" outlineLevel="0" collapsed="false">
      <c r="A68" s="140" t="s">
        <v>101</v>
      </c>
      <c r="C68" s="125" t="n">
        <v>0</v>
      </c>
      <c r="D68" s="125" t="n">
        <v>0</v>
      </c>
      <c r="E68" s="125" t="n">
        <v>0</v>
      </c>
      <c r="F68" s="166" t="n">
        <v>0</v>
      </c>
      <c r="G68" s="166" t="n">
        <v>0</v>
      </c>
      <c r="H68" s="166" t="n">
        <v>0</v>
      </c>
      <c r="I68" s="166" t="n">
        <v>0</v>
      </c>
      <c r="J68" s="166" t="n">
        <v>0</v>
      </c>
      <c r="K68" s="166" t="n">
        <v>0</v>
      </c>
      <c r="L68" s="166" t="n">
        <v>0</v>
      </c>
      <c r="M68" s="166" t="n">
        <v>0</v>
      </c>
      <c r="N68" s="166" t="n">
        <v>0</v>
      </c>
      <c r="O68" s="166" t="n">
        <v>0</v>
      </c>
      <c r="P68" s="166" t="n">
        <v>0</v>
      </c>
      <c r="Q68" s="166" t="n">
        <v>0</v>
      </c>
      <c r="R68" s="166" t="n">
        <v>0</v>
      </c>
      <c r="S68" s="166" t="n">
        <v>0</v>
      </c>
      <c r="T68" s="166" t="n">
        <v>0</v>
      </c>
      <c r="U68" s="166" t="n">
        <v>0</v>
      </c>
      <c r="V68" s="166" t="n">
        <v>0</v>
      </c>
      <c r="W68" s="166" t="n">
        <v>0</v>
      </c>
      <c r="X68" s="166" t="n">
        <v>0</v>
      </c>
      <c r="Y68" s="166" t="n">
        <v>0</v>
      </c>
      <c r="Z68" s="166" t="n">
        <v>0</v>
      </c>
      <c r="AA68" s="166" t="n">
        <v>0</v>
      </c>
      <c r="AB68" s="166" t="n">
        <v>0</v>
      </c>
      <c r="AC68" s="166" t="n">
        <v>0</v>
      </c>
      <c r="AD68" s="166" t="n">
        <v>0</v>
      </c>
      <c r="AE68" s="166" t="n">
        <v>0</v>
      </c>
      <c r="AF68" s="166" t="n">
        <v>57375</v>
      </c>
      <c r="AG68" s="166" t="n">
        <v>0</v>
      </c>
      <c r="AH68" s="166" t="n">
        <v>0</v>
      </c>
      <c r="AI68" s="166" t="n">
        <v>0</v>
      </c>
      <c r="AJ68" s="166" t="n">
        <v>0</v>
      </c>
      <c r="AK68" s="166" t="n">
        <v>0</v>
      </c>
      <c r="AL68" s="166" t="n">
        <v>0</v>
      </c>
      <c r="AM68" s="166" t="n">
        <v>0</v>
      </c>
      <c r="AN68" s="166" t="n">
        <v>0</v>
      </c>
      <c r="AO68" s="166" t="n">
        <v>0</v>
      </c>
      <c r="AP68" s="166" t="n">
        <v>0</v>
      </c>
      <c r="AQ68" s="166" t="n">
        <v>0</v>
      </c>
      <c r="AR68" s="166" t="n">
        <v>0</v>
      </c>
      <c r="AS68" s="166" t="n">
        <v>0</v>
      </c>
      <c r="AT68" s="166" t="n">
        <v>0</v>
      </c>
      <c r="AU68" s="166" t="n">
        <v>0</v>
      </c>
      <c r="AV68" s="166" t="n">
        <v>0</v>
      </c>
      <c r="AW68" s="166" t="n">
        <v>0</v>
      </c>
      <c r="AX68" s="166" t="n">
        <v>0</v>
      </c>
      <c r="AY68" s="166" t="n">
        <v>0</v>
      </c>
      <c r="AZ68" s="166" t="n">
        <v>0</v>
      </c>
      <c r="BA68" s="166" t="n">
        <v>0</v>
      </c>
      <c r="BB68" s="166" t="n">
        <v>0</v>
      </c>
      <c r="BC68" s="166" t="n">
        <v>0</v>
      </c>
      <c r="BD68" s="166" t="n">
        <v>0</v>
      </c>
      <c r="BE68" s="166" t="n">
        <v>0</v>
      </c>
      <c r="BF68" s="166" t="n">
        <v>0</v>
      </c>
      <c r="BG68" s="166" t="n">
        <v>0</v>
      </c>
      <c r="BH68" s="166" t="n">
        <v>0</v>
      </c>
      <c r="BI68" s="166" t="n">
        <v>0</v>
      </c>
      <c r="BJ68" s="166" t="n">
        <v>0</v>
      </c>
      <c r="BK68" s="166" t="n">
        <v>0</v>
      </c>
      <c r="BL68" s="166" t="n">
        <v>0</v>
      </c>
      <c r="BM68" s="166" t="n">
        <v>0</v>
      </c>
      <c r="BN68" s="166" t="n">
        <v>0</v>
      </c>
      <c r="BO68" s="166" t="n">
        <v>0</v>
      </c>
      <c r="BP68" s="166" t="n">
        <v>0</v>
      </c>
      <c r="BQ68" s="166" t="n">
        <v>0</v>
      </c>
      <c r="BR68" s="166" t="n">
        <v>0</v>
      </c>
      <c r="BS68" s="166" t="n">
        <v>0</v>
      </c>
      <c r="BT68" s="166" t="n">
        <v>0</v>
      </c>
      <c r="BU68" s="166" t="n">
        <v>0</v>
      </c>
      <c r="BV68" s="166" t="n">
        <v>0</v>
      </c>
      <c r="BW68" s="166" t="n">
        <v>0</v>
      </c>
      <c r="BX68" s="166" t="n">
        <v>0</v>
      </c>
      <c r="BY68" s="166" t="n">
        <v>0</v>
      </c>
      <c r="BZ68" s="166" t="n">
        <v>0</v>
      </c>
      <c r="CA68" s="166" t="n">
        <v>0</v>
      </c>
      <c r="CB68" s="166" t="n">
        <v>0</v>
      </c>
      <c r="CC68" s="166" t="n">
        <v>0</v>
      </c>
      <c r="CD68" s="166" t="n">
        <v>0</v>
      </c>
      <c r="CE68" s="166" t="n">
        <v>0</v>
      </c>
      <c r="CF68" s="166" t="n">
        <v>0</v>
      </c>
      <c r="CG68" s="166" t="n">
        <v>0</v>
      </c>
      <c r="CH68" s="166" t="n">
        <v>0</v>
      </c>
      <c r="CI68" s="166" t="n">
        <v>0</v>
      </c>
      <c r="CJ68" s="166" t="n">
        <v>0</v>
      </c>
      <c r="CK68" s="166" t="n">
        <v>0</v>
      </c>
      <c r="CL68" s="166" t="n">
        <v>0</v>
      </c>
      <c r="CM68" s="166" t="n">
        <v>0</v>
      </c>
      <c r="CN68" s="166" t="n">
        <v>0</v>
      </c>
      <c r="CO68" s="166" t="n">
        <v>0</v>
      </c>
      <c r="CP68" s="166" t="n">
        <v>0</v>
      </c>
      <c r="CQ68" s="166" t="n">
        <v>0</v>
      </c>
      <c r="CR68" s="166" t="n">
        <v>0</v>
      </c>
      <c r="CS68" s="166" t="n">
        <v>0</v>
      </c>
      <c r="CT68" s="166" t="n">
        <v>0</v>
      </c>
      <c r="CU68" s="166" t="n">
        <v>0</v>
      </c>
      <c r="CV68" s="166" t="n">
        <v>0</v>
      </c>
      <c r="CW68" s="166" t="n">
        <v>0</v>
      </c>
      <c r="CX68" s="166" t="n">
        <v>0</v>
      </c>
      <c r="CY68" s="166" t="n">
        <v>0</v>
      </c>
      <c r="CZ68" s="166" t="n">
        <v>0</v>
      </c>
      <c r="DA68" s="166" t="n">
        <v>0</v>
      </c>
      <c r="DB68" s="166" t="n">
        <v>0</v>
      </c>
      <c r="DC68" s="166" t="n">
        <v>0</v>
      </c>
      <c r="DD68" s="166" t="n">
        <v>0</v>
      </c>
      <c r="DE68" s="166" t="n">
        <v>0</v>
      </c>
      <c r="DF68" s="166" t="n">
        <v>0</v>
      </c>
    </row>
    <row r="69" customFormat="false" ht="15" hidden="false" customHeight="true" outlineLevel="0" collapsed="false">
      <c r="A69" s="140" t="s">
        <v>102</v>
      </c>
      <c r="C69" s="170" t="n">
        <v>9375</v>
      </c>
      <c r="D69" s="170" t="n">
        <v>9375</v>
      </c>
      <c r="E69" s="170" t="n">
        <v>9375</v>
      </c>
      <c r="F69" s="166" t="n">
        <v>9375</v>
      </c>
      <c r="G69" s="166" t="n">
        <v>9375</v>
      </c>
      <c r="H69" s="166" t="n">
        <v>9375</v>
      </c>
      <c r="I69" s="166" t="n">
        <v>9375</v>
      </c>
      <c r="J69" s="166" t="n">
        <v>9375</v>
      </c>
      <c r="K69" s="166" t="n">
        <v>9375</v>
      </c>
      <c r="L69" s="166" t="n">
        <v>9375</v>
      </c>
      <c r="M69" s="166" t="n">
        <v>0</v>
      </c>
      <c r="N69" s="166" t="n">
        <v>0</v>
      </c>
      <c r="O69" s="166" t="n">
        <v>0</v>
      </c>
      <c r="P69" s="166" t="n">
        <v>0</v>
      </c>
      <c r="Q69" s="166" t="n">
        <v>0</v>
      </c>
      <c r="R69" s="166" t="n">
        <v>0</v>
      </c>
      <c r="S69" s="166" t="n">
        <v>0</v>
      </c>
      <c r="T69" s="166" t="n">
        <v>0</v>
      </c>
      <c r="U69" s="166" t="n">
        <v>0</v>
      </c>
      <c r="V69" s="166" t="n">
        <v>0</v>
      </c>
      <c r="W69" s="166" t="n">
        <v>0</v>
      </c>
      <c r="X69" s="166" t="n">
        <v>0</v>
      </c>
      <c r="Y69" s="166" t="n">
        <v>0</v>
      </c>
      <c r="Z69" s="166" t="n">
        <v>0</v>
      </c>
      <c r="AA69" s="166" t="n">
        <v>0</v>
      </c>
      <c r="AB69" s="166" t="n">
        <v>0</v>
      </c>
      <c r="AC69" s="166" t="n">
        <v>0</v>
      </c>
      <c r="AD69" s="166" t="n">
        <v>0</v>
      </c>
      <c r="AE69" s="166" t="n">
        <v>0</v>
      </c>
      <c r="AF69" s="166" t="n">
        <v>0</v>
      </c>
      <c r="AG69" s="166" t="n">
        <v>0</v>
      </c>
      <c r="AH69" s="166" t="n">
        <v>0</v>
      </c>
      <c r="AI69" s="166" t="n">
        <v>0</v>
      </c>
      <c r="AJ69" s="166" t="n">
        <v>0</v>
      </c>
      <c r="AK69" s="166" t="n">
        <v>0</v>
      </c>
      <c r="AL69" s="166" t="n">
        <v>0</v>
      </c>
      <c r="AM69" s="166" t="n">
        <v>0</v>
      </c>
      <c r="AN69" s="166" t="n">
        <v>0</v>
      </c>
      <c r="AO69" s="166" t="n">
        <v>0</v>
      </c>
      <c r="AP69" s="166" t="n">
        <v>0</v>
      </c>
      <c r="AQ69" s="166" t="n">
        <v>0</v>
      </c>
      <c r="AR69" s="166" t="n">
        <v>0</v>
      </c>
      <c r="AS69" s="166" t="n">
        <v>0</v>
      </c>
      <c r="AT69" s="166" t="n">
        <v>0</v>
      </c>
      <c r="AU69" s="166" t="n">
        <v>0</v>
      </c>
      <c r="AV69" s="166" t="n">
        <v>0</v>
      </c>
      <c r="AW69" s="166" t="n">
        <v>0</v>
      </c>
      <c r="AX69" s="166" t="n">
        <v>0</v>
      </c>
      <c r="AY69" s="166" t="n">
        <v>0</v>
      </c>
      <c r="AZ69" s="166" t="n">
        <v>0</v>
      </c>
      <c r="BA69" s="166" t="n">
        <v>0</v>
      </c>
      <c r="BB69" s="166" t="n">
        <v>0</v>
      </c>
      <c r="BC69" s="166" t="n">
        <v>0</v>
      </c>
      <c r="BD69" s="166" t="n">
        <v>0</v>
      </c>
      <c r="BE69" s="166" t="n">
        <v>0</v>
      </c>
      <c r="BF69" s="166" t="n">
        <v>0</v>
      </c>
      <c r="BG69" s="166" t="n">
        <v>0</v>
      </c>
      <c r="BH69" s="166" t="n">
        <v>0</v>
      </c>
      <c r="BI69" s="166" t="n">
        <v>0</v>
      </c>
      <c r="BJ69" s="166" t="n">
        <v>0</v>
      </c>
      <c r="BK69" s="166" t="n">
        <v>0</v>
      </c>
      <c r="BL69" s="166" t="n">
        <v>0</v>
      </c>
      <c r="BM69" s="166" t="n">
        <v>0</v>
      </c>
      <c r="BN69" s="166" t="n">
        <v>0</v>
      </c>
      <c r="BO69" s="166" t="n">
        <v>0</v>
      </c>
      <c r="BP69" s="166" t="n">
        <v>0</v>
      </c>
      <c r="BQ69" s="166" t="n">
        <v>0</v>
      </c>
      <c r="BR69" s="166" t="n">
        <v>0</v>
      </c>
      <c r="BS69" s="166" t="n">
        <v>0</v>
      </c>
      <c r="BT69" s="166" t="n">
        <v>0</v>
      </c>
      <c r="BU69" s="166" t="n">
        <v>0</v>
      </c>
      <c r="BV69" s="166" t="n">
        <v>0</v>
      </c>
      <c r="BW69" s="166" t="n">
        <v>0</v>
      </c>
      <c r="BX69" s="166" t="n">
        <v>0</v>
      </c>
      <c r="BY69" s="166" t="n">
        <v>0</v>
      </c>
      <c r="BZ69" s="166" t="n">
        <v>0</v>
      </c>
      <c r="CA69" s="166" t="n">
        <v>0</v>
      </c>
      <c r="CB69" s="166" t="n">
        <v>0</v>
      </c>
      <c r="CC69" s="166" t="n">
        <v>0</v>
      </c>
      <c r="CD69" s="166" t="n">
        <v>0</v>
      </c>
      <c r="CE69" s="166" t="n">
        <v>0</v>
      </c>
      <c r="CF69" s="166" t="n">
        <v>0</v>
      </c>
      <c r="CG69" s="166" t="n">
        <v>0</v>
      </c>
      <c r="CH69" s="166" t="n">
        <v>0</v>
      </c>
      <c r="CI69" s="166" t="n">
        <v>0</v>
      </c>
      <c r="CJ69" s="166" t="n">
        <v>0</v>
      </c>
      <c r="CK69" s="166" t="n">
        <v>0</v>
      </c>
      <c r="CL69" s="166" t="n">
        <v>0</v>
      </c>
      <c r="CM69" s="166" t="n">
        <v>0</v>
      </c>
      <c r="CN69" s="166" t="n">
        <v>0</v>
      </c>
      <c r="CO69" s="166" t="n">
        <v>0</v>
      </c>
      <c r="CP69" s="166" t="n">
        <v>0</v>
      </c>
      <c r="CQ69" s="166" t="n">
        <v>0</v>
      </c>
      <c r="CR69" s="166" t="n">
        <v>0</v>
      </c>
      <c r="CS69" s="166" t="n">
        <v>0</v>
      </c>
      <c r="CT69" s="166" t="n">
        <v>0</v>
      </c>
      <c r="CU69" s="166" t="n">
        <v>0</v>
      </c>
      <c r="CV69" s="166" t="n">
        <v>0</v>
      </c>
      <c r="CW69" s="166" t="n">
        <v>0</v>
      </c>
      <c r="CX69" s="166" t="n">
        <v>0</v>
      </c>
      <c r="CY69" s="166" t="n">
        <v>0</v>
      </c>
      <c r="CZ69" s="166" t="n">
        <v>0</v>
      </c>
      <c r="DA69" s="166" t="n">
        <v>0</v>
      </c>
      <c r="DB69" s="166" t="n">
        <v>0</v>
      </c>
      <c r="DC69" s="166" t="n">
        <v>0</v>
      </c>
      <c r="DD69" s="166" t="n">
        <v>0</v>
      </c>
      <c r="DE69" s="166" t="n">
        <v>0</v>
      </c>
      <c r="DF69" s="166" t="n">
        <v>0</v>
      </c>
    </row>
    <row r="70" customFormat="false" ht="15" hidden="false" customHeight="true" outlineLevel="0" collapsed="false">
      <c r="A70" s="140" t="s">
        <v>103</v>
      </c>
      <c r="C70" s="125" t="n">
        <v>0</v>
      </c>
      <c r="D70" s="125" t="n">
        <v>0</v>
      </c>
      <c r="E70" s="125" t="n">
        <v>0</v>
      </c>
      <c r="F70" s="166" t="n">
        <v>9500</v>
      </c>
      <c r="G70" s="166" t="n">
        <v>9500</v>
      </c>
      <c r="H70" s="166" t="n">
        <v>9500</v>
      </c>
      <c r="I70" s="166" t="n">
        <v>9500</v>
      </c>
      <c r="J70" s="166" t="n">
        <v>9500</v>
      </c>
      <c r="K70" s="166" t="n">
        <v>9500</v>
      </c>
      <c r="L70" s="166" t="n">
        <v>9500</v>
      </c>
      <c r="M70" s="166" t="n">
        <v>9500</v>
      </c>
      <c r="N70" s="166" t="n">
        <v>9500</v>
      </c>
      <c r="O70" s="166" t="n">
        <v>9500</v>
      </c>
      <c r="P70" s="166" t="n">
        <v>9500</v>
      </c>
      <c r="Q70" s="166" t="n">
        <v>9500</v>
      </c>
      <c r="R70" s="166" t="n">
        <v>9500</v>
      </c>
      <c r="S70" s="166" t="n">
        <v>9500</v>
      </c>
      <c r="T70" s="166" t="n">
        <v>9500</v>
      </c>
      <c r="U70" s="166" t="n">
        <v>9500</v>
      </c>
      <c r="V70" s="166" t="n">
        <v>9500</v>
      </c>
      <c r="W70" s="166" t="n">
        <v>9500</v>
      </c>
      <c r="X70" s="166" t="n">
        <v>9500</v>
      </c>
      <c r="Y70" s="166" t="n">
        <v>9500</v>
      </c>
      <c r="Z70" s="166" t="n">
        <v>9500</v>
      </c>
      <c r="AA70" s="166" t="n">
        <v>9500</v>
      </c>
      <c r="AB70" s="166" t="n">
        <v>9500</v>
      </c>
      <c r="AC70" s="166" t="n">
        <v>9500</v>
      </c>
      <c r="AD70" s="166" t="n">
        <v>9500</v>
      </c>
      <c r="AE70" s="166" t="n">
        <v>9500</v>
      </c>
      <c r="AF70" s="166" t="n">
        <v>9500</v>
      </c>
      <c r="AG70" s="166" t="n">
        <v>9500</v>
      </c>
      <c r="AH70" s="166" t="n">
        <v>9500</v>
      </c>
      <c r="AI70" s="166" t="n">
        <v>9500</v>
      </c>
      <c r="AJ70" s="166" t="n">
        <v>0</v>
      </c>
      <c r="AK70" s="166" t="n">
        <v>0</v>
      </c>
      <c r="AL70" s="166" t="n">
        <v>0</v>
      </c>
      <c r="AM70" s="166" t="n">
        <v>0</v>
      </c>
      <c r="AN70" s="166" t="n">
        <v>0</v>
      </c>
      <c r="AO70" s="166" t="n">
        <v>0</v>
      </c>
      <c r="AP70" s="166" t="n">
        <v>0</v>
      </c>
      <c r="AQ70" s="166" t="n">
        <v>0</v>
      </c>
      <c r="AR70" s="166" t="n">
        <v>0</v>
      </c>
      <c r="AS70" s="166" t="n">
        <v>0</v>
      </c>
      <c r="AT70" s="166" t="n">
        <v>0</v>
      </c>
      <c r="AU70" s="166" t="n">
        <v>0</v>
      </c>
      <c r="AV70" s="166" t="n">
        <v>0</v>
      </c>
      <c r="AW70" s="166" t="n">
        <v>0</v>
      </c>
      <c r="AX70" s="166" t="n">
        <v>0</v>
      </c>
      <c r="AY70" s="166" t="n">
        <v>0</v>
      </c>
      <c r="AZ70" s="166" t="n">
        <v>0</v>
      </c>
      <c r="BA70" s="166" t="n">
        <v>0</v>
      </c>
      <c r="BB70" s="166" t="n">
        <v>0</v>
      </c>
      <c r="BC70" s="166" t="n">
        <v>0</v>
      </c>
      <c r="BD70" s="166" t="n">
        <v>0</v>
      </c>
      <c r="BE70" s="166" t="n">
        <v>0</v>
      </c>
      <c r="BF70" s="166" t="n">
        <v>0</v>
      </c>
      <c r="BG70" s="166" t="n">
        <v>0</v>
      </c>
      <c r="BH70" s="166" t="n">
        <v>0</v>
      </c>
      <c r="BI70" s="166" t="n">
        <v>0</v>
      </c>
      <c r="BJ70" s="166" t="n">
        <v>0</v>
      </c>
      <c r="BK70" s="166" t="n">
        <v>0</v>
      </c>
      <c r="BL70" s="166" t="n">
        <v>0</v>
      </c>
      <c r="BM70" s="166" t="n">
        <v>0</v>
      </c>
      <c r="BN70" s="166" t="n">
        <v>0</v>
      </c>
      <c r="BO70" s="166" t="n">
        <v>0</v>
      </c>
      <c r="BP70" s="166" t="n">
        <v>0</v>
      </c>
      <c r="BQ70" s="166" t="n">
        <v>0</v>
      </c>
      <c r="BR70" s="166" t="n">
        <v>0</v>
      </c>
      <c r="BS70" s="166" t="n">
        <v>0</v>
      </c>
      <c r="BT70" s="166" t="n">
        <v>0</v>
      </c>
      <c r="BU70" s="166" t="n">
        <v>0</v>
      </c>
      <c r="BV70" s="166" t="n">
        <v>0</v>
      </c>
      <c r="BW70" s="166" t="n">
        <v>0</v>
      </c>
      <c r="BX70" s="166" t="n">
        <v>0</v>
      </c>
      <c r="BY70" s="166" t="n">
        <v>0</v>
      </c>
      <c r="BZ70" s="166" t="n">
        <v>0</v>
      </c>
      <c r="CA70" s="166" t="n">
        <v>0</v>
      </c>
      <c r="CB70" s="166" t="n">
        <v>0</v>
      </c>
      <c r="CC70" s="166" t="n">
        <v>0</v>
      </c>
      <c r="CD70" s="166" t="n">
        <v>0</v>
      </c>
      <c r="CE70" s="166" t="n">
        <v>0</v>
      </c>
      <c r="CF70" s="166" t="n">
        <v>0</v>
      </c>
      <c r="CG70" s="166" t="n">
        <v>0</v>
      </c>
      <c r="CH70" s="166" t="n">
        <v>0</v>
      </c>
      <c r="CI70" s="166" t="n">
        <v>0</v>
      </c>
      <c r="CJ70" s="166" t="n">
        <v>0</v>
      </c>
      <c r="CK70" s="166" t="n">
        <v>0</v>
      </c>
      <c r="CL70" s="166" t="n">
        <v>0</v>
      </c>
      <c r="CM70" s="166" t="n">
        <v>0</v>
      </c>
      <c r="CN70" s="166" t="n">
        <v>0</v>
      </c>
      <c r="CO70" s="166" t="n">
        <v>0</v>
      </c>
      <c r="CP70" s="166" t="n">
        <v>0</v>
      </c>
      <c r="CQ70" s="166" t="n">
        <v>0</v>
      </c>
      <c r="CR70" s="166" t="n">
        <v>0</v>
      </c>
      <c r="CS70" s="166" t="n">
        <v>0</v>
      </c>
      <c r="CT70" s="166" t="n">
        <v>0</v>
      </c>
      <c r="CU70" s="166" t="n">
        <v>0</v>
      </c>
      <c r="CV70" s="166" t="n">
        <v>0</v>
      </c>
      <c r="CW70" s="166" t="n">
        <v>0</v>
      </c>
      <c r="CX70" s="166" t="n">
        <v>0</v>
      </c>
      <c r="CY70" s="166" t="n">
        <v>0</v>
      </c>
      <c r="CZ70" s="166" t="n">
        <v>0</v>
      </c>
      <c r="DA70" s="166" t="n">
        <v>0</v>
      </c>
      <c r="DB70" s="166" t="n">
        <v>0</v>
      </c>
      <c r="DC70" s="166" t="n">
        <v>0</v>
      </c>
      <c r="DD70" s="166" t="n">
        <v>0</v>
      </c>
      <c r="DE70" s="166" t="n">
        <v>0</v>
      </c>
      <c r="DF70" s="166" t="n">
        <v>0</v>
      </c>
    </row>
    <row r="71" customFormat="false" ht="15" hidden="false" customHeight="true" outlineLevel="0" collapsed="false">
      <c r="A71" s="140" t="s">
        <v>104</v>
      </c>
      <c r="C71" s="125" t="n">
        <v>0</v>
      </c>
      <c r="D71" s="125" t="n">
        <v>0</v>
      </c>
      <c r="E71" s="125" t="n">
        <v>0</v>
      </c>
      <c r="F71" s="166" t="n">
        <v>0</v>
      </c>
      <c r="G71" s="166" t="n">
        <v>0</v>
      </c>
      <c r="H71" s="166" t="n">
        <v>0</v>
      </c>
      <c r="I71" s="166" t="n">
        <v>0</v>
      </c>
      <c r="J71" s="166" t="n">
        <v>0</v>
      </c>
      <c r="K71" s="166" t="n">
        <v>0</v>
      </c>
      <c r="L71" s="166" t="n">
        <v>0</v>
      </c>
      <c r="M71" s="166" t="n">
        <v>0</v>
      </c>
      <c r="N71" s="166" t="n">
        <v>0</v>
      </c>
      <c r="O71" s="166" t="n">
        <v>0</v>
      </c>
      <c r="P71" s="166" t="n">
        <v>0</v>
      </c>
      <c r="Q71" s="166" t="n">
        <v>0</v>
      </c>
      <c r="R71" s="166" t="n">
        <v>0</v>
      </c>
      <c r="S71" s="166" t="n">
        <v>0</v>
      </c>
      <c r="T71" s="166" t="n">
        <v>0</v>
      </c>
      <c r="U71" s="166" t="n">
        <v>0</v>
      </c>
      <c r="V71" s="166" t="n">
        <v>0</v>
      </c>
      <c r="W71" s="166" t="n">
        <v>0</v>
      </c>
      <c r="X71" s="166" t="n">
        <v>0</v>
      </c>
      <c r="Y71" s="166" t="n">
        <v>0</v>
      </c>
      <c r="Z71" s="166" t="n">
        <v>0</v>
      </c>
      <c r="AA71" s="166" t="n">
        <v>0</v>
      </c>
      <c r="AB71" s="166" t="n">
        <v>0</v>
      </c>
      <c r="AC71" s="166" t="n">
        <v>0</v>
      </c>
      <c r="AD71" s="166" t="n">
        <v>0</v>
      </c>
      <c r="AE71" s="166" t="n">
        <v>0</v>
      </c>
      <c r="AF71" s="166" t="n">
        <v>0</v>
      </c>
      <c r="AG71" s="166" t="n">
        <v>0</v>
      </c>
      <c r="AH71" s="166" t="n">
        <v>0</v>
      </c>
      <c r="AI71" s="166" t="n">
        <v>0</v>
      </c>
      <c r="AJ71" s="166" t="n">
        <v>0</v>
      </c>
      <c r="AK71" s="166" t="n">
        <v>0</v>
      </c>
      <c r="AL71" s="166" t="n">
        <v>0</v>
      </c>
      <c r="AM71" s="166" t="n">
        <v>0</v>
      </c>
      <c r="AN71" s="166" t="n">
        <v>0</v>
      </c>
      <c r="AO71" s="166" t="n">
        <v>0</v>
      </c>
      <c r="AP71" s="166" t="n">
        <v>0</v>
      </c>
      <c r="AQ71" s="166" t="n">
        <v>0</v>
      </c>
      <c r="AR71" s="166" t="n">
        <v>0</v>
      </c>
      <c r="AS71" s="166" t="n">
        <v>0</v>
      </c>
      <c r="AT71" s="166" t="n">
        <v>0</v>
      </c>
      <c r="AU71" s="166" t="n">
        <v>0</v>
      </c>
      <c r="AV71" s="166" t="n">
        <v>0</v>
      </c>
      <c r="AW71" s="166" t="n">
        <v>0</v>
      </c>
      <c r="AX71" s="166" t="n">
        <v>0</v>
      </c>
      <c r="AY71" s="166" t="n">
        <v>0</v>
      </c>
      <c r="AZ71" s="166" t="n">
        <v>0</v>
      </c>
      <c r="BA71" s="166" t="n">
        <v>0</v>
      </c>
      <c r="BB71" s="166" t="n">
        <v>0</v>
      </c>
      <c r="BC71" s="166" t="n">
        <v>0</v>
      </c>
      <c r="BD71" s="166" t="n">
        <v>0</v>
      </c>
      <c r="BE71" s="166" t="n">
        <v>0</v>
      </c>
      <c r="BF71" s="166" t="n">
        <v>0</v>
      </c>
      <c r="BG71" s="166" t="n">
        <v>0</v>
      </c>
      <c r="BH71" s="166" t="n">
        <v>0</v>
      </c>
      <c r="BI71" s="166" t="n">
        <v>0</v>
      </c>
      <c r="BJ71" s="166" t="n">
        <v>0</v>
      </c>
      <c r="BK71" s="166" t="n">
        <v>0</v>
      </c>
      <c r="BL71" s="166" t="n">
        <v>0</v>
      </c>
      <c r="BM71" s="166" t="n">
        <v>0</v>
      </c>
      <c r="BN71" s="166" t="n">
        <v>0</v>
      </c>
      <c r="BO71" s="166" t="n">
        <v>0</v>
      </c>
      <c r="BP71" s="166" t="n">
        <v>0</v>
      </c>
      <c r="BQ71" s="166" t="n">
        <v>0</v>
      </c>
      <c r="BR71" s="166" t="n">
        <v>0</v>
      </c>
      <c r="BS71" s="166" t="n">
        <v>0</v>
      </c>
      <c r="BT71" s="166" t="n">
        <v>0</v>
      </c>
      <c r="BU71" s="166" t="n">
        <v>0</v>
      </c>
      <c r="BV71" s="166" t="n">
        <v>0</v>
      </c>
      <c r="BW71" s="166" t="n">
        <v>0</v>
      </c>
      <c r="BX71" s="166" t="n">
        <v>0</v>
      </c>
      <c r="BY71" s="166" t="n">
        <v>0</v>
      </c>
      <c r="BZ71" s="166" t="n">
        <v>0</v>
      </c>
      <c r="CA71" s="166" t="n">
        <v>0</v>
      </c>
      <c r="CB71" s="166" t="n">
        <v>0</v>
      </c>
      <c r="CC71" s="166" t="n">
        <v>0</v>
      </c>
      <c r="CD71" s="166" t="n">
        <v>0</v>
      </c>
      <c r="CE71" s="166" t="n">
        <v>0</v>
      </c>
      <c r="CF71" s="166" t="n">
        <v>0</v>
      </c>
      <c r="CG71" s="166" t="n">
        <v>0</v>
      </c>
      <c r="CH71" s="166" t="n">
        <v>0</v>
      </c>
      <c r="CI71" s="166" t="n">
        <v>0</v>
      </c>
      <c r="CJ71" s="166" t="n">
        <v>0</v>
      </c>
      <c r="CK71" s="166" t="n">
        <v>0</v>
      </c>
      <c r="CL71" s="166" t="n">
        <v>0</v>
      </c>
      <c r="CM71" s="166" t="n">
        <v>0</v>
      </c>
      <c r="CN71" s="166" t="n">
        <v>0</v>
      </c>
      <c r="CO71" s="166" t="n">
        <v>0</v>
      </c>
      <c r="CP71" s="166" t="n">
        <v>0</v>
      </c>
      <c r="CQ71" s="166" t="n">
        <v>0</v>
      </c>
      <c r="CR71" s="166" t="n">
        <v>0</v>
      </c>
      <c r="CS71" s="166" t="n">
        <v>0</v>
      </c>
      <c r="CT71" s="166" t="n">
        <v>0</v>
      </c>
      <c r="CU71" s="166" t="n">
        <v>0</v>
      </c>
      <c r="CV71" s="166" t="n">
        <v>0</v>
      </c>
      <c r="CW71" s="166" t="n">
        <v>0</v>
      </c>
      <c r="CX71" s="166" t="n">
        <v>0</v>
      </c>
      <c r="CY71" s="166" t="n">
        <v>0</v>
      </c>
      <c r="CZ71" s="166" t="n">
        <v>0</v>
      </c>
      <c r="DA71" s="166" t="n">
        <v>0</v>
      </c>
      <c r="DB71" s="166" t="n">
        <v>0</v>
      </c>
      <c r="DC71" s="166" t="n">
        <v>0</v>
      </c>
      <c r="DD71" s="166" t="n">
        <v>0</v>
      </c>
      <c r="DE71" s="166" t="n">
        <v>0</v>
      </c>
      <c r="DF71" s="166" t="n">
        <v>0</v>
      </c>
    </row>
    <row r="72" customFormat="false" ht="15" hidden="false" customHeight="true" outlineLevel="0" collapsed="false">
      <c r="A72" s="140" t="s">
        <v>105</v>
      </c>
      <c r="C72" s="125" t="n">
        <v>0</v>
      </c>
      <c r="D72" s="125" t="n">
        <v>0</v>
      </c>
      <c r="E72" s="125" t="n">
        <v>0</v>
      </c>
      <c r="F72" s="166" t="n">
        <v>0</v>
      </c>
      <c r="G72" s="166" t="n">
        <v>0</v>
      </c>
      <c r="H72" s="166" t="n">
        <v>0</v>
      </c>
      <c r="I72" s="166" t="n">
        <v>0</v>
      </c>
      <c r="J72" s="166" t="n">
        <v>0</v>
      </c>
      <c r="K72" s="166" t="n">
        <v>0</v>
      </c>
      <c r="L72" s="166" t="n">
        <v>0</v>
      </c>
      <c r="M72" s="166" t="n">
        <v>0</v>
      </c>
      <c r="N72" s="166" t="n">
        <v>0</v>
      </c>
      <c r="O72" s="166" t="n">
        <v>0</v>
      </c>
      <c r="P72" s="166" t="n">
        <v>0</v>
      </c>
      <c r="Q72" s="166" t="n">
        <v>0</v>
      </c>
      <c r="R72" s="166" t="n">
        <v>0</v>
      </c>
      <c r="S72" s="166" t="n">
        <v>0</v>
      </c>
      <c r="T72" s="166" t="n">
        <v>0</v>
      </c>
      <c r="U72" s="166" t="n">
        <v>0</v>
      </c>
      <c r="V72" s="166" t="n">
        <v>0</v>
      </c>
      <c r="W72" s="166" t="n">
        <v>0</v>
      </c>
      <c r="X72" s="166" t="n">
        <v>0</v>
      </c>
      <c r="Y72" s="166" t="n">
        <v>0</v>
      </c>
      <c r="Z72" s="166" t="n">
        <v>0</v>
      </c>
      <c r="AA72" s="166" t="n">
        <v>0</v>
      </c>
      <c r="AB72" s="166" t="n">
        <v>0</v>
      </c>
      <c r="AC72" s="166" t="n">
        <v>0</v>
      </c>
      <c r="AD72" s="166" t="n">
        <v>0</v>
      </c>
      <c r="AE72" s="166" t="n">
        <v>0</v>
      </c>
      <c r="AF72" s="166" t="n">
        <v>0</v>
      </c>
      <c r="AG72" s="166" t="n">
        <v>0</v>
      </c>
      <c r="AH72" s="166" t="n">
        <v>0</v>
      </c>
      <c r="AI72" s="166" t="n">
        <v>0</v>
      </c>
      <c r="AJ72" s="166" t="n">
        <v>0</v>
      </c>
      <c r="AK72" s="166" t="n">
        <v>0</v>
      </c>
      <c r="AL72" s="166" t="n">
        <v>0</v>
      </c>
      <c r="AM72" s="166" t="n">
        <v>0</v>
      </c>
      <c r="AN72" s="166" t="n">
        <v>0</v>
      </c>
      <c r="AO72" s="166" t="n">
        <v>0</v>
      </c>
      <c r="AP72" s="166" t="n">
        <v>0</v>
      </c>
      <c r="AQ72" s="166" t="n">
        <v>0</v>
      </c>
      <c r="AR72" s="166" t="n">
        <v>0</v>
      </c>
      <c r="AS72" s="166" t="n">
        <v>0</v>
      </c>
      <c r="AT72" s="166" t="n">
        <v>0</v>
      </c>
      <c r="AU72" s="166" t="n">
        <v>0</v>
      </c>
      <c r="AV72" s="166" t="n">
        <v>0</v>
      </c>
      <c r="AW72" s="166" t="n">
        <v>0</v>
      </c>
      <c r="AX72" s="166" t="n">
        <v>0</v>
      </c>
      <c r="AY72" s="166" t="n">
        <v>0</v>
      </c>
      <c r="AZ72" s="166" t="n">
        <v>0</v>
      </c>
      <c r="BA72" s="166" t="n">
        <v>0</v>
      </c>
      <c r="BB72" s="166" t="n">
        <v>0</v>
      </c>
      <c r="BC72" s="166" t="n">
        <v>0</v>
      </c>
      <c r="BD72" s="166" t="n">
        <v>0</v>
      </c>
      <c r="BE72" s="166" t="n">
        <v>0</v>
      </c>
      <c r="BF72" s="166" t="n">
        <v>0</v>
      </c>
      <c r="BG72" s="166" t="n">
        <v>0</v>
      </c>
      <c r="BH72" s="166" t="n">
        <v>0</v>
      </c>
      <c r="BI72" s="166" t="n">
        <v>0</v>
      </c>
      <c r="BJ72" s="166" t="n">
        <v>0</v>
      </c>
      <c r="BK72" s="166" t="n">
        <v>0</v>
      </c>
      <c r="BL72" s="166" t="n">
        <v>0</v>
      </c>
      <c r="BM72" s="166" t="n">
        <v>0</v>
      </c>
      <c r="BN72" s="166" t="n">
        <v>0</v>
      </c>
      <c r="BO72" s="166" t="n">
        <v>0</v>
      </c>
      <c r="BP72" s="166" t="n">
        <v>0</v>
      </c>
      <c r="BQ72" s="166" t="n">
        <v>0</v>
      </c>
      <c r="BR72" s="166" t="n">
        <v>0</v>
      </c>
      <c r="BS72" s="166" t="n">
        <v>0</v>
      </c>
      <c r="BT72" s="166" t="n">
        <v>0</v>
      </c>
      <c r="BU72" s="166" t="n">
        <v>0</v>
      </c>
      <c r="BV72" s="166" t="n">
        <v>0</v>
      </c>
      <c r="BW72" s="166" t="n">
        <v>0</v>
      </c>
      <c r="BX72" s="166" t="n">
        <v>0</v>
      </c>
      <c r="BY72" s="166" t="n">
        <v>0</v>
      </c>
      <c r="BZ72" s="166" t="n">
        <v>0</v>
      </c>
      <c r="CA72" s="166" t="n">
        <v>0</v>
      </c>
      <c r="CB72" s="166" t="n">
        <v>0</v>
      </c>
      <c r="CC72" s="166" t="n">
        <v>0</v>
      </c>
      <c r="CD72" s="166" t="n">
        <v>0</v>
      </c>
      <c r="CE72" s="166" t="n">
        <v>0</v>
      </c>
      <c r="CF72" s="166" t="n">
        <v>0</v>
      </c>
      <c r="CG72" s="166" t="n">
        <v>0</v>
      </c>
      <c r="CH72" s="166" t="n">
        <v>0</v>
      </c>
      <c r="CI72" s="166" t="n">
        <v>0</v>
      </c>
      <c r="CJ72" s="166" t="n">
        <v>0</v>
      </c>
      <c r="CK72" s="166" t="n">
        <v>0</v>
      </c>
      <c r="CL72" s="166" t="n">
        <v>0</v>
      </c>
      <c r="CM72" s="166" t="n">
        <v>0</v>
      </c>
      <c r="CN72" s="166" t="n">
        <v>0</v>
      </c>
      <c r="CO72" s="166" t="n">
        <v>0</v>
      </c>
      <c r="CP72" s="166" t="n">
        <v>0</v>
      </c>
      <c r="CQ72" s="166" t="n">
        <v>0</v>
      </c>
      <c r="CR72" s="166" t="n">
        <v>0</v>
      </c>
      <c r="CS72" s="166" t="n">
        <v>0</v>
      </c>
      <c r="CT72" s="166" t="n">
        <v>0</v>
      </c>
      <c r="CU72" s="166" t="n">
        <v>0</v>
      </c>
      <c r="CV72" s="166" t="n">
        <v>0</v>
      </c>
      <c r="CW72" s="166" t="n">
        <v>0</v>
      </c>
      <c r="CX72" s="166" t="n">
        <v>0</v>
      </c>
      <c r="CY72" s="166" t="n">
        <v>0</v>
      </c>
      <c r="CZ72" s="166" t="n">
        <v>0</v>
      </c>
      <c r="DA72" s="166" t="n">
        <v>0</v>
      </c>
      <c r="DB72" s="166" t="n">
        <v>0</v>
      </c>
      <c r="DC72" s="166" t="n">
        <v>0</v>
      </c>
      <c r="DD72" s="166" t="n">
        <v>0</v>
      </c>
      <c r="DE72" s="166" t="n">
        <v>0</v>
      </c>
      <c r="DF72" s="166" t="n">
        <v>0</v>
      </c>
    </row>
    <row r="73" customFormat="false" ht="15" hidden="false" customHeight="true" outlineLevel="0" collapsed="false">
      <c r="A73" s="140" t="s">
        <v>106</v>
      </c>
      <c r="C73" s="125" t="n">
        <v>0</v>
      </c>
      <c r="D73" s="125" t="n">
        <v>0</v>
      </c>
      <c r="E73" s="125" t="n">
        <v>0</v>
      </c>
      <c r="F73" s="166" t="n">
        <v>0</v>
      </c>
      <c r="G73" s="166" t="n">
        <v>0</v>
      </c>
      <c r="H73" s="166" t="n">
        <v>0</v>
      </c>
      <c r="I73" s="166" t="n">
        <v>0</v>
      </c>
      <c r="J73" s="166" t="n">
        <v>0</v>
      </c>
      <c r="K73" s="166" t="n">
        <v>0</v>
      </c>
      <c r="L73" s="166" t="n">
        <v>0</v>
      </c>
      <c r="M73" s="166" t="n">
        <v>0</v>
      </c>
      <c r="N73" s="166" t="n">
        <v>0</v>
      </c>
      <c r="O73" s="166" t="n">
        <v>0</v>
      </c>
      <c r="P73" s="166" t="n">
        <v>0</v>
      </c>
      <c r="Q73" s="166" t="n">
        <v>0</v>
      </c>
      <c r="R73" s="166" t="n">
        <v>0</v>
      </c>
      <c r="S73" s="166" t="n">
        <v>0</v>
      </c>
      <c r="T73" s="166" t="n">
        <v>0</v>
      </c>
      <c r="U73" s="166" t="n">
        <v>0</v>
      </c>
      <c r="V73" s="166" t="n">
        <v>0</v>
      </c>
      <c r="W73" s="166" t="n">
        <v>0</v>
      </c>
      <c r="X73" s="166" t="n">
        <v>0</v>
      </c>
      <c r="Y73" s="166" t="n">
        <v>0</v>
      </c>
      <c r="Z73" s="166" t="n">
        <v>0</v>
      </c>
      <c r="AA73" s="166" t="n">
        <v>0</v>
      </c>
      <c r="AB73" s="166" t="n">
        <v>0</v>
      </c>
      <c r="AC73" s="166" t="n">
        <v>0</v>
      </c>
      <c r="AD73" s="166" t="n">
        <v>0</v>
      </c>
      <c r="AE73" s="166" t="n">
        <v>0</v>
      </c>
      <c r="AF73" s="166" t="n">
        <v>0</v>
      </c>
      <c r="AG73" s="166" t="n">
        <v>0</v>
      </c>
      <c r="AH73" s="166" t="n">
        <v>0</v>
      </c>
      <c r="AI73" s="166" t="n">
        <v>0</v>
      </c>
      <c r="AJ73" s="166" t="n">
        <v>0</v>
      </c>
      <c r="AK73" s="166" t="n">
        <v>0</v>
      </c>
      <c r="AL73" s="166" t="n">
        <v>0</v>
      </c>
      <c r="AM73" s="166" t="n">
        <v>0</v>
      </c>
      <c r="AN73" s="166" t="n">
        <v>0</v>
      </c>
      <c r="AO73" s="166" t="n">
        <v>0</v>
      </c>
      <c r="AP73" s="166" t="n">
        <v>0</v>
      </c>
      <c r="AQ73" s="166" t="n">
        <v>0</v>
      </c>
      <c r="AR73" s="166" t="n">
        <v>0</v>
      </c>
      <c r="AS73" s="166" t="n">
        <v>0</v>
      </c>
      <c r="AT73" s="166" t="n">
        <v>0</v>
      </c>
      <c r="AU73" s="166" t="n">
        <v>0</v>
      </c>
      <c r="AV73" s="166" t="n">
        <v>0</v>
      </c>
      <c r="AW73" s="166" t="n">
        <v>0</v>
      </c>
      <c r="AX73" s="166" t="n">
        <v>0</v>
      </c>
      <c r="AY73" s="166" t="n">
        <v>0</v>
      </c>
      <c r="AZ73" s="166" t="n">
        <v>0</v>
      </c>
      <c r="BA73" s="166" t="n">
        <v>0</v>
      </c>
      <c r="BB73" s="166" t="n">
        <v>0</v>
      </c>
      <c r="BC73" s="166" t="n">
        <v>0</v>
      </c>
      <c r="BD73" s="166" t="n">
        <v>0</v>
      </c>
      <c r="BE73" s="166" t="n">
        <v>0</v>
      </c>
      <c r="BF73" s="166" t="n">
        <v>0</v>
      </c>
      <c r="BG73" s="166" t="n">
        <v>0</v>
      </c>
      <c r="BH73" s="166" t="n">
        <v>0</v>
      </c>
      <c r="BI73" s="166" t="n">
        <v>0</v>
      </c>
      <c r="BJ73" s="166" t="n">
        <v>0</v>
      </c>
      <c r="BK73" s="166" t="n">
        <v>0</v>
      </c>
      <c r="BL73" s="166" t="n">
        <v>0</v>
      </c>
      <c r="BM73" s="166" t="n">
        <v>0</v>
      </c>
      <c r="BN73" s="166" t="n">
        <v>0</v>
      </c>
      <c r="BO73" s="166" t="n">
        <v>0</v>
      </c>
      <c r="BP73" s="166" t="n">
        <v>0</v>
      </c>
      <c r="BQ73" s="166" t="n">
        <v>0</v>
      </c>
      <c r="BR73" s="166" t="n">
        <v>0</v>
      </c>
      <c r="BS73" s="166" t="n">
        <v>0</v>
      </c>
      <c r="BT73" s="166" t="n">
        <v>0</v>
      </c>
      <c r="BU73" s="166" t="n">
        <v>0</v>
      </c>
      <c r="BV73" s="166" t="n">
        <v>0</v>
      </c>
      <c r="BW73" s="166" t="n">
        <v>0</v>
      </c>
      <c r="BX73" s="166" t="n">
        <v>0</v>
      </c>
      <c r="BY73" s="166" t="n">
        <v>0</v>
      </c>
      <c r="BZ73" s="166" t="n">
        <v>0</v>
      </c>
      <c r="CA73" s="166" t="n">
        <v>0</v>
      </c>
      <c r="CB73" s="166" t="n">
        <v>0</v>
      </c>
      <c r="CC73" s="166" t="n">
        <v>0</v>
      </c>
      <c r="CD73" s="166" t="n">
        <v>0</v>
      </c>
      <c r="CE73" s="166" t="n">
        <v>0</v>
      </c>
      <c r="CF73" s="166" t="n">
        <v>0</v>
      </c>
      <c r="CG73" s="166" t="n">
        <v>0</v>
      </c>
      <c r="CH73" s="166" t="n">
        <v>0</v>
      </c>
      <c r="CI73" s="166" t="n">
        <v>0</v>
      </c>
      <c r="CJ73" s="166" t="n">
        <v>0</v>
      </c>
      <c r="CK73" s="166" t="n">
        <v>0</v>
      </c>
      <c r="CL73" s="166" t="n">
        <v>0</v>
      </c>
      <c r="CM73" s="166" t="n">
        <v>0</v>
      </c>
      <c r="CN73" s="166" t="n">
        <v>0</v>
      </c>
      <c r="CO73" s="166" t="n">
        <v>0</v>
      </c>
      <c r="CP73" s="166" t="n">
        <v>0</v>
      </c>
      <c r="CQ73" s="166" t="n">
        <v>0</v>
      </c>
      <c r="CR73" s="166" t="n">
        <v>0</v>
      </c>
      <c r="CS73" s="166" t="n">
        <v>0</v>
      </c>
      <c r="CT73" s="166" t="n">
        <v>0</v>
      </c>
      <c r="CU73" s="166" t="n">
        <v>0</v>
      </c>
      <c r="CV73" s="166" t="n">
        <v>0</v>
      </c>
      <c r="CW73" s="166" t="n">
        <v>0</v>
      </c>
      <c r="CX73" s="166" t="n">
        <v>0</v>
      </c>
      <c r="CY73" s="166" t="n">
        <v>0</v>
      </c>
      <c r="CZ73" s="166" t="n">
        <v>0</v>
      </c>
      <c r="DA73" s="166" t="n">
        <v>0</v>
      </c>
      <c r="DB73" s="166" t="n">
        <v>0</v>
      </c>
      <c r="DC73" s="166" t="n">
        <v>0</v>
      </c>
      <c r="DD73" s="166" t="n">
        <v>0</v>
      </c>
      <c r="DE73" s="166" t="n">
        <v>0</v>
      </c>
      <c r="DF73" s="166" t="n">
        <v>0</v>
      </c>
    </row>
    <row r="74" customFormat="false" ht="15" hidden="false" customHeight="true" outlineLevel="0" collapsed="false">
      <c r="A74" s="140" t="s">
        <v>107</v>
      </c>
      <c r="C74" s="125" t="n">
        <v>0</v>
      </c>
      <c r="D74" s="125" t="n">
        <v>0</v>
      </c>
      <c r="E74" s="125" t="n">
        <v>0</v>
      </c>
      <c r="F74" s="166" t="n">
        <v>0</v>
      </c>
      <c r="G74" s="166" t="n">
        <v>0</v>
      </c>
      <c r="H74" s="166" t="n">
        <v>0</v>
      </c>
      <c r="I74" s="166" t="n">
        <v>0</v>
      </c>
      <c r="J74" s="166" t="n">
        <v>0</v>
      </c>
      <c r="K74" s="166" t="n">
        <v>0</v>
      </c>
      <c r="L74" s="166" t="n">
        <v>0</v>
      </c>
      <c r="M74" s="166" t="n">
        <v>0</v>
      </c>
      <c r="N74" s="166" t="n">
        <v>0</v>
      </c>
      <c r="O74" s="166" t="n">
        <v>0</v>
      </c>
      <c r="P74" s="166" t="n">
        <v>0</v>
      </c>
      <c r="Q74" s="166" t="n">
        <v>0</v>
      </c>
      <c r="R74" s="166" t="n">
        <v>0</v>
      </c>
      <c r="S74" s="166" t="n">
        <v>0</v>
      </c>
      <c r="T74" s="166" t="n">
        <v>0</v>
      </c>
      <c r="U74" s="166" t="n">
        <v>0</v>
      </c>
      <c r="V74" s="166" t="n">
        <v>0</v>
      </c>
      <c r="W74" s="166" t="n">
        <v>0</v>
      </c>
      <c r="X74" s="166" t="n">
        <v>0</v>
      </c>
      <c r="Y74" s="166" t="n">
        <v>0</v>
      </c>
      <c r="Z74" s="166" t="n">
        <v>0</v>
      </c>
      <c r="AA74" s="166" t="n">
        <v>0</v>
      </c>
      <c r="AB74" s="166" t="n">
        <v>0</v>
      </c>
      <c r="AC74" s="166" t="n">
        <v>0</v>
      </c>
      <c r="AD74" s="166" t="n">
        <v>0</v>
      </c>
      <c r="AE74" s="166" t="n">
        <v>0</v>
      </c>
      <c r="AF74" s="166" t="n">
        <v>0</v>
      </c>
      <c r="AG74" s="166" t="n">
        <v>0</v>
      </c>
      <c r="AH74" s="166" t="n">
        <v>0</v>
      </c>
      <c r="AI74" s="166" t="n">
        <v>0</v>
      </c>
      <c r="AJ74" s="166" t="n">
        <v>0</v>
      </c>
      <c r="AK74" s="166" t="n">
        <v>0</v>
      </c>
      <c r="AL74" s="166" t="n">
        <v>0</v>
      </c>
      <c r="AM74" s="166" t="n">
        <v>0</v>
      </c>
      <c r="AN74" s="166" t="n">
        <v>0</v>
      </c>
      <c r="AO74" s="166" t="n">
        <v>0</v>
      </c>
      <c r="AP74" s="166" t="n">
        <v>0</v>
      </c>
      <c r="AQ74" s="166" t="n">
        <v>0</v>
      </c>
      <c r="AR74" s="166" t="n">
        <v>0</v>
      </c>
      <c r="AS74" s="166" t="n">
        <v>0</v>
      </c>
      <c r="AT74" s="166" t="n">
        <v>0</v>
      </c>
      <c r="AU74" s="166" t="n">
        <v>0</v>
      </c>
      <c r="AV74" s="166" t="n">
        <v>0</v>
      </c>
      <c r="AW74" s="166" t="n">
        <v>0</v>
      </c>
      <c r="AX74" s="166" t="n">
        <v>0</v>
      </c>
      <c r="AY74" s="166" t="n">
        <v>0</v>
      </c>
      <c r="AZ74" s="166" t="n">
        <v>0</v>
      </c>
      <c r="BA74" s="166" t="n">
        <v>0</v>
      </c>
      <c r="BB74" s="166" t="n">
        <v>0</v>
      </c>
      <c r="BC74" s="166" t="n">
        <v>0</v>
      </c>
      <c r="BD74" s="166" t="n">
        <v>0</v>
      </c>
      <c r="BE74" s="166" t="n">
        <v>0</v>
      </c>
      <c r="BF74" s="166" t="n">
        <v>0</v>
      </c>
      <c r="BG74" s="166" t="n">
        <v>0</v>
      </c>
      <c r="BH74" s="166" t="n">
        <v>0</v>
      </c>
      <c r="BI74" s="166" t="n">
        <v>0</v>
      </c>
      <c r="BJ74" s="166" t="n">
        <v>0</v>
      </c>
      <c r="BK74" s="166" t="n">
        <v>0</v>
      </c>
      <c r="BL74" s="166" t="n">
        <v>0</v>
      </c>
      <c r="BM74" s="166" t="n">
        <v>0</v>
      </c>
      <c r="BN74" s="166" t="n">
        <v>0</v>
      </c>
      <c r="BO74" s="166" t="n">
        <v>0</v>
      </c>
      <c r="BP74" s="166" t="n">
        <v>0</v>
      </c>
      <c r="BQ74" s="166" t="n">
        <v>0</v>
      </c>
      <c r="BR74" s="166" t="n">
        <v>0</v>
      </c>
      <c r="BS74" s="166" t="n">
        <v>0</v>
      </c>
      <c r="BT74" s="166" t="n">
        <v>0</v>
      </c>
      <c r="BU74" s="166" t="n">
        <v>0</v>
      </c>
      <c r="BV74" s="166" t="n">
        <v>0</v>
      </c>
      <c r="BW74" s="166" t="n">
        <v>0</v>
      </c>
      <c r="BX74" s="166" t="n">
        <v>0</v>
      </c>
      <c r="BY74" s="166" t="n">
        <v>0</v>
      </c>
      <c r="BZ74" s="166" t="n">
        <v>0</v>
      </c>
      <c r="CA74" s="166" t="n">
        <v>0</v>
      </c>
      <c r="CB74" s="166" t="n">
        <v>0</v>
      </c>
      <c r="CC74" s="166" t="n">
        <v>0</v>
      </c>
      <c r="CD74" s="166" t="n">
        <v>0</v>
      </c>
      <c r="CE74" s="166" t="n">
        <v>0</v>
      </c>
      <c r="CF74" s="166" t="n">
        <v>0</v>
      </c>
      <c r="CG74" s="166" t="n">
        <v>0</v>
      </c>
      <c r="CH74" s="166" t="n">
        <v>0</v>
      </c>
      <c r="CI74" s="166" t="n">
        <v>0</v>
      </c>
      <c r="CJ74" s="166" t="n">
        <v>0</v>
      </c>
      <c r="CK74" s="166" t="n">
        <v>0</v>
      </c>
      <c r="CL74" s="166" t="n">
        <v>0</v>
      </c>
      <c r="CM74" s="166" t="n">
        <v>0</v>
      </c>
      <c r="CN74" s="166" t="n">
        <v>0</v>
      </c>
      <c r="CO74" s="166" t="n">
        <v>0</v>
      </c>
      <c r="CP74" s="166" t="n">
        <v>0</v>
      </c>
      <c r="CQ74" s="166" t="n">
        <v>0</v>
      </c>
      <c r="CR74" s="166" t="n">
        <v>0</v>
      </c>
      <c r="CS74" s="166" t="n">
        <v>0</v>
      </c>
      <c r="CT74" s="166" t="n">
        <v>0</v>
      </c>
      <c r="CU74" s="166" t="n">
        <v>0</v>
      </c>
      <c r="CV74" s="166" t="n">
        <v>0</v>
      </c>
      <c r="CW74" s="166" t="n">
        <v>0</v>
      </c>
      <c r="CX74" s="166" t="n">
        <v>0</v>
      </c>
      <c r="CY74" s="166" t="n">
        <v>0</v>
      </c>
      <c r="CZ74" s="166" t="n">
        <v>0</v>
      </c>
      <c r="DA74" s="166" t="n">
        <v>0</v>
      </c>
      <c r="DB74" s="166" t="n">
        <v>0</v>
      </c>
      <c r="DC74" s="166" t="n">
        <v>0</v>
      </c>
      <c r="DD74" s="166" t="n">
        <v>0</v>
      </c>
      <c r="DE74" s="166" t="n">
        <v>0</v>
      </c>
      <c r="DF74" s="166" t="n">
        <v>0</v>
      </c>
    </row>
    <row r="75" customFormat="false" ht="15" hidden="false" customHeight="true" outlineLevel="0" collapsed="false">
      <c r="A75" s="140" t="s">
        <v>108</v>
      </c>
      <c r="C75" s="125" t="n">
        <v>0</v>
      </c>
      <c r="D75" s="125" t="n">
        <v>0</v>
      </c>
      <c r="E75" s="125" t="n">
        <v>0</v>
      </c>
      <c r="F75" s="166" t="n">
        <v>0</v>
      </c>
      <c r="G75" s="166" t="n">
        <v>0</v>
      </c>
      <c r="H75" s="166" t="n">
        <v>0</v>
      </c>
      <c r="I75" s="166" t="n">
        <v>0</v>
      </c>
      <c r="J75" s="166" t="n">
        <v>0</v>
      </c>
      <c r="K75" s="166" t="n">
        <v>0</v>
      </c>
      <c r="L75" s="166" t="n">
        <v>0</v>
      </c>
      <c r="M75" s="166" t="n">
        <v>0</v>
      </c>
      <c r="N75" s="166" t="n">
        <v>0</v>
      </c>
      <c r="O75" s="166" t="n">
        <v>0</v>
      </c>
      <c r="P75" s="166" t="n">
        <v>0</v>
      </c>
      <c r="Q75" s="166" t="n">
        <v>0</v>
      </c>
      <c r="R75" s="166" t="n">
        <v>0</v>
      </c>
      <c r="S75" s="166" t="n">
        <v>0</v>
      </c>
      <c r="T75" s="166" t="n">
        <v>0</v>
      </c>
      <c r="U75" s="166" t="n">
        <v>0</v>
      </c>
      <c r="V75" s="166" t="n">
        <v>0</v>
      </c>
      <c r="W75" s="166" t="n">
        <v>0</v>
      </c>
      <c r="X75" s="166" t="n">
        <v>0</v>
      </c>
      <c r="Y75" s="166" t="n">
        <v>0</v>
      </c>
      <c r="Z75" s="166" t="n">
        <v>0</v>
      </c>
      <c r="AA75" s="166" t="n">
        <v>0</v>
      </c>
      <c r="AB75" s="166" t="n">
        <v>0</v>
      </c>
      <c r="AC75" s="166" t="n">
        <v>0</v>
      </c>
      <c r="AD75" s="166" t="n">
        <v>0</v>
      </c>
      <c r="AE75" s="166" t="n">
        <v>0</v>
      </c>
      <c r="AF75" s="166" t="n">
        <v>0</v>
      </c>
      <c r="AG75" s="166" t="n">
        <v>0</v>
      </c>
      <c r="AH75" s="166" t="n">
        <v>0</v>
      </c>
      <c r="AI75" s="166" t="n">
        <v>0</v>
      </c>
      <c r="AJ75" s="166" t="n">
        <v>0</v>
      </c>
      <c r="AK75" s="166" t="n">
        <v>0</v>
      </c>
      <c r="AL75" s="166" t="n">
        <v>0</v>
      </c>
      <c r="AM75" s="166" t="n">
        <v>0</v>
      </c>
      <c r="AN75" s="166" t="n">
        <v>0</v>
      </c>
      <c r="AO75" s="166" t="n">
        <v>0</v>
      </c>
      <c r="AP75" s="166" t="n">
        <v>0</v>
      </c>
      <c r="AQ75" s="166" t="n">
        <v>0</v>
      </c>
      <c r="AR75" s="166" t="n">
        <v>0</v>
      </c>
      <c r="AS75" s="166" t="n">
        <v>0</v>
      </c>
      <c r="AT75" s="166" t="n">
        <v>0</v>
      </c>
      <c r="AU75" s="166" t="n">
        <v>0</v>
      </c>
      <c r="AV75" s="166" t="n">
        <v>0</v>
      </c>
      <c r="AW75" s="166" t="n">
        <v>0</v>
      </c>
      <c r="AX75" s="166" t="n">
        <v>0</v>
      </c>
      <c r="AY75" s="166" t="n">
        <v>0</v>
      </c>
      <c r="AZ75" s="166" t="n">
        <v>0</v>
      </c>
      <c r="BA75" s="166" t="n">
        <v>0</v>
      </c>
      <c r="BB75" s="166" t="n">
        <v>0</v>
      </c>
      <c r="BC75" s="166" t="n">
        <v>0</v>
      </c>
      <c r="BD75" s="166" t="n">
        <v>0</v>
      </c>
      <c r="BE75" s="166" t="n">
        <v>0</v>
      </c>
      <c r="BF75" s="166" t="n">
        <v>0</v>
      </c>
      <c r="BG75" s="166" t="n">
        <v>0</v>
      </c>
      <c r="BH75" s="166" t="n">
        <v>0</v>
      </c>
      <c r="BI75" s="166" t="n">
        <v>0</v>
      </c>
      <c r="BJ75" s="166" t="n">
        <v>0</v>
      </c>
      <c r="BK75" s="166" t="n">
        <v>0</v>
      </c>
      <c r="BL75" s="166" t="n">
        <v>0</v>
      </c>
      <c r="BM75" s="166" t="n">
        <v>0</v>
      </c>
      <c r="BN75" s="166" t="n">
        <v>0</v>
      </c>
      <c r="BO75" s="166" t="n">
        <v>0</v>
      </c>
      <c r="BP75" s="166" t="n">
        <v>0</v>
      </c>
      <c r="BQ75" s="166" t="n">
        <v>0</v>
      </c>
      <c r="BR75" s="166" t="n">
        <v>0</v>
      </c>
      <c r="BS75" s="166" t="n">
        <v>0</v>
      </c>
      <c r="BT75" s="166" t="n">
        <v>0</v>
      </c>
      <c r="BU75" s="166" t="n">
        <v>0</v>
      </c>
      <c r="BV75" s="166" t="n">
        <v>0</v>
      </c>
      <c r="BW75" s="166" t="n">
        <v>0</v>
      </c>
      <c r="BX75" s="166" t="n">
        <v>0</v>
      </c>
      <c r="BY75" s="166" t="n">
        <v>0</v>
      </c>
      <c r="BZ75" s="166" t="n">
        <v>0</v>
      </c>
      <c r="CA75" s="166" t="n">
        <v>0</v>
      </c>
      <c r="CB75" s="166" t="n">
        <v>0</v>
      </c>
      <c r="CC75" s="166" t="n">
        <v>0</v>
      </c>
      <c r="CD75" s="166" t="n">
        <v>0</v>
      </c>
      <c r="CE75" s="166" t="n">
        <v>0</v>
      </c>
      <c r="CF75" s="166" t="n">
        <v>0</v>
      </c>
      <c r="CG75" s="166" t="n">
        <v>0</v>
      </c>
      <c r="CH75" s="166" t="n">
        <v>0</v>
      </c>
      <c r="CI75" s="166" t="n">
        <v>0</v>
      </c>
      <c r="CJ75" s="166" t="n">
        <v>0</v>
      </c>
      <c r="CK75" s="166" t="n">
        <v>0</v>
      </c>
      <c r="CL75" s="166" t="n">
        <v>0</v>
      </c>
      <c r="CM75" s="166" t="n">
        <v>0</v>
      </c>
      <c r="CN75" s="166" t="n">
        <v>0</v>
      </c>
      <c r="CO75" s="166" t="n">
        <v>0</v>
      </c>
      <c r="CP75" s="166" t="n">
        <v>0</v>
      </c>
      <c r="CQ75" s="166" t="n">
        <v>0</v>
      </c>
      <c r="CR75" s="166" t="n">
        <v>0</v>
      </c>
      <c r="CS75" s="166" t="n">
        <v>0</v>
      </c>
      <c r="CT75" s="166" t="n">
        <v>0</v>
      </c>
      <c r="CU75" s="166" t="n">
        <v>0</v>
      </c>
      <c r="CV75" s="166" t="n">
        <v>0</v>
      </c>
      <c r="CW75" s="166" t="n">
        <v>0</v>
      </c>
      <c r="CX75" s="166" t="n">
        <v>0</v>
      </c>
      <c r="CY75" s="166" t="n">
        <v>0</v>
      </c>
      <c r="CZ75" s="166" t="n">
        <v>0</v>
      </c>
      <c r="DA75" s="166" t="n">
        <v>0</v>
      </c>
      <c r="DB75" s="166" t="n">
        <v>0</v>
      </c>
      <c r="DC75" s="166" t="n">
        <v>0</v>
      </c>
      <c r="DD75" s="166" t="n">
        <v>0</v>
      </c>
      <c r="DE75" s="166" t="n">
        <v>0</v>
      </c>
      <c r="DF75" s="166" t="n">
        <v>0</v>
      </c>
    </row>
    <row r="76" customFormat="false" ht="15" hidden="false" customHeight="true" outlineLevel="0" collapsed="false">
      <c r="A76" s="140" t="s">
        <v>109</v>
      </c>
      <c r="C76" s="125" t="n">
        <v>0</v>
      </c>
      <c r="D76" s="125" t="n">
        <v>0</v>
      </c>
      <c r="E76" s="125" t="n">
        <v>0</v>
      </c>
      <c r="F76" s="166" t="n">
        <v>0</v>
      </c>
      <c r="G76" s="166" t="n">
        <v>0</v>
      </c>
      <c r="H76" s="166" t="n">
        <v>0</v>
      </c>
      <c r="I76" s="166" t="n">
        <v>0</v>
      </c>
      <c r="J76" s="166" t="n">
        <v>0</v>
      </c>
      <c r="K76" s="166" t="n">
        <v>0</v>
      </c>
      <c r="L76" s="166" t="n">
        <v>0</v>
      </c>
      <c r="M76" s="166" t="n">
        <v>0</v>
      </c>
      <c r="N76" s="166" t="n">
        <v>0</v>
      </c>
      <c r="O76" s="166" t="n">
        <v>0</v>
      </c>
      <c r="P76" s="166" t="n">
        <v>0</v>
      </c>
      <c r="Q76" s="166" t="n">
        <v>0</v>
      </c>
      <c r="R76" s="166" t="n">
        <v>0</v>
      </c>
      <c r="S76" s="166" t="n">
        <v>0</v>
      </c>
      <c r="T76" s="166" t="n">
        <v>0</v>
      </c>
      <c r="U76" s="166" t="n">
        <v>0</v>
      </c>
      <c r="V76" s="166" t="n">
        <v>0</v>
      </c>
      <c r="W76" s="166" t="n">
        <v>0</v>
      </c>
      <c r="X76" s="166" t="n">
        <v>0</v>
      </c>
      <c r="Y76" s="166" t="n">
        <v>0</v>
      </c>
      <c r="Z76" s="166" t="n">
        <v>0</v>
      </c>
      <c r="AA76" s="166" t="n">
        <v>0</v>
      </c>
      <c r="AB76" s="166" t="n">
        <v>0</v>
      </c>
      <c r="AC76" s="166" t="n">
        <v>0</v>
      </c>
      <c r="AD76" s="166" t="n">
        <v>0</v>
      </c>
      <c r="AE76" s="166" t="n">
        <v>0</v>
      </c>
      <c r="AF76" s="166" t="n">
        <v>0</v>
      </c>
      <c r="AG76" s="166" t="n">
        <v>0</v>
      </c>
      <c r="AH76" s="166" t="n">
        <v>0</v>
      </c>
      <c r="AI76" s="166" t="n">
        <v>0</v>
      </c>
      <c r="AJ76" s="166" t="n">
        <v>0</v>
      </c>
      <c r="AK76" s="166" t="n">
        <v>0</v>
      </c>
      <c r="AL76" s="166" t="n">
        <v>0</v>
      </c>
      <c r="AM76" s="166" t="n">
        <v>0</v>
      </c>
      <c r="AN76" s="166" t="n">
        <v>0</v>
      </c>
      <c r="AO76" s="166" t="n">
        <v>0</v>
      </c>
      <c r="AP76" s="166" t="n">
        <v>0</v>
      </c>
      <c r="AQ76" s="166" t="n">
        <v>0</v>
      </c>
      <c r="AR76" s="166" t="n">
        <v>0</v>
      </c>
      <c r="AS76" s="166" t="n">
        <v>0</v>
      </c>
      <c r="AT76" s="166" t="n">
        <v>0</v>
      </c>
      <c r="AU76" s="166" t="n">
        <v>0</v>
      </c>
      <c r="AV76" s="166" t="n">
        <v>0</v>
      </c>
      <c r="AW76" s="166" t="n">
        <v>0</v>
      </c>
      <c r="AX76" s="166" t="n">
        <v>0</v>
      </c>
      <c r="AY76" s="166" t="n">
        <v>0</v>
      </c>
      <c r="AZ76" s="166" t="n">
        <v>0</v>
      </c>
      <c r="BA76" s="166" t="n">
        <v>0</v>
      </c>
      <c r="BB76" s="166" t="n">
        <v>0</v>
      </c>
      <c r="BC76" s="166" t="n">
        <v>0</v>
      </c>
      <c r="BD76" s="166" t="n">
        <v>0</v>
      </c>
      <c r="BE76" s="166" t="n">
        <v>0</v>
      </c>
      <c r="BF76" s="166" t="n">
        <v>0</v>
      </c>
      <c r="BG76" s="166" t="n">
        <v>0</v>
      </c>
      <c r="BH76" s="166" t="n">
        <v>0</v>
      </c>
      <c r="BI76" s="166" t="n">
        <v>0</v>
      </c>
      <c r="BJ76" s="166" t="n">
        <v>0</v>
      </c>
      <c r="BK76" s="166" t="n">
        <v>0</v>
      </c>
      <c r="BL76" s="166" t="n">
        <v>0</v>
      </c>
      <c r="BM76" s="166" t="n">
        <v>0</v>
      </c>
      <c r="BN76" s="166" t="n">
        <v>0</v>
      </c>
      <c r="BO76" s="166" t="n">
        <v>0</v>
      </c>
      <c r="BP76" s="166" t="n">
        <v>0</v>
      </c>
      <c r="BQ76" s="166" t="n">
        <v>0</v>
      </c>
      <c r="BR76" s="166" t="n">
        <v>0</v>
      </c>
      <c r="BS76" s="166" t="n">
        <v>0</v>
      </c>
      <c r="BT76" s="166" t="n">
        <v>0</v>
      </c>
      <c r="BU76" s="166" t="n">
        <v>0</v>
      </c>
      <c r="BV76" s="166" t="n">
        <v>0</v>
      </c>
      <c r="BW76" s="166" t="n">
        <v>0</v>
      </c>
      <c r="BX76" s="166" t="n">
        <v>0</v>
      </c>
      <c r="BY76" s="166" t="n">
        <v>0</v>
      </c>
      <c r="BZ76" s="166" t="n">
        <v>0</v>
      </c>
      <c r="CA76" s="166" t="n">
        <v>0</v>
      </c>
      <c r="CB76" s="166" t="n">
        <v>0</v>
      </c>
      <c r="CC76" s="166" t="n">
        <v>0</v>
      </c>
      <c r="CD76" s="166" t="n">
        <v>0</v>
      </c>
      <c r="CE76" s="166" t="n">
        <v>0</v>
      </c>
      <c r="CF76" s="166" t="n">
        <v>0</v>
      </c>
      <c r="CG76" s="166" t="n">
        <v>0</v>
      </c>
      <c r="CH76" s="166" t="n">
        <v>0</v>
      </c>
      <c r="CI76" s="166" t="n">
        <v>0</v>
      </c>
      <c r="CJ76" s="166" t="n">
        <v>0</v>
      </c>
      <c r="CK76" s="166" t="n">
        <v>0</v>
      </c>
      <c r="CL76" s="166" t="n">
        <v>0</v>
      </c>
      <c r="CM76" s="166" t="n">
        <v>0</v>
      </c>
      <c r="CN76" s="166" t="n">
        <v>0</v>
      </c>
      <c r="CO76" s="166" t="n">
        <v>0</v>
      </c>
      <c r="CP76" s="166" t="n">
        <v>0</v>
      </c>
      <c r="CQ76" s="166" t="n">
        <v>0</v>
      </c>
      <c r="CR76" s="166" t="n">
        <v>0</v>
      </c>
      <c r="CS76" s="166" t="n">
        <v>0</v>
      </c>
      <c r="CT76" s="166" t="n">
        <v>0</v>
      </c>
      <c r="CU76" s="166" t="n">
        <v>0</v>
      </c>
      <c r="CV76" s="166" t="n">
        <v>0</v>
      </c>
      <c r="CW76" s="166" t="n">
        <v>0</v>
      </c>
      <c r="CX76" s="166" t="n">
        <v>0</v>
      </c>
      <c r="CY76" s="166" t="n">
        <v>0</v>
      </c>
      <c r="CZ76" s="166" t="n">
        <v>0</v>
      </c>
      <c r="DA76" s="166" t="n">
        <v>0</v>
      </c>
      <c r="DB76" s="166" t="n">
        <v>0</v>
      </c>
      <c r="DC76" s="166" t="n">
        <v>0</v>
      </c>
      <c r="DD76" s="166" t="n">
        <v>0</v>
      </c>
      <c r="DE76" s="166" t="n">
        <v>0</v>
      </c>
      <c r="DF76" s="166" t="n">
        <v>0</v>
      </c>
    </row>
    <row r="77" customFormat="false" ht="15" hidden="false" customHeight="true" outlineLevel="0" collapsed="false">
      <c r="A77" s="140" t="s">
        <v>110</v>
      </c>
      <c r="C77" s="125" t="n">
        <v>0</v>
      </c>
      <c r="D77" s="125" t="n">
        <v>0</v>
      </c>
      <c r="E77" s="125" t="n">
        <v>0</v>
      </c>
      <c r="F77" s="166" t="n">
        <v>0</v>
      </c>
      <c r="G77" s="166" t="n">
        <v>0</v>
      </c>
      <c r="H77" s="166" t="n">
        <v>0</v>
      </c>
      <c r="I77" s="166" t="n">
        <v>0</v>
      </c>
      <c r="J77" s="166" t="n">
        <v>0</v>
      </c>
      <c r="K77" s="166" t="n">
        <v>0</v>
      </c>
      <c r="L77" s="166" t="n">
        <v>0</v>
      </c>
      <c r="M77" s="166" t="n">
        <v>0</v>
      </c>
      <c r="N77" s="166" t="n">
        <v>0</v>
      </c>
      <c r="O77" s="166" t="n">
        <v>0</v>
      </c>
      <c r="P77" s="166" t="n">
        <v>0</v>
      </c>
      <c r="Q77" s="166" t="n">
        <v>0</v>
      </c>
      <c r="R77" s="166" t="n">
        <v>0</v>
      </c>
      <c r="S77" s="166" t="n">
        <v>0</v>
      </c>
      <c r="T77" s="166" t="n">
        <v>0</v>
      </c>
      <c r="U77" s="166" t="n">
        <v>0</v>
      </c>
      <c r="V77" s="166" t="n">
        <v>0</v>
      </c>
      <c r="W77" s="166" t="n">
        <v>0</v>
      </c>
      <c r="X77" s="166" t="n">
        <v>0</v>
      </c>
      <c r="Y77" s="166" t="n">
        <v>0</v>
      </c>
      <c r="Z77" s="166" t="n">
        <v>0</v>
      </c>
      <c r="AA77" s="166" t="n">
        <v>0</v>
      </c>
      <c r="AB77" s="166" t="n">
        <v>0</v>
      </c>
      <c r="AC77" s="166" t="n">
        <v>0</v>
      </c>
      <c r="AD77" s="166" t="n">
        <v>0</v>
      </c>
      <c r="AE77" s="166" t="n">
        <v>0</v>
      </c>
      <c r="AF77" s="166" t="n">
        <v>0</v>
      </c>
      <c r="AG77" s="166" t="n">
        <v>0</v>
      </c>
      <c r="AH77" s="166" t="n">
        <v>0</v>
      </c>
      <c r="AI77" s="166" t="n">
        <v>0</v>
      </c>
      <c r="AJ77" s="166" t="n">
        <v>0</v>
      </c>
      <c r="AK77" s="166" t="n">
        <v>0</v>
      </c>
      <c r="AL77" s="166" t="n">
        <v>0</v>
      </c>
      <c r="AM77" s="166" t="n">
        <v>0</v>
      </c>
      <c r="AN77" s="166" t="n">
        <v>0</v>
      </c>
      <c r="AO77" s="166" t="n">
        <v>0</v>
      </c>
      <c r="AP77" s="166" t="n">
        <v>0</v>
      </c>
      <c r="AQ77" s="166" t="n">
        <v>0</v>
      </c>
      <c r="AR77" s="166" t="n">
        <v>0</v>
      </c>
      <c r="AS77" s="166" t="n">
        <v>0</v>
      </c>
      <c r="AT77" s="166" t="n">
        <v>0</v>
      </c>
      <c r="AU77" s="166" t="n">
        <v>81683</v>
      </c>
      <c r="AV77" s="166" t="n">
        <v>0</v>
      </c>
      <c r="AW77" s="166" t="n">
        <v>0</v>
      </c>
      <c r="AX77" s="166" t="n">
        <v>81682</v>
      </c>
      <c r="AY77" s="166" t="n">
        <v>0</v>
      </c>
      <c r="AZ77" s="166" t="n">
        <v>0</v>
      </c>
      <c r="BA77" s="166" t="n">
        <v>81682</v>
      </c>
      <c r="BB77" s="166" t="n">
        <v>0</v>
      </c>
      <c r="BC77" s="166" t="n">
        <v>0</v>
      </c>
      <c r="BD77" s="166" t="n">
        <v>81682</v>
      </c>
      <c r="BE77" s="166" t="n">
        <v>0</v>
      </c>
      <c r="BF77" s="166" t="n">
        <v>0</v>
      </c>
      <c r="BG77" s="166" t="n">
        <v>59178</v>
      </c>
      <c r="BH77" s="166" t="n">
        <v>0</v>
      </c>
      <c r="BI77" s="166" t="n">
        <v>0</v>
      </c>
      <c r="BJ77" s="166" t="n">
        <v>59176</v>
      </c>
      <c r="BK77" s="166" t="n">
        <v>0</v>
      </c>
      <c r="BL77" s="166" t="n">
        <v>0</v>
      </c>
      <c r="BM77" s="166" t="n">
        <v>59176</v>
      </c>
      <c r="BN77" s="166" t="n">
        <v>0</v>
      </c>
      <c r="BO77" s="166" t="n">
        <v>0</v>
      </c>
      <c r="BP77" s="166" t="n">
        <v>59176</v>
      </c>
      <c r="BQ77" s="166" t="n">
        <v>0</v>
      </c>
      <c r="BR77" s="166" t="n">
        <v>0</v>
      </c>
      <c r="BS77" s="166" t="n">
        <v>67763</v>
      </c>
      <c r="BT77" s="166" t="n">
        <v>0</v>
      </c>
      <c r="BU77" s="166" t="n">
        <v>0</v>
      </c>
      <c r="BV77" s="166" t="n">
        <v>67762</v>
      </c>
      <c r="BW77" s="166" t="n">
        <v>0</v>
      </c>
      <c r="BX77" s="166" t="n">
        <v>0</v>
      </c>
      <c r="BY77" s="166" t="n">
        <v>67762</v>
      </c>
      <c r="BZ77" s="166" t="n">
        <v>0</v>
      </c>
      <c r="CA77" s="166" t="n">
        <v>0</v>
      </c>
      <c r="CB77" s="166" t="n">
        <v>67762</v>
      </c>
      <c r="CC77" s="166" t="n">
        <v>0</v>
      </c>
      <c r="CD77" s="166" t="n">
        <v>0</v>
      </c>
      <c r="CE77" s="166" t="n">
        <v>76499</v>
      </c>
      <c r="CF77" s="166" t="n">
        <v>0</v>
      </c>
      <c r="CG77" s="166" t="n">
        <v>0</v>
      </c>
      <c r="CH77" s="166" t="n">
        <v>76499</v>
      </c>
      <c r="CI77" s="166" t="n">
        <v>0</v>
      </c>
      <c r="CJ77" s="166" t="n">
        <v>0</v>
      </c>
      <c r="CK77" s="166" t="n">
        <v>76499</v>
      </c>
      <c r="CL77" s="166" t="n">
        <v>76499</v>
      </c>
      <c r="CM77" s="166" t="n">
        <v>76499</v>
      </c>
      <c r="CN77" s="166" t="n">
        <v>76499</v>
      </c>
      <c r="CO77" s="166" t="n">
        <v>76499</v>
      </c>
      <c r="CP77" s="166" t="n">
        <v>76499</v>
      </c>
      <c r="CQ77" s="166" t="n">
        <v>76499</v>
      </c>
      <c r="CR77" s="166" t="n">
        <v>76499</v>
      </c>
      <c r="CS77" s="166" t="n">
        <v>76499</v>
      </c>
      <c r="CT77" s="166" t="n">
        <v>76499</v>
      </c>
      <c r="CU77" s="166" t="n">
        <v>76499</v>
      </c>
      <c r="CV77" s="166" t="n">
        <v>76499</v>
      </c>
      <c r="CW77" s="166" t="n">
        <v>76499</v>
      </c>
      <c r="CX77" s="166" t="n">
        <v>76499</v>
      </c>
      <c r="CY77" s="166" t="n">
        <v>76499</v>
      </c>
      <c r="CZ77" s="166" t="n">
        <v>76499</v>
      </c>
      <c r="DA77" s="166" t="n">
        <v>76499</v>
      </c>
      <c r="DB77" s="166" t="n">
        <v>76499</v>
      </c>
      <c r="DC77" s="166" t="n">
        <v>76499</v>
      </c>
      <c r="DD77" s="166" t="n">
        <v>76499</v>
      </c>
      <c r="DE77" s="166" t="n">
        <v>76499</v>
      </c>
      <c r="DF77" s="166" t="n">
        <v>76499</v>
      </c>
    </row>
    <row r="78" customFormat="false" ht="15" hidden="false" customHeight="true" outlineLevel="0" collapsed="false">
      <c r="A78" s="140" t="s">
        <v>111</v>
      </c>
      <c r="C78" s="125" t="n">
        <v>0</v>
      </c>
      <c r="D78" s="125" t="n">
        <v>0</v>
      </c>
      <c r="E78" s="125" t="n">
        <v>0</v>
      </c>
      <c r="F78" s="166" t="n">
        <v>0</v>
      </c>
      <c r="G78" s="166" t="n">
        <v>0</v>
      </c>
      <c r="H78" s="166" t="n">
        <v>0</v>
      </c>
      <c r="I78" s="166" t="n">
        <v>0</v>
      </c>
      <c r="J78" s="166" t="n">
        <v>0</v>
      </c>
      <c r="K78" s="166" t="n">
        <v>0</v>
      </c>
      <c r="L78" s="166" t="n">
        <v>0</v>
      </c>
      <c r="M78" s="166" t="n">
        <v>0</v>
      </c>
      <c r="N78" s="166" t="n">
        <v>0</v>
      </c>
      <c r="O78" s="166" t="n">
        <v>0</v>
      </c>
      <c r="P78" s="166" t="n">
        <v>0</v>
      </c>
      <c r="Q78" s="166" t="n">
        <v>0</v>
      </c>
      <c r="R78" s="166" t="n">
        <v>0</v>
      </c>
      <c r="S78" s="166" t="n">
        <v>0</v>
      </c>
      <c r="T78" s="166" t="n">
        <v>0</v>
      </c>
      <c r="U78" s="166" t="n">
        <v>0</v>
      </c>
      <c r="V78" s="166" t="n">
        <v>0</v>
      </c>
      <c r="W78" s="166" t="n">
        <v>0</v>
      </c>
      <c r="X78" s="166" t="n">
        <v>0</v>
      </c>
      <c r="Y78" s="166" t="n">
        <v>0</v>
      </c>
      <c r="Z78" s="166" t="n">
        <v>0</v>
      </c>
      <c r="AA78" s="166" t="n">
        <v>0</v>
      </c>
      <c r="AB78" s="166" t="n">
        <v>0</v>
      </c>
      <c r="AC78" s="166" t="n">
        <v>0</v>
      </c>
      <c r="AD78" s="166" t="n">
        <v>0</v>
      </c>
      <c r="AE78" s="166" t="n">
        <v>0</v>
      </c>
      <c r="AF78" s="166" t="n">
        <v>0</v>
      </c>
      <c r="AG78" s="166" t="n">
        <v>0</v>
      </c>
      <c r="AH78" s="166" t="n">
        <v>0</v>
      </c>
      <c r="AI78" s="166" t="n">
        <v>0</v>
      </c>
      <c r="AJ78" s="166" t="n">
        <v>0</v>
      </c>
      <c r="AK78" s="166" t="n">
        <v>0</v>
      </c>
      <c r="AL78" s="166" t="n">
        <v>0</v>
      </c>
      <c r="AM78" s="166" t="n">
        <v>0</v>
      </c>
      <c r="AN78" s="166" t="n">
        <v>0</v>
      </c>
      <c r="AO78" s="166" t="n">
        <v>0</v>
      </c>
      <c r="AP78" s="166" t="n">
        <v>0</v>
      </c>
      <c r="AQ78" s="166" t="n">
        <v>0</v>
      </c>
      <c r="AR78" s="166" t="n">
        <v>0</v>
      </c>
      <c r="AS78" s="166" t="n">
        <v>0</v>
      </c>
      <c r="AT78" s="166" t="n">
        <v>0</v>
      </c>
      <c r="AU78" s="166" t="n">
        <v>0</v>
      </c>
      <c r="AV78" s="166" t="n">
        <v>0</v>
      </c>
      <c r="AW78" s="166" t="n">
        <v>0</v>
      </c>
      <c r="AX78" s="166" t="n">
        <v>0</v>
      </c>
      <c r="AY78" s="166" t="n">
        <v>0</v>
      </c>
      <c r="AZ78" s="166" t="n">
        <v>0</v>
      </c>
      <c r="BA78" s="166" t="n">
        <v>0</v>
      </c>
      <c r="BB78" s="166" t="n">
        <v>0</v>
      </c>
      <c r="BC78" s="166" t="n">
        <v>0</v>
      </c>
      <c r="BD78" s="166" t="n">
        <v>851839</v>
      </c>
      <c r="BE78" s="166" t="n">
        <v>0</v>
      </c>
      <c r="BF78" s="166" t="n">
        <v>0</v>
      </c>
      <c r="BG78" s="166" t="n">
        <v>71700</v>
      </c>
      <c r="BH78" s="166" t="n">
        <v>0</v>
      </c>
      <c r="BI78" s="166" t="n">
        <v>0</v>
      </c>
      <c r="BJ78" s="166" t="n">
        <v>71700</v>
      </c>
      <c r="BK78" s="166" t="n">
        <v>0</v>
      </c>
      <c r="BL78" s="166" t="n">
        <v>0</v>
      </c>
      <c r="BM78" s="166" t="n">
        <v>71700</v>
      </c>
      <c r="BN78" s="166" t="n">
        <v>0</v>
      </c>
      <c r="BO78" s="166" t="n">
        <v>0</v>
      </c>
      <c r="BP78" s="166" t="n">
        <v>71700</v>
      </c>
      <c r="BQ78" s="166" t="n">
        <v>0</v>
      </c>
      <c r="BR78" s="166" t="n">
        <v>0</v>
      </c>
      <c r="BS78" s="166" t="n">
        <v>74643</v>
      </c>
      <c r="BT78" s="166" t="n">
        <v>0</v>
      </c>
      <c r="BU78" s="166" t="n">
        <v>0</v>
      </c>
      <c r="BV78" s="166" t="n">
        <v>74640</v>
      </c>
      <c r="BW78" s="166" t="n">
        <v>0</v>
      </c>
      <c r="BX78" s="166" t="n">
        <v>0</v>
      </c>
      <c r="BY78" s="166" t="n">
        <v>74640</v>
      </c>
      <c r="BZ78" s="166" t="n">
        <v>0</v>
      </c>
      <c r="CA78" s="166" t="n">
        <v>0</v>
      </c>
      <c r="CB78" s="166" t="n">
        <v>74640</v>
      </c>
      <c r="CC78" s="166" t="n">
        <v>0</v>
      </c>
      <c r="CD78" s="166" t="n">
        <v>0</v>
      </c>
      <c r="CE78" s="166" t="n">
        <v>81363</v>
      </c>
      <c r="CF78" s="166" t="n">
        <v>0</v>
      </c>
      <c r="CG78" s="166" t="n">
        <v>0</v>
      </c>
      <c r="CH78" s="166" t="n">
        <v>81362</v>
      </c>
      <c r="CI78" s="166" t="n">
        <v>0</v>
      </c>
      <c r="CJ78" s="166" t="n">
        <v>0</v>
      </c>
      <c r="CK78" s="166" t="n">
        <v>81362</v>
      </c>
      <c r="CL78" s="166" t="n">
        <v>81362</v>
      </c>
      <c r="CM78" s="166" t="n">
        <v>81362</v>
      </c>
      <c r="CN78" s="166" t="n">
        <v>81362</v>
      </c>
      <c r="CO78" s="166" t="n">
        <v>81362</v>
      </c>
      <c r="CP78" s="166" t="n">
        <v>81362</v>
      </c>
      <c r="CQ78" s="166" t="n">
        <v>81362</v>
      </c>
      <c r="CR78" s="166" t="n">
        <v>81362</v>
      </c>
      <c r="CS78" s="166" t="n">
        <v>81362</v>
      </c>
      <c r="CT78" s="166" t="n">
        <v>81362</v>
      </c>
      <c r="CU78" s="166" t="n">
        <v>81362</v>
      </c>
      <c r="CV78" s="166" t="n">
        <v>81362</v>
      </c>
      <c r="CW78" s="166" t="n">
        <v>81362</v>
      </c>
      <c r="CX78" s="166" t="n">
        <v>81362</v>
      </c>
      <c r="CY78" s="166" t="n">
        <v>81362</v>
      </c>
      <c r="CZ78" s="166" t="n">
        <v>81362</v>
      </c>
      <c r="DA78" s="166" t="n">
        <v>81362</v>
      </c>
      <c r="DB78" s="166" t="n">
        <v>81362</v>
      </c>
      <c r="DC78" s="166" t="n">
        <v>81362</v>
      </c>
      <c r="DD78" s="166" t="n">
        <v>81362</v>
      </c>
      <c r="DE78" s="166" t="n">
        <v>81362</v>
      </c>
      <c r="DF78" s="166" t="n">
        <v>81362</v>
      </c>
    </row>
    <row r="79" customFormat="false" ht="15" hidden="false" customHeight="true" outlineLevel="0" collapsed="false">
      <c r="A79" s="140" t="s">
        <v>112</v>
      </c>
      <c r="C79" s="125" t="n">
        <v>0</v>
      </c>
      <c r="D79" s="125" t="n">
        <v>0</v>
      </c>
      <c r="E79" s="125" t="n">
        <v>0</v>
      </c>
      <c r="F79" s="166" t="n">
        <v>0</v>
      </c>
      <c r="G79" s="166" t="n">
        <v>0</v>
      </c>
      <c r="H79" s="166" t="n">
        <v>0</v>
      </c>
      <c r="I79" s="166" t="n">
        <v>0</v>
      </c>
      <c r="J79" s="166" t="n">
        <v>0</v>
      </c>
      <c r="K79" s="166" t="n">
        <v>0</v>
      </c>
      <c r="L79" s="166" t="n">
        <v>0</v>
      </c>
      <c r="M79" s="166" t="n">
        <v>0</v>
      </c>
      <c r="N79" s="166" t="n">
        <v>0</v>
      </c>
      <c r="O79" s="166" t="n">
        <v>0</v>
      </c>
      <c r="P79" s="166" t="n">
        <v>0</v>
      </c>
      <c r="Q79" s="166" t="n">
        <v>0</v>
      </c>
      <c r="R79" s="166" t="n">
        <v>0</v>
      </c>
      <c r="S79" s="166" t="n">
        <v>0</v>
      </c>
      <c r="T79" s="166" t="n">
        <v>0</v>
      </c>
      <c r="U79" s="166" t="n">
        <v>0</v>
      </c>
      <c r="V79" s="166" t="n">
        <v>0</v>
      </c>
      <c r="W79" s="166" t="n">
        <v>0</v>
      </c>
      <c r="X79" s="166" t="n">
        <v>0</v>
      </c>
      <c r="Y79" s="166" t="n">
        <v>0</v>
      </c>
      <c r="Z79" s="166" t="n">
        <v>0</v>
      </c>
      <c r="AA79" s="166" t="n">
        <v>0</v>
      </c>
      <c r="AB79" s="166" t="n">
        <v>0</v>
      </c>
      <c r="AC79" s="166" t="n">
        <v>0</v>
      </c>
      <c r="AD79" s="166" t="n">
        <v>0</v>
      </c>
      <c r="AE79" s="166" t="n">
        <v>0</v>
      </c>
      <c r="AF79" s="166" t="n">
        <v>0</v>
      </c>
      <c r="AG79" s="166" t="n">
        <v>0</v>
      </c>
      <c r="AH79" s="166" t="n">
        <v>0</v>
      </c>
      <c r="AI79" s="166" t="n">
        <v>0</v>
      </c>
      <c r="AJ79" s="166" t="n">
        <v>0</v>
      </c>
      <c r="AK79" s="166" t="n">
        <v>0</v>
      </c>
      <c r="AL79" s="166" t="n">
        <v>0</v>
      </c>
      <c r="AM79" s="166" t="n">
        <v>0</v>
      </c>
      <c r="AN79" s="166" t="n">
        <v>0</v>
      </c>
      <c r="AO79" s="166" t="n">
        <v>0</v>
      </c>
      <c r="AP79" s="166" t="n">
        <v>0</v>
      </c>
      <c r="AQ79" s="166" t="n">
        <v>0</v>
      </c>
      <c r="AR79" s="166" t="n">
        <v>0</v>
      </c>
      <c r="AS79" s="166" t="n">
        <v>0</v>
      </c>
      <c r="AT79" s="166" t="n">
        <v>0</v>
      </c>
      <c r="AU79" s="166" t="n">
        <v>0</v>
      </c>
      <c r="AV79" s="166" t="n">
        <v>0</v>
      </c>
      <c r="AW79" s="166" t="n">
        <v>0</v>
      </c>
      <c r="AX79" s="166" t="n">
        <v>0</v>
      </c>
      <c r="AY79" s="166" t="n">
        <v>0</v>
      </c>
      <c r="AZ79" s="166" t="n">
        <v>0</v>
      </c>
      <c r="BA79" s="166" t="n">
        <v>0</v>
      </c>
      <c r="BB79" s="166" t="n">
        <v>0</v>
      </c>
      <c r="BC79" s="166" t="n">
        <v>0</v>
      </c>
      <c r="BD79" s="166" t="n">
        <v>0</v>
      </c>
      <c r="BE79" s="166" t="n">
        <v>0</v>
      </c>
      <c r="BF79" s="166" t="n">
        <v>0</v>
      </c>
      <c r="BG79" s="166" t="n">
        <v>0</v>
      </c>
      <c r="BH79" s="166" t="n">
        <v>0</v>
      </c>
      <c r="BI79" s="166" t="n">
        <v>0</v>
      </c>
      <c r="BJ79" s="166" t="n">
        <v>0</v>
      </c>
      <c r="BK79" s="166" t="n">
        <v>0</v>
      </c>
      <c r="BL79" s="166" t="n">
        <v>0</v>
      </c>
      <c r="BM79" s="166" t="n">
        <v>0</v>
      </c>
      <c r="BN79" s="166" t="n">
        <v>0</v>
      </c>
      <c r="BO79" s="166" t="n">
        <v>0</v>
      </c>
      <c r="BP79" s="166" t="n">
        <v>0</v>
      </c>
      <c r="BQ79" s="166" t="n">
        <v>0</v>
      </c>
      <c r="BR79" s="166" t="n">
        <v>0</v>
      </c>
      <c r="BS79" s="166" t="n">
        <v>0</v>
      </c>
      <c r="BT79" s="166" t="n">
        <v>0</v>
      </c>
      <c r="BU79" s="166" t="n">
        <v>0</v>
      </c>
      <c r="BV79" s="166" t="n">
        <v>0</v>
      </c>
      <c r="BW79" s="166" t="n">
        <v>0</v>
      </c>
      <c r="BX79" s="166" t="n">
        <v>0</v>
      </c>
      <c r="BY79" s="166" t="n">
        <v>0</v>
      </c>
      <c r="BZ79" s="166" t="n">
        <v>0</v>
      </c>
      <c r="CA79" s="166" t="n">
        <v>0</v>
      </c>
      <c r="CB79" s="166" t="n">
        <v>73156</v>
      </c>
      <c r="CC79" s="166" t="n">
        <v>0</v>
      </c>
      <c r="CD79" s="166" t="n">
        <v>0</v>
      </c>
      <c r="CE79" s="166" t="n">
        <v>73155</v>
      </c>
      <c r="CF79" s="166" t="n">
        <v>0</v>
      </c>
      <c r="CG79" s="166" t="n">
        <v>0</v>
      </c>
      <c r="CH79" s="166" t="n">
        <v>73155</v>
      </c>
      <c r="CI79" s="166" t="n">
        <v>0</v>
      </c>
      <c r="CJ79" s="166" t="n">
        <v>0</v>
      </c>
      <c r="CK79" s="166" t="n">
        <v>73155</v>
      </c>
      <c r="CL79" s="166" t="n">
        <v>73155</v>
      </c>
      <c r="CM79" s="166" t="n">
        <v>73155</v>
      </c>
      <c r="CN79" s="166" t="n">
        <v>73155</v>
      </c>
      <c r="CO79" s="166" t="n">
        <v>73155</v>
      </c>
      <c r="CP79" s="166" t="n">
        <v>73155</v>
      </c>
      <c r="CQ79" s="166" t="n">
        <v>73155</v>
      </c>
      <c r="CR79" s="166" t="n">
        <v>73155</v>
      </c>
      <c r="CS79" s="166" t="n">
        <v>73155</v>
      </c>
      <c r="CT79" s="166" t="n">
        <v>73155</v>
      </c>
      <c r="CU79" s="166" t="n">
        <v>73155</v>
      </c>
      <c r="CV79" s="166" t="n">
        <v>73155</v>
      </c>
      <c r="CW79" s="166" t="n">
        <v>73155</v>
      </c>
      <c r="CX79" s="166" t="n">
        <v>73155</v>
      </c>
      <c r="CY79" s="166" t="n">
        <v>73155</v>
      </c>
      <c r="CZ79" s="166" t="n">
        <v>73155</v>
      </c>
      <c r="DA79" s="166" t="n">
        <v>73155</v>
      </c>
      <c r="DB79" s="166" t="n">
        <v>73155</v>
      </c>
      <c r="DC79" s="166" t="n">
        <v>73155</v>
      </c>
      <c r="DD79" s="166" t="n">
        <v>73155</v>
      </c>
      <c r="DE79" s="166" t="n">
        <v>73155</v>
      </c>
      <c r="DF79" s="166" t="n">
        <v>73155</v>
      </c>
    </row>
    <row r="80" customFormat="false" ht="15" hidden="false" customHeight="true" outlineLevel="0" collapsed="false">
      <c r="A80" s="140" t="s">
        <v>113</v>
      </c>
      <c r="C80" s="125" t="n">
        <v>0</v>
      </c>
      <c r="D80" s="125" t="n">
        <v>0</v>
      </c>
      <c r="E80" s="125" t="n">
        <v>0</v>
      </c>
      <c r="F80" s="166" t="n">
        <v>0</v>
      </c>
      <c r="G80" s="166" t="n">
        <v>0</v>
      </c>
      <c r="H80" s="166" t="n">
        <v>0</v>
      </c>
      <c r="I80" s="166" t="n">
        <v>0</v>
      </c>
      <c r="J80" s="166" t="n">
        <v>0</v>
      </c>
      <c r="K80" s="166" t="n">
        <v>0</v>
      </c>
      <c r="L80" s="166" t="n">
        <v>0</v>
      </c>
      <c r="M80" s="166" t="n">
        <v>0</v>
      </c>
      <c r="N80" s="166" t="n">
        <v>0</v>
      </c>
      <c r="O80" s="166" t="n">
        <v>0</v>
      </c>
      <c r="P80" s="166" t="n">
        <v>0</v>
      </c>
      <c r="Q80" s="166" t="n">
        <v>0</v>
      </c>
      <c r="R80" s="166" t="n">
        <v>0</v>
      </c>
      <c r="S80" s="166" t="n">
        <v>0</v>
      </c>
      <c r="T80" s="166" t="n">
        <v>0</v>
      </c>
      <c r="U80" s="166" t="n">
        <v>0</v>
      </c>
      <c r="V80" s="166" t="n">
        <v>0</v>
      </c>
      <c r="W80" s="166" t="n">
        <v>0</v>
      </c>
      <c r="X80" s="166" t="n">
        <v>0</v>
      </c>
      <c r="Y80" s="166" t="n">
        <v>0</v>
      </c>
      <c r="Z80" s="166" t="n">
        <v>0</v>
      </c>
      <c r="AA80" s="166" t="n">
        <v>0</v>
      </c>
      <c r="AB80" s="166" t="n">
        <v>0</v>
      </c>
      <c r="AC80" s="166" t="n">
        <v>0</v>
      </c>
      <c r="AD80" s="166" t="n">
        <v>0</v>
      </c>
      <c r="AE80" s="166" t="n">
        <v>0</v>
      </c>
      <c r="AF80" s="166" t="n">
        <v>0</v>
      </c>
      <c r="AG80" s="166" t="n">
        <v>0</v>
      </c>
      <c r="AH80" s="166" t="n">
        <v>0</v>
      </c>
      <c r="AI80" s="166" t="n">
        <v>0</v>
      </c>
      <c r="AJ80" s="166" t="n">
        <v>0</v>
      </c>
      <c r="AK80" s="166" t="n">
        <v>0</v>
      </c>
      <c r="AL80" s="166" t="n">
        <v>0</v>
      </c>
      <c r="AM80" s="166" t="n">
        <v>0</v>
      </c>
      <c r="AN80" s="166" t="n">
        <v>0</v>
      </c>
      <c r="AO80" s="166" t="n">
        <v>0</v>
      </c>
      <c r="AP80" s="166" t="n">
        <v>0</v>
      </c>
      <c r="AQ80" s="166" t="n">
        <v>0</v>
      </c>
      <c r="AR80" s="166" t="n">
        <v>0</v>
      </c>
      <c r="AS80" s="166" t="n">
        <v>0</v>
      </c>
      <c r="AT80" s="166" t="n">
        <v>0</v>
      </c>
      <c r="AU80" s="166" t="n">
        <v>0</v>
      </c>
      <c r="AV80" s="166" t="n">
        <v>0</v>
      </c>
      <c r="AW80" s="166" t="n">
        <v>0</v>
      </c>
      <c r="AX80" s="166" t="n">
        <v>0</v>
      </c>
      <c r="AY80" s="166" t="n">
        <v>0</v>
      </c>
      <c r="AZ80" s="166" t="n">
        <v>0</v>
      </c>
      <c r="BA80" s="166" t="n">
        <v>0</v>
      </c>
      <c r="BB80" s="166" t="n">
        <v>0</v>
      </c>
      <c r="BC80" s="166" t="n">
        <v>0</v>
      </c>
      <c r="BD80" s="166" t="n">
        <v>0</v>
      </c>
      <c r="BE80" s="166" t="n">
        <v>0</v>
      </c>
      <c r="BF80" s="166" t="n">
        <v>0</v>
      </c>
      <c r="BG80" s="166" t="n">
        <v>0</v>
      </c>
      <c r="BH80" s="166" t="n">
        <v>0</v>
      </c>
      <c r="BI80" s="166" t="n">
        <v>0</v>
      </c>
      <c r="BJ80" s="166" t="n">
        <v>0</v>
      </c>
      <c r="BK80" s="166" t="n">
        <v>0</v>
      </c>
      <c r="BL80" s="166" t="n">
        <v>0</v>
      </c>
      <c r="BM80" s="166" t="n">
        <v>0</v>
      </c>
      <c r="BN80" s="166" t="n">
        <v>0</v>
      </c>
      <c r="BO80" s="166" t="n">
        <v>0</v>
      </c>
      <c r="BP80" s="166" t="n">
        <v>0</v>
      </c>
      <c r="BQ80" s="166" t="n">
        <v>0</v>
      </c>
      <c r="BR80" s="166" t="n">
        <v>0</v>
      </c>
      <c r="BS80" s="166" t="n">
        <v>0</v>
      </c>
      <c r="BT80" s="166" t="n">
        <v>0</v>
      </c>
      <c r="BU80" s="166" t="n">
        <v>0</v>
      </c>
      <c r="BV80" s="166" t="n">
        <v>0</v>
      </c>
      <c r="BW80" s="166" t="n">
        <v>0</v>
      </c>
      <c r="BX80" s="166" t="n">
        <v>0</v>
      </c>
      <c r="BY80" s="166" t="n">
        <v>0</v>
      </c>
      <c r="BZ80" s="166" t="n">
        <v>0</v>
      </c>
      <c r="CA80" s="166" t="n">
        <v>0</v>
      </c>
      <c r="CB80" s="166" t="n">
        <v>0</v>
      </c>
      <c r="CC80" s="166" t="n">
        <v>0</v>
      </c>
      <c r="CD80" s="166" t="n">
        <v>0</v>
      </c>
      <c r="CE80" s="166" t="n">
        <v>0</v>
      </c>
      <c r="CF80" s="166" t="n">
        <v>0</v>
      </c>
      <c r="CG80" s="166" t="n">
        <v>0</v>
      </c>
      <c r="CH80" s="166" t="n">
        <v>0</v>
      </c>
      <c r="CI80" s="166" t="n">
        <v>0</v>
      </c>
      <c r="CJ80" s="166" t="n">
        <v>0</v>
      </c>
      <c r="CK80" s="166" t="n">
        <v>0</v>
      </c>
      <c r="CL80" s="166" t="n">
        <v>0</v>
      </c>
      <c r="CM80" s="166" t="n">
        <v>0</v>
      </c>
      <c r="CN80" s="166" t="n">
        <v>0</v>
      </c>
      <c r="CO80" s="166" t="n">
        <v>0</v>
      </c>
      <c r="CP80" s="166" t="n">
        <v>0</v>
      </c>
      <c r="CQ80" s="166" t="n">
        <v>0</v>
      </c>
      <c r="CR80" s="166" t="n">
        <v>0</v>
      </c>
      <c r="CS80" s="166" t="n">
        <v>0</v>
      </c>
      <c r="CT80" s="166" t="n">
        <v>0</v>
      </c>
      <c r="CU80" s="166" t="n">
        <v>0</v>
      </c>
      <c r="CV80" s="166" t="n">
        <v>0</v>
      </c>
      <c r="CW80" s="166" t="n">
        <v>0</v>
      </c>
      <c r="CX80" s="166" t="n">
        <v>0</v>
      </c>
      <c r="CY80" s="166" t="n">
        <v>0</v>
      </c>
      <c r="CZ80" s="166" t="n">
        <v>0</v>
      </c>
      <c r="DA80" s="166" t="n">
        <v>0</v>
      </c>
      <c r="DB80" s="166" t="n">
        <v>0</v>
      </c>
      <c r="DC80" s="166" t="n">
        <v>0</v>
      </c>
      <c r="DD80" s="166" t="n">
        <v>0</v>
      </c>
      <c r="DE80" s="166" t="n">
        <v>0</v>
      </c>
      <c r="DF80" s="166" t="n">
        <v>0</v>
      </c>
    </row>
    <row r="81" customFormat="false" ht="15" hidden="false" customHeight="true" outlineLevel="0" collapsed="false">
      <c r="A81" s="121" t="s">
        <v>116</v>
      </c>
      <c r="C81" s="170" t="n">
        <v>34114.58</v>
      </c>
      <c r="D81" s="170" t="n">
        <v>34114.58</v>
      </c>
      <c r="E81" s="170" t="n">
        <v>34114.58</v>
      </c>
      <c r="F81" s="172" t="n">
        <v>43614.58</v>
      </c>
      <c r="G81" s="172" t="n">
        <v>43614.58</v>
      </c>
      <c r="H81" s="172" t="n">
        <v>43614.58</v>
      </c>
      <c r="I81" s="172" t="n">
        <v>43614.58</v>
      </c>
      <c r="J81" s="172" t="n">
        <v>43614.58</v>
      </c>
      <c r="K81" s="172" t="n">
        <v>42781.25</v>
      </c>
      <c r="L81" s="172" t="n">
        <v>42781.25</v>
      </c>
      <c r="M81" s="172" t="n">
        <v>33406.25</v>
      </c>
      <c r="N81" s="172" t="n">
        <v>33406.25</v>
      </c>
      <c r="O81" s="172" t="n">
        <v>33406.25</v>
      </c>
      <c r="P81" s="172" t="n">
        <v>33406.25</v>
      </c>
      <c r="Q81" s="172" t="n">
        <v>33406.25</v>
      </c>
      <c r="R81" s="172" t="n">
        <v>33406.25</v>
      </c>
      <c r="S81" s="172" t="n">
        <v>33406.25</v>
      </c>
      <c r="T81" s="172" t="n">
        <v>33406.25</v>
      </c>
      <c r="U81" s="172" t="n">
        <v>9500</v>
      </c>
      <c r="V81" s="172" t="n">
        <v>9500</v>
      </c>
      <c r="W81" s="172" t="n">
        <v>9500</v>
      </c>
      <c r="X81" s="172" t="n">
        <v>9500</v>
      </c>
      <c r="Y81" s="172" t="n">
        <v>9500</v>
      </c>
      <c r="Z81" s="172" t="n">
        <v>66875</v>
      </c>
      <c r="AA81" s="172" t="n">
        <v>9500</v>
      </c>
      <c r="AB81" s="172" t="n">
        <v>9500</v>
      </c>
      <c r="AC81" s="172" t="n">
        <v>66875</v>
      </c>
      <c r="AD81" s="172" t="n">
        <v>9500</v>
      </c>
      <c r="AE81" s="172" t="n">
        <v>9500</v>
      </c>
      <c r="AF81" s="172" t="n">
        <v>66875</v>
      </c>
      <c r="AG81" s="172" t="n">
        <v>9500</v>
      </c>
      <c r="AH81" s="172" t="n">
        <v>9500</v>
      </c>
      <c r="AI81" s="172" t="n">
        <v>9500</v>
      </c>
      <c r="AJ81" s="172" t="n">
        <v>0</v>
      </c>
      <c r="AK81" s="172" t="n">
        <v>0</v>
      </c>
      <c r="AL81" s="172" t="n">
        <v>0</v>
      </c>
      <c r="AM81" s="172" t="n">
        <v>0</v>
      </c>
      <c r="AN81" s="172" t="n">
        <v>0</v>
      </c>
      <c r="AO81" s="172" t="n">
        <v>0</v>
      </c>
      <c r="AP81" s="172" t="n">
        <v>0</v>
      </c>
      <c r="AQ81" s="172" t="n">
        <v>0</v>
      </c>
      <c r="AR81" s="172" t="n">
        <v>0</v>
      </c>
      <c r="AS81" s="172" t="n">
        <v>0</v>
      </c>
      <c r="AT81" s="172" t="n">
        <v>0</v>
      </c>
      <c r="AU81" s="172" t="n">
        <v>81683</v>
      </c>
      <c r="AV81" s="172" t="n">
        <v>0</v>
      </c>
      <c r="AW81" s="172" t="n">
        <v>0</v>
      </c>
      <c r="AX81" s="172" t="n">
        <v>81682</v>
      </c>
      <c r="AY81" s="172" t="n">
        <v>0</v>
      </c>
      <c r="AZ81" s="172" t="n">
        <v>0</v>
      </c>
      <c r="BA81" s="172" t="n">
        <v>81682</v>
      </c>
      <c r="BB81" s="172" t="n">
        <v>0</v>
      </c>
      <c r="BC81" s="172" t="n">
        <v>0</v>
      </c>
      <c r="BD81" s="172" t="n">
        <v>933521</v>
      </c>
      <c r="BE81" s="172" t="n">
        <v>0</v>
      </c>
      <c r="BF81" s="172" t="n">
        <v>0</v>
      </c>
      <c r="BG81" s="172" t="n">
        <v>130878</v>
      </c>
      <c r="BH81" s="172" t="n">
        <v>0</v>
      </c>
      <c r="BI81" s="172" t="n">
        <v>0</v>
      </c>
      <c r="BJ81" s="172" t="n">
        <v>130876</v>
      </c>
      <c r="BK81" s="172" t="n">
        <v>0</v>
      </c>
      <c r="BL81" s="172" t="n">
        <v>0</v>
      </c>
      <c r="BM81" s="172" t="n">
        <v>130876</v>
      </c>
      <c r="BN81" s="172" t="n">
        <v>0</v>
      </c>
      <c r="BO81" s="172" t="n">
        <v>0</v>
      </c>
      <c r="BP81" s="172" t="n">
        <v>130876</v>
      </c>
      <c r="BQ81" s="172" t="n">
        <v>0</v>
      </c>
      <c r="BR81" s="172" t="n">
        <v>0</v>
      </c>
      <c r="BS81" s="172" t="n">
        <v>142406</v>
      </c>
      <c r="BT81" s="172" t="n">
        <v>0</v>
      </c>
      <c r="BU81" s="172" t="n">
        <v>0</v>
      </c>
      <c r="BV81" s="172" t="n">
        <v>142402</v>
      </c>
      <c r="BW81" s="172" t="n">
        <v>0</v>
      </c>
      <c r="BX81" s="172" t="n">
        <v>0</v>
      </c>
      <c r="BY81" s="172" t="n">
        <v>142402</v>
      </c>
      <c r="BZ81" s="172" t="n">
        <v>0</v>
      </c>
      <c r="CA81" s="172" t="n">
        <v>0</v>
      </c>
      <c r="CB81" s="172" t="n">
        <v>215558</v>
      </c>
      <c r="CC81" s="172" t="n">
        <v>0</v>
      </c>
      <c r="CD81" s="172" t="n">
        <v>0</v>
      </c>
      <c r="CE81" s="172" t="n">
        <v>231017</v>
      </c>
      <c r="CF81" s="172" t="n">
        <v>0</v>
      </c>
      <c r="CG81" s="172" t="n">
        <v>0</v>
      </c>
      <c r="CH81" s="172" t="n">
        <v>231016</v>
      </c>
      <c r="CI81" s="172" t="n">
        <v>0</v>
      </c>
      <c r="CJ81" s="172" t="n">
        <v>0</v>
      </c>
      <c r="CK81" s="172" t="n">
        <v>231016</v>
      </c>
      <c r="CL81" s="172" t="n">
        <v>231016</v>
      </c>
      <c r="CM81" s="172" t="n">
        <v>231016</v>
      </c>
      <c r="CN81" s="172" t="n">
        <v>231016</v>
      </c>
      <c r="CO81" s="172" t="n">
        <v>231016</v>
      </c>
      <c r="CP81" s="172" t="n">
        <v>231016</v>
      </c>
      <c r="CQ81" s="172" t="n">
        <v>231016</v>
      </c>
      <c r="CR81" s="172" t="n">
        <v>231016</v>
      </c>
      <c r="CS81" s="172" t="n">
        <v>231016</v>
      </c>
      <c r="CT81" s="172" t="n">
        <v>231016</v>
      </c>
      <c r="CU81" s="172" t="n">
        <v>231016</v>
      </c>
      <c r="CV81" s="172" t="n">
        <v>231016</v>
      </c>
      <c r="CW81" s="172" t="n">
        <v>231016</v>
      </c>
      <c r="CX81" s="172" t="n">
        <v>231016</v>
      </c>
      <c r="CY81" s="172" t="n">
        <v>231016</v>
      </c>
      <c r="CZ81" s="172" t="n">
        <v>231016</v>
      </c>
      <c r="DA81" s="172" t="n">
        <v>231016</v>
      </c>
      <c r="DB81" s="172" t="n">
        <v>231016</v>
      </c>
      <c r="DC81" s="172" t="n">
        <v>231016</v>
      </c>
      <c r="DD81" s="172" t="n">
        <v>231016</v>
      </c>
      <c r="DE81" s="172" t="n">
        <v>231016</v>
      </c>
      <c r="DF81" s="172" t="n">
        <v>231016</v>
      </c>
    </row>
    <row r="82" customFormat="false" ht="15" hidden="false" customHeight="true" outlineLevel="0" collapsed="false">
      <c r="A82" s="140"/>
      <c r="C82" s="125" t="n">
        <v>0</v>
      </c>
      <c r="D82" s="125" t="n">
        <v>0</v>
      </c>
      <c r="E82" s="125" t="n">
        <v>0</v>
      </c>
      <c r="F82" s="166" t="n">
        <v>0</v>
      </c>
      <c r="G82" s="166" t="n">
        <v>0</v>
      </c>
      <c r="H82" s="166" t="n">
        <v>0</v>
      </c>
      <c r="I82" s="166" t="n">
        <v>0</v>
      </c>
      <c r="J82" s="166" t="n">
        <v>0</v>
      </c>
      <c r="K82" s="166" t="n">
        <v>0</v>
      </c>
      <c r="L82" s="166" t="n">
        <v>0</v>
      </c>
      <c r="M82" s="166" t="n">
        <v>0</v>
      </c>
      <c r="N82" s="166" t="n">
        <v>0</v>
      </c>
      <c r="O82" s="166" t="n">
        <v>0</v>
      </c>
      <c r="P82" s="166" t="n">
        <v>0</v>
      </c>
      <c r="Q82" s="166" t="n">
        <v>0</v>
      </c>
      <c r="R82" s="166" t="n">
        <v>0</v>
      </c>
      <c r="S82" s="166" t="n">
        <v>0</v>
      </c>
      <c r="T82" s="166" t="n">
        <v>0</v>
      </c>
      <c r="U82" s="166" t="n">
        <v>0</v>
      </c>
      <c r="V82" s="166" t="n">
        <v>0</v>
      </c>
      <c r="W82" s="166" t="n">
        <v>0</v>
      </c>
      <c r="X82" s="166" t="n">
        <v>0</v>
      </c>
      <c r="Y82" s="166" t="n">
        <v>0</v>
      </c>
      <c r="Z82" s="166" t="n">
        <v>0</v>
      </c>
      <c r="AA82" s="166" t="n">
        <v>0</v>
      </c>
      <c r="AB82" s="166" t="n">
        <v>0</v>
      </c>
      <c r="AC82" s="166" t="n">
        <v>0</v>
      </c>
      <c r="AD82" s="166" t="n">
        <v>0</v>
      </c>
      <c r="AE82" s="166" t="n">
        <v>0</v>
      </c>
      <c r="AF82" s="166" t="n">
        <v>0</v>
      </c>
      <c r="AG82" s="166" t="n">
        <v>0</v>
      </c>
      <c r="AH82" s="166" t="n">
        <v>0</v>
      </c>
      <c r="AI82" s="166" t="n">
        <v>0</v>
      </c>
      <c r="AJ82" s="166" t="n">
        <v>0</v>
      </c>
      <c r="AK82" s="166" t="n">
        <v>0</v>
      </c>
      <c r="AL82" s="166" t="n">
        <v>0</v>
      </c>
      <c r="AM82" s="166" t="n">
        <v>0</v>
      </c>
      <c r="AN82" s="166" t="n">
        <v>0</v>
      </c>
      <c r="AO82" s="166" t="n">
        <v>0</v>
      </c>
      <c r="AP82" s="166" t="n">
        <v>0</v>
      </c>
      <c r="AQ82" s="166" t="n">
        <v>0</v>
      </c>
      <c r="AR82" s="166" t="n">
        <v>0</v>
      </c>
      <c r="AS82" s="166" t="n">
        <v>0</v>
      </c>
      <c r="AT82" s="166" t="n">
        <v>0</v>
      </c>
      <c r="AU82" s="166" t="n">
        <v>0</v>
      </c>
      <c r="AV82" s="166" t="n">
        <v>0</v>
      </c>
      <c r="AW82" s="166" t="n">
        <v>0</v>
      </c>
      <c r="AX82" s="166" t="n">
        <v>0</v>
      </c>
      <c r="AY82" s="166" t="n">
        <v>0</v>
      </c>
      <c r="AZ82" s="166" t="n">
        <v>0</v>
      </c>
      <c r="BA82" s="166" t="n">
        <v>0</v>
      </c>
      <c r="BB82" s="166" t="n">
        <v>0</v>
      </c>
      <c r="BC82" s="166" t="n">
        <v>0</v>
      </c>
      <c r="BD82" s="166" t="n">
        <v>0</v>
      </c>
      <c r="BE82" s="166" t="n">
        <v>0</v>
      </c>
      <c r="BF82" s="166" t="n">
        <v>0</v>
      </c>
      <c r="BG82" s="166" t="n">
        <v>0</v>
      </c>
      <c r="BH82" s="166" t="n">
        <v>0</v>
      </c>
      <c r="BI82" s="166" t="n">
        <v>0</v>
      </c>
      <c r="BJ82" s="166" t="n">
        <v>0</v>
      </c>
      <c r="BK82" s="166" t="n">
        <v>0</v>
      </c>
      <c r="BL82" s="166" t="n">
        <v>0</v>
      </c>
      <c r="BM82" s="166" t="n">
        <v>0</v>
      </c>
      <c r="BN82" s="166" t="n">
        <v>0</v>
      </c>
      <c r="BO82" s="166" t="n">
        <v>0</v>
      </c>
      <c r="BP82" s="166" t="n">
        <v>0</v>
      </c>
      <c r="BQ82" s="166" t="n">
        <v>0</v>
      </c>
      <c r="BR82" s="166" t="n">
        <v>0</v>
      </c>
      <c r="BS82" s="166" t="n">
        <v>0</v>
      </c>
      <c r="BT82" s="166" t="n">
        <v>0</v>
      </c>
      <c r="BU82" s="166" t="n">
        <v>0</v>
      </c>
      <c r="BV82" s="166" t="n">
        <v>0</v>
      </c>
      <c r="BW82" s="166" t="n">
        <v>0</v>
      </c>
      <c r="BX82" s="166" t="n">
        <v>0</v>
      </c>
      <c r="BY82" s="166" t="n">
        <v>0</v>
      </c>
      <c r="BZ82" s="166" t="n">
        <v>0</v>
      </c>
      <c r="CA82" s="166" t="n">
        <v>0</v>
      </c>
      <c r="CB82" s="166" t="n">
        <v>0</v>
      </c>
      <c r="CC82" s="166" t="n">
        <v>0</v>
      </c>
      <c r="CD82" s="166" t="n">
        <v>0</v>
      </c>
      <c r="CE82" s="166" t="n">
        <v>0</v>
      </c>
      <c r="CF82" s="166" t="n">
        <v>0</v>
      </c>
      <c r="CG82" s="166" t="n">
        <v>0</v>
      </c>
      <c r="CH82" s="166" t="n">
        <v>0</v>
      </c>
      <c r="CI82" s="166" t="n">
        <v>0</v>
      </c>
      <c r="CJ82" s="166" t="n">
        <v>0</v>
      </c>
      <c r="CK82" s="166" t="n">
        <v>0</v>
      </c>
      <c r="CL82" s="166" t="n">
        <v>0</v>
      </c>
      <c r="CM82" s="166" t="n">
        <v>0</v>
      </c>
      <c r="CN82" s="166" t="n">
        <v>0</v>
      </c>
      <c r="CO82" s="166" t="n">
        <v>0</v>
      </c>
      <c r="CP82" s="166" t="n">
        <v>0</v>
      </c>
      <c r="CQ82" s="166" t="n">
        <v>0</v>
      </c>
      <c r="CR82" s="166" t="n">
        <v>0</v>
      </c>
      <c r="CS82" s="166" t="n">
        <v>0</v>
      </c>
      <c r="CT82" s="166" t="n">
        <v>0</v>
      </c>
      <c r="CU82" s="166" t="n">
        <v>0</v>
      </c>
      <c r="CV82" s="166" t="n">
        <v>0</v>
      </c>
      <c r="CW82" s="166" t="n">
        <v>0</v>
      </c>
      <c r="CX82" s="166" t="n">
        <v>0</v>
      </c>
      <c r="CY82" s="166" t="n">
        <v>0</v>
      </c>
      <c r="CZ82" s="166" t="n">
        <v>0</v>
      </c>
      <c r="DA82" s="166" t="n">
        <v>0</v>
      </c>
      <c r="DB82" s="166" t="n">
        <v>0</v>
      </c>
      <c r="DC82" s="166" t="n">
        <v>0</v>
      </c>
      <c r="DD82" s="166" t="n">
        <v>0</v>
      </c>
      <c r="DE82" s="166" t="n">
        <v>0</v>
      </c>
      <c r="DF82" s="166" t="n">
        <v>0</v>
      </c>
    </row>
    <row r="83" customFormat="false" ht="15" hidden="false" customHeight="true" outlineLevel="0" collapsed="false">
      <c r="A83" s="140" t="s">
        <v>60</v>
      </c>
      <c r="C83" s="125" t="n">
        <v>-54421</v>
      </c>
      <c r="D83" s="125" t="n">
        <v>-54166.68</v>
      </c>
      <c r="E83" s="125" t="n">
        <v>-54166.68</v>
      </c>
      <c r="F83" s="166" t="n">
        <v>-11458.3333333333</v>
      </c>
      <c r="G83" s="166" t="n">
        <v>-11458.3333333333</v>
      </c>
      <c r="H83" s="166" t="n">
        <v>-11458.3333333333</v>
      </c>
      <c r="I83" s="166" t="n">
        <v>-11458.3333333333</v>
      </c>
      <c r="J83" s="166" t="n">
        <v>-11458.3333333333</v>
      </c>
      <c r="K83" s="166" t="n">
        <v>-11458.3333333333</v>
      </c>
      <c r="L83" s="166" t="n">
        <v>-11458.3333333333</v>
      </c>
      <c r="M83" s="166" t="n">
        <v>-11458.3333333333</v>
      </c>
      <c r="N83" s="166" t="n">
        <v>-11458.3333333333</v>
      </c>
      <c r="O83" s="166" t="n">
        <v>-11458.3333333333</v>
      </c>
      <c r="P83" s="166" t="n">
        <v>-11458.3333333333</v>
      </c>
      <c r="Q83" s="166" t="n">
        <v>-11458.3333333333</v>
      </c>
      <c r="R83" s="166" t="n">
        <v>-11687.5</v>
      </c>
      <c r="S83" s="166" t="n">
        <v>-11687.5</v>
      </c>
      <c r="T83" s="166" t="n">
        <v>-11687.5</v>
      </c>
      <c r="U83" s="166" t="n">
        <v>-11687.5</v>
      </c>
      <c r="V83" s="166" t="n">
        <v>-11687.5</v>
      </c>
      <c r="W83" s="166" t="n">
        <v>-11687.5</v>
      </c>
      <c r="X83" s="166" t="n">
        <v>-11687.5</v>
      </c>
      <c r="Y83" s="166" t="n">
        <v>-11687.5</v>
      </c>
      <c r="Z83" s="166" t="n">
        <v>-11687.5</v>
      </c>
      <c r="AA83" s="166" t="n">
        <v>-11687.5</v>
      </c>
      <c r="AB83" s="166" t="n">
        <v>-11687.5</v>
      </c>
      <c r="AC83" s="166" t="n">
        <v>-11687.5</v>
      </c>
      <c r="AD83" s="166" t="n">
        <v>-11921.25</v>
      </c>
      <c r="AE83" s="166" t="n">
        <v>-11921.25</v>
      </c>
      <c r="AF83" s="166" t="n">
        <v>-11921.25</v>
      </c>
      <c r="AG83" s="166" t="n">
        <v>-11921.25</v>
      </c>
      <c r="AH83" s="166" t="n">
        <v>-11921.25</v>
      </c>
      <c r="AI83" s="166" t="n">
        <v>-11921.25</v>
      </c>
      <c r="AJ83" s="166" t="n">
        <v>-11921.25</v>
      </c>
      <c r="AK83" s="166" t="n">
        <v>-11921.25</v>
      </c>
      <c r="AL83" s="166" t="n">
        <v>-11921.25</v>
      </c>
      <c r="AM83" s="166" t="n">
        <v>-11921.25</v>
      </c>
      <c r="AN83" s="166" t="n">
        <v>-11921.25</v>
      </c>
      <c r="AO83" s="166" t="n">
        <v>-11921.25</v>
      </c>
      <c r="AP83" s="166" t="n">
        <v>-12159.675</v>
      </c>
      <c r="AQ83" s="166" t="n">
        <v>-12159.675</v>
      </c>
      <c r="AR83" s="166" t="n">
        <v>-12159.675</v>
      </c>
      <c r="AS83" s="166" t="n">
        <v>-12159.675</v>
      </c>
      <c r="AT83" s="166" t="n">
        <v>-12159.675</v>
      </c>
      <c r="AU83" s="166" t="n">
        <v>-12159.675</v>
      </c>
      <c r="AV83" s="166" t="n">
        <v>-12159.675</v>
      </c>
      <c r="AW83" s="166" t="n">
        <v>-12159.675</v>
      </c>
      <c r="AX83" s="166" t="n">
        <v>-12159.675</v>
      </c>
      <c r="AY83" s="166" t="n">
        <v>-12159.675</v>
      </c>
      <c r="AZ83" s="166" t="n">
        <v>-12159.675</v>
      </c>
      <c r="BA83" s="166" t="n">
        <v>-12159.675</v>
      </c>
      <c r="BB83" s="166" t="n">
        <v>-12402.8685</v>
      </c>
      <c r="BC83" s="166" t="n">
        <v>-12402.8685</v>
      </c>
      <c r="BD83" s="166" t="n">
        <v>-12402.8685</v>
      </c>
      <c r="BE83" s="166" t="n">
        <v>-12402.8685</v>
      </c>
      <c r="BF83" s="166" t="n">
        <v>-12402.8685</v>
      </c>
      <c r="BG83" s="166" t="n">
        <v>-12402.8685</v>
      </c>
      <c r="BH83" s="166" t="n">
        <v>-12402.8685</v>
      </c>
      <c r="BI83" s="166" t="n">
        <v>-12402.8685</v>
      </c>
      <c r="BJ83" s="166" t="n">
        <v>-12402.8685</v>
      </c>
      <c r="BK83" s="166" t="n">
        <v>-12402.8685</v>
      </c>
      <c r="BL83" s="166" t="n">
        <v>-12402.8685</v>
      </c>
      <c r="BM83" s="166" t="n">
        <v>-12402.8685</v>
      </c>
      <c r="BN83" s="166" t="n">
        <v>-12650.92587</v>
      </c>
      <c r="BO83" s="166" t="n">
        <v>-12650.92587</v>
      </c>
      <c r="BP83" s="166" t="n">
        <v>-12650.92587</v>
      </c>
      <c r="BQ83" s="166" t="n">
        <v>-12650.92587</v>
      </c>
      <c r="BR83" s="166" t="n">
        <v>-12650.92587</v>
      </c>
      <c r="BS83" s="166" t="n">
        <v>-12650.92587</v>
      </c>
      <c r="BT83" s="166" t="n">
        <v>-12650.92587</v>
      </c>
      <c r="BU83" s="166" t="n">
        <v>-12650.92587</v>
      </c>
      <c r="BV83" s="166" t="n">
        <v>-12650.92587</v>
      </c>
      <c r="BW83" s="166" t="n">
        <v>-12650.92587</v>
      </c>
      <c r="BX83" s="166" t="n">
        <v>-12650.92587</v>
      </c>
      <c r="BY83" s="166" t="n">
        <v>-12650.92587</v>
      </c>
      <c r="BZ83" s="166" t="n">
        <v>-12903.9443874</v>
      </c>
      <c r="CA83" s="166" t="n">
        <v>-12903.9443874</v>
      </c>
      <c r="CB83" s="166" t="n">
        <v>-12903.9443874</v>
      </c>
      <c r="CC83" s="166" t="n">
        <v>-12903.9443874</v>
      </c>
      <c r="CD83" s="166" t="n">
        <v>-12903.9443874</v>
      </c>
      <c r="CE83" s="166" t="n">
        <v>-12903.9443874</v>
      </c>
      <c r="CF83" s="166" t="n">
        <v>-12903.9443874</v>
      </c>
      <c r="CG83" s="166" t="n">
        <v>-12903.9443874</v>
      </c>
      <c r="CH83" s="166" t="n">
        <v>-12903.9443874</v>
      </c>
      <c r="CI83" s="166" t="n">
        <v>-12903.9443874</v>
      </c>
      <c r="CJ83" s="166" t="n">
        <v>-12903.9443874</v>
      </c>
      <c r="CK83" s="166" t="n">
        <v>-12903.9443874</v>
      </c>
      <c r="CL83" s="166" t="n">
        <v>-13162.023275148</v>
      </c>
      <c r="CM83" s="166" t="n">
        <v>-13162.023275148</v>
      </c>
      <c r="CN83" s="166" t="n">
        <v>-13162.023275148</v>
      </c>
      <c r="CO83" s="166" t="n">
        <v>-13162.023275148</v>
      </c>
      <c r="CP83" s="166" t="n">
        <v>-13162.023275148</v>
      </c>
      <c r="CQ83" s="166" t="n">
        <v>-13162.023275148</v>
      </c>
      <c r="CR83" s="166" t="n">
        <v>-13162.023275148</v>
      </c>
      <c r="CS83" s="166" t="n">
        <v>-13162.023275148</v>
      </c>
      <c r="CT83" s="166" t="n">
        <v>-13162.023275148</v>
      </c>
      <c r="CU83" s="166" t="n">
        <v>-13162.023275148</v>
      </c>
      <c r="CV83" s="166" t="n">
        <v>-13162.023275148</v>
      </c>
      <c r="CW83" s="166" t="n">
        <v>-13162.023275148</v>
      </c>
      <c r="CX83" s="166" t="n">
        <v>-13425.263740651</v>
      </c>
      <c r="CY83" s="166" t="n">
        <v>-13425.263740651</v>
      </c>
      <c r="CZ83" s="166" t="n">
        <v>-13425.263740651</v>
      </c>
      <c r="DA83" s="166" t="n">
        <v>-13425.263740651</v>
      </c>
      <c r="DB83" s="166" t="n">
        <v>-13425.263740651</v>
      </c>
      <c r="DC83" s="166" t="n">
        <v>-13425.263740651</v>
      </c>
      <c r="DD83" s="166" t="n">
        <v>-13425.263740651</v>
      </c>
      <c r="DE83" s="166" t="n">
        <v>-13425.263740651</v>
      </c>
      <c r="DF83" s="166" t="n">
        <v>-13425.263740651</v>
      </c>
    </row>
    <row r="84" customFormat="false" ht="15" hidden="false" customHeight="true" outlineLevel="0" collapsed="false">
      <c r="A84" s="140" t="s">
        <v>61</v>
      </c>
      <c r="C84" s="125" t="n">
        <v>-5302</v>
      </c>
      <c r="D84" s="125" t="n">
        <v>-4279.79</v>
      </c>
      <c r="E84" s="125" t="n">
        <v>-4145.97</v>
      </c>
      <c r="F84" s="166" t="n">
        <v>-802.083333333334</v>
      </c>
      <c r="G84" s="166" t="n">
        <v>-802.083333333334</v>
      </c>
      <c r="H84" s="166" t="n">
        <v>-802.083333333334</v>
      </c>
      <c r="I84" s="166" t="n">
        <v>-802.083333333334</v>
      </c>
      <c r="J84" s="166" t="n">
        <v>-802.083333333334</v>
      </c>
      <c r="K84" s="166" t="n">
        <v>-802.083333333334</v>
      </c>
      <c r="L84" s="166" t="n">
        <v>-802.083333333334</v>
      </c>
      <c r="M84" s="166" t="n">
        <v>-802.083333333334</v>
      </c>
      <c r="N84" s="166" t="n">
        <v>-802.083333333334</v>
      </c>
      <c r="O84" s="166" t="n">
        <v>-802.083333333334</v>
      </c>
      <c r="P84" s="166" t="n">
        <v>-802.083333333334</v>
      </c>
      <c r="Q84" s="166" t="n">
        <v>-802.083333333334</v>
      </c>
      <c r="R84" s="166" t="n">
        <v>-818.125</v>
      </c>
      <c r="S84" s="166" t="n">
        <v>-818.125</v>
      </c>
      <c r="T84" s="166" t="n">
        <v>-818.125</v>
      </c>
      <c r="U84" s="166" t="n">
        <v>-818.125</v>
      </c>
      <c r="V84" s="166" t="n">
        <v>-818.125</v>
      </c>
      <c r="W84" s="166" t="n">
        <v>-818.125</v>
      </c>
      <c r="X84" s="166" t="n">
        <v>-818.125</v>
      </c>
      <c r="Y84" s="166" t="n">
        <v>-818.125</v>
      </c>
      <c r="Z84" s="166" t="n">
        <v>-818.125</v>
      </c>
      <c r="AA84" s="166" t="n">
        <v>-818.125</v>
      </c>
      <c r="AB84" s="166" t="n">
        <v>-818.125</v>
      </c>
      <c r="AC84" s="166" t="n">
        <v>-818.125</v>
      </c>
      <c r="AD84" s="166" t="n">
        <v>-834.4875</v>
      </c>
      <c r="AE84" s="166" t="n">
        <v>-834.4875</v>
      </c>
      <c r="AF84" s="166" t="n">
        <v>-834.4875</v>
      </c>
      <c r="AG84" s="166" t="n">
        <v>-834.4875</v>
      </c>
      <c r="AH84" s="166" t="n">
        <v>-834.4875</v>
      </c>
      <c r="AI84" s="166" t="n">
        <v>-834.4875</v>
      </c>
      <c r="AJ84" s="166" t="n">
        <v>-834.4875</v>
      </c>
      <c r="AK84" s="166" t="n">
        <v>-834.4875</v>
      </c>
      <c r="AL84" s="166" t="n">
        <v>-834.4875</v>
      </c>
      <c r="AM84" s="166" t="n">
        <v>-834.4875</v>
      </c>
      <c r="AN84" s="166" t="n">
        <v>-834.4875</v>
      </c>
      <c r="AO84" s="166" t="n">
        <v>-834.4875</v>
      </c>
      <c r="AP84" s="166" t="n">
        <v>-851.17725</v>
      </c>
      <c r="AQ84" s="166" t="n">
        <v>-851.17725</v>
      </c>
      <c r="AR84" s="166" t="n">
        <v>-851.17725</v>
      </c>
      <c r="AS84" s="166" t="n">
        <v>-851.17725</v>
      </c>
      <c r="AT84" s="166" t="n">
        <v>-851.17725</v>
      </c>
      <c r="AU84" s="166" t="n">
        <v>-851.17725</v>
      </c>
      <c r="AV84" s="166" t="n">
        <v>-851.17725</v>
      </c>
      <c r="AW84" s="166" t="n">
        <v>-851.17725</v>
      </c>
      <c r="AX84" s="166" t="n">
        <v>-851.17725</v>
      </c>
      <c r="AY84" s="166" t="n">
        <v>-851.17725</v>
      </c>
      <c r="AZ84" s="166" t="n">
        <v>-851.17725</v>
      </c>
      <c r="BA84" s="166" t="n">
        <v>-851.17725</v>
      </c>
      <c r="BB84" s="166" t="n">
        <v>-868.200795</v>
      </c>
      <c r="BC84" s="166" t="n">
        <v>-868.200795</v>
      </c>
      <c r="BD84" s="166" t="n">
        <v>-868.200795</v>
      </c>
      <c r="BE84" s="166" t="n">
        <v>-868.200795</v>
      </c>
      <c r="BF84" s="166" t="n">
        <v>-868.200795</v>
      </c>
      <c r="BG84" s="166" t="n">
        <v>-868.200795</v>
      </c>
      <c r="BH84" s="166" t="n">
        <v>-868.200795</v>
      </c>
      <c r="BI84" s="166" t="n">
        <v>-868.200795</v>
      </c>
      <c r="BJ84" s="166" t="n">
        <v>-868.200795</v>
      </c>
      <c r="BK84" s="166" t="n">
        <v>-868.200795</v>
      </c>
      <c r="BL84" s="166" t="n">
        <v>-868.200795</v>
      </c>
      <c r="BM84" s="166" t="n">
        <v>-868.200795</v>
      </c>
      <c r="BN84" s="166" t="n">
        <v>-885.5648109</v>
      </c>
      <c r="BO84" s="166" t="n">
        <v>-885.5648109</v>
      </c>
      <c r="BP84" s="166" t="n">
        <v>-885.5648109</v>
      </c>
      <c r="BQ84" s="166" t="n">
        <v>-885.5648109</v>
      </c>
      <c r="BR84" s="166" t="n">
        <v>-885.5648109</v>
      </c>
      <c r="BS84" s="166" t="n">
        <v>-885.5648109</v>
      </c>
      <c r="BT84" s="166" t="n">
        <v>-885.5648109</v>
      </c>
      <c r="BU84" s="166" t="n">
        <v>-885.5648109</v>
      </c>
      <c r="BV84" s="166" t="n">
        <v>-885.5648109</v>
      </c>
      <c r="BW84" s="166" t="n">
        <v>-885.5648109</v>
      </c>
      <c r="BX84" s="166" t="n">
        <v>-885.5648109</v>
      </c>
      <c r="BY84" s="166" t="n">
        <v>-885.5648109</v>
      </c>
      <c r="BZ84" s="166" t="n">
        <v>-903.276107118</v>
      </c>
      <c r="CA84" s="166" t="n">
        <v>-903.276107118</v>
      </c>
      <c r="CB84" s="166" t="n">
        <v>-903.276107118</v>
      </c>
      <c r="CC84" s="166" t="n">
        <v>-903.276107118</v>
      </c>
      <c r="CD84" s="166" t="n">
        <v>-903.276107118</v>
      </c>
      <c r="CE84" s="166" t="n">
        <v>-903.276107118</v>
      </c>
      <c r="CF84" s="166" t="n">
        <v>-903.276107118</v>
      </c>
      <c r="CG84" s="166" t="n">
        <v>-903.276107118</v>
      </c>
      <c r="CH84" s="166" t="n">
        <v>-903.276107118</v>
      </c>
      <c r="CI84" s="166" t="n">
        <v>-903.276107118</v>
      </c>
      <c r="CJ84" s="166" t="n">
        <v>-903.276107118</v>
      </c>
      <c r="CK84" s="166" t="n">
        <v>-903.276107118</v>
      </c>
      <c r="CL84" s="166" t="n">
        <v>-921.34162926036</v>
      </c>
      <c r="CM84" s="166" t="n">
        <v>-921.34162926036</v>
      </c>
      <c r="CN84" s="166" t="n">
        <v>-921.34162926036</v>
      </c>
      <c r="CO84" s="166" t="n">
        <v>-921.34162926036</v>
      </c>
      <c r="CP84" s="166" t="n">
        <v>-921.34162926036</v>
      </c>
      <c r="CQ84" s="166" t="n">
        <v>-921.34162926036</v>
      </c>
      <c r="CR84" s="166" t="n">
        <v>-921.34162926036</v>
      </c>
      <c r="CS84" s="166" t="n">
        <v>-921.34162926036</v>
      </c>
      <c r="CT84" s="166" t="n">
        <v>-921.34162926036</v>
      </c>
      <c r="CU84" s="166" t="n">
        <v>0</v>
      </c>
      <c r="CV84" s="166" t="n">
        <v>0</v>
      </c>
      <c r="CW84" s="166" t="n">
        <v>0</v>
      </c>
      <c r="CX84" s="166" t="n">
        <v>0</v>
      </c>
      <c r="CY84" s="166" t="n">
        <v>0</v>
      </c>
      <c r="CZ84" s="166" t="n">
        <v>0</v>
      </c>
      <c r="DA84" s="166" t="n">
        <v>0</v>
      </c>
      <c r="DB84" s="166" t="n">
        <v>0</v>
      </c>
      <c r="DC84" s="166" t="n">
        <v>0</v>
      </c>
      <c r="DD84" s="166" t="n">
        <v>0</v>
      </c>
      <c r="DE84" s="166" t="n">
        <v>0</v>
      </c>
      <c r="DF84" s="166" t="n">
        <v>0</v>
      </c>
    </row>
    <row r="85" customFormat="false" ht="15" hidden="false" customHeight="true" outlineLevel="0" collapsed="false">
      <c r="A85" s="140" t="s">
        <v>63</v>
      </c>
      <c r="C85" s="125" t="n">
        <v>-12137.77</v>
      </c>
      <c r="D85" s="125" t="n">
        <v>-12137.78</v>
      </c>
      <c r="E85" s="125" t="n">
        <v>-12137.78</v>
      </c>
      <c r="F85" s="166" t="n">
        <v>-572.916666666667</v>
      </c>
      <c r="G85" s="166" t="n">
        <v>-572.916666666667</v>
      </c>
      <c r="H85" s="166" t="n">
        <v>-572.916666666667</v>
      </c>
      <c r="I85" s="166" t="n">
        <v>-572.916666666667</v>
      </c>
      <c r="J85" s="166" t="n">
        <v>-572.916666666667</v>
      </c>
      <c r="K85" s="166" t="n">
        <v>-572.916666666667</v>
      </c>
      <c r="L85" s="166" t="n">
        <v>-572.916666666667</v>
      </c>
      <c r="M85" s="166" t="n">
        <v>-572.916666666667</v>
      </c>
      <c r="N85" s="166" t="n">
        <v>-572.916666666667</v>
      </c>
      <c r="O85" s="166" t="n">
        <v>-572.916666666667</v>
      </c>
      <c r="P85" s="166" t="n">
        <v>-572.916666666667</v>
      </c>
      <c r="Q85" s="166" t="n">
        <v>-572.916666666667</v>
      </c>
      <c r="R85" s="166" t="n">
        <v>-584.375</v>
      </c>
      <c r="S85" s="166" t="n">
        <v>-584.375</v>
      </c>
      <c r="T85" s="166" t="n">
        <v>-584.375</v>
      </c>
      <c r="U85" s="166" t="n">
        <v>-584.375</v>
      </c>
      <c r="V85" s="166" t="n">
        <v>-584.375</v>
      </c>
      <c r="W85" s="166" t="n">
        <v>-584.375</v>
      </c>
      <c r="X85" s="166" t="n">
        <v>-584.375</v>
      </c>
      <c r="Y85" s="166" t="n">
        <v>-584.375</v>
      </c>
      <c r="Z85" s="166" t="n">
        <v>-584.375</v>
      </c>
      <c r="AA85" s="166" t="n">
        <v>-584.375</v>
      </c>
      <c r="AB85" s="166" t="n">
        <v>-584.375</v>
      </c>
      <c r="AC85" s="166" t="n">
        <v>-584.375</v>
      </c>
      <c r="AD85" s="166" t="n">
        <v>-596.0625</v>
      </c>
      <c r="AE85" s="166" t="n">
        <v>-596.0625</v>
      </c>
      <c r="AF85" s="166" t="n">
        <v>-596.0625</v>
      </c>
      <c r="AG85" s="166" t="n">
        <v>-596.0625</v>
      </c>
      <c r="AH85" s="166" t="n">
        <v>-596.0625</v>
      </c>
      <c r="AI85" s="166" t="n">
        <v>-596.0625</v>
      </c>
      <c r="AJ85" s="166" t="n">
        <v>-596.0625</v>
      </c>
      <c r="AK85" s="166" t="n">
        <v>-596.0625</v>
      </c>
      <c r="AL85" s="166" t="n">
        <v>-596.0625</v>
      </c>
      <c r="AM85" s="166" t="n">
        <v>-596.0625</v>
      </c>
      <c r="AN85" s="166" t="n">
        <v>-596.0625</v>
      </c>
      <c r="AO85" s="166" t="n">
        <v>-596.0625</v>
      </c>
      <c r="AP85" s="166" t="n">
        <v>-607.98375</v>
      </c>
      <c r="AQ85" s="166" t="n">
        <v>-607.98375</v>
      </c>
      <c r="AR85" s="166" t="n">
        <v>-607.98375</v>
      </c>
      <c r="AS85" s="166" t="n">
        <v>-607.98375</v>
      </c>
      <c r="AT85" s="166" t="n">
        <v>-607.98375</v>
      </c>
      <c r="AU85" s="166" t="n">
        <v>-607.98375</v>
      </c>
      <c r="AV85" s="166" t="n">
        <v>-607.98375</v>
      </c>
      <c r="AW85" s="166" t="n">
        <v>-607.98375</v>
      </c>
      <c r="AX85" s="166" t="n">
        <v>-607.98375</v>
      </c>
      <c r="AY85" s="166" t="n">
        <v>-607.98375</v>
      </c>
      <c r="AZ85" s="166" t="n">
        <v>-607.98375</v>
      </c>
      <c r="BA85" s="166" t="n">
        <v>-607.98375</v>
      </c>
      <c r="BB85" s="166" t="n">
        <v>-620.143425</v>
      </c>
      <c r="BC85" s="166" t="n">
        <v>-620.143425</v>
      </c>
      <c r="BD85" s="166" t="n">
        <v>-620.143425</v>
      </c>
      <c r="BE85" s="166" t="n">
        <v>-620.143425</v>
      </c>
      <c r="BF85" s="166" t="n">
        <v>-620.143425</v>
      </c>
      <c r="BG85" s="166" t="n">
        <v>-620.143425</v>
      </c>
      <c r="BH85" s="166" t="n">
        <v>-620.143425</v>
      </c>
      <c r="BI85" s="166" t="n">
        <v>-620.143425</v>
      </c>
      <c r="BJ85" s="166" t="n">
        <v>-620.143425</v>
      </c>
      <c r="BK85" s="166" t="n">
        <v>-620.143425</v>
      </c>
      <c r="BL85" s="166" t="n">
        <v>-620.143425</v>
      </c>
      <c r="BM85" s="166" t="n">
        <v>-620.143425</v>
      </c>
      <c r="BN85" s="166" t="n">
        <v>-632.5462935</v>
      </c>
      <c r="BO85" s="166" t="n">
        <v>-632.5462935</v>
      </c>
      <c r="BP85" s="166" t="n">
        <v>-632.5462935</v>
      </c>
      <c r="BQ85" s="166" t="n">
        <v>-632.5462935</v>
      </c>
      <c r="BR85" s="166" t="n">
        <v>-632.5462935</v>
      </c>
      <c r="BS85" s="166" t="n">
        <v>-632.5462935</v>
      </c>
      <c r="BT85" s="166" t="n">
        <v>-632.5462935</v>
      </c>
      <c r="BU85" s="166" t="n">
        <v>-632.5462935</v>
      </c>
      <c r="BV85" s="166" t="n">
        <v>-632.5462935</v>
      </c>
      <c r="BW85" s="166" t="n">
        <v>-632.5462935</v>
      </c>
      <c r="BX85" s="166" t="n">
        <v>-632.5462935</v>
      </c>
      <c r="BY85" s="166" t="n">
        <v>-632.5462935</v>
      </c>
      <c r="BZ85" s="166" t="n">
        <v>-645.19721937</v>
      </c>
      <c r="CA85" s="166" t="n">
        <v>-645.19721937</v>
      </c>
      <c r="CB85" s="166" t="n">
        <v>-645.19721937</v>
      </c>
      <c r="CC85" s="166" t="n">
        <v>-645.19721937</v>
      </c>
      <c r="CD85" s="166" t="n">
        <v>-645.19721937</v>
      </c>
      <c r="CE85" s="166" t="n">
        <v>-645.19721937</v>
      </c>
      <c r="CF85" s="166" t="n">
        <v>-645.19721937</v>
      </c>
      <c r="CG85" s="166" t="n">
        <v>-645.19721937</v>
      </c>
      <c r="CH85" s="166" t="n">
        <v>-645.19721937</v>
      </c>
      <c r="CI85" s="166" t="n">
        <v>-645.19721937</v>
      </c>
      <c r="CJ85" s="166" t="n">
        <v>-645.19721937</v>
      </c>
      <c r="CK85" s="166" t="n">
        <v>-645.19721937</v>
      </c>
      <c r="CL85" s="166" t="n">
        <v>-658.1011637574</v>
      </c>
      <c r="CM85" s="166" t="n">
        <v>-658.1011637574</v>
      </c>
      <c r="CN85" s="166" t="n">
        <v>-658.1011637574</v>
      </c>
      <c r="CO85" s="166" t="n">
        <v>-658.1011637574</v>
      </c>
      <c r="CP85" s="166" t="n">
        <v>-658.1011637574</v>
      </c>
      <c r="CQ85" s="166" t="n">
        <v>-658.1011637574</v>
      </c>
      <c r="CR85" s="166" t="n">
        <v>-658.1011637574</v>
      </c>
      <c r="CS85" s="166" t="n">
        <v>-658.1011637574</v>
      </c>
      <c r="CT85" s="166" t="n">
        <v>-658.1011637574</v>
      </c>
      <c r="CU85" s="166" t="n">
        <v>0</v>
      </c>
      <c r="CV85" s="166" t="n">
        <v>0</v>
      </c>
      <c r="CW85" s="166" t="n">
        <v>0</v>
      </c>
      <c r="CX85" s="166" t="n">
        <v>0</v>
      </c>
      <c r="CY85" s="166" t="n">
        <v>0</v>
      </c>
      <c r="CZ85" s="166" t="n">
        <v>0</v>
      </c>
      <c r="DA85" s="166" t="n">
        <v>0</v>
      </c>
      <c r="DB85" s="166" t="n">
        <v>0</v>
      </c>
      <c r="DC85" s="166" t="n">
        <v>0</v>
      </c>
      <c r="DD85" s="166" t="n">
        <v>0</v>
      </c>
      <c r="DE85" s="166" t="n">
        <v>0</v>
      </c>
      <c r="DF85" s="166" t="n">
        <v>0</v>
      </c>
    </row>
    <row r="86" customFormat="false" ht="15" hidden="false" customHeight="true" outlineLevel="0" collapsed="false">
      <c r="A86" s="140" t="s">
        <v>64</v>
      </c>
      <c r="C86" s="125" t="n">
        <v>-475.76</v>
      </c>
      <c r="D86" s="125" t="n">
        <v>-475.76</v>
      </c>
      <c r="E86" s="125" t="n">
        <v>-475.76</v>
      </c>
      <c r="F86" s="166" t="n">
        <v>-229.166666666667</v>
      </c>
      <c r="G86" s="166" t="n">
        <v>-229.166666666667</v>
      </c>
      <c r="H86" s="166" t="n">
        <v>-229.166666666667</v>
      </c>
      <c r="I86" s="166" t="n">
        <v>-229.166666666667</v>
      </c>
      <c r="J86" s="166" t="n">
        <v>-229.166666666667</v>
      </c>
      <c r="K86" s="166" t="n">
        <v>-229.166666666667</v>
      </c>
      <c r="L86" s="166" t="n">
        <v>-229.166666666667</v>
      </c>
      <c r="M86" s="166" t="n">
        <v>-229.166666666667</v>
      </c>
      <c r="N86" s="166" t="n">
        <v>-229.166666666667</v>
      </c>
      <c r="O86" s="166" t="n">
        <v>-229.166666666667</v>
      </c>
      <c r="P86" s="166" t="n">
        <v>-229.166666666667</v>
      </c>
      <c r="Q86" s="166" t="n">
        <v>-229.166666666667</v>
      </c>
      <c r="R86" s="166" t="n">
        <v>-233.75</v>
      </c>
      <c r="S86" s="166" t="n">
        <v>-233.75</v>
      </c>
      <c r="T86" s="166" t="n">
        <v>-233.75</v>
      </c>
      <c r="U86" s="166" t="n">
        <v>-233.75</v>
      </c>
      <c r="V86" s="166" t="n">
        <v>-233.75</v>
      </c>
      <c r="W86" s="166" t="n">
        <v>-233.75</v>
      </c>
      <c r="X86" s="166" t="n">
        <v>-233.75</v>
      </c>
      <c r="Y86" s="166" t="n">
        <v>-233.75</v>
      </c>
      <c r="Z86" s="166" t="n">
        <v>-233.75</v>
      </c>
      <c r="AA86" s="166" t="n">
        <v>-233.75</v>
      </c>
      <c r="AB86" s="166" t="n">
        <v>-233.75</v>
      </c>
      <c r="AC86" s="166" t="n">
        <v>-233.75</v>
      </c>
      <c r="AD86" s="166" t="n">
        <v>-238.425</v>
      </c>
      <c r="AE86" s="166" t="n">
        <v>-238.425</v>
      </c>
      <c r="AF86" s="166" t="n">
        <v>-238.425</v>
      </c>
      <c r="AG86" s="166" t="n">
        <v>-238.425</v>
      </c>
      <c r="AH86" s="166" t="n">
        <v>-238.425</v>
      </c>
      <c r="AI86" s="166" t="n">
        <v>-238.425</v>
      </c>
      <c r="AJ86" s="166" t="n">
        <v>-238.425</v>
      </c>
      <c r="AK86" s="166" t="n">
        <v>-238.425</v>
      </c>
      <c r="AL86" s="166" t="n">
        <v>-238.425</v>
      </c>
      <c r="AM86" s="166" t="n">
        <v>-238.425</v>
      </c>
      <c r="AN86" s="166" t="n">
        <v>-238.425</v>
      </c>
      <c r="AO86" s="166" t="n">
        <v>-238.425</v>
      </c>
      <c r="AP86" s="166" t="n">
        <v>-243.1935</v>
      </c>
      <c r="AQ86" s="166" t="n">
        <v>-243.1935</v>
      </c>
      <c r="AR86" s="166" t="n">
        <v>-243.1935</v>
      </c>
      <c r="AS86" s="166" t="n">
        <v>-243.1935</v>
      </c>
      <c r="AT86" s="166" t="n">
        <v>-243.1935</v>
      </c>
      <c r="AU86" s="166" t="n">
        <v>-243.1935</v>
      </c>
      <c r="AV86" s="166" t="n">
        <v>-243.1935</v>
      </c>
      <c r="AW86" s="166" t="n">
        <v>-243.1935</v>
      </c>
      <c r="AX86" s="166" t="n">
        <v>-243.1935</v>
      </c>
      <c r="AY86" s="166" t="n">
        <v>-243.1935</v>
      </c>
      <c r="AZ86" s="166" t="n">
        <v>-243.1935</v>
      </c>
      <c r="BA86" s="166" t="n">
        <v>-243.1935</v>
      </c>
      <c r="BB86" s="166" t="n">
        <v>-248.05737</v>
      </c>
      <c r="BC86" s="166" t="n">
        <v>-248.05737</v>
      </c>
      <c r="BD86" s="166" t="n">
        <v>-248.05737</v>
      </c>
      <c r="BE86" s="166" t="n">
        <v>-248.05737</v>
      </c>
      <c r="BF86" s="166" t="n">
        <v>-248.05737</v>
      </c>
      <c r="BG86" s="166" t="n">
        <v>-248.05737</v>
      </c>
      <c r="BH86" s="166" t="n">
        <v>-248.05737</v>
      </c>
      <c r="BI86" s="166" t="n">
        <v>-248.05737</v>
      </c>
      <c r="BJ86" s="166" t="n">
        <v>-248.05737</v>
      </c>
      <c r="BK86" s="166" t="n">
        <v>-248.05737</v>
      </c>
      <c r="BL86" s="166" t="n">
        <v>-248.05737</v>
      </c>
      <c r="BM86" s="166" t="n">
        <v>-248.05737</v>
      </c>
      <c r="BN86" s="166" t="n">
        <v>-253.0185174</v>
      </c>
      <c r="BO86" s="166" t="n">
        <v>-253.0185174</v>
      </c>
      <c r="BP86" s="166" t="n">
        <v>-253.0185174</v>
      </c>
      <c r="BQ86" s="166" t="n">
        <v>-253.0185174</v>
      </c>
      <c r="BR86" s="166" t="n">
        <v>-253.0185174</v>
      </c>
      <c r="BS86" s="166" t="n">
        <v>-253.0185174</v>
      </c>
      <c r="BT86" s="166" t="n">
        <v>-253.0185174</v>
      </c>
      <c r="BU86" s="166" t="n">
        <v>-253.0185174</v>
      </c>
      <c r="BV86" s="166" t="n">
        <v>-253.0185174</v>
      </c>
      <c r="BW86" s="166" t="n">
        <v>-253.0185174</v>
      </c>
      <c r="BX86" s="166" t="n">
        <v>-253.0185174</v>
      </c>
      <c r="BY86" s="166" t="n">
        <v>-253.0185174</v>
      </c>
      <c r="BZ86" s="166" t="n">
        <v>-258.078887748</v>
      </c>
      <c r="CA86" s="166" t="n">
        <v>-258.078887748</v>
      </c>
      <c r="CB86" s="166" t="n">
        <v>-258.078887748</v>
      </c>
      <c r="CC86" s="166" t="n">
        <v>-258.078887748</v>
      </c>
      <c r="CD86" s="166" t="n">
        <v>-258.078887748</v>
      </c>
      <c r="CE86" s="166" t="n">
        <v>-258.078887748</v>
      </c>
      <c r="CF86" s="166" t="n">
        <v>-258.078887748</v>
      </c>
      <c r="CG86" s="166" t="n">
        <v>-258.078887748</v>
      </c>
      <c r="CH86" s="166" t="n">
        <v>-258.078887748</v>
      </c>
      <c r="CI86" s="166" t="n">
        <v>-258.078887748</v>
      </c>
      <c r="CJ86" s="166" t="n">
        <v>-258.078887748</v>
      </c>
      <c r="CK86" s="166" t="n">
        <v>-258.078887748</v>
      </c>
      <c r="CL86" s="166" t="n">
        <v>-263.24046550296</v>
      </c>
      <c r="CM86" s="166" t="n">
        <v>-263.24046550296</v>
      </c>
      <c r="CN86" s="166" t="n">
        <v>-263.24046550296</v>
      </c>
      <c r="CO86" s="166" t="n">
        <v>-263.24046550296</v>
      </c>
      <c r="CP86" s="166" t="n">
        <v>-263.24046550296</v>
      </c>
      <c r="CQ86" s="166" t="n">
        <v>-263.24046550296</v>
      </c>
      <c r="CR86" s="166" t="n">
        <v>-263.24046550296</v>
      </c>
      <c r="CS86" s="166" t="n">
        <v>-263.24046550296</v>
      </c>
      <c r="CT86" s="166" t="n">
        <v>-263.24046550296</v>
      </c>
      <c r="CU86" s="166" t="n">
        <v>0</v>
      </c>
      <c r="CV86" s="166" t="n">
        <v>0</v>
      </c>
      <c r="CW86" s="166" t="n">
        <v>0</v>
      </c>
      <c r="CX86" s="166" t="n">
        <v>0</v>
      </c>
      <c r="CY86" s="166" t="n">
        <v>0</v>
      </c>
      <c r="CZ86" s="166" t="n">
        <v>0</v>
      </c>
      <c r="DA86" s="166" t="n">
        <v>0</v>
      </c>
      <c r="DB86" s="166" t="n">
        <v>0</v>
      </c>
      <c r="DC86" s="166" t="n">
        <v>0</v>
      </c>
      <c r="DD86" s="166" t="n">
        <v>0</v>
      </c>
      <c r="DE86" s="166" t="n">
        <v>0</v>
      </c>
      <c r="DF86" s="166" t="n">
        <v>0</v>
      </c>
    </row>
    <row r="87" customFormat="false" ht="15" hidden="false" customHeight="true" outlineLevel="0" collapsed="false">
      <c r="A87" s="140" t="s">
        <v>65</v>
      </c>
      <c r="C87" s="125" t="n">
        <v>-2200.12</v>
      </c>
      <c r="D87" s="125" t="n">
        <v>-2200.12</v>
      </c>
      <c r="E87" s="125" t="n">
        <v>-2200.12</v>
      </c>
      <c r="F87" s="166" t="n">
        <v>-57.2916666666667</v>
      </c>
      <c r="G87" s="166" t="n">
        <v>-57.2916666666667</v>
      </c>
      <c r="H87" s="166" t="n">
        <v>-57.2916666666667</v>
      </c>
      <c r="I87" s="166" t="n">
        <v>-57.2916666666667</v>
      </c>
      <c r="J87" s="166" t="n">
        <v>-57.2916666666667</v>
      </c>
      <c r="K87" s="166" t="n">
        <v>-57.2916666666667</v>
      </c>
      <c r="L87" s="166" t="n">
        <v>-57.2916666666667</v>
      </c>
      <c r="M87" s="166" t="n">
        <v>-57.2916666666667</v>
      </c>
      <c r="N87" s="166" t="n">
        <v>-57.2916666666667</v>
      </c>
      <c r="O87" s="166" t="n">
        <v>-57.2916666666667</v>
      </c>
      <c r="P87" s="166" t="n">
        <v>-57.2916666666667</v>
      </c>
      <c r="Q87" s="166" t="n">
        <v>-57.2916666666667</v>
      </c>
      <c r="R87" s="166" t="n">
        <v>-58.4375</v>
      </c>
      <c r="S87" s="166" t="n">
        <v>-58.4375</v>
      </c>
      <c r="T87" s="166" t="n">
        <v>-58.4375</v>
      </c>
      <c r="U87" s="166" t="n">
        <v>-58.4375</v>
      </c>
      <c r="V87" s="166" t="n">
        <v>-58.4375</v>
      </c>
      <c r="W87" s="166" t="n">
        <v>-58.4375</v>
      </c>
      <c r="X87" s="166" t="n">
        <v>-58.4375</v>
      </c>
      <c r="Y87" s="166" t="n">
        <v>-58.4375</v>
      </c>
      <c r="Z87" s="166" t="n">
        <v>-58.4375</v>
      </c>
      <c r="AA87" s="166" t="n">
        <v>-58.4375</v>
      </c>
      <c r="AB87" s="166" t="n">
        <v>-58.4375</v>
      </c>
      <c r="AC87" s="166" t="n">
        <v>-58.4375</v>
      </c>
      <c r="AD87" s="166" t="n">
        <v>-59.60625</v>
      </c>
      <c r="AE87" s="166" t="n">
        <v>-59.60625</v>
      </c>
      <c r="AF87" s="166" t="n">
        <v>-59.60625</v>
      </c>
      <c r="AG87" s="166" t="n">
        <v>-59.60625</v>
      </c>
      <c r="AH87" s="166" t="n">
        <v>-59.60625</v>
      </c>
      <c r="AI87" s="166" t="n">
        <v>-59.60625</v>
      </c>
      <c r="AJ87" s="166" t="n">
        <v>-59.60625</v>
      </c>
      <c r="AK87" s="166" t="n">
        <v>-59.60625</v>
      </c>
      <c r="AL87" s="166" t="n">
        <v>-59.60625</v>
      </c>
      <c r="AM87" s="166" t="n">
        <v>-59.60625</v>
      </c>
      <c r="AN87" s="166" t="n">
        <v>-59.60625</v>
      </c>
      <c r="AO87" s="166" t="n">
        <v>-59.60625</v>
      </c>
      <c r="AP87" s="166" t="n">
        <v>-60.798375</v>
      </c>
      <c r="AQ87" s="166" t="n">
        <v>-60.798375</v>
      </c>
      <c r="AR87" s="166" t="n">
        <v>-60.798375</v>
      </c>
      <c r="AS87" s="166" t="n">
        <v>-60.798375</v>
      </c>
      <c r="AT87" s="166" t="n">
        <v>-60.798375</v>
      </c>
      <c r="AU87" s="166" t="n">
        <v>-60.798375</v>
      </c>
      <c r="AV87" s="166" t="n">
        <v>-60.798375</v>
      </c>
      <c r="AW87" s="166" t="n">
        <v>-60.798375</v>
      </c>
      <c r="AX87" s="166" t="n">
        <v>-60.798375</v>
      </c>
      <c r="AY87" s="166" t="n">
        <v>-60.798375</v>
      </c>
      <c r="AZ87" s="166" t="n">
        <v>-60.798375</v>
      </c>
      <c r="BA87" s="166" t="n">
        <v>-60.798375</v>
      </c>
      <c r="BB87" s="166" t="n">
        <v>-62.0143425</v>
      </c>
      <c r="BC87" s="166" t="n">
        <v>-62.0143425</v>
      </c>
      <c r="BD87" s="166" t="n">
        <v>-62.0143425</v>
      </c>
      <c r="BE87" s="166" t="n">
        <v>-62.0143425</v>
      </c>
      <c r="BF87" s="166" t="n">
        <v>-62.0143425</v>
      </c>
      <c r="BG87" s="166" t="n">
        <v>-62.0143425</v>
      </c>
      <c r="BH87" s="166" t="n">
        <v>-62.0143425</v>
      </c>
      <c r="BI87" s="166" t="n">
        <v>-62.0143425</v>
      </c>
      <c r="BJ87" s="166" t="n">
        <v>-62.0143425</v>
      </c>
      <c r="BK87" s="166" t="n">
        <v>-62.0143425</v>
      </c>
      <c r="BL87" s="166" t="n">
        <v>-62.0143425</v>
      </c>
      <c r="BM87" s="166" t="n">
        <v>-62.0143425</v>
      </c>
      <c r="BN87" s="166" t="n">
        <v>-63.25462935</v>
      </c>
      <c r="BO87" s="166" t="n">
        <v>-63.25462935</v>
      </c>
      <c r="BP87" s="166" t="n">
        <v>-63.25462935</v>
      </c>
      <c r="BQ87" s="166" t="n">
        <v>-63.25462935</v>
      </c>
      <c r="BR87" s="166" t="n">
        <v>-63.25462935</v>
      </c>
      <c r="BS87" s="166" t="n">
        <v>-63.25462935</v>
      </c>
      <c r="BT87" s="166" t="n">
        <v>-63.25462935</v>
      </c>
      <c r="BU87" s="166" t="n">
        <v>-63.25462935</v>
      </c>
      <c r="BV87" s="166" t="n">
        <v>-63.25462935</v>
      </c>
      <c r="BW87" s="166" t="n">
        <v>-63.25462935</v>
      </c>
      <c r="BX87" s="166" t="n">
        <v>-63.25462935</v>
      </c>
      <c r="BY87" s="166" t="n">
        <v>-63.25462935</v>
      </c>
      <c r="BZ87" s="166" t="n">
        <v>-64.519721937</v>
      </c>
      <c r="CA87" s="166" t="n">
        <v>-64.519721937</v>
      </c>
      <c r="CB87" s="166" t="n">
        <v>-64.519721937</v>
      </c>
      <c r="CC87" s="166" t="n">
        <v>-64.519721937</v>
      </c>
      <c r="CD87" s="166" t="n">
        <v>-64.519721937</v>
      </c>
      <c r="CE87" s="166" t="n">
        <v>-64.519721937</v>
      </c>
      <c r="CF87" s="166" t="n">
        <v>-64.519721937</v>
      </c>
      <c r="CG87" s="166" t="n">
        <v>-64.519721937</v>
      </c>
      <c r="CH87" s="166" t="n">
        <v>-64.519721937</v>
      </c>
      <c r="CI87" s="166" t="n">
        <v>-64.519721937</v>
      </c>
      <c r="CJ87" s="166" t="n">
        <v>-64.519721937</v>
      </c>
      <c r="CK87" s="166" t="n">
        <v>-64.519721937</v>
      </c>
      <c r="CL87" s="166" t="n">
        <v>-65.81011637574</v>
      </c>
      <c r="CM87" s="166" t="n">
        <v>-65.81011637574</v>
      </c>
      <c r="CN87" s="166" t="n">
        <v>-65.81011637574</v>
      </c>
      <c r="CO87" s="166" t="n">
        <v>-65.81011637574</v>
      </c>
      <c r="CP87" s="166" t="n">
        <v>-65.81011637574</v>
      </c>
      <c r="CQ87" s="166" t="n">
        <v>-65.81011637574</v>
      </c>
      <c r="CR87" s="166" t="n">
        <v>-65.81011637574</v>
      </c>
      <c r="CS87" s="166" t="n">
        <v>-65.81011637574</v>
      </c>
      <c r="CT87" s="166" t="n">
        <v>-65.81011637574</v>
      </c>
      <c r="CU87" s="166" t="n">
        <v>0</v>
      </c>
      <c r="CV87" s="166" t="n">
        <v>0</v>
      </c>
      <c r="CW87" s="166" t="n">
        <v>0</v>
      </c>
      <c r="CX87" s="166" t="n">
        <v>0</v>
      </c>
      <c r="CY87" s="166" t="n">
        <v>0</v>
      </c>
      <c r="CZ87" s="166" t="n">
        <v>0</v>
      </c>
      <c r="DA87" s="166" t="n">
        <v>0</v>
      </c>
      <c r="DB87" s="166" t="n">
        <v>0</v>
      </c>
      <c r="DC87" s="166" t="n">
        <v>0</v>
      </c>
      <c r="DD87" s="166" t="n">
        <v>0</v>
      </c>
      <c r="DE87" s="166" t="n">
        <v>0</v>
      </c>
      <c r="DF87" s="166" t="n">
        <v>0</v>
      </c>
    </row>
    <row r="88" customFormat="false" ht="15" hidden="false" customHeight="true" outlineLevel="0" collapsed="false">
      <c r="A88" s="140" t="s">
        <v>68</v>
      </c>
      <c r="C88" s="125" t="n">
        <v>-8848.65</v>
      </c>
      <c r="D88" s="125" t="n">
        <v>-8817.63</v>
      </c>
      <c r="E88" s="125" t="n">
        <v>-3775.91</v>
      </c>
      <c r="F88" s="166" t="n">
        <v>-8500</v>
      </c>
      <c r="G88" s="166" t="n">
        <v>-8500</v>
      </c>
      <c r="H88" s="166" t="n">
        <v>-8500</v>
      </c>
      <c r="I88" s="166" t="n">
        <v>-8500</v>
      </c>
      <c r="J88" s="166" t="n">
        <v>-8500</v>
      </c>
      <c r="K88" s="166" t="n">
        <v>-8500</v>
      </c>
      <c r="L88" s="166" t="n">
        <v>-8500</v>
      </c>
      <c r="M88" s="166" t="n">
        <v>-8500</v>
      </c>
      <c r="N88" s="166" t="n">
        <v>-8500</v>
      </c>
      <c r="O88" s="166" t="n">
        <v>-8500</v>
      </c>
      <c r="P88" s="166" t="n">
        <v>-8500</v>
      </c>
      <c r="Q88" s="166" t="n">
        <v>-8500</v>
      </c>
      <c r="R88" s="166" t="n">
        <v>-8670</v>
      </c>
      <c r="S88" s="166" t="n">
        <v>-8670</v>
      </c>
      <c r="T88" s="166" t="n">
        <v>-8670</v>
      </c>
      <c r="U88" s="166" t="n">
        <v>-8670</v>
      </c>
      <c r="V88" s="166" t="n">
        <v>-8670</v>
      </c>
      <c r="W88" s="166" t="n">
        <v>-8670</v>
      </c>
      <c r="X88" s="166" t="n">
        <v>-8670</v>
      </c>
      <c r="Y88" s="166" t="n">
        <v>-8670</v>
      </c>
      <c r="Z88" s="166" t="n">
        <v>-8670</v>
      </c>
      <c r="AA88" s="166" t="n">
        <v>-8670</v>
      </c>
      <c r="AB88" s="166" t="n">
        <v>-8670</v>
      </c>
      <c r="AC88" s="166" t="n">
        <v>-8670</v>
      </c>
      <c r="AD88" s="166" t="n">
        <v>-8843.4</v>
      </c>
      <c r="AE88" s="166" t="n">
        <v>-8843.4</v>
      </c>
      <c r="AF88" s="166" t="n">
        <v>-8843.4</v>
      </c>
      <c r="AG88" s="166" t="n">
        <v>-8843.4</v>
      </c>
      <c r="AH88" s="166" t="n">
        <v>-8843.4</v>
      </c>
      <c r="AI88" s="166" t="n">
        <v>-8843.4</v>
      </c>
      <c r="AJ88" s="166" t="n">
        <v>-8843.4</v>
      </c>
      <c r="AK88" s="166" t="n">
        <v>-8843.4</v>
      </c>
      <c r="AL88" s="166" t="n">
        <v>-8843.4</v>
      </c>
      <c r="AM88" s="166" t="n">
        <v>-8843.4</v>
      </c>
      <c r="AN88" s="166" t="n">
        <v>-8843.4</v>
      </c>
      <c r="AO88" s="166" t="n">
        <v>-8843.4</v>
      </c>
      <c r="AP88" s="166" t="n">
        <v>-9020.268</v>
      </c>
      <c r="AQ88" s="166" t="n">
        <v>-9020.268</v>
      </c>
      <c r="AR88" s="166" t="n">
        <v>-9020.268</v>
      </c>
      <c r="AS88" s="166" t="n">
        <v>-9020.268</v>
      </c>
      <c r="AT88" s="166" t="n">
        <v>-9020.268</v>
      </c>
      <c r="AU88" s="166" t="n">
        <v>-9020.268</v>
      </c>
      <c r="AV88" s="166" t="n">
        <v>-9020.268</v>
      </c>
      <c r="AW88" s="166" t="n">
        <v>-9020.268</v>
      </c>
      <c r="AX88" s="166" t="n">
        <v>-9020.268</v>
      </c>
      <c r="AY88" s="166" t="n">
        <v>-9020.268</v>
      </c>
      <c r="AZ88" s="166" t="n">
        <v>-9020.268</v>
      </c>
      <c r="BA88" s="166" t="n">
        <v>-9020.268</v>
      </c>
      <c r="BB88" s="166" t="n">
        <v>-9200.67336</v>
      </c>
      <c r="BC88" s="166" t="n">
        <v>-9200.67336</v>
      </c>
      <c r="BD88" s="166" t="n">
        <v>-9200.67336</v>
      </c>
      <c r="BE88" s="166" t="n">
        <v>-9200.67336</v>
      </c>
      <c r="BF88" s="166" t="n">
        <v>-9200.67336</v>
      </c>
      <c r="BG88" s="166" t="n">
        <v>-9200.67336</v>
      </c>
      <c r="BH88" s="166" t="n">
        <v>-9200.67336</v>
      </c>
      <c r="BI88" s="166" t="n">
        <v>-9200.67336</v>
      </c>
      <c r="BJ88" s="166" t="n">
        <v>-9200.67336</v>
      </c>
      <c r="BK88" s="166" t="n">
        <v>-9200.67336</v>
      </c>
      <c r="BL88" s="166" t="n">
        <v>-9200.67336</v>
      </c>
      <c r="BM88" s="166" t="n">
        <v>-9200.67336</v>
      </c>
      <c r="BN88" s="166" t="n">
        <v>-9384.6868272</v>
      </c>
      <c r="BO88" s="166" t="n">
        <v>-9384.6868272</v>
      </c>
      <c r="BP88" s="166" t="n">
        <v>-9384.6868272</v>
      </c>
      <c r="BQ88" s="166" t="n">
        <v>-9384.6868272</v>
      </c>
      <c r="BR88" s="166" t="n">
        <v>-9384.6868272</v>
      </c>
      <c r="BS88" s="166" t="n">
        <v>-9384.6868272</v>
      </c>
      <c r="BT88" s="166" t="n">
        <v>-9384.6868272</v>
      </c>
      <c r="BU88" s="166" t="n">
        <v>-9384.6868272</v>
      </c>
      <c r="BV88" s="166" t="n">
        <v>-9384.6868272</v>
      </c>
      <c r="BW88" s="166" t="n">
        <v>-9384.6868272</v>
      </c>
      <c r="BX88" s="166" t="n">
        <v>-9384.6868272</v>
      </c>
      <c r="BY88" s="166" t="n">
        <v>-9384.6868272</v>
      </c>
      <c r="BZ88" s="166" t="n">
        <v>-9572.380563744</v>
      </c>
      <c r="CA88" s="166" t="n">
        <v>-9572.380563744</v>
      </c>
      <c r="CB88" s="166" t="n">
        <v>-9572.380563744</v>
      </c>
      <c r="CC88" s="166" t="n">
        <v>-9572.380563744</v>
      </c>
      <c r="CD88" s="166" t="n">
        <v>-9572.380563744</v>
      </c>
      <c r="CE88" s="166" t="n">
        <v>-9572.380563744</v>
      </c>
      <c r="CF88" s="166" t="n">
        <v>-9572.380563744</v>
      </c>
      <c r="CG88" s="166" t="n">
        <v>-9572.380563744</v>
      </c>
      <c r="CH88" s="166" t="n">
        <v>-9572.380563744</v>
      </c>
      <c r="CI88" s="166" t="n">
        <v>-9572.380563744</v>
      </c>
      <c r="CJ88" s="166" t="n">
        <v>-9572.380563744</v>
      </c>
      <c r="CK88" s="166" t="n">
        <v>-9572.380563744</v>
      </c>
      <c r="CL88" s="166" t="n">
        <v>-9763.82817501888</v>
      </c>
      <c r="CM88" s="166" t="n">
        <v>-9763.82817501888</v>
      </c>
      <c r="CN88" s="166" t="n">
        <v>-9763.82817501888</v>
      </c>
      <c r="CO88" s="166" t="n">
        <v>-9763.82817501888</v>
      </c>
      <c r="CP88" s="166" t="n">
        <v>-9763.82817501888</v>
      </c>
      <c r="CQ88" s="166" t="n">
        <v>-9763.82817501888</v>
      </c>
      <c r="CR88" s="166" t="n">
        <v>-9763.82817501888</v>
      </c>
      <c r="CS88" s="166" t="n">
        <v>-9763.82817501888</v>
      </c>
      <c r="CT88" s="166" t="n">
        <v>-9763.82817501888</v>
      </c>
      <c r="CU88" s="166" t="n">
        <v>-9763.82817501888</v>
      </c>
      <c r="CV88" s="166" t="n">
        <v>-9763.82817501888</v>
      </c>
      <c r="CW88" s="166" t="n">
        <v>-9763.82817501888</v>
      </c>
      <c r="CX88" s="166" t="n">
        <v>-9959.10473851926</v>
      </c>
      <c r="CY88" s="166" t="n">
        <v>-9959.10473851926</v>
      </c>
      <c r="CZ88" s="166" t="n">
        <v>-9959.10473851926</v>
      </c>
      <c r="DA88" s="166" t="n">
        <v>-9959.10473851926</v>
      </c>
      <c r="DB88" s="166" t="n">
        <v>-9959.10473851926</v>
      </c>
      <c r="DC88" s="166" t="n">
        <v>-9959.10473851926</v>
      </c>
      <c r="DD88" s="166" t="n">
        <v>-9959.10473851926</v>
      </c>
      <c r="DE88" s="166" t="n">
        <v>-9959.10473851926</v>
      </c>
      <c r="DF88" s="166" t="n">
        <v>-9959.10473851926</v>
      </c>
    </row>
    <row r="89" customFormat="false" ht="15" hidden="false" customHeight="true" outlineLevel="0" collapsed="false">
      <c r="A89" s="140" t="s">
        <v>69</v>
      </c>
      <c r="C89" s="125" t="n">
        <v>-1722.9</v>
      </c>
      <c r="D89" s="125" t="n">
        <v>0</v>
      </c>
      <c r="E89" s="125" t="n">
        <v>-28.51</v>
      </c>
      <c r="F89" s="166" t="n">
        <v>-583.8</v>
      </c>
      <c r="G89" s="166" t="n">
        <v>-583.8</v>
      </c>
      <c r="H89" s="166" t="n">
        <v>-583.8</v>
      </c>
      <c r="I89" s="166" t="n">
        <v>-583.8</v>
      </c>
      <c r="J89" s="166" t="n">
        <v>-583.8</v>
      </c>
      <c r="K89" s="166" t="n">
        <v>-583.8</v>
      </c>
      <c r="L89" s="166" t="n">
        <v>-583.8</v>
      </c>
      <c r="M89" s="166" t="n">
        <v>-583.8</v>
      </c>
      <c r="N89" s="166" t="n">
        <v>-583.8</v>
      </c>
      <c r="O89" s="166" t="n">
        <v>-583.8</v>
      </c>
      <c r="P89" s="166" t="n">
        <v>-583.8</v>
      </c>
      <c r="Q89" s="166" t="n">
        <v>-583.8</v>
      </c>
      <c r="R89" s="166" t="n">
        <v>-595.476</v>
      </c>
      <c r="S89" s="166" t="n">
        <v>-595.476</v>
      </c>
      <c r="T89" s="166" t="n">
        <v>-595.476</v>
      </c>
      <c r="U89" s="166" t="n">
        <v>-595.476</v>
      </c>
      <c r="V89" s="166" t="n">
        <v>-595.476</v>
      </c>
      <c r="W89" s="166" t="n">
        <v>-595.476</v>
      </c>
      <c r="X89" s="166" t="n">
        <v>-595.476</v>
      </c>
      <c r="Y89" s="166" t="n">
        <v>-595.476</v>
      </c>
      <c r="Z89" s="166" t="n">
        <v>-595.476</v>
      </c>
      <c r="AA89" s="166" t="n">
        <v>-595.476</v>
      </c>
      <c r="AB89" s="166" t="n">
        <v>-595.476</v>
      </c>
      <c r="AC89" s="166" t="n">
        <v>-595.476</v>
      </c>
      <c r="AD89" s="166" t="n">
        <v>-607.38552</v>
      </c>
      <c r="AE89" s="166" t="n">
        <v>-607.38552</v>
      </c>
      <c r="AF89" s="166" t="n">
        <v>-607.38552</v>
      </c>
      <c r="AG89" s="166" t="n">
        <v>-607.38552</v>
      </c>
      <c r="AH89" s="166" t="n">
        <v>-607.38552</v>
      </c>
      <c r="AI89" s="166" t="n">
        <v>-607.38552</v>
      </c>
      <c r="AJ89" s="166" t="n">
        <v>-607.38552</v>
      </c>
      <c r="AK89" s="166" t="n">
        <v>-607.38552</v>
      </c>
      <c r="AL89" s="166" t="n">
        <v>-607.38552</v>
      </c>
      <c r="AM89" s="166" t="n">
        <v>-607.38552</v>
      </c>
      <c r="AN89" s="166" t="n">
        <v>-607.38552</v>
      </c>
      <c r="AO89" s="166" t="n">
        <v>-607.38552</v>
      </c>
      <c r="AP89" s="166" t="n">
        <v>-619.5332304</v>
      </c>
      <c r="AQ89" s="166" t="n">
        <v>-619.5332304</v>
      </c>
      <c r="AR89" s="166" t="n">
        <v>-619.5332304</v>
      </c>
      <c r="AS89" s="166" t="n">
        <v>-619.5332304</v>
      </c>
      <c r="AT89" s="166" t="n">
        <v>-619.5332304</v>
      </c>
      <c r="AU89" s="166" t="n">
        <v>-619.5332304</v>
      </c>
      <c r="AV89" s="166" t="n">
        <v>-619.5332304</v>
      </c>
      <c r="AW89" s="166" t="n">
        <v>-619.5332304</v>
      </c>
      <c r="AX89" s="166" t="n">
        <v>-619.5332304</v>
      </c>
      <c r="AY89" s="166" t="n">
        <v>-619.5332304</v>
      </c>
      <c r="AZ89" s="166" t="n">
        <v>-619.5332304</v>
      </c>
      <c r="BA89" s="166" t="n">
        <v>-619.5332304</v>
      </c>
      <c r="BB89" s="166" t="n">
        <v>-631.923895008</v>
      </c>
      <c r="BC89" s="166" t="n">
        <v>-631.923895008</v>
      </c>
      <c r="BD89" s="166" t="n">
        <v>-631.923895008</v>
      </c>
      <c r="BE89" s="166" t="n">
        <v>-631.923895008</v>
      </c>
      <c r="BF89" s="166" t="n">
        <v>-631.923895008</v>
      </c>
      <c r="BG89" s="166" t="n">
        <v>-631.923895008</v>
      </c>
      <c r="BH89" s="166" t="n">
        <v>-631.923895008</v>
      </c>
      <c r="BI89" s="166" t="n">
        <v>-631.923895008</v>
      </c>
      <c r="BJ89" s="166" t="n">
        <v>-631.923895008</v>
      </c>
      <c r="BK89" s="166" t="n">
        <v>-631.923895008</v>
      </c>
      <c r="BL89" s="166" t="n">
        <v>-631.923895008</v>
      </c>
      <c r="BM89" s="166" t="n">
        <v>-631.923895008</v>
      </c>
      <c r="BN89" s="166" t="n">
        <v>-644.56237290816</v>
      </c>
      <c r="BO89" s="166" t="n">
        <v>-644.56237290816</v>
      </c>
      <c r="BP89" s="166" t="n">
        <v>-644.56237290816</v>
      </c>
      <c r="BQ89" s="166" t="n">
        <v>-644.56237290816</v>
      </c>
      <c r="BR89" s="166" t="n">
        <v>-644.56237290816</v>
      </c>
      <c r="BS89" s="166" t="n">
        <v>-644.56237290816</v>
      </c>
      <c r="BT89" s="166" t="n">
        <v>-644.56237290816</v>
      </c>
      <c r="BU89" s="166" t="n">
        <v>-644.56237290816</v>
      </c>
      <c r="BV89" s="166" t="n">
        <v>-644.56237290816</v>
      </c>
      <c r="BW89" s="166" t="n">
        <v>-644.56237290816</v>
      </c>
      <c r="BX89" s="166" t="n">
        <v>-644.56237290816</v>
      </c>
      <c r="BY89" s="166" t="n">
        <v>-644.56237290816</v>
      </c>
      <c r="BZ89" s="166" t="n">
        <v>-657.453620366323</v>
      </c>
      <c r="CA89" s="166" t="n">
        <v>-657.453620366323</v>
      </c>
      <c r="CB89" s="166" t="n">
        <v>-657.453620366323</v>
      </c>
      <c r="CC89" s="166" t="n">
        <v>-657.453620366323</v>
      </c>
      <c r="CD89" s="166" t="n">
        <v>-657.453620366323</v>
      </c>
      <c r="CE89" s="166" t="n">
        <v>-657.453620366323</v>
      </c>
      <c r="CF89" s="166" t="n">
        <v>-657.453620366323</v>
      </c>
      <c r="CG89" s="166" t="n">
        <v>-657.453620366323</v>
      </c>
      <c r="CH89" s="166" t="n">
        <v>-657.453620366323</v>
      </c>
      <c r="CI89" s="166" t="n">
        <v>-657.453620366323</v>
      </c>
      <c r="CJ89" s="166" t="n">
        <v>-657.453620366323</v>
      </c>
      <c r="CK89" s="166" t="n">
        <v>-657.453620366323</v>
      </c>
      <c r="CL89" s="166" t="n">
        <v>-670.60269277365</v>
      </c>
      <c r="CM89" s="166" t="n">
        <v>-670.60269277365</v>
      </c>
      <c r="CN89" s="166" t="n">
        <v>-670.60269277365</v>
      </c>
      <c r="CO89" s="166" t="n">
        <v>-670.60269277365</v>
      </c>
      <c r="CP89" s="166" t="n">
        <v>-670.60269277365</v>
      </c>
      <c r="CQ89" s="166" t="n">
        <v>-670.60269277365</v>
      </c>
      <c r="CR89" s="166" t="n">
        <v>-670.60269277365</v>
      </c>
      <c r="CS89" s="166" t="n">
        <v>-670.60269277365</v>
      </c>
      <c r="CT89" s="166" t="n">
        <v>-670.60269277365</v>
      </c>
      <c r="CU89" s="166" t="n">
        <v>-670.60269277365</v>
      </c>
      <c r="CV89" s="166" t="n">
        <v>-670.60269277365</v>
      </c>
      <c r="CW89" s="166" t="n">
        <v>-670.60269277365</v>
      </c>
      <c r="CX89" s="166" t="n">
        <v>-684.014746629123</v>
      </c>
      <c r="CY89" s="166" t="n">
        <v>-684.014746629123</v>
      </c>
      <c r="CZ89" s="166" t="n">
        <v>-684.014746629123</v>
      </c>
      <c r="DA89" s="166" t="n">
        <v>-684.014746629123</v>
      </c>
      <c r="DB89" s="166" t="n">
        <v>-684.014746629123</v>
      </c>
      <c r="DC89" s="166" t="n">
        <v>-684.014746629123</v>
      </c>
      <c r="DD89" s="166" t="n">
        <v>-684.014746629123</v>
      </c>
      <c r="DE89" s="166" t="n">
        <v>-684.014746629123</v>
      </c>
      <c r="DF89" s="166" t="n">
        <v>-684.014746629123</v>
      </c>
    </row>
    <row r="90" customFormat="false" ht="15" hidden="false" customHeight="true" outlineLevel="0" collapsed="false">
      <c r="A90" s="140" t="s">
        <v>72</v>
      </c>
      <c r="C90" s="170" t="n">
        <v>-246.85</v>
      </c>
      <c r="D90" s="170" t="n">
        <v>0</v>
      </c>
      <c r="E90" s="170" t="n">
        <v>-4246.73</v>
      </c>
      <c r="F90" s="166" t="n">
        <v>-1497.86</v>
      </c>
      <c r="G90" s="166" t="n">
        <v>-1497.86</v>
      </c>
      <c r="H90" s="166" t="n">
        <v>-1497.86</v>
      </c>
      <c r="I90" s="166" t="n">
        <v>-1497.86</v>
      </c>
      <c r="J90" s="166" t="n">
        <v>-1497.86</v>
      </c>
      <c r="K90" s="166" t="n">
        <v>-1497.86</v>
      </c>
      <c r="L90" s="166" t="n">
        <v>-1497.86</v>
      </c>
      <c r="M90" s="166" t="n">
        <v>-1497.86</v>
      </c>
      <c r="N90" s="166" t="n">
        <v>-1497.86</v>
      </c>
      <c r="O90" s="166" t="n">
        <v>-1497.86</v>
      </c>
      <c r="P90" s="166" t="n">
        <v>-1497.86</v>
      </c>
      <c r="Q90" s="166" t="n">
        <v>-1497.86</v>
      </c>
      <c r="R90" s="166" t="n">
        <v>-1527.8172</v>
      </c>
      <c r="S90" s="166" t="n">
        <v>-1527.8172</v>
      </c>
      <c r="T90" s="166" t="n">
        <v>-1527.8172</v>
      </c>
      <c r="U90" s="166" t="n">
        <v>-1527.8172</v>
      </c>
      <c r="V90" s="166" t="n">
        <v>-1527.8172</v>
      </c>
      <c r="W90" s="166" t="n">
        <v>-1527.8172</v>
      </c>
      <c r="X90" s="166" t="n">
        <v>-1527.8172</v>
      </c>
      <c r="Y90" s="166" t="n">
        <v>-1527.8172</v>
      </c>
      <c r="Z90" s="166" t="n">
        <v>-1527.8172</v>
      </c>
      <c r="AA90" s="166" t="n">
        <v>-1527.8172</v>
      </c>
      <c r="AB90" s="166" t="n">
        <v>-1527.8172</v>
      </c>
      <c r="AC90" s="166" t="n">
        <v>-1527.8172</v>
      </c>
      <c r="AD90" s="166" t="n">
        <v>-1558.373544</v>
      </c>
      <c r="AE90" s="166" t="n">
        <v>-1558.373544</v>
      </c>
      <c r="AF90" s="166" t="n">
        <v>-1558.373544</v>
      </c>
      <c r="AG90" s="166" t="n">
        <v>-1558.373544</v>
      </c>
      <c r="AH90" s="166" t="n">
        <v>-1558.373544</v>
      </c>
      <c r="AI90" s="166" t="n">
        <v>-1558.373544</v>
      </c>
      <c r="AJ90" s="166" t="n">
        <v>-1558.373544</v>
      </c>
      <c r="AK90" s="166" t="n">
        <v>-1558.373544</v>
      </c>
      <c r="AL90" s="166" t="n">
        <v>-1558.373544</v>
      </c>
      <c r="AM90" s="166" t="n">
        <v>-1558.373544</v>
      </c>
      <c r="AN90" s="166" t="n">
        <v>-1558.373544</v>
      </c>
      <c r="AO90" s="166" t="n">
        <v>-1558.373544</v>
      </c>
      <c r="AP90" s="166" t="n">
        <v>-1589.54101488</v>
      </c>
      <c r="AQ90" s="166" t="n">
        <v>-1589.54101488</v>
      </c>
      <c r="AR90" s="166" t="n">
        <v>-1589.54101488</v>
      </c>
      <c r="AS90" s="166" t="n">
        <v>-1589.54101488</v>
      </c>
      <c r="AT90" s="166" t="n">
        <v>-1589.54101488</v>
      </c>
      <c r="AU90" s="166" t="n">
        <v>-1589.54101488</v>
      </c>
      <c r="AV90" s="166" t="n">
        <v>-1589.54101488</v>
      </c>
      <c r="AW90" s="166" t="n">
        <v>-1589.54101488</v>
      </c>
      <c r="AX90" s="166" t="n">
        <v>-1589.54101488</v>
      </c>
      <c r="AY90" s="166" t="n">
        <v>-1589.54101488</v>
      </c>
      <c r="AZ90" s="166" t="n">
        <v>-1589.54101488</v>
      </c>
      <c r="BA90" s="166" t="n">
        <v>-1589.54101488</v>
      </c>
      <c r="BB90" s="166" t="n">
        <v>-1621.3318351776</v>
      </c>
      <c r="BC90" s="166" t="n">
        <v>-1621.3318351776</v>
      </c>
      <c r="BD90" s="166" t="n">
        <v>-1621.3318351776</v>
      </c>
      <c r="BE90" s="166" t="n">
        <v>-1621.3318351776</v>
      </c>
      <c r="BF90" s="166" t="n">
        <v>-1621.3318351776</v>
      </c>
      <c r="BG90" s="166" t="n">
        <v>-1621.3318351776</v>
      </c>
      <c r="BH90" s="166" t="n">
        <v>-1621.3318351776</v>
      </c>
      <c r="BI90" s="166" t="n">
        <v>-1621.3318351776</v>
      </c>
      <c r="BJ90" s="166" t="n">
        <v>-1621.3318351776</v>
      </c>
      <c r="BK90" s="166" t="n">
        <v>-1621.3318351776</v>
      </c>
      <c r="BL90" s="166" t="n">
        <v>-1621.3318351776</v>
      </c>
      <c r="BM90" s="166" t="n">
        <v>-1621.3318351776</v>
      </c>
      <c r="BN90" s="166" t="n">
        <v>-1653.75847188115</v>
      </c>
      <c r="BO90" s="166" t="n">
        <v>-1653.75847188115</v>
      </c>
      <c r="BP90" s="166" t="n">
        <v>-1653.75847188115</v>
      </c>
      <c r="BQ90" s="166" t="n">
        <v>-1653.75847188115</v>
      </c>
      <c r="BR90" s="166" t="n">
        <v>-1653.75847188115</v>
      </c>
      <c r="BS90" s="166" t="n">
        <v>-1653.75847188115</v>
      </c>
      <c r="BT90" s="166" t="n">
        <v>-1653.75847188115</v>
      </c>
      <c r="BU90" s="166" t="n">
        <v>-1653.75847188115</v>
      </c>
      <c r="BV90" s="166" t="n">
        <v>-1653.75847188115</v>
      </c>
      <c r="BW90" s="166" t="n">
        <v>-1653.75847188115</v>
      </c>
      <c r="BX90" s="166" t="n">
        <v>-1653.75847188115</v>
      </c>
      <c r="BY90" s="166" t="n">
        <v>-1653.75847188115</v>
      </c>
      <c r="BZ90" s="166" t="n">
        <v>-1686.83364131878</v>
      </c>
      <c r="CA90" s="166" t="n">
        <v>-1686.83364131878</v>
      </c>
      <c r="CB90" s="166" t="n">
        <v>-1686.83364131878</v>
      </c>
      <c r="CC90" s="166" t="n">
        <v>-1686.83364131878</v>
      </c>
      <c r="CD90" s="166" t="n">
        <v>-1686.83364131878</v>
      </c>
      <c r="CE90" s="166" t="n">
        <v>-1686.83364131878</v>
      </c>
      <c r="CF90" s="166" t="n">
        <v>-1686.83364131878</v>
      </c>
      <c r="CG90" s="166" t="n">
        <v>-1686.83364131878</v>
      </c>
      <c r="CH90" s="166" t="n">
        <v>-1686.83364131878</v>
      </c>
      <c r="CI90" s="166" t="n">
        <v>-1686.83364131878</v>
      </c>
      <c r="CJ90" s="166" t="n">
        <v>-1686.83364131878</v>
      </c>
      <c r="CK90" s="166" t="n">
        <v>-1686.83364131878</v>
      </c>
      <c r="CL90" s="166" t="n">
        <v>-1720.57031414515</v>
      </c>
      <c r="CM90" s="166" t="n">
        <v>-1720.57031414515</v>
      </c>
      <c r="CN90" s="166" t="n">
        <v>-1720.57031414515</v>
      </c>
      <c r="CO90" s="166" t="n">
        <v>-1720.57031414515</v>
      </c>
      <c r="CP90" s="166" t="n">
        <v>-1720.57031414515</v>
      </c>
      <c r="CQ90" s="166" t="n">
        <v>-1720.57031414515</v>
      </c>
      <c r="CR90" s="166" t="n">
        <v>-1720.57031414515</v>
      </c>
      <c r="CS90" s="166" t="n">
        <v>-1720.57031414515</v>
      </c>
      <c r="CT90" s="166" t="n">
        <v>-1720.57031414515</v>
      </c>
      <c r="CU90" s="166" t="n">
        <v>-1720.57031414515</v>
      </c>
      <c r="CV90" s="166" t="n">
        <v>-1720.57031414515</v>
      </c>
      <c r="CW90" s="166" t="n">
        <v>-1720.57031414515</v>
      </c>
      <c r="CX90" s="166" t="n">
        <v>-1754.98172042805</v>
      </c>
      <c r="CY90" s="166" t="n">
        <v>-1754.98172042805</v>
      </c>
      <c r="CZ90" s="166" t="n">
        <v>-1754.98172042805</v>
      </c>
      <c r="DA90" s="166" t="n">
        <v>-1754.98172042805</v>
      </c>
      <c r="DB90" s="166" t="n">
        <v>-1754.98172042805</v>
      </c>
      <c r="DC90" s="166" t="n">
        <v>-1754.98172042805</v>
      </c>
      <c r="DD90" s="166" t="n">
        <v>-1754.98172042805</v>
      </c>
      <c r="DE90" s="166" t="n">
        <v>-1754.98172042805</v>
      </c>
      <c r="DF90" s="166" t="n">
        <v>-1754.98172042805</v>
      </c>
    </row>
    <row r="91" customFormat="false" ht="15" hidden="false" customHeight="true" outlineLevel="0" collapsed="false">
      <c r="A91" s="140" t="s">
        <v>118</v>
      </c>
      <c r="C91" s="125" t="n">
        <v>0</v>
      </c>
      <c r="D91" s="125" t="n">
        <v>0</v>
      </c>
      <c r="E91" s="125" t="n">
        <v>-870</v>
      </c>
      <c r="F91" s="166" t="n">
        <v>-290</v>
      </c>
      <c r="G91" s="166" t="n">
        <v>-290</v>
      </c>
      <c r="H91" s="166" t="n">
        <v>-290</v>
      </c>
      <c r="I91" s="166" t="n">
        <v>-290</v>
      </c>
      <c r="J91" s="166" t="n">
        <v>-290</v>
      </c>
      <c r="K91" s="166" t="n">
        <v>-290</v>
      </c>
      <c r="L91" s="166" t="n">
        <v>-290</v>
      </c>
      <c r="M91" s="166" t="n">
        <v>-290</v>
      </c>
      <c r="N91" s="166" t="n">
        <v>-290</v>
      </c>
      <c r="O91" s="166" t="n">
        <v>-290</v>
      </c>
      <c r="P91" s="166" t="n">
        <v>-290</v>
      </c>
      <c r="Q91" s="166" t="n">
        <v>-290</v>
      </c>
      <c r="R91" s="166" t="n">
        <v>-295.8</v>
      </c>
      <c r="S91" s="166" t="n">
        <v>-295.8</v>
      </c>
      <c r="T91" s="166" t="n">
        <v>-295.8</v>
      </c>
      <c r="U91" s="166" t="n">
        <v>-295.8</v>
      </c>
      <c r="V91" s="166" t="n">
        <v>-295.8</v>
      </c>
      <c r="W91" s="166" t="n">
        <v>-295.8</v>
      </c>
      <c r="X91" s="166" t="n">
        <v>-295.8</v>
      </c>
      <c r="Y91" s="166" t="n">
        <v>-295.8</v>
      </c>
      <c r="Z91" s="166" t="n">
        <v>-295.8</v>
      </c>
      <c r="AA91" s="166" t="n">
        <v>-295.8</v>
      </c>
      <c r="AB91" s="166" t="n">
        <v>-295.8</v>
      </c>
      <c r="AC91" s="166" t="n">
        <v>-295.8</v>
      </c>
      <c r="AD91" s="166" t="n">
        <v>-301.716</v>
      </c>
      <c r="AE91" s="166" t="n">
        <v>-301.716</v>
      </c>
      <c r="AF91" s="166" t="n">
        <v>-301.716</v>
      </c>
      <c r="AG91" s="166" t="n">
        <v>-301.716</v>
      </c>
      <c r="AH91" s="166" t="n">
        <v>-301.716</v>
      </c>
      <c r="AI91" s="166" t="n">
        <v>-301.716</v>
      </c>
      <c r="AJ91" s="166" t="n">
        <v>-301.716</v>
      </c>
      <c r="AK91" s="166" t="n">
        <v>-301.716</v>
      </c>
      <c r="AL91" s="166" t="n">
        <v>-301.716</v>
      </c>
      <c r="AM91" s="166" t="n">
        <v>-301.716</v>
      </c>
      <c r="AN91" s="166" t="n">
        <v>-301.716</v>
      </c>
      <c r="AO91" s="166" t="n">
        <v>-301.716</v>
      </c>
      <c r="AP91" s="166" t="n">
        <v>-307.75032</v>
      </c>
      <c r="AQ91" s="166" t="n">
        <v>-307.75032</v>
      </c>
      <c r="AR91" s="166" t="n">
        <v>-307.75032</v>
      </c>
      <c r="AS91" s="166" t="n">
        <v>-307.75032</v>
      </c>
      <c r="AT91" s="166" t="n">
        <v>-307.75032</v>
      </c>
      <c r="AU91" s="166" t="n">
        <v>-307.75032</v>
      </c>
      <c r="AV91" s="166" t="n">
        <v>-307.75032</v>
      </c>
      <c r="AW91" s="166" t="n">
        <v>-307.75032</v>
      </c>
      <c r="AX91" s="166" t="n">
        <v>-307.75032</v>
      </c>
      <c r="AY91" s="166" t="n">
        <v>-307.75032</v>
      </c>
      <c r="AZ91" s="166" t="n">
        <v>-307.75032</v>
      </c>
      <c r="BA91" s="166" t="n">
        <v>-307.75032</v>
      </c>
      <c r="BB91" s="166" t="n">
        <v>-313.9053264</v>
      </c>
      <c r="BC91" s="166" t="n">
        <v>-313.9053264</v>
      </c>
      <c r="BD91" s="166" t="n">
        <v>-313.9053264</v>
      </c>
      <c r="BE91" s="166" t="n">
        <v>-313.9053264</v>
      </c>
      <c r="BF91" s="166" t="n">
        <v>-313.9053264</v>
      </c>
      <c r="BG91" s="166" t="n">
        <v>-313.9053264</v>
      </c>
      <c r="BH91" s="166" t="n">
        <v>-313.9053264</v>
      </c>
      <c r="BI91" s="166" t="n">
        <v>-313.9053264</v>
      </c>
      <c r="BJ91" s="166" t="n">
        <v>-313.9053264</v>
      </c>
      <c r="BK91" s="166" t="n">
        <v>-313.9053264</v>
      </c>
      <c r="BL91" s="166" t="n">
        <v>-313.9053264</v>
      </c>
      <c r="BM91" s="166" t="n">
        <v>-313.9053264</v>
      </c>
      <c r="BN91" s="166" t="n">
        <v>-320.183432928</v>
      </c>
      <c r="BO91" s="166" t="n">
        <v>-320.183432928</v>
      </c>
      <c r="BP91" s="166" t="n">
        <v>-320.183432928</v>
      </c>
      <c r="BQ91" s="166" t="n">
        <v>-320.183432928</v>
      </c>
      <c r="BR91" s="166" t="n">
        <v>-320.183432928</v>
      </c>
      <c r="BS91" s="166" t="n">
        <v>-320.183432928</v>
      </c>
      <c r="BT91" s="166" t="n">
        <v>-320.183432928</v>
      </c>
      <c r="BU91" s="166" t="n">
        <v>-320.183432928</v>
      </c>
      <c r="BV91" s="166" t="n">
        <v>-320.183432928</v>
      </c>
      <c r="BW91" s="166" t="n">
        <v>-320.183432928</v>
      </c>
      <c r="BX91" s="166" t="n">
        <v>-320.183432928</v>
      </c>
      <c r="BY91" s="166" t="n">
        <v>-320.183432928</v>
      </c>
      <c r="BZ91" s="166" t="n">
        <v>-326.58710158656</v>
      </c>
      <c r="CA91" s="166" t="n">
        <v>-326.58710158656</v>
      </c>
      <c r="CB91" s="166" t="n">
        <v>-326.58710158656</v>
      </c>
      <c r="CC91" s="166" t="n">
        <v>-326.58710158656</v>
      </c>
      <c r="CD91" s="166" t="n">
        <v>-326.58710158656</v>
      </c>
      <c r="CE91" s="166" t="n">
        <v>-326.58710158656</v>
      </c>
      <c r="CF91" s="166" t="n">
        <v>-326.58710158656</v>
      </c>
      <c r="CG91" s="166" t="n">
        <v>-326.58710158656</v>
      </c>
      <c r="CH91" s="166" t="n">
        <v>-326.58710158656</v>
      </c>
      <c r="CI91" s="166" t="n">
        <v>-326.58710158656</v>
      </c>
      <c r="CJ91" s="166" t="n">
        <v>-326.58710158656</v>
      </c>
      <c r="CK91" s="166" t="n">
        <v>-326.58710158656</v>
      </c>
      <c r="CL91" s="166" t="n">
        <v>-333.118843618291</v>
      </c>
      <c r="CM91" s="166" t="n">
        <v>-333.118843618291</v>
      </c>
      <c r="CN91" s="166" t="n">
        <v>-333.118843618291</v>
      </c>
      <c r="CO91" s="166" t="n">
        <v>-333.118843618291</v>
      </c>
      <c r="CP91" s="166" t="n">
        <v>-333.118843618291</v>
      </c>
      <c r="CQ91" s="166" t="n">
        <v>-333.118843618291</v>
      </c>
      <c r="CR91" s="166" t="n">
        <v>-333.118843618291</v>
      </c>
      <c r="CS91" s="166" t="n">
        <v>-333.118843618291</v>
      </c>
      <c r="CT91" s="166" t="n">
        <v>-333.118843618291</v>
      </c>
      <c r="CU91" s="166" t="n">
        <v>-333.118843618291</v>
      </c>
      <c r="CV91" s="166" t="n">
        <v>-333.118843618291</v>
      </c>
      <c r="CW91" s="166" t="n">
        <v>-333.118843618291</v>
      </c>
      <c r="CX91" s="166" t="n">
        <v>-339.781220490657</v>
      </c>
      <c r="CY91" s="166" t="n">
        <v>-339.781220490657</v>
      </c>
      <c r="CZ91" s="166" t="n">
        <v>-339.781220490657</v>
      </c>
      <c r="DA91" s="166" t="n">
        <v>-339.781220490657</v>
      </c>
      <c r="DB91" s="166" t="n">
        <v>-339.781220490657</v>
      </c>
      <c r="DC91" s="166" t="n">
        <v>-339.781220490657</v>
      </c>
      <c r="DD91" s="166" t="n">
        <v>-339.781220490657</v>
      </c>
      <c r="DE91" s="166" t="n">
        <v>-339.781220490657</v>
      </c>
      <c r="DF91" s="166" t="n">
        <v>-339.781220490657</v>
      </c>
    </row>
    <row r="92" customFormat="false" ht="15" hidden="false" customHeight="true" outlineLevel="0" collapsed="false">
      <c r="A92" s="120" t="s">
        <v>119</v>
      </c>
      <c r="C92" s="167" t="n">
        <v>-245</v>
      </c>
      <c r="D92" s="167" t="n">
        <v>-245</v>
      </c>
      <c r="E92" s="167" t="n">
        <v>-245</v>
      </c>
      <c r="F92" s="167" t="n">
        <v>-245</v>
      </c>
      <c r="G92" s="167" t="n">
        <v>-245</v>
      </c>
      <c r="H92" s="167" t="n">
        <v>-245</v>
      </c>
      <c r="I92" s="167" t="n">
        <v>-245</v>
      </c>
      <c r="J92" s="167" t="n">
        <v>-245</v>
      </c>
      <c r="K92" s="167" t="n">
        <v>-245</v>
      </c>
      <c r="L92" s="167" t="n">
        <v>-245</v>
      </c>
      <c r="M92" s="167" t="n">
        <v>-245</v>
      </c>
      <c r="N92" s="167" t="n">
        <v>-245</v>
      </c>
      <c r="O92" s="167" t="n">
        <v>-245</v>
      </c>
      <c r="P92" s="167" t="n">
        <v>-245</v>
      </c>
      <c r="Q92" s="167" t="n">
        <v>-245</v>
      </c>
      <c r="R92" s="167" t="n">
        <v>-249.9</v>
      </c>
      <c r="S92" s="167" t="n">
        <v>-249.9</v>
      </c>
      <c r="T92" s="167" t="n">
        <v>-249.9</v>
      </c>
      <c r="U92" s="167" t="n">
        <v>-249.9</v>
      </c>
      <c r="V92" s="167" t="n">
        <v>-249.9</v>
      </c>
      <c r="W92" s="167" t="n">
        <v>-249.9</v>
      </c>
      <c r="X92" s="167" t="n">
        <v>-249.9</v>
      </c>
      <c r="Y92" s="167" t="n">
        <v>-249.9</v>
      </c>
      <c r="Z92" s="167" t="n">
        <v>-249.9</v>
      </c>
      <c r="AA92" s="167" t="n">
        <v>-249.9</v>
      </c>
      <c r="AB92" s="167" t="n">
        <v>-249.9</v>
      </c>
      <c r="AC92" s="167" t="n">
        <v>-249.9</v>
      </c>
      <c r="AD92" s="167" t="n">
        <v>-254.898</v>
      </c>
      <c r="AE92" s="167" t="n">
        <v>-254.898</v>
      </c>
      <c r="AF92" s="167" t="n">
        <v>-254.898</v>
      </c>
      <c r="AG92" s="167" t="n">
        <v>-254.898</v>
      </c>
      <c r="AH92" s="167" t="n">
        <v>-254.898</v>
      </c>
      <c r="AI92" s="167" t="n">
        <v>-254.898</v>
      </c>
      <c r="AJ92" s="167" t="n">
        <v>-254.898</v>
      </c>
      <c r="AK92" s="167" t="n">
        <v>-254.898</v>
      </c>
      <c r="AL92" s="167" t="n">
        <v>-254.898</v>
      </c>
      <c r="AM92" s="167" t="n">
        <v>-254.898</v>
      </c>
      <c r="AN92" s="167" t="n">
        <v>-254.898</v>
      </c>
      <c r="AO92" s="167" t="n">
        <v>-254.898</v>
      </c>
      <c r="AP92" s="167" t="n">
        <v>-259.99596</v>
      </c>
      <c r="AQ92" s="167" t="n">
        <v>-259.99596</v>
      </c>
      <c r="AR92" s="167" t="n">
        <v>-259.99596</v>
      </c>
      <c r="AS92" s="167" t="n">
        <v>-259.99596</v>
      </c>
      <c r="AT92" s="167" t="n">
        <v>-259.99596</v>
      </c>
      <c r="AU92" s="167" t="n">
        <v>-259.99596</v>
      </c>
      <c r="AV92" s="167" t="n">
        <v>-259.99596</v>
      </c>
      <c r="AW92" s="167" t="n">
        <v>-259.99596</v>
      </c>
      <c r="AX92" s="167" t="n">
        <v>-259.99596</v>
      </c>
      <c r="AY92" s="167" t="n">
        <v>-259.99596</v>
      </c>
      <c r="AZ92" s="167" t="n">
        <v>-259.99596</v>
      </c>
      <c r="BA92" s="167" t="n">
        <v>-259.99596</v>
      </c>
      <c r="BB92" s="167" t="n">
        <v>-265.1958792</v>
      </c>
      <c r="BC92" s="167" t="n">
        <v>-265.1958792</v>
      </c>
      <c r="BD92" s="167" t="n">
        <v>-265.1958792</v>
      </c>
      <c r="BE92" s="167" t="n">
        <v>-265.1958792</v>
      </c>
      <c r="BF92" s="167" t="n">
        <v>-265.1958792</v>
      </c>
      <c r="BG92" s="167" t="n">
        <v>-265.1958792</v>
      </c>
      <c r="BH92" s="167" t="n">
        <v>-265.1958792</v>
      </c>
      <c r="BI92" s="167" t="n">
        <v>-265.1958792</v>
      </c>
      <c r="BJ92" s="167" t="n">
        <v>-265.1958792</v>
      </c>
      <c r="BK92" s="167" t="n">
        <v>-265.1958792</v>
      </c>
      <c r="BL92" s="167" t="n">
        <v>-265.1958792</v>
      </c>
      <c r="BM92" s="167" t="n">
        <v>-265.1958792</v>
      </c>
      <c r="BN92" s="167" t="n">
        <v>-270.499796784</v>
      </c>
      <c r="BO92" s="167" t="n">
        <v>-270.499796784</v>
      </c>
      <c r="BP92" s="167" t="n">
        <v>-270.499796784</v>
      </c>
      <c r="BQ92" s="167" t="n">
        <v>-270.499796784</v>
      </c>
      <c r="BR92" s="167" t="n">
        <v>-270.499796784</v>
      </c>
      <c r="BS92" s="167" t="n">
        <v>-270.499796784</v>
      </c>
      <c r="BT92" s="167" t="n">
        <v>-270.499796784</v>
      </c>
      <c r="BU92" s="167" t="n">
        <v>-270.499796784</v>
      </c>
      <c r="BV92" s="167" t="n">
        <v>-270.499796784</v>
      </c>
      <c r="BW92" s="167" t="n">
        <v>-270.499796784</v>
      </c>
      <c r="BX92" s="167" t="n">
        <v>-270.499796784</v>
      </c>
      <c r="BY92" s="167" t="n">
        <v>-270.499796784</v>
      </c>
      <c r="BZ92" s="167" t="n">
        <v>-275.90979271968</v>
      </c>
      <c r="CA92" s="167" t="n">
        <v>-275.90979271968</v>
      </c>
      <c r="CB92" s="167" t="n">
        <v>-275.90979271968</v>
      </c>
      <c r="CC92" s="167" t="n">
        <v>-275.90979271968</v>
      </c>
      <c r="CD92" s="167" t="n">
        <v>-275.90979271968</v>
      </c>
      <c r="CE92" s="167" t="n">
        <v>-275.90979271968</v>
      </c>
      <c r="CF92" s="167" t="n">
        <v>-275.90979271968</v>
      </c>
      <c r="CG92" s="167" t="n">
        <v>-275.90979271968</v>
      </c>
      <c r="CH92" s="167" t="n">
        <v>-275.90979271968</v>
      </c>
      <c r="CI92" s="167" t="n">
        <v>-275.90979271968</v>
      </c>
      <c r="CJ92" s="167" t="n">
        <v>-275.90979271968</v>
      </c>
      <c r="CK92" s="167" t="n">
        <v>-275.90979271968</v>
      </c>
      <c r="CL92" s="167" t="n">
        <v>-281.427988574074</v>
      </c>
      <c r="CM92" s="167" t="n">
        <v>-281.427988574074</v>
      </c>
      <c r="CN92" s="167" t="n">
        <v>-281.427988574074</v>
      </c>
      <c r="CO92" s="167" t="n">
        <v>-281.427988574074</v>
      </c>
      <c r="CP92" s="167" t="n">
        <v>-281.427988574074</v>
      </c>
      <c r="CQ92" s="167" t="n">
        <v>-281.427988574074</v>
      </c>
      <c r="CR92" s="167" t="n">
        <v>-281.427988574074</v>
      </c>
      <c r="CS92" s="167" t="n">
        <v>-281.427988574074</v>
      </c>
      <c r="CT92" s="167" t="n">
        <v>-281.427988574074</v>
      </c>
      <c r="CU92" s="167" t="n">
        <v>-281.427988574074</v>
      </c>
      <c r="CV92" s="167" t="n">
        <v>-281.427988574074</v>
      </c>
      <c r="CW92" s="167" t="n">
        <v>-281.427988574074</v>
      </c>
      <c r="CX92" s="167" t="n">
        <v>-287.056548345555</v>
      </c>
      <c r="CY92" s="167" t="n">
        <v>-287.056548345555</v>
      </c>
      <c r="CZ92" s="167" t="n">
        <v>-287.056548345555</v>
      </c>
      <c r="DA92" s="167" t="n">
        <v>-287.056548345555</v>
      </c>
      <c r="DB92" s="167" t="n">
        <v>-287.056548345555</v>
      </c>
      <c r="DC92" s="167" t="n">
        <v>-287.056548345555</v>
      </c>
      <c r="DD92" s="167" t="n">
        <v>-287.056548345555</v>
      </c>
      <c r="DE92" s="167" t="n">
        <v>-287.056548345555</v>
      </c>
      <c r="DF92" s="167" t="n">
        <v>-287.056548345555</v>
      </c>
    </row>
    <row r="93" customFormat="false" ht="15" hidden="false" customHeight="true" outlineLevel="0" collapsed="false">
      <c r="A93" s="120" t="s">
        <v>120</v>
      </c>
      <c r="C93" s="167" t="n">
        <v>-986.57</v>
      </c>
      <c r="D93" s="167" t="n">
        <v>-1254.61</v>
      </c>
      <c r="E93" s="167" t="n">
        <v>-1297.31</v>
      </c>
      <c r="F93" s="167" t="n">
        <v>-1179.5</v>
      </c>
      <c r="G93" s="167" t="n">
        <v>-1179.5</v>
      </c>
      <c r="H93" s="167" t="n">
        <v>-1179.5</v>
      </c>
      <c r="I93" s="167" t="n">
        <v>-1179.5</v>
      </c>
      <c r="J93" s="167" t="n">
        <v>-1179.5</v>
      </c>
      <c r="K93" s="167" t="n">
        <v>-1179.5</v>
      </c>
      <c r="L93" s="167" t="n">
        <v>-1179.5</v>
      </c>
      <c r="M93" s="167" t="n">
        <v>-1179.5</v>
      </c>
      <c r="N93" s="167" t="n">
        <v>-1179.5</v>
      </c>
      <c r="O93" s="167" t="n">
        <v>-1179.5</v>
      </c>
      <c r="P93" s="167" t="n">
        <v>-1179.5</v>
      </c>
      <c r="Q93" s="167" t="n">
        <v>-1179.5</v>
      </c>
      <c r="R93" s="167" t="n">
        <v>-1203.09</v>
      </c>
      <c r="S93" s="167" t="n">
        <v>-1203.09</v>
      </c>
      <c r="T93" s="167" t="n">
        <v>-1203.09</v>
      </c>
      <c r="U93" s="167" t="n">
        <v>-1203.09</v>
      </c>
      <c r="V93" s="167" t="n">
        <v>-1203.09</v>
      </c>
      <c r="W93" s="167" t="n">
        <v>-1203.09</v>
      </c>
      <c r="X93" s="167" t="n">
        <v>-1203.09</v>
      </c>
      <c r="Y93" s="167" t="n">
        <v>-1203.09</v>
      </c>
      <c r="Z93" s="167" t="n">
        <v>-1203.09</v>
      </c>
      <c r="AA93" s="167" t="n">
        <v>-1203.09</v>
      </c>
      <c r="AB93" s="167" t="n">
        <v>-1203.09</v>
      </c>
      <c r="AC93" s="167" t="n">
        <v>-1203.09</v>
      </c>
      <c r="AD93" s="167" t="n">
        <v>-1227.1518</v>
      </c>
      <c r="AE93" s="167" t="n">
        <v>-1227.1518</v>
      </c>
      <c r="AF93" s="167" t="n">
        <v>-1227.1518</v>
      </c>
      <c r="AG93" s="167" t="n">
        <v>-1227.1518</v>
      </c>
      <c r="AH93" s="167" t="n">
        <v>-1227.1518</v>
      </c>
      <c r="AI93" s="167" t="n">
        <v>-1227.1518</v>
      </c>
      <c r="AJ93" s="167" t="n">
        <v>-1227.1518</v>
      </c>
      <c r="AK93" s="167" t="n">
        <v>-1227.1518</v>
      </c>
      <c r="AL93" s="167" t="n">
        <v>-1227.1518</v>
      </c>
      <c r="AM93" s="167" t="n">
        <v>-1227.1518</v>
      </c>
      <c r="AN93" s="167" t="n">
        <v>-1227.1518</v>
      </c>
      <c r="AO93" s="167" t="n">
        <v>-1227.1518</v>
      </c>
      <c r="AP93" s="167" t="n">
        <v>-1251.694836</v>
      </c>
      <c r="AQ93" s="167" t="n">
        <v>-1251.694836</v>
      </c>
      <c r="AR93" s="167" t="n">
        <v>-1251.694836</v>
      </c>
      <c r="AS93" s="167" t="n">
        <v>-1251.694836</v>
      </c>
      <c r="AT93" s="167" t="n">
        <v>-1251.694836</v>
      </c>
      <c r="AU93" s="167" t="n">
        <v>-1251.694836</v>
      </c>
      <c r="AV93" s="167" t="n">
        <v>-1251.694836</v>
      </c>
      <c r="AW93" s="167" t="n">
        <v>-1251.694836</v>
      </c>
      <c r="AX93" s="167" t="n">
        <v>-1251.694836</v>
      </c>
      <c r="AY93" s="167" t="n">
        <v>-1251.694836</v>
      </c>
      <c r="AZ93" s="167" t="n">
        <v>-1251.694836</v>
      </c>
      <c r="BA93" s="167" t="n">
        <v>-1251.694836</v>
      </c>
      <c r="BB93" s="167" t="n">
        <v>-1276.72873272</v>
      </c>
      <c r="BC93" s="167" t="n">
        <v>-1276.72873272</v>
      </c>
      <c r="BD93" s="167" t="n">
        <v>-1276.72873272</v>
      </c>
      <c r="BE93" s="167" t="n">
        <v>-1276.72873272</v>
      </c>
      <c r="BF93" s="167" t="n">
        <v>-1276.72873272</v>
      </c>
      <c r="BG93" s="167" t="n">
        <v>-1276.72873272</v>
      </c>
      <c r="BH93" s="167" t="n">
        <v>-1276.72873272</v>
      </c>
      <c r="BI93" s="167" t="n">
        <v>-1276.72873272</v>
      </c>
      <c r="BJ93" s="167" t="n">
        <v>-1276.72873272</v>
      </c>
      <c r="BK93" s="167" t="n">
        <v>-1276.72873272</v>
      </c>
      <c r="BL93" s="167" t="n">
        <v>-1276.72873272</v>
      </c>
      <c r="BM93" s="167" t="n">
        <v>-1276.72873272</v>
      </c>
      <c r="BN93" s="167" t="n">
        <v>-1302.2633073744</v>
      </c>
      <c r="BO93" s="167" t="n">
        <v>-1302.2633073744</v>
      </c>
      <c r="BP93" s="167" t="n">
        <v>-1302.2633073744</v>
      </c>
      <c r="BQ93" s="167" t="n">
        <v>-1302.2633073744</v>
      </c>
      <c r="BR93" s="167" t="n">
        <v>-1302.2633073744</v>
      </c>
      <c r="BS93" s="167" t="n">
        <v>-1302.2633073744</v>
      </c>
      <c r="BT93" s="167" t="n">
        <v>-1302.2633073744</v>
      </c>
      <c r="BU93" s="167" t="n">
        <v>-1302.2633073744</v>
      </c>
      <c r="BV93" s="167" t="n">
        <v>-1302.2633073744</v>
      </c>
      <c r="BW93" s="167" t="n">
        <v>-1302.2633073744</v>
      </c>
      <c r="BX93" s="167" t="n">
        <v>-1302.2633073744</v>
      </c>
      <c r="BY93" s="167" t="n">
        <v>-1302.2633073744</v>
      </c>
      <c r="BZ93" s="167" t="n">
        <v>-1328.30857352189</v>
      </c>
      <c r="CA93" s="167" t="n">
        <v>-1328.30857352189</v>
      </c>
      <c r="CB93" s="167" t="n">
        <v>-1328.30857352189</v>
      </c>
      <c r="CC93" s="167" t="n">
        <v>-1328.30857352189</v>
      </c>
      <c r="CD93" s="167" t="n">
        <v>-1328.30857352189</v>
      </c>
      <c r="CE93" s="167" t="n">
        <v>-1328.30857352189</v>
      </c>
      <c r="CF93" s="167" t="n">
        <v>-1328.30857352189</v>
      </c>
      <c r="CG93" s="167" t="n">
        <v>-1328.30857352189</v>
      </c>
      <c r="CH93" s="167" t="n">
        <v>-1328.30857352189</v>
      </c>
      <c r="CI93" s="167" t="n">
        <v>-1328.30857352189</v>
      </c>
      <c r="CJ93" s="167" t="n">
        <v>-1328.30857352189</v>
      </c>
      <c r="CK93" s="167" t="n">
        <v>-1328.30857352189</v>
      </c>
      <c r="CL93" s="167" t="n">
        <v>-1354.87474499233</v>
      </c>
      <c r="CM93" s="167" t="n">
        <v>-1354.87474499233</v>
      </c>
      <c r="CN93" s="167" t="n">
        <v>-1354.87474499233</v>
      </c>
      <c r="CO93" s="167" t="n">
        <v>-1354.87474499233</v>
      </c>
      <c r="CP93" s="167" t="n">
        <v>-1354.87474499233</v>
      </c>
      <c r="CQ93" s="167" t="n">
        <v>-1354.87474499233</v>
      </c>
      <c r="CR93" s="167" t="n">
        <v>-1354.87474499233</v>
      </c>
      <c r="CS93" s="167" t="n">
        <v>-1354.87474499233</v>
      </c>
      <c r="CT93" s="167" t="n">
        <v>-1354.87474499233</v>
      </c>
      <c r="CU93" s="167" t="n">
        <v>-1354.87474499233</v>
      </c>
      <c r="CV93" s="167" t="n">
        <v>-1354.87474499233</v>
      </c>
      <c r="CW93" s="167" t="n">
        <v>-1354.87474499233</v>
      </c>
      <c r="CX93" s="167" t="n">
        <v>-1381.97223989217</v>
      </c>
      <c r="CY93" s="167" t="n">
        <v>-1381.97223989217</v>
      </c>
      <c r="CZ93" s="167" t="n">
        <v>-1381.97223989217</v>
      </c>
      <c r="DA93" s="167" t="n">
        <v>-1381.97223989217</v>
      </c>
      <c r="DB93" s="167" t="n">
        <v>-1381.97223989217</v>
      </c>
      <c r="DC93" s="167" t="n">
        <v>-1381.97223989217</v>
      </c>
      <c r="DD93" s="167" t="n">
        <v>-1381.97223989217</v>
      </c>
      <c r="DE93" s="167" t="n">
        <v>-1381.97223989217</v>
      </c>
      <c r="DF93" s="167" t="n">
        <v>-1381.97223989217</v>
      </c>
    </row>
    <row r="94" customFormat="false" ht="15" hidden="false" customHeight="true" outlineLevel="0" collapsed="false">
      <c r="A94" s="120" t="s">
        <v>121</v>
      </c>
      <c r="C94" s="167" t="n">
        <v>-588.66</v>
      </c>
      <c r="D94" s="167" t="n">
        <v>-22.94</v>
      </c>
      <c r="E94" s="167" t="n">
        <v>-487.3</v>
      </c>
      <c r="F94" s="167" t="n">
        <v>-366.3</v>
      </c>
      <c r="G94" s="167" t="n">
        <v>-366.3</v>
      </c>
      <c r="H94" s="167" t="n">
        <v>-366.3</v>
      </c>
      <c r="I94" s="167" t="n">
        <v>-366.3</v>
      </c>
      <c r="J94" s="167" t="n">
        <v>-366.3</v>
      </c>
      <c r="K94" s="167" t="n">
        <v>-366.3</v>
      </c>
      <c r="L94" s="167" t="n">
        <v>-366.3</v>
      </c>
      <c r="M94" s="167" t="n">
        <v>-366.3</v>
      </c>
      <c r="N94" s="167" t="n">
        <v>-366.3</v>
      </c>
      <c r="O94" s="167" t="n">
        <v>-366.3</v>
      </c>
      <c r="P94" s="167" t="n">
        <v>-366.3</v>
      </c>
      <c r="Q94" s="167" t="n">
        <v>-366.3</v>
      </c>
      <c r="R94" s="167" t="n">
        <v>-373.626</v>
      </c>
      <c r="S94" s="167" t="n">
        <v>-373.626</v>
      </c>
      <c r="T94" s="167" t="n">
        <v>-373.626</v>
      </c>
      <c r="U94" s="167" t="n">
        <v>-373.626</v>
      </c>
      <c r="V94" s="167" t="n">
        <v>-373.626</v>
      </c>
      <c r="W94" s="167" t="n">
        <v>-373.626</v>
      </c>
      <c r="X94" s="167" t="n">
        <v>-373.626</v>
      </c>
      <c r="Y94" s="167" t="n">
        <v>-373.626</v>
      </c>
      <c r="Z94" s="167" t="n">
        <v>-373.626</v>
      </c>
      <c r="AA94" s="167" t="n">
        <v>-373.626</v>
      </c>
      <c r="AB94" s="167" t="n">
        <v>-373.626</v>
      </c>
      <c r="AC94" s="167" t="n">
        <v>-373.626</v>
      </c>
      <c r="AD94" s="167" t="n">
        <v>-381.09852</v>
      </c>
      <c r="AE94" s="167" t="n">
        <v>-381.09852</v>
      </c>
      <c r="AF94" s="167" t="n">
        <v>-381.09852</v>
      </c>
      <c r="AG94" s="167" t="n">
        <v>-381.09852</v>
      </c>
      <c r="AH94" s="167" t="n">
        <v>-381.09852</v>
      </c>
      <c r="AI94" s="167" t="n">
        <v>-381.09852</v>
      </c>
      <c r="AJ94" s="167" t="n">
        <v>-381.09852</v>
      </c>
      <c r="AK94" s="167" t="n">
        <v>-381.09852</v>
      </c>
      <c r="AL94" s="167" t="n">
        <v>-381.09852</v>
      </c>
      <c r="AM94" s="167" t="n">
        <v>-381.09852</v>
      </c>
      <c r="AN94" s="167" t="n">
        <v>-381.09852</v>
      </c>
      <c r="AO94" s="167" t="n">
        <v>-381.09852</v>
      </c>
      <c r="AP94" s="167" t="n">
        <v>-388.7204904</v>
      </c>
      <c r="AQ94" s="167" t="n">
        <v>-388.7204904</v>
      </c>
      <c r="AR94" s="167" t="n">
        <v>-388.7204904</v>
      </c>
      <c r="AS94" s="167" t="n">
        <v>-388.7204904</v>
      </c>
      <c r="AT94" s="167" t="n">
        <v>-388.7204904</v>
      </c>
      <c r="AU94" s="167" t="n">
        <v>-388.7204904</v>
      </c>
      <c r="AV94" s="167" t="n">
        <v>-388.7204904</v>
      </c>
      <c r="AW94" s="167" t="n">
        <v>-388.7204904</v>
      </c>
      <c r="AX94" s="167" t="n">
        <v>-388.7204904</v>
      </c>
      <c r="AY94" s="167" t="n">
        <v>-388.7204904</v>
      </c>
      <c r="AZ94" s="167" t="n">
        <v>-388.7204904</v>
      </c>
      <c r="BA94" s="167" t="n">
        <v>-388.7204904</v>
      </c>
      <c r="BB94" s="167" t="n">
        <v>-396.494900208</v>
      </c>
      <c r="BC94" s="167" t="n">
        <v>-396.494900208</v>
      </c>
      <c r="BD94" s="167" t="n">
        <v>-396.494900208</v>
      </c>
      <c r="BE94" s="167" t="n">
        <v>-396.494900208</v>
      </c>
      <c r="BF94" s="167" t="n">
        <v>-396.494900208</v>
      </c>
      <c r="BG94" s="167" t="n">
        <v>-396.494900208</v>
      </c>
      <c r="BH94" s="167" t="n">
        <v>-396.494900208</v>
      </c>
      <c r="BI94" s="167" t="n">
        <v>-396.494900208</v>
      </c>
      <c r="BJ94" s="167" t="n">
        <v>-396.494900208</v>
      </c>
      <c r="BK94" s="167" t="n">
        <v>-396.494900208</v>
      </c>
      <c r="BL94" s="167" t="n">
        <v>-396.494900208</v>
      </c>
      <c r="BM94" s="167" t="n">
        <v>-396.494900208</v>
      </c>
      <c r="BN94" s="167" t="n">
        <v>-404.42479821216</v>
      </c>
      <c r="BO94" s="167" t="n">
        <v>-404.42479821216</v>
      </c>
      <c r="BP94" s="167" t="n">
        <v>-404.42479821216</v>
      </c>
      <c r="BQ94" s="167" t="n">
        <v>-404.42479821216</v>
      </c>
      <c r="BR94" s="167" t="n">
        <v>-404.42479821216</v>
      </c>
      <c r="BS94" s="167" t="n">
        <v>-404.42479821216</v>
      </c>
      <c r="BT94" s="167" t="n">
        <v>-404.42479821216</v>
      </c>
      <c r="BU94" s="167" t="n">
        <v>-404.42479821216</v>
      </c>
      <c r="BV94" s="167" t="n">
        <v>-404.42479821216</v>
      </c>
      <c r="BW94" s="167" t="n">
        <v>-404.42479821216</v>
      </c>
      <c r="BX94" s="167" t="n">
        <v>-404.42479821216</v>
      </c>
      <c r="BY94" s="167" t="n">
        <v>-404.42479821216</v>
      </c>
      <c r="BZ94" s="167" t="n">
        <v>-412.513294176403</v>
      </c>
      <c r="CA94" s="167" t="n">
        <v>-412.513294176403</v>
      </c>
      <c r="CB94" s="167" t="n">
        <v>-412.513294176403</v>
      </c>
      <c r="CC94" s="167" t="n">
        <v>-412.513294176403</v>
      </c>
      <c r="CD94" s="167" t="n">
        <v>-412.513294176403</v>
      </c>
      <c r="CE94" s="167" t="n">
        <v>-412.513294176403</v>
      </c>
      <c r="CF94" s="167" t="n">
        <v>-412.513294176403</v>
      </c>
      <c r="CG94" s="167" t="n">
        <v>-412.513294176403</v>
      </c>
      <c r="CH94" s="167" t="n">
        <v>-412.513294176403</v>
      </c>
      <c r="CI94" s="167" t="n">
        <v>-412.513294176403</v>
      </c>
      <c r="CJ94" s="167" t="n">
        <v>-412.513294176403</v>
      </c>
      <c r="CK94" s="167" t="n">
        <v>-412.513294176403</v>
      </c>
      <c r="CL94" s="167" t="n">
        <v>-420.763560059931</v>
      </c>
      <c r="CM94" s="167" t="n">
        <v>-420.763560059931</v>
      </c>
      <c r="CN94" s="167" t="n">
        <v>-420.763560059931</v>
      </c>
      <c r="CO94" s="167" t="n">
        <v>-420.763560059931</v>
      </c>
      <c r="CP94" s="167" t="n">
        <v>-420.763560059931</v>
      </c>
      <c r="CQ94" s="167" t="n">
        <v>-420.763560059931</v>
      </c>
      <c r="CR94" s="167" t="n">
        <v>-420.763560059931</v>
      </c>
      <c r="CS94" s="167" t="n">
        <v>-420.763560059931</v>
      </c>
      <c r="CT94" s="167" t="n">
        <v>-420.763560059931</v>
      </c>
      <c r="CU94" s="167" t="n">
        <v>-420.763560059931</v>
      </c>
      <c r="CV94" s="167" t="n">
        <v>-420.763560059931</v>
      </c>
      <c r="CW94" s="167" t="n">
        <v>-420.763560059931</v>
      </c>
      <c r="CX94" s="167" t="n">
        <v>-429.17883126113</v>
      </c>
      <c r="CY94" s="167" t="n">
        <v>-429.17883126113</v>
      </c>
      <c r="CZ94" s="167" t="n">
        <v>-429.17883126113</v>
      </c>
      <c r="DA94" s="167" t="n">
        <v>-429.17883126113</v>
      </c>
      <c r="DB94" s="167" t="n">
        <v>-429.17883126113</v>
      </c>
      <c r="DC94" s="167" t="n">
        <v>-429.17883126113</v>
      </c>
      <c r="DD94" s="167" t="n">
        <v>-429.17883126113</v>
      </c>
      <c r="DE94" s="167" t="n">
        <v>-429.17883126113</v>
      </c>
      <c r="DF94" s="167" t="n">
        <v>-429.17883126113</v>
      </c>
    </row>
    <row r="95" customFormat="false" ht="15" hidden="false" customHeight="true" outlineLevel="0" collapsed="false">
      <c r="A95" s="120" t="s">
        <v>122</v>
      </c>
      <c r="C95" s="167" t="n">
        <v>0</v>
      </c>
      <c r="D95" s="167" t="n">
        <v>-92.75</v>
      </c>
      <c r="E95" s="167" t="n">
        <v>-57.46</v>
      </c>
      <c r="F95" s="167" t="n">
        <v>-50.07</v>
      </c>
      <c r="G95" s="167" t="n">
        <v>-50.07</v>
      </c>
      <c r="H95" s="167" t="n">
        <v>-50.07</v>
      </c>
      <c r="I95" s="167" t="n">
        <v>-50.07</v>
      </c>
      <c r="J95" s="167" t="n">
        <v>-50.07</v>
      </c>
      <c r="K95" s="167" t="n">
        <v>-50.07</v>
      </c>
      <c r="L95" s="167" t="n">
        <v>-50.07</v>
      </c>
      <c r="M95" s="167" t="n">
        <v>-50.07</v>
      </c>
      <c r="N95" s="167" t="n">
        <v>-50.07</v>
      </c>
      <c r="O95" s="167" t="n">
        <v>-50.07</v>
      </c>
      <c r="P95" s="167" t="n">
        <v>-50.07</v>
      </c>
      <c r="Q95" s="167" t="n">
        <v>-50.07</v>
      </c>
      <c r="R95" s="167" t="n">
        <v>-51.0714</v>
      </c>
      <c r="S95" s="167" t="n">
        <v>-51.0714</v>
      </c>
      <c r="T95" s="167" t="n">
        <v>-51.0714</v>
      </c>
      <c r="U95" s="167" t="n">
        <v>-51.0714</v>
      </c>
      <c r="V95" s="167" t="n">
        <v>-51.0714</v>
      </c>
      <c r="W95" s="167" t="n">
        <v>-51.0714</v>
      </c>
      <c r="X95" s="167" t="n">
        <v>-51.0714</v>
      </c>
      <c r="Y95" s="167" t="n">
        <v>-51.0714</v>
      </c>
      <c r="Z95" s="167" t="n">
        <v>-51.0714</v>
      </c>
      <c r="AA95" s="167" t="n">
        <v>-51.0714</v>
      </c>
      <c r="AB95" s="167" t="n">
        <v>-51.0714</v>
      </c>
      <c r="AC95" s="167" t="n">
        <v>-51.0714</v>
      </c>
      <c r="AD95" s="167" t="n">
        <v>-52.092828</v>
      </c>
      <c r="AE95" s="167" t="n">
        <v>-52.092828</v>
      </c>
      <c r="AF95" s="167" t="n">
        <v>-52.092828</v>
      </c>
      <c r="AG95" s="167" t="n">
        <v>-52.092828</v>
      </c>
      <c r="AH95" s="167" t="n">
        <v>-52.092828</v>
      </c>
      <c r="AI95" s="167" t="n">
        <v>-52.092828</v>
      </c>
      <c r="AJ95" s="167" t="n">
        <v>-52.092828</v>
      </c>
      <c r="AK95" s="167" t="n">
        <v>-52.092828</v>
      </c>
      <c r="AL95" s="167" t="n">
        <v>-52.092828</v>
      </c>
      <c r="AM95" s="167" t="n">
        <v>-52.092828</v>
      </c>
      <c r="AN95" s="167" t="n">
        <v>-52.092828</v>
      </c>
      <c r="AO95" s="167" t="n">
        <v>-52.092828</v>
      </c>
      <c r="AP95" s="167" t="n">
        <v>-53.13468456</v>
      </c>
      <c r="AQ95" s="167" t="n">
        <v>-53.13468456</v>
      </c>
      <c r="AR95" s="167" t="n">
        <v>-53.13468456</v>
      </c>
      <c r="AS95" s="167" t="n">
        <v>-53.13468456</v>
      </c>
      <c r="AT95" s="167" t="n">
        <v>-53.13468456</v>
      </c>
      <c r="AU95" s="167" t="n">
        <v>-53.13468456</v>
      </c>
      <c r="AV95" s="167" t="n">
        <v>-53.13468456</v>
      </c>
      <c r="AW95" s="167" t="n">
        <v>-53.13468456</v>
      </c>
      <c r="AX95" s="167" t="n">
        <v>-53.13468456</v>
      </c>
      <c r="AY95" s="167" t="n">
        <v>-53.13468456</v>
      </c>
      <c r="AZ95" s="167" t="n">
        <v>-53.13468456</v>
      </c>
      <c r="BA95" s="167" t="n">
        <v>-53.13468456</v>
      </c>
      <c r="BB95" s="167" t="n">
        <v>-54.1973782512</v>
      </c>
      <c r="BC95" s="167" t="n">
        <v>-54.1973782512</v>
      </c>
      <c r="BD95" s="167" t="n">
        <v>-54.1973782512</v>
      </c>
      <c r="BE95" s="167" t="n">
        <v>-54.1973782512</v>
      </c>
      <c r="BF95" s="167" t="n">
        <v>-54.1973782512</v>
      </c>
      <c r="BG95" s="167" t="n">
        <v>-54.1973782512</v>
      </c>
      <c r="BH95" s="167" t="n">
        <v>-54.1973782512</v>
      </c>
      <c r="BI95" s="167" t="n">
        <v>-54.1973782512</v>
      </c>
      <c r="BJ95" s="167" t="n">
        <v>-54.1973782512</v>
      </c>
      <c r="BK95" s="167" t="n">
        <v>-54.1973782512</v>
      </c>
      <c r="BL95" s="167" t="n">
        <v>-54.1973782512</v>
      </c>
      <c r="BM95" s="167" t="n">
        <v>-54.1973782512</v>
      </c>
      <c r="BN95" s="167" t="n">
        <v>-55.281325816224</v>
      </c>
      <c r="BO95" s="167" t="n">
        <v>-55.281325816224</v>
      </c>
      <c r="BP95" s="167" t="n">
        <v>-55.281325816224</v>
      </c>
      <c r="BQ95" s="167" t="n">
        <v>-55.281325816224</v>
      </c>
      <c r="BR95" s="167" t="n">
        <v>-55.281325816224</v>
      </c>
      <c r="BS95" s="167" t="n">
        <v>-55.281325816224</v>
      </c>
      <c r="BT95" s="167" t="n">
        <v>-55.281325816224</v>
      </c>
      <c r="BU95" s="167" t="n">
        <v>-55.281325816224</v>
      </c>
      <c r="BV95" s="167" t="n">
        <v>-55.281325816224</v>
      </c>
      <c r="BW95" s="167" t="n">
        <v>-55.281325816224</v>
      </c>
      <c r="BX95" s="167" t="n">
        <v>-55.281325816224</v>
      </c>
      <c r="BY95" s="167" t="n">
        <v>-55.281325816224</v>
      </c>
      <c r="BZ95" s="167" t="n">
        <v>-56.3869523325485</v>
      </c>
      <c r="CA95" s="167" t="n">
        <v>-56.3869523325485</v>
      </c>
      <c r="CB95" s="167" t="n">
        <v>-56.3869523325485</v>
      </c>
      <c r="CC95" s="167" t="n">
        <v>-56.3869523325485</v>
      </c>
      <c r="CD95" s="167" t="n">
        <v>-56.3869523325485</v>
      </c>
      <c r="CE95" s="167" t="n">
        <v>-56.3869523325485</v>
      </c>
      <c r="CF95" s="167" t="n">
        <v>-56.3869523325485</v>
      </c>
      <c r="CG95" s="167" t="n">
        <v>-56.3869523325485</v>
      </c>
      <c r="CH95" s="167" t="n">
        <v>-56.3869523325485</v>
      </c>
      <c r="CI95" s="167" t="n">
        <v>-56.3869523325485</v>
      </c>
      <c r="CJ95" s="167" t="n">
        <v>-56.3869523325485</v>
      </c>
      <c r="CK95" s="167" t="n">
        <v>-56.3869523325485</v>
      </c>
      <c r="CL95" s="167" t="n">
        <v>-57.5146913791995</v>
      </c>
      <c r="CM95" s="167" t="n">
        <v>-57.5146913791995</v>
      </c>
      <c r="CN95" s="167" t="n">
        <v>-57.5146913791995</v>
      </c>
      <c r="CO95" s="167" t="n">
        <v>-57.5146913791995</v>
      </c>
      <c r="CP95" s="167" t="n">
        <v>-57.5146913791995</v>
      </c>
      <c r="CQ95" s="167" t="n">
        <v>-57.5146913791995</v>
      </c>
      <c r="CR95" s="167" t="n">
        <v>-57.5146913791995</v>
      </c>
      <c r="CS95" s="167" t="n">
        <v>-57.5146913791995</v>
      </c>
      <c r="CT95" s="167" t="n">
        <v>-57.5146913791995</v>
      </c>
      <c r="CU95" s="167" t="n">
        <v>-57.5146913791995</v>
      </c>
      <c r="CV95" s="167" t="n">
        <v>-57.5146913791995</v>
      </c>
      <c r="CW95" s="167" t="n">
        <v>-57.5146913791995</v>
      </c>
      <c r="CX95" s="167" t="n">
        <v>-58.6649852067835</v>
      </c>
      <c r="CY95" s="167" t="n">
        <v>-58.6649852067835</v>
      </c>
      <c r="CZ95" s="167" t="n">
        <v>-58.6649852067835</v>
      </c>
      <c r="DA95" s="167" t="n">
        <v>-58.6649852067835</v>
      </c>
      <c r="DB95" s="167" t="n">
        <v>-58.6649852067835</v>
      </c>
      <c r="DC95" s="167" t="n">
        <v>-58.6649852067835</v>
      </c>
      <c r="DD95" s="167" t="n">
        <v>-58.6649852067835</v>
      </c>
      <c r="DE95" s="167" t="n">
        <v>-58.6649852067835</v>
      </c>
      <c r="DF95" s="167" t="n">
        <v>-58.6649852067835</v>
      </c>
    </row>
    <row r="96" customFormat="false" ht="15" hidden="false" customHeight="true" outlineLevel="0" collapsed="false">
      <c r="A96" s="120" t="s">
        <v>74</v>
      </c>
      <c r="C96" s="167" t="n">
        <v>-640.88</v>
      </c>
      <c r="D96" s="167" t="n">
        <v>-872.64</v>
      </c>
      <c r="E96" s="167" t="n">
        <v>-1175.78</v>
      </c>
      <c r="F96" s="167" t="n">
        <v>-896.43</v>
      </c>
      <c r="G96" s="167" t="n">
        <v>-896.43</v>
      </c>
      <c r="H96" s="167" t="n">
        <v>-896.43</v>
      </c>
      <c r="I96" s="167" t="n">
        <v>-896.43</v>
      </c>
      <c r="J96" s="167" t="n">
        <v>-896.43</v>
      </c>
      <c r="K96" s="167" t="n">
        <v>-896.43</v>
      </c>
      <c r="L96" s="167" t="n">
        <v>-896.43</v>
      </c>
      <c r="M96" s="167" t="n">
        <v>-896.43</v>
      </c>
      <c r="N96" s="167" t="n">
        <v>-896.43</v>
      </c>
      <c r="O96" s="167" t="n">
        <v>-896.43</v>
      </c>
      <c r="P96" s="167" t="n">
        <v>-896.43</v>
      </c>
      <c r="Q96" s="167" t="n">
        <v>-896.43</v>
      </c>
      <c r="R96" s="167" t="n">
        <v>-914.3586</v>
      </c>
      <c r="S96" s="167" t="n">
        <v>-914.3586</v>
      </c>
      <c r="T96" s="167" t="n">
        <v>-914.3586</v>
      </c>
      <c r="U96" s="167" t="n">
        <v>-914.3586</v>
      </c>
      <c r="V96" s="167" t="n">
        <v>-914.3586</v>
      </c>
      <c r="W96" s="167" t="n">
        <v>-914.3586</v>
      </c>
      <c r="X96" s="167" t="n">
        <v>-914.3586</v>
      </c>
      <c r="Y96" s="167" t="n">
        <v>-914.3586</v>
      </c>
      <c r="Z96" s="167" t="n">
        <v>-914.3586</v>
      </c>
      <c r="AA96" s="167" t="n">
        <v>-914.3586</v>
      </c>
      <c r="AB96" s="167" t="n">
        <v>-914.3586</v>
      </c>
      <c r="AC96" s="167" t="n">
        <v>-914.3586</v>
      </c>
      <c r="AD96" s="167" t="n">
        <v>-932.645772</v>
      </c>
      <c r="AE96" s="167" t="n">
        <v>-932.645772</v>
      </c>
      <c r="AF96" s="167" t="n">
        <v>-932.645772</v>
      </c>
      <c r="AG96" s="167" t="n">
        <v>-932.645772</v>
      </c>
      <c r="AH96" s="167" t="n">
        <v>-932.645772</v>
      </c>
      <c r="AI96" s="167" t="n">
        <v>-932.645772</v>
      </c>
      <c r="AJ96" s="167" t="n">
        <v>-932.645772</v>
      </c>
      <c r="AK96" s="167" t="n">
        <v>-932.645772</v>
      </c>
      <c r="AL96" s="167" t="n">
        <v>-932.645772</v>
      </c>
      <c r="AM96" s="167" t="n">
        <v>-932.645772</v>
      </c>
      <c r="AN96" s="167" t="n">
        <v>-932.645772</v>
      </c>
      <c r="AO96" s="167" t="n">
        <v>-932.645772</v>
      </c>
      <c r="AP96" s="167" t="n">
        <v>-951.29868744</v>
      </c>
      <c r="AQ96" s="167" t="n">
        <v>-951.29868744</v>
      </c>
      <c r="AR96" s="167" t="n">
        <v>-951.29868744</v>
      </c>
      <c r="AS96" s="167" t="n">
        <v>-951.29868744</v>
      </c>
      <c r="AT96" s="167" t="n">
        <v>-951.29868744</v>
      </c>
      <c r="AU96" s="167" t="n">
        <v>-951.29868744</v>
      </c>
      <c r="AV96" s="167" t="n">
        <v>-951.29868744</v>
      </c>
      <c r="AW96" s="167" t="n">
        <v>-951.29868744</v>
      </c>
      <c r="AX96" s="167" t="n">
        <v>-951.29868744</v>
      </c>
      <c r="AY96" s="167" t="n">
        <v>-951.29868744</v>
      </c>
      <c r="AZ96" s="167" t="n">
        <v>-951.29868744</v>
      </c>
      <c r="BA96" s="167" t="n">
        <v>-951.29868744</v>
      </c>
      <c r="BB96" s="167" t="n">
        <v>-970.3246611888</v>
      </c>
      <c r="BC96" s="167" t="n">
        <v>-970.3246611888</v>
      </c>
      <c r="BD96" s="167" t="n">
        <v>-970.3246611888</v>
      </c>
      <c r="BE96" s="167" t="n">
        <v>-970.3246611888</v>
      </c>
      <c r="BF96" s="167" t="n">
        <v>-970.3246611888</v>
      </c>
      <c r="BG96" s="167" t="n">
        <v>-970.3246611888</v>
      </c>
      <c r="BH96" s="167" t="n">
        <v>-970.3246611888</v>
      </c>
      <c r="BI96" s="167" t="n">
        <v>-970.3246611888</v>
      </c>
      <c r="BJ96" s="167" t="n">
        <v>-970.3246611888</v>
      </c>
      <c r="BK96" s="167" t="n">
        <v>-970.3246611888</v>
      </c>
      <c r="BL96" s="167" t="n">
        <v>-970.3246611888</v>
      </c>
      <c r="BM96" s="167" t="n">
        <v>-970.3246611888</v>
      </c>
      <c r="BN96" s="167" t="n">
        <v>-989.731154412576</v>
      </c>
      <c r="BO96" s="167" t="n">
        <v>-989.731154412576</v>
      </c>
      <c r="BP96" s="167" t="n">
        <v>-989.731154412576</v>
      </c>
      <c r="BQ96" s="167" t="n">
        <v>-989.731154412576</v>
      </c>
      <c r="BR96" s="167" t="n">
        <v>-989.731154412576</v>
      </c>
      <c r="BS96" s="167" t="n">
        <v>-989.731154412576</v>
      </c>
      <c r="BT96" s="167" t="n">
        <v>-989.731154412576</v>
      </c>
      <c r="BU96" s="167" t="n">
        <v>-989.731154412576</v>
      </c>
      <c r="BV96" s="167" t="n">
        <v>-989.731154412576</v>
      </c>
      <c r="BW96" s="167" t="n">
        <v>-989.731154412576</v>
      </c>
      <c r="BX96" s="167" t="n">
        <v>-989.731154412576</v>
      </c>
      <c r="BY96" s="167" t="n">
        <v>-989.731154412576</v>
      </c>
      <c r="BZ96" s="167" t="n">
        <v>-1009.52577750083</v>
      </c>
      <c r="CA96" s="167" t="n">
        <v>-1009.52577750083</v>
      </c>
      <c r="CB96" s="167" t="n">
        <v>-1009.52577750083</v>
      </c>
      <c r="CC96" s="167" t="n">
        <v>-1009.52577750083</v>
      </c>
      <c r="CD96" s="167" t="n">
        <v>-1009.52577750083</v>
      </c>
      <c r="CE96" s="167" t="n">
        <v>-1009.52577750083</v>
      </c>
      <c r="CF96" s="167" t="n">
        <v>-1009.52577750083</v>
      </c>
      <c r="CG96" s="167" t="n">
        <v>-1009.52577750083</v>
      </c>
      <c r="CH96" s="167" t="n">
        <v>-1009.52577750083</v>
      </c>
      <c r="CI96" s="167" t="n">
        <v>-1009.52577750083</v>
      </c>
      <c r="CJ96" s="167" t="n">
        <v>-1009.52577750083</v>
      </c>
      <c r="CK96" s="167" t="n">
        <v>-1009.52577750083</v>
      </c>
      <c r="CL96" s="167" t="n">
        <v>-1029.71629305084</v>
      </c>
      <c r="CM96" s="167" t="n">
        <v>-1029.71629305084</v>
      </c>
      <c r="CN96" s="167" t="n">
        <v>-1029.71629305084</v>
      </c>
      <c r="CO96" s="167" t="n">
        <v>-1029.71629305084</v>
      </c>
      <c r="CP96" s="167" t="n">
        <v>-1029.71629305084</v>
      </c>
      <c r="CQ96" s="167" t="n">
        <v>-1029.71629305084</v>
      </c>
      <c r="CR96" s="167" t="n">
        <v>-1029.71629305084</v>
      </c>
      <c r="CS96" s="167" t="n">
        <v>-1029.71629305084</v>
      </c>
      <c r="CT96" s="167" t="n">
        <v>-1029.71629305084</v>
      </c>
      <c r="CU96" s="167" t="n">
        <v>-1029.71629305084</v>
      </c>
      <c r="CV96" s="167" t="n">
        <v>-1029.71629305084</v>
      </c>
      <c r="CW96" s="167" t="n">
        <v>-1029.71629305084</v>
      </c>
      <c r="CX96" s="167" t="n">
        <v>-1050.31061891186</v>
      </c>
      <c r="CY96" s="167" t="n">
        <v>-1050.31061891186</v>
      </c>
      <c r="CZ96" s="167" t="n">
        <v>-1050.31061891186</v>
      </c>
      <c r="DA96" s="167" t="n">
        <v>-1050.31061891186</v>
      </c>
      <c r="DB96" s="167" t="n">
        <v>-1050.31061891186</v>
      </c>
      <c r="DC96" s="167" t="n">
        <v>-1050.31061891186</v>
      </c>
      <c r="DD96" s="167" t="n">
        <v>-1050.31061891186</v>
      </c>
      <c r="DE96" s="167" t="n">
        <v>-1050.31061891186</v>
      </c>
      <c r="DF96" s="167" t="n">
        <v>-1050.31061891186</v>
      </c>
    </row>
    <row r="97" customFormat="false" ht="15" hidden="false" customHeight="true" outlineLevel="0" collapsed="false">
      <c r="A97" s="120" t="s">
        <v>75</v>
      </c>
      <c r="C97" s="167" t="n">
        <v>0</v>
      </c>
      <c r="D97" s="167" t="n">
        <v>0</v>
      </c>
      <c r="E97" s="167" t="n">
        <v>-38050.5</v>
      </c>
      <c r="F97" s="167" t="n">
        <v>-2000</v>
      </c>
      <c r="G97" s="167" t="n">
        <v>-2000</v>
      </c>
      <c r="H97" s="167" t="n">
        <v>-2000</v>
      </c>
      <c r="I97" s="167" t="n">
        <v>-2000</v>
      </c>
      <c r="J97" s="167" t="n">
        <v>-2000</v>
      </c>
      <c r="K97" s="167" t="n">
        <v>-2000</v>
      </c>
      <c r="L97" s="167" t="n">
        <v>-2000</v>
      </c>
      <c r="M97" s="167" t="n">
        <v>-2000</v>
      </c>
      <c r="N97" s="167" t="n">
        <v>-2000</v>
      </c>
      <c r="O97" s="167" t="n">
        <v>-2000</v>
      </c>
      <c r="P97" s="167" t="n">
        <v>-2000</v>
      </c>
      <c r="Q97" s="167" t="n">
        <v>-2000</v>
      </c>
      <c r="R97" s="167" t="n">
        <v>-2040</v>
      </c>
      <c r="S97" s="167" t="n">
        <v>-2040</v>
      </c>
      <c r="T97" s="167" t="n">
        <v>-2040</v>
      </c>
      <c r="U97" s="167" t="n">
        <v>-2040</v>
      </c>
      <c r="V97" s="167" t="n">
        <v>-2040</v>
      </c>
      <c r="W97" s="167" t="n">
        <v>-2040</v>
      </c>
      <c r="X97" s="167" t="n">
        <v>-2040</v>
      </c>
      <c r="Y97" s="167" t="n">
        <v>-2040</v>
      </c>
      <c r="Z97" s="167" t="n">
        <v>-2040</v>
      </c>
      <c r="AA97" s="167" t="n">
        <v>-2040</v>
      </c>
      <c r="AB97" s="167" t="n">
        <v>-2040</v>
      </c>
      <c r="AC97" s="167" t="n">
        <v>-2040</v>
      </c>
      <c r="AD97" s="167" t="n">
        <v>-2080.8</v>
      </c>
      <c r="AE97" s="167" t="n">
        <v>-2080.8</v>
      </c>
      <c r="AF97" s="167" t="n">
        <v>-2080.8</v>
      </c>
      <c r="AG97" s="167" t="n">
        <v>-2080.8</v>
      </c>
      <c r="AH97" s="167" t="n">
        <v>-2080.8</v>
      </c>
      <c r="AI97" s="167" t="n">
        <v>-2080.8</v>
      </c>
      <c r="AJ97" s="167" t="n">
        <v>-2080.8</v>
      </c>
      <c r="AK97" s="167" t="n">
        <v>-2080.8</v>
      </c>
      <c r="AL97" s="167" t="n">
        <v>-2080.8</v>
      </c>
      <c r="AM97" s="167" t="n">
        <v>-2080.8</v>
      </c>
      <c r="AN97" s="167" t="n">
        <v>-2080.8</v>
      </c>
      <c r="AO97" s="167" t="n">
        <v>-2080.8</v>
      </c>
      <c r="AP97" s="167" t="n">
        <v>-2122.416</v>
      </c>
      <c r="AQ97" s="167" t="n">
        <v>-2122.416</v>
      </c>
      <c r="AR97" s="167" t="n">
        <v>-2122.416</v>
      </c>
      <c r="AS97" s="167" t="n">
        <v>-2122.416</v>
      </c>
      <c r="AT97" s="167" t="n">
        <v>-2122.416</v>
      </c>
      <c r="AU97" s="167" t="n">
        <v>-2122.416</v>
      </c>
      <c r="AV97" s="167" t="n">
        <v>-2122.416</v>
      </c>
      <c r="AW97" s="167" t="n">
        <v>-2122.416</v>
      </c>
      <c r="AX97" s="167" t="n">
        <v>-2122.416</v>
      </c>
      <c r="AY97" s="167" t="n">
        <v>-2122.416</v>
      </c>
      <c r="AZ97" s="167" t="n">
        <v>-2122.416</v>
      </c>
      <c r="BA97" s="167" t="n">
        <v>-2122.416</v>
      </c>
      <c r="BB97" s="167" t="n">
        <v>-2164.86432</v>
      </c>
      <c r="BC97" s="167" t="n">
        <v>-2164.86432</v>
      </c>
      <c r="BD97" s="167" t="n">
        <v>-2164.86432</v>
      </c>
      <c r="BE97" s="167" t="n">
        <v>-2164.86432</v>
      </c>
      <c r="BF97" s="167" t="n">
        <v>-2164.86432</v>
      </c>
      <c r="BG97" s="167" t="n">
        <v>-2164.86432</v>
      </c>
      <c r="BH97" s="167" t="n">
        <v>-2164.86432</v>
      </c>
      <c r="BI97" s="167" t="n">
        <v>-2164.86432</v>
      </c>
      <c r="BJ97" s="167" t="n">
        <v>-2164.86432</v>
      </c>
      <c r="BK97" s="167" t="n">
        <v>-2164.86432</v>
      </c>
      <c r="BL97" s="167" t="n">
        <v>-2164.86432</v>
      </c>
      <c r="BM97" s="167" t="n">
        <v>-2164.86432</v>
      </c>
      <c r="BN97" s="167" t="n">
        <v>-2208.1616064</v>
      </c>
      <c r="BO97" s="167" t="n">
        <v>-2208.1616064</v>
      </c>
      <c r="BP97" s="167" t="n">
        <v>-2208.1616064</v>
      </c>
      <c r="BQ97" s="167" t="n">
        <v>-2208.1616064</v>
      </c>
      <c r="BR97" s="167" t="n">
        <v>-2208.1616064</v>
      </c>
      <c r="BS97" s="167" t="n">
        <v>-2208.1616064</v>
      </c>
      <c r="BT97" s="167" t="n">
        <v>-2208.1616064</v>
      </c>
      <c r="BU97" s="167" t="n">
        <v>-2208.1616064</v>
      </c>
      <c r="BV97" s="167" t="n">
        <v>-2208.1616064</v>
      </c>
      <c r="BW97" s="167" t="n">
        <v>-2208.1616064</v>
      </c>
      <c r="BX97" s="167" t="n">
        <v>-2208.1616064</v>
      </c>
      <c r="BY97" s="167" t="n">
        <v>-2208.1616064</v>
      </c>
      <c r="BZ97" s="167" t="n">
        <v>-2252.324838528</v>
      </c>
      <c r="CA97" s="167" t="n">
        <v>-2252.324838528</v>
      </c>
      <c r="CB97" s="167" t="n">
        <v>-2252.324838528</v>
      </c>
      <c r="CC97" s="167" t="n">
        <v>-2252.324838528</v>
      </c>
      <c r="CD97" s="167" t="n">
        <v>-2252.324838528</v>
      </c>
      <c r="CE97" s="167" t="n">
        <v>-2252.324838528</v>
      </c>
      <c r="CF97" s="167" t="n">
        <v>-2252.324838528</v>
      </c>
      <c r="CG97" s="167" t="n">
        <v>-2252.324838528</v>
      </c>
      <c r="CH97" s="167" t="n">
        <v>-2252.324838528</v>
      </c>
      <c r="CI97" s="167" t="n">
        <v>-2252.324838528</v>
      </c>
      <c r="CJ97" s="167" t="n">
        <v>-2252.324838528</v>
      </c>
      <c r="CK97" s="167" t="n">
        <v>-2252.324838528</v>
      </c>
      <c r="CL97" s="167" t="n">
        <v>-2297.37133529856</v>
      </c>
      <c r="CM97" s="167" t="n">
        <v>-2297.37133529856</v>
      </c>
      <c r="CN97" s="167" t="n">
        <v>-2297.37133529856</v>
      </c>
      <c r="CO97" s="167" t="n">
        <v>-2297.37133529856</v>
      </c>
      <c r="CP97" s="167" t="n">
        <v>-2297.37133529856</v>
      </c>
      <c r="CQ97" s="167" t="n">
        <v>-2297.37133529856</v>
      </c>
      <c r="CR97" s="167" t="n">
        <v>-2297.37133529856</v>
      </c>
      <c r="CS97" s="167" t="n">
        <v>-2297.37133529856</v>
      </c>
      <c r="CT97" s="167" t="n">
        <v>-2297.37133529856</v>
      </c>
      <c r="CU97" s="167" t="n">
        <v>-2297.37133529856</v>
      </c>
      <c r="CV97" s="167" t="n">
        <v>-2297.37133529856</v>
      </c>
      <c r="CW97" s="167" t="n">
        <v>-2297.37133529856</v>
      </c>
      <c r="CX97" s="167" t="n">
        <v>-2343.31876200453</v>
      </c>
      <c r="CY97" s="167" t="n">
        <v>-2343.31876200453</v>
      </c>
      <c r="CZ97" s="167" t="n">
        <v>-2343.31876200453</v>
      </c>
      <c r="DA97" s="167" t="n">
        <v>-2343.31876200453</v>
      </c>
      <c r="DB97" s="167" t="n">
        <v>-2343.31876200453</v>
      </c>
      <c r="DC97" s="167" t="n">
        <v>-2343.31876200453</v>
      </c>
      <c r="DD97" s="167" t="n">
        <v>-2343.31876200453</v>
      </c>
      <c r="DE97" s="167" t="n">
        <v>-2343.31876200453</v>
      </c>
      <c r="DF97" s="167" t="n">
        <v>-2343.31876200453</v>
      </c>
    </row>
    <row r="98" customFormat="false" ht="15" hidden="false" customHeight="true" outlineLevel="0" collapsed="false">
      <c r="A98" s="140" t="s">
        <v>76</v>
      </c>
      <c r="C98" s="125" t="n">
        <v>-4097.78</v>
      </c>
      <c r="D98" s="125" t="n">
        <v>-1950.2</v>
      </c>
      <c r="E98" s="125" t="n">
        <v>-1978.2</v>
      </c>
      <c r="F98" s="166" t="n">
        <v>-2675.39</v>
      </c>
      <c r="G98" s="166" t="n">
        <v>-2675.39</v>
      </c>
      <c r="H98" s="166" t="n">
        <v>-2675.39</v>
      </c>
      <c r="I98" s="166" t="n">
        <v>-2675.39</v>
      </c>
      <c r="J98" s="166" t="n">
        <v>-2675.39</v>
      </c>
      <c r="K98" s="166" t="n">
        <v>-2675.39</v>
      </c>
      <c r="L98" s="166" t="n">
        <v>-2675.39</v>
      </c>
      <c r="M98" s="166" t="n">
        <v>-2675.39</v>
      </c>
      <c r="N98" s="166" t="n">
        <v>-2675.39</v>
      </c>
      <c r="O98" s="166" t="n">
        <v>-2675.39</v>
      </c>
      <c r="P98" s="166" t="n">
        <v>-2675.39</v>
      </c>
      <c r="Q98" s="166" t="n">
        <v>-2675.39</v>
      </c>
      <c r="R98" s="166" t="n">
        <v>-2728.8978</v>
      </c>
      <c r="S98" s="166" t="n">
        <v>-2728.8978</v>
      </c>
      <c r="T98" s="166" t="n">
        <v>-2728.8978</v>
      </c>
      <c r="U98" s="166" t="n">
        <v>-2728.8978</v>
      </c>
      <c r="V98" s="166" t="n">
        <v>-2728.8978</v>
      </c>
      <c r="W98" s="166" t="n">
        <v>-2728.8978</v>
      </c>
      <c r="X98" s="166" t="n">
        <v>-2728.8978</v>
      </c>
      <c r="Y98" s="166" t="n">
        <v>-2728.8978</v>
      </c>
      <c r="Z98" s="166" t="n">
        <v>-2728.8978</v>
      </c>
      <c r="AA98" s="166" t="n">
        <v>-2728.8978</v>
      </c>
      <c r="AB98" s="166" t="n">
        <v>-2728.8978</v>
      </c>
      <c r="AC98" s="166" t="n">
        <v>-2728.8978</v>
      </c>
      <c r="AD98" s="166" t="n">
        <v>-2783.475756</v>
      </c>
      <c r="AE98" s="166" t="n">
        <v>-2783.475756</v>
      </c>
      <c r="AF98" s="166" t="n">
        <v>-2783.475756</v>
      </c>
      <c r="AG98" s="166" t="n">
        <v>-2783.475756</v>
      </c>
      <c r="AH98" s="166" t="n">
        <v>-2783.475756</v>
      </c>
      <c r="AI98" s="166" t="n">
        <v>-2783.475756</v>
      </c>
      <c r="AJ98" s="166" t="n">
        <v>-2783.475756</v>
      </c>
      <c r="AK98" s="166" t="n">
        <v>-2783.475756</v>
      </c>
      <c r="AL98" s="166" t="n">
        <v>-2783.475756</v>
      </c>
      <c r="AM98" s="166" t="n">
        <v>-2783.475756</v>
      </c>
      <c r="AN98" s="166" t="n">
        <v>-2783.475756</v>
      </c>
      <c r="AO98" s="166" t="n">
        <v>-2783.475756</v>
      </c>
      <c r="AP98" s="166" t="n">
        <v>-2839.14527112</v>
      </c>
      <c r="AQ98" s="166" t="n">
        <v>-2839.14527112</v>
      </c>
      <c r="AR98" s="166" t="n">
        <v>-2839.14527112</v>
      </c>
      <c r="AS98" s="166" t="n">
        <v>-2839.14527112</v>
      </c>
      <c r="AT98" s="166" t="n">
        <v>-2839.14527112</v>
      </c>
      <c r="AU98" s="166" t="n">
        <v>-2839.14527112</v>
      </c>
      <c r="AV98" s="166" t="n">
        <v>-2839.14527112</v>
      </c>
      <c r="AW98" s="166" t="n">
        <v>-2839.14527112</v>
      </c>
      <c r="AX98" s="166" t="n">
        <v>-2839.14527112</v>
      </c>
      <c r="AY98" s="166" t="n">
        <v>-2839.14527112</v>
      </c>
      <c r="AZ98" s="166" t="n">
        <v>-2839.14527112</v>
      </c>
      <c r="BA98" s="166" t="n">
        <v>-2839.14527112</v>
      </c>
      <c r="BB98" s="166" t="n">
        <v>-2895.9281765424</v>
      </c>
      <c r="BC98" s="166" t="n">
        <v>-2895.9281765424</v>
      </c>
      <c r="BD98" s="166" t="n">
        <v>-2895.9281765424</v>
      </c>
      <c r="BE98" s="166" t="n">
        <v>-2895.9281765424</v>
      </c>
      <c r="BF98" s="166" t="n">
        <v>-2895.9281765424</v>
      </c>
      <c r="BG98" s="166" t="n">
        <v>-2895.9281765424</v>
      </c>
      <c r="BH98" s="166" t="n">
        <v>-2895.9281765424</v>
      </c>
      <c r="BI98" s="166" t="n">
        <v>-2895.9281765424</v>
      </c>
      <c r="BJ98" s="166" t="n">
        <v>-2895.9281765424</v>
      </c>
      <c r="BK98" s="166" t="n">
        <v>-2895.9281765424</v>
      </c>
      <c r="BL98" s="166" t="n">
        <v>-2895.9281765424</v>
      </c>
      <c r="BM98" s="166" t="n">
        <v>-2895.9281765424</v>
      </c>
      <c r="BN98" s="166" t="n">
        <v>-2953.84674007325</v>
      </c>
      <c r="BO98" s="166" t="n">
        <v>-2953.84674007325</v>
      </c>
      <c r="BP98" s="166" t="n">
        <v>-2953.84674007325</v>
      </c>
      <c r="BQ98" s="166" t="n">
        <v>-2953.84674007325</v>
      </c>
      <c r="BR98" s="166" t="n">
        <v>-2953.84674007325</v>
      </c>
      <c r="BS98" s="166" t="n">
        <v>-2953.84674007325</v>
      </c>
      <c r="BT98" s="166" t="n">
        <v>-2953.84674007325</v>
      </c>
      <c r="BU98" s="166" t="n">
        <v>-2953.84674007325</v>
      </c>
      <c r="BV98" s="166" t="n">
        <v>-2953.84674007325</v>
      </c>
      <c r="BW98" s="166" t="n">
        <v>-2953.84674007325</v>
      </c>
      <c r="BX98" s="166" t="n">
        <v>-2953.84674007325</v>
      </c>
      <c r="BY98" s="166" t="n">
        <v>-2953.84674007325</v>
      </c>
      <c r="BZ98" s="166" t="n">
        <v>-3012.92367487471</v>
      </c>
      <c r="CA98" s="166" t="n">
        <v>-3012.92367487471</v>
      </c>
      <c r="CB98" s="166" t="n">
        <v>-3012.92367487471</v>
      </c>
      <c r="CC98" s="166" t="n">
        <v>-3012.92367487471</v>
      </c>
      <c r="CD98" s="166" t="n">
        <v>-3012.92367487471</v>
      </c>
      <c r="CE98" s="166" t="n">
        <v>-3012.92367487471</v>
      </c>
      <c r="CF98" s="166" t="n">
        <v>-3012.92367487471</v>
      </c>
      <c r="CG98" s="166" t="n">
        <v>-3012.92367487471</v>
      </c>
      <c r="CH98" s="166" t="n">
        <v>-3012.92367487471</v>
      </c>
      <c r="CI98" s="166" t="n">
        <v>-3012.92367487471</v>
      </c>
      <c r="CJ98" s="166" t="n">
        <v>-3012.92367487471</v>
      </c>
      <c r="CK98" s="166" t="n">
        <v>-3012.92367487471</v>
      </c>
      <c r="CL98" s="166" t="n">
        <v>-3073.18214837221</v>
      </c>
      <c r="CM98" s="166" t="n">
        <v>-3073.18214837221</v>
      </c>
      <c r="CN98" s="166" t="n">
        <v>-3073.18214837221</v>
      </c>
      <c r="CO98" s="166" t="n">
        <v>-3073.18214837221</v>
      </c>
      <c r="CP98" s="166" t="n">
        <v>-3073.18214837221</v>
      </c>
      <c r="CQ98" s="166" t="n">
        <v>-3073.18214837221</v>
      </c>
      <c r="CR98" s="166" t="n">
        <v>-3073.18214837221</v>
      </c>
      <c r="CS98" s="166" t="n">
        <v>-3073.18214837221</v>
      </c>
      <c r="CT98" s="166" t="n">
        <v>-3073.18214837221</v>
      </c>
      <c r="CU98" s="166" t="n">
        <v>-3073.18214837221</v>
      </c>
      <c r="CV98" s="166" t="n">
        <v>-3073.18214837221</v>
      </c>
      <c r="CW98" s="166" t="n">
        <v>-3073.18214837221</v>
      </c>
      <c r="CX98" s="166" t="n">
        <v>-3134.64579133965</v>
      </c>
      <c r="CY98" s="166" t="n">
        <v>-3134.64579133965</v>
      </c>
      <c r="CZ98" s="166" t="n">
        <v>-3134.64579133965</v>
      </c>
      <c r="DA98" s="166" t="n">
        <v>-3134.64579133965</v>
      </c>
      <c r="DB98" s="166" t="n">
        <v>-3134.64579133965</v>
      </c>
      <c r="DC98" s="166" t="n">
        <v>-3134.64579133965</v>
      </c>
      <c r="DD98" s="166" t="n">
        <v>-3134.64579133965</v>
      </c>
      <c r="DE98" s="166" t="n">
        <v>-3134.64579133965</v>
      </c>
      <c r="DF98" s="166" t="n">
        <v>-3134.64579133965</v>
      </c>
    </row>
    <row r="99" customFormat="false" ht="15" hidden="false" customHeight="true" outlineLevel="0" collapsed="false">
      <c r="A99" s="140" t="s">
        <v>77</v>
      </c>
      <c r="C99" s="125" t="n">
        <v>-28038</v>
      </c>
      <c r="D99" s="125" t="n">
        <v>-29387.5</v>
      </c>
      <c r="E99" s="125" t="n">
        <v>-28083</v>
      </c>
      <c r="F99" s="166" t="n">
        <v>-8625</v>
      </c>
      <c r="G99" s="166" t="n">
        <v>-8625</v>
      </c>
      <c r="H99" s="166" t="n">
        <v>-8625</v>
      </c>
      <c r="I99" s="166" t="n">
        <v>-8625</v>
      </c>
      <c r="J99" s="166" t="n">
        <v>-8625</v>
      </c>
      <c r="K99" s="166" t="n">
        <v>-8625</v>
      </c>
      <c r="L99" s="166" t="n">
        <v>-8625</v>
      </c>
      <c r="M99" s="166" t="n">
        <v>-8625</v>
      </c>
      <c r="N99" s="166" t="n">
        <v>-8625</v>
      </c>
      <c r="O99" s="166" t="n">
        <v>-8625</v>
      </c>
      <c r="P99" s="166" t="n">
        <v>-8625</v>
      </c>
      <c r="Q99" s="166" t="n">
        <v>-8625</v>
      </c>
      <c r="R99" s="166" t="n">
        <v>-8797.5</v>
      </c>
      <c r="S99" s="166" t="n">
        <v>-8797.5</v>
      </c>
      <c r="T99" s="166" t="n">
        <v>-8797.5</v>
      </c>
      <c r="U99" s="166" t="n">
        <v>-8797.5</v>
      </c>
      <c r="V99" s="166" t="n">
        <v>-8797.5</v>
      </c>
      <c r="W99" s="166" t="n">
        <v>-8797.5</v>
      </c>
      <c r="X99" s="166" t="n">
        <v>-8797.5</v>
      </c>
      <c r="Y99" s="166" t="n">
        <v>-8797.5</v>
      </c>
      <c r="Z99" s="166" t="n">
        <v>-8797.5</v>
      </c>
      <c r="AA99" s="166" t="n">
        <v>-8797.5</v>
      </c>
      <c r="AB99" s="166" t="n">
        <v>-8797.5</v>
      </c>
      <c r="AC99" s="166" t="n">
        <v>-8797.5</v>
      </c>
      <c r="AD99" s="166" t="n">
        <v>-8973.45</v>
      </c>
      <c r="AE99" s="166" t="n">
        <v>-8973.45</v>
      </c>
      <c r="AF99" s="166" t="n">
        <v>-8973.45</v>
      </c>
      <c r="AG99" s="166" t="n">
        <v>-8973.45</v>
      </c>
      <c r="AH99" s="166" t="n">
        <v>-8973.45</v>
      </c>
      <c r="AI99" s="166" t="n">
        <v>-8973.45</v>
      </c>
      <c r="AJ99" s="166" t="n">
        <v>-8973.45</v>
      </c>
      <c r="AK99" s="166" t="n">
        <v>-8973.45</v>
      </c>
      <c r="AL99" s="166" t="n">
        <v>-8973.45</v>
      </c>
      <c r="AM99" s="166" t="n">
        <v>-8973.45</v>
      </c>
      <c r="AN99" s="166" t="n">
        <v>-8973.45</v>
      </c>
      <c r="AO99" s="166" t="n">
        <v>-8973.45</v>
      </c>
      <c r="AP99" s="166" t="n">
        <v>-9152.919</v>
      </c>
      <c r="AQ99" s="166" t="n">
        <v>-9152.919</v>
      </c>
      <c r="AR99" s="166" t="n">
        <v>-9152.919</v>
      </c>
      <c r="AS99" s="166" t="n">
        <v>-9152.919</v>
      </c>
      <c r="AT99" s="166" t="n">
        <v>-9152.919</v>
      </c>
      <c r="AU99" s="166" t="n">
        <v>-9152.919</v>
      </c>
      <c r="AV99" s="166" t="n">
        <v>-9152.919</v>
      </c>
      <c r="AW99" s="166" t="n">
        <v>-9152.919</v>
      </c>
      <c r="AX99" s="166" t="n">
        <v>-9152.919</v>
      </c>
      <c r="AY99" s="166" t="n">
        <v>-9152.919</v>
      </c>
      <c r="AZ99" s="166" t="n">
        <v>-9152.919</v>
      </c>
      <c r="BA99" s="166" t="n">
        <v>-9152.919</v>
      </c>
      <c r="BB99" s="166" t="n">
        <v>-9335.97738</v>
      </c>
      <c r="BC99" s="166" t="n">
        <v>-9335.97738</v>
      </c>
      <c r="BD99" s="166" t="n">
        <v>-9335.97738</v>
      </c>
      <c r="BE99" s="166" t="n">
        <v>-9335.97738</v>
      </c>
      <c r="BF99" s="166" t="n">
        <v>-9335.97738</v>
      </c>
      <c r="BG99" s="166" t="n">
        <v>-9335.97738</v>
      </c>
      <c r="BH99" s="166" t="n">
        <v>-9335.97738</v>
      </c>
      <c r="BI99" s="166" t="n">
        <v>-9335.97738</v>
      </c>
      <c r="BJ99" s="166" t="n">
        <v>-9335.97738</v>
      </c>
      <c r="BK99" s="166" t="n">
        <v>-9335.97738</v>
      </c>
      <c r="BL99" s="166" t="n">
        <v>-9335.97738</v>
      </c>
      <c r="BM99" s="166" t="n">
        <v>-9335.97738</v>
      </c>
      <c r="BN99" s="166" t="n">
        <v>-9522.6969276</v>
      </c>
      <c r="BO99" s="166" t="n">
        <v>-9522.6969276</v>
      </c>
      <c r="BP99" s="166" t="n">
        <v>-9522.6969276</v>
      </c>
      <c r="BQ99" s="166" t="n">
        <v>-9522.6969276</v>
      </c>
      <c r="BR99" s="166" t="n">
        <v>-9522.6969276</v>
      </c>
      <c r="BS99" s="166" t="n">
        <v>-9522.6969276</v>
      </c>
      <c r="BT99" s="166" t="n">
        <v>-9522.6969276</v>
      </c>
      <c r="BU99" s="166" t="n">
        <v>-9522.6969276</v>
      </c>
      <c r="BV99" s="166" t="n">
        <v>-9522.6969276</v>
      </c>
      <c r="BW99" s="166" t="n">
        <v>-9522.6969276</v>
      </c>
      <c r="BX99" s="166" t="n">
        <v>-9522.6969276</v>
      </c>
      <c r="BY99" s="166" t="n">
        <v>-9522.6969276</v>
      </c>
      <c r="BZ99" s="166" t="n">
        <v>-9713.150866152</v>
      </c>
      <c r="CA99" s="166" t="n">
        <v>-9713.150866152</v>
      </c>
      <c r="CB99" s="166" t="n">
        <v>-9713.150866152</v>
      </c>
      <c r="CC99" s="166" t="n">
        <v>-9713.150866152</v>
      </c>
      <c r="CD99" s="166" t="n">
        <v>-9713.150866152</v>
      </c>
      <c r="CE99" s="166" t="n">
        <v>-9713.150866152</v>
      </c>
      <c r="CF99" s="166" t="n">
        <v>-9713.150866152</v>
      </c>
      <c r="CG99" s="166" t="n">
        <v>-9713.150866152</v>
      </c>
      <c r="CH99" s="166" t="n">
        <v>-9713.150866152</v>
      </c>
      <c r="CI99" s="166" t="n">
        <v>-9713.150866152</v>
      </c>
      <c r="CJ99" s="166" t="n">
        <v>-9713.150866152</v>
      </c>
      <c r="CK99" s="166" t="n">
        <v>-9713.150866152</v>
      </c>
      <c r="CL99" s="166" t="n">
        <v>-9907.41388347504</v>
      </c>
      <c r="CM99" s="166" t="n">
        <v>-9907.41388347504</v>
      </c>
      <c r="CN99" s="166" t="n">
        <v>-9907.41388347504</v>
      </c>
      <c r="CO99" s="166" t="n">
        <v>-9907.41388347504</v>
      </c>
      <c r="CP99" s="166" t="n">
        <v>-9907.41388347504</v>
      </c>
      <c r="CQ99" s="166" t="n">
        <v>-9907.41388347504</v>
      </c>
      <c r="CR99" s="166" t="n">
        <v>-9907.41388347504</v>
      </c>
      <c r="CS99" s="166" t="n">
        <v>-9907.41388347504</v>
      </c>
      <c r="CT99" s="166" t="n">
        <v>-9907.41388347504</v>
      </c>
      <c r="CU99" s="166" t="n">
        <v>-9907.41388347504</v>
      </c>
      <c r="CV99" s="166" t="n">
        <v>-9907.41388347504</v>
      </c>
      <c r="CW99" s="166" t="n">
        <v>-9907.41388347504</v>
      </c>
      <c r="CX99" s="166" t="n">
        <v>-10105.5621611445</v>
      </c>
      <c r="CY99" s="166" t="n">
        <v>-10105.5621611445</v>
      </c>
      <c r="CZ99" s="166" t="n">
        <v>-10105.5621611445</v>
      </c>
      <c r="DA99" s="166" t="n">
        <v>-10105.5621611445</v>
      </c>
      <c r="DB99" s="166" t="n">
        <v>-10105.5621611445</v>
      </c>
      <c r="DC99" s="166" t="n">
        <v>-10105.5621611445</v>
      </c>
      <c r="DD99" s="166" t="n">
        <v>-10105.5621611445</v>
      </c>
      <c r="DE99" s="166" t="n">
        <v>-10105.5621611445</v>
      </c>
      <c r="DF99" s="166" t="n">
        <v>-10105.5621611445</v>
      </c>
    </row>
    <row r="100" customFormat="false" ht="15" hidden="false" customHeight="true" outlineLevel="0" collapsed="false">
      <c r="A100" s="120" t="s">
        <v>123</v>
      </c>
      <c r="C100" s="167" t="n">
        <v>-268</v>
      </c>
      <c r="D100" s="167" t="n">
        <v>-2088.75</v>
      </c>
      <c r="E100" s="167" t="n">
        <v>-2401.75</v>
      </c>
      <c r="F100" s="167" t="n">
        <v>-1586.17</v>
      </c>
      <c r="G100" s="167" t="n">
        <v>-1586.17</v>
      </c>
      <c r="H100" s="167" t="n">
        <v>-1586.17</v>
      </c>
      <c r="I100" s="167" t="n">
        <v>-1586.17</v>
      </c>
      <c r="J100" s="167" t="n">
        <v>-1586.17</v>
      </c>
      <c r="K100" s="167" t="n">
        <v>-1586.17</v>
      </c>
      <c r="L100" s="167" t="n">
        <v>-1586.17</v>
      </c>
      <c r="M100" s="167" t="n">
        <v>-1586.17</v>
      </c>
      <c r="N100" s="167" t="n">
        <v>-1586.17</v>
      </c>
      <c r="O100" s="167" t="n">
        <v>-1586.17</v>
      </c>
      <c r="P100" s="167" t="n">
        <v>-1586.17</v>
      </c>
      <c r="Q100" s="167" t="n">
        <v>-1586.17</v>
      </c>
      <c r="R100" s="167" t="n">
        <v>-1617.8934</v>
      </c>
      <c r="S100" s="167" t="n">
        <v>-1617.8934</v>
      </c>
      <c r="T100" s="167" t="n">
        <v>-1617.8934</v>
      </c>
      <c r="U100" s="167" t="n">
        <v>-1617.8934</v>
      </c>
      <c r="V100" s="167" t="n">
        <v>-1617.8934</v>
      </c>
      <c r="W100" s="167" t="n">
        <v>-1617.8934</v>
      </c>
      <c r="X100" s="167" t="n">
        <v>-1617.8934</v>
      </c>
      <c r="Y100" s="167" t="n">
        <v>-1617.8934</v>
      </c>
      <c r="Z100" s="167" t="n">
        <v>-1617.8934</v>
      </c>
      <c r="AA100" s="167" t="n">
        <v>-1617.8934</v>
      </c>
      <c r="AB100" s="167" t="n">
        <v>-1617.8934</v>
      </c>
      <c r="AC100" s="167" t="n">
        <v>-1617.8934</v>
      </c>
      <c r="AD100" s="167" t="n">
        <v>-1650.251268</v>
      </c>
      <c r="AE100" s="167" t="n">
        <v>-1650.251268</v>
      </c>
      <c r="AF100" s="167" t="n">
        <v>-1650.251268</v>
      </c>
      <c r="AG100" s="167" t="n">
        <v>-1650.251268</v>
      </c>
      <c r="AH100" s="167" t="n">
        <v>-1650.251268</v>
      </c>
      <c r="AI100" s="167" t="n">
        <v>-1650.251268</v>
      </c>
      <c r="AJ100" s="167" t="n">
        <v>-1650.251268</v>
      </c>
      <c r="AK100" s="167" t="n">
        <v>-1650.251268</v>
      </c>
      <c r="AL100" s="167" t="n">
        <v>-1650.251268</v>
      </c>
      <c r="AM100" s="167" t="n">
        <v>-1650.251268</v>
      </c>
      <c r="AN100" s="167" t="n">
        <v>-1650.251268</v>
      </c>
      <c r="AO100" s="167" t="n">
        <v>-1650.251268</v>
      </c>
      <c r="AP100" s="167" t="n">
        <v>-1683.25629336</v>
      </c>
      <c r="AQ100" s="167" t="n">
        <v>-1683.25629336</v>
      </c>
      <c r="AR100" s="167" t="n">
        <v>-1683.25629336</v>
      </c>
      <c r="AS100" s="167" t="n">
        <v>-1683.25629336</v>
      </c>
      <c r="AT100" s="167" t="n">
        <v>-1683.25629336</v>
      </c>
      <c r="AU100" s="167" t="n">
        <v>-1683.25629336</v>
      </c>
      <c r="AV100" s="167" t="n">
        <v>-1683.25629336</v>
      </c>
      <c r="AW100" s="167" t="n">
        <v>-1683.25629336</v>
      </c>
      <c r="AX100" s="167" t="n">
        <v>-1683.25629336</v>
      </c>
      <c r="AY100" s="167" t="n">
        <v>-1683.25629336</v>
      </c>
      <c r="AZ100" s="167" t="n">
        <v>-1683.25629336</v>
      </c>
      <c r="BA100" s="167" t="n">
        <v>-1683.25629336</v>
      </c>
      <c r="BB100" s="167" t="n">
        <v>-1716.9214192272</v>
      </c>
      <c r="BC100" s="167" t="n">
        <v>-1716.9214192272</v>
      </c>
      <c r="BD100" s="167" t="n">
        <v>-1716.9214192272</v>
      </c>
      <c r="BE100" s="167" t="n">
        <v>-1716.9214192272</v>
      </c>
      <c r="BF100" s="167" t="n">
        <v>-1716.9214192272</v>
      </c>
      <c r="BG100" s="167" t="n">
        <v>-1716.9214192272</v>
      </c>
      <c r="BH100" s="167" t="n">
        <v>-1716.9214192272</v>
      </c>
      <c r="BI100" s="167" t="n">
        <v>-1716.9214192272</v>
      </c>
      <c r="BJ100" s="167" t="n">
        <v>-1716.9214192272</v>
      </c>
      <c r="BK100" s="167" t="n">
        <v>-1716.9214192272</v>
      </c>
      <c r="BL100" s="167" t="n">
        <v>-1716.9214192272</v>
      </c>
      <c r="BM100" s="167" t="n">
        <v>-1716.9214192272</v>
      </c>
      <c r="BN100" s="167" t="n">
        <v>-1751.25984761174</v>
      </c>
      <c r="BO100" s="167" t="n">
        <v>-1751.25984761174</v>
      </c>
      <c r="BP100" s="167" t="n">
        <v>-1751.25984761174</v>
      </c>
      <c r="BQ100" s="167" t="n">
        <v>-1751.25984761174</v>
      </c>
      <c r="BR100" s="167" t="n">
        <v>-1751.25984761174</v>
      </c>
      <c r="BS100" s="167" t="n">
        <v>-1751.25984761174</v>
      </c>
      <c r="BT100" s="167" t="n">
        <v>-1751.25984761174</v>
      </c>
      <c r="BU100" s="167" t="n">
        <v>-1751.25984761174</v>
      </c>
      <c r="BV100" s="167" t="n">
        <v>-1751.25984761174</v>
      </c>
      <c r="BW100" s="167" t="n">
        <v>-1751.25984761174</v>
      </c>
      <c r="BX100" s="167" t="n">
        <v>-1751.25984761174</v>
      </c>
      <c r="BY100" s="167" t="n">
        <v>-1751.25984761174</v>
      </c>
      <c r="BZ100" s="167" t="n">
        <v>-1786.28504456398</v>
      </c>
      <c r="CA100" s="167" t="n">
        <v>-1786.28504456398</v>
      </c>
      <c r="CB100" s="167" t="n">
        <v>-1786.28504456398</v>
      </c>
      <c r="CC100" s="167" t="n">
        <v>-1786.28504456398</v>
      </c>
      <c r="CD100" s="167" t="n">
        <v>-1786.28504456398</v>
      </c>
      <c r="CE100" s="167" t="n">
        <v>-1786.28504456398</v>
      </c>
      <c r="CF100" s="167" t="n">
        <v>-1786.28504456398</v>
      </c>
      <c r="CG100" s="167" t="n">
        <v>-1786.28504456398</v>
      </c>
      <c r="CH100" s="167" t="n">
        <v>-1786.28504456398</v>
      </c>
      <c r="CI100" s="167" t="n">
        <v>-1786.28504456398</v>
      </c>
      <c r="CJ100" s="167" t="n">
        <v>-1786.28504456398</v>
      </c>
      <c r="CK100" s="167" t="n">
        <v>-1786.28504456398</v>
      </c>
      <c r="CL100" s="167" t="n">
        <v>-1822.01074545526</v>
      </c>
      <c r="CM100" s="167" t="n">
        <v>-1822.01074545526</v>
      </c>
      <c r="CN100" s="167" t="n">
        <v>-1822.01074545526</v>
      </c>
      <c r="CO100" s="167" t="n">
        <v>-1822.01074545526</v>
      </c>
      <c r="CP100" s="167" t="n">
        <v>-1822.01074545526</v>
      </c>
      <c r="CQ100" s="167" t="n">
        <v>-1822.01074545526</v>
      </c>
      <c r="CR100" s="167" t="n">
        <v>-1822.01074545526</v>
      </c>
      <c r="CS100" s="167" t="n">
        <v>-1822.01074545526</v>
      </c>
      <c r="CT100" s="167" t="n">
        <v>-1822.01074545526</v>
      </c>
      <c r="CU100" s="167" t="n">
        <v>-1822.01074545526</v>
      </c>
      <c r="CV100" s="167" t="n">
        <v>-1822.01074545526</v>
      </c>
      <c r="CW100" s="167" t="n">
        <v>-1822.01074545526</v>
      </c>
      <c r="CX100" s="167" t="n">
        <v>-1858.45096036436</v>
      </c>
      <c r="CY100" s="167" t="n">
        <v>-1858.45096036436</v>
      </c>
      <c r="CZ100" s="167" t="n">
        <v>-1858.45096036436</v>
      </c>
      <c r="DA100" s="167" t="n">
        <v>-1858.45096036436</v>
      </c>
      <c r="DB100" s="167" t="n">
        <v>-1858.45096036436</v>
      </c>
      <c r="DC100" s="167" t="n">
        <v>-1858.45096036436</v>
      </c>
      <c r="DD100" s="167" t="n">
        <v>-1858.45096036436</v>
      </c>
      <c r="DE100" s="167" t="n">
        <v>-1858.45096036436</v>
      </c>
      <c r="DF100" s="167" t="n">
        <v>-1858.45096036436</v>
      </c>
    </row>
    <row r="101" customFormat="false" ht="15" hidden="false" customHeight="true" outlineLevel="0" collapsed="false">
      <c r="A101" s="120" t="s">
        <v>124</v>
      </c>
      <c r="C101" s="167" t="n">
        <v>-341.83</v>
      </c>
      <c r="D101" s="167" t="n">
        <v>-728</v>
      </c>
      <c r="E101" s="167" t="n">
        <v>-15256.75</v>
      </c>
      <c r="F101" s="167" t="n">
        <v>-5442.19</v>
      </c>
      <c r="G101" s="167" t="n">
        <v>-5442.19</v>
      </c>
      <c r="H101" s="167" t="n">
        <v>-5442.19</v>
      </c>
      <c r="I101" s="167" t="n">
        <v>-5442.19</v>
      </c>
      <c r="J101" s="167" t="n">
        <v>-5442.19</v>
      </c>
      <c r="K101" s="167" t="n">
        <v>-5442.19</v>
      </c>
      <c r="L101" s="167" t="n">
        <v>-5442.19</v>
      </c>
      <c r="M101" s="167" t="n">
        <v>-5442.19</v>
      </c>
      <c r="N101" s="167" t="n">
        <v>-5442.19</v>
      </c>
      <c r="O101" s="167" t="n">
        <v>-5442.19</v>
      </c>
      <c r="P101" s="167" t="n">
        <v>-5442.19</v>
      </c>
      <c r="Q101" s="167" t="n">
        <v>-5442.19</v>
      </c>
      <c r="R101" s="167" t="n">
        <v>-5551.0338</v>
      </c>
      <c r="S101" s="167" t="n">
        <v>-5551.0338</v>
      </c>
      <c r="T101" s="167" t="n">
        <v>-5551.0338</v>
      </c>
      <c r="U101" s="167" t="n">
        <v>-5551.0338</v>
      </c>
      <c r="V101" s="167" t="n">
        <v>-5551.0338</v>
      </c>
      <c r="W101" s="167" t="n">
        <v>-5551.0338</v>
      </c>
      <c r="X101" s="167" t="n">
        <v>-5551.0338</v>
      </c>
      <c r="Y101" s="167" t="n">
        <v>-5551.0338</v>
      </c>
      <c r="Z101" s="167" t="n">
        <v>-5551.0338</v>
      </c>
      <c r="AA101" s="167" t="n">
        <v>-5551.0338</v>
      </c>
      <c r="AB101" s="167" t="n">
        <v>-5551.0338</v>
      </c>
      <c r="AC101" s="167" t="n">
        <v>-5551.0338</v>
      </c>
      <c r="AD101" s="167" t="n">
        <v>-5662.054476</v>
      </c>
      <c r="AE101" s="167" t="n">
        <v>-5662.054476</v>
      </c>
      <c r="AF101" s="167" t="n">
        <v>-5662.054476</v>
      </c>
      <c r="AG101" s="167" t="n">
        <v>-5662.054476</v>
      </c>
      <c r="AH101" s="167" t="n">
        <v>-5662.054476</v>
      </c>
      <c r="AI101" s="167" t="n">
        <v>-5662.054476</v>
      </c>
      <c r="AJ101" s="167" t="n">
        <v>-5662.054476</v>
      </c>
      <c r="AK101" s="167" t="n">
        <v>-5662.054476</v>
      </c>
      <c r="AL101" s="167" t="n">
        <v>-5662.054476</v>
      </c>
      <c r="AM101" s="167" t="n">
        <v>-5662.054476</v>
      </c>
      <c r="AN101" s="167" t="n">
        <v>-5662.054476</v>
      </c>
      <c r="AO101" s="167" t="n">
        <v>-5662.054476</v>
      </c>
      <c r="AP101" s="167" t="n">
        <v>-5775.29556552</v>
      </c>
      <c r="AQ101" s="167" t="n">
        <v>-5775.29556552</v>
      </c>
      <c r="AR101" s="167" t="n">
        <v>-5775.29556552</v>
      </c>
      <c r="AS101" s="167" t="n">
        <v>-5775.29556552</v>
      </c>
      <c r="AT101" s="167" t="n">
        <v>-5775.29556552</v>
      </c>
      <c r="AU101" s="167" t="n">
        <v>-5775.29556552</v>
      </c>
      <c r="AV101" s="167" t="n">
        <v>-5775.29556552</v>
      </c>
      <c r="AW101" s="167" t="n">
        <v>-5775.29556552</v>
      </c>
      <c r="AX101" s="167" t="n">
        <v>-5775.29556552</v>
      </c>
      <c r="AY101" s="167" t="n">
        <v>-5775.29556552</v>
      </c>
      <c r="AZ101" s="167" t="n">
        <v>-5775.29556552</v>
      </c>
      <c r="BA101" s="167" t="n">
        <v>-5775.29556552</v>
      </c>
      <c r="BB101" s="167" t="n">
        <v>-5890.8014768304</v>
      </c>
      <c r="BC101" s="167" t="n">
        <v>-5890.8014768304</v>
      </c>
      <c r="BD101" s="167" t="n">
        <v>-5890.8014768304</v>
      </c>
      <c r="BE101" s="167" t="n">
        <v>-5890.8014768304</v>
      </c>
      <c r="BF101" s="167" t="n">
        <v>-5890.8014768304</v>
      </c>
      <c r="BG101" s="167" t="n">
        <v>-5890.8014768304</v>
      </c>
      <c r="BH101" s="167" t="n">
        <v>-5890.8014768304</v>
      </c>
      <c r="BI101" s="167" t="n">
        <v>-5890.8014768304</v>
      </c>
      <c r="BJ101" s="167" t="n">
        <v>-5890.8014768304</v>
      </c>
      <c r="BK101" s="167" t="n">
        <v>-5890.8014768304</v>
      </c>
      <c r="BL101" s="167" t="n">
        <v>-5890.8014768304</v>
      </c>
      <c r="BM101" s="167" t="n">
        <v>-5890.8014768304</v>
      </c>
      <c r="BN101" s="167" t="n">
        <v>-6008.61750636701</v>
      </c>
      <c r="BO101" s="167" t="n">
        <v>-6008.61750636701</v>
      </c>
      <c r="BP101" s="167" t="n">
        <v>-6008.61750636701</v>
      </c>
      <c r="BQ101" s="167" t="n">
        <v>-6008.61750636701</v>
      </c>
      <c r="BR101" s="167" t="n">
        <v>-6008.61750636701</v>
      </c>
      <c r="BS101" s="167" t="n">
        <v>-6008.61750636701</v>
      </c>
      <c r="BT101" s="167" t="n">
        <v>-6008.61750636701</v>
      </c>
      <c r="BU101" s="167" t="n">
        <v>-6008.61750636701</v>
      </c>
      <c r="BV101" s="167" t="n">
        <v>-6008.61750636701</v>
      </c>
      <c r="BW101" s="167" t="n">
        <v>-6008.61750636701</v>
      </c>
      <c r="BX101" s="167" t="n">
        <v>-6008.61750636701</v>
      </c>
      <c r="BY101" s="167" t="n">
        <v>-6008.61750636701</v>
      </c>
      <c r="BZ101" s="167" t="n">
        <v>-6128.78985649435</v>
      </c>
      <c r="CA101" s="167" t="n">
        <v>-6128.78985649435</v>
      </c>
      <c r="CB101" s="167" t="n">
        <v>-6128.78985649435</v>
      </c>
      <c r="CC101" s="167" t="n">
        <v>-6128.78985649435</v>
      </c>
      <c r="CD101" s="167" t="n">
        <v>-6128.78985649435</v>
      </c>
      <c r="CE101" s="167" t="n">
        <v>-6128.78985649435</v>
      </c>
      <c r="CF101" s="167" t="n">
        <v>-6128.78985649435</v>
      </c>
      <c r="CG101" s="167" t="n">
        <v>-6128.78985649435</v>
      </c>
      <c r="CH101" s="167" t="n">
        <v>-6128.78985649435</v>
      </c>
      <c r="CI101" s="167" t="n">
        <v>-6128.78985649435</v>
      </c>
      <c r="CJ101" s="167" t="n">
        <v>-6128.78985649435</v>
      </c>
      <c r="CK101" s="167" t="n">
        <v>-6128.78985649435</v>
      </c>
      <c r="CL101" s="167" t="n">
        <v>-6251.36565362424</v>
      </c>
      <c r="CM101" s="167" t="n">
        <v>-6251.36565362424</v>
      </c>
      <c r="CN101" s="167" t="n">
        <v>-6251.36565362424</v>
      </c>
      <c r="CO101" s="167" t="n">
        <v>-6251.36565362424</v>
      </c>
      <c r="CP101" s="167" t="n">
        <v>-6251.36565362424</v>
      </c>
      <c r="CQ101" s="167" t="n">
        <v>-6251.36565362424</v>
      </c>
      <c r="CR101" s="167" t="n">
        <v>-6251.36565362424</v>
      </c>
      <c r="CS101" s="167" t="n">
        <v>-6251.36565362424</v>
      </c>
      <c r="CT101" s="167" t="n">
        <v>-6251.36565362424</v>
      </c>
      <c r="CU101" s="167" t="n">
        <v>-6251.36565362424</v>
      </c>
      <c r="CV101" s="167" t="n">
        <v>-6251.36565362424</v>
      </c>
      <c r="CW101" s="167" t="n">
        <v>-6251.36565362424</v>
      </c>
      <c r="CX101" s="167" t="n">
        <v>-6376.39296669672</v>
      </c>
      <c r="CY101" s="167" t="n">
        <v>-6376.39296669672</v>
      </c>
      <c r="CZ101" s="167" t="n">
        <v>-6376.39296669672</v>
      </c>
      <c r="DA101" s="167" t="n">
        <v>-6376.39296669672</v>
      </c>
      <c r="DB101" s="167" t="n">
        <v>-6376.39296669672</v>
      </c>
      <c r="DC101" s="167" t="n">
        <v>-6376.39296669672</v>
      </c>
      <c r="DD101" s="167" t="n">
        <v>-6376.39296669672</v>
      </c>
      <c r="DE101" s="167" t="n">
        <v>-6376.39296669672</v>
      </c>
      <c r="DF101" s="167" t="n">
        <v>-6376.39296669672</v>
      </c>
    </row>
    <row r="102" customFormat="false" ht="15" hidden="false" customHeight="true" outlineLevel="0" collapsed="false">
      <c r="A102" s="127" t="s">
        <v>125</v>
      </c>
      <c r="C102" s="167" t="n">
        <v>-1905.31</v>
      </c>
      <c r="D102" s="167" t="n">
        <v>-1905.31</v>
      </c>
      <c r="E102" s="167" t="n">
        <v>-1905.31</v>
      </c>
      <c r="F102" s="167" t="n">
        <v>-1905.31</v>
      </c>
      <c r="G102" s="167" t="n">
        <v>-1905.31</v>
      </c>
      <c r="H102" s="167" t="n">
        <v>-1905.31</v>
      </c>
      <c r="I102" s="167" t="n">
        <v>-1905.31</v>
      </c>
      <c r="J102" s="167" t="n">
        <v>-1905.31</v>
      </c>
      <c r="K102" s="167" t="n">
        <v>-1905.31</v>
      </c>
      <c r="L102" s="167" t="n">
        <v>-1905.31</v>
      </c>
      <c r="M102" s="167" t="n">
        <v>-1905.31</v>
      </c>
      <c r="N102" s="167" t="n">
        <v>-1905.31</v>
      </c>
      <c r="O102" s="167" t="n">
        <v>-1905.31</v>
      </c>
      <c r="P102" s="167" t="n">
        <v>-1905.31</v>
      </c>
      <c r="Q102" s="167" t="n">
        <v>-1905.31</v>
      </c>
      <c r="R102" s="167" t="n">
        <v>-1943.4162</v>
      </c>
      <c r="S102" s="167" t="n">
        <v>-1943.4162</v>
      </c>
      <c r="T102" s="167" t="n">
        <v>-1943.4162</v>
      </c>
      <c r="U102" s="167" t="n">
        <v>-1943.4162</v>
      </c>
      <c r="V102" s="167" t="n">
        <v>-1943.4162</v>
      </c>
      <c r="W102" s="167" t="n">
        <v>-1943.4162</v>
      </c>
      <c r="X102" s="167" t="n">
        <v>-1943.4162</v>
      </c>
      <c r="Y102" s="167" t="n">
        <v>-1943.4162</v>
      </c>
      <c r="Z102" s="167" t="n">
        <v>-1943.4162</v>
      </c>
      <c r="AA102" s="167" t="n">
        <v>-1943.4162</v>
      </c>
      <c r="AB102" s="167" t="n">
        <v>-1943.4162</v>
      </c>
      <c r="AC102" s="167" t="n">
        <v>-1943.4162</v>
      </c>
      <c r="AD102" s="167" t="n">
        <v>-1982.284524</v>
      </c>
      <c r="AE102" s="167" t="n">
        <v>-1982.284524</v>
      </c>
      <c r="AF102" s="167" t="n">
        <v>-1982.284524</v>
      </c>
      <c r="AG102" s="167" t="n">
        <v>-1982.284524</v>
      </c>
      <c r="AH102" s="167" t="n">
        <v>-1982.284524</v>
      </c>
      <c r="AI102" s="167" t="n">
        <v>-1982.284524</v>
      </c>
      <c r="AJ102" s="167" t="n">
        <v>-1982.284524</v>
      </c>
      <c r="AK102" s="167" t="n">
        <v>-1982.284524</v>
      </c>
      <c r="AL102" s="167" t="n">
        <v>-1982.284524</v>
      </c>
      <c r="AM102" s="167" t="n">
        <v>-1982.284524</v>
      </c>
      <c r="AN102" s="167" t="n">
        <v>-1982.284524</v>
      </c>
      <c r="AO102" s="167" t="n">
        <v>-1982.284524</v>
      </c>
      <c r="AP102" s="167" t="n">
        <v>-2021.93021448</v>
      </c>
      <c r="AQ102" s="167" t="n">
        <v>-2021.93021448</v>
      </c>
      <c r="AR102" s="167" t="n">
        <v>-2021.93021448</v>
      </c>
      <c r="AS102" s="167" t="n">
        <v>-2021.93021448</v>
      </c>
      <c r="AT102" s="167" t="n">
        <v>-2021.93021448</v>
      </c>
      <c r="AU102" s="167" t="n">
        <v>-2021.93021448</v>
      </c>
      <c r="AV102" s="167" t="n">
        <v>-2021.93021448</v>
      </c>
      <c r="AW102" s="167" t="n">
        <v>-2021.93021448</v>
      </c>
      <c r="AX102" s="167" t="n">
        <v>-2021.93021448</v>
      </c>
      <c r="AY102" s="167" t="n">
        <v>-2021.93021448</v>
      </c>
      <c r="AZ102" s="167" t="n">
        <v>-2021.93021448</v>
      </c>
      <c r="BA102" s="167" t="n">
        <v>-2021.93021448</v>
      </c>
      <c r="BB102" s="167" t="n">
        <v>-2062.3688187696</v>
      </c>
      <c r="BC102" s="167" t="n">
        <v>-2062.3688187696</v>
      </c>
      <c r="BD102" s="167" t="n">
        <v>-2062.3688187696</v>
      </c>
      <c r="BE102" s="167" t="n">
        <v>-2062.3688187696</v>
      </c>
      <c r="BF102" s="167" t="n">
        <v>-2062.3688187696</v>
      </c>
      <c r="BG102" s="167" t="n">
        <v>-2062.3688187696</v>
      </c>
      <c r="BH102" s="167" t="n">
        <v>-2062.3688187696</v>
      </c>
      <c r="BI102" s="167" t="n">
        <v>-2062.3688187696</v>
      </c>
      <c r="BJ102" s="167" t="n">
        <v>-2062.3688187696</v>
      </c>
      <c r="BK102" s="167" t="n">
        <v>-2062.3688187696</v>
      </c>
      <c r="BL102" s="167" t="n">
        <v>-2062.3688187696</v>
      </c>
      <c r="BM102" s="167" t="n">
        <v>-2062.3688187696</v>
      </c>
      <c r="BN102" s="167" t="n">
        <v>-2103.61619514499</v>
      </c>
      <c r="BO102" s="167" t="n">
        <v>-2103.61619514499</v>
      </c>
      <c r="BP102" s="167" t="n">
        <v>-2103.61619514499</v>
      </c>
      <c r="BQ102" s="167" t="n">
        <v>-2103.61619514499</v>
      </c>
      <c r="BR102" s="167" t="n">
        <v>-2103.61619514499</v>
      </c>
      <c r="BS102" s="167" t="n">
        <v>-2103.61619514499</v>
      </c>
      <c r="BT102" s="167" t="n">
        <v>-2103.61619514499</v>
      </c>
      <c r="BU102" s="167" t="n">
        <v>-2103.61619514499</v>
      </c>
      <c r="BV102" s="167" t="n">
        <v>-2103.61619514499</v>
      </c>
      <c r="BW102" s="167" t="n">
        <v>-2103.61619514499</v>
      </c>
      <c r="BX102" s="167" t="n">
        <v>-2103.61619514499</v>
      </c>
      <c r="BY102" s="167" t="n">
        <v>-2103.61619514499</v>
      </c>
      <c r="BZ102" s="167" t="n">
        <v>-2145.68851904789</v>
      </c>
      <c r="CA102" s="167" t="n">
        <v>-2145.68851904789</v>
      </c>
      <c r="CB102" s="167" t="n">
        <v>-2145.68851904789</v>
      </c>
      <c r="CC102" s="167" t="n">
        <v>-2145.68851904789</v>
      </c>
      <c r="CD102" s="167" t="n">
        <v>-2145.68851904789</v>
      </c>
      <c r="CE102" s="167" t="n">
        <v>-2145.68851904789</v>
      </c>
      <c r="CF102" s="167" t="n">
        <v>-2145.68851904789</v>
      </c>
      <c r="CG102" s="167" t="n">
        <v>-2145.68851904789</v>
      </c>
      <c r="CH102" s="167" t="n">
        <v>-2145.68851904789</v>
      </c>
      <c r="CI102" s="167" t="n">
        <v>-2145.68851904789</v>
      </c>
      <c r="CJ102" s="167" t="n">
        <v>-2145.68851904789</v>
      </c>
      <c r="CK102" s="167" t="n">
        <v>-2145.68851904789</v>
      </c>
      <c r="CL102" s="167" t="n">
        <v>-2188.60228942885</v>
      </c>
      <c r="CM102" s="167" t="n">
        <v>-2188.60228942885</v>
      </c>
      <c r="CN102" s="167" t="n">
        <v>-2188.60228942885</v>
      </c>
      <c r="CO102" s="167" t="n">
        <v>-2188.60228942885</v>
      </c>
      <c r="CP102" s="167" t="n">
        <v>-2188.60228942885</v>
      </c>
      <c r="CQ102" s="167" t="n">
        <v>-2188.60228942885</v>
      </c>
      <c r="CR102" s="167" t="n">
        <v>-2188.60228942885</v>
      </c>
      <c r="CS102" s="167" t="n">
        <v>-2188.60228942885</v>
      </c>
      <c r="CT102" s="167" t="n">
        <v>-2188.60228942885</v>
      </c>
      <c r="CU102" s="167" t="n">
        <v>-2188.60228942885</v>
      </c>
      <c r="CV102" s="167" t="n">
        <v>-2188.60228942885</v>
      </c>
      <c r="CW102" s="167" t="n">
        <v>-2188.60228942885</v>
      </c>
      <c r="CX102" s="167" t="n">
        <v>-2232.37433521743</v>
      </c>
      <c r="CY102" s="167" t="n">
        <v>-2232.37433521743</v>
      </c>
      <c r="CZ102" s="167" t="n">
        <v>-2232.37433521743</v>
      </c>
      <c r="DA102" s="167" t="n">
        <v>-2232.37433521743</v>
      </c>
      <c r="DB102" s="167" t="n">
        <v>-2232.37433521743</v>
      </c>
      <c r="DC102" s="167" t="n">
        <v>-2232.37433521743</v>
      </c>
      <c r="DD102" s="167" t="n">
        <v>-2232.37433521743</v>
      </c>
      <c r="DE102" s="167" t="n">
        <v>-2232.37433521743</v>
      </c>
      <c r="DF102" s="167" t="n">
        <v>-2232.37433521743</v>
      </c>
    </row>
    <row r="103" customFormat="false" ht="15" hidden="false" customHeight="true" outlineLevel="0" collapsed="false">
      <c r="A103" s="127" t="s">
        <v>126</v>
      </c>
      <c r="C103" s="167" t="n">
        <v>-2100</v>
      </c>
      <c r="D103" s="167" t="n">
        <v>-2100</v>
      </c>
      <c r="E103" s="167" t="n">
        <v>-2100</v>
      </c>
      <c r="F103" s="167" t="n">
        <v>-2100</v>
      </c>
      <c r="G103" s="167" t="n">
        <v>-2100</v>
      </c>
      <c r="H103" s="167" t="n">
        <v>-2100</v>
      </c>
      <c r="I103" s="167" t="n">
        <v>-2100</v>
      </c>
      <c r="J103" s="167" t="n">
        <v>-2100</v>
      </c>
      <c r="K103" s="167" t="n">
        <v>-2100</v>
      </c>
      <c r="L103" s="167" t="n">
        <v>-2100</v>
      </c>
      <c r="M103" s="167" t="n">
        <v>-2100</v>
      </c>
      <c r="N103" s="167" t="n">
        <v>-2100</v>
      </c>
      <c r="O103" s="167" t="n">
        <v>-2100</v>
      </c>
      <c r="P103" s="167" t="n">
        <v>-2100</v>
      </c>
      <c r="Q103" s="167" t="n">
        <v>-2100</v>
      </c>
      <c r="R103" s="167" t="n">
        <v>-2142</v>
      </c>
      <c r="S103" s="167" t="n">
        <v>-2142</v>
      </c>
      <c r="T103" s="167" t="n">
        <v>-2142</v>
      </c>
      <c r="U103" s="167" t="n">
        <v>-2142</v>
      </c>
      <c r="V103" s="167" t="n">
        <v>-2142</v>
      </c>
      <c r="W103" s="167" t="n">
        <v>-2142</v>
      </c>
      <c r="X103" s="167" t="n">
        <v>-2142</v>
      </c>
      <c r="Y103" s="167" t="n">
        <v>-2142</v>
      </c>
      <c r="Z103" s="167" t="n">
        <v>-2142</v>
      </c>
      <c r="AA103" s="167" t="n">
        <v>-2142</v>
      </c>
      <c r="AB103" s="167" t="n">
        <v>-2142</v>
      </c>
      <c r="AC103" s="167" t="n">
        <v>-2142</v>
      </c>
      <c r="AD103" s="167" t="n">
        <v>-2184.84</v>
      </c>
      <c r="AE103" s="167" t="n">
        <v>-2184.84</v>
      </c>
      <c r="AF103" s="167" t="n">
        <v>-2184.84</v>
      </c>
      <c r="AG103" s="167" t="n">
        <v>-2184.84</v>
      </c>
      <c r="AH103" s="167" t="n">
        <v>-2184.84</v>
      </c>
      <c r="AI103" s="167" t="n">
        <v>-2184.84</v>
      </c>
      <c r="AJ103" s="167" t="n">
        <v>-2184.84</v>
      </c>
      <c r="AK103" s="167" t="n">
        <v>-2184.84</v>
      </c>
      <c r="AL103" s="167" t="n">
        <v>-2184.84</v>
      </c>
      <c r="AM103" s="167" t="n">
        <v>-2184.84</v>
      </c>
      <c r="AN103" s="167" t="n">
        <v>-2184.84</v>
      </c>
      <c r="AO103" s="167" t="n">
        <v>-2184.84</v>
      </c>
      <c r="AP103" s="167" t="n">
        <v>-2228.5368</v>
      </c>
      <c r="AQ103" s="167" t="n">
        <v>-2228.5368</v>
      </c>
      <c r="AR103" s="167" t="n">
        <v>-2228.5368</v>
      </c>
      <c r="AS103" s="167" t="n">
        <v>-2228.5368</v>
      </c>
      <c r="AT103" s="167" t="n">
        <v>-2228.5368</v>
      </c>
      <c r="AU103" s="167" t="n">
        <v>-2228.5368</v>
      </c>
      <c r="AV103" s="167" t="n">
        <v>-2228.5368</v>
      </c>
      <c r="AW103" s="167" t="n">
        <v>-2228.5368</v>
      </c>
      <c r="AX103" s="167" t="n">
        <v>-2228.5368</v>
      </c>
      <c r="AY103" s="167" t="n">
        <v>-2228.5368</v>
      </c>
      <c r="AZ103" s="167" t="n">
        <v>-2228.5368</v>
      </c>
      <c r="BA103" s="167" t="n">
        <v>-2228.5368</v>
      </c>
      <c r="BB103" s="167" t="n">
        <v>-2273.107536</v>
      </c>
      <c r="BC103" s="167" t="n">
        <v>-2273.107536</v>
      </c>
      <c r="BD103" s="167" t="n">
        <v>-2273.107536</v>
      </c>
      <c r="BE103" s="167" t="n">
        <v>-2273.107536</v>
      </c>
      <c r="BF103" s="167" t="n">
        <v>-2273.107536</v>
      </c>
      <c r="BG103" s="167" t="n">
        <v>-2273.107536</v>
      </c>
      <c r="BH103" s="167" t="n">
        <v>-2273.107536</v>
      </c>
      <c r="BI103" s="167" t="n">
        <v>-2273.107536</v>
      </c>
      <c r="BJ103" s="167" t="n">
        <v>-2273.107536</v>
      </c>
      <c r="BK103" s="167" t="n">
        <v>-2273.107536</v>
      </c>
      <c r="BL103" s="167" t="n">
        <v>-2273.107536</v>
      </c>
      <c r="BM103" s="167" t="n">
        <v>-2273.107536</v>
      </c>
      <c r="BN103" s="167" t="n">
        <v>-2318.56968672</v>
      </c>
      <c r="BO103" s="167" t="n">
        <v>-2318.56968672</v>
      </c>
      <c r="BP103" s="167" t="n">
        <v>-2318.56968672</v>
      </c>
      <c r="BQ103" s="167" t="n">
        <v>-2318.56968672</v>
      </c>
      <c r="BR103" s="167" t="n">
        <v>-2318.56968672</v>
      </c>
      <c r="BS103" s="167" t="n">
        <v>-2318.56968672</v>
      </c>
      <c r="BT103" s="167" t="n">
        <v>-2318.56968672</v>
      </c>
      <c r="BU103" s="167" t="n">
        <v>-2318.56968672</v>
      </c>
      <c r="BV103" s="167" t="n">
        <v>-2318.56968672</v>
      </c>
      <c r="BW103" s="167" t="n">
        <v>-2318.56968672</v>
      </c>
      <c r="BX103" s="167" t="n">
        <v>-2318.56968672</v>
      </c>
      <c r="BY103" s="167" t="n">
        <v>-2318.56968672</v>
      </c>
      <c r="BZ103" s="167" t="n">
        <v>-2364.9410804544</v>
      </c>
      <c r="CA103" s="167" t="n">
        <v>-2364.9410804544</v>
      </c>
      <c r="CB103" s="167" t="n">
        <v>-2364.9410804544</v>
      </c>
      <c r="CC103" s="167" t="n">
        <v>-2364.9410804544</v>
      </c>
      <c r="CD103" s="167" t="n">
        <v>-2364.9410804544</v>
      </c>
      <c r="CE103" s="167" t="n">
        <v>-2364.9410804544</v>
      </c>
      <c r="CF103" s="167" t="n">
        <v>-2364.9410804544</v>
      </c>
      <c r="CG103" s="167" t="n">
        <v>-2364.9410804544</v>
      </c>
      <c r="CH103" s="167" t="n">
        <v>-2364.9410804544</v>
      </c>
      <c r="CI103" s="167" t="n">
        <v>-2364.9410804544</v>
      </c>
      <c r="CJ103" s="167" t="n">
        <v>-2364.9410804544</v>
      </c>
      <c r="CK103" s="167" t="n">
        <v>-2364.9410804544</v>
      </c>
      <c r="CL103" s="167" t="n">
        <v>-2412.23990206349</v>
      </c>
      <c r="CM103" s="167" t="n">
        <v>-2412.23990206349</v>
      </c>
      <c r="CN103" s="167" t="n">
        <v>-2412.23990206349</v>
      </c>
      <c r="CO103" s="167" t="n">
        <v>-2412.23990206349</v>
      </c>
      <c r="CP103" s="167" t="n">
        <v>-2412.23990206349</v>
      </c>
      <c r="CQ103" s="167" t="n">
        <v>-2412.23990206349</v>
      </c>
      <c r="CR103" s="167" t="n">
        <v>-2412.23990206349</v>
      </c>
      <c r="CS103" s="167" t="n">
        <v>-2412.23990206349</v>
      </c>
      <c r="CT103" s="167" t="n">
        <v>-2412.23990206349</v>
      </c>
      <c r="CU103" s="167" t="n">
        <v>-2412.23990206349</v>
      </c>
      <c r="CV103" s="167" t="n">
        <v>-2412.23990206349</v>
      </c>
      <c r="CW103" s="167" t="n">
        <v>-2412.23990206349</v>
      </c>
      <c r="CX103" s="167" t="n">
        <v>-2460.48470010476</v>
      </c>
      <c r="CY103" s="167" t="n">
        <v>-2460.48470010476</v>
      </c>
      <c r="CZ103" s="167" t="n">
        <v>-2460.48470010476</v>
      </c>
      <c r="DA103" s="167" t="n">
        <v>-2460.48470010476</v>
      </c>
      <c r="DB103" s="167" t="n">
        <v>-2460.48470010476</v>
      </c>
      <c r="DC103" s="167" t="n">
        <v>-2460.48470010476</v>
      </c>
      <c r="DD103" s="167" t="n">
        <v>-2460.48470010476</v>
      </c>
      <c r="DE103" s="167" t="n">
        <v>-2460.48470010476</v>
      </c>
      <c r="DF103" s="167" t="n">
        <v>-2460.48470010476</v>
      </c>
    </row>
    <row r="104" customFormat="false" ht="15" hidden="false" customHeight="true" outlineLevel="0" collapsed="false">
      <c r="A104" s="127" t="s">
        <v>80</v>
      </c>
      <c r="C104" s="167" t="n">
        <v>-66666.66</v>
      </c>
      <c r="D104" s="167" t="n">
        <v>-66666.66</v>
      </c>
      <c r="E104" s="167" t="n">
        <v>-66666.66</v>
      </c>
      <c r="F104" s="167" t="n">
        <v>-25000</v>
      </c>
      <c r="G104" s="167" t="n">
        <v>-25000</v>
      </c>
      <c r="H104" s="167" t="n">
        <v>-25000</v>
      </c>
      <c r="I104" s="167" t="n">
        <v>-25000</v>
      </c>
      <c r="J104" s="167" t="n">
        <v>-25000</v>
      </c>
      <c r="K104" s="167" t="n">
        <v>-25000</v>
      </c>
      <c r="L104" s="167" t="n">
        <v>-25000</v>
      </c>
      <c r="M104" s="167" t="n">
        <v>-25000</v>
      </c>
      <c r="N104" s="167" t="n">
        <v>-25000</v>
      </c>
      <c r="O104" s="167" t="n">
        <v>-25000</v>
      </c>
      <c r="P104" s="167" t="n">
        <v>-25000</v>
      </c>
      <c r="Q104" s="167" t="n">
        <v>-25000</v>
      </c>
      <c r="R104" s="167" t="n">
        <v>-25500</v>
      </c>
      <c r="S104" s="167" t="n">
        <v>-25500</v>
      </c>
      <c r="T104" s="167" t="n">
        <v>-25500</v>
      </c>
      <c r="U104" s="167" t="n">
        <v>-25500</v>
      </c>
      <c r="V104" s="167" t="n">
        <v>-25500</v>
      </c>
      <c r="W104" s="167" t="n">
        <v>-25500</v>
      </c>
      <c r="X104" s="167" t="n">
        <v>-25500</v>
      </c>
      <c r="Y104" s="167" t="n">
        <v>-25500</v>
      </c>
      <c r="Z104" s="167" t="n">
        <v>-25500</v>
      </c>
      <c r="AA104" s="167" t="n">
        <v>-25500</v>
      </c>
      <c r="AB104" s="167" t="n">
        <v>-25500</v>
      </c>
      <c r="AC104" s="167" t="n">
        <v>-25500</v>
      </c>
      <c r="AD104" s="167" t="n">
        <v>-26010</v>
      </c>
      <c r="AE104" s="167" t="n">
        <v>-26010</v>
      </c>
      <c r="AF104" s="167" t="n">
        <v>-26010</v>
      </c>
      <c r="AG104" s="167" t="n">
        <v>-26010</v>
      </c>
      <c r="AH104" s="167" t="n">
        <v>-26010</v>
      </c>
      <c r="AI104" s="167" t="n">
        <v>-26010</v>
      </c>
      <c r="AJ104" s="167" t="n">
        <v>-26010</v>
      </c>
      <c r="AK104" s="167" t="n">
        <v>-26010</v>
      </c>
      <c r="AL104" s="167" t="n">
        <v>-26010</v>
      </c>
      <c r="AM104" s="167" t="n">
        <v>-26010</v>
      </c>
      <c r="AN104" s="167" t="n">
        <v>-26010</v>
      </c>
      <c r="AO104" s="167" t="n">
        <v>-26010</v>
      </c>
      <c r="AP104" s="167" t="n">
        <v>-26530.2</v>
      </c>
      <c r="AQ104" s="167" t="n">
        <v>-26530.2</v>
      </c>
      <c r="AR104" s="167" t="n">
        <v>-26530.2</v>
      </c>
      <c r="AS104" s="167" t="n">
        <v>-26530.2</v>
      </c>
      <c r="AT104" s="167" t="n">
        <v>-26530.2</v>
      </c>
      <c r="AU104" s="167" t="n">
        <v>-26530.2</v>
      </c>
      <c r="AV104" s="167" t="n">
        <v>-26530.2</v>
      </c>
      <c r="AW104" s="167" t="n">
        <v>-26530.2</v>
      </c>
      <c r="AX104" s="167" t="n">
        <v>-26530.2</v>
      </c>
      <c r="AY104" s="167" t="n">
        <v>-26530.2</v>
      </c>
      <c r="AZ104" s="167" t="n">
        <v>-26530.2</v>
      </c>
      <c r="BA104" s="167" t="n">
        <v>-26530.2</v>
      </c>
      <c r="BB104" s="167" t="n">
        <v>-27060.804</v>
      </c>
      <c r="BC104" s="167" t="n">
        <v>-27060.804</v>
      </c>
      <c r="BD104" s="167" t="n">
        <v>-27060.804</v>
      </c>
      <c r="BE104" s="167" t="n">
        <v>-27060.804</v>
      </c>
      <c r="BF104" s="167" t="n">
        <v>-27060.804</v>
      </c>
      <c r="BG104" s="167" t="n">
        <v>-27060.804</v>
      </c>
      <c r="BH104" s="167" t="n">
        <v>-27060.804</v>
      </c>
      <c r="BI104" s="167" t="n">
        <v>-27060.804</v>
      </c>
      <c r="BJ104" s="167" t="n">
        <v>-27060.804</v>
      </c>
      <c r="BK104" s="167" t="n">
        <v>-27060.804</v>
      </c>
      <c r="BL104" s="167" t="n">
        <v>-27060.804</v>
      </c>
      <c r="BM104" s="167" t="n">
        <v>-27060.804</v>
      </c>
      <c r="BN104" s="167" t="n">
        <v>-27602.02008</v>
      </c>
      <c r="BO104" s="167" t="n">
        <v>-27602.02008</v>
      </c>
      <c r="BP104" s="167" t="n">
        <v>-27602.02008</v>
      </c>
      <c r="BQ104" s="167" t="n">
        <v>-27602.02008</v>
      </c>
      <c r="BR104" s="167" t="n">
        <v>-27602.02008</v>
      </c>
      <c r="BS104" s="167" t="n">
        <v>-27602.02008</v>
      </c>
      <c r="BT104" s="167" t="n">
        <v>-27602.02008</v>
      </c>
      <c r="BU104" s="167" t="n">
        <v>-27602.02008</v>
      </c>
      <c r="BV104" s="167" t="n">
        <v>-27602.02008</v>
      </c>
      <c r="BW104" s="167" t="n">
        <v>-27602.02008</v>
      </c>
      <c r="BX104" s="167" t="n">
        <v>-27602.02008</v>
      </c>
      <c r="BY104" s="167" t="n">
        <v>-27602.02008</v>
      </c>
      <c r="BZ104" s="167" t="n">
        <v>-28154.0604816</v>
      </c>
      <c r="CA104" s="167" t="n">
        <v>-28154.0604816</v>
      </c>
      <c r="CB104" s="167" t="n">
        <v>-28154.0604816</v>
      </c>
      <c r="CC104" s="167" t="n">
        <v>-28154.0604816</v>
      </c>
      <c r="CD104" s="167" t="n">
        <v>-28154.0604816</v>
      </c>
      <c r="CE104" s="167" t="n">
        <v>-28154.0604816</v>
      </c>
      <c r="CF104" s="167" t="n">
        <v>-28154.0604816</v>
      </c>
      <c r="CG104" s="167" t="n">
        <v>-28154.0604816</v>
      </c>
      <c r="CH104" s="167" t="n">
        <v>-28154.0604816</v>
      </c>
      <c r="CI104" s="167" t="n">
        <v>-28154.0604816</v>
      </c>
      <c r="CJ104" s="167" t="n">
        <v>-28154.0604816</v>
      </c>
      <c r="CK104" s="167" t="n">
        <v>-28154.0604816</v>
      </c>
      <c r="CL104" s="167" t="n">
        <v>-28717.141691232</v>
      </c>
      <c r="CM104" s="167" t="n">
        <v>-28717.141691232</v>
      </c>
      <c r="CN104" s="167" t="n">
        <v>-28717.141691232</v>
      </c>
      <c r="CO104" s="167" t="n">
        <v>-28717.141691232</v>
      </c>
      <c r="CP104" s="167" t="n">
        <v>-28717.141691232</v>
      </c>
      <c r="CQ104" s="167" t="n">
        <v>-28717.141691232</v>
      </c>
      <c r="CR104" s="167" t="n">
        <v>-28717.141691232</v>
      </c>
      <c r="CS104" s="167" t="n">
        <v>-28717.141691232</v>
      </c>
      <c r="CT104" s="167" t="n">
        <v>-28717.141691232</v>
      </c>
      <c r="CU104" s="167" t="n">
        <v>-28717.141691232</v>
      </c>
      <c r="CV104" s="167" t="n">
        <v>-28717.141691232</v>
      </c>
      <c r="CW104" s="167" t="n">
        <v>-28717.141691232</v>
      </c>
      <c r="CX104" s="167" t="n">
        <v>-29291.4845250566</v>
      </c>
      <c r="CY104" s="167" t="n">
        <v>-29291.4845250566</v>
      </c>
      <c r="CZ104" s="167" t="n">
        <v>-29291.4845250566</v>
      </c>
      <c r="DA104" s="167" t="n">
        <v>-29291.4845250566</v>
      </c>
      <c r="DB104" s="167" t="n">
        <v>-29291.4845250566</v>
      </c>
      <c r="DC104" s="167" t="n">
        <v>-29291.4845250566</v>
      </c>
      <c r="DD104" s="167" t="n">
        <v>-29291.4845250566</v>
      </c>
      <c r="DE104" s="167" t="n">
        <v>-29291.4845250566</v>
      </c>
      <c r="DF104" s="167" t="n">
        <v>-29291.4845250566</v>
      </c>
    </row>
    <row r="105" customFormat="false" ht="15" hidden="false" customHeight="true" outlineLevel="0" collapsed="false">
      <c r="A105" s="140" t="s">
        <v>88</v>
      </c>
      <c r="C105" s="125" t="n">
        <v>-4731.96</v>
      </c>
      <c r="D105" s="125" t="n">
        <v>-5</v>
      </c>
      <c r="E105" s="125" t="n">
        <v>-5</v>
      </c>
      <c r="F105" s="166" t="n">
        <v>-1580.65</v>
      </c>
      <c r="G105" s="166" t="n">
        <v>-1580.65</v>
      </c>
      <c r="H105" s="166" t="n">
        <v>-1580.65</v>
      </c>
      <c r="I105" s="166" t="n">
        <v>-1580.65</v>
      </c>
      <c r="J105" s="166" t="n">
        <v>-1580.65</v>
      </c>
      <c r="K105" s="166" t="n">
        <v>-1580.65</v>
      </c>
      <c r="L105" s="166" t="n">
        <v>-1580.65</v>
      </c>
      <c r="M105" s="166" t="n">
        <v>-1580.65</v>
      </c>
      <c r="N105" s="166" t="n">
        <v>-1580.65</v>
      </c>
      <c r="O105" s="166" t="n">
        <v>-1580.65</v>
      </c>
      <c r="P105" s="166" t="n">
        <v>-1580.65</v>
      </c>
      <c r="Q105" s="166" t="n">
        <v>-1580.65</v>
      </c>
      <c r="R105" s="166" t="n">
        <v>-1612.263</v>
      </c>
      <c r="S105" s="166" t="n">
        <v>-1612.263</v>
      </c>
      <c r="T105" s="166" t="n">
        <v>-1612.263</v>
      </c>
      <c r="U105" s="166" t="n">
        <v>-1612.263</v>
      </c>
      <c r="V105" s="166" t="n">
        <v>-1612.263</v>
      </c>
      <c r="W105" s="166" t="n">
        <v>-1612.263</v>
      </c>
      <c r="X105" s="166" t="n">
        <v>-1612.263</v>
      </c>
      <c r="Y105" s="166" t="n">
        <v>-1612.263</v>
      </c>
      <c r="Z105" s="166" t="n">
        <v>-1612.263</v>
      </c>
      <c r="AA105" s="166" t="n">
        <v>-1612.263</v>
      </c>
      <c r="AB105" s="166" t="n">
        <v>-1612.263</v>
      </c>
      <c r="AC105" s="166" t="n">
        <v>-1612.263</v>
      </c>
      <c r="AD105" s="166" t="n">
        <v>-1644.50826</v>
      </c>
      <c r="AE105" s="166" t="n">
        <v>-1644.50826</v>
      </c>
      <c r="AF105" s="166" t="n">
        <v>-1644.50826</v>
      </c>
      <c r="AG105" s="166" t="n">
        <v>-1644.50826</v>
      </c>
      <c r="AH105" s="166" t="n">
        <v>-1644.50826</v>
      </c>
      <c r="AI105" s="166" t="n">
        <v>-1644.50826</v>
      </c>
      <c r="AJ105" s="166" t="n">
        <v>-1644.50826</v>
      </c>
      <c r="AK105" s="166" t="n">
        <v>-1644.50826</v>
      </c>
      <c r="AL105" s="166" t="n">
        <v>-1644.50826</v>
      </c>
      <c r="AM105" s="166" t="n">
        <v>-1644.50826</v>
      </c>
      <c r="AN105" s="166" t="n">
        <v>-1644.50826</v>
      </c>
      <c r="AO105" s="166" t="n">
        <v>-1644.50826</v>
      </c>
      <c r="AP105" s="166" t="n">
        <v>-1677.3984252</v>
      </c>
      <c r="AQ105" s="166" t="n">
        <v>-1677.3984252</v>
      </c>
      <c r="AR105" s="166" t="n">
        <v>-1677.3984252</v>
      </c>
      <c r="AS105" s="166" t="n">
        <v>-1677.3984252</v>
      </c>
      <c r="AT105" s="166" t="n">
        <v>-1677.3984252</v>
      </c>
      <c r="AU105" s="166" t="n">
        <v>-1677.3984252</v>
      </c>
      <c r="AV105" s="166" t="n">
        <v>-1677.3984252</v>
      </c>
      <c r="AW105" s="166" t="n">
        <v>-1677.3984252</v>
      </c>
      <c r="AX105" s="166" t="n">
        <v>-1677.3984252</v>
      </c>
      <c r="AY105" s="166" t="n">
        <v>-1677.3984252</v>
      </c>
      <c r="AZ105" s="166" t="n">
        <v>-1677.3984252</v>
      </c>
      <c r="BA105" s="166" t="n">
        <v>-1677.3984252</v>
      </c>
      <c r="BB105" s="166" t="n">
        <v>-1710.946393704</v>
      </c>
      <c r="BC105" s="166" t="n">
        <v>-1710.946393704</v>
      </c>
      <c r="BD105" s="166" t="n">
        <v>-1710.946393704</v>
      </c>
      <c r="BE105" s="166" t="n">
        <v>-1710.946393704</v>
      </c>
      <c r="BF105" s="166" t="n">
        <v>-1710.946393704</v>
      </c>
      <c r="BG105" s="166" t="n">
        <v>-1710.946393704</v>
      </c>
      <c r="BH105" s="166" t="n">
        <v>-1710.946393704</v>
      </c>
      <c r="BI105" s="166" t="n">
        <v>-1710.946393704</v>
      </c>
      <c r="BJ105" s="166" t="n">
        <v>-1710.946393704</v>
      </c>
      <c r="BK105" s="166" t="n">
        <v>-1710.946393704</v>
      </c>
      <c r="BL105" s="166" t="n">
        <v>-1710.946393704</v>
      </c>
      <c r="BM105" s="166" t="n">
        <v>-1710.946393704</v>
      </c>
      <c r="BN105" s="166" t="n">
        <v>-1745.16532157808</v>
      </c>
      <c r="BO105" s="166" t="n">
        <v>-1745.16532157808</v>
      </c>
      <c r="BP105" s="166" t="n">
        <v>-1745.16532157808</v>
      </c>
      <c r="BQ105" s="166" t="n">
        <v>-1745.16532157808</v>
      </c>
      <c r="BR105" s="166" t="n">
        <v>-1745.16532157808</v>
      </c>
      <c r="BS105" s="166" t="n">
        <v>-1745.16532157808</v>
      </c>
      <c r="BT105" s="166" t="n">
        <v>-1745.16532157808</v>
      </c>
      <c r="BU105" s="166" t="n">
        <v>-1745.16532157808</v>
      </c>
      <c r="BV105" s="166" t="n">
        <v>-1745.16532157808</v>
      </c>
      <c r="BW105" s="166" t="n">
        <v>-1745.16532157808</v>
      </c>
      <c r="BX105" s="166" t="n">
        <v>-1745.16532157808</v>
      </c>
      <c r="BY105" s="166" t="n">
        <v>-1745.16532157808</v>
      </c>
      <c r="BZ105" s="166" t="n">
        <v>-1780.06862800964</v>
      </c>
      <c r="CA105" s="166" t="n">
        <v>-1780.06862800964</v>
      </c>
      <c r="CB105" s="166" t="n">
        <v>-1780.06862800964</v>
      </c>
      <c r="CC105" s="166" t="n">
        <v>-1780.06862800964</v>
      </c>
      <c r="CD105" s="166" t="n">
        <v>-1780.06862800964</v>
      </c>
      <c r="CE105" s="166" t="n">
        <v>-1780.06862800964</v>
      </c>
      <c r="CF105" s="166" t="n">
        <v>-1780.06862800964</v>
      </c>
      <c r="CG105" s="166" t="n">
        <v>-1780.06862800964</v>
      </c>
      <c r="CH105" s="166" t="n">
        <v>-1780.06862800964</v>
      </c>
      <c r="CI105" s="166" t="n">
        <v>-1780.06862800964</v>
      </c>
      <c r="CJ105" s="166" t="n">
        <v>-1780.06862800964</v>
      </c>
      <c r="CK105" s="166" t="n">
        <v>-1780.06862800964</v>
      </c>
      <c r="CL105" s="166" t="n">
        <v>-1815.67000056983</v>
      </c>
      <c r="CM105" s="166" t="n">
        <v>-1815.67000056983</v>
      </c>
      <c r="CN105" s="166" t="n">
        <v>-1815.67000056983</v>
      </c>
      <c r="CO105" s="166" t="n">
        <v>-1815.67000056983</v>
      </c>
      <c r="CP105" s="166" t="n">
        <v>-1815.67000056983</v>
      </c>
      <c r="CQ105" s="166" t="n">
        <v>-1815.67000056983</v>
      </c>
      <c r="CR105" s="166" t="n">
        <v>-1815.67000056983</v>
      </c>
      <c r="CS105" s="166" t="n">
        <v>-1815.67000056983</v>
      </c>
      <c r="CT105" s="166" t="n">
        <v>-1815.67000056983</v>
      </c>
      <c r="CU105" s="166" t="n">
        <v>-1815.67000056983</v>
      </c>
      <c r="CV105" s="166" t="n">
        <v>-1815.67000056983</v>
      </c>
      <c r="CW105" s="166" t="n">
        <v>-1815.67000056983</v>
      </c>
      <c r="CX105" s="166" t="n">
        <v>-1851.98340058123</v>
      </c>
      <c r="CY105" s="166" t="n">
        <v>-1851.98340058123</v>
      </c>
      <c r="CZ105" s="166" t="n">
        <v>-1851.98340058123</v>
      </c>
      <c r="DA105" s="166" t="n">
        <v>-1851.98340058123</v>
      </c>
      <c r="DB105" s="166" t="n">
        <v>-1851.98340058123</v>
      </c>
      <c r="DC105" s="166" t="n">
        <v>-1851.98340058123</v>
      </c>
      <c r="DD105" s="166" t="n">
        <v>-1851.98340058123</v>
      </c>
      <c r="DE105" s="166" t="n">
        <v>-1851.98340058123</v>
      </c>
      <c r="DF105" s="166" t="n">
        <v>-1851.98340058123</v>
      </c>
    </row>
    <row r="106" customFormat="false" ht="15" hidden="false" customHeight="true" outlineLevel="0" collapsed="false">
      <c r="A106" s="140" t="s">
        <v>89</v>
      </c>
      <c r="C106" s="125" t="n">
        <v>-658.14</v>
      </c>
      <c r="D106" s="125" t="n">
        <v>-310</v>
      </c>
      <c r="E106" s="125" t="n">
        <v>-371.74</v>
      </c>
      <c r="F106" s="166" t="n">
        <v>-446.63</v>
      </c>
      <c r="G106" s="166" t="n">
        <v>-446.63</v>
      </c>
      <c r="H106" s="166" t="n">
        <v>-446.63</v>
      </c>
      <c r="I106" s="166" t="n">
        <v>-446.63</v>
      </c>
      <c r="J106" s="166" t="n">
        <v>-446.63</v>
      </c>
      <c r="K106" s="166" t="n">
        <v>-446.63</v>
      </c>
      <c r="L106" s="166" t="n">
        <v>-446.63</v>
      </c>
      <c r="M106" s="166" t="n">
        <v>-446.63</v>
      </c>
      <c r="N106" s="166" t="n">
        <v>-446.63</v>
      </c>
      <c r="O106" s="166" t="n">
        <v>-446.63</v>
      </c>
      <c r="P106" s="166" t="n">
        <v>-446.63</v>
      </c>
      <c r="Q106" s="166" t="n">
        <v>-446.63</v>
      </c>
      <c r="R106" s="166" t="n">
        <v>-455.5626</v>
      </c>
      <c r="S106" s="166" t="n">
        <v>-455.5626</v>
      </c>
      <c r="T106" s="166" t="n">
        <v>-455.5626</v>
      </c>
      <c r="U106" s="166" t="n">
        <v>-455.5626</v>
      </c>
      <c r="V106" s="166" t="n">
        <v>-455.5626</v>
      </c>
      <c r="W106" s="166" t="n">
        <v>-455.5626</v>
      </c>
      <c r="X106" s="166" t="n">
        <v>-455.5626</v>
      </c>
      <c r="Y106" s="166" t="n">
        <v>-455.5626</v>
      </c>
      <c r="Z106" s="166" t="n">
        <v>-455.5626</v>
      </c>
      <c r="AA106" s="166" t="n">
        <v>-455.5626</v>
      </c>
      <c r="AB106" s="166" t="n">
        <v>-455.5626</v>
      </c>
      <c r="AC106" s="166" t="n">
        <v>-455.5626</v>
      </c>
      <c r="AD106" s="166" t="n">
        <v>-464.673852</v>
      </c>
      <c r="AE106" s="166" t="n">
        <v>-464.673852</v>
      </c>
      <c r="AF106" s="166" t="n">
        <v>-464.673852</v>
      </c>
      <c r="AG106" s="166" t="n">
        <v>-464.673852</v>
      </c>
      <c r="AH106" s="166" t="n">
        <v>-464.673852</v>
      </c>
      <c r="AI106" s="166" t="n">
        <v>-464.673852</v>
      </c>
      <c r="AJ106" s="166" t="n">
        <v>-464.673852</v>
      </c>
      <c r="AK106" s="166" t="n">
        <v>-464.673852</v>
      </c>
      <c r="AL106" s="166" t="n">
        <v>-464.673852</v>
      </c>
      <c r="AM106" s="166" t="n">
        <v>-464.673852</v>
      </c>
      <c r="AN106" s="166" t="n">
        <v>-464.673852</v>
      </c>
      <c r="AO106" s="166" t="n">
        <v>-464.673852</v>
      </c>
      <c r="AP106" s="166" t="n">
        <v>-473.96732904</v>
      </c>
      <c r="AQ106" s="166" t="n">
        <v>-473.96732904</v>
      </c>
      <c r="AR106" s="166" t="n">
        <v>-473.96732904</v>
      </c>
      <c r="AS106" s="166" t="n">
        <v>-473.96732904</v>
      </c>
      <c r="AT106" s="166" t="n">
        <v>-473.96732904</v>
      </c>
      <c r="AU106" s="166" t="n">
        <v>-473.96732904</v>
      </c>
      <c r="AV106" s="166" t="n">
        <v>-473.96732904</v>
      </c>
      <c r="AW106" s="166" t="n">
        <v>-473.96732904</v>
      </c>
      <c r="AX106" s="166" t="n">
        <v>-473.96732904</v>
      </c>
      <c r="AY106" s="166" t="n">
        <v>-473.96732904</v>
      </c>
      <c r="AZ106" s="166" t="n">
        <v>-473.96732904</v>
      </c>
      <c r="BA106" s="166" t="n">
        <v>-473.96732904</v>
      </c>
      <c r="BB106" s="166" t="n">
        <v>-483.4466756208</v>
      </c>
      <c r="BC106" s="166" t="n">
        <v>-483.4466756208</v>
      </c>
      <c r="BD106" s="166" t="n">
        <v>-483.4466756208</v>
      </c>
      <c r="BE106" s="166" t="n">
        <v>-483.4466756208</v>
      </c>
      <c r="BF106" s="166" t="n">
        <v>-483.4466756208</v>
      </c>
      <c r="BG106" s="166" t="n">
        <v>-483.4466756208</v>
      </c>
      <c r="BH106" s="166" t="n">
        <v>-483.4466756208</v>
      </c>
      <c r="BI106" s="166" t="n">
        <v>-483.4466756208</v>
      </c>
      <c r="BJ106" s="166" t="n">
        <v>-483.4466756208</v>
      </c>
      <c r="BK106" s="166" t="n">
        <v>-483.4466756208</v>
      </c>
      <c r="BL106" s="166" t="n">
        <v>-483.4466756208</v>
      </c>
      <c r="BM106" s="166" t="n">
        <v>-483.4466756208</v>
      </c>
      <c r="BN106" s="166" t="n">
        <v>-493.115609133216</v>
      </c>
      <c r="BO106" s="166" t="n">
        <v>-493.115609133216</v>
      </c>
      <c r="BP106" s="166" t="n">
        <v>-493.115609133216</v>
      </c>
      <c r="BQ106" s="166" t="n">
        <v>-493.115609133216</v>
      </c>
      <c r="BR106" s="166" t="n">
        <v>-493.115609133216</v>
      </c>
      <c r="BS106" s="166" t="n">
        <v>-493.115609133216</v>
      </c>
      <c r="BT106" s="166" t="n">
        <v>-493.115609133216</v>
      </c>
      <c r="BU106" s="166" t="n">
        <v>-493.115609133216</v>
      </c>
      <c r="BV106" s="166" t="n">
        <v>-493.115609133216</v>
      </c>
      <c r="BW106" s="166" t="n">
        <v>-493.115609133216</v>
      </c>
      <c r="BX106" s="166" t="n">
        <v>-493.115609133216</v>
      </c>
      <c r="BY106" s="166" t="n">
        <v>-493.115609133216</v>
      </c>
      <c r="BZ106" s="166" t="n">
        <v>-502.97792131588</v>
      </c>
      <c r="CA106" s="166" t="n">
        <v>-502.97792131588</v>
      </c>
      <c r="CB106" s="166" t="n">
        <v>-502.97792131588</v>
      </c>
      <c r="CC106" s="166" t="n">
        <v>-502.97792131588</v>
      </c>
      <c r="CD106" s="166" t="n">
        <v>-502.97792131588</v>
      </c>
      <c r="CE106" s="166" t="n">
        <v>-502.97792131588</v>
      </c>
      <c r="CF106" s="166" t="n">
        <v>-502.97792131588</v>
      </c>
      <c r="CG106" s="166" t="n">
        <v>-502.97792131588</v>
      </c>
      <c r="CH106" s="166" t="n">
        <v>-502.97792131588</v>
      </c>
      <c r="CI106" s="166" t="n">
        <v>-502.97792131588</v>
      </c>
      <c r="CJ106" s="166" t="n">
        <v>-502.97792131588</v>
      </c>
      <c r="CK106" s="166" t="n">
        <v>-502.97792131588</v>
      </c>
      <c r="CL106" s="166" t="n">
        <v>-513.037479742198</v>
      </c>
      <c r="CM106" s="166" t="n">
        <v>-513.037479742198</v>
      </c>
      <c r="CN106" s="166" t="n">
        <v>-513.037479742198</v>
      </c>
      <c r="CO106" s="166" t="n">
        <v>-513.037479742198</v>
      </c>
      <c r="CP106" s="166" t="n">
        <v>-513.037479742198</v>
      </c>
      <c r="CQ106" s="166" t="n">
        <v>-513.037479742198</v>
      </c>
      <c r="CR106" s="166" t="n">
        <v>-513.037479742198</v>
      </c>
      <c r="CS106" s="166" t="n">
        <v>-513.037479742198</v>
      </c>
      <c r="CT106" s="166" t="n">
        <v>-513.037479742198</v>
      </c>
      <c r="CU106" s="166" t="n">
        <v>-513.037479742198</v>
      </c>
      <c r="CV106" s="166" t="n">
        <v>-513.037479742198</v>
      </c>
      <c r="CW106" s="166" t="n">
        <v>-513.037479742198</v>
      </c>
      <c r="CX106" s="166" t="n">
        <v>-523.298229337042</v>
      </c>
      <c r="CY106" s="166" t="n">
        <v>-523.298229337042</v>
      </c>
      <c r="CZ106" s="166" t="n">
        <v>-523.298229337042</v>
      </c>
      <c r="DA106" s="166" t="n">
        <v>-523.298229337042</v>
      </c>
      <c r="DB106" s="166" t="n">
        <v>-523.298229337042</v>
      </c>
      <c r="DC106" s="166" t="n">
        <v>-523.298229337042</v>
      </c>
      <c r="DD106" s="166" t="n">
        <v>-523.298229337042</v>
      </c>
      <c r="DE106" s="166" t="n">
        <v>-523.298229337042</v>
      </c>
      <c r="DF106" s="166" t="n">
        <v>-523.298229337042</v>
      </c>
    </row>
    <row r="107" customFormat="false" ht="15" hidden="false" customHeight="true" outlineLevel="0" collapsed="false">
      <c r="A107" s="140" t="s">
        <v>127</v>
      </c>
      <c r="C107" s="125" t="n">
        <v>0</v>
      </c>
      <c r="D107" s="125" t="n">
        <v>0</v>
      </c>
      <c r="E107" s="125" t="n">
        <v>0</v>
      </c>
      <c r="F107" s="166" t="n">
        <v>0</v>
      </c>
      <c r="G107" s="166" t="n">
        <v>0</v>
      </c>
      <c r="H107" s="166" t="n">
        <v>0</v>
      </c>
      <c r="I107" s="166" t="n">
        <v>0</v>
      </c>
      <c r="J107" s="166" t="n">
        <v>0</v>
      </c>
      <c r="K107" s="166" t="n">
        <v>0</v>
      </c>
      <c r="L107" s="166" t="n">
        <v>0</v>
      </c>
      <c r="M107" s="166" t="n">
        <v>0</v>
      </c>
      <c r="N107" s="166" t="n">
        <v>0</v>
      </c>
      <c r="O107" s="166" t="n">
        <v>0</v>
      </c>
      <c r="P107" s="166" t="n">
        <v>0</v>
      </c>
      <c r="Q107" s="166" t="n">
        <v>0</v>
      </c>
      <c r="R107" s="166" t="n">
        <v>0</v>
      </c>
      <c r="S107" s="166" t="n">
        <v>0</v>
      </c>
      <c r="T107" s="166" t="n">
        <v>0</v>
      </c>
      <c r="U107" s="166" t="n">
        <v>0</v>
      </c>
      <c r="V107" s="166" t="n">
        <v>0</v>
      </c>
      <c r="W107" s="166" t="n">
        <v>0</v>
      </c>
      <c r="X107" s="166" t="n">
        <v>0</v>
      </c>
      <c r="Y107" s="166" t="n">
        <v>0</v>
      </c>
      <c r="Z107" s="166" t="n">
        <v>0</v>
      </c>
      <c r="AA107" s="166" t="n">
        <v>0</v>
      </c>
      <c r="AB107" s="166" t="n">
        <v>0</v>
      </c>
      <c r="AC107" s="166" t="n">
        <v>0</v>
      </c>
      <c r="AD107" s="166" t="n">
        <v>0</v>
      </c>
      <c r="AE107" s="166" t="n">
        <v>0</v>
      </c>
      <c r="AF107" s="166" t="n">
        <v>0</v>
      </c>
      <c r="AG107" s="166" t="n">
        <v>0</v>
      </c>
      <c r="AH107" s="166" t="n">
        <v>0</v>
      </c>
      <c r="AI107" s="166" t="n">
        <v>0</v>
      </c>
      <c r="AJ107" s="166" t="n">
        <v>0</v>
      </c>
      <c r="AK107" s="166" t="n">
        <v>0</v>
      </c>
      <c r="AL107" s="166" t="n">
        <v>0</v>
      </c>
      <c r="AM107" s="166" t="n">
        <v>0</v>
      </c>
      <c r="AN107" s="166" t="n">
        <v>0</v>
      </c>
      <c r="AO107" s="166" t="n">
        <v>0</v>
      </c>
      <c r="AP107" s="166" t="n">
        <v>0</v>
      </c>
      <c r="AQ107" s="166" t="n">
        <v>0</v>
      </c>
      <c r="AR107" s="166" t="n">
        <v>0</v>
      </c>
      <c r="AS107" s="166" t="n">
        <v>0</v>
      </c>
      <c r="AT107" s="166" t="n">
        <v>0</v>
      </c>
      <c r="AU107" s="166" t="n">
        <v>0</v>
      </c>
      <c r="AV107" s="166" t="n">
        <v>0</v>
      </c>
      <c r="AW107" s="166" t="n">
        <v>0</v>
      </c>
      <c r="AX107" s="166" t="n">
        <v>0</v>
      </c>
      <c r="AY107" s="166" t="n">
        <v>0</v>
      </c>
      <c r="AZ107" s="166" t="n">
        <v>0</v>
      </c>
      <c r="BA107" s="166" t="n">
        <v>0</v>
      </c>
      <c r="BB107" s="166" t="n">
        <v>0</v>
      </c>
      <c r="BC107" s="166" t="n">
        <v>0</v>
      </c>
      <c r="BD107" s="166" t="n">
        <v>0</v>
      </c>
      <c r="BE107" s="166" t="n">
        <v>0</v>
      </c>
      <c r="BF107" s="166" t="n">
        <v>0</v>
      </c>
      <c r="BG107" s="166" t="n">
        <v>0</v>
      </c>
      <c r="BH107" s="166" t="n">
        <v>0</v>
      </c>
      <c r="BI107" s="166" t="n">
        <v>0</v>
      </c>
      <c r="BJ107" s="166" t="n">
        <v>0</v>
      </c>
      <c r="BK107" s="166" t="n">
        <v>0</v>
      </c>
      <c r="BL107" s="166" t="n">
        <v>0</v>
      </c>
      <c r="BM107" s="166" t="n">
        <v>0</v>
      </c>
      <c r="BN107" s="166" t="n">
        <v>0</v>
      </c>
      <c r="BO107" s="166" t="n">
        <v>0</v>
      </c>
      <c r="BP107" s="166" t="n">
        <v>0</v>
      </c>
      <c r="BQ107" s="166" t="n">
        <v>0</v>
      </c>
      <c r="BR107" s="166" t="n">
        <v>0</v>
      </c>
      <c r="BS107" s="166" t="n">
        <v>0</v>
      </c>
      <c r="BT107" s="166" t="n">
        <v>0</v>
      </c>
      <c r="BU107" s="166" t="n">
        <v>0</v>
      </c>
      <c r="BV107" s="166" t="n">
        <v>0</v>
      </c>
      <c r="BW107" s="166" t="n">
        <v>0</v>
      </c>
      <c r="BX107" s="166" t="n">
        <v>0</v>
      </c>
      <c r="BY107" s="166" t="n">
        <v>0</v>
      </c>
      <c r="BZ107" s="166" t="n">
        <v>0</v>
      </c>
      <c r="CA107" s="166" t="n">
        <v>0</v>
      </c>
      <c r="CB107" s="166" t="n">
        <v>0</v>
      </c>
      <c r="CC107" s="166" t="n">
        <v>0</v>
      </c>
      <c r="CD107" s="166" t="n">
        <v>0</v>
      </c>
      <c r="CE107" s="166" t="n">
        <v>0</v>
      </c>
      <c r="CF107" s="166" t="n">
        <v>0</v>
      </c>
      <c r="CG107" s="166" t="n">
        <v>0</v>
      </c>
      <c r="CH107" s="166" t="n">
        <v>0</v>
      </c>
      <c r="CI107" s="166" t="n">
        <v>0</v>
      </c>
      <c r="CJ107" s="166" t="n">
        <v>0</v>
      </c>
      <c r="CK107" s="166" t="n">
        <v>0</v>
      </c>
      <c r="CL107" s="166" t="n">
        <v>0</v>
      </c>
      <c r="CM107" s="166" t="n">
        <v>0</v>
      </c>
      <c r="CN107" s="166" t="n">
        <v>0</v>
      </c>
      <c r="CO107" s="166" t="n">
        <v>0</v>
      </c>
      <c r="CP107" s="166" t="n">
        <v>0</v>
      </c>
      <c r="CQ107" s="166" t="n">
        <v>0</v>
      </c>
      <c r="CR107" s="166" t="n">
        <v>0</v>
      </c>
      <c r="CS107" s="166" t="n">
        <v>0</v>
      </c>
      <c r="CT107" s="166" t="n">
        <v>0</v>
      </c>
      <c r="CU107" s="166" t="n">
        <v>0</v>
      </c>
      <c r="CV107" s="166" t="n">
        <v>0</v>
      </c>
      <c r="CW107" s="166" t="n">
        <v>0</v>
      </c>
      <c r="CX107" s="166" t="n">
        <v>0</v>
      </c>
      <c r="CY107" s="166" t="n">
        <v>0</v>
      </c>
      <c r="CZ107" s="166" t="n">
        <v>0</v>
      </c>
      <c r="DA107" s="166" t="n">
        <v>0</v>
      </c>
      <c r="DB107" s="166" t="n">
        <v>0</v>
      </c>
      <c r="DC107" s="166" t="n">
        <v>0</v>
      </c>
      <c r="DD107" s="166" t="n">
        <v>0</v>
      </c>
      <c r="DE107" s="166" t="n">
        <v>0</v>
      </c>
      <c r="DF107" s="166" t="n">
        <v>0</v>
      </c>
    </row>
    <row r="108" customFormat="false" ht="15" hidden="false" customHeight="true" outlineLevel="0" collapsed="false">
      <c r="A108" s="140" t="s">
        <v>128</v>
      </c>
      <c r="C108" s="125" t="n">
        <v>0</v>
      </c>
      <c r="D108" s="125" t="n">
        <v>0</v>
      </c>
      <c r="E108" s="125" t="n">
        <v>0</v>
      </c>
      <c r="F108" s="166" t="n">
        <v>0</v>
      </c>
      <c r="G108" s="166" t="n">
        <v>0</v>
      </c>
      <c r="H108" s="166" t="n">
        <v>0</v>
      </c>
      <c r="I108" s="166" t="n">
        <v>0</v>
      </c>
      <c r="J108" s="166" t="n">
        <v>0</v>
      </c>
      <c r="K108" s="166" t="n">
        <v>0</v>
      </c>
      <c r="L108" s="166" t="n">
        <v>0</v>
      </c>
      <c r="M108" s="166" t="n">
        <v>0</v>
      </c>
      <c r="N108" s="166" t="n">
        <v>0</v>
      </c>
      <c r="O108" s="166" t="n">
        <v>0</v>
      </c>
      <c r="P108" s="166" t="n">
        <v>0</v>
      </c>
      <c r="Q108" s="166" t="n">
        <v>0</v>
      </c>
      <c r="R108" s="166" t="n">
        <v>0</v>
      </c>
      <c r="S108" s="166" t="n">
        <v>0</v>
      </c>
      <c r="T108" s="166" t="n">
        <v>0</v>
      </c>
      <c r="U108" s="166" t="n">
        <v>0</v>
      </c>
      <c r="V108" s="166" t="n">
        <v>0</v>
      </c>
      <c r="W108" s="166" t="n">
        <v>0</v>
      </c>
      <c r="X108" s="166" t="n">
        <v>0</v>
      </c>
      <c r="Y108" s="166" t="n">
        <v>0</v>
      </c>
      <c r="Z108" s="166" t="n">
        <v>0</v>
      </c>
      <c r="AA108" s="166" t="n">
        <v>0</v>
      </c>
      <c r="AB108" s="166" t="n">
        <v>0</v>
      </c>
      <c r="AC108" s="166" t="n">
        <v>0</v>
      </c>
      <c r="AD108" s="166" t="n">
        <v>0</v>
      </c>
      <c r="AE108" s="166" t="n">
        <v>0</v>
      </c>
      <c r="AF108" s="166" t="n">
        <v>0</v>
      </c>
      <c r="AG108" s="166" t="n">
        <v>0</v>
      </c>
      <c r="AH108" s="166" t="n">
        <v>0</v>
      </c>
      <c r="AI108" s="166" t="n">
        <v>0</v>
      </c>
      <c r="AJ108" s="166" t="n">
        <v>0</v>
      </c>
      <c r="AK108" s="166" t="n">
        <v>0</v>
      </c>
      <c r="AL108" s="166" t="n">
        <v>0</v>
      </c>
      <c r="AM108" s="166" t="n">
        <v>0</v>
      </c>
      <c r="AN108" s="166" t="n">
        <v>0</v>
      </c>
      <c r="AO108" s="166" t="n">
        <v>0</v>
      </c>
      <c r="AP108" s="166" t="n">
        <v>0</v>
      </c>
      <c r="AQ108" s="166" t="n">
        <v>0</v>
      </c>
      <c r="AR108" s="166" t="n">
        <v>0</v>
      </c>
      <c r="AS108" s="166" t="n">
        <v>0</v>
      </c>
      <c r="AT108" s="166" t="n">
        <v>0</v>
      </c>
      <c r="AU108" s="166" t="n">
        <v>0</v>
      </c>
      <c r="AV108" s="166" t="n">
        <v>0</v>
      </c>
      <c r="AW108" s="166" t="n">
        <v>0</v>
      </c>
      <c r="AX108" s="166" t="n">
        <v>0</v>
      </c>
      <c r="AY108" s="166" t="n">
        <v>0</v>
      </c>
      <c r="AZ108" s="166" t="n">
        <v>0</v>
      </c>
      <c r="BA108" s="166" t="n">
        <v>0</v>
      </c>
      <c r="BB108" s="166" t="n">
        <v>0</v>
      </c>
      <c r="BC108" s="166" t="n">
        <v>0</v>
      </c>
      <c r="BD108" s="166" t="n">
        <v>0</v>
      </c>
      <c r="BE108" s="166" t="n">
        <v>0</v>
      </c>
      <c r="BF108" s="166" t="n">
        <v>0</v>
      </c>
      <c r="BG108" s="166" t="n">
        <v>0</v>
      </c>
      <c r="BH108" s="166" t="n">
        <v>0</v>
      </c>
      <c r="BI108" s="166" t="n">
        <v>0</v>
      </c>
      <c r="BJ108" s="166" t="n">
        <v>0</v>
      </c>
      <c r="BK108" s="166" t="n">
        <v>0</v>
      </c>
      <c r="BL108" s="166" t="n">
        <v>0</v>
      </c>
      <c r="BM108" s="166" t="n">
        <v>0</v>
      </c>
      <c r="BN108" s="166" t="n">
        <v>0</v>
      </c>
      <c r="BO108" s="166" t="n">
        <v>0</v>
      </c>
      <c r="BP108" s="166" t="n">
        <v>0</v>
      </c>
      <c r="BQ108" s="166" t="n">
        <v>0</v>
      </c>
      <c r="BR108" s="166" t="n">
        <v>0</v>
      </c>
      <c r="BS108" s="166" t="n">
        <v>0</v>
      </c>
      <c r="BT108" s="166" t="n">
        <v>0</v>
      </c>
      <c r="BU108" s="166" t="n">
        <v>0</v>
      </c>
      <c r="BV108" s="166" t="n">
        <v>0</v>
      </c>
      <c r="BW108" s="166" t="n">
        <v>0</v>
      </c>
      <c r="BX108" s="166" t="n">
        <v>0</v>
      </c>
      <c r="BY108" s="166" t="n">
        <v>0</v>
      </c>
      <c r="BZ108" s="166" t="n">
        <v>0</v>
      </c>
      <c r="CA108" s="166" t="n">
        <v>0</v>
      </c>
      <c r="CB108" s="166" t="n">
        <v>0</v>
      </c>
      <c r="CC108" s="166" t="n">
        <v>0</v>
      </c>
      <c r="CD108" s="166" t="n">
        <v>0</v>
      </c>
      <c r="CE108" s="166" t="n">
        <v>0</v>
      </c>
      <c r="CF108" s="166" t="n">
        <v>0</v>
      </c>
      <c r="CG108" s="166" t="n">
        <v>0</v>
      </c>
      <c r="CH108" s="166" t="n">
        <v>0</v>
      </c>
      <c r="CI108" s="166" t="n">
        <v>0</v>
      </c>
      <c r="CJ108" s="166" t="n">
        <v>0</v>
      </c>
      <c r="CK108" s="166" t="n">
        <v>0</v>
      </c>
      <c r="CL108" s="166" t="n">
        <v>0</v>
      </c>
      <c r="CM108" s="166" t="n">
        <v>0</v>
      </c>
      <c r="CN108" s="166" t="n">
        <v>0</v>
      </c>
      <c r="CO108" s="166" t="n">
        <v>0</v>
      </c>
      <c r="CP108" s="166" t="n">
        <v>0</v>
      </c>
      <c r="CQ108" s="166" t="n">
        <v>0</v>
      </c>
      <c r="CR108" s="166" t="n">
        <v>0</v>
      </c>
      <c r="CS108" s="166" t="n">
        <v>0</v>
      </c>
      <c r="CT108" s="166" t="n">
        <v>0</v>
      </c>
      <c r="CU108" s="166" t="n">
        <v>0</v>
      </c>
      <c r="CV108" s="166" t="n">
        <v>0</v>
      </c>
      <c r="CW108" s="166" t="n">
        <v>0</v>
      </c>
      <c r="CX108" s="166" t="n">
        <v>0</v>
      </c>
      <c r="CY108" s="166" t="n">
        <v>0</v>
      </c>
      <c r="CZ108" s="166" t="n">
        <v>0</v>
      </c>
      <c r="DA108" s="166" t="n">
        <v>0</v>
      </c>
      <c r="DB108" s="166" t="n">
        <v>0</v>
      </c>
      <c r="DC108" s="166" t="n">
        <v>0</v>
      </c>
      <c r="DD108" s="166" t="n">
        <v>0</v>
      </c>
      <c r="DE108" s="166" t="n">
        <v>0</v>
      </c>
      <c r="DF108" s="166" t="n">
        <v>0</v>
      </c>
    </row>
    <row r="109" customFormat="false" ht="15" hidden="false" customHeight="true" outlineLevel="0" collapsed="false">
      <c r="A109" s="140" t="s">
        <v>129</v>
      </c>
      <c r="C109" s="125" t="n">
        <v>0</v>
      </c>
      <c r="D109" s="125" t="n">
        <v>0</v>
      </c>
      <c r="E109" s="125" t="n">
        <v>0</v>
      </c>
      <c r="F109" s="166" t="n">
        <v>0</v>
      </c>
      <c r="G109" s="166" t="n">
        <v>0</v>
      </c>
      <c r="H109" s="166" t="n">
        <v>0</v>
      </c>
      <c r="I109" s="166" t="n">
        <v>0</v>
      </c>
      <c r="J109" s="166" t="n">
        <v>0</v>
      </c>
      <c r="K109" s="166" t="n">
        <v>0</v>
      </c>
      <c r="L109" s="166" t="n">
        <v>0</v>
      </c>
      <c r="M109" s="166" t="n">
        <v>0</v>
      </c>
      <c r="N109" s="166" t="n">
        <v>0</v>
      </c>
      <c r="O109" s="166" t="n">
        <v>0</v>
      </c>
      <c r="P109" s="166" t="n">
        <v>0</v>
      </c>
      <c r="Q109" s="166" t="n">
        <v>0</v>
      </c>
      <c r="R109" s="166" t="n">
        <v>0</v>
      </c>
      <c r="S109" s="166" t="n">
        <v>0</v>
      </c>
      <c r="T109" s="166" t="n">
        <v>0</v>
      </c>
      <c r="U109" s="166" t="n">
        <v>0</v>
      </c>
      <c r="V109" s="166" t="n">
        <v>0</v>
      </c>
      <c r="W109" s="166" t="n">
        <v>0</v>
      </c>
      <c r="X109" s="166" t="n">
        <v>0</v>
      </c>
      <c r="Y109" s="166" t="n">
        <v>0</v>
      </c>
      <c r="Z109" s="166" t="n">
        <v>0</v>
      </c>
      <c r="AA109" s="166" t="n">
        <v>0</v>
      </c>
      <c r="AB109" s="166" t="n">
        <v>0</v>
      </c>
      <c r="AC109" s="166" t="n">
        <v>0</v>
      </c>
      <c r="AD109" s="166" t="n">
        <v>0</v>
      </c>
      <c r="AE109" s="166" t="n">
        <v>0</v>
      </c>
      <c r="AF109" s="166" t="n">
        <v>0</v>
      </c>
      <c r="AG109" s="166" t="n">
        <v>0</v>
      </c>
      <c r="AH109" s="166" t="n">
        <v>0</v>
      </c>
      <c r="AI109" s="166" t="n">
        <v>0</v>
      </c>
      <c r="AJ109" s="166" t="n">
        <v>0</v>
      </c>
      <c r="AK109" s="166" t="n">
        <v>0</v>
      </c>
      <c r="AL109" s="166" t="n">
        <v>0</v>
      </c>
      <c r="AM109" s="166" t="n">
        <v>0</v>
      </c>
      <c r="AN109" s="166" t="n">
        <v>0</v>
      </c>
      <c r="AO109" s="166" t="n">
        <v>0</v>
      </c>
      <c r="AP109" s="166" t="n">
        <v>0</v>
      </c>
      <c r="AQ109" s="166" t="n">
        <v>0</v>
      </c>
      <c r="AR109" s="166" t="n">
        <v>0</v>
      </c>
      <c r="AS109" s="166" t="n">
        <v>0</v>
      </c>
      <c r="AT109" s="166" t="n">
        <v>0</v>
      </c>
      <c r="AU109" s="166" t="n">
        <v>-81683</v>
      </c>
      <c r="AV109" s="166" t="n">
        <v>0</v>
      </c>
      <c r="AW109" s="166" t="n">
        <v>0</v>
      </c>
      <c r="AX109" s="166" t="n">
        <v>-81682</v>
      </c>
      <c r="AY109" s="166" t="n">
        <v>0</v>
      </c>
      <c r="AZ109" s="166" t="n">
        <v>0</v>
      </c>
      <c r="BA109" s="166" t="n">
        <v>-81682</v>
      </c>
      <c r="BB109" s="166" t="n">
        <v>0</v>
      </c>
      <c r="BC109" s="166" t="n">
        <v>0</v>
      </c>
      <c r="BD109" s="166" t="n">
        <v>-81682</v>
      </c>
      <c r="BE109" s="166" t="n">
        <v>0</v>
      </c>
      <c r="BF109" s="166" t="n">
        <v>0</v>
      </c>
      <c r="BG109" s="166" t="n">
        <v>-59178</v>
      </c>
      <c r="BH109" s="166" t="n">
        <v>0</v>
      </c>
      <c r="BI109" s="166" t="n">
        <v>0</v>
      </c>
      <c r="BJ109" s="166" t="n">
        <v>-59176</v>
      </c>
      <c r="BK109" s="166" t="n">
        <v>0</v>
      </c>
      <c r="BL109" s="166" t="n">
        <v>0</v>
      </c>
      <c r="BM109" s="166" t="n">
        <v>-59176</v>
      </c>
      <c r="BN109" s="166" t="n">
        <v>0</v>
      </c>
      <c r="BO109" s="166" t="n">
        <v>0</v>
      </c>
      <c r="BP109" s="166" t="n">
        <v>-59176</v>
      </c>
      <c r="BQ109" s="166" t="n">
        <v>0</v>
      </c>
      <c r="BR109" s="166" t="n">
        <v>0</v>
      </c>
      <c r="BS109" s="166" t="n">
        <v>-16249.48</v>
      </c>
      <c r="BT109" s="166" t="n">
        <v>0</v>
      </c>
      <c r="BU109" s="166" t="n">
        <v>0</v>
      </c>
      <c r="BV109" s="166" t="n">
        <v>0</v>
      </c>
      <c r="BW109" s="166" t="n">
        <v>0</v>
      </c>
      <c r="BX109" s="166" t="n">
        <v>0</v>
      </c>
      <c r="BY109" s="166" t="n">
        <v>0</v>
      </c>
      <c r="BZ109" s="166" t="n">
        <v>0</v>
      </c>
      <c r="CA109" s="166" t="n">
        <v>0</v>
      </c>
      <c r="CB109" s="166" t="n">
        <v>0</v>
      </c>
      <c r="CC109" s="166" t="n">
        <v>0</v>
      </c>
      <c r="CD109" s="166" t="n">
        <v>0</v>
      </c>
      <c r="CE109" s="166" t="n">
        <v>0</v>
      </c>
      <c r="CF109" s="166" t="n">
        <v>0</v>
      </c>
      <c r="CG109" s="166" t="n">
        <v>0</v>
      </c>
      <c r="CH109" s="166" t="n">
        <v>0</v>
      </c>
      <c r="CI109" s="166" t="n">
        <v>0</v>
      </c>
      <c r="CJ109" s="166" t="n">
        <v>0</v>
      </c>
      <c r="CK109" s="166" t="n">
        <v>0</v>
      </c>
      <c r="CL109" s="166" t="n">
        <v>0</v>
      </c>
      <c r="CM109" s="166" t="n">
        <v>0</v>
      </c>
      <c r="CN109" s="166" t="n">
        <v>0</v>
      </c>
      <c r="CO109" s="166" t="n">
        <v>0</v>
      </c>
      <c r="CP109" s="166" t="n">
        <v>0</v>
      </c>
      <c r="CQ109" s="166" t="n">
        <v>0</v>
      </c>
      <c r="CR109" s="166" t="n">
        <v>0</v>
      </c>
      <c r="CS109" s="166" t="n">
        <v>0</v>
      </c>
      <c r="CT109" s="166" t="n">
        <v>0</v>
      </c>
      <c r="CU109" s="166" t="n">
        <v>0</v>
      </c>
      <c r="CV109" s="166" t="n">
        <v>0</v>
      </c>
      <c r="CW109" s="166" t="n">
        <v>0</v>
      </c>
      <c r="CX109" s="166" t="n">
        <v>0</v>
      </c>
      <c r="CY109" s="166" t="n">
        <v>0</v>
      </c>
      <c r="CZ109" s="166" t="n">
        <v>0</v>
      </c>
      <c r="DA109" s="166" t="n">
        <v>0</v>
      </c>
      <c r="DB109" s="166" t="n">
        <v>0</v>
      </c>
      <c r="DC109" s="166" t="n">
        <v>0</v>
      </c>
      <c r="DD109" s="166" t="n">
        <v>0</v>
      </c>
      <c r="DE109" s="166" t="n">
        <v>0</v>
      </c>
      <c r="DF109" s="166" t="n">
        <v>0</v>
      </c>
    </row>
    <row r="110" customFormat="false" ht="15" hidden="false" customHeight="true" outlineLevel="0" collapsed="false">
      <c r="A110" s="140" t="s">
        <v>130</v>
      </c>
      <c r="C110" s="125" t="n">
        <v>0</v>
      </c>
      <c r="D110" s="125" t="n">
        <v>0</v>
      </c>
      <c r="E110" s="125" t="n">
        <v>0</v>
      </c>
      <c r="F110" s="166" t="n">
        <v>0</v>
      </c>
      <c r="G110" s="166" t="n">
        <v>0</v>
      </c>
      <c r="H110" s="166" t="n">
        <v>0</v>
      </c>
      <c r="I110" s="166" t="n">
        <v>0</v>
      </c>
      <c r="J110" s="166" t="n">
        <v>0</v>
      </c>
      <c r="K110" s="166" t="n">
        <v>0</v>
      </c>
      <c r="L110" s="166" t="n">
        <v>0</v>
      </c>
      <c r="M110" s="166" t="n">
        <v>0</v>
      </c>
      <c r="N110" s="166" t="n">
        <v>0</v>
      </c>
      <c r="O110" s="166" t="n">
        <v>0</v>
      </c>
      <c r="P110" s="166" t="n">
        <v>0</v>
      </c>
      <c r="Q110" s="166" t="n">
        <v>0</v>
      </c>
      <c r="R110" s="166" t="n">
        <v>0</v>
      </c>
      <c r="S110" s="166" t="n">
        <v>0</v>
      </c>
      <c r="T110" s="166" t="n">
        <v>0</v>
      </c>
      <c r="U110" s="166" t="n">
        <v>0</v>
      </c>
      <c r="V110" s="166" t="n">
        <v>0</v>
      </c>
      <c r="W110" s="166" t="n">
        <v>0</v>
      </c>
      <c r="X110" s="166" t="n">
        <v>0</v>
      </c>
      <c r="Y110" s="166" t="n">
        <v>0</v>
      </c>
      <c r="Z110" s="166" t="n">
        <v>0</v>
      </c>
      <c r="AA110" s="166" t="n">
        <v>0</v>
      </c>
      <c r="AB110" s="166" t="n">
        <v>0</v>
      </c>
      <c r="AC110" s="166" t="n">
        <v>0</v>
      </c>
      <c r="AD110" s="166" t="n">
        <v>0</v>
      </c>
      <c r="AE110" s="166" t="n">
        <v>0</v>
      </c>
      <c r="AF110" s="166" t="n">
        <v>0</v>
      </c>
      <c r="AG110" s="166" t="n">
        <v>0</v>
      </c>
      <c r="AH110" s="166" t="n">
        <v>0</v>
      </c>
      <c r="AI110" s="166" t="n">
        <v>0</v>
      </c>
      <c r="AJ110" s="166" t="n">
        <v>0</v>
      </c>
      <c r="AK110" s="166" t="n">
        <v>0</v>
      </c>
      <c r="AL110" s="166" t="n">
        <v>0</v>
      </c>
      <c r="AM110" s="166" t="n">
        <v>0</v>
      </c>
      <c r="AN110" s="166" t="n">
        <v>0</v>
      </c>
      <c r="AO110" s="166" t="n">
        <v>0</v>
      </c>
      <c r="AP110" s="166" t="n">
        <v>0</v>
      </c>
      <c r="AQ110" s="166" t="n">
        <v>0</v>
      </c>
      <c r="AR110" s="166" t="n">
        <v>0</v>
      </c>
      <c r="AS110" s="166" t="n">
        <v>0</v>
      </c>
      <c r="AT110" s="166" t="n">
        <v>0</v>
      </c>
      <c r="AU110" s="166" t="n">
        <v>0</v>
      </c>
      <c r="AV110" s="166" t="n">
        <v>0</v>
      </c>
      <c r="AW110" s="166" t="n">
        <v>0</v>
      </c>
      <c r="AX110" s="166" t="n">
        <v>0</v>
      </c>
      <c r="AY110" s="166" t="n">
        <v>0</v>
      </c>
      <c r="AZ110" s="166" t="n">
        <v>0</v>
      </c>
      <c r="BA110" s="166" t="n">
        <v>0</v>
      </c>
      <c r="BB110" s="166" t="n">
        <v>0</v>
      </c>
      <c r="BC110" s="166" t="n">
        <v>0</v>
      </c>
      <c r="BD110" s="166" t="n">
        <v>-851839</v>
      </c>
      <c r="BE110" s="166" t="n">
        <v>0</v>
      </c>
      <c r="BF110" s="166" t="n">
        <v>0</v>
      </c>
      <c r="BG110" s="166" t="n">
        <v>-71700</v>
      </c>
      <c r="BH110" s="166" t="n">
        <v>0</v>
      </c>
      <c r="BI110" s="166" t="n">
        <v>0</v>
      </c>
      <c r="BJ110" s="166" t="n">
        <v>-71700</v>
      </c>
      <c r="BK110" s="166" t="n">
        <v>0</v>
      </c>
      <c r="BL110" s="166" t="n">
        <v>0</v>
      </c>
      <c r="BM110" s="166" t="n">
        <v>-71700</v>
      </c>
      <c r="BN110" s="166" t="n">
        <v>0</v>
      </c>
      <c r="BO110" s="166" t="n">
        <v>0</v>
      </c>
      <c r="BP110" s="166" t="n">
        <v>-71700</v>
      </c>
      <c r="BQ110" s="166" t="n">
        <v>0</v>
      </c>
      <c r="BR110" s="166" t="n">
        <v>0</v>
      </c>
      <c r="BS110" s="166" t="n">
        <v>-74643</v>
      </c>
      <c r="BT110" s="166" t="n">
        <v>0</v>
      </c>
      <c r="BU110" s="166" t="n">
        <v>0</v>
      </c>
      <c r="BV110" s="166" t="n">
        <v>-74640</v>
      </c>
      <c r="BW110" s="166" t="n">
        <v>0</v>
      </c>
      <c r="BX110" s="166" t="n">
        <v>0</v>
      </c>
      <c r="BY110" s="166" t="n">
        <v>-74640</v>
      </c>
      <c r="BZ110" s="166" t="n">
        <v>0</v>
      </c>
      <c r="CA110" s="166" t="n">
        <v>0</v>
      </c>
      <c r="CB110" s="166" t="n">
        <v>-74640</v>
      </c>
      <c r="CC110" s="166" t="n">
        <v>0</v>
      </c>
      <c r="CD110" s="166" t="n">
        <v>0</v>
      </c>
      <c r="CE110" s="166" t="n">
        <v>-81363</v>
      </c>
      <c r="CF110" s="166" t="n">
        <v>0</v>
      </c>
      <c r="CG110" s="166" t="n">
        <v>0</v>
      </c>
      <c r="CH110" s="166" t="n">
        <v>-81362</v>
      </c>
      <c r="CI110" s="166" t="n">
        <v>0</v>
      </c>
      <c r="CJ110" s="166" t="n">
        <v>0</v>
      </c>
      <c r="CK110" s="166" t="n">
        <v>-74753.9733935208</v>
      </c>
      <c r="CL110" s="166" t="n">
        <v>0</v>
      </c>
      <c r="CM110" s="166" t="n">
        <v>0</v>
      </c>
      <c r="CN110" s="166" t="n">
        <v>0</v>
      </c>
      <c r="CO110" s="166" t="n">
        <v>0</v>
      </c>
      <c r="CP110" s="166" t="n">
        <v>0</v>
      </c>
      <c r="CQ110" s="166" t="n">
        <v>0</v>
      </c>
      <c r="CR110" s="166" t="n">
        <v>0</v>
      </c>
      <c r="CS110" s="166" t="n">
        <v>0</v>
      </c>
      <c r="CT110" s="166" t="n">
        <v>0</v>
      </c>
      <c r="CU110" s="166" t="n">
        <v>0</v>
      </c>
      <c r="CV110" s="166" t="n">
        <v>0</v>
      </c>
      <c r="CW110" s="166" t="n">
        <v>0</v>
      </c>
      <c r="CX110" s="166" t="n">
        <v>0</v>
      </c>
      <c r="CY110" s="166" t="n">
        <v>0</v>
      </c>
      <c r="CZ110" s="166" t="n">
        <v>0</v>
      </c>
      <c r="DA110" s="166" t="n">
        <v>0</v>
      </c>
      <c r="DB110" s="166" t="n">
        <v>0</v>
      </c>
      <c r="DC110" s="166" t="n">
        <v>0</v>
      </c>
      <c r="DD110" s="166" t="n">
        <v>0</v>
      </c>
      <c r="DE110" s="166" t="n">
        <v>0</v>
      </c>
      <c r="DF110" s="166" t="n">
        <v>0</v>
      </c>
    </row>
    <row r="111" customFormat="false" ht="15" hidden="false" customHeight="true" outlineLevel="0" collapsed="false">
      <c r="A111" s="140" t="s">
        <v>131</v>
      </c>
      <c r="C111" s="125" t="n">
        <v>0</v>
      </c>
      <c r="D111" s="125" t="n">
        <v>0</v>
      </c>
      <c r="E111" s="125" t="n">
        <v>0</v>
      </c>
      <c r="F111" s="166" t="n">
        <v>0</v>
      </c>
      <c r="G111" s="166" t="n">
        <v>0</v>
      </c>
      <c r="H111" s="166" t="n">
        <v>0</v>
      </c>
      <c r="I111" s="166" t="n">
        <v>0</v>
      </c>
      <c r="J111" s="166" t="n">
        <v>0</v>
      </c>
      <c r="K111" s="166" t="n">
        <v>0</v>
      </c>
      <c r="L111" s="166" t="n">
        <v>0</v>
      </c>
      <c r="M111" s="166" t="n">
        <v>0</v>
      </c>
      <c r="N111" s="166" t="n">
        <v>0</v>
      </c>
      <c r="O111" s="166" t="n">
        <v>0</v>
      </c>
      <c r="P111" s="166" t="n">
        <v>0</v>
      </c>
      <c r="Q111" s="166" t="n">
        <v>0</v>
      </c>
      <c r="R111" s="166" t="n">
        <v>0</v>
      </c>
      <c r="S111" s="166" t="n">
        <v>0</v>
      </c>
      <c r="T111" s="166" t="n">
        <v>0</v>
      </c>
      <c r="U111" s="166" t="n">
        <v>0</v>
      </c>
      <c r="V111" s="166" t="n">
        <v>0</v>
      </c>
      <c r="W111" s="166" t="n">
        <v>0</v>
      </c>
      <c r="X111" s="166" t="n">
        <v>0</v>
      </c>
      <c r="Y111" s="166" t="n">
        <v>0</v>
      </c>
      <c r="Z111" s="166" t="n">
        <v>0</v>
      </c>
      <c r="AA111" s="166" t="n">
        <v>0</v>
      </c>
      <c r="AB111" s="166" t="n">
        <v>0</v>
      </c>
      <c r="AC111" s="166" t="n">
        <v>0</v>
      </c>
      <c r="AD111" s="166" t="n">
        <v>0</v>
      </c>
      <c r="AE111" s="166" t="n">
        <v>0</v>
      </c>
      <c r="AF111" s="166" t="n">
        <v>0</v>
      </c>
      <c r="AG111" s="166" t="n">
        <v>0</v>
      </c>
      <c r="AH111" s="166" t="n">
        <v>0</v>
      </c>
      <c r="AI111" s="166" t="n">
        <v>0</v>
      </c>
      <c r="AJ111" s="166" t="n">
        <v>0</v>
      </c>
      <c r="AK111" s="166" t="n">
        <v>0</v>
      </c>
      <c r="AL111" s="166" t="n">
        <v>0</v>
      </c>
      <c r="AM111" s="166" t="n">
        <v>0</v>
      </c>
      <c r="AN111" s="166" t="n">
        <v>0</v>
      </c>
      <c r="AO111" s="166" t="n">
        <v>0</v>
      </c>
      <c r="AP111" s="166" t="n">
        <v>0</v>
      </c>
      <c r="AQ111" s="166" t="n">
        <v>0</v>
      </c>
      <c r="AR111" s="166" t="n">
        <v>0</v>
      </c>
      <c r="AS111" s="166" t="n">
        <v>0</v>
      </c>
      <c r="AT111" s="166" t="n">
        <v>0</v>
      </c>
      <c r="AU111" s="166" t="n">
        <v>0</v>
      </c>
      <c r="AV111" s="166" t="n">
        <v>0</v>
      </c>
      <c r="AW111" s="166" t="n">
        <v>0</v>
      </c>
      <c r="AX111" s="166" t="n">
        <v>0</v>
      </c>
      <c r="AY111" s="166" t="n">
        <v>0</v>
      </c>
      <c r="AZ111" s="166" t="n">
        <v>0</v>
      </c>
      <c r="BA111" s="166" t="n">
        <v>0</v>
      </c>
      <c r="BB111" s="166" t="n">
        <v>0</v>
      </c>
      <c r="BC111" s="166" t="n">
        <v>0</v>
      </c>
      <c r="BD111" s="166" t="n">
        <v>0</v>
      </c>
      <c r="BE111" s="166" t="n">
        <v>0</v>
      </c>
      <c r="BF111" s="166" t="n">
        <v>0</v>
      </c>
      <c r="BG111" s="166" t="n">
        <v>0</v>
      </c>
      <c r="BH111" s="166" t="n">
        <v>0</v>
      </c>
      <c r="BI111" s="166" t="n">
        <v>0</v>
      </c>
      <c r="BJ111" s="166" t="n">
        <v>0</v>
      </c>
      <c r="BK111" s="166" t="n">
        <v>0</v>
      </c>
      <c r="BL111" s="166" t="n">
        <v>0</v>
      </c>
      <c r="BM111" s="166" t="n">
        <v>0</v>
      </c>
      <c r="BN111" s="166" t="n">
        <v>0</v>
      </c>
      <c r="BO111" s="166" t="n">
        <v>0</v>
      </c>
      <c r="BP111" s="166" t="n">
        <v>0</v>
      </c>
      <c r="BQ111" s="166" t="n">
        <v>0</v>
      </c>
      <c r="BR111" s="166" t="n">
        <v>0</v>
      </c>
      <c r="BS111" s="166" t="n">
        <v>0</v>
      </c>
      <c r="BT111" s="166" t="n">
        <v>0</v>
      </c>
      <c r="BU111" s="166" t="n">
        <v>0</v>
      </c>
      <c r="BV111" s="166" t="n">
        <v>0</v>
      </c>
      <c r="BW111" s="166" t="n">
        <v>0</v>
      </c>
      <c r="BX111" s="166" t="n">
        <v>0</v>
      </c>
      <c r="BY111" s="166" t="n">
        <v>0</v>
      </c>
      <c r="BZ111" s="166" t="n">
        <v>0</v>
      </c>
      <c r="CA111" s="166" t="n">
        <v>0</v>
      </c>
      <c r="CB111" s="166" t="n">
        <v>-73156</v>
      </c>
      <c r="CC111" s="166" t="n">
        <v>0</v>
      </c>
      <c r="CD111" s="166" t="n">
        <v>0</v>
      </c>
      <c r="CE111" s="166" t="n">
        <v>-73155</v>
      </c>
      <c r="CF111" s="166" t="n">
        <v>0</v>
      </c>
      <c r="CG111" s="166" t="n">
        <v>0</v>
      </c>
      <c r="CH111" s="166" t="n">
        <v>-73155</v>
      </c>
      <c r="CI111" s="166" t="n">
        <v>0</v>
      </c>
      <c r="CJ111" s="166" t="n">
        <v>0</v>
      </c>
      <c r="CK111" s="166" t="n">
        <v>-73155</v>
      </c>
      <c r="CL111" s="166" t="n">
        <v>-73155</v>
      </c>
      <c r="CM111" s="166" t="n">
        <v>-73155</v>
      </c>
      <c r="CN111" s="166" t="n">
        <v>-73155</v>
      </c>
      <c r="CO111" s="166" t="n">
        <v>-73155</v>
      </c>
      <c r="CP111" s="166" t="n">
        <v>-73155</v>
      </c>
      <c r="CQ111" s="166" t="n">
        <v>-73155</v>
      </c>
      <c r="CR111" s="166" t="n">
        <v>-73155</v>
      </c>
      <c r="CS111" s="166" t="n">
        <v>-73155</v>
      </c>
      <c r="CT111" s="166" t="n">
        <v>-73155</v>
      </c>
      <c r="CU111" s="166" t="n">
        <v>-73155</v>
      </c>
      <c r="CV111" s="166" t="n">
        <v>-73155</v>
      </c>
      <c r="CW111" s="166" t="n">
        <v>-73155</v>
      </c>
      <c r="CX111" s="166" t="n">
        <v>-17446.8489364072</v>
      </c>
      <c r="CY111" s="166" t="n">
        <v>0</v>
      </c>
      <c r="CZ111" s="166" t="n">
        <v>0</v>
      </c>
      <c r="DA111" s="166" t="n">
        <v>0</v>
      </c>
      <c r="DB111" s="166" t="n">
        <v>0</v>
      </c>
      <c r="DC111" s="166" t="n">
        <v>0</v>
      </c>
      <c r="DD111" s="166" t="n">
        <v>0</v>
      </c>
      <c r="DE111" s="166" t="n">
        <v>0</v>
      </c>
      <c r="DF111" s="166" t="n">
        <v>0</v>
      </c>
    </row>
    <row r="112" customFormat="false" ht="15" hidden="false" customHeight="true" outlineLevel="0" collapsed="false">
      <c r="A112" s="121" t="s">
        <v>132</v>
      </c>
      <c r="C112" s="170" t="n">
        <v>-196623.84</v>
      </c>
      <c r="D112" s="170" t="n">
        <v>-189707.12</v>
      </c>
      <c r="E112" s="170" t="n">
        <v>-242129.22</v>
      </c>
      <c r="F112" s="170" t="n">
        <v>-78090.0916666666</v>
      </c>
      <c r="G112" s="170" t="n">
        <v>-78090.0916666666</v>
      </c>
      <c r="H112" s="170" t="n">
        <v>-78090.0916666666</v>
      </c>
      <c r="I112" s="170" t="n">
        <v>-78090.0916666666</v>
      </c>
      <c r="J112" s="170" t="n">
        <v>-78090.0916666666</v>
      </c>
      <c r="K112" s="170" t="n">
        <v>-78090.0916666666</v>
      </c>
      <c r="L112" s="170" t="n">
        <v>-78090.0916666666</v>
      </c>
      <c r="M112" s="170" t="n">
        <v>-78090.0916666666</v>
      </c>
      <c r="N112" s="170" t="n">
        <v>-78090.0916666666</v>
      </c>
      <c r="O112" s="170" t="n">
        <v>-78090.0916666666</v>
      </c>
      <c r="P112" s="170" t="n">
        <v>-78090.0916666666</v>
      </c>
      <c r="Q112" s="170" t="n">
        <v>-78090.0916666666</v>
      </c>
      <c r="R112" s="170" t="n">
        <v>-79651.8935</v>
      </c>
      <c r="S112" s="170" t="n">
        <v>-79651.8935</v>
      </c>
      <c r="T112" s="170" t="n">
        <v>-79651.8935</v>
      </c>
      <c r="U112" s="170" t="n">
        <v>-79651.8935</v>
      </c>
      <c r="V112" s="170" t="n">
        <v>-79651.8935</v>
      </c>
      <c r="W112" s="170" t="n">
        <v>-79651.8935</v>
      </c>
      <c r="X112" s="170" t="n">
        <v>-79651.8935</v>
      </c>
      <c r="Y112" s="170" t="n">
        <v>-79651.8935</v>
      </c>
      <c r="Z112" s="170" t="n">
        <v>-79651.8935</v>
      </c>
      <c r="AA112" s="170" t="n">
        <v>-79651.8935</v>
      </c>
      <c r="AB112" s="170" t="n">
        <v>-79651.8935</v>
      </c>
      <c r="AC112" s="170" t="n">
        <v>-79651.8935</v>
      </c>
      <c r="AD112" s="170" t="n">
        <v>-81244.93137</v>
      </c>
      <c r="AE112" s="170" t="n">
        <v>-81244.93137</v>
      </c>
      <c r="AF112" s="170" t="n">
        <v>-81244.93137</v>
      </c>
      <c r="AG112" s="170" t="n">
        <v>-81244.93137</v>
      </c>
      <c r="AH112" s="170" t="n">
        <v>-81244.93137</v>
      </c>
      <c r="AI112" s="170" t="n">
        <v>-81244.93137</v>
      </c>
      <c r="AJ112" s="170" t="n">
        <v>-81244.93137</v>
      </c>
      <c r="AK112" s="170" t="n">
        <v>-81244.93137</v>
      </c>
      <c r="AL112" s="170" t="n">
        <v>-81244.93137</v>
      </c>
      <c r="AM112" s="170" t="n">
        <v>-81244.93137</v>
      </c>
      <c r="AN112" s="170" t="n">
        <v>-81244.93137</v>
      </c>
      <c r="AO112" s="170" t="n">
        <v>-81244.93137</v>
      </c>
      <c r="AP112" s="170" t="n">
        <v>-82869.8299974</v>
      </c>
      <c r="AQ112" s="170" t="n">
        <v>-82869.8299974</v>
      </c>
      <c r="AR112" s="170" t="n">
        <v>-82869.8299974</v>
      </c>
      <c r="AS112" s="170" t="n">
        <v>-82869.8299974</v>
      </c>
      <c r="AT112" s="170" t="n">
        <v>-82869.8299974</v>
      </c>
      <c r="AU112" s="170" t="n">
        <v>-164552.8299974</v>
      </c>
      <c r="AV112" s="170" t="n">
        <v>-82869.8299974</v>
      </c>
      <c r="AW112" s="170" t="n">
        <v>-82869.8299974</v>
      </c>
      <c r="AX112" s="170" t="n">
        <v>-164551.8299974</v>
      </c>
      <c r="AY112" s="170" t="n">
        <v>-82869.8299974</v>
      </c>
      <c r="AZ112" s="170" t="n">
        <v>-82869.8299974</v>
      </c>
      <c r="BA112" s="170" t="n">
        <v>-164551.8299974</v>
      </c>
      <c r="BB112" s="170" t="n">
        <v>-84527.226597348</v>
      </c>
      <c r="BC112" s="170" t="n">
        <v>-84527.226597348</v>
      </c>
      <c r="BD112" s="170" t="n">
        <v>-1018048.22659735</v>
      </c>
      <c r="BE112" s="170" t="n">
        <v>-84527.226597348</v>
      </c>
      <c r="BF112" s="170" t="n">
        <v>-84527.226597348</v>
      </c>
      <c r="BG112" s="170" t="n">
        <v>-215405.226597348</v>
      </c>
      <c r="BH112" s="170" t="n">
        <v>-84527.226597348</v>
      </c>
      <c r="BI112" s="170" t="n">
        <v>-84527.226597348</v>
      </c>
      <c r="BJ112" s="170" t="n">
        <v>-215403.226597348</v>
      </c>
      <c r="BK112" s="170" t="n">
        <v>-84527.226597348</v>
      </c>
      <c r="BL112" s="170" t="n">
        <v>-84527.226597348</v>
      </c>
      <c r="BM112" s="170" t="n">
        <v>-215403.226597348</v>
      </c>
      <c r="BN112" s="170" t="n">
        <v>-86217.771129295</v>
      </c>
      <c r="BO112" s="170" t="n">
        <v>-86217.771129295</v>
      </c>
      <c r="BP112" s="170" t="n">
        <v>-217093.771129295</v>
      </c>
      <c r="BQ112" s="170" t="n">
        <v>-86217.771129295</v>
      </c>
      <c r="BR112" s="170" t="n">
        <v>-86217.771129295</v>
      </c>
      <c r="BS112" s="170" t="n">
        <v>-177110.251129295</v>
      </c>
      <c r="BT112" s="170" t="n">
        <v>-86217.771129295</v>
      </c>
      <c r="BU112" s="170" t="n">
        <v>-86217.771129295</v>
      </c>
      <c r="BV112" s="170" t="n">
        <v>-160857.771129295</v>
      </c>
      <c r="BW112" s="170" t="n">
        <v>-86217.771129295</v>
      </c>
      <c r="BX112" s="170" t="n">
        <v>-86217.771129295</v>
      </c>
      <c r="BY112" s="170" t="n">
        <v>-160857.771129295</v>
      </c>
      <c r="BZ112" s="170" t="n">
        <v>-87942.1265518809</v>
      </c>
      <c r="CA112" s="170" t="n">
        <v>-87942.1265518809</v>
      </c>
      <c r="CB112" s="170" t="n">
        <v>-235738.126551881</v>
      </c>
      <c r="CC112" s="170" t="n">
        <v>-87942.1265518809</v>
      </c>
      <c r="CD112" s="170" t="n">
        <v>-87942.1265518809</v>
      </c>
      <c r="CE112" s="170" t="n">
        <v>-242460.126551881</v>
      </c>
      <c r="CF112" s="170" t="n">
        <v>-87942.1265518809</v>
      </c>
      <c r="CG112" s="170" t="n">
        <v>-87942.1265518809</v>
      </c>
      <c r="CH112" s="170" t="n">
        <v>-242459.126551881</v>
      </c>
      <c r="CI112" s="170" t="n">
        <v>-87942.1265518809</v>
      </c>
      <c r="CJ112" s="170" t="n">
        <v>-87942.1265518809</v>
      </c>
      <c r="CK112" s="170" t="n">
        <v>-235851.099945402</v>
      </c>
      <c r="CL112" s="170" t="n">
        <v>-162855.969082918</v>
      </c>
      <c r="CM112" s="170" t="n">
        <v>-162855.969082918</v>
      </c>
      <c r="CN112" s="170" t="n">
        <v>-162855.969082918</v>
      </c>
      <c r="CO112" s="170" t="n">
        <v>-162855.969082918</v>
      </c>
      <c r="CP112" s="170" t="n">
        <v>-162855.969082918</v>
      </c>
      <c r="CQ112" s="170" t="n">
        <v>-162855.969082918</v>
      </c>
      <c r="CR112" s="170" t="n">
        <v>-162855.969082918</v>
      </c>
      <c r="CS112" s="170" t="n">
        <v>-162855.969082918</v>
      </c>
      <c r="CT112" s="170" t="n">
        <v>-162855.969082918</v>
      </c>
      <c r="CU112" s="170" t="n">
        <v>-160947.475708022</v>
      </c>
      <c r="CV112" s="170" t="n">
        <v>-160947.475708022</v>
      </c>
      <c r="CW112" s="170" t="n">
        <v>-160947.475708022</v>
      </c>
      <c r="CX112" s="170" t="n">
        <v>-106995.17415859</v>
      </c>
      <c r="CY112" s="170" t="n">
        <v>-89548.3252221824</v>
      </c>
      <c r="CZ112" s="170" t="n">
        <v>-89548.3252221824</v>
      </c>
      <c r="DA112" s="170" t="n">
        <v>-89548.3252221824</v>
      </c>
      <c r="DB112" s="170" t="n">
        <v>-89548.3252221824</v>
      </c>
      <c r="DC112" s="170" t="n">
        <v>-89548.3252221824</v>
      </c>
      <c r="DD112" s="170" t="n">
        <v>-89548.3252221824</v>
      </c>
      <c r="DE112" s="170" t="n">
        <v>-89548.3252221824</v>
      </c>
      <c r="DF112" s="170" t="n">
        <v>-89548.3252221824</v>
      </c>
    </row>
    <row r="113" customFormat="false" ht="15" hidden="false" customHeight="true" outlineLevel="0" collapsed="false">
      <c r="A113" s="81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125"/>
      <c r="BM113" s="125"/>
      <c r="BN113" s="125"/>
      <c r="BO113" s="125"/>
      <c r="BP113" s="125"/>
      <c r="BQ113" s="125"/>
      <c r="BR113" s="125"/>
      <c r="BS113" s="125"/>
      <c r="BT113" s="125"/>
      <c r="BU113" s="125"/>
      <c r="BV113" s="125"/>
      <c r="BW113" s="125"/>
      <c r="BX113" s="125"/>
      <c r="BY113" s="125"/>
      <c r="BZ113" s="125"/>
      <c r="CA113" s="125"/>
      <c r="CB113" s="125"/>
      <c r="CC113" s="125"/>
      <c r="CD113" s="125"/>
      <c r="CE113" s="125"/>
      <c r="CF113" s="125"/>
      <c r="CG113" s="125"/>
      <c r="CH113" s="125"/>
      <c r="CI113" s="125"/>
      <c r="CJ113" s="125"/>
      <c r="CK113" s="125"/>
      <c r="CL113" s="125"/>
      <c r="CM113" s="125"/>
      <c r="CN113" s="125"/>
      <c r="CO113" s="125"/>
      <c r="CP113" s="125"/>
      <c r="CQ113" s="125"/>
      <c r="CR113" s="125"/>
      <c r="CS113" s="125"/>
      <c r="CT113" s="125"/>
      <c r="CU113" s="125"/>
      <c r="CV113" s="125"/>
      <c r="CW113" s="125"/>
      <c r="CX113" s="125"/>
      <c r="CY113" s="125"/>
      <c r="CZ113" s="125"/>
      <c r="DA113" s="125"/>
      <c r="DB113" s="125"/>
      <c r="DC113" s="125"/>
      <c r="DD113" s="125"/>
      <c r="DE113" s="125"/>
      <c r="DF113" s="125"/>
    </row>
    <row r="114" customFormat="false" ht="15" hidden="false" customHeight="true" outlineLevel="0" collapsed="false">
      <c r="A114" s="81" t="s">
        <v>133</v>
      </c>
      <c r="C114" s="174" t="n">
        <v>-162509.26</v>
      </c>
      <c r="D114" s="174" t="n">
        <v>-155592.54</v>
      </c>
      <c r="E114" s="174" t="n">
        <v>-208014.64</v>
      </c>
      <c r="F114" s="174" t="n">
        <v>-34475.5116666666</v>
      </c>
      <c r="G114" s="174" t="n">
        <v>-34475.5116666666</v>
      </c>
      <c r="H114" s="174" t="n">
        <v>-34475.5116666666</v>
      </c>
      <c r="I114" s="174" t="n">
        <v>-34475.5116666666</v>
      </c>
      <c r="J114" s="174" t="n">
        <v>-34475.5116666666</v>
      </c>
      <c r="K114" s="174" t="n">
        <v>-35308.8416666666</v>
      </c>
      <c r="L114" s="174" t="n">
        <v>-35308.8416666666</v>
      </c>
      <c r="M114" s="174" t="n">
        <v>-44683.8416666666</v>
      </c>
      <c r="N114" s="174" t="n">
        <v>-44683.8416666666</v>
      </c>
      <c r="O114" s="174" t="n">
        <v>-44683.8416666666</v>
      </c>
      <c r="P114" s="174" t="n">
        <v>-44683.8416666666</v>
      </c>
      <c r="Q114" s="174" t="n">
        <v>-44683.8416666666</v>
      </c>
      <c r="R114" s="174" t="n">
        <v>-46245.6435</v>
      </c>
      <c r="S114" s="174" t="n">
        <v>-46245.6435</v>
      </c>
      <c r="T114" s="174" t="n">
        <v>-46245.6435</v>
      </c>
      <c r="U114" s="174" t="n">
        <v>-70151.8935</v>
      </c>
      <c r="V114" s="174" t="n">
        <v>-70151.8935</v>
      </c>
      <c r="W114" s="174" t="n">
        <v>-70151.8935</v>
      </c>
      <c r="X114" s="174" t="n">
        <v>-70151.8935</v>
      </c>
      <c r="Y114" s="174" t="n">
        <v>-70151.8935</v>
      </c>
      <c r="Z114" s="174" t="n">
        <v>-12776.8935</v>
      </c>
      <c r="AA114" s="174" t="n">
        <v>-70151.8935</v>
      </c>
      <c r="AB114" s="174" t="n">
        <v>-70151.8935</v>
      </c>
      <c r="AC114" s="174" t="n">
        <v>-12776.8935</v>
      </c>
      <c r="AD114" s="174" t="n">
        <v>-71744.93137</v>
      </c>
      <c r="AE114" s="174" t="n">
        <v>-71744.93137</v>
      </c>
      <c r="AF114" s="174" t="n">
        <v>-14369.93137</v>
      </c>
      <c r="AG114" s="174" t="n">
        <v>-71744.93137</v>
      </c>
      <c r="AH114" s="174" t="n">
        <v>-71744.93137</v>
      </c>
      <c r="AI114" s="174" t="n">
        <v>-71744.93137</v>
      </c>
      <c r="AJ114" s="174" t="n">
        <v>-81244.93137</v>
      </c>
      <c r="AK114" s="174" t="n">
        <v>-81244.93137</v>
      </c>
      <c r="AL114" s="174" t="n">
        <v>-81244.93137</v>
      </c>
      <c r="AM114" s="174" t="n">
        <v>-81244.93137</v>
      </c>
      <c r="AN114" s="174" t="n">
        <v>-81244.93137</v>
      </c>
      <c r="AO114" s="174" t="n">
        <v>-81244.93137</v>
      </c>
      <c r="AP114" s="174" t="n">
        <v>-82869.8299974</v>
      </c>
      <c r="AQ114" s="174" t="n">
        <v>-82869.8299974</v>
      </c>
      <c r="AR114" s="174" t="n">
        <v>-82869.8299974</v>
      </c>
      <c r="AS114" s="174" t="n">
        <v>-82869.8299974</v>
      </c>
      <c r="AT114" s="174" t="n">
        <v>-82869.8299974</v>
      </c>
      <c r="AU114" s="174" t="n">
        <v>-82869.8299974</v>
      </c>
      <c r="AV114" s="174" t="n">
        <v>-82869.8299974</v>
      </c>
      <c r="AW114" s="174" t="n">
        <v>-82869.8299974</v>
      </c>
      <c r="AX114" s="174" t="n">
        <v>-82869.8299974</v>
      </c>
      <c r="AY114" s="174" t="n">
        <v>-82869.8299974</v>
      </c>
      <c r="AZ114" s="174" t="n">
        <v>-82869.8299974</v>
      </c>
      <c r="BA114" s="174" t="n">
        <v>-82869.8299974</v>
      </c>
      <c r="BB114" s="174" t="n">
        <v>-84527.226597348</v>
      </c>
      <c r="BC114" s="174" t="n">
        <v>-84527.226597348</v>
      </c>
      <c r="BD114" s="174" t="n">
        <v>-84527.226597348</v>
      </c>
      <c r="BE114" s="174" t="n">
        <v>-84527.226597348</v>
      </c>
      <c r="BF114" s="174" t="n">
        <v>-84527.226597348</v>
      </c>
      <c r="BG114" s="174" t="n">
        <v>-84527.226597348</v>
      </c>
      <c r="BH114" s="174" t="n">
        <v>-84527.226597348</v>
      </c>
      <c r="BI114" s="174" t="n">
        <v>-84527.226597348</v>
      </c>
      <c r="BJ114" s="174" t="n">
        <v>-84527.226597348</v>
      </c>
      <c r="BK114" s="174" t="n">
        <v>-84527.226597348</v>
      </c>
      <c r="BL114" s="174" t="n">
        <v>-84527.226597348</v>
      </c>
      <c r="BM114" s="174" t="n">
        <v>-84527.226597348</v>
      </c>
      <c r="BN114" s="174" t="n">
        <v>-86217.771129295</v>
      </c>
      <c r="BO114" s="174" t="n">
        <v>-86217.771129295</v>
      </c>
      <c r="BP114" s="174" t="n">
        <v>-86217.771129295</v>
      </c>
      <c r="BQ114" s="174" t="n">
        <v>-86217.771129295</v>
      </c>
      <c r="BR114" s="174" t="n">
        <v>-86217.771129295</v>
      </c>
      <c r="BS114" s="174" t="n">
        <v>-34704.251129295</v>
      </c>
      <c r="BT114" s="174" t="n">
        <v>-86217.771129295</v>
      </c>
      <c r="BU114" s="174" t="n">
        <v>-86217.771129295</v>
      </c>
      <c r="BV114" s="174" t="n">
        <v>-18455.771129295</v>
      </c>
      <c r="BW114" s="174" t="n">
        <v>-86217.771129295</v>
      </c>
      <c r="BX114" s="174" t="n">
        <v>-86217.771129295</v>
      </c>
      <c r="BY114" s="174" t="n">
        <v>-18455.771129295</v>
      </c>
      <c r="BZ114" s="174" t="n">
        <v>-87942.1265518809</v>
      </c>
      <c r="CA114" s="174" t="n">
        <v>-87942.1265518809</v>
      </c>
      <c r="CB114" s="174" t="n">
        <v>-20180.1265518809</v>
      </c>
      <c r="CC114" s="174" t="n">
        <v>-87942.1265518809</v>
      </c>
      <c r="CD114" s="174" t="n">
        <v>-87942.1265518809</v>
      </c>
      <c r="CE114" s="174" t="n">
        <v>-11443.1265518809</v>
      </c>
      <c r="CF114" s="174" t="n">
        <v>-87942.1265518809</v>
      </c>
      <c r="CG114" s="174" t="n">
        <v>-87942.1265518809</v>
      </c>
      <c r="CH114" s="174" t="n">
        <v>-11443.1265518809</v>
      </c>
      <c r="CI114" s="174" t="n">
        <v>-87942.1265518809</v>
      </c>
      <c r="CJ114" s="174" t="n">
        <v>-87942.1265518809</v>
      </c>
      <c r="CK114" s="174" t="n">
        <v>-4835.09994540163</v>
      </c>
      <c r="CL114" s="174" t="n">
        <v>68160.0309170815</v>
      </c>
      <c r="CM114" s="174" t="n">
        <v>68160.0309170815</v>
      </c>
      <c r="CN114" s="174" t="n">
        <v>68160.0309170815</v>
      </c>
      <c r="CO114" s="174" t="n">
        <v>68160.0309170815</v>
      </c>
      <c r="CP114" s="174" t="n">
        <v>68160.0309170815</v>
      </c>
      <c r="CQ114" s="174" t="n">
        <v>68160.0309170815</v>
      </c>
      <c r="CR114" s="174" t="n">
        <v>68160.0309170815</v>
      </c>
      <c r="CS114" s="174" t="n">
        <v>68160.0309170815</v>
      </c>
      <c r="CT114" s="174" t="n">
        <v>68160.0309170815</v>
      </c>
      <c r="CU114" s="174" t="n">
        <v>70068.524291978</v>
      </c>
      <c r="CV114" s="174" t="n">
        <v>70068.524291978</v>
      </c>
      <c r="CW114" s="174" t="n">
        <v>70068.524291978</v>
      </c>
      <c r="CX114" s="174" t="n">
        <v>124020.82584141</v>
      </c>
      <c r="CY114" s="174" t="n">
        <v>141467.674777818</v>
      </c>
      <c r="CZ114" s="174" t="n">
        <v>141467.674777818</v>
      </c>
      <c r="DA114" s="174" t="n">
        <v>141467.674777818</v>
      </c>
      <c r="DB114" s="174" t="n">
        <v>141467.674777818</v>
      </c>
      <c r="DC114" s="174" t="n">
        <v>141467.674777818</v>
      </c>
      <c r="DD114" s="174" t="n">
        <v>141467.674777818</v>
      </c>
      <c r="DE114" s="174" t="n">
        <v>141467.674777818</v>
      </c>
      <c r="DF114" s="174" t="n">
        <v>141467.674777818</v>
      </c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T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11" activeCellId="0" sqref="G11"/>
    </sheetView>
  </sheetViews>
  <sheetFormatPr defaultColWidth="8.714843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12" min="3" style="1" width="12"/>
    <col collapsed="false" customWidth="true" hidden="false" outlineLevel="0" max="13" min="13" style="1" width="9"/>
    <col collapsed="false" customWidth="true" hidden="false" outlineLevel="0" max="19" min="14" style="1" width="16"/>
  </cols>
  <sheetData>
    <row r="1" customFormat="false" ht="27.75" hidden="false" customHeight="true" outlineLevel="0" collapsed="false">
      <c r="A1" s="52" t="s">
        <v>337</v>
      </c>
      <c r="B1" s="52" t="s">
        <v>338</v>
      </c>
      <c r="C1" s="52" t="s">
        <v>339</v>
      </c>
      <c r="D1" s="52" t="s">
        <v>340</v>
      </c>
      <c r="E1" s="52" t="s">
        <v>341</v>
      </c>
      <c r="F1" s="52" t="s">
        <v>342</v>
      </c>
      <c r="G1" s="52" t="s">
        <v>343</v>
      </c>
      <c r="H1" s="52" t="s">
        <v>344</v>
      </c>
      <c r="I1" s="52" t="s">
        <v>345</v>
      </c>
      <c r="J1" s="52" t="s">
        <v>346</v>
      </c>
      <c r="K1" s="52" t="s">
        <v>347</v>
      </c>
      <c r="L1" s="52" t="s">
        <v>348</v>
      </c>
      <c r="N1" s="52" t="s">
        <v>349</v>
      </c>
      <c r="O1" s="52" t="s">
        <v>350</v>
      </c>
      <c r="P1" s="52" t="s">
        <v>351</v>
      </c>
      <c r="Q1" s="52" t="s">
        <v>352</v>
      </c>
      <c r="R1" s="52" t="s">
        <v>353</v>
      </c>
      <c r="S1" s="52" t="s">
        <v>354</v>
      </c>
      <c r="T1" s="52" t="s">
        <v>355</v>
      </c>
    </row>
    <row r="2" customFormat="false" ht="15" hidden="false" customHeight="true" outlineLevel="0" collapsed="false">
      <c r="A2" s="175" t="s">
        <v>7</v>
      </c>
      <c r="B2" s="176" t="n">
        <v>7126075</v>
      </c>
      <c r="C2" s="177" t="n">
        <v>1</v>
      </c>
      <c r="D2" s="177" t="n">
        <v>8</v>
      </c>
      <c r="E2" s="177" t="n">
        <v>2</v>
      </c>
      <c r="F2" s="177" t="s">
        <v>356</v>
      </c>
      <c r="G2" s="177" t="s">
        <v>357</v>
      </c>
      <c r="H2" s="177" t="n">
        <v>0</v>
      </c>
      <c r="I2" s="178" t="n">
        <f aca="false">IF(H2=1,Assumptions!$B$16,IF(H2=2,Assumptions!$B$17,0))</f>
        <v>0</v>
      </c>
      <c r="J2" s="177" t="s">
        <v>356</v>
      </c>
      <c r="K2" s="177" t="s">
        <v>356</v>
      </c>
      <c r="L2" s="177" t="s">
        <v>358</v>
      </c>
      <c r="N2" s="176" t="n">
        <v>194932</v>
      </c>
      <c r="O2" s="176" t="n">
        <f aca="false">B2*Assumptions!$B$11</f>
        <v>367676.9657</v>
      </c>
      <c r="P2" s="176" t="n">
        <v>46323</v>
      </c>
      <c r="Q2" s="176" t="n">
        <f aca="false">N2+O2+P2</f>
        <v>608931.9657</v>
      </c>
      <c r="R2" s="176" t="n">
        <f aca="false">Q2*0.05</f>
        <v>30446.598285</v>
      </c>
      <c r="S2" s="175" t="n">
        <f aca="false">C2+D2-1</f>
        <v>8</v>
      </c>
      <c r="T2" s="179"/>
    </row>
    <row r="3" customFormat="false" ht="15" hidden="false" customHeight="true" outlineLevel="0" collapsed="false">
      <c r="A3" s="175" t="s">
        <v>8</v>
      </c>
      <c r="B3" s="176" t="n">
        <v>20176449</v>
      </c>
      <c r="C3" s="177" t="n">
        <v>1</v>
      </c>
      <c r="D3" s="177" t="n">
        <v>16</v>
      </c>
      <c r="E3" s="177" t="n">
        <v>2</v>
      </c>
      <c r="F3" s="177" t="s">
        <v>356</v>
      </c>
      <c r="G3" s="177" t="s">
        <v>357</v>
      </c>
      <c r="H3" s="177" t="n">
        <v>0</v>
      </c>
      <c r="I3" s="178" t="n">
        <f aca="false">IF(H3=1,Assumptions!$B$16,IF(H3=2,Assumptions!$B$17,0))</f>
        <v>0</v>
      </c>
      <c r="J3" s="177" t="s">
        <v>356</v>
      </c>
      <c r="K3" s="177" t="s">
        <v>356</v>
      </c>
      <c r="L3" s="177" t="s">
        <v>358</v>
      </c>
      <c r="N3" s="176" t="n">
        <v>888067</v>
      </c>
      <c r="O3" s="176" t="n">
        <f aca="false">B3*Assumptions!$B$11</f>
        <v>1041024.062604</v>
      </c>
      <c r="P3" s="176" t="n">
        <v>176626</v>
      </c>
      <c r="Q3" s="176" t="n">
        <f aca="false">N3+O3+P3</f>
        <v>2105717.062604</v>
      </c>
      <c r="R3" s="176" t="n">
        <f aca="false">Q3*0.05</f>
        <v>105285.8531302</v>
      </c>
      <c r="S3" s="175" t="n">
        <f aca="false">C3+D3-1</f>
        <v>16</v>
      </c>
      <c r="T3" s="179"/>
    </row>
    <row r="4" customFormat="false" ht="15" hidden="false" customHeight="true" outlineLevel="0" collapsed="false">
      <c r="A4" s="175" t="s">
        <v>9</v>
      </c>
      <c r="B4" s="176" t="n">
        <v>11929880</v>
      </c>
      <c r="C4" s="177" t="n">
        <v>1</v>
      </c>
      <c r="D4" s="177" t="n">
        <v>15</v>
      </c>
      <c r="E4" s="177" t="n">
        <v>3</v>
      </c>
      <c r="F4" s="177" t="s">
        <v>357</v>
      </c>
      <c r="G4" s="177" t="s">
        <v>357</v>
      </c>
      <c r="H4" s="177" t="n">
        <v>1</v>
      </c>
      <c r="I4" s="178" t="n">
        <f aca="false">IF(H4=1,Assumptions!$B$16,IF(H4=2,Assumptions!$B$17,0))</f>
        <v>0.0074</v>
      </c>
      <c r="J4" s="177" t="s">
        <v>356</v>
      </c>
      <c r="K4" s="177" t="s">
        <v>357</v>
      </c>
      <c r="L4" s="177" t="s">
        <v>359</v>
      </c>
      <c r="N4" s="176" t="n">
        <f aca="false">B4*Assumptions!$B$10</f>
        <v>615534.08848</v>
      </c>
      <c r="O4" s="176" t="n">
        <f aca="false">B4*Assumptions!$B$11</f>
        <v>615534.08848</v>
      </c>
      <c r="P4" s="176" t="n">
        <f aca="false">B4*Assumptions!$B$12</f>
        <v>205182.00612</v>
      </c>
      <c r="Q4" s="176" t="n">
        <f aca="false">N4+O4+P4</f>
        <v>1436250.18308</v>
      </c>
      <c r="R4" s="176" t="n">
        <f aca="false">Q4*0.05</f>
        <v>71812.509154</v>
      </c>
      <c r="S4" s="175" t="n">
        <f aca="false">C4+D4-1</f>
        <v>15</v>
      </c>
      <c r="T4" s="179"/>
    </row>
    <row r="5" customFormat="false" ht="15" hidden="false" customHeight="true" outlineLevel="0" collapsed="false">
      <c r="A5" s="175" t="s">
        <v>10</v>
      </c>
      <c r="B5" s="176" t="n">
        <v>14427884</v>
      </c>
      <c r="C5" s="177" t="n">
        <v>1</v>
      </c>
      <c r="D5" s="177" t="n">
        <v>15</v>
      </c>
      <c r="E5" s="177" t="n">
        <v>3</v>
      </c>
      <c r="F5" s="177" t="s">
        <v>357</v>
      </c>
      <c r="G5" s="177" t="s">
        <v>357</v>
      </c>
      <c r="H5" s="177" t="n">
        <v>1</v>
      </c>
      <c r="I5" s="178" t="n">
        <f aca="false">IF(H5=1,Assumptions!$B$16,IF(H5=2,Assumptions!$B$17,0))</f>
        <v>0.0074</v>
      </c>
      <c r="J5" s="177" t="s">
        <v>356</v>
      </c>
      <c r="K5" s="177" t="s">
        <v>357</v>
      </c>
      <c r="L5" s="177" t="s">
        <v>359</v>
      </c>
      <c r="N5" s="176" t="n">
        <f aca="false">B5*Assumptions!$B$10</f>
        <v>744421.102864</v>
      </c>
      <c r="O5" s="176" t="n">
        <f aca="false">B5*Assumptions!$B$11</f>
        <v>744421.102864</v>
      </c>
      <c r="P5" s="176" t="n">
        <f aca="false">B5*Assumptions!$B$12</f>
        <v>248145.176916</v>
      </c>
      <c r="Q5" s="176" t="n">
        <f aca="false">N5+O5+P5</f>
        <v>1736987.382644</v>
      </c>
      <c r="R5" s="176" t="n">
        <f aca="false">Q5*0.05</f>
        <v>86849.3691322</v>
      </c>
      <c r="S5" s="175" t="n">
        <f aca="false">C5+D5-1</f>
        <v>15</v>
      </c>
      <c r="T5" s="179"/>
    </row>
    <row r="6" customFormat="false" ht="15" hidden="false" customHeight="true" outlineLevel="0" collapsed="false">
      <c r="A6" s="175" t="s">
        <v>11</v>
      </c>
      <c r="B6" s="176" t="n">
        <v>3623245</v>
      </c>
      <c r="C6" s="177" t="n">
        <v>1</v>
      </c>
      <c r="D6" s="177" t="n">
        <v>19</v>
      </c>
      <c r="E6" s="177" t="n">
        <v>3</v>
      </c>
      <c r="F6" s="177" t="s">
        <v>356</v>
      </c>
      <c r="G6" s="177" t="s">
        <v>357</v>
      </c>
      <c r="H6" s="177" t="n">
        <v>0</v>
      </c>
      <c r="I6" s="178" t="n">
        <f aca="false">IF(H6=1,Assumptions!$B$16,IF(H6=2,Assumptions!$B$17,0))</f>
        <v>0</v>
      </c>
      <c r="J6" s="177" t="s">
        <v>356</v>
      </c>
      <c r="K6" s="177" t="s">
        <v>357</v>
      </c>
      <c r="L6" s="177" t="s">
        <v>359</v>
      </c>
      <c r="N6" s="176" t="n">
        <v>245000</v>
      </c>
      <c r="O6" s="176" t="n">
        <f aca="false">B6*Assumptions!$B$11</f>
        <v>186944.94902</v>
      </c>
      <c r="P6" s="176" t="n">
        <v>0</v>
      </c>
      <c r="Q6" s="176" t="n">
        <f aca="false">N6+O6+P6</f>
        <v>431944.94902</v>
      </c>
      <c r="R6" s="176" t="n">
        <f aca="false">Q6*0.05</f>
        <v>21597.247451</v>
      </c>
      <c r="S6" s="175" t="n">
        <f aca="false">C6+D6-1</f>
        <v>19</v>
      </c>
      <c r="T6" s="179" t="n">
        <f aca="false">Assumptions!$B$15</f>
        <v>0.015</v>
      </c>
    </row>
    <row r="7" customFormat="false" ht="15" hidden="false" customHeight="true" outlineLevel="0" collapsed="false">
      <c r="A7" s="175" t="s">
        <v>12</v>
      </c>
      <c r="B7" s="176" t="n">
        <v>42794765</v>
      </c>
      <c r="C7" s="177" t="n">
        <v>5</v>
      </c>
      <c r="D7" s="177" t="n">
        <v>30</v>
      </c>
      <c r="E7" s="177" t="n">
        <v>1</v>
      </c>
      <c r="F7" s="177" t="s">
        <v>357</v>
      </c>
      <c r="G7" s="177" t="s">
        <v>357</v>
      </c>
      <c r="H7" s="177" t="n">
        <v>1</v>
      </c>
      <c r="I7" s="178" t="n">
        <f aca="false">Assumptions!$B$18</f>
        <v>0.00725158134079107</v>
      </c>
      <c r="J7" s="177" t="s">
        <v>357</v>
      </c>
      <c r="K7" s="177" t="s">
        <v>357</v>
      </c>
      <c r="L7" s="177" t="s">
        <v>358</v>
      </c>
      <c r="N7" s="176" t="n">
        <f aca="false">B7*Assumptions!$B$10</f>
        <v>2208038.69494</v>
      </c>
      <c r="O7" s="176" t="n">
        <f aca="false">B7*Assumptions!$B$11</f>
        <v>2208038.69494</v>
      </c>
      <c r="P7" s="176" t="n">
        <f aca="false">B7*Assumptions!$B$12</f>
        <v>736027.163235</v>
      </c>
      <c r="Q7" s="176" t="n">
        <f aca="false">N7+O7+P7</f>
        <v>5152104.553115</v>
      </c>
      <c r="R7" s="176" t="n">
        <f aca="false">Q7*0.05</f>
        <v>257605.22765575</v>
      </c>
      <c r="S7" s="175" t="n">
        <f aca="false">C7+D7-1</f>
        <v>34</v>
      </c>
      <c r="T7" s="179" t="n">
        <f aca="false">839113/B7</f>
        <v>0.0196078422208885</v>
      </c>
    </row>
    <row r="8" customFormat="false" ht="15" hidden="false" customHeight="true" outlineLevel="0" collapsed="false">
      <c r="A8" s="175" t="s">
        <v>13</v>
      </c>
      <c r="B8" s="176" t="n">
        <v>12993776.05</v>
      </c>
      <c r="C8" s="177" t="n">
        <v>5</v>
      </c>
      <c r="D8" s="177" t="n">
        <v>19</v>
      </c>
      <c r="E8" s="177" t="n">
        <v>3</v>
      </c>
      <c r="F8" s="177" t="s">
        <v>357</v>
      </c>
      <c r="G8" s="177" t="s">
        <v>357</v>
      </c>
      <c r="H8" s="177" t="n">
        <v>1</v>
      </c>
      <c r="I8" s="178" t="n">
        <f aca="false">Assumptions!$B$18</f>
        <v>0.00725158134079107</v>
      </c>
      <c r="J8" s="177" t="s">
        <v>356</v>
      </c>
      <c r="K8" s="177" t="s">
        <v>357</v>
      </c>
      <c r="L8" s="177" t="s">
        <v>359</v>
      </c>
      <c r="N8" s="176" t="n">
        <f aca="false">B8*Assumptions!$B$10</f>
        <v>670426.8690758</v>
      </c>
      <c r="O8" s="176" t="n">
        <f aca="false">B8*Assumptions!$B$11</f>
        <v>670426.8690758</v>
      </c>
      <c r="P8" s="176" t="n">
        <f aca="false">B8*Assumptions!$B$12</f>
        <v>223479.95428395</v>
      </c>
      <c r="Q8" s="176" t="n">
        <f aca="false">N8+O8+P8</f>
        <v>1564333.69243555</v>
      </c>
      <c r="R8" s="176" t="n">
        <f aca="false">Q8*0.05</f>
        <v>78216.6846217775</v>
      </c>
      <c r="S8" s="175" t="n">
        <f aca="false">C8+D8-1</f>
        <v>23</v>
      </c>
      <c r="T8" s="179" t="n">
        <f aca="false">192026.25/B8</f>
        <v>0.0147783253506205</v>
      </c>
    </row>
    <row r="9" customFormat="false" ht="15" hidden="false" customHeight="true" outlineLevel="0" collapsed="false">
      <c r="A9" s="175" t="s">
        <v>14</v>
      </c>
      <c r="B9" s="176" t="n">
        <v>14337010.8</v>
      </c>
      <c r="C9" s="177" t="n">
        <v>5</v>
      </c>
      <c r="D9" s="177" t="n">
        <v>30</v>
      </c>
      <c r="E9" s="177" t="n">
        <v>1</v>
      </c>
      <c r="F9" s="177" t="s">
        <v>357</v>
      </c>
      <c r="G9" s="177" t="s">
        <v>357</v>
      </c>
      <c r="H9" s="177" t="n">
        <v>1</v>
      </c>
      <c r="I9" s="178" t="n">
        <f aca="false">Assumptions!$B$18</f>
        <v>0.00725158134079107</v>
      </c>
      <c r="J9" s="177" t="s">
        <v>356</v>
      </c>
      <c r="K9" s="177" t="s">
        <v>357</v>
      </c>
      <c r="L9" s="177" t="s">
        <v>359</v>
      </c>
      <c r="N9" s="176" t="n">
        <f aca="false">B9*Assumptions!$B$10</f>
        <v>739732.4092368</v>
      </c>
      <c r="O9" s="176" t="n">
        <f aca="false">B9*Assumptions!$B$11</f>
        <v>739732.4092368</v>
      </c>
      <c r="P9" s="176" t="n">
        <f aca="false">B9*Assumptions!$B$12</f>
        <v>246582.2487492</v>
      </c>
      <c r="Q9" s="176" t="n">
        <f aca="false">N9+O9+P9</f>
        <v>1726047.0672228</v>
      </c>
      <c r="R9" s="176" t="n">
        <f aca="false">Q9*0.05</f>
        <v>86302.35336114</v>
      </c>
      <c r="S9" s="175" t="n">
        <f aca="false">C9+D9-1</f>
        <v>34</v>
      </c>
      <c r="T9" s="179" t="n">
        <f aca="false">211877.01/B9</f>
        <v>0.0147783253396168</v>
      </c>
    </row>
    <row r="10" customFormat="false" ht="15" hidden="false" customHeight="true" outlineLevel="0" collapsed="false">
      <c r="A10" s="175" t="s">
        <v>15</v>
      </c>
      <c r="B10" s="176" t="n">
        <v>21263405</v>
      </c>
      <c r="C10" s="177" t="n">
        <v>6</v>
      </c>
      <c r="D10" s="177" t="n">
        <v>24</v>
      </c>
      <c r="E10" s="177" t="n">
        <v>2</v>
      </c>
      <c r="F10" s="177" t="s">
        <v>357</v>
      </c>
      <c r="G10" s="177" t="s">
        <v>357</v>
      </c>
      <c r="H10" s="177" t="n">
        <v>2</v>
      </c>
      <c r="I10" s="178" t="n">
        <f aca="false">IF(H10=1,Assumptions!$B$16,IF(H10=2,Assumptions!$B$17,0))</f>
        <v>0.0325</v>
      </c>
      <c r="J10" s="177" t="s">
        <v>356</v>
      </c>
      <c r="K10" s="177" t="s">
        <v>357</v>
      </c>
      <c r="L10" s="177" t="s">
        <v>359</v>
      </c>
      <c r="N10" s="176" t="n">
        <f aca="false">B10*Assumptions!$B$10</f>
        <v>1097106.64438</v>
      </c>
      <c r="O10" s="176" t="n">
        <f aca="false">B10*Assumptions!$B$11</f>
        <v>1097106.64438</v>
      </c>
      <c r="P10" s="176" t="n">
        <f aca="false">B10*Assumptions!$B$12</f>
        <v>365709.302595</v>
      </c>
      <c r="Q10" s="176" t="n">
        <f aca="false">N10+O10+P10</f>
        <v>2559922.591355</v>
      </c>
      <c r="R10" s="176" t="n">
        <f aca="false">Q10*0.05</f>
        <v>127996.12956775</v>
      </c>
      <c r="S10" s="175" t="n">
        <f aca="false">C10+D10-1</f>
        <v>29</v>
      </c>
      <c r="T10" s="179" t="n">
        <f aca="false">Assumptions!$B$15</f>
        <v>0.015</v>
      </c>
    </row>
    <row r="11" customFormat="false" ht="15" hidden="false" customHeight="true" outlineLevel="0" collapsed="false">
      <c r="A11" s="175" t="s">
        <v>16</v>
      </c>
      <c r="B11" s="176" t="n">
        <v>9577109</v>
      </c>
      <c r="C11" s="177" t="n">
        <v>7</v>
      </c>
      <c r="D11" s="177" t="n">
        <v>19</v>
      </c>
      <c r="E11" s="177" t="n">
        <v>3</v>
      </c>
      <c r="F11" s="177" t="s">
        <v>356</v>
      </c>
      <c r="G11" s="177" t="s">
        <v>357</v>
      </c>
      <c r="H11" s="177" t="n">
        <v>0</v>
      </c>
      <c r="I11" s="178" t="n">
        <f aca="false">IF(H11=1,Assumptions!$B$16,IF(H11=2,Assumptions!$B$17,0))</f>
        <v>0</v>
      </c>
      <c r="J11" s="177" t="s">
        <v>357</v>
      </c>
      <c r="K11" s="177" t="s">
        <v>356</v>
      </c>
      <c r="L11" s="177" t="s">
        <v>358</v>
      </c>
      <c r="N11" s="176" t="n">
        <f aca="false">B11*Assumptions!$B$10</f>
        <v>494140.515964</v>
      </c>
      <c r="O11" s="176" t="n">
        <f aca="false">B11*Assumptions!$B$11</f>
        <v>494140.515964</v>
      </c>
      <c r="P11" s="176" t="n">
        <f aca="false">B11*Assumptions!$B$12</f>
        <v>164716.697691</v>
      </c>
      <c r="Q11" s="176" t="n">
        <f aca="false">N11+O11+P11</f>
        <v>1152997.729619</v>
      </c>
      <c r="R11" s="176" t="n">
        <f aca="false">Q11*0.05</f>
        <v>57649.88648095</v>
      </c>
      <c r="S11" s="175" t="n">
        <f aca="false">C11+D11-1</f>
        <v>25</v>
      </c>
      <c r="T11" s="179" t="n">
        <f aca="false">Assumptions!$B$15</f>
        <v>0.015</v>
      </c>
    </row>
    <row r="12" customFormat="false" ht="15" hidden="false" customHeight="true" outlineLevel="0" collapsed="false">
      <c r="A12" s="175" t="s">
        <v>17</v>
      </c>
      <c r="B12" s="176" t="n">
        <v>7545203</v>
      </c>
      <c r="C12" s="177" t="n">
        <v>7</v>
      </c>
      <c r="D12" s="177" t="n">
        <v>19</v>
      </c>
      <c r="E12" s="177" t="n">
        <v>3</v>
      </c>
      <c r="F12" s="177" t="s">
        <v>356</v>
      </c>
      <c r="G12" s="177" t="s">
        <v>357</v>
      </c>
      <c r="H12" s="177" t="n">
        <v>0</v>
      </c>
      <c r="I12" s="178" t="n">
        <f aca="false">IF(H12=1,Assumptions!$B$16,IF(H12=2,Assumptions!$B$17,0))</f>
        <v>0</v>
      </c>
      <c r="J12" s="177" t="s">
        <v>357</v>
      </c>
      <c r="K12" s="177" t="s">
        <v>356</v>
      </c>
      <c r="L12" s="177" t="s">
        <v>358</v>
      </c>
      <c r="N12" s="176" t="n">
        <f aca="false">B12*Assumptions!$B$10</f>
        <v>389302.293988</v>
      </c>
      <c r="O12" s="176" t="n">
        <f aca="false">B12*Assumptions!$B$11</f>
        <v>389302.293988</v>
      </c>
      <c r="P12" s="176" t="n">
        <f aca="false">B12*Assumptions!$B$12</f>
        <v>129769.946397</v>
      </c>
      <c r="Q12" s="176" t="n">
        <f aca="false">N12+O12+P12</f>
        <v>908374.534373</v>
      </c>
      <c r="R12" s="176" t="n">
        <f aca="false">Q12*0.05</f>
        <v>45418.72671865</v>
      </c>
      <c r="S12" s="175" t="n">
        <f aca="false">C12+D12-1</f>
        <v>25</v>
      </c>
      <c r="T12" s="179" t="n">
        <f aca="false">Assumptions!$B$15</f>
        <v>0.015</v>
      </c>
    </row>
    <row r="13" customFormat="false" ht="15" hidden="false" customHeight="true" outlineLevel="0" collapsed="false">
      <c r="A13" s="175" t="s">
        <v>18</v>
      </c>
      <c r="B13" s="176" t="n">
        <v>45266770</v>
      </c>
      <c r="C13" s="177" t="n">
        <v>13</v>
      </c>
      <c r="D13" s="177" t="n">
        <v>30</v>
      </c>
      <c r="E13" s="177" t="n">
        <v>1</v>
      </c>
      <c r="F13" s="177" t="s">
        <v>357</v>
      </c>
      <c r="G13" s="177" t="s">
        <v>357</v>
      </c>
      <c r="H13" s="177" t="n">
        <v>2</v>
      </c>
      <c r="I13" s="178" t="n">
        <f aca="false">IF(H13=1,Assumptions!$B$16,IF(H13=2,Assumptions!$B$17,0))</f>
        <v>0.0325</v>
      </c>
      <c r="J13" s="177" t="s">
        <v>357</v>
      </c>
      <c r="K13" s="177" t="s">
        <v>357</v>
      </c>
      <c r="L13" s="177" t="s">
        <v>358</v>
      </c>
      <c r="N13" s="176" t="n">
        <f aca="false">B13*Assumptions!$B$10</f>
        <v>2335584.26492</v>
      </c>
      <c r="O13" s="176" t="n">
        <f aca="false">B13*Assumptions!$B$11</f>
        <v>2335584.26492</v>
      </c>
      <c r="P13" s="176" t="n">
        <f aca="false">B13*Assumptions!$B$12</f>
        <v>778543.17723</v>
      </c>
      <c r="Q13" s="176" t="n">
        <f aca="false">N13+O13+P13</f>
        <v>5449711.70707</v>
      </c>
      <c r="R13" s="176" t="n">
        <f aca="false">Q13*0.05</f>
        <v>272485.5853535</v>
      </c>
      <c r="S13" s="175" t="n">
        <f aca="false">C13+D13-1</f>
        <v>42</v>
      </c>
      <c r="T13" s="179" t="n">
        <f aca="false">Assumptions!$B$15</f>
        <v>0.015</v>
      </c>
    </row>
    <row r="14" customFormat="false" ht="15" hidden="false" customHeight="true" outlineLevel="0" collapsed="false">
      <c r="A14" s="175" t="s">
        <v>19</v>
      </c>
      <c r="B14" s="176" t="n">
        <v>41354632</v>
      </c>
      <c r="C14" s="177" t="n">
        <v>27</v>
      </c>
      <c r="D14" s="177" t="n">
        <v>30</v>
      </c>
      <c r="E14" s="177" t="n">
        <v>1</v>
      </c>
      <c r="F14" s="177" t="s">
        <v>357</v>
      </c>
      <c r="G14" s="177" t="s">
        <v>357</v>
      </c>
      <c r="H14" s="177" t="n">
        <v>2</v>
      </c>
      <c r="I14" s="178" t="n">
        <f aca="false">IF(H14=1,Assumptions!$B$16,IF(H14=2,Assumptions!$B$17,0))</f>
        <v>0.0325</v>
      </c>
      <c r="J14" s="177" t="s">
        <v>357</v>
      </c>
      <c r="K14" s="177" t="s">
        <v>357</v>
      </c>
      <c r="L14" s="177" t="s">
        <v>358</v>
      </c>
      <c r="N14" s="176" t="n">
        <f aca="false">B14*Assumptions!$B$10</f>
        <v>2133733.592672</v>
      </c>
      <c r="O14" s="176" t="n">
        <f aca="false">B14*Assumptions!$B$11</f>
        <v>2133733.592672</v>
      </c>
      <c r="P14" s="176" t="n">
        <f aca="false">B14*Assumptions!$B$12</f>
        <v>711258.315768</v>
      </c>
      <c r="Q14" s="176" t="n">
        <f aca="false">N14+O14+P14</f>
        <v>4978725.501112</v>
      </c>
      <c r="R14" s="176" t="n">
        <f aca="false">Q14*0.05</f>
        <v>248936.2750556</v>
      </c>
      <c r="S14" s="175" t="n">
        <f aca="false">C14+D14-1</f>
        <v>56</v>
      </c>
      <c r="T14" s="179" t="n">
        <f aca="false">Assumptions!$B$15</f>
        <v>0.015</v>
      </c>
    </row>
    <row r="15" customFormat="false" ht="15" hidden="false" customHeight="true" outlineLevel="0" collapsed="false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79" t="n">
        <f aca="false">Assumptions!$B$15</f>
        <v>0.015</v>
      </c>
    </row>
    <row r="16" customFormat="false" ht="15" hidden="false" customHeight="true" outlineLevel="0" collapsed="false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80" t="s">
        <v>360</v>
      </c>
      <c r="N16" s="140"/>
      <c r="O16" s="140"/>
      <c r="P16" s="140"/>
      <c r="Q16" s="140"/>
      <c r="R16" s="140"/>
      <c r="S16" s="140"/>
      <c r="T16" s="179" t="n">
        <f aca="false">Assumptions!$B$15</f>
        <v>0.015</v>
      </c>
    </row>
    <row r="17" customFormat="false" ht="15" hidden="false" customHeight="true" outlineLevel="0" collapsed="false">
      <c r="A17" s="175" t="s">
        <v>20</v>
      </c>
      <c r="B17" s="176" t="n">
        <v>18000000</v>
      </c>
      <c r="C17" s="177" t="n">
        <v>16</v>
      </c>
      <c r="D17" s="177" t="n">
        <v>19</v>
      </c>
      <c r="E17" s="177" t="n">
        <v>3</v>
      </c>
      <c r="F17" s="177" t="s">
        <v>356</v>
      </c>
      <c r="G17" s="177" t="s">
        <v>356</v>
      </c>
      <c r="H17" s="177" t="n">
        <v>0</v>
      </c>
      <c r="I17" s="178" t="n">
        <f aca="false">IF(H17=1,Assumptions!$B$16,IF(H17=2,Assumptions!$B$17,0))</f>
        <v>0</v>
      </c>
      <c r="J17" s="177" t="s">
        <v>356</v>
      </c>
      <c r="K17" s="177" t="s">
        <v>356</v>
      </c>
      <c r="L17" s="177" t="s">
        <v>359</v>
      </c>
      <c r="M17" s="181" t="s">
        <v>357</v>
      </c>
      <c r="N17" s="176" t="n">
        <v>876623</v>
      </c>
      <c r="O17" s="176" t="n">
        <v>876623</v>
      </c>
      <c r="P17" s="176" t="n">
        <v>292208</v>
      </c>
      <c r="Q17" s="176" t="n">
        <f aca="false">N17+O17+P17</f>
        <v>2045454</v>
      </c>
      <c r="R17" s="176" t="n">
        <f aca="false">Q17*0.05</f>
        <v>102272.7</v>
      </c>
      <c r="S17" s="175" t="n">
        <f aca="false">C17+D17-1</f>
        <v>34</v>
      </c>
      <c r="T17" s="179"/>
    </row>
    <row r="18" customFormat="false" ht="15" hidden="false" customHeight="true" outlineLevel="0" collapsed="false">
      <c r="A18" s="175" t="s">
        <v>21</v>
      </c>
      <c r="B18" s="176" t="n">
        <v>15000000</v>
      </c>
      <c r="C18" s="177" t="n">
        <v>18</v>
      </c>
      <c r="D18" s="177" t="n">
        <v>19</v>
      </c>
      <c r="E18" s="177" t="n">
        <v>3</v>
      </c>
      <c r="F18" s="177" t="s">
        <v>356</v>
      </c>
      <c r="G18" s="177" t="s">
        <v>356</v>
      </c>
      <c r="H18" s="177" t="n">
        <v>0</v>
      </c>
      <c r="I18" s="178" t="n">
        <f aca="false">IF(H18=1,Assumptions!$B$16,IF(H18=2,Assumptions!$B$17,0))</f>
        <v>0</v>
      </c>
      <c r="J18" s="177" t="s">
        <v>356</v>
      </c>
      <c r="K18" s="177" t="s">
        <v>356</v>
      </c>
      <c r="L18" s="177" t="s">
        <v>359</v>
      </c>
      <c r="M18" s="181" t="s">
        <v>356</v>
      </c>
      <c r="N18" s="176" t="n">
        <v>730519</v>
      </c>
      <c r="O18" s="176" t="n">
        <v>730519</v>
      </c>
      <c r="P18" s="176" t="n">
        <v>243506</v>
      </c>
      <c r="Q18" s="176" t="n">
        <f aca="false">N18+O18+P18</f>
        <v>1704544</v>
      </c>
      <c r="R18" s="176" t="n">
        <f aca="false">Q18*0.05</f>
        <v>85227.2</v>
      </c>
      <c r="S18" s="175" t="n">
        <f aca="false">C18+D18-1</f>
        <v>36</v>
      </c>
      <c r="T18" s="179"/>
    </row>
    <row r="19" customFormat="false" ht="15" hidden="false" customHeight="true" outlineLevel="0" collapsed="false">
      <c r="A19" s="175" t="s">
        <v>22</v>
      </c>
      <c r="B19" s="176" t="n">
        <v>15000000</v>
      </c>
      <c r="C19" s="177" t="n">
        <v>21</v>
      </c>
      <c r="D19" s="177" t="n">
        <v>19</v>
      </c>
      <c r="E19" s="177" t="n">
        <v>3</v>
      </c>
      <c r="F19" s="177" t="s">
        <v>356</v>
      </c>
      <c r="G19" s="177" t="s">
        <v>356</v>
      </c>
      <c r="H19" s="177" t="n">
        <v>0</v>
      </c>
      <c r="I19" s="178" t="n">
        <f aca="false">IF(H19=1,Assumptions!$B$16,IF(H19=2,Assumptions!$B$17,0))</f>
        <v>0</v>
      </c>
      <c r="J19" s="177" t="s">
        <v>356</v>
      </c>
      <c r="K19" s="177" t="s">
        <v>356</v>
      </c>
      <c r="L19" s="177" t="s">
        <v>359</v>
      </c>
      <c r="M19" s="181" t="s">
        <v>356</v>
      </c>
      <c r="N19" s="176" t="n">
        <v>730519</v>
      </c>
      <c r="O19" s="176" t="n">
        <v>730519</v>
      </c>
      <c r="P19" s="176" t="n">
        <v>243506</v>
      </c>
      <c r="Q19" s="176" t="n">
        <f aca="false">N19+O19+P19</f>
        <v>1704544</v>
      </c>
      <c r="R19" s="176" t="n">
        <f aca="false">Q19*0.05</f>
        <v>85227.2</v>
      </c>
      <c r="S19" s="175" t="n">
        <f aca="false">C19+D19-1</f>
        <v>39</v>
      </c>
      <c r="T19" s="179"/>
    </row>
    <row r="20" customFormat="false" ht="15" hidden="false" customHeight="true" outlineLevel="0" collapsed="false">
      <c r="A20" s="175" t="s">
        <v>23</v>
      </c>
      <c r="B20" s="176" t="n">
        <v>15000000</v>
      </c>
      <c r="C20" s="177" t="n">
        <v>24</v>
      </c>
      <c r="D20" s="177" t="n">
        <v>19</v>
      </c>
      <c r="E20" s="177" t="n">
        <v>3</v>
      </c>
      <c r="F20" s="177" t="s">
        <v>356</v>
      </c>
      <c r="G20" s="177" t="s">
        <v>356</v>
      </c>
      <c r="H20" s="177" t="n">
        <v>0</v>
      </c>
      <c r="I20" s="178" t="n">
        <f aca="false">IF(H20=1,Assumptions!$B$16,IF(H20=2,Assumptions!$B$17,0))</f>
        <v>0</v>
      </c>
      <c r="J20" s="177" t="s">
        <v>356</v>
      </c>
      <c r="K20" s="177" t="s">
        <v>356</v>
      </c>
      <c r="L20" s="177" t="s">
        <v>359</v>
      </c>
      <c r="M20" s="181" t="s">
        <v>357</v>
      </c>
      <c r="N20" s="176" t="n">
        <v>730519</v>
      </c>
      <c r="O20" s="176" t="n">
        <v>730519</v>
      </c>
      <c r="P20" s="176" t="n">
        <v>243506</v>
      </c>
      <c r="Q20" s="176" t="n">
        <f aca="false">N20+O20+P20</f>
        <v>1704544</v>
      </c>
      <c r="R20" s="176" t="n">
        <f aca="false">Q20*0.05</f>
        <v>85227.2</v>
      </c>
      <c r="S20" s="175" t="n">
        <f aca="false">C20+D20-1</f>
        <v>42</v>
      </c>
      <c r="T20" s="179"/>
    </row>
    <row r="21" customFormat="false" ht="15" hidden="false" customHeight="true" outlineLevel="0" collapsed="false">
      <c r="A21" s="175" t="s">
        <v>24</v>
      </c>
      <c r="B21" s="176" t="n">
        <v>15000000</v>
      </c>
      <c r="C21" s="177" t="n">
        <v>27</v>
      </c>
      <c r="D21" s="177" t="n">
        <v>19</v>
      </c>
      <c r="E21" s="177" t="n">
        <v>3</v>
      </c>
      <c r="F21" s="177" t="s">
        <v>356</v>
      </c>
      <c r="G21" s="177" t="s">
        <v>356</v>
      </c>
      <c r="H21" s="177" t="n">
        <v>0</v>
      </c>
      <c r="I21" s="178" t="n">
        <f aca="false">IF(H21=1,Assumptions!$B$16,IF(H21=2,Assumptions!$B$17,0))</f>
        <v>0</v>
      </c>
      <c r="J21" s="177" t="s">
        <v>356</v>
      </c>
      <c r="K21" s="177" t="s">
        <v>356</v>
      </c>
      <c r="L21" s="177" t="s">
        <v>359</v>
      </c>
      <c r="M21" s="181" t="s">
        <v>356</v>
      </c>
      <c r="N21" s="176" t="n">
        <v>730519</v>
      </c>
      <c r="O21" s="176" t="n">
        <v>730519</v>
      </c>
      <c r="P21" s="176" t="n">
        <v>243506</v>
      </c>
      <c r="Q21" s="176" t="n">
        <f aca="false">N21+O21+P21</f>
        <v>1704544</v>
      </c>
      <c r="R21" s="176" t="n">
        <f aca="false">Q21*0.05</f>
        <v>85227.2</v>
      </c>
      <c r="S21" s="175" t="n">
        <f aca="false">C21+D21-1</f>
        <v>45</v>
      </c>
      <c r="T21" s="179"/>
    </row>
    <row r="22" customFormat="false" ht="15" hidden="false" customHeight="true" outlineLevel="0" collapsed="false">
      <c r="A22" s="175" t="s">
        <v>25</v>
      </c>
      <c r="B22" s="176" t="n">
        <v>15000000</v>
      </c>
      <c r="C22" s="177" t="n">
        <v>31</v>
      </c>
      <c r="D22" s="177" t="n">
        <v>19</v>
      </c>
      <c r="E22" s="177" t="n">
        <v>3</v>
      </c>
      <c r="F22" s="177" t="s">
        <v>356</v>
      </c>
      <c r="G22" s="177" t="s">
        <v>356</v>
      </c>
      <c r="H22" s="177" t="n">
        <v>0</v>
      </c>
      <c r="I22" s="178" t="n">
        <f aca="false">IF(H22=1,Assumptions!$B$16,IF(H22=2,Assumptions!$B$17,0))</f>
        <v>0</v>
      </c>
      <c r="J22" s="177" t="s">
        <v>356</v>
      </c>
      <c r="K22" s="177" t="s">
        <v>356</v>
      </c>
      <c r="L22" s="177" t="s">
        <v>359</v>
      </c>
      <c r="M22" s="181" t="s">
        <v>356</v>
      </c>
      <c r="N22" s="176" t="n">
        <v>730519</v>
      </c>
      <c r="O22" s="176" t="n">
        <v>730519</v>
      </c>
      <c r="P22" s="176" t="n">
        <v>243506</v>
      </c>
      <c r="Q22" s="176" t="n">
        <f aca="false">N22+O22+P22</f>
        <v>1704544</v>
      </c>
      <c r="R22" s="176" t="n">
        <f aca="false">Q22*0.05</f>
        <v>85227.2</v>
      </c>
      <c r="S22" s="175" t="n">
        <f aca="false">C22+D22-1</f>
        <v>49</v>
      </c>
      <c r="T22" s="179"/>
    </row>
    <row r="23" customFormat="false" ht="15" hidden="false" customHeight="true" outlineLevel="0" collapsed="false">
      <c r="A23" s="175" t="s">
        <v>26</v>
      </c>
      <c r="B23" s="176" t="n">
        <v>15000000</v>
      </c>
      <c r="C23" s="177" t="n">
        <v>34</v>
      </c>
      <c r="D23" s="177" t="n">
        <v>19</v>
      </c>
      <c r="E23" s="177" t="n">
        <v>3</v>
      </c>
      <c r="F23" s="177" t="s">
        <v>356</v>
      </c>
      <c r="G23" s="177" t="s">
        <v>356</v>
      </c>
      <c r="H23" s="177" t="n">
        <v>0</v>
      </c>
      <c r="I23" s="178" t="n">
        <f aca="false">IF(H23=1,Assumptions!$B$16,IF(H23=2,Assumptions!$B$17,0))</f>
        <v>0</v>
      </c>
      <c r="J23" s="177" t="s">
        <v>356</v>
      </c>
      <c r="K23" s="177" t="s">
        <v>356</v>
      </c>
      <c r="L23" s="177" t="s">
        <v>359</v>
      </c>
      <c r="M23" s="181" t="s">
        <v>357</v>
      </c>
      <c r="N23" s="176" t="n">
        <v>730519</v>
      </c>
      <c r="O23" s="176" t="n">
        <v>730519</v>
      </c>
      <c r="P23" s="176" t="n">
        <v>243506</v>
      </c>
      <c r="Q23" s="176" t="n">
        <f aca="false">N23+O23+P23</f>
        <v>1704544</v>
      </c>
      <c r="R23" s="176" t="n">
        <f aca="false">Q23*0.05</f>
        <v>85227.2</v>
      </c>
      <c r="S23" s="175" t="n">
        <f aca="false">C23+D23-1</f>
        <v>52</v>
      </c>
      <c r="T23" s="179"/>
    </row>
    <row r="24" customFormat="false" ht="15" hidden="false" customHeight="true" outlineLevel="0" collapsed="false">
      <c r="A24" s="175" t="s">
        <v>27</v>
      </c>
      <c r="B24" s="176" t="n">
        <v>18000000</v>
      </c>
      <c r="C24" s="177" t="n">
        <v>37</v>
      </c>
      <c r="D24" s="177" t="n">
        <v>19</v>
      </c>
      <c r="E24" s="177" t="n">
        <v>3</v>
      </c>
      <c r="F24" s="177" t="s">
        <v>356</v>
      </c>
      <c r="G24" s="177" t="s">
        <v>356</v>
      </c>
      <c r="H24" s="177" t="n">
        <v>0</v>
      </c>
      <c r="I24" s="178" t="n">
        <f aca="false">IF(H24=1,Assumptions!$B$16,IF(H24=2,Assumptions!$B$17,0))</f>
        <v>0</v>
      </c>
      <c r="J24" s="177" t="s">
        <v>356</v>
      </c>
      <c r="K24" s="177" t="s">
        <v>356</v>
      </c>
      <c r="L24" s="177" t="s">
        <v>359</v>
      </c>
      <c r="M24" s="181" t="s">
        <v>356</v>
      </c>
      <c r="N24" s="176" t="n">
        <v>876623</v>
      </c>
      <c r="O24" s="176" t="n">
        <v>876623</v>
      </c>
      <c r="P24" s="176" t="n">
        <v>292208</v>
      </c>
      <c r="Q24" s="176" t="n">
        <f aca="false">N24+O24+P24</f>
        <v>2045454</v>
      </c>
      <c r="R24" s="176" t="n">
        <f aca="false">Q24*0.05</f>
        <v>102272.7</v>
      </c>
      <c r="S24" s="175" t="n">
        <f aca="false">C24+D24-1</f>
        <v>55</v>
      </c>
      <c r="T24" s="179"/>
    </row>
    <row r="25" customFormat="false" ht="15" hidden="false" customHeight="true" outlineLevel="0" collapsed="false">
      <c r="A25" s="175" t="s">
        <v>28</v>
      </c>
      <c r="B25" s="176" t="n">
        <v>18000000</v>
      </c>
      <c r="C25" s="177" t="n">
        <v>40</v>
      </c>
      <c r="D25" s="177" t="n">
        <v>19</v>
      </c>
      <c r="E25" s="177" t="n">
        <v>3</v>
      </c>
      <c r="F25" s="177" t="s">
        <v>356</v>
      </c>
      <c r="G25" s="177" t="s">
        <v>356</v>
      </c>
      <c r="H25" s="177" t="n">
        <v>0</v>
      </c>
      <c r="I25" s="178" t="n">
        <f aca="false">IF(H25=1,Assumptions!$B$16,IF(H25=2,Assumptions!$B$17,0))</f>
        <v>0</v>
      </c>
      <c r="J25" s="177" t="s">
        <v>356</v>
      </c>
      <c r="K25" s="177" t="s">
        <v>356</v>
      </c>
      <c r="L25" s="177" t="s">
        <v>359</v>
      </c>
      <c r="M25" s="181" t="s">
        <v>356</v>
      </c>
      <c r="N25" s="176" t="n">
        <v>876623</v>
      </c>
      <c r="O25" s="176" t="n">
        <v>876623</v>
      </c>
      <c r="P25" s="176" t="n">
        <v>292208</v>
      </c>
      <c r="Q25" s="176" t="n">
        <f aca="false">N25+O25+P25</f>
        <v>2045454</v>
      </c>
      <c r="R25" s="176" t="n">
        <f aca="false">Q25*0.05</f>
        <v>102272.7</v>
      </c>
      <c r="S25" s="175" t="n">
        <f aca="false">C25+D25-1</f>
        <v>58</v>
      </c>
      <c r="T25" s="179"/>
    </row>
    <row r="26" customFormat="false" ht="15" hidden="false" customHeight="true" outlineLevel="0" collapsed="false">
      <c r="A26" s="175" t="s">
        <v>29</v>
      </c>
      <c r="B26" s="176" t="n">
        <v>18000000</v>
      </c>
      <c r="C26" s="177" t="n">
        <v>42</v>
      </c>
      <c r="D26" s="177" t="n">
        <v>19</v>
      </c>
      <c r="E26" s="177" t="n">
        <v>3</v>
      </c>
      <c r="F26" s="177" t="s">
        <v>356</v>
      </c>
      <c r="G26" s="177" t="s">
        <v>356</v>
      </c>
      <c r="H26" s="177" t="n">
        <v>0</v>
      </c>
      <c r="I26" s="178" t="n">
        <f aca="false">IF(H26=1,Assumptions!$B$16,IF(H26=2,Assumptions!$B$17,0))</f>
        <v>0</v>
      </c>
      <c r="J26" s="177" t="s">
        <v>356</v>
      </c>
      <c r="K26" s="177" t="s">
        <v>356</v>
      </c>
      <c r="L26" s="177" t="s">
        <v>359</v>
      </c>
      <c r="M26" s="181" t="s">
        <v>356</v>
      </c>
      <c r="N26" s="176" t="n">
        <v>876623</v>
      </c>
      <c r="O26" s="176" t="n">
        <v>876623</v>
      </c>
      <c r="P26" s="176" t="n">
        <v>292208</v>
      </c>
      <c r="Q26" s="176" t="n">
        <f aca="false">N26+O26+P26</f>
        <v>2045454</v>
      </c>
      <c r="R26" s="176" t="n">
        <f aca="false">Q26*0.05</f>
        <v>102272.7</v>
      </c>
      <c r="S26" s="175" t="n">
        <f aca="false">C26+D26-1</f>
        <v>60</v>
      </c>
      <c r="T26" s="179"/>
    </row>
    <row r="27" customFormat="false" ht="15" hidden="false" customHeight="true" outlineLevel="0" collapsed="false">
      <c r="A27" s="175" t="s">
        <v>30</v>
      </c>
      <c r="B27" s="176" t="n">
        <v>15000000</v>
      </c>
      <c r="C27" s="177" t="n">
        <v>44</v>
      </c>
      <c r="D27" s="177" t="n">
        <v>19</v>
      </c>
      <c r="E27" s="177" t="n">
        <v>3</v>
      </c>
      <c r="F27" s="177" t="s">
        <v>356</v>
      </c>
      <c r="G27" s="177" t="s">
        <v>356</v>
      </c>
      <c r="H27" s="177" t="n">
        <v>0</v>
      </c>
      <c r="I27" s="178" t="n">
        <f aca="false">IF(H27=1,Assumptions!$B$16,IF(H27=2,Assumptions!$B$17,0))</f>
        <v>0</v>
      </c>
      <c r="J27" s="177" t="s">
        <v>356</v>
      </c>
      <c r="K27" s="177" t="s">
        <v>356</v>
      </c>
      <c r="L27" s="177" t="s">
        <v>359</v>
      </c>
      <c r="M27" s="181" t="s">
        <v>356</v>
      </c>
      <c r="N27" s="176" t="n">
        <v>730519</v>
      </c>
      <c r="O27" s="176" t="n">
        <v>730519</v>
      </c>
      <c r="P27" s="176" t="n">
        <v>243506</v>
      </c>
      <c r="Q27" s="176" t="n">
        <f aca="false">N27+O27+P27</f>
        <v>1704544</v>
      </c>
      <c r="R27" s="176" t="n">
        <f aca="false">Q27*0.05</f>
        <v>85227.2</v>
      </c>
      <c r="S27" s="175" t="n">
        <f aca="false">C27+D27-1</f>
        <v>62</v>
      </c>
      <c r="T27" s="179"/>
    </row>
    <row r="28" customFormat="false" ht="15" hidden="false" customHeight="true" outlineLevel="0" collapsed="false">
      <c r="A28" s="175" t="s">
        <v>31</v>
      </c>
      <c r="B28" s="176" t="n">
        <v>15000000</v>
      </c>
      <c r="C28" s="177" t="n">
        <v>46</v>
      </c>
      <c r="D28" s="177" t="n">
        <v>19</v>
      </c>
      <c r="E28" s="177" t="n">
        <v>3</v>
      </c>
      <c r="F28" s="177" t="s">
        <v>356</v>
      </c>
      <c r="G28" s="177" t="s">
        <v>356</v>
      </c>
      <c r="H28" s="177" t="n">
        <v>0</v>
      </c>
      <c r="I28" s="178" t="n">
        <f aca="false">IF(H28=1,Assumptions!$B$16,IF(H28=2,Assumptions!$B$17,0))</f>
        <v>0</v>
      </c>
      <c r="J28" s="177" t="s">
        <v>356</v>
      </c>
      <c r="K28" s="177" t="s">
        <v>356</v>
      </c>
      <c r="L28" s="177" t="s">
        <v>359</v>
      </c>
      <c r="M28" s="181" t="s">
        <v>357</v>
      </c>
      <c r="N28" s="176" t="n">
        <v>730519</v>
      </c>
      <c r="O28" s="176" t="n">
        <v>730519</v>
      </c>
      <c r="P28" s="176" t="n">
        <v>243506</v>
      </c>
      <c r="Q28" s="176" t="n">
        <f aca="false">N28+O28+P28</f>
        <v>1704544</v>
      </c>
      <c r="R28" s="176" t="n">
        <f aca="false">Q28*0.05</f>
        <v>85227.2</v>
      </c>
      <c r="S28" s="175" t="n">
        <f aca="false">C28+D28-1</f>
        <v>64</v>
      </c>
      <c r="T28" s="179"/>
    </row>
    <row r="29" customFormat="false" ht="15" hidden="false" customHeight="true" outlineLevel="0" collapsed="false">
      <c r="A29" s="175" t="s">
        <v>32</v>
      </c>
      <c r="B29" s="176" t="n">
        <v>15000000</v>
      </c>
      <c r="C29" s="177" t="n">
        <v>48</v>
      </c>
      <c r="D29" s="177" t="n">
        <v>19</v>
      </c>
      <c r="E29" s="177" t="n">
        <v>3</v>
      </c>
      <c r="F29" s="177" t="s">
        <v>356</v>
      </c>
      <c r="G29" s="177" t="s">
        <v>356</v>
      </c>
      <c r="H29" s="177" t="n">
        <v>0</v>
      </c>
      <c r="I29" s="178" t="n">
        <f aca="false">IF(H29=1,Assumptions!$B$16,IF(H29=2,Assumptions!$B$17,0))</f>
        <v>0</v>
      </c>
      <c r="J29" s="177" t="s">
        <v>356</v>
      </c>
      <c r="K29" s="177" t="s">
        <v>356</v>
      </c>
      <c r="L29" s="177" t="s">
        <v>359</v>
      </c>
      <c r="M29" s="181" t="s">
        <v>356</v>
      </c>
      <c r="N29" s="176" t="n">
        <v>730519</v>
      </c>
      <c r="O29" s="176" t="n">
        <v>730519</v>
      </c>
      <c r="P29" s="176" t="n">
        <v>243506</v>
      </c>
      <c r="Q29" s="176" t="n">
        <f aca="false">N29+O29+P29</f>
        <v>1704544</v>
      </c>
      <c r="R29" s="176" t="n">
        <f aca="false">Q29*0.05</f>
        <v>85227.2</v>
      </c>
      <c r="S29" s="175" t="n">
        <f aca="false">C29+D29-1</f>
        <v>66</v>
      </c>
      <c r="T29" s="179"/>
    </row>
    <row r="30" customFormat="false" ht="15" hidden="false" customHeight="true" outlineLevel="0" collapsed="false">
      <c r="A30" s="175" t="s">
        <v>33</v>
      </c>
      <c r="B30" s="176" t="n">
        <v>15000000</v>
      </c>
      <c r="C30" s="177" t="n">
        <v>50</v>
      </c>
      <c r="D30" s="177" t="n">
        <v>19</v>
      </c>
      <c r="E30" s="177" t="n">
        <v>3</v>
      </c>
      <c r="F30" s="177" t="s">
        <v>356</v>
      </c>
      <c r="G30" s="177" t="s">
        <v>356</v>
      </c>
      <c r="H30" s="177" t="n">
        <v>0</v>
      </c>
      <c r="I30" s="178" t="n">
        <f aca="false">IF(H30=1,Assumptions!$B$16,IF(H30=2,Assumptions!$B$17,0))</f>
        <v>0</v>
      </c>
      <c r="J30" s="177" t="s">
        <v>356</v>
      </c>
      <c r="K30" s="177" t="s">
        <v>356</v>
      </c>
      <c r="L30" s="177" t="s">
        <v>359</v>
      </c>
      <c r="M30" s="181" t="s">
        <v>356</v>
      </c>
      <c r="N30" s="176" t="n">
        <v>730519</v>
      </c>
      <c r="O30" s="176" t="n">
        <v>730519</v>
      </c>
      <c r="P30" s="176" t="n">
        <v>243506</v>
      </c>
      <c r="Q30" s="176" t="n">
        <f aca="false">N30+O30+P30</f>
        <v>1704544</v>
      </c>
      <c r="R30" s="176" t="n">
        <f aca="false">Q30*0.05</f>
        <v>85227.2</v>
      </c>
      <c r="S30" s="175" t="n">
        <f aca="false">C30+D30-1</f>
        <v>68</v>
      </c>
      <c r="T30" s="179"/>
    </row>
    <row r="31" customFormat="false" ht="15" hidden="false" customHeight="true" outlineLevel="0" collapsed="false">
      <c r="A31" s="175" t="s">
        <v>34</v>
      </c>
      <c r="B31" s="176" t="n">
        <v>18000000</v>
      </c>
      <c r="C31" s="177" t="n">
        <v>52</v>
      </c>
      <c r="D31" s="177" t="n">
        <v>19</v>
      </c>
      <c r="E31" s="177" t="n">
        <v>3</v>
      </c>
      <c r="F31" s="177" t="s">
        <v>356</v>
      </c>
      <c r="G31" s="177" t="s">
        <v>356</v>
      </c>
      <c r="H31" s="177" t="n">
        <v>0</v>
      </c>
      <c r="I31" s="178" t="n">
        <f aca="false">IF(H31=1,Assumptions!$B$16,IF(H31=2,Assumptions!$B$17,0))</f>
        <v>0</v>
      </c>
      <c r="J31" s="177" t="s">
        <v>356</v>
      </c>
      <c r="K31" s="177" t="s">
        <v>356</v>
      </c>
      <c r="L31" s="177" t="s">
        <v>359</v>
      </c>
      <c r="M31" s="181" t="s">
        <v>356</v>
      </c>
      <c r="N31" s="176" t="n">
        <v>876623</v>
      </c>
      <c r="O31" s="176" t="n">
        <v>876623</v>
      </c>
      <c r="P31" s="176" t="n">
        <v>292208</v>
      </c>
      <c r="Q31" s="176" t="n">
        <f aca="false">N31+O31+P31</f>
        <v>2045454</v>
      </c>
      <c r="R31" s="176" t="n">
        <f aca="false">Q31*0.05</f>
        <v>102272.7</v>
      </c>
      <c r="S31" s="175" t="n">
        <f aca="false">C31+D31-1</f>
        <v>70</v>
      </c>
      <c r="T31" s="179"/>
    </row>
    <row r="32" customFormat="false" ht="15" hidden="false" customHeight="true" outlineLevel="0" collapsed="false">
      <c r="A32" s="175" t="s">
        <v>35</v>
      </c>
      <c r="B32" s="176" t="n">
        <v>15000000</v>
      </c>
      <c r="C32" s="177" t="n">
        <v>54</v>
      </c>
      <c r="D32" s="177" t="n">
        <v>19</v>
      </c>
      <c r="E32" s="177" t="n">
        <v>3</v>
      </c>
      <c r="F32" s="177" t="s">
        <v>356</v>
      </c>
      <c r="G32" s="177" t="s">
        <v>356</v>
      </c>
      <c r="H32" s="177" t="n">
        <v>0</v>
      </c>
      <c r="I32" s="178" t="n">
        <f aca="false">IF(H32=1,Assumptions!$B$16,IF(H32=2,Assumptions!$B$17,0))</f>
        <v>0</v>
      </c>
      <c r="J32" s="177" t="s">
        <v>356</v>
      </c>
      <c r="K32" s="177" t="s">
        <v>356</v>
      </c>
      <c r="L32" s="177" t="s">
        <v>359</v>
      </c>
      <c r="M32" s="181" t="s">
        <v>356</v>
      </c>
      <c r="N32" s="176" t="n">
        <v>730519</v>
      </c>
      <c r="O32" s="176" t="n">
        <v>730519</v>
      </c>
      <c r="P32" s="176" t="n">
        <v>243506</v>
      </c>
      <c r="Q32" s="176" t="n">
        <f aca="false">N32+O32+P32</f>
        <v>1704544</v>
      </c>
      <c r="R32" s="176" t="n">
        <f aca="false">Q32*0.05</f>
        <v>85227.2</v>
      </c>
      <c r="S32" s="175" t="n">
        <f aca="false">C32+D32-1</f>
        <v>72</v>
      </c>
      <c r="T32" s="179"/>
    </row>
    <row r="33" customFormat="false" ht="15" hidden="false" customHeight="true" outlineLevel="0" collapsed="false">
      <c r="A33" s="175" t="s">
        <v>36</v>
      </c>
      <c r="B33" s="176" t="n">
        <v>15000000</v>
      </c>
      <c r="C33" s="177" t="n">
        <v>56</v>
      </c>
      <c r="D33" s="177" t="n">
        <v>19</v>
      </c>
      <c r="E33" s="177" t="n">
        <v>3</v>
      </c>
      <c r="F33" s="177" t="s">
        <v>356</v>
      </c>
      <c r="G33" s="177" t="s">
        <v>356</v>
      </c>
      <c r="H33" s="177" t="n">
        <v>0</v>
      </c>
      <c r="I33" s="178" t="n">
        <f aca="false">IF(H33=1,Assumptions!$B$16,IF(H33=2,Assumptions!$B$17,0))</f>
        <v>0</v>
      </c>
      <c r="J33" s="177" t="s">
        <v>356</v>
      </c>
      <c r="K33" s="177" t="s">
        <v>356</v>
      </c>
      <c r="L33" s="177" t="s">
        <v>359</v>
      </c>
      <c r="M33" s="181" t="s">
        <v>356</v>
      </c>
      <c r="N33" s="176" t="n">
        <v>730519</v>
      </c>
      <c r="O33" s="176" t="n">
        <v>730519</v>
      </c>
      <c r="P33" s="176" t="n">
        <v>243506</v>
      </c>
      <c r="Q33" s="176" t="n">
        <f aca="false">N33+O33+P33</f>
        <v>1704544</v>
      </c>
      <c r="R33" s="176" t="n">
        <f aca="false">Q33*0.05</f>
        <v>85227.2</v>
      </c>
      <c r="S33" s="175" t="n">
        <f aca="false">C33+D33-1</f>
        <v>74</v>
      </c>
      <c r="T33" s="179"/>
    </row>
    <row r="34" customFormat="false" ht="15" hidden="false" customHeight="true" outlineLevel="0" collapsed="false">
      <c r="A34" s="175" t="s">
        <v>37</v>
      </c>
      <c r="B34" s="176" t="n">
        <v>18000000</v>
      </c>
      <c r="C34" s="177" t="n">
        <v>58</v>
      </c>
      <c r="D34" s="177" t="n">
        <v>19</v>
      </c>
      <c r="E34" s="177" t="n">
        <v>3</v>
      </c>
      <c r="F34" s="177" t="s">
        <v>356</v>
      </c>
      <c r="G34" s="177" t="s">
        <v>356</v>
      </c>
      <c r="H34" s="177" t="n">
        <v>0</v>
      </c>
      <c r="I34" s="178" t="n">
        <f aca="false">IF(H34=1,Assumptions!$B$16,IF(H34=2,Assumptions!$B$17,0))</f>
        <v>0</v>
      </c>
      <c r="J34" s="177" t="s">
        <v>356</v>
      </c>
      <c r="K34" s="177" t="s">
        <v>356</v>
      </c>
      <c r="L34" s="177" t="s">
        <v>359</v>
      </c>
      <c r="M34" s="181" t="s">
        <v>357</v>
      </c>
      <c r="N34" s="176" t="n">
        <v>876623</v>
      </c>
      <c r="O34" s="176" t="n">
        <v>876623</v>
      </c>
      <c r="P34" s="176" t="n">
        <v>292208</v>
      </c>
      <c r="Q34" s="176" t="n">
        <f aca="false">N34+O34+P34</f>
        <v>2045454</v>
      </c>
      <c r="R34" s="176" t="n">
        <f aca="false">Q34*0.05</f>
        <v>102272.7</v>
      </c>
      <c r="S34" s="175" t="n">
        <f aca="false">C34+D34-1</f>
        <v>76</v>
      </c>
      <c r="T34" s="179"/>
    </row>
    <row r="35" customFormat="false" ht="15" hidden="false" customHeight="true" outlineLevel="0" collapsed="false">
      <c r="A35" s="175" t="s">
        <v>38</v>
      </c>
      <c r="B35" s="176" t="n">
        <v>15000000</v>
      </c>
      <c r="C35" s="177" t="n">
        <v>60</v>
      </c>
      <c r="D35" s="177" t="n">
        <v>19</v>
      </c>
      <c r="E35" s="177" t="n">
        <v>3</v>
      </c>
      <c r="F35" s="177" t="s">
        <v>356</v>
      </c>
      <c r="G35" s="177" t="s">
        <v>356</v>
      </c>
      <c r="H35" s="177" t="n">
        <v>0</v>
      </c>
      <c r="I35" s="178" t="n">
        <f aca="false">IF(H35=1,Assumptions!$B$16,IF(H35=2,Assumptions!$B$17,0))</f>
        <v>0</v>
      </c>
      <c r="J35" s="177" t="s">
        <v>356</v>
      </c>
      <c r="K35" s="177" t="s">
        <v>356</v>
      </c>
      <c r="L35" s="177" t="s">
        <v>359</v>
      </c>
      <c r="M35" s="181" t="s">
        <v>356</v>
      </c>
      <c r="N35" s="176" t="n">
        <v>730519</v>
      </c>
      <c r="O35" s="176" t="n">
        <v>730519</v>
      </c>
      <c r="P35" s="176" t="n">
        <v>243506</v>
      </c>
      <c r="Q35" s="176" t="n">
        <f aca="false">N35+O35+P35</f>
        <v>1704544</v>
      </c>
      <c r="R35" s="176" t="n">
        <f aca="false">Q35*0.05</f>
        <v>85227.2</v>
      </c>
      <c r="S35" s="175" t="n">
        <f aca="false">C35+D35-1</f>
        <v>78</v>
      </c>
      <c r="T35" s="179"/>
    </row>
    <row r="36" customFormat="false" ht="15" hidden="false" customHeight="true" outlineLevel="0" collapsed="false">
      <c r="A36" s="175" t="s">
        <v>39</v>
      </c>
      <c r="B36" s="176" t="n">
        <v>18000000</v>
      </c>
      <c r="C36" s="177" t="n">
        <v>62</v>
      </c>
      <c r="D36" s="177" t="n">
        <v>19</v>
      </c>
      <c r="E36" s="177" t="n">
        <v>3</v>
      </c>
      <c r="F36" s="177" t="s">
        <v>356</v>
      </c>
      <c r="G36" s="177" t="s">
        <v>356</v>
      </c>
      <c r="H36" s="177" t="n">
        <v>0</v>
      </c>
      <c r="I36" s="178" t="n">
        <f aca="false">IF(H36=1,Assumptions!$B$16,IF(H36=2,Assumptions!$B$17,0))</f>
        <v>0</v>
      </c>
      <c r="J36" s="177" t="s">
        <v>356</v>
      </c>
      <c r="K36" s="177" t="s">
        <v>356</v>
      </c>
      <c r="L36" s="177" t="s">
        <v>359</v>
      </c>
      <c r="M36" s="181" t="s">
        <v>356</v>
      </c>
      <c r="N36" s="176" t="n">
        <v>876623</v>
      </c>
      <c r="O36" s="176" t="n">
        <v>876623</v>
      </c>
      <c r="P36" s="176" t="n">
        <v>292208</v>
      </c>
      <c r="Q36" s="176" t="n">
        <f aca="false">N36+O36+P36</f>
        <v>2045454</v>
      </c>
      <c r="R36" s="176" t="n">
        <f aca="false">Q36*0.05</f>
        <v>102272.7</v>
      </c>
      <c r="S36" s="175" t="n">
        <f aca="false">C36+D36-1</f>
        <v>80</v>
      </c>
      <c r="T36" s="179"/>
    </row>
    <row r="37" customFormat="false" ht="15" hidden="false" customHeight="true" outlineLevel="0" collapsed="false">
      <c r="A37" s="175" t="s">
        <v>40</v>
      </c>
      <c r="B37" s="176" t="n">
        <v>15000000</v>
      </c>
      <c r="C37" s="177" t="n">
        <v>64</v>
      </c>
      <c r="D37" s="177" t="n">
        <v>19</v>
      </c>
      <c r="E37" s="177" t="n">
        <v>3</v>
      </c>
      <c r="F37" s="177" t="s">
        <v>356</v>
      </c>
      <c r="G37" s="177" t="s">
        <v>356</v>
      </c>
      <c r="H37" s="177" t="n">
        <v>0</v>
      </c>
      <c r="I37" s="178" t="n">
        <f aca="false">IF(H37=1,Assumptions!$B$16,IF(H37=2,Assumptions!$B$17,0))</f>
        <v>0</v>
      </c>
      <c r="J37" s="177" t="s">
        <v>356</v>
      </c>
      <c r="K37" s="177" t="s">
        <v>356</v>
      </c>
      <c r="L37" s="177" t="s">
        <v>359</v>
      </c>
      <c r="M37" s="181" t="s">
        <v>356</v>
      </c>
      <c r="N37" s="176" t="n">
        <v>730519</v>
      </c>
      <c r="O37" s="176" t="n">
        <v>730519</v>
      </c>
      <c r="P37" s="176" t="n">
        <v>243506</v>
      </c>
      <c r="Q37" s="176" t="n">
        <f aca="false">N37+O37+P37</f>
        <v>1704544</v>
      </c>
      <c r="R37" s="176" t="n">
        <f aca="false">Q37*0.05</f>
        <v>85227.2</v>
      </c>
      <c r="S37" s="175" t="n">
        <f aca="false">C37+D37-1</f>
        <v>82</v>
      </c>
      <c r="T37" s="179"/>
    </row>
    <row r="38" customFormat="false" ht="15" hidden="false" customHeight="true" outlineLevel="0" collapsed="false">
      <c r="A38" s="175" t="s">
        <v>41</v>
      </c>
      <c r="B38" s="176" t="n">
        <v>15000000</v>
      </c>
      <c r="C38" s="177" t="n">
        <v>66</v>
      </c>
      <c r="D38" s="177" t="n">
        <v>19</v>
      </c>
      <c r="E38" s="177" t="n">
        <v>3</v>
      </c>
      <c r="F38" s="177" t="s">
        <v>356</v>
      </c>
      <c r="G38" s="177" t="s">
        <v>356</v>
      </c>
      <c r="H38" s="177" t="n">
        <v>0</v>
      </c>
      <c r="I38" s="178" t="n">
        <f aca="false">IF(H38=1,Assumptions!$B$16,IF(H38=2,Assumptions!$B$17,0))</f>
        <v>0</v>
      </c>
      <c r="J38" s="177" t="s">
        <v>356</v>
      </c>
      <c r="K38" s="177" t="s">
        <v>356</v>
      </c>
      <c r="L38" s="177" t="s">
        <v>359</v>
      </c>
      <c r="M38" s="181" t="s">
        <v>356</v>
      </c>
      <c r="N38" s="176" t="n">
        <v>730519</v>
      </c>
      <c r="O38" s="176" t="n">
        <v>730519</v>
      </c>
      <c r="P38" s="176" t="n">
        <v>243506</v>
      </c>
      <c r="Q38" s="176" t="n">
        <f aca="false">N38+O38+P38</f>
        <v>1704544</v>
      </c>
      <c r="R38" s="176" t="n">
        <f aca="false">Q38*0.05</f>
        <v>85227.2</v>
      </c>
      <c r="S38" s="175" t="n">
        <f aca="false">C38+D38-1</f>
        <v>84</v>
      </c>
      <c r="T38" s="179"/>
    </row>
    <row r="39" customFormat="false" ht="15" hidden="false" customHeight="true" outlineLevel="0" collapsed="false">
      <c r="A39" s="175" t="s">
        <v>42</v>
      </c>
      <c r="B39" s="176" t="n">
        <v>18000000</v>
      </c>
      <c r="C39" s="177" t="n">
        <v>68</v>
      </c>
      <c r="D39" s="177" t="n">
        <v>19</v>
      </c>
      <c r="E39" s="177" t="n">
        <v>3</v>
      </c>
      <c r="F39" s="177" t="s">
        <v>356</v>
      </c>
      <c r="G39" s="177" t="s">
        <v>356</v>
      </c>
      <c r="H39" s="177" t="n">
        <v>0</v>
      </c>
      <c r="I39" s="178" t="n">
        <f aca="false">IF(H39=1,Assumptions!$B$16,IF(H39=2,Assumptions!$B$17,0))</f>
        <v>0</v>
      </c>
      <c r="J39" s="177" t="s">
        <v>356</v>
      </c>
      <c r="K39" s="177" t="s">
        <v>356</v>
      </c>
      <c r="L39" s="177" t="s">
        <v>359</v>
      </c>
      <c r="M39" s="181" t="s">
        <v>356</v>
      </c>
      <c r="N39" s="176" t="n">
        <v>876623</v>
      </c>
      <c r="O39" s="176" t="n">
        <v>876623</v>
      </c>
      <c r="P39" s="176" t="n">
        <v>292208</v>
      </c>
      <c r="Q39" s="176" t="n">
        <f aca="false">N39+O39+P39</f>
        <v>2045454</v>
      </c>
      <c r="R39" s="176" t="n">
        <f aca="false">Q39*0.05</f>
        <v>102272.7</v>
      </c>
      <c r="S39" s="175" t="n">
        <f aca="false">C39+D39-1</f>
        <v>86</v>
      </c>
      <c r="T39" s="179"/>
    </row>
    <row r="40" customFormat="false" ht="15" hidden="false" customHeight="true" outlineLevel="0" collapsed="false">
      <c r="A40" s="175" t="s">
        <v>43</v>
      </c>
      <c r="B40" s="176" t="n">
        <v>15000000</v>
      </c>
      <c r="C40" s="177" t="n">
        <v>70</v>
      </c>
      <c r="D40" s="177" t="n">
        <v>19</v>
      </c>
      <c r="E40" s="177" t="n">
        <v>3</v>
      </c>
      <c r="F40" s="177" t="s">
        <v>356</v>
      </c>
      <c r="G40" s="177" t="s">
        <v>356</v>
      </c>
      <c r="H40" s="177" t="n">
        <v>0</v>
      </c>
      <c r="I40" s="178" t="n">
        <f aca="false">IF(H40=1,Assumptions!$B$16,IF(H40=2,Assumptions!$B$17,0))</f>
        <v>0</v>
      </c>
      <c r="J40" s="177" t="s">
        <v>356</v>
      </c>
      <c r="K40" s="177" t="s">
        <v>356</v>
      </c>
      <c r="L40" s="177" t="s">
        <v>359</v>
      </c>
      <c r="M40" s="181" t="s">
        <v>357</v>
      </c>
      <c r="N40" s="176" t="n">
        <v>730519</v>
      </c>
      <c r="O40" s="176" t="n">
        <v>730519</v>
      </c>
      <c r="P40" s="176" t="n">
        <v>243506</v>
      </c>
      <c r="Q40" s="176" t="n">
        <f aca="false">N40+O40+P40</f>
        <v>1704544</v>
      </c>
      <c r="R40" s="176" t="n">
        <f aca="false">Q40*0.05</f>
        <v>85227.2</v>
      </c>
      <c r="S40" s="175" t="n">
        <f aca="false">C40+D40-1</f>
        <v>88</v>
      </c>
      <c r="T40" s="179"/>
    </row>
    <row r="41" customFormat="false" ht="15" hidden="false" customHeight="true" outlineLevel="0" collapsed="false">
      <c r="A41" s="175" t="s">
        <v>44</v>
      </c>
      <c r="B41" s="176" t="n">
        <v>15000000</v>
      </c>
      <c r="C41" s="177" t="n">
        <v>72</v>
      </c>
      <c r="D41" s="177" t="n">
        <v>19</v>
      </c>
      <c r="E41" s="177" t="n">
        <v>3</v>
      </c>
      <c r="F41" s="177" t="s">
        <v>356</v>
      </c>
      <c r="G41" s="177" t="s">
        <v>356</v>
      </c>
      <c r="H41" s="177" t="n">
        <v>0</v>
      </c>
      <c r="I41" s="178" t="n">
        <f aca="false">IF(H41=1,Assumptions!$B$16,IF(H41=2,Assumptions!$B$17,0))</f>
        <v>0</v>
      </c>
      <c r="J41" s="177" t="s">
        <v>356</v>
      </c>
      <c r="K41" s="177" t="s">
        <v>356</v>
      </c>
      <c r="L41" s="177" t="s">
        <v>359</v>
      </c>
      <c r="M41" s="181" t="s">
        <v>356</v>
      </c>
      <c r="N41" s="176" t="n">
        <v>730519</v>
      </c>
      <c r="O41" s="176" t="n">
        <v>730519</v>
      </c>
      <c r="P41" s="176" t="n">
        <v>243506</v>
      </c>
      <c r="Q41" s="176" t="n">
        <f aca="false">N41+O41+P41</f>
        <v>1704544</v>
      </c>
      <c r="R41" s="176" t="n">
        <f aca="false">Q41*0.05</f>
        <v>85227.2</v>
      </c>
      <c r="S41" s="175" t="n">
        <f aca="false">C41+D41-1</f>
        <v>90</v>
      </c>
      <c r="T41" s="179"/>
    </row>
    <row r="42" customFormat="false" ht="15" hidden="false" customHeight="true" outlineLevel="0" collapsed="false">
      <c r="A42" s="175" t="s">
        <v>45</v>
      </c>
      <c r="B42" s="176" t="n">
        <v>18000000</v>
      </c>
      <c r="C42" s="177" t="n">
        <v>74</v>
      </c>
      <c r="D42" s="177" t="n">
        <v>19</v>
      </c>
      <c r="E42" s="177" t="n">
        <v>3</v>
      </c>
      <c r="F42" s="177" t="s">
        <v>356</v>
      </c>
      <c r="G42" s="177" t="s">
        <v>356</v>
      </c>
      <c r="H42" s="177" t="n">
        <v>0</v>
      </c>
      <c r="I42" s="178" t="n">
        <f aca="false">IF(H42=1,Assumptions!$B$16,IF(H42=2,Assumptions!$B$17,0))</f>
        <v>0</v>
      </c>
      <c r="J42" s="177" t="s">
        <v>356</v>
      </c>
      <c r="K42" s="177" t="s">
        <v>356</v>
      </c>
      <c r="L42" s="177" t="s">
        <v>359</v>
      </c>
      <c r="M42" s="181" t="s">
        <v>356</v>
      </c>
      <c r="N42" s="176" t="n">
        <v>876623</v>
      </c>
      <c r="O42" s="176" t="n">
        <v>876623</v>
      </c>
      <c r="P42" s="176" t="n">
        <v>292208</v>
      </c>
      <c r="Q42" s="176" t="n">
        <f aca="false">N42+O42+P42</f>
        <v>2045454</v>
      </c>
      <c r="R42" s="176" t="n">
        <f aca="false">Q42*0.05</f>
        <v>102272.7</v>
      </c>
      <c r="S42" s="175" t="n">
        <f aca="false">C42+D42-1</f>
        <v>92</v>
      </c>
      <c r="T42" s="179"/>
    </row>
    <row r="43" customFormat="false" ht="15" hidden="false" customHeight="true" outlineLevel="0" collapsed="false">
      <c r="A43" s="175" t="s">
        <v>46</v>
      </c>
      <c r="B43" s="176" t="n">
        <v>15000000</v>
      </c>
      <c r="C43" s="177" t="n">
        <v>76</v>
      </c>
      <c r="D43" s="177" t="n">
        <v>19</v>
      </c>
      <c r="E43" s="177" t="n">
        <v>3</v>
      </c>
      <c r="F43" s="177" t="s">
        <v>356</v>
      </c>
      <c r="G43" s="177" t="s">
        <v>356</v>
      </c>
      <c r="H43" s="177" t="n">
        <v>0</v>
      </c>
      <c r="I43" s="178" t="n">
        <f aca="false">IF(H43=1,Assumptions!$B$16,IF(H43=2,Assumptions!$B$17,0))</f>
        <v>0</v>
      </c>
      <c r="J43" s="177" t="s">
        <v>356</v>
      </c>
      <c r="K43" s="177" t="s">
        <v>356</v>
      </c>
      <c r="L43" s="177" t="s">
        <v>359</v>
      </c>
      <c r="M43" s="181" t="s">
        <v>356</v>
      </c>
      <c r="N43" s="176" t="n">
        <v>730519</v>
      </c>
      <c r="O43" s="176" t="n">
        <v>730519</v>
      </c>
      <c r="P43" s="176" t="n">
        <v>243506</v>
      </c>
      <c r="Q43" s="176" t="n">
        <f aca="false">N43+O43+P43</f>
        <v>1704544</v>
      </c>
      <c r="R43" s="176" t="n">
        <f aca="false">Q43*0.05</f>
        <v>85227.2</v>
      </c>
      <c r="S43" s="175" t="n">
        <f aca="false">C43+D43-1</f>
        <v>94</v>
      </c>
      <c r="T43" s="179"/>
    </row>
    <row r="44" customFormat="false" ht="15" hidden="false" customHeight="true" outlineLevel="0" collapsed="false">
      <c r="A44" s="175" t="s">
        <v>47</v>
      </c>
      <c r="B44" s="176" t="n">
        <v>15000000</v>
      </c>
      <c r="C44" s="177" t="n">
        <v>78</v>
      </c>
      <c r="D44" s="177" t="n">
        <v>19</v>
      </c>
      <c r="E44" s="177" t="n">
        <v>3</v>
      </c>
      <c r="F44" s="177" t="s">
        <v>356</v>
      </c>
      <c r="G44" s="177" t="s">
        <v>356</v>
      </c>
      <c r="H44" s="177" t="n">
        <v>0</v>
      </c>
      <c r="I44" s="178" t="n">
        <f aca="false">IF(H44=1,Assumptions!$B$16,IF(H44=2,Assumptions!$B$17,0))</f>
        <v>0</v>
      </c>
      <c r="J44" s="177" t="s">
        <v>356</v>
      </c>
      <c r="K44" s="177" t="s">
        <v>356</v>
      </c>
      <c r="L44" s="177" t="s">
        <v>359</v>
      </c>
      <c r="M44" s="181" t="s">
        <v>356</v>
      </c>
      <c r="N44" s="176" t="n">
        <v>730519</v>
      </c>
      <c r="O44" s="176" t="n">
        <v>730519</v>
      </c>
      <c r="P44" s="176" t="n">
        <v>243506</v>
      </c>
      <c r="Q44" s="176" t="n">
        <f aca="false">N44+O44+P44</f>
        <v>1704544</v>
      </c>
      <c r="R44" s="176" t="n">
        <f aca="false">Q44*0.05</f>
        <v>85227.2</v>
      </c>
      <c r="S44" s="175" t="n">
        <f aca="false">C44+D44-1</f>
        <v>96</v>
      </c>
      <c r="T44" s="179"/>
    </row>
    <row r="45" customFormat="false" ht="15" hidden="false" customHeight="true" outlineLevel="0" collapsed="false">
      <c r="A45" s="175" t="s">
        <v>48</v>
      </c>
      <c r="B45" s="176" t="n">
        <v>18000000</v>
      </c>
      <c r="C45" s="177" t="n">
        <v>80</v>
      </c>
      <c r="D45" s="177" t="n">
        <v>19</v>
      </c>
      <c r="E45" s="177" t="n">
        <v>3</v>
      </c>
      <c r="F45" s="177" t="s">
        <v>356</v>
      </c>
      <c r="G45" s="177" t="s">
        <v>356</v>
      </c>
      <c r="H45" s="177" t="n">
        <v>0</v>
      </c>
      <c r="I45" s="178" t="n">
        <f aca="false">IF(H45=1,Assumptions!$B$16,IF(H45=2,Assumptions!$B$17,0))</f>
        <v>0</v>
      </c>
      <c r="J45" s="177" t="s">
        <v>356</v>
      </c>
      <c r="K45" s="177" t="s">
        <v>356</v>
      </c>
      <c r="L45" s="177" t="s">
        <v>359</v>
      </c>
      <c r="M45" s="181" t="s">
        <v>356</v>
      </c>
      <c r="N45" s="176" t="n">
        <v>876623</v>
      </c>
      <c r="O45" s="176" t="n">
        <v>876623</v>
      </c>
      <c r="P45" s="176" t="n">
        <v>292208</v>
      </c>
      <c r="Q45" s="176" t="n">
        <f aca="false">N45+O45+P45</f>
        <v>2045454</v>
      </c>
      <c r="R45" s="176" t="n">
        <f aca="false">Q45*0.05</f>
        <v>102272.7</v>
      </c>
      <c r="S45" s="175" t="n">
        <f aca="false">C45+D45-1</f>
        <v>98</v>
      </c>
      <c r="T45" s="179"/>
    </row>
    <row r="46" customFormat="false" ht="15" hidden="false" customHeight="true" outlineLevel="0" collapsed="false">
      <c r="A46" s="175" t="s">
        <v>49</v>
      </c>
      <c r="B46" s="176" t="n">
        <v>15000000</v>
      </c>
      <c r="C46" s="177" t="n">
        <v>82</v>
      </c>
      <c r="D46" s="177" t="n">
        <v>19</v>
      </c>
      <c r="E46" s="177" t="n">
        <v>3</v>
      </c>
      <c r="F46" s="177" t="s">
        <v>356</v>
      </c>
      <c r="G46" s="177" t="s">
        <v>356</v>
      </c>
      <c r="H46" s="177" t="n">
        <v>0</v>
      </c>
      <c r="I46" s="178" t="n">
        <f aca="false">IF(H46=1,Assumptions!$B$16,IF(H46=2,Assumptions!$B$17,0))</f>
        <v>0</v>
      </c>
      <c r="J46" s="177" t="s">
        <v>356</v>
      </c>
      <c r="K46" s="177" t="s">
        <v>356</v>
      </c>
      <c r="L46" s="177" t="s">
        <v>359</v>
      </c>
      <c r="M46" s="181" t="s">
        <v>357</v>
      </c>
      <c r="N46" s="176" t="n">
        <v>730519</v>
      </c>
      <c r="O46" s="176" t="n">
        <v>730519</v>
      </c>
      <c r="P46" s="176" t="n">
        <v>243506</v>
      </c>
      <c r="Q46" s="176" t="n">
        <f aca="false">N46+O46+P46</f>
        <v>1704544</v>
      </c>
      <c r="R46" s="176" t="n">
        <f aca="false">Q46*0.05</f>
        <v>85227.2</v>
      </c>
      <c r="S46" s="175" t="n">
        <f aca="false">C46+D46-1</f>
        <v>100</v>
      </c>
      <c r="T46" s="17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K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8" activePane="bottomLeft" state="frozen"/>
      <selection pane="topLeft" activeCell="A1" activeCellId="0" sqref="A1"/>
      <selection pane="bottomLeft" activeCell="L46" activeCellId="0" sqref="L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6"/>
    <col collapsed="false" customWidth="true" hidden="false" outlineLevel="0" max="4" min="3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182" t="s">
        <v>361</v>
      </c>
      <c r="B1" s="182" t="s">
        <v>362</v>
      </c>
      <c r="C1" s="183" t="s">
        <v>363</v>
      </c>
      <c r="D1" s="183" t="s">
        <v>364</v>
      </c>
      <c r="E1" s="183" t="s">
        <v>339</v>
      </c>
      <c r="F1" s="183" t="s">
        <v>348</v>
      </c>
      <c r="G1" s="183" t="s">
        <v>343</v>
      </c>
      <c r="H1" s="183" t="s">
        <v>365</v>
      </c>
      <c r="I1" s="183" t="s">
        <v>366</v>
      </c>
      <c r="J1" s="183" t="s">
        <v>367</v>
      </c>
      <c r="K1" s="183" t="s">
        <v>368</v>
      </c>
    </row>
    <row r="2" customFormat="false" ht="15" hidden="false" customHeight="true" outlineLevel="0" collapsed="false">
      <c r="A2" s="184" t="s">
        <v>369</v>
      </c>
      <c r="B2" s="184" t="s">
        <v>370</v>
      </c>
      <c r="C2" s="185" t="n">
        <v>70000</v>
      </c>
      <c r="D2" s="185" t="n">
        <f aca="false">C2/12</f>
        <v>5833.33333333333</v>
      </c>
      <c r="E2" s="186" t="n">
        <v>1</v>
      </c>
      <c r="F2" s="187" t="s">
        <v>371</v>
      </c>
      <c r="G2" s="187" t="s">
        <v>357</v>
      </c>
      <c r="H2" s="188" t="n">
        <v>0</v>
      </c>
      <c r="I2" s="188" t="n">
        <v>0</v>
      </c>
      <c r="J2" s="184" t="s">
        <v>372</v>
      </c>
      <c r="K2" s="3"/>
    </row>
    <row r="3" customFormat="false" ht="15" hidden="false" customHeight="true" outlineLevel="0" collapsed="false">
      <c r="A3" s="189" t="s">
        <v>373</v>
      </c>
      <c r="B3" s="189" t="s">
        <v>374</v>
      </c>
      <c r="C3" s="190" t="n">
        <v>80000</v>
      </c>
      <c r="D3" s="190" t="n">
        <f aca="false">C3/12</f>
        <v>6666.66666666667</v>
      </c>
      <c r="E3" s="191" t="n">
        <v>1</v>
      </c>
      <c r="F3" s="192" t="s">
        <v>371</v>
      </c>
      <c r="G3" s="192" t="s">
        <v>357</v>
      </c>
      <c r="H3" s="193" t="n">
        <v>0.5</v>
      </c>
      <c r="I3" s="193" t="n">
        <v>0</v>
      </c>
      <c r="J3" s="189" t="s">
        <v>372</v>
      </c>
      <c r="K3" s="3"/>
    </row>
    <row r="4" customFormat="false" ht="15" hidden="false" customHeight="true" outlineLevel="0" collapsed="false">
      <c r="A4" s="184" t="s">
        <v>375</v>
      </c>
      <c r="B4" s="184" t="s">
        <v>374</v>
      </c>
      <c r="C4" s="185" t="n">
        <v>25000</v>
      </c>
      <c r="D4" s="185" t="n">
        <f aca="false">C4/12</f>
        <v>2083.33333333333</v>
      </c>
      <c r="E4" s="186" t="n">
        <v>1</v>
      </c>
      <c r="F4" s="187" t="s">
        <v>371</v>
      </c>
      <c r="G4" s="187" t="s">
        <v>357</v>
      </c>
      <c r="H4" s="188" t="n">
        <v>0.5</v>
      </c>
      <c r="I4" s="188" t="n">
        <v>0</v>
      </c>
      <c r="J4" s="184" t="s">
        <v>372</v>
      </c>
      <c r="K4" s="194" t="n">
        <v>9</v>
      </c>
    </row>
    <row r="5" customFormat="false" ht="15" hidden="false" customHeight="true" outlineLevel="0" collapsed="false">
      <c r="A5" s="189" t="s">
        <v>376</v>
      </c>
      <c r="B5" s="189" t="s">
        <v>377</v>
      </c>
      <c r="C5" s="190" t="n">
        <v>20000</v>
      </c>
      <c r="D5" s="190" t="n">
        <f aca="false">C5/12</f>
        <v>1666.66666666667</v>
      </c>
      <c r="E5" s="191" t="n">
        <v>1</v>
      </c>
      <c r="F5" s="192" t="s">
        <v>371</v>
      </c>
      <c r="G5" s="192" t="s">
        <v>357</v>
      </c>
      <c r="H5" s="193" t="n">
        <v>0</v>
      </c>
      <c r="I5" s="193" t="n">
        <v>0</v>
      </c>
      <c r="J5" s="189" t="s">
        <v>372</v>
      </c>
      <c r="K5" s="3"/>
    </row>
    <row r="6" customFormat="false" ht="15" hidden="false" customHeight="true" outlineLevel="0" collapsed="false">
      <c r="A6" s="184" t="s">
        <v>378</v>
      </c>
      <c r="B6" s="184" t="s">
        <v>377</v>
      </c>
      <c r="C6" s="185" t="n">
        <v>20000</v>
      </c>
      <c r="D6" s="185" t="n">
        <f aca="false">C6/12</f>
        <v>1666.66666666667</v>
      </c>
      <c r="E6" s="186" t="n">
        <v>1</v>
      </c>
      <c r="F6" s="187" t="s">
        <v>371</v>
      </c>
      <c r="G6" s="187" t="s">
        <v>357</v>
      </c>
      <c r="H6" s="188" t="n">
        <v>0</v>
      </c>
      <c r="I6" s="188" t="n">
        <v>0</v>
      </c>
      <c r="J6" s="184" t="s">
        <v>372</v>
      </c>
      <c r="K6" s="3"/>
    </row>
    <row r="7" customFormat="false" ht="15" hidden="false" customHeight="true" outlineLevel="0" collapsed="false">
      <c r="A7" s="184" t="s">
        <v>379</v>
      </c>
      <c r="B7" s="184" t="s">
        <v>374</v>
      </c>
      <c r="C7" s="185" t="n">
        <v>320000</v>
      </c>
      <c r="D7" s="185" t="n">
        <f aca="false">C7/12</f>
        <v>26666.6666666667</v>
      </c>
      <c r="E7" s="186" t="n">
        <v>1</v>
      </c>
      <c r="F7" s="187" t="s">
        <v>371</v>
      </c>
      <c r="G7" s="187" t="s">
        <v>357</v>
      </c>
      <c r="H7" s="188" t="n">
        <v>0.5</v>
      </c>
      <c r="I7" s="188" t="n">
        <v>0</v>
      </c>
      <c r="J7" s="184" t="s">
        <v>380</v>
      </c>
      <c r="K7" s="3"/>
    </row>
    <row r="8" customFormat="false" ht="15" hidden="false" customHeight="true" outlineLevel="0" collapsed="false">
      <c r="A8" s="189" t="s">
        <v>381</v>
      </c>
      <c r="B8" s="189" t="s">
        <v>374</v>
      </c>
      <c r="C8" s="190" t="n">
        <v>225000</v>
      </c>
      <c r="D8" s="190" t="n">
        <f aca="false">C8/12</f>
        <v>18750</v>
      </c>
      <c r="E8" s="191" t="n">
        <v>1</v>
      </c>
      <c r="F8" s="192" t="s">
        <v>371</v>
      </c>
      <c r="G8" s="192" t="s">
        <v>357</v>
      </c>
      <c r="H8" s="193" t="n">
        <v>0.5</v>
      </c>
      <c r="I8" s="193" t="n">
        <v>0</v>
      </c>
      <c r="J8" s="189" t="s">
        <v>380</v>
      </c>
      <c r="K8" s="194" t="n">
        <v>9</v>
      </c>
    </row>
    <row r="9" customFormat="false" ht="15" hidden="false" customHeight="true" outlineLevel="0" collapsed="false">
      <c r="A9" s="184" t="s">
        <v>382</v>
      </c>
      <c r="B9" s="184" t="s">
        <v>377</v>
      </c>
      <c r="C9" s="185" t="n">
        <v>180000</v>
      </c>
      <c r="D9" s="185" t="n">
        <f aca="false">C9/12</f>
        <v>15000</v>
      </c>
      <c r="E9" s="186" t="n">
        <v>1</v>
      </c>
      <c r="F9" s="187" t="s">
        <v>371</v>
      </c>
      <c r="G9" s="187" t="s">
        <v>357</v>
      </c>
      <c r="H9" s="188" t="n">
        <v>0</v>
      </c>
      <c r="I9" s="188" t="n">
        <v>0</v>
      </c>
      <c r="J9" s="184" t="s">
        <v>380</v>
      </c>
      <c r="K9" s="3"/>
    </row>
    <row r="10" customFormat="false" ht="15" hidden="false" customHeight="true" outlineLevel="0" collapsed="false">
      <c r="A10" s="189" t="s">
        <v>383</v>
      </c>
      <c r="B10" s="189" t="s">
        <v>377</v>
      </c>
      <c r="C10" s="190" t="n">
        <v>180000</v>
      </c>
      <c r="D10" s="190" t="n">
        <f aca="false">C10/12</f>
        <v>15000</v>
      </c>
      <c r="E10" s="191" t="n">
        <v>1</v>
      </c>
      <c r="F10" s="192" t="s">
        <v>371</v>
      </c>
      <c r="G10" s="192" t="s">
        <v>357</v>
      </c>
      <c r="H10" s="193" t="n">
        <v>0</v>
      </c>
      <c r="I10" s="193" t="n">
        <v>0</v>
      </c>
      <c r="J10" s="189" t="s">
        <v>380</v>
      </c>
      <c r="K10" s="3"/>
    </row>
    <row r="11" customFormat="false" ht="15" hidden="false" customHeight="true" outlineLevel="0" collapsed="false">
      <c r="A11" s="184" t="s">
        <v>384</v>
      </c>
      <c r="B11" s="184" t="s">
        <v>385</v>
      </c>
      <c r="C11" s="185" t="n">
        <v>105000</v>
      </c>
      <c r="D11" s="185" t="n">
        <f aca="false">C11/12</f>
        <v>8750</v>
      </c>
      <c r="E11" s="186" t="n">
        <v>3</v>
      </c>
      <c r="F11" s="187" t="s">
        <v>371</v>
      </c>
      <c r="G11" s="187" t="s">
        <v>357</v>
      </c>
      <c r="H11" s="188" t="n">
        <v>0</v>
      </c>
      <c r="I11" s="188" t="n">
        <v>0</v>
      </c>
      <c r="J11" s="184" t="s">
        <v>380</v>
      </c>
      <c r="K11" s="3"/>
    </row>
    <row r="12" customFormat="false" ht="15" hidden="false" customHeight="true" outlineLevel="0" collapsed="false">
      <c r="A12" s="189" t="s">
        <v>386</v>
      </c>
      <c r="B12" s="189" t="s">
        <v>385</v>
      </c>
      <c r="C12" s="190" t="n">
        <v>155000</v>
      </c>
      <c r="D12" s="190" t="n">
        <f aca="false">C12/12</f>
        <v>12916.6666666667</v>
      </c>
      <c r="E12" s="191" t="n">
        <v>1</v>
      </c>
      <c r="F12" s="192" t="s">
        <v>371</v>
      </c>
      <c r="G12" s="192" t="s">
        <v>357</v>
      </c>
      <c r="H12" s="193" t="n">
        <v>0</v>
      </c>
      <c r="I12" s="193" t="n">
        <v>0</v>
      </c>
      <c r="J12" s="189" t="s">
        <v>380</v>
      </c>
      <c r="K12" s="3"/>
    </row>
    <row r="13" customFormat="false" ht="15" hidden="false" customHeight="true" outlineLevel="0" collapsed="false">
      <c r="A13" s="184" t="s">
        <v>387</v>
      </c>
      <c r="B13" s="184" t="s">
        <v>385</v>
      </c>
      <c r="C13" s="185" t="n">
        <v>185000</v>
      </c>
      <c r="D13" s="185" t="n">
        <f aca="false">C13/12</f>
        <v>15416.6666666667</v>
      </c>
      <c r="E13" s="186" t="n">
        <v>1</v>
      </c>
      <c r="F13" s="187" t="s">
        <v>371</v>
      </c>
      <c r="G13" s="187" t="s">
        <v>357</v>
      </c>
      <c r="H13" s="188" t="n">
        <v>0</v>
      </c>
      <c r="I13" s="188" t="n">
        <v>0</v>
      </c>
      <c r="J13" s="184" t="s">
        <v>380</v>
      </c>
      <c r="K13" s="3"/>
    </row>
    <row r="14" customFormat="false" ht="15" hidden="false" customHeight="true" outlineLevel="0" collapsed="false">
      <c r="A14" s="189" t="s">
        <v>388</v>
      </c>
      <c r="B14" s="189" t="s">
        <v>385</v>
      </c>
      <c r="C14" s="190" t="n">
        <v>125000</v>
      </c>
      <c r="D14" s="190" t="n">
        <f aca="false">C14/12</f>
        <v>10416.6666666667</v>
      </c>
      <c r="E14" s="191" t="n">
        <v>2</v>
      </c>
      <c r="F14" s="192" t="s">
        <v>371</v>
      </c>
      <c r="G14" s="192" t="s">
        <v>357</v>
      </c>
      <c r="H14" s="193" t="n">
        <v>0</v>
      </c>
      <c r="I14" s="193" t="n">
        <v>0</v>
      </c>
      <c r="J14" s="189" t="s">
        <v>380</v>
      </c>
      <c r="K14" s="3"/>
    </row>
    <row r="15" customFormat="false" ht="15" hidden="false" customHeight="true" outlineLevel="0" collapsed="false">
      <c r="A15" s="184" t="s">
        <v>389</v>
      </c>
      <c r="B15" s="184" t="s">
        <v>385</v>
      </c>
      <c r="C15" s="185" t="n">
        <v>130000</v>
      </c>
      <c r="D15" s="185" t="n">
        <f aca="false">C15/12</f>
        <v>10833.3333333333</v>
      </c>
      <c r="E15" s="186" t="n">
        <v>9</v>
      </c>
      <c r="F15" s="187" t="s">
        <v>371</v>
      </c>
      <c r="G15" s="187" t="s">
        <v>357</v>
      </c>
      <c r="H15" s="188" t="n">
        <v>0</v>
      </c>
      <c r="I15" s="188" t="n">
        <v>0</v>
      </c>
      <c r="J15" s="184" t="s">
        <v>380</v>
      </c>
      <c r="K15" s="3"/>
    </row>
    <row r="16" customFormat="false" ht="15" hidden="false" customHeight="true" outlineLevel="0" collapsed="false">
      <c r="A16" s="189" t="s">
        <v>390</v>
      </c>
      <c r="B16" s="189" t="s">
        <v>391</v>
      </c>
      <c r="C16" s="190" t="n">
        <v>90000</v>
      </c>
      <c r="D16" s="190" t="n">
        <f aca="false">C16/12</f>
        <v>7500</v>
      </c>
      <c r="E16" s="191" t="n">
        <v>3</v>
      </c>
      <c r="F16" s="192" t="s">
        <v>371</v>
      </c>
      <c r="G16" s="192" t="s">
        <v>357</v>
      </c>
      <c r="H16" s="193" t="n">
        <v>0</v>
      </c>
      <c r="I16" s="193" t="n">
        <v>0</v>
      </c>
      <c r="J16" s="189" t="s">
        <v>380</v>
      </c>
      <c r="K16" s="3"/>
    </row>
    <row r="17" customFormat="false" ht="15" hidden="false" customHeight="true" outlineLevel="0" collapsed="false">
      <c r="A17" s="184" t="s">
        <v>392</v>
      </c>
      <c r="B17" s="184" t="s">
        <v>370</v>
      </c>
      <c r="C17" s="185" t="n">
        <v>97500</v>
      </c>
      <c r="D17" s="185" t="n">
        <f aca="false">C17/12</f>
        <v>8125</v>
      </c>
      <c r="E17" s="186" t="n">
        <v>1</v>
      </c>
      <c r="F17" s="187" t="s">
        <v>371</v>
      </c>
      <c r="G17" s="187" t="s">
        <v>357</v>
      </c>
      <c r="H17" s="188" t="n">
        <v>0</v>
      </c>
      <c r="I17" s="188" t="n">
        <v>0</v>
      </c>
      <c r="J17" s="184" t="s">
        <v>380</v>
      </c>
      <c r="K17" s="3"/>
    </row>
    <row r="18" customFormat="false" ht="15" hidden="false" customHeight="true" outlineLevel="0" collapsed="false">
      <c r="A18" s="189" t="s">
        <v>393</v>
      </c>
      <c r="B18" s="189" t="s">
        <v>394</v>
      </c>
      <c r="C18" s="190" t="n">
        <v>150000</v>
      </c>
      <c r="D18" s="190" t="n">
        <f aca="false">C18/12</f>
        <v>12500</v>
      </c>
      <c r="E18" s="191" t="n">
        <v>1</v>
      </c>
      <c r="F18" s="192" t="s">
        <v>371</v>
      </c>
      <c r="G18" s="192" t="s">
        <v>357</v>
      </c>
      <c r="H18" s="193" t="n">
        <v>0</v>
      </c>
      <c r="I18" s="193" t="n">
        <v>0</v>
      </c>
      <c r="J18" s="189" t="s">
        <v>380</v>
      </c>
      <c r="K18" s="3"/>
    </row>
    <row r="19" customFormat="false" ht="15" hidden="false" customHeight="true" outlineLevel="0" collapsed="false">
      <c r="A19" s="184" t="s">
        <v>395</v>
      </c>
      <c r="B19" s="184" t="s">
        <v>394</v>
      </c>
      <c r="C19" s="185" t="n">
        <v>150000</v>
      </c>
      <c r="D19" s="185" t="n">
        <f aca="false">C19/12</f>
        <v>12500</v>
      </c>
      <c r="E19" s="186" t="n">
        <v>1</v>
      </c>
      <c r="F19" s="187" t="s">
        <v>371</v>
      </c>
      <c r="G19" s="187" t="s">
        <v>357</v>
      </c>
      <c r="H19" s="188" t="n">
        <v>0</v>
      </c>
      <c r="I19" s="188" t="n">
        <v>0</v>
      </c>
      <c r="J19" s="184" t="s">
        <v>380</v>
      </c>
      <c r="K19" s="3"/>
    </row>
    <row r="20" customFormat="false" ht="15" hidden="false" customHeight="true" outlineLevel="0" collapsed="false">
      <c r="A20" s="189" t="s">
        <v>396</v>
      </c>
      <c r="B20" s="189" t="s">
        <v>394</v>
      </c>
      <c r="C20" s="190" t="n">
        <v>110000</v>
      </c>
      <c r="D20" s="190" t="n">
        <f aca="false">C20/12</f>
        <v>9166.66666666667</v>
      </c>
      <c r="E20" s="191" t="n">
        <v>1</v>
      </c>
      <c r="F20" s="192" t="s">
        <v>371</v>
      </c>
      <c r="G20" s="192" t="s">
        <v>357</v>
      </c>
      <c r="H20" s="193" t="n">
        <v>0</v>
      </c>
      <c r="I20" s="193" t="n">
        <v>0</v>
      </c>
      <c r="J20" s="189" t="s">
        <v>380</v>
      </c>
      <c r="K20" s="3"/>
    </row>
    <row r="21" customFormat="false" ht="15" hidden="false" customHeight="true" outlineLevel="0" collapsed="false">
      <c r="A21" s="184" t="s">
        <v>397</v>
      </c>
      <c r="B21" s="184" t="s">
        <v>394</v>
      </c>
      <c r="C21" s="185" t="n">
        <v>170000</v>
      </c>
      <c r="D21" s="185" t="n">
        <f aca="false">C21/12</f>
        <v>14166.6666666667</v>
      </c>
      <c r="E21" s="186" t="n">
        <v>2</v>
      </c>
      <c r="F21" s="187" t="s">
        <v>371</v>
      </c>
      <c r="G21" s="187" t="s">
        <v>357</v>
      </c>
      <c r="H21" s="188" t="n">
        <v>0</v>
      </c>
      <c r="I21" s="188" t="n">
        <v>0</v>
      </c>
      <c r="J21" s="184" t="s">
        <v>380</v>
      </c>
      <c r="K21" s="3"/>
    </row>
    <row r="22" customFormat="false" ht="15" hidden="false" customHeight="true" outlineLevel="0" collapsed="false">
      <c r="A22" s="189" t="s">
        <v>398</v>
      </c>
      <c r="B22" s="189" t="s">
        <v>394</v>
      </c>
      <c r="C22" s="190" t="n">
        <v>160000</v>
      </c>
      <c r="D22" s="190" t="n">
        <f aca="false">C22/12</f>
        <v>13333.3333333333</v>
      </c>
      <c r="E22" s="191" t="n">
        <v>6</v>
      </c>
      <c r="F22" s="192" t="s">
        <v>371</v>
      </c>
      <c r="G22" s="192" t="s">
        <v>357</v>
      </c>
      <c r="H22" s="193" t="n">
        <v>0</v>
      </c>
      <c r="I22" s="193" t="n">
        <v>0</v>
      </c>
      <c r="J22" s="189" t="s">
        <v>380</v>
      </c>
      <c r="K22" s="3"/>
    </row>
    <row r="23" customFormat="false" ht="15" hidden="false" customHeight="true" outlineLevel="0" collapsed="false">
      <c r="A23" s="184" t="s">
        <v>399</v>
      </c>
      <c r="B23" s="184" t="s">
        <v>394</v>
      </c>
      <c r="C23" s="185" t="n">
        <v>160000</v>
      </c>
      <c r="D23" s="185" t="n">
        <f aca="false">C23/12</f>
        <v>13333.3333333333</v>
      </c>
      <c r="E23" s="186" t="n">
        <v>13</v>
      </c>
      <c r="F23" s="187" t="s">
        <v>371</v>
      </c>
      <c r="G23" s="187" t="s">
        <v>357</v>
      </c>
      <c r="H23" s="188" t="n">
        <v>0</v>
      </c>
      <c r="I23" s="188" t="n">
        <v>0</v>
      </c>
      <c r="J23" s="184" t="s">
        <v>380</v>
      </c>
      <c r="K23" s="3"/>
    </row>
    <row r="24" customFormat="false" ht="15" hidden="false" customHeight="true" outlineLevel="0" collapsed="false">
      <c r="A24" s="189" t="s">
        <v>400</v>
      </c>
      <c r="B24" s="189" t="s">
        <v>401</v>
      </c>
      <c r="C24" s="190" t="n">
        <v>75000</v>
      </c>
      <c r="D24" s="190" t="n">
        <f aca="false">C24/12</f>
        <v>6250</v>
      </c>
      <c r="E24" s="191" t="n">
        <v>1</v>
      </c>
      <c r="F24" s="192" t="s">
        <v>371</v>
      </c>
      <c r="G24" s="192" t="s">
        <v>357</v>
      </c>
      <c r="H24" s="193" t="n">
        <v>0</v>
      </c>
      <c r="I24" s="193" t="n">
        <v>0</v>
      </c>
      <c r="J24" s="189" t="s">
        <v>380</v>
      </c>
      <c r="K24" s="3"/>
    </row>
    <row r="25" customFormat="false" ht="15" hidden="false" customHeight="true" outlineLevel="0" collapsed="false">
      <c r="A25" s="184" t="s">
        <v>402</v>
      </c>
      <c r="B25" s="184" t="s">
        <v>401</v>
      </c>
      <c r="C25" s="185" t="n">
        <v>105000</v>
      </c>
      <c r="D25" s="185" t="n">
        <f aca="false">C25/12</f>
        <v>8750</v>
      </c>
      <c r="E25" s="186" t="n">
        <v>3</v>
      </c>
      <c r="F25" s="187" t="s">
        <v>371</v>
      </c>
      <c r="G25" s="187" t="s">
        <v>357</v>
      </c>
      <c r="H25" s="188" t="n">
        <v>0</v>
      </c>
      <c r="I25" s="188" t="n">
        <v>0</v>
      </c>
      <c r="J25" s="184" t="s">
        <v>380</v>
      </c>
      <c r="K25" s="3"/>
    </row>
    <row r="26" customFormat="false" ht="15" hidden="false" customHeight="true" outlineLevel="0" collapsed="false">
      <c r="A26" s="189" t="s">
        <v>403</v>
      </c>
      <c r="B26" s="189" t="s">
        <v>394</v>
      </c>
      <c r="C26" s="190" t="n">
        <v>170000</v>
      </c>
      <c r="D26" s="190" t="n">
        <f aca="false">C26/12</f>
        <v>14166.6666666667</v>
      </c>
      <c r="E26" s="191" t="n">
        <v>4</v>
      </c>
      <c r="F26" s="192" t="s">
        <v>371</v>
      </c>
      <c r="G26" s="192" t="s">
        <v>357</v>
      </c>
      <c r="H26" s="193" t="n">
        <v>0</v>
      </c>
      <c r="I26" s="193" t="n">
        <v>0</v>
      </c>
      <c r="J26" s="189" t="s">
        <v>380</v>
      </c>
      <c r="K26" s="3"/>
    </row>
    <row r="27" customFormat="false" ht="15" hidden="false" customHeight="true" outlineLevel="0" collapsed="false">
      <c r="A27" s="184" t="s">
        <v>404</v>
      </c>
      <c r="B27" s="184" t="s">
        <v>394</v>
      </c>
      <c r="C27" s="185" t="n">
        <v>130000</v>
      </c>
      <c r="D27" s="185" t="n">
        <f aca="false">C27/12</f>
        <v>10833.3333333333</v>
      </c>
      <c r="E27" s="186" t="n">
        <v>4</v>
      </c>
      <c r="F27" s="187" t="s">
        <v>371</v>
      </c>
      <c r="G27" s="187" t="s">
        <v>357</v>
      </c>
      <c r="H27" s="188" t="n">
        <v>0</v>
      </c>
      <c r="I27" s="188" t="n">
        <v>0</v>
      </c>
      <c r="J27" s="184" t="s">
        <v>380</v>
      </c>
      <c r="K27" s="3"/>
    </row>
    <row r="28" customFormat="false" ht="15" hidden="false" customHeight="true" outlineLevel="0" collapsed="false">
      <c r="A28" s="189" t="s">
        <v>405</v>
      </c>
      <c r="B28" s="189" t="s">
        <v>406</v>
      </c>
      <c r="C28" s="190" t="n">
        <v>125000</v>
      </c>
      <c r="D28" s="190" t="n">
        <f aca="false">C28/12</f>
        <v>10416.6666666667</v>
      </c>
      <c r="E28" s="191" t="n">
        <v>8</v>
      </c>
      <c r="F28" s="192" t="s">
        <v>371</v>
      </c>
      <c r="G28" s="192" t="s">
        <v>356</v>
      </c>
      <c r="H28" s="193" t="n">
        <v>0</v>
      </c>
      <c r="I28" s="193" t="n">
        <v>0</v>
      </c>
      <c r="J28" s="189" t="s">
        <v>380</v>
      </c>
      <c r="K28" s="3"/>
    </row>
    <row r="29" customFormat="false" ht="15" hidden="false" customHeight="true" outlineLevel="0" collapsed="false">
      <c r="A29" s="184" t="s">
        <v>407</v>
      </c>
      <c r="B29" s="184" t="s">
        <v>408</v>
      </c>
      <c r="C29" s="185" t="n">
        <v>65000</v>
      </c>
      <c r="D29" s="185" t="n">
        <f aca="false">C29/12</f>
        <v>5416.66666666667</v>
      </c>
      <c r="E29" s="186" t="n">
        <v>1</v>
      </c>
      <c r="F29" s="187" t="s">
        <v>371</v>
      </c>
      <c r="G29" s="187" t="s">
        <v>357</v>
      </c>
      <c r="H29" s="188" t="n">
        <v>0</v>
      </c>
      <c r="I29" s="188" t="n">
        <v>0</v>
      </c>
      <c r="J29" s="184" t="s">
        <v>380</v>
      </c>
      <c r="K29" s="3"/>
    </row>
    <row r="30" customFormat="false" ht="15" hidden="false" customHeight="true" outlineLevel="0" collapsed="false">
      <c r="A30" s="189" t="s">
        <v>409</v>
      </c>
      <c r="B30" s="189" t="s">
        <v>408</v>
      </c>
      <c r="C30" s="190" t="n">
        <v>95000</v>
      </c>
      <c r="D30" s="190" t="n">
        <f aca="false">C30/12</f>
        <v>7916.66666666667</v>
      </c>
      <c r="E30" s="191" t="n">
        <v>1</v>
      </c>
      <c r="F30" s="192" t="s">
        <v>371</v>
      </c>
      <c r="G30" s="192" t="s">
        <v>357</v>
      </c>
      <c r="H30" s="193" t="n">
        <v>0</v>
      </c>
      <c r="I30" s="193" t="n">
        <v>0</v>
      </c>
      <c r="J30" s="189" t="s">
        <v>380</v>
      </c>
      <c r="K30" s="3"/>
    </row>
    <row r="31" customFormat="false" ht="15" hidden="false" customHeight="true" outlineLevel="0" collapsed="false">
      <c r="A31" s="184" t="s">
        <v>410</v>
      </c>
      <c r="B31" s="184" t="s">
        <v>411</v>
      </c>
      <c r="C31" s="185" t="n">
        <v>70000</v>
      </c>
      <c r="D31" s="185" t="n">
        <f aca="false">C31/12</f>
        <v>5833.33333333333</v>
      </c>
      <c r="E31" s="186" t="n">
        <v>1</v>
      </c>
      <c r="F31" s="187" t="s">
        <v>371</v>
      </c>
      <c r="G31" s="187" t="s">
        <v>357</v>
      </c>
      <c r="H31" s="188" t="n">
        <v>0</v>
      </c>
      <c r="I31" s="188" t="n">
        <v>0</v>
      </c>
      <c r="J31" s="184" t="s">
        <v>380</v>
      </c>
      <c r="K31" s="3"/>
    </row>
    <row r="32" customFormat="false" ht="15" hidden="false" customHeight="true" outlineLevel="0" collapsed="false">
      <c r="A32" s="189" t="s">
        <v>412</v>
      </c>
      <c r="B32" s="189" t="s">
        <v>411</v>
      </c>
      <c r="C32" s="190" t="n">
        <v>55000</v>
      </c>
      <c r="D32" s="190" t="n">
        <f aca="false">C32/12</f>
        <v>4583.33333333333</v>
      </c>
      <c r="E32" s="191" t="n">
        <v>1</v>
      </c>
      <c r="F32" s="192" t="s">
        <v>371</v>
      </c>
      <c r="G32" s="192" t="s">
        <v>357</v>
      </c>
      <c r="H32" s="193" t="n">
        <v>0</v>
      </c>
      <c r="I32" s="193" t="n">
        <v>0</v>
      </c>
      <c r="J32" s="189" t="s">
        <v>380</v>
      </c>
      <c r="K32" s="3"/>
    </row>
    <row r="33" customFormat="false" ht="15" hidden="false" customHeight="true" outlineLevel="0" collapsed="false">
      <c r="A33" s="184" t="s">
        <v>413</v>
      </c>
      <c r="B33" s="184" t="s">
        <v>411</v>
      </c>
      <c r="C33" s="185" t="n">
        <v>50000</v>
      </c>
      <c r="D33" s="185" t="n">
        <f aca="false">C33/12</f>
        <v>4166.66666666667</v>
      </c>
      <c r="E33" s="186" t="n">
        <v>1</v>
      </c>
      <c r="F33" s="187" t="s">
        <v>371</v>
      </c>
      <c r="G33" s="187" t="s">
        <v>357</v>
      </c>
      <c r="H33" s="188" t="n">
        <v>0</v>
      </c>
      <c r="I33" s="188" t="n">
        <v>0</v>
      </c>
      <c r="J33" s="184" t="s">
        <v>380</v>
      </c>
      <c r="K33" s="3"/>
    </row>
    <row r="34" customFormat="false" ht="15" hidden="false" customHeight="true" outlineLevel="0" collapsed="false">
      <c r="A34" s="195"/>
      <c r="B34" s="195"/>
      <c r="C34" s="196"/>
      <c r="D34" s="196"/>
      <c r="E34" s="197"/>
      <c r="F34" s="198"/>
      <c r="G34" s="198"/>
      <c r="H34" s="199"/>
      <c r="I34" s="199"/>
      <c r="J34" s="195"/>
      <c r="K34" s="3"/>
    </row>
    <row r="35" customFormat="false" ht="15" hidden="false" customHeight="true" outlineLevel="0" collapsed="false">
      <c r="A35" s="200" t="s">
        <v>414</v>
      </c>
      <c r="B35" s="201"/>
      <c r="C35" s="202"/>
      <c r="D35" s="202"/>
      <c r="E35" s="203"/>
      <c r="F35" s="201"/>
      <c r="G35" s="201"/>
      <c r="H35" s="204"/>
      <c r="I35" s="204"/>
      <c r="J35" s="201"/>
      <c r="K35" s="3"/>
    </row>
    <row r="36" customFormat="false" ht="15" hidden="false" customHeight="true" outlineLevel="0" collapsed="false">
      <c r="A36" s="184" t="s">
        <v>415</v>
      </c>
      <c r="B36" s="184" t="s">
        <v>416</v>
      </c>
      <c r="C36" s="185" t="n">
        <v>400000</v>
      </c>
      <c r="D36" s="185" t="n">
        <f aca="false">C36/12</f>
        <v>33333.3333333333</v>
      </c>
      <c r="E36" s="186" t="n">
        <v>1</v>
      </c>
      <c r="F36" s="187" t="s">
        <v>417</v>
      </c>
      <c r="G36" s="187" t="s">
        <v>357</v>
      </c>
      <c r="H36" s="188" t="n">
        <v>1</v>
      </c>
      <c r="I36" s="188" t="n">
        <v>0.75</v>
      </c>
      <c r="J36" s="184" t="s">
        <v>418</v>
      </c>
      <c r="K36" s="3"/>
    </row>
    <row r="37" customFormat="false" ht="15" hidden="false" customHeight="true" outlineLevel="0" collapsed="false">
      <c r="A37" s="189" t="s">
        <v>419</v>
      </c>
      <c r="B37" s="189" t="s">
        <v>416</v>
      </c>
      <c r="C37" s="190" t="n">
        <v>400000</v>
      </c>
      <c r="D37" s="190" t="n">
        <f aca="false">C37/12</f>
        <v>33333.3333333333</v>
      </c>
      <c r="E37" s="191" t="n">
        <v>1</v>
      </c>
      <c r="F37" s="192" t="s">
        <v>417</v>
      </c>
      <c r="G37" s="192" t="s">
        <v>357</v>
      </c>
      <c r="H37" s="193" t="n">
        <v>1</v>
      </c>
      <c r="I37" s="188" t="n">
        <v>0.5</v>
      </c>
      <c r="J37" s="189" t="s">
        <v>418</v>
      </c>
      <c r="K37" s="3"/>
    </row>
    <row r="38" customFormat="false" ht="15" hidden="false" customHeight="true" outlineLevel="0" collapsed="false">
      <c r="A38" s="184" t="s">
        <v>420</v>
      </c>
      <c r="B38" s="184" t="s">
        <v>421</v>
      </c>
      <c r="C38" s="185" t="n">
        <v>222000</v>
      </c>
      <c r="D38" s="185" t="n">
        <f aca="false">C38/12</f>
        <v>18500</v>
      </c>
      <c r="E38" s="186" t="n">
        <v>1</v>
      </c>
      <c r="F38" s="187" t="s">
        <v>417</v>
      </c>
      <c r="G38" s="187" t="s">
        <v>357</v>
      </c>
      <c r="H38" s="188" t="n">
        <v>1</v>
      </c>
      <c r="I38" s="188" t="n">
        <v>1</v>
      </c>
      <c r="J38" s="184" t="s">
        <v>418</v>
      </c>
      <c r="K38" s="3"/>
    </row>
    <row r="39" customFormat="false" ht="15" hidden="false" customHeight="true" outlineLevel="0" collapsed="false">
      <c r="A39" s="189" t="s">
        <v>422</v>
      </c>
      <c r="B39" s="189" t="s">
        <v>423</v>
      </c>
      <c r="C39" s="190" t="n">
        <v>115000</v>
      </c>
      <c r="D39" s="190" t="n">
        <f aca="false">C39/12</f>
        <v>9583.33333333333</v>
      </c>
      <c r="E39" s="191" t="n">
        <v>1</v>
      </c>
      <c r="F39" s="192" t="s">
        <v>417</v>
      </c>
      <c r="G39" s="192" t="s">
        <v>357</v>
      </c>
      <c r="H39" s="193" t="n">
        <v>1</v>
      </c>
      <c r="I39" s="188" t="n">
        <v>0.1</v>
      </c>
      <c r="J39" s="189" t="s">
        <v>418</v>
      </c>
      <c r="K39" s="3"/>
    </row>
    <row r="40" customFormat="false" ht="15" hidden="false" customHeight="true" outlineLevel="0" collapsed="false">
      <c r="A40" s="184" t="s">
        <v>424</v>
      </c>
      <c r="B40" s="184" t="s">
        <v>425</v>
      </c>
      <c r="C40" s="185" t="n">
        <v>250000</v>
      </c>
      <c r="D40" s="185" t="n">
        <f aca="false">C40/12</f>
        <v>20833.3333333333</v>
      </c>
      <c r="E40" s="186" t="n">
        <v>1</v>
      </c>
      <c r="F40" s="187" t="s">
        <v>417</v>
      </c>
      <c r="G40" s="187" t="s">
        <v>357</v>
      </c>
      <c r="H40" s="188" t="n">
        <v>0</v>
      </c>
      <c r="I40" s="188" t="n">
        <v>0.5</v>
      </c>
      <c r="J40" s="184" t="s">
        <v>418</v>
      </c>
      <c r="K40" s="3"/>
    </row>
    <row r="41" customFormat="false" ht="15" hidden="false" customHeight="true" outlineLevel="0" collapsed="false">
      <c r="A41" s="189" t="s">
        <v>426</v>
      </c>
      <c r="B41" s="189" t="s">
        <v>427</v>
      </c>
      <c r="C41" s="190" t="n">
        <v>150000</v>
      </c>
      <c r="D41" s="190" t="n">
        <f aca="false">C41/12</f>
        <v>12500</v>
      </c>
      <c r="E41" s="191" t="n">
        <v>1</v>
      </c>
      <c r="F41" s="192" t="s">
        <v>417</v>
      </c>
      <c r="G41" s="192" t="s">
        <v>357</v>
      </c>
      <c r="H41" s="193" t="n">
        <v>0</v>
      </c>
      <c r="I41" s="188" t="n">
        <v>1</v>
      </c>
      <c r="J41" s="189" t="s">
        <v>418</v>
      </c>
      <c r="K41" s="3"/>
    </row>
    <row r="42" customFormat="false" ht="15" hidden="false" customHeight="true" outlineLevel="0" collapsed="false">
      <c r="A42" s="184" t="s">
        <v>428</v>
      </c>
      <c r="B42" s="184" t="s">
        <v>429</v>
      </c>
      <c r="C42" s="185" t="n">
        <v>250000</v>
      </c>
      <c r="D42" s="185" t="n">
        <f aca="false">C42/12</f>
        <v>20833.3333333333</v>
      </c>
      <c r="E42" s="186" t="n">
        <v>1</v>
      </c>
      <c r="F42" s="187" t="s">
        <v>417</v>
      </c>
      <c r="G42" s="187" t="s">
        <v>357</v>
      </c>
      <c r="H42" s="188" t="n">
        <v>0</v>
      </c>
      <c r="I42" s="188" t="n">
        <v>0.95</v>
      </c>
      <c r="J42" s="184" t="s">
        <v>418</v>
      </c>
      <c r="K42" s="3"/>
    </row>
    <row r="43" customFormat="false" ht="15" hidden="false" customHeight="true" outlineLevel="0" collapsed="false">
      <c r="K43" s="3"/>
    </row>
    <row r="44" customFormat="false" ht="15" hidden="false" customHeight="true" outlineLevel="0" collapsed="false">
      <c r="K44" s="3"/>
    </row>
    <row r="45" customFormat="false" ht="15" hidden="false" customHeight="true" outlineLevel="0" collapsed="false">
      <c r="K45" s="3"/>
    </row>
    <row r="46" customFormat="false" ht="15" hidden="false" customHeight="true" outlineLevel="0" collapsed="false">
      <c r="K46" s="3"/>
    </row>
    <row r="47" customFormat="false" ht="15" hidden="false" customHeight="true" outlineLevel="0" collapsed="false">
      <c r="K47" s="3"/>
    </row>
    <row r="48" customFormat="false" ht="15" hidden="false" customHeight="true" outlineLevel="0" collapsed="false">
      <c r="K48" s="3"/>
    </row>
    <row r="49" customFormat="false" ht="15" hidden="false" customHeight="true" outlineLevel="0" collapsed="false">
      <c r="K49" s="3"/>
    </row>
    <row r="50" customFormat="false" ht="15" hidden="false" customHeight="true" outlineLevel="0" collapsed="false">
      <c r="K5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2026-03-23T03:32:22Z</dcterms:created>
  <dc:creator>openpyxl</dc:creator>
  <dc:description/>
  <dc:language>en-US</dc:language>
  <cp:lastModifiedBy>Chris Andresen</cp:lastModifiedBy>
  <dcterms:modified xsi:type="dcterms:W3CDTF">2026-07-24T19:41:42Z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